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4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6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7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8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9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0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2.xml" ContentType="application/vnd.openxmlformats-officedocument.drawingml.chartshapes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3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24.xml" ContentType="application/vnd.openxmlformats-officedocument.drawingml.chartshape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25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26.xml" ContentType="application/vnd.openxmlformats-officedocument.drawingml.chartshapes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27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28.xml" ContentType="application/vnd.openxmlformats-officedocument.drawingml.chartshapes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29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30.xml" ContentType="application/vnd.openxmlformats-officedocument.drawingml.chartshape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31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32.xml" ContentType="application/vnd.openxmlformats-officedocument.drawingml.chartshapes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33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34.xml" ContentType="application/vnd.openxmlformats-officedocument.drawingml.chartshapes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35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36.xml" ContentType="application/vnd.openxmlformats-officedocument.drawingml.chartshapes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drawings/drawing37.xml" ContentType="application/vnd.openxmlformats-officedocument.drawing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38.xml" ContentType="application/vnd.openxmlformats-officedocument.drawingml.chartshapes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drawings/drawing39.xml" ContentType="application/vnd.openxmlformats-officedocument.drawing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40.xml" ContentType="application/vnd.openxmlformats-officedocument.drawingml.chartshapes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41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42.xml" ContentType="application/vnd.openxmlformats-officedocument.drawingml.chartshapes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43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44.xml" ContentType="application/vnd.openxmlformats-officedocument.drawingml.chartshapes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45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46.xml" ContentType="application/vnd.openxmlformats-officedocument.drawingml.chartshapes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7.xml" ContentType="application/vnd.openxmlformats-officedocument.drawing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52cbe4e448f417/Desktop/PT Roadmap/PTTM/"/>
    </mc:Choice>
  </mc:AlternateContent>
  <xr:revisionPtr revIDLastSave="53" documentId="13_ncr:1_{A53E56A3-549F-4063-8CA6-68F07F121433}" xr6:coauthVersionLast="47" xr6:coauthVersionMax="47" xr10:uidLastSave="{C9954E54-F168-4C32-94D5-54D642C012C6}"/>
  <bookViews>
    <workbookView xWindow="-108" yWindow="-108" windowWidth="23256" windowHeight="12456" tabRatio="898" firstSheet="11" activeTab="17" xr2:uid="{00000000-000D-0000-FFFF-FFFF00000000}"/>
  </bookViews>
  <sheets>
    <sheet name="Parameters Fixed" sheetId="73" r:id="rId1"/>
    <sheet name="Parameters Varying" sheetId="74" r:id="rId2"/>
    <sheet name="TCO Compaison" sheetId="75" r:id="rId3"/>
    <sheet name="Results" sheetId="69" r:id="rId4"/>
    <sheet name="Dashboard" sheetId="76" r:id="rId5"/>
    <sheet name="Input Parameters" sheetId="83" r:id="rId6"/>
    <sheet name="Charge station economics" sheetId="80" r:id="rId7"/>
    <sheet name="Charging trend" sheetId="81" r:id="rId8"/>
    <sheet name="Electricity incl CAAS" sheetId="82" r:id="rId9"/>
    <sheet name="AnnualSalesSummary Revised" sheetId="47" r:id="rId10"/>
    <sheet name="Buckets" sheetId="14" r:id="rId11"/>
    <sheet name="Changing with year" sheetId="45" r:id="rId12"/>
    <sheet name="No change with year" sheetId="46" r:id="rId13"/>
    <sheet name="Input Sheet" sheetId="2" r:id="rId14"/>
    <sheet name="Estimation SS2045" sheetId="3" r:id="rId15"/>
    <sheet name="Estimation2050" sheetId="78" r:id="rId16"/>
    <sheet name="Estimation 100% ZET 2055" sheetId="4" r:id="rId17"/>
    <sheet name="PTTM" sheetId="15" r:id="rId18"/>
    <sheet name="Emissions " sheetId="23" r:id="rId19"/>
    <sheet name="Energy Requirementsfinal" sheetId="31" r:id="rId20"/>
    <sheet name="Rough" sheetId="85" r:id="rId21"/>
    <sheet name="B1 - TCO ML 19T" sheetId="61" r:id="rId22"/>
    <sheet name="B2 - TCO ML 28T" sheetId="38" r:id="rId23"/>
    <sheet name="B3 - TCO ML 48T " sheetId="62" r:id="rId24"/>
    <sheet name="B4 - TCO PL&amp;FMCG 19T " sheetId="63" r:id="rId25"/>
    <sheet name="B5 - TCO PL&amp;FMCG 28T " sheetId="64" r:id="rId26"/>
    <sheet name="B6 Perishables 15T" sheetId="51" r:id="rId27"/>
    <sheet name="B7 C&amp;M 28Tip" sheetId="53" r:id="rId28"/>
    <sheet name="B8 C&amp;M 35Tip" sheetId="52" r:id="rId29"/>
    <sheet name="B9 Cement 48T Rigid " sheetId="57" r:id="rId30"/>
    <sheet name="B10 Cement 55 Tractor " sheetId="58" r:id="rId31"/>
    <sheet name="B11 S&amp;M 55Tractor" sheetId="65" r:id="rId32"/>
    <sheet name="B12 POL&amp;CNG Tankers 28T" sheetId="55" r:id="rId33"/>
    <sheet name="TCO 19T B2" sheetId="39" state="hidden" r:id="rId34"/>
    <sheet name="TCO 28T B3" sheetId="40" state="hidden" r:id="rId35"/>
    <sheet name="TCO 55T B4" sheetId="41" state="hidden" r:id="rId36"/>
    <sheet name="TCO 28T B5" sheetId="42" state="hidden" r:id="rId37"/>
    <sheet name="TCO 40T B6" sheetId="43" state="hidden" r:id="rId38"/>
    <sheet name="B13 Non POL Tankers 28T" sheetId="66" r:id="rId39"/>
    <sheet name="B14 LPG Tankers 40T" sheetId="67" r:id="rId40"/>
    <sheet name="PTTM 2045 SS (2)" sheetId="17" state="hidden" r:id="rId41"/>
    <sheet name="Segment Wise Split " sheetId="16" state="hidden" r:id="rId42"/>
    <sheet name="Output Summary" sheetId="22" r:id="rId43"/>
    <sheet name="Segmentwise Sales " sheetId="18" r:id="rId44"/>
    <sheet name="Applicationwise Sales" sheetId="19" r:id="rId45"/>
    <sheet name="Segmentwise Stock" sheetId="25" r:id="rId46"/>
    <sheet name="Applicationwise Stock" sheetId="20" r:id="rId47"/>
    <sheet name="Diesel Only Emissions" sheetId="24" r:id="rId48"/>
    <sheet name="Estimation2035" sheetId="79" r:id="rId49"/>
    <sheet name="Estimation2040" sheetId="77" r:id="rId50"/>
  </sheets>
  <externalReferences>
    <externalReference r:id="rId51"/>
  </externalReferences>
  <definedNames>
    <definedName name="_xlnm._FilterDatabase" localSheetId="18" hidden="1">'Emissions '!$A$87:$K$87</definedName>
    <definedName name="_xlnm._FilterDatabase" localSheetId="12" hidden="1">'No change with year'!$A$4:$CK$18</definedName>
    <definedName name="_xlnm._FilterDatabase" localSheetId="17" hidden="1">PTTM!$O$1:$O$32</definedName>
    <definedName name="_xlnm._FilterDatabase" localSheetId="40" hidden="1">'PTTM 2045 SS (2)'!$O$1:$O$32</definedName>
    <definedName name="_xlnm._FilterDatabase" localSheetId="41" hidden="1">'Segment Wise Split '!$O$1:$O$32</definedName>
    <definedName name="AliBEVBattCap" localSheetId="9">#REF!</definedName>
    <definedName name="AliBEVBattCap" localSheetId="21">#REF!</definedName>
    <definedName name="AliBEVBattCap" localSheetId="30">#REF!</definedName>
    <definedName name="AliBEVBattCap" localSheetId="31">#REF!</definedName>
    <definedName name="AliBEVBattCap" localSheetId="32">#REF!</definedName>
    <definedName name="AliBEVBattCap" localSheetId="38">#REF!</definedName>
    <definedName name="AliBEVBattCap" localSheetId="39">#REF!</definedName>
    <definedName name="AliBEVBattCap" localSheetId="22">#REF!</definedName>
    <definedName name="AliBEVBattCap" localSheetId="23">#REF!</definedName>
    <definedName name="AliBEVBattCap" localSheetId="24">#REF!</definedName>
    <definedName name="AliBEVBattCap" localSheetId="25">#REF!</definedName>
    <definedName name="AliBEVBattCap" localSheetId="26">#REF!</definedName>
    <definedName name="AliBEVBattCap" localSheetId="27">#REF!</definedName>
    <definedName name="AliBEVBattCap" localSheetId="28">#REF!</definedName>
    <definedName name="AliBEVBattCap" localSheetId="29">#REF!</definedName>
    <definedName name="AliBEVBattCap" localSheetId="42">#REF!</definedName>
    <definedName name="AliBEVBattCap" localSheetId="33">#REF!</definedName>
    <definedName name="AliBEVBattCap" localSheetId="34">#REF!</definedName>
    <definedName name="AliBEVBattCap" localSheetId="36">#REF!</definedName>
    <definedName name="AliBEVBattCap" localSheetId="37">#REF!</definedName>
    <definedName name="AliBEVBattCap" localSheetId="35">#REF!</definedName>
    <definedName name="AliBEVBattCap">#REF!</definedName>
    <definedName name="AliBkWhpYear" localSheetId="9">#REF!</definedName>
    <definedName name="AliBkWhpYear" localSheetId="21">#REF!</definedName>
    <definedName name="AliBkWhpYear" localSheetId="30">#REF!</definedName>
    <definedName name="AliBkWhpYear" localSheetId="31">#REF!</definedName>
    <definedName name="AliBkWhpYear" localSheetId="32">#REF!</definedName>
    <definedName name="AliBkWhpYear" localSheetId="38">#REF!</definedName>
    <definedName name="AliBkWhpYear" localSheetId="39">#REF!</definedName>
    <definedName name="AliBkWhpYear" localSheetId="22">#REF!</definedName>
    <definedName name="AliBkWhpYear" localSheetId="23">#REF!</definedName>
    <definedName name="AliBkWhpYear" localSheetId="24">#REF!</definedName>
    <definedName name="AliBkWhpYear" localSheetId="25">#REF!</definedName>
    <definedName name="AliBkWhpYear" localSheetId="26">#REF!</definedName>
    <definedName name="AliBkWhpYear" localSheetId="27">#REF!</definedName>
    <definedName name="AliBkWhpYear" localSheetId="28">#REF!</definedName>
    <definedName name="AliBkWhpYear" localSheetId="29">#REF!</definedName>
    <definedName name="AliBkWhpYear" localSheetId="42">#REF!</definedName>
    <definedName name="AliBkWhpYear" localSheetId="33">#REF!</definedName>
    <definedName name="AliBkWhpYear" localSheetId="34">#REF!</definedName>
    <definedName name="AliBkWhpYear" localSheetId="36">#REF!</definedName>
    <definedName name="AliBkWhpYear" localSheetId="37">#REF!</definedName>
    <definedName name="AliBkWhpYear" localSheetId="35">#REF!</definedName>
    <definedName name="AliBkWhpYear">#REF!</definedName>
    <definedName name="AliBOppChargeFact" localSheetId="9">#REF!</definedName>
    <definedName name="AliBOppChargeFact" localSheetId="21">#REF!</definedName>
    <definedName name="AliBOppChargeFact" localSheetId="30">#REF!</definedName>
    <definedName name="AliBOppChargeFact" localSheetId="31">#REF!</definedName>
    <definedName name="AliBOppChargeFact" localSheetId="32">#REF!</definedName>
    <definedName name="AliBOppChargeFact" localSheetId="38">#REF!</definedName>
    <definedName name="AliBOppChargeFact" localSheetId="39">#REF!</definedName>
    <definedName name="AliBOppChargeFact" localSheetId="22">#REF!</definedName>
    <definedName name="AliBOppChargeFact" localSheetId="23">#REF!</definedName>
    <definedName name="AliBOppChargeFact" localSheetId="24">#REF!</definedName>
    <definedName name="AliBOppChargeFact" localSheetId="25">#REF!</definedName>
    <definedName name="AliBOppChargeFact" localSheetId="26">#REF!</definedName>
    <definedName name="AliBOppChargeFact" localSheetId="27">#REF!</definedName>
    <definedName name="AliBOppChargeFact" localSheetId="28">#REF!</definedName>
    <definedName name="AliBOppChargeFact" localSheetId="29">#REF!</definedName>
    <definedName name="AliBOppChargeFact" localSheetId="42">#REF!</definedName>
    <definedName name="AliBOppChargeFact" localSheetId="33">#REF!</definedName>
    <definedName name="AliBOppChargeFact" localSheetId="34">#REF!</definedName>
    <definedName name="AliBOppChargeFact" localSheetId="36">#REF!</definedName>
    <definedName name="AliBOppChargeFact" localSheetId="37">#REF!</definedName>
    <definedName name="AliBOppChargeFact" localSheetId="35">#REF!</definedName>
    <definedName name="AliBOppChargeFact">#REF!</definedName>
    <definedName name="CNGDensity" localSheetId="21">'No change with year'!$G$58</definedName>
    <definedName name="CNGDensity" localSheetId="30">'B10 Cement 55 Tractor '!#REF!</definedName>
    <definedName name="CNGDensity" localSheetId="31">'B11 S&amp;M 55Tractor'!#REF!</definedName>
    <definedName name="CNGDensity" localSheetId="32">'B12 POL&amp;CNG Tankers 28T'!#REF!</definedName>
    <definedName name="CNGDensity" localSheetId="38">'B13 Non POL Tankers 28T'!#REF!</definedName>
    <definedName name="CNGDensity" localSheetId="39">'B14 LPG Tankers 40T'!#REF!</definedName>
    <definedName name="CNGDensity" localSheetId="22">'No change with year'!$G$58</definedName>
    <definedName name="CNGDensity" localSheetId="23">'No change with year'!$G$58</definedName>
    <definedName name="CNGDensity" localSheetId="24">#REF!</definedName>
    <definedName name="CNGDensity" localSheetId="25">'No change with year'!$G$58</definedName>
    <definedName name="CNGDensity" localSheetId="26">'B6 Perishables 15T'!#REF!</definedName>
    <definedName name="CNGDensity" localSheetId="27">'B7 C&amp;M 28Tip'!#REF!</definedName>
    <definedName name="CNGDensity" localSheetId="28">'B8 C&amp;M 35Tip'!#REF!</definedName>
    <definedName name="CNGDensity" localSheetId="29">'B9 Cement 48T Rigid '!#REF!</definedName>
    <definedName name="CNGDensity" localSheetId="33">'TCO 19T B2'!$L$9</definedName>
    <definedName name="CNGDensity" localSheetId="34">'TCO 28T B3'!$L$9</definedName>
    <definedName name="CNGDensity" localSheetId="36">'TCO 28T B5'!$L$9</definedName>
    <definedName name="CNGDensity" localSheetId="37">'TCO 40T B6'!$L$9</definedName>
    <definedName name="CNGDensity" localSheetId="35">'TCO 55T B4'!$L$9</definedName>
    <definedName name="CNGLCV" localSheetId="21">'No change with year'!$G$57</definedName>
    <definedName name="CNGLCV" localSheetId="30">'B10 Cement 55 Tractor '!#REF!</definedName>
    <definedName name="CNGLCV" localSheetId="31">'B11 S&amp;M 55Tractor'!#REF!</definedName>
    <definedName name="CNGLCV" localSheetId="32">'B12 POL&amp;CNG Tankers 28T'!#REF!</definedName>
    <definedName name="CNGLCV" localSheetId="38">'B13 Non POL Tankers 28T'!#REF!</definedName>
    <definedName name="CNGLCV" localSheetId="39">'B14 LPG Tankers 40T'!#REF!</definedName>
    <definedName name="CNGLCV" localSheetId="22">'No change with year'!$G$57</definedName>
    <definedName name="CNGLCV" localSheetId="23">'No change with year'!$G$57</definedName>
    <definedName name="CNGLCV" localSheetId="24">#REF!</definedName>
    <definedName name="CNGLCV" localSheetId="25">'No change with year'!$G$57</definedName>
    <definedName name="CNGLCV" localSheetId="26">'B6 Perishables 15T'!#REF!</definedName>
    <definedName name="CNGLCV" localSheetId="27">'B7 C&amp;M 28Tip'!#REF!</definedName>
    <definedName name="CNGLCV" localSheetId="28">'B8 C&amp;M 35Tip'!#REF!</definedName>
    <definedName name="CNGLCV" localSheetId="29">'B9 Cement 48T Rigid '!#REF!</definedName>
    <definedName name="CNGLCV" localSheetId="33">'TCO 19T B2'!$L$8</definedName>
    <definedName name="CNGLCV" localSheetId="34">'TCO 28T B3'!$L$8</definedName>
    <definedName name="CNGLCV" localSheetId="36">'TCO 28T B5'!$L$8</definedName>
    <definedName name="CNGLCV" localSheetId="37">'TCO 40T B6'!$L$8</definedName>
    <definedName name="CNGLCV" localSheetId="35">'TCO 55T B4'!$L$8</definedName>
    <definedName name="CNGTankDensity" localSheetId="21">'B1 - TCO ML 19T'!#REF!</definedName>
    <definedName name="CNGTankDensity" localSheetId="30">'B10 Cement 55 Tractor '!#REF!</definedName>
    <definedName name="CNGTankDensity" localSheetId="31">'B11 S&amp;M 55Tractor'!#REF!</definedName>
    <definedName name="CNGTankDensity" localSheetId="32">'B12 POL&amp;CNG Tankers 28T'!#REF!</definedName>
    <definedName name="CNGTankDensity" localSheetId="38">'B13 Non POL Tankers 28T'!#REF!</definedName>
    <definedName name="CNGTankDensity" localSheetId="39">'B14 LPG Tankers 40T'!#REF!</definedName>
    <definedName name="CNGTankDensity" localSheetId="22">'B2 - TCO ML 28T'!#REF!</definedName>
    <definedName name="CNGTankDensity" localSheetId="23">'B3 - TCO ML 48T '!#REF!</definedName>
    <definedName name="CNGTankDensity" localSheetId="24">'B4 - TCO PL&amp;FMCG 19T '!#REF!</definedName>
    <definedName name="CNGTankDensity" localSheetId="25">'B5 - TCO PL&amp;FMCG 28T '!#REF!</definedName>
    <definedName name="CNGTankDensity" localSheetId="26">'B6 Perishables 15T'!#REF!</definedName>
    <definedName name="CNGTankDensity" localSheetId="27">'B7 C&amp;M 28Tip'!#REF!</definedName>
    <definedName name="CNGTankDensity" localSheetId="28">'B8 C&amp;M 35Tip'!#REF!</definedName>
    <definedName name="CNGTankDensity" localSheetId="29">'B9 Cement 48T Rigid '!#REF!</definedName>
    <definedName name="CNGTankDensity" localSheetId="33">'TCO 19T B2'!$L$13</definedName>
    <definedName name="CNGTankDensity" localSheetId="34">'TCO 28T B3'!$L$13</definedName>
    <definedName name="CNGTankDensity" localSheetId="36">'TCO 28T B5'!$L$13</definedName>
    <definedName name="CNGTankDensity" localSheetId="37">'TCO 40T B6'!$L$13</definedName>
    <definedName name="CNGTankDensity" localSheetId="35">'TCO 55T B4'!$L$13</definedName>
    <definedName name="DayspYear" localSheetId="21">'B1 - TCO ML 19T'!#REF!</definedName>
    <definedName name="DayspYear" localSheetId="30">'B10 Cement 55 Tractor '!#REF!</definedName>
    <definedName name="DayspYear" localSheetId="31">'B11 S&amp;M 55Tractor'!#REF!</definedName>
    <definedName name="DayspYear" localSheetId="32">'B12 POL&amp;CNG Tankers 28T'!#REF!</definedName>
    <definedName name="DayspYear" localSheetId="38">'B13 Non POL Tankers 28T'!#REF!</definedName>
    <definedName name="DayspYear" localSheetId="39">'B14 LPG Tankers 40T'!#REF!</definedName>
    <definedName name="DayspYear" localSheetId="22">'B2 - TCO ML 28T'!#REF!</definedName>
    <definedName name="DayspYear" localSheetId="23">'B3 - TCO ML 48T '!#REF!</definedName>
    <definedName name="DayspYear" localSheetId="24">'B4 - TCO PL&amp;FMCG 19T '!#REF!</definedName>
    <definedName name="DayspYear" localSheetId="25">'B5 - TCO PL&amp;FMCG 28T '!#REF!</definedName>
    <definedName name="DayspYear" localSheetId="26">'B6 Perishables 15T'!#REF!</definedName>
    <definedName name="DayspYear" localSheetId="27">'B7 C&amp;M 28Tip'!#REF!</definedName>
    <definedName name="DayspYear" localSheetId="28">'B8 C&amp;M 35Tip'!#REF!</definedName>
    <definedName name="DayspYear" localSheetId="29">'B9 Cement 48T Rigid '!#REF!</definedName>
    <definedName name="DayspYear" localSheetId="33">'TCO 19T B2'!$B$7</definedName>
    <definedName name="DayspYear" localSheetId="34">'TCO 28T B3'!$B$7</definedName>
    <definedName name="DayspYear" localSheetId="36">'TCO 28T B5'!$B$7</definedName>
    <definedName name="DayspYear" localSheetId="37">'TCO 40T B6'!$B$7</definedName>
    <definedName name="DayspYear" localSheetId="35">'TCO 55T B4'!$B$7</definedName>
    <definedName name="DieselDensity" localSheetId="21">'No change with year'!$F$58</definedName>
    <definedName name="DieselDensity" localSheetId="30">'B10 Cement 55 Tractor '!#REF!</definedName>
    <definedName name="DieselDensity" localSheetId="31">'B11 S&amp;M 55Tractor'!#REF!</definedName>
    <definedName name="DieselDensity" localSheetId="32">'B12 POL&amp;CNG Tankers 28T'!#REF!</definedName>
    <definedName name="DieselDensity" localSheetId="38">'B13 Non POL Tankers 28T'!#REF!</definedName>
    <definedName name="DieselDensity" localSheetId="39">'B14 LPG Tankers 40T'!#REF!</definedName>
    <definedName name="DieselDensity" localSheetId="22">'No change with year'!$F$58</definedName>
    <definedName name="DieselDensity" localSheetId="23">'No change with year'!$F$58</definedName>
    <definedName name="DieselDensity" localSheetId="24">#REF!</definedName>
    <definedName name="DieselDensity" localSheetId="25">'No change with year'!$F$58</definedName>
    <definedName name="DieselDensity" localSheetId="26">'B6 Perishables 15T'!#REF!</definedName>
    <definedName name="DieselDensity" localSheetId="27">'B7 C&amp;M 28Tip'!#REF!</definedName>
    <definedName name="DieselDensity" localSheetId="28">'B8 C&amp;M 35Tip'!#REF!</definedName>
    <definedName name="DieselDensity" localSheetId="29">'B9 Cement 48T Rigid '!#REF!</definedName>
    <definedName name="DieselDensity" localSheetId="33">'TCO 19T B2'!$K$9</definedName>
    <definedName name="DieselDensity" localSheetId="34">'TCO 28T B3'!$K$9</definedName>
    <definedName name="DieselDensity" localSheetId="36">'TCO 28T B5'!$K$9</definedName>
    <definedName name="DieselDensity" localSheetId="37">'TCO 40T B6'!$K$9</definedName>
    <definedName name="DieselDensity" localSheetId="35">'TCO 55T B4'!$K$9</definedName>
    <definedName name="DieselLCV" localSheetId="21">'No change with year'!$F$57</definedName>
    <definedName name="DieselLCV" localSheetId="30">'B10 Cement 55 Tractor '!#REF!</definedName>
    <definedName name="DieselLCV" localSheetId="31">'B11 S&amp;M 55Tractor'!#REF!</definedName>
    <definedName name="DieselLCV" localSheetId="32">'B12 POL&amp;CNG Tankers 28T'!#REF!</definedName>
    <definedName name="DieselLCV" localSheetId="38">'B13 Non POL Tankers 28T'!#REF!</definedName>
    <definedName name="DieselLCV" localSheetId="39">'B14 LPG Tankers 40T'!#REF!</definedName>
    <definedName name="DieselLCV" localSheetId="22">'No change with year'!$F$57</definedName>
    <definedName name="DieselLCV" localSheetId="23">'No change with year'!$F$57</definedName>
    <definedName name="DieselLCV" localSheetId="24">#REF!</definedName>
    <definedName name="DieselLCV" localSheetId="25">'No change with year'!$F$57</definedName>
    <definedName name="DieselLCV" localSheetId="26">'B6 Perishables 15T'!#REF!</definedName>
    <definedName name="DieselLCV" localSheetId="27">'B7 C&amp;M 28Tip'!#REF!</definedName>
    <definedName name="DieselLCV" localSheetId="28">'B8 C&amp;M 35Tip'!#REF!</definedName>
    <definedName name="DieselLCV" localSheetId="29">'B9 Cement 48T Rigid '!#REF!</definedName>
    <definedName name="DieselLCV" localSheetId="33">'TCO 19T B2'!$K$8</definedName>
    <definedName name="DieselLCV" localSheetId="34">'TCO 28T B3'!$K$8</definedName>
    <definedName name="DieselLCV" localSheetId="36">'TCO 28T B5'!$K$8</definedName>
    <definedName name="DieselLCV" localSheetId="37">'TCO 40T B6'!$K$8</definedName>
    <definedName name="DieselLCV" localSheetId="35">'TCO 55T B4'!$K$8</definedName>
    <definedName name="DriveCycle" localSheetId="21">'B1 - TCO ML 19T'!$B$6</definedName>
    <definedName name="DriveCycle" localSheetId="30">'B10 Cement 55 Tractor '!$B$6</definedName>
    <definedName name="DriveCycle" localSheetId="31">'B11 S&amp;M 55Tractor'!$B$6</definedName>
    <definedName name="DriveCycle" localSheetId="32">'B12 POL&amp;CNG Tankers 28T'!$B$6</definedName>
    <definedName name="DriveCycle" localSheetId="38">'B13 Non POL Tankers 28T'!$B$6</definedName>
    <definedName name="DriveCycle" localSheetId="39">'B14 LPG Tankers 40T'!$B$6</definedName>
    <definedName name="DriveCycle" localSheetId="22">'B2 - TCO ML 28T'!$B$6</definedName>
    <definedName name="DriveCycle" localSheetId="23">'B3 - TCO ML 48T '!$B$6</definedName>
    <definedName name="DriveCycle" localSheetId="24">'B4 - TCO PL&amp;FMCG 19T '!$B$6</definedName>
    <definedName name="DriveCycle" localSheetId="25">'B5 - TCO PL&amp;FMCG 28T '!$B$6</definedName>
    <definedName name="DriveCycle" localSheetId="26">'B6 Perishables 15T'!$B$6</definedName>
    <definedName name="DriveCycle" localSheetId="27">'B7 C&amp;M 28Tip'!$B$6</definedName>
    <definedName name="DriveCycle" localSheetId="28">'B8 C&amp;M 35Tip'!$B$6</definedName>
    <definedName name="DriveCycle" localSheetId="29">'B9 Cement 48T Rigid '!$B$6</definedName>
    <definedName name="DriveCycle" localSheetId="33">'TCO 19T B2'!$B$11</definedName>
    <definedName name="DriveCycle" localSheetId="34">'TCO 28T B3'!$B$11</definedName>
    <definedName name="DriveCycle" localSheetId="36">'TCO 28T B5'!$B$11</definedName>
    <definedName name="DriveCycle" localSheetId="37">'TCO 40T B6'!$B$11</definedName>
    <definedName name="DriveCycle" localSheetId="35">'TCO 55T B4'!$B$11</definedName>
    <definedName name="EngineWt" localSheetId="21">'B1 - TCO ML 19T'!#REF!</definedName>
    <definedName name="EngineWt" localSheetId="30">'B10 Cement 55 Tractor '!#REF!</definedName>
    <definedName name="EngineWt" localSheetId="31">'B11 S&amp;M 55Tractor'!#REF!</definedName>
    <definedName name="EngineWt" localSheetId="32">'B12 POL&amp;CNG Tankers 28T'!#REF!</definedName>
    <definedName name="EngineWt" localSheetId="38">'B13 Non POL Tankers 28T'!#REF!</definedName>
    <definedName name="EngineWt" localSheetId="39">'B14 LPG Tankers 40T'!#REF!</definedName>
    <definedName name="EngineWt" localSheetId="22">'B2 - TCO ML 28T'!#REF!</definedName>
    <definedName name="EngineWt" localSheetId="23">'B3 - TCO ML 48T '!#REF!</definedName>
    <definedName name="EngineWt" localSheetId="24">'B4 - TCO PL&amp;FMCG 19T '!#REF!</definedName>
    <definedName name="EngineWt" localSheetId="25">'B5 - TCO PL&amp;FMCG 28T '!#REF!</definedName>
    <definedName name="EngineWt" localSheetId="26">'B6 Perishables 15T'!#REF!</definedName>
    <definedName name="EngineWt" localSheetId="27">'B7 C&amp;M 28Tip'!#REF!</definedName>
    <definedName name="EngineWt" localSheetId="28">'B8 C&amp;M 35Tip'!#REF!</definedName>
    <definedName name="EngineWt" localSheetId="29">'B9 Cement 48T Rigid '!#REF!</definedName>
    <definedName name="EngineWt" localSheetId="33">'TCO 19T B2'!#REF!</definedName>
    <definedName name="EngineWt" localSheetId="34">'TCO 28T B3'!#REF!</definedName>
    <definedName name="EngineWt" localSheetId="36">'TCO 28T B5'!#REF!</definedName>
    <definedName name="EngineWt" localSheetId="37">'TCO 40T B6'!#REF!</definedName>
    <definedName name="EngineWt" localSheetId="35">'TCO 55T B4'!#REF!</definedName>
    <definedName name="FCEVBattCap" localSheetId="21">'B1 - TCO ML 19T'!$B$55</definedName>
    <definedName name="FCEVBattCap" localSheetId="30">'B10 Cement 55 Tractor '!$B$56</definedName>
    <definedName name="FCEVBattCap" localSheetId="31">'B11 S&amp;M 55Tractor'!$B$56</definedName>
    <definedName name="FCEVBattCap" localSheetId="32">'B12 POL&amp;CNG Tankers 28T'!$B$56</definedName>
    <definedName name="FCEVBattCap" localSheetId="38">'B13 Non POL Tankers 28T'!$B$56</definedName>
    <definedName name="FCEVBattCap" localSheetId="39">'B14 LPG Tankers 40T'!$B$56</definedName>
    <definedName name="FCEVBattCap" localSheetId="22">'B2 - TCO ML 28T'!$B$55</definedName>
    <definedName name="FCEVBattCap" localSheetId="23">'B3 - TCO ML 48T '!$B$55</definedName>
    <definedName name="FCEVBattCap" localSheetId="24">'B4 - TCO PL&amp;FMCG 19T '!$B$55</definedName>
    <definedName name="FCEVBattCap" localSheetId="25">'B5 - TCO PL&amp;FMCG 28T '!$B$55</definedName>
    <definedName name="FCEVBattCap" localSheetId="26">'B6 Perishables 15T'!$B$55</definedName>
    <definedName name="FCEVBattCap" localSheetId="27">'B7 C&amp;M 28Tip'!$B$55</definedName>
    <definedName name="FCEVBattCap" localSheetId="28">'B8 C&amp;M 35Tip'!$B$56</definedName>
    <definedName name="FCEVBattCap" localSheetId="29">'B9 Cement 48T Rigid '!$B$56</definedName>
    <definedName name="FCEVBattCap" localSheetId="33">'TCO 19T B2'!$B$65</definedName>
    <definedName name="FCEVBattCap" localSheetId="34">'TCO 28T B3'!$B$65</definedName>
    <definedName name="FCEVBattCap" localSheetId="36">'TCO 28T B5'!$B$65</definedName>
    <definedName name="FCEVBattCap" localSheetId="37">'TCO 40T B6'!$B$65</definedName>
    <definedName name="FCEVBattCap" localSheetId="35">'TCO 55T B4'!$B$66</definedName>
    <definedName name="FCEVTankCap" localSheetId="21">'B1 - TCO ML 19T'!#REF!</definedName>
    <definedName name="FCEVTankCap" localSheetId="30">'B10 Cement 55 Tractor '!#REF!</definedName>
    <definedName name="FCEVTankCap" localSheetId="31">'B11 S&amp;M 55Tractor'!#REF!</definedName>
    <definedName name="FCEVTankCap" localSheetId="32">'B12 POL&amp;CNG Tankers 28T'!#REF!</definedName>
    <definedName name="FCEVTankCap" localSheetId="38">'B13 Non POL Tankers 28T'!#REF!</definedName>
    <definedName name="FCEVTankCap" localSheetId="39">'B14 LPG Tankers 40T'!#REF!</definedName>
    <definedName name="FCEVTankCap" localSheetId="22">'B2 - TCO ML 28T'!#REF!</definedName>
    <definedName name="FCEVTankCap" localSheetId="23">'B3 - TCO ML 48T '!#REF!</definedName>
    <definedName name="FCEVTankCap" localSheetId="24">'B4 - TCO PL&amp;FMCG 19T '!#REF!</definedName>
    <definedName name="FCEVTankCap" localSheetId="25">'B5 - TCO PL&amp;FMCG 28T '!#REF!</definedName>
    <definedName name="FCEVTankCap" localSheetId="26">'B6 Perishables 15T'!#REF!</definedName>
    <definedName name="FCEVTankCap" localSheetId="27">'B7 C&amp;M 28Tip'!#REF!</definedName>
    <definedName name="FCEVTankCap" localSheetId="28">'B8 C&amp;M 35Tip'!#REF!</definedName>
    <definedName name="FCEVTankCap" localSheetId="29">'B9 Cement 48T Rigid '!#REF!</definedName>
    <definedName name="FCEVTankCap" localSheetId="33">'TCO 19T B2'!#REF!</definedName>
    <definedName name="FCEVTankCap" localSheetId="34">'TCO 28T B3'!#REF!</definedName>
    <definedName name="FCEVTankCap" localSheetId="36">'TCO 28T B5'!#REF!</definedName>
    <definedName name="FCEVTankCap" localSheetId="37">'TCO 40T B6'!#REF!</definedName>
    <definedName name="FCEVTankCap" localSheetId="35">'TCO 55T B4'!#REF!</definedName>
    <definedName name="FCPower" localSheetId="21">'B1 - TCO ML 19T'!$B$57</definedName>
    <definedName name="FCPower" localSheetId="30">'B10 Cement 55 Tractor '!$B$58</definedName>
    <definedName name="FCPower" localSheetId="31">'B11 S&amp;M 55Tractor'!$B$58</definedName>
    <definedName name="FCPower" localSheetId="32">'B12 POL&amp;CNG Tankers 28T'!$B$58</definedName>
    <definedName name="FCPower" localSheetId="38">'B13 Non POL Tankers 28T'!$B$58</definedName>
    <definedName name="FCPower" localSheetId="39">'B14 LPG Tankers 40T'!$B$58</definedName>
    <definedName name="FCPower" localSheetId="22">'B2 - TCO ML 28T'!$B$57</definedName>
    <definedName name="FCPower" localSheetId="23">'B3 - TCO ML 48T '!$B$57</definedName>
    <definedName name="FCPower" localSheetId="24">'B4 - TCO PL&amp;FMCG 19T '!$B$57</definedName>
    <definedName name="FCPower" localSheetId="25">'B5 - TCO PL&amp;FMCG 28T '!$B$57</definedName>
    <definedName name="FCPower" localSheetId="26">'B6 Perishables 15T'!$B$57</definedName>
    <definedName name="FCPower" localSheetId="27">'B7 C&amp;M 28Tip'!$B$57</definedName>
    <definedName name="FCPower" localSheetId="28">'B8 C&amp;M 35Tip'!$B$58</definedName>
    <definedName name="FCPower" localSheetId="29">'B9 Cement 48T Rigid '!$B$58</definedName>
    <definedName name="FCPower" localSheetId="33">'TCO 19T B2'!$B$67</definedName>
    <definedName name="FCPower" localSheetId="34">'TCO 28T B3'!$B$67</definedName>
    <definedName name="FCPower" localSheetId="36">'TCO 28T B5'!$B$67</definedName>
    <definedName name="FCPower" localSheetId="37">'TCO 40T B6'!$B$67</definedName>
    <definedName name="FCPower" localSheetId="35">'TCO 55T B4'!$B$68</definedName>
    <definedName name="FCSDensity" localSheetId="21">'B1 - TCO ML 19T'!$M$9</definedName>
    <definedName name="FCSDensity" localSheetId="30">'B10 Cement 55 Tractor '!$M$9</definedName>
    <definedName name="FCSDensity" localSheetId="31">'B11 S&amp;M 55Tractor'!$M$9</definedName>
    <definedName name="FCSDensity" localSheetId="32">'B12 POL&amp;CNG Tankers 28T'!$M$9</definedName>
    <definedName name="FCSDensity" localSheetId="38">'B13 Non POL Tankers 28T'!$M$9</definedName>
    <definedName name="FCSDensity" localSheetId="39">'B14 LPG Tankers 40T'!$M$9</definedName>
    <definedName name="FCSDensity" localSheetId="22">'B2 - TCO ML 28T'!$M$9</definedName>
    <definedName name="FCSDensity" localSheetId="23">'B3 - TCO ML 48T '!$M$9</definedName>
    <definedName name="FCSDensity" localSheetId="24">'B4 - TCO PL&amp;FMCG 19T '!$M$9</definedName>
    <definedName name="FCSDensity" localSheetId="25">'B5 - TCO PL&amp;FMCG 28T '!$M$9</definedName>
    <definedName name="FCSDensity" localSheetId="26">'B6 Perishables 15T'!$M$9</definedName>
    <definedName name="FCSDensity" localSheetId="27">'B7 C&amp;M 28Tip'!$M$9</definedName>
    <definedName name="FCSDensity" localSheetId="28">'B8 C&amp;M 35Tip'!$M$9</definedName>
    <definedName name="FCSDensity" localSheetId="29">'B9 Cement 48T Rigid '!$M$9</definedName>
    <definedName name="FCSDensity" localSheetId="33">'TCO 19T B2'!$M$12</definedName>
    <definedName name="FCSDensity" localSheetId="34">'TCO 28T B3'!$M$12</definedName>
    <definedName name="FCSDensity" localSheetId="36">'TCO 28T B5'!$M$12</definedName>
    <definedName name="FCSDensity" localSheetId="37">'TCO 40T B6'!$M$12</definedName>
    <definedName name="FCSDensity" localSheetId="35">'TCO 55T B4'!$M$12</definedName>
    <definedName name="H2Density" localSheetId="21">'No change with year'!$E$58</definedName>
    <definedName name="H2Density" localSheetId="30">'B10 Cement 55 Tractor '!#REF!</definedName>
    <definedName name="H2Density" localSheetId="31">'B11 S&amp;M 55Tractor'!#REF!</definedName>
    <definedName name="H2Density" localSheetId="32">'B12 POL&amp;CNG Tankers 28T'!#REF!</definedName>
    <definedName name="H2Density" localSheetId="38">'B13 Non POL Tankers 28T'!#REF!</definedName>
    <definedName name="H2Density" localSheetId="39">'B14 LPG Tankers 40T'!#REF!</definedName>
    <definedName name="H2Density" localSheetId="22">'No change with year'!$E$58</definedName>
    <definedName name="H2Density" localSheetId="23">'No change with year'!$E$58</definedName>
    <definedName name="H2Density" localSheetId="24">#REF!</definedName>
    <definedName name="H2Density" localSheetId="25">'No change with year'!$E$58</definedName>
    <definedName name="H2Density" localSheetId="26">'B6 Perishables 15T'!#REF!</definedName>
    <definedName name="H2Density" localSheetId="27">'B7 C&amp;M 28Tip'!#REF!</definedName>
    <definedName name="H2Density" localSheetId="28">'B8 C&amp;M 35Tip'!#REF!</definedName>
    <definedName name="H2Density" localSheetId="29">'B9 Cement 48T Rigid '!#REF!</definedName>
    <definedName name="H2Density" localSheetId="33">'TCO 19T B2'!$J$9</definedName>
    <definedName name="H2Density" localSheetId="34">'TCO 28T B3'!$J$9</definedName>
    <definedName name="H2Density" localSheetId="36">'TCO 28T B5'!$J$9</definedName>
    <definedName name="H2Density" localSheetId="37">'TCO 40T B6'!$J$9</definedName>
    <definedName name="H2Density" localSheetId="35">'TCO 55T B4'!$J$9</definedName>
    <definedName name="H2LCV" localSheetId="21">'No change with year'!$E$57</definedName>
    <definedName name="H2LCV" localSheetId="30">'B10 Cement 55 Tractor '!#REF!</definedName>
    <definedName name="H2LCV" localSheetId="31">'B11 S&amp;M 55Tractor'!#REF!</definedName>
    <definedName name="H2LCV" localSheetId="32">'B12 POL&amp;CNG Tankers 28T'!#REF!</definedName>
    <definedName name="H2LCV" localSheetId="38">'B13 Non POL Tankers 28T'!#REF!</definedName>
    <definedName name="H2LCV" localSheetId="39">'B14 LPG Tankers 40T'!#REF!</definedName>
    <definedName name="H2LCV" localSheetId="22">'No change with year'!$E$57</definedName>
    <definedName name="H2LCV" localSheetId="23">'No change with year'!$E$57</definedName>
    <definedName name="H2LCV" localSheetId="24">#REF!</definedName>
    <definedName name="H2LCV" localSheetId="25">'No change with year'!$E$57</definedName>
    <definedName name="H2LCV" localSheetId="26">'B6 Perishables 15T'!#REF!</definedName>
    <definedName name="H2LCV" localSheetId="27">'B7 C&amp;M 28Tip'!#REF!</definedName>
    <definedName name="H2LCV" localSheetId="28">'B8 C&amp;M 35Tip'!#REF!</definedName>
    <definedName name="H2LCV" localSheetId="29">'B9 Cement 48T Rigid '!#REF!</definedName>
    <definedName name="H2LCV" localSheetId="33">'TCO 19T B2'!$J$8</definedName>
    <definedName name="H2LCV" localSheetId="34">'TCO 28T B3'!$J$8</definedName>
    <definedName name="H2LCV" localSheetId="36">'TCO 28T B5'!$J$8</definedName>
    <definedName name="H2LCV" localSheetId="37">'TCO 40T B6'!$J$8</definedName>
    <definedName name="H2LCV" localSheetId="35">'TCO 55T B4'!$J$8</definedName>
    <definedName name="H2TankDensity" localSheetId="21">'B1 - TCO ML 19T'!#REF!</definedName>
    <definedName name="H2TankDensity" localSheetId="30">'B10 Cement 55 Tractor '!#REF!</definedName>
    <definedName name="H2TankDensity" localSheetId="31">'B11 S&amp;M 55Tractor'!#REF!</definedName>
    <definedName name="H2TankDensity" localSheetId="32">'B12 POL&amp;CNG Tankers 28T'!#REF!</definedName>
    <definedName name="H2TankDensity" localSheetId="38">'B13 Non POL Tankers 28T'!#REF!</definedName>
    <definedName name="H2TankDensity" localSheetId="39">'B14 LPG Tankers 40T'!#REF!</definedName>
    <definedName name="H2TankDensity" localSheetId="22">'B2 - TCO ML 28T'!#REF!</definedName>
    <definedName name="H2TankDensity" localSheetId="23">'B3 - TCO ML 48T '!#REF!</definedName>
    <definedName name="H2TankDensity" localSheetId="24">'B4 - TCO PL&amp;FMCG 19T '!#REF!</definedName>
    <definedName name="H2TankDensity" localSheetId="25">'B5 - TCO PL&amp;FMCG 28T '!#REF!</definedName>
    <definedName name="H2TankDensity" localSheetId="26">'B6 Perishables 15T'!#REF!</definedName>
    <definedName name="H2TankDensity" localSheetId="27">'B7 C&amp;M 28Tip'!#REF!</definedName>
    <definedName name="H2TankDensity" localSheetId="28">'B8 C&amp;M 35Tip'!#REF!</definedName>
    <definedName name="H2TankDensity" localSheetId="29">'B9 Cement 48T Rigid '!#REF!</definedName>
    <definedName name="H2TankDensity" localSheetId="33">'TCO 19T B2'!$M$13</definedName>
    <definedName name="H2TankDensity" localSheetId="34">'TCO 28T B3'!$M$13</definedName>
    <definedName name="H2TankDensity" localSheetId="36">'TCO 28T B5'!$M$13</definedName>
    <definedName name="H2TankDensity" localSheetId="37">'TCO 40T B6'!$M$13</definedName>
    <definedName name="H2TankDensity" localSheetId="35">'TCO 55T B4'!$M$13</definedName>
    <definedName name="ImportMarkup" localSheetId="21">'B1 - TCO ML 19T'!$F$23</definedName>
    <definedName name="ImportMarkup" localSheetId="30">'B10 Cement 55 Tractor '!$F$23</definedName>
    <definedName name="ImportMarkup" localSheetId="31">'B11 S&amp;M 55Tractor'!$F$23</definedName>
    <definedName name="ImportMarkup" localSheetId="32">'B12 POL&amp;CNG Tankers 28T'!$F$23</definedName>
    <definedName name="ImportMarkup" localSheetId="38">'B13 Non POL Tankers 28T'!$F$23</definedName>
    <definedName name="ImportMarkup" localSheetId="39">'B14 LPG Tankers 40T'!$F$23</definedName>
    <definedName name="ImportMarkup" localSheetId="22">'B2 - TCO ML 28T'!$F$23</definedName>
    <definedName name="ImportMarkup" localSheetId="23">'B3 - TCO ML 48T '!$F$23</definedName>
    <definedName name="ImportMarkup" localSheetId="24">'B4 - TCO PL&amp;FMCG 19T '!$F$23</definedName>
    <definedName name="ImportMarkup" localSheetId="25">'B5 - TCO PL&amp;FMCG 28T '!$F$23</definedName>
    <definedName name="ImportMarkup" localSheetId="26">'B6 Perishables 15T'!$F$23</definedName>
    <definedName name="ImportMarkup" localSheetId="27">'B7 C&amp;M 28Tip'!$F$23</definedName>
    <definedName name="ImportMarkup" localSheetId="28">'B8 C&amp;M 35Tip'!$F$23</definedName>
    <definedName name="ImportMarkup" localSheetId="29">'B9 Cement 48T Rigid '!$F$23</definedName>
    <definedName name="ImportMarkup" localSheetId="33">'TCO 19T B2'!$F$27</definedName>
    <definedName name="ImportMarkup" localSheetId="34">'TCO 28T B3'!$F$27</definedName>
    <definedName name="ImportMarkup" localSheetId="36">'TCO 28T B5'!$F$27</definedName>
    <definedName name="ImportMarkup" localSheetId="37">'TCO 40T B6'!$F$27</definedName>
    <definedName name="ImportMarkup" localSheetId="35">'TCO 55T B4'!$F$27</definedName>
    <definedName name="LiBattDensity" localSheetId="21">'No change with year'!$H$59</definedName>
    <definedName name="LiBattDensity" localSheetId="30">'B10 Cement 55 Tractor '!#REF!</definedName>
    <definedName name="LiBattDensity" localSheetId="31">'B11 S&amp;M 55Tractor'!#REF!</definedName>
    <definedName name="LiBattDensity" localSheetId="32">'B12 POL&amp;CNG Tankers 28T'!#REF!</definedName>
    <definedName name="LiBattDensity" localSheetId="38">'B13 Non POL Tankers 28T'!#REF!</definedName>
    <definedName name="LiBattDensity" localSheetId="39">'B14 LPG Tankers 40T'!#REF!</definedName>
    <definedName name="LiBattDensity" localSheetId="22">'No change with year'!$H$59</definedName>
    <definedName name="LiBattDensity" localSheetId="23">'No change with year'!$H$59</definedName>
    <definedName name="LiBattDensity" localSheetId="24">#REF!</definedName>
    <definedName name="LiBattDensity" localSheetId="25">'No change with year'!$H$59</definedName>
    <definedName name="LiBattDensity" localSheetId="26">'B6 Perishables 15T'!#REF!</definedName>
    <definedName name="LiBattDensity" localSheetId="27">'B7 C&amp;M 28Tip'!#REF!</definedName>
    <definedName name="LiBattDensity" localSheetId="28">'B8 C&amp;M 35Tip'!#REF!</definedName>
    <definedName name="LiBattDensity" localSheetId="29">'B9 Cement 48T Rigid '!#REF!</definedName>
    <definedName name="LiBattDensity" localSheetId="33">'TCO 19T B2'!$M$10</definedName>
    <definedName name="LiBattDensity" localSheetId="34">'TCO 28T B3'!$M$10</definedName>
    <definedName name="LiBattDensity" localSheetId="36">'TCO 28T B5'!$M$10</definedName>
    <definedName name="LiBattDensity" localSheetId="37">'TCO 40T B6'!$M$10</definedName>
    <definedName name="LiBattDensity" localSheetId="35">'TCO 55T B4'!$M$10</definedName>
    <definedName name="LiBOppChargeFact" localSheetId="9">#REF!</definedName>
    <definedName name="LiBOppChargeFact" localSheetId="21">#REF!</definedName>
    <definedName name="LiBOppChargeFact" localSheetId="30">#REF!</definedName>
    <definedName name="LiBOppChargeFact" localSheetId="31">#REF!</definedName>
    <definedName name="LiBOppChargeFact" localSheetId="32">#REF!</definedName>
    <definedName name="LiBOppChargeFact" localSheetId="38">#REF!</definedName>
    <definedName name="LiBOppChargeFact" localSheetId="39">#REF!</definedName>
    <definedName name="LiBOppChargeFact" localSheetId="22">#REF!</definedName>
    <definedName name="LiBOppChargeFact" localSheetId="23">#REF!</definedName>
    <definedName name="LiBOppChargeFact" localSheetId="24">#REF!</definedName>
    <definedName name="LiBOppChargeFact" localSheetId="25">#REF!</definedName>
    <definedName name="LiBOppChargeFact" localSheetId="26">#REF!</definedName>
    <definedName name="LiBOppChargeFact" localSheetId="27">#REF!</definedName>
    <definedName name="LiBOppChargeFact" localSheetId="28">#REF!</definedName>
    <definedName name="LiBOppChargeFact" localSheetId="29">#REF!</definedName>
    <definedName name="LiBOppChargeFact" localSheetId="42">#REF!</definedName>
    <definedName name="LiBOppChargeFact" localSheetId="33">#REF!</definedName>
    <definedName name="LiBOppChargeFact" localSheetId="34">#REF!</definedName>
    <definedName name="LiBOppChargeFact" localSheetId="36">#REF!</definedName>
    <definedName name="LiBOppChargeFact" localSheetId="37">#REF!</definedName>
    <definedName name="LiBOppChargeFact" localSheetId="35">#REF!</definedName>
    <definedName name="LiBOppChargeFact">#REF!</definedName>
    <definedName name="MotorWt" localSheetId="21">'B1 - TCO ML 19T'!#REF!</definedName>
    <definedName name="MotorWt" localSheetId="30">'B10 Cement 55 Tractor '!#REF!</definedName>
    <definedName name="MotorWt" localSheetId="31">'B11 S&amp;M 55Tractor'!#REF!</definedName>
    <definedName name="MotorWt" localSheetId="32">'B12 POL&amp;CNG Tankers 28T'!#REF!</definedName>
    <definedName name="MotorWt" localSheetId="38">'B13 Non POL Tankers 28T'!#REF!</definedName>
    <definedName name="MotorWt" localSheetId="39">'B14 LPG Tankers 40T'!#REF!</definedName>
    <definedName name="MotorWt" localSheetId="22">'B2 - TCO ML 28T'!#REF!</definedName>
    <definedName name="MotorWt" localSheetId="23">'B3 - TCO ML 48T '!#REF!</definedName>
    <definedName name="MotorWt" localSheetId="24">'B4 - TCO PL&amp;FMCG 19T '!#REF!</definedName>
    <definedName name="MotorWt" localSheetId="25">'B5 - TCO PL&amp;FMCG 28T '!#REF!</definedName>
    <definedName name="MotorWt" localSheetId="26">'B6 Perishables 15T'!#REF!</definedName>
    <definedName name="MotorWt" localSheetId="27">'B7 C&amp;M 28Tip'!#REF!</definedName>
    <definedName name="MotorWt" localSheetId="28">'B8 C&amp;M 35Tip'!#REF!</definedName>
    <definedName name="MotorWt" localSheetId="29">'B9 Cement 48T Rigid '!#REF!</definedName>
    <definedName name="MotorWt" localSheetId="33">'TCO 19T B2'!#REF!</definedName>
    <definedName name="MotorWt" localSheetId="34">'TCO 28T B3'!#REF!</definedName>
    <definedName name="MotorWt" localSheetId="36">'TCO 28T B5'!#REF!</definedName>
    <definedName name="MotorWt" localSheetId="37">'TCO 40T B6'!#REF!</definedName>
    <definedName name="MotorWt" localSheetId="35">'TCO 55T B4'!#REF!</definedName>
    <definedName name="Range" localSheetId="21">'B1 - TCO ML 19T'!$B$4</definedName>
    <definedName name="Range" localSheetId="30">'B10 Cement 55 Tractor '!$B$4</definedName>
    <definedName name="Range" localSheetId="31">'B11 S&amp;M 55Tractor'!$B$4</definedName>
    <definedName name="Range" localSheetId="32">'B12 POL&amp;CNG Tankers 28T'!$B$4</definedName>
    <definedName name="Range" localSheetId="38">'B13 Non POL Tankers 28T'!$B$4</definedName>
    <definedName name="Range" localSheetId="39">'B14 LPG Tankers 40T'!$B$4</definedName>
    <definedName name="Range" localSheetId="22">'B2 - TCO ML 28T'!$B$4</definedName>
    <definedName name="Range" localSheetId="23">'B3 - TCO ML 48T '!$B$4</definedName>
    <definedName name="Range" localSheetId="24">'B4 - TCO PL&amp;FMCG 19T '!$B$4</definedName>
    <definedName name="Range" localSheetId="25">'B5 - TCO PL&amp;FMCG 28T '!$B$4</definedName>
    <definedName name="Range" localSheetId="26">'B6 Perishables 15T'!$B$4</definedName>
    <definedName name="Range" localSheetId="27">'B7 C&amp;M 28Tip'!$B$4</definedName>
    <definedName name="Range" localSheetId="28">'B8 C&amp;M 35Tip'!$B$4</definedName>
    <definedName name="Range" localSheetId="29">'B9 Cement 48T Rigid '!$B$4</definedName>
    <definedName name="Range" localSheetId="33">'TCO 19T B2'!$B$6</definedName>
    <definedName name="Range" localSheetId="34">'TCO 28T B3'!$B$6</definedName>
    <definedName name="Range" localSheetId="36">'TCO 28T B5'!$B$6</definedName>
    <definedName name="Range" localSheetId="37">'TCO 40T B6'!$B$6</definedName>
    <definedName name="Range" localSheetId="35">'TCO 55T B4'!$B$6</definedName>
    <definedName name="WheelSEC" localSheetId="21">'B1 - TCO ML 19T'!#REF!</definedName>
    <definedName name="WheelSEC" localSheetId="30">'B10 Cement 55 Tractor '!#REF!</definedName>
    <definedName name="WheelSEC" localSheetId="31">'B11 S&amp;M 55Tractor'!#REF!</definedName>
    <definedName name="WheelSEC" localSheetId="32">'B12 POL&amp;CNG Tankers 28T'!#REF!</definedName>
    <definedName name="WheelSEC" localSheetId="38">'B13 Non POL Tankers 28T'!#REF!</definedName>
    <definedName name="WheelSEC" localSheetId="39">'B14 LPG Tankers 40T'!#REF!</definedName>
    <definedName name="WheelSEC" localSheetId="22">'B2 - TCO ML 28T'!#REF!</definedName>
    <definedName name="WheelSEC" localSheetId="23">'B3 - TCO ML 48T '!#REF!</definedName>
    <definedName name="WheelSEC" localSheetId="24">'B4 - TCO PL&amp;FMCG 19T '!#REF!</definedName>
    <definedName name="WheelSEC" localSheetId="25">'B5 - TCO PL&amp;FMCG 28T '!#REF!</definedName>
    <definedName name="WheelSEC" localSheetId="26">'B6 Perishables 15T'!#REF!</definedName>
    <definedName name="WheelSEC" localSheetId="27">'B7 C&amp;M 28Tip'!#REF!</definedName>
    <definedName name="WheelSEC" localSheetId="28">'B8 C&amp;M 35Tip'!#REF!</definedName>
    <definedName name="WheelSEC" localSheetId="29">'B9 Cement 48T Rigid '!#REF!</definedName>
    <definedName name="WheelSEC" localSheetId="33">'TCO 19T B2'!$B$60</definedName>
    <definedName name="WheelSEC" localSheetId="34">'TCO 28T B3'!$B$60</definedName>
    <definedName name="WheelSEC" localSheetId="36">'TCO 28T B5'!$B$60</definedName>
    <definedName name="WheelSEC" localSheetId="37">'TCO 40T B6'!$B$60</definedName>
    <definedName name="WheelSEC" localSheetId="35">'TCO 55T B4'!$B$61</definedName>
  </definedNames>
  <calcPr calcId="191028" iterate="1" iterateCount="999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85" l="1"/>
  <c r="M19" i="85"/>
  <c r="N19" i="85"/>
  <c r="O19" i="85"/>
  <c r="P19" i="85"/>
  <c r="Q19" i="85"/>
  <c r="R19" i="85"/>
  <c r="S19" i="85"/>
  <c r="L20" i="85"/>
  <c r="M20" i="85"/>
  <c r="N20" i="85"/>
  <c r="O20" i="85"/>
  <c r="P20" i="85"/>
  <c r="Q20" i="85"/>
  <c r="R20" i="85"/>
  <c r="S20" i="85"/>
  <c r="L21" i="85"/>
  <c r="M21" i="85"/>
  <c r="N21" i="85"/>
  <c r="O21" i="85"/>
  <c r="P21" i="85"/>
  <c r="Q21" i="85"/>
  <c r="R21" i="85"/>
  <c r="S21" i="85"/>
  <c r="L22" i="85"/>
  <c r="M22" i="85"/>
  <c r="N22" i="85"/>
  <c r="O22" i="85"/>
  <c r="P22" i="85"/>
  <c r="Q22" i="85"/>
  <c r="R22" i="85"/>
  <c r="S22" i="85"/>
  <c r="L23" i="85"/>
  <c r="M23" i="85"/>
  <c r="N23" i="85"/>
  <c r="O23" i="85"/>
  <c r="P23" i="85"/>
  <c r="Q23" i="85"/>
  <c r="R23" i="85"/>
  <c r="S23" i="85"/>
  <c r="L24" i="85"/>
  <c r="M24" i="85"/>
  <c r="N24" i="85"/>
  <c r="O24" i="85"/>
  <c r="P24" i="85"/>
  <c r="Q24" i="85"/>
  <c r="R24" i="85"/>
  <c r="S24" i="85"/>
  <c r="L25" i="85"/>
  <c r="M25" i="85"/>
  <c r="N25" i="85"/>
  <c r="O25" i="85"/>
  <c r="P25" i="85"/>
  <c r="Q25" i="85"/>
  <c r="R25" i="85"/>
  <c r="S25" i="85"/>
  <c r="L26" i="85"/>
  <c r="M26" i="85"/>
  <c r="N26" i="85"/>
  <c r="O26" i="85"/>
  <c r="P26" i="85"/>
  <c r="Q26" i="85"/>
  <c r="R26" i="85"/>
  <c r="S26" i="85"/>
  <c r="L27" i="85"/>
  <c r="M27" i="85"/>
  <c r="N27" i="85"/>
  <c r="O27" i="85"/>
  <c r="P27" i="85"/>
  <c r="Q27" i="85"/>
  <c r="R27" i="85"/>
  <c r="S27" i="85"/>
  <c r="L28" i="85"/>
  <c r="M28" i="85"/>
  <c r="N28" i="85"/>
  <c r="O28" i="85"/>
  <c r="P28" i="85"/>
  <c r="Q28" i="85"/>
  <c r="R28" i="85"/>
  <c r="S28" i="85"/>
  <c r="L29" i="85"/>
  <c r="M29" i="85"/>
  <c r="N29" i="85"/>
  <c r="O29" i="85"/>
  <c r="P29" i="85"/>
  <c r="Q29" i="85"/>
  <c r="R29" i="85"/>
  <c r="S29" i="85"/>
  <c r="L30" i="85"/>
  <c r="M30" i="85"/>
  <c r="N30" i="85"/>
  <c r="O30" i="85"/>
  <c r="P30" i="85"/>
  <c r="Q30" i="85"/>
  <c r="R30" i="85"/>
  <c r="S30" i="85"/>
  <c r="L31" i="85"/>
  <c r="M31" i="85"/>
  <c r="N31" i="85"/>
  <c r="O31" i="85"/>
  <c r="P31" i="85"/>
  <c r="Q31" i="85"/>
  <c r="R31" i="85"/>
  <c r="S31" i="85"/>
  <c r="L32" i="85"/>
  <c r="M32" i="85"/>
  <c r="N32" i="85"/>
  <c r="O32" i="85"/>
  <c r="P32" i="85"/>
  <c r="Q32" i="85"/>
  <c r="R32" i="85"/>
  <c r="S32" i="85"/>
  <c r="L33" i="85"/>
  <c r="M33" i="85"/>
  <c r="N33" i="85"/>
  <c r="O33" i="85"/>
  <c r="P33" i="85"/>
  <c r="Q33" i="85"/>
  <c r="R33" i="85"/>
  <c r="S33" i="85"/>
  <c r="L34" i="85"/>
  <c r="M34" i="85"/>
  <c r="N34" i="85"/>
  <c r="O34" i="85"/>
  <c r="P34" i="85"/>
  <c r="Q34" i="85"/>
  <c r="R34" i="85"/>
  <c r="S34" i="85"/>
  <c r="L35" i="85"/>
  <c r="M35" i="85"/>
  <c r="N35" i="85"/>
  <c r="O35" i="85"/>
  <c r="P35" i="85"/>
  <c r="Q35" i="85"/>
  <c r="R35" i="85"/>
  <c r="S35" i="85"/>
  <c r="L36" i="85"/>
  <c r="M36" i="85"/>
  <c r="N36" i="85"/>
  <c r="O36" i="85"/>
  <c r="P36" i="85"/>
  <c r="Q36" i="85"/>
  <c r="R36" i="85"/>
  <c r="S36" i="85"/>
  <c r="L37" i="85"/>
  <c r="M37" i="85"/>
  <c r="N37" i="85"/>
  <c r="O37" i="85"/>
  <c r="P37" i="85"/>
  <c r="Q37" i="85"/>
  <c r="R37" i="85"/>
  <c r="S37" i="85"/>
  <c r="L38" i="85"/>
  <c r="M38" i="85"/>
  <c r="N38" i="85"/>
  <c r="O38" i="85"/>
  <c r="P38" i="85"/>
  <c r="Q38" i="85"/>
  <c r="R38" i="85"/>
  <c r="S38" i="85"/>
  <c r="L39" i="85"/>
  <c r="M39" i="85"/>
  <c r="N39" i="85"/>
  <c r="O39" i="85"/>
  <c r="P39" i="85"/>
  <c r="Q39" i="85"/>
  <c r="R39" i="85"/>
  <c r="S39" i="85"/>
  <c r="L40" i="85"/>
  <c r="M40" i="85"/>
  <c r="N40" i="85"/>
  <c r="O40" i="85"/>
  <c r="P40" i="85"/>
  <c r="Q40" i="85"/>
  <c r="R40" i="85"/>
  <c r="S40" i="85"/>
  <c r="L41" i="85"/>
  <c r="M41" i="85"/>
  <c r="N41" i="85"/>
  <c r="O41" i="85"/>
  <c r="P41" i="85"/>
  <c r="Q41" i="85"/>
  <c r="R41" i="85"/>
  <c r="S41" i="85"/>
  <c r="L42" i="85"/>
  <c r="M42" i="85"/>
  <c r="N42" i="85"/>
  <c r="O42" i="85"/>
  <c r="P42" i="85"/>
  <c r="Q42" i="85"/>
  <c r="R42" i="85"/>
  <c r="S42" i="85"/>
  <c r="L43" i="85"/>
  <c r="M43" i="85"/>
  <c r="N43" i="85"/>
  <c r="O43" i="85"/>
  <c r="P43" i="85"/>
  <c r="Q43" i="85"/>
  <c r="R43" i="85"/>
  <c r="S43" i="85"/>
  <c r="L44" i="85"/>
  <c r="M44" i="85"/>
  <c r="N44" i="85"/>
  <c r="O44" i="85"/>
  <c r="P44" i="85"/>
  <c r="Q44" i="85"/>
  <c r="R44" i="85"/>
  <c r="S44" i="85"/>
  <c r="L45" i="85"/>
  <c r="M45" i="85"/>
  <c r="N45" i="85"/>
  <c r="O45" i="85"/>
  <c r="P45" i="85"/>
  <c r="Q45" i="85"/>
  <c r="R45" i="85"/>
  <c r="S45" i="85"/>
  <c r="L46" i="85"/>
  <c r="M46" i="85"/>
  <c r="N46" i="85"/>
  <c r="O46" i="85"/>
  <c r="P46" i="85"/>
  <c r="Q46" i="85"/>
  <c r="R46" i="85"/>
  <c r="S46" i="85"/>
  <c r="L47" i="85"/>
  <c r="M47" i="85"/>
  <c r="N47" i="85"/>
  <c r="O47" i="85"/>
  <c r="P47" i="85"/>
  <c r="Q47" i="85"/>
  <c r="R47" i="85"/>
  <c r="S47" i="85"/>
  <c r="L48" i="85"/>
  <c r="M48" i="85"/>
  <c r="N48" i="85"/>
  <c r="O48" i="85"/>
  <c r="P48" i="85"/>
  <c r="Q48" i="85"/>
  <c r="R48" i="85"/>
  <c r="S48" i="85"/>
  <c r="M18" i="85"/>
  <c r="N18" i="85"/>
  <c r="O18" i="85"/>
  <c r="P18" i="85"/>
  <c r="Q18" i="85"/>
  <c r="R18" i="85"/>
  <c r="S18" i="85"/>
  <c r="K18" i="85"/>
  <c r="L18" i="85"/>
  <c r="AG18" i="14"/>
  <c r="AF18" i="14"/>
  <c r="B49" i="23"/>
  <c r="CC118" i="2"/>
  <c r="CB118" i="2"/>
  <c r="CA118" i="2"/>
  <c r="CC96" i="2"/>
  <c r="CB96" i="2"/>
  <c r="CA96" i="2"/>
  <c r="BP118" i="2"/>
  <c r="BO118" i="2"/>
  <c r="BN118" i="2"/>
  <c r="BP96" i="2"/>
  <c r="BO96" i="2"/>
  <c r="BN96" i="2"/>
  <c r="F3" i="45" l="1"/>
  <c r="G3" i="45" s="1"/>
  <c r="H3" i="45" s="1"/>
  <c r="I3" i="45" s="1"/>
  <c r="J3" i="45" s="1"/>
  <c r="K3" i="45" s="1"/>
  <c r="L3" i="45" s="1"/>
  <c r="M3" i="45" s="1"/>
  <c r="N3" i="45" s="1"/>
  <c r="O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AB3" i="45" s="1"/>
  <c r="AC3" i="45" s="1"/>
  <c r="AD3" i="45" s="1"/>
  <c r="AE3" i="45" s="1"/>
  <c r="AF3" i="45" s="1"/>
  <c r="AG3" i="45" s="1"/>
  <c r="E3" i="45"/>
  <c r="S8" i="15" l="1"/>
  <c r="S7" i="15"/>
  <c r="S4" i="15"/>
  <c r="S3" i="15"/>
  <c r="S2" i="15"/>
  <c r="O28" i="22"/>
  <c r="P4" i="22"/>
  <c r="P3" i="22" s="1"/>
  <c r="P5" i="22"/>
  <c r="P6" i="22"/>
  <c r="P7" i="22"/>
  <c r="N3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F169" i="78"/>
  <c r="F157" i="78"/>
  <c r="F145" i="78"/>
  <c r="F133" i="78"/>
  <c r="F121" i="78"/>
  <c r="F109" i="78"/>
  <c r="F97" i="78"/>
  <c r="F85" i="78"/>
  <c r="F73" i="78"/>
  <c r="F61" i="78"/>
  <c r="F49" i="78"/>
  <c r="F37" i="78"/>
  <c r="F25" i="78"/>
  <c r="F13" i="78"/>
  <c r="BI23" i="2"/>
  <c r="C7" i="45"/>
  <c r="G6" i="15" l="1"/>
  <c r="G5" i="15"/>
  <c r="G4" i="15"/>
  <c r="G3" i="15"/>
  <c r="G2" i="15"/>
  <c r="E4" i="15"/>
  <c r="E3" i="15"/>
  <c r="E2" i="15"/>
  <c r="Q23" i="4"/>
  <c r="P23" i="4"/>
  <c r="O23" i="4"/>
  <c r="Q155" i="4"/>
  <c r="P155" i="4"/>
  <c r="O155" i="4"/>
  <c r="Q144" i="4"/>
  <c r="P144" i="4"/>
  <c r="O144" i="4"/>
  <c r="Q133" i="4"/>
  <c r="P133" i="4"/>
  <c r="O133" i="4"/>
  <c r="Q122" i="4"/>
  <c r="P122" i="4"/>
  <c r="O122" i="4"/>
  <c r="Q111" i="4"/>
  <c r="P111" i="4"/>
  <c r="O111" i="4"/>
  <c r="Q100" i="4"/>
  <c r="P100" i="4"/>
  <c r="O100" i="4"/>
  <c r="Q89" i="4"/>
  <c r="P89" i="4"/>
  <c r="O89" i="4"/>
  <c r="Q78" i="4"/>
  <c r="P78" i="4"/>
  <c r="O78" i="4"/>
  <c r="Q67" i="4"/>
  <c r="P67" i="4"/>
  <c r="O67" i="4"/>
  <c r="Q56" i="4"/>
  <c r="P56" i="4"/>
  <c r="O56" i="4"/>
  <c r="Q45" i="4"/>
  <c r="P45" i="4"/>
  <c r="O45" i="4"/>
  <c r="Q34" i="4"/>
  <c r="P34" i="4"/>
  <c r="O34" i="4"/>
  <c r="Q12" i="4"/>
  <c r="P12" i="4"/>
  <c r="O12" i="4"/>
  <c r="CJ15" i="2"/>
  <c r="CI15" i="2"/>
  <c r="CH15" i="2"/>
  <c r="CJ158" i="2"/>
  <c r="CI158" i="2"/>
  <c r="CH158" i="2"/>
  <c r="CJ147" i="2"/>
  <c r="CI147" i="2"/>
  <c r="CH147" i="2"/>
  <c r="CJ136" i="2"/>
  <c r="CI136" i="2"/>
  <c r="CH136" i="2"/>
  <c r="CJ125" i="2"/>
  <c r="CI125" i="2"/>
  <c r="CH125" i="2"/>
  <c r="CJ114" i="2"/>
  <c r="CI114" i="2"/>
  <c r="CH114" i="2"/>
  <c r="CJ103" i="2"/>
  <c r="CI103" i="2"/>
  <c r="CH103" i="2"/>
  <c r="CJ92" i="2"/>
  <c r="CI92" i="2"/>
  <c r="CH92" i="2"/>
  <c r="CJ81" i="2"/>
  <c r="CI81" i="2"/>
  <c r="CH81" i="2"/>
  <c r="CJ70" i="2"/>
  <c r="CI70" i="2"/>
  <c r="CH70" i="2"/>
  <c r="CJ59" i="2"/>
  <c r="CI59" i="2"/>
  <c r="CH59" i="2"/>
  <c r="CJ48" i="2"/>
  <c r="CI48" i="2"/>
  <c r="CH48" i="2"/>
  <c r="CJ37" i="2"/>
  <c r="CI37" i="2"/>
  <c r="CH37" i="2"/>
  <c r="CI26" i="2"/>
  <c r="CJ26" i="2"/>
  <c r="CH26" i="2"/>
  <c r="CF158" i="2"/>
  <c r="CE158" i="2"/>
  <c r="CD158" i="2"/>
  <c r="CC158" i="2"/>
  <c r="CB158" i="2"/>
  <c r="CD157" i="2"/>
  <c r="CC157" i="2"/>
  <c r="CB157" i="2"/>
  <c r="CF156" i="2"/>
  <c r="CE156" i="2"/>
  <c r="CB156" i="2"/>
  <c r="CF147" i="2"/>
  <c r="CE147" i="2"/>
  <c r="CD147" i="2"/>
  <c r="CC147" i="2"/>
  <c r="CB147" i="2"/>
  <c r="CD146" i="2"/>
  <c r="CC146" i="2"/>
  <c r="CB146" i="2"/>
  <c r="CF145" i="2"/>
  <c r="CE145" i="2"/>
  <c r="CB145" i="2"/>
  <c r="CF136" i="2"/>
  <c r="CE136" i="2"/>
  <c r="CD136" i="2"/>
  <c r="CC136" i="2"/>
  <c r="CB136" i="2"/>
  <c r="CD135" i="2"/>
  <c r="CC135" i="2"/>
  <c r="CB135" i="2"/>
  <c r="CF134" i="2"/>
  <c r="CE134" i="2"/>
  <c r="CB134" i="2"/>
  <c r="CF125" i="2"/>
  <c r="CE125" i="2"/>
  <c r="CD125" i="2"/>
  <c r="CC125" i="2"/>
  <c r="CB125" i="2"/>
  <c r="CD124" i="2"/>
  <c r="CC124" i="2"/>
  <c r="CB124" i="2"/>
  <c r="CF123" i="2"/>
  <c r="CE123" i="2"/>
  <c r="CB123" i="2"/>
  <c r="CF114" i="2"/>
  <c r="CE114" i="2"/>
  <c r="CD114" i="2"/>
  <c r="CC114" i="2"/>
  <c r="CB114" i="2"/>
  <c r="CD113" i="2"/>
  <c r="CC113" i="2"/>
  <c r="CB113" i="2"/>
  <c r="CF112" i="2"/>
  <c r="CE112" i="2"/>
  <c r="CB112" i="2"/>
  <c r="CF103" i="2"/>
  <c r="CE103" i="2"/>
  <c r="CD103" i="2"/>
  <c r="CC103" i="2"/>
  <c r="CB103" i="2"/>
  <c r="CD102" i="2"/>
  <c r="CC102" i="2"/>
  <c r="CB102" i="2"/>
  <c r="CF101" i="2"/>
  <c r="CE101" i="2"/>
  <c r="CB101" i="2"/>
  <c r="CF92" i="2"/>
  <c r="CE92" i="2"/>
  <c r="CD92" i="2"/>
  <c r="CC92" i="2"/>
  <c r="CB92" i="2"/>
  <c r="CD91" i="2"/>
  <c r="CC91" i="2"/>
  <c r="CB91" i="2"/>
  <c r="CF90" i="2"/>
  <c r="CE90" i="2"/>
  <c r="CB90" i="2"/>
  <c r="CA90" i="2"/>
  <c r="CF81" i="2"/>
  <c r="CE81" i="2"/>
  <c r="CD81" i="2"/>
  <c r="CC81" i="2"/>
  <c r="CB81" i="2"/>
  <c r="CD80" i="2"/>
  <c r="CC80" i="2"/>
  <c r="CB80" i="2"/>
  <c r="CF79" i="2"/>
  <c r="CE79" i="2"/>
  <c r="CB79" i="2"/>
  <c r="CF70" i="2"/>
  <c r="CE70" i="2"/>
  <c r="CD70" i="2"/>
  <c r="CC70" i="2"/>
  <c r="CB70" i="2"/>
  <c r="CD69" i="2"/>
  <c r="CC69" i="2"/>
  <c r="CB69" i="2"/>
  <c r="CF68" i="2"/>
  <c r="CE68" i="2"/>
  <c r="CB68" i="2"/>
  <c r="CF59" i="2"/>
  <c r="CE59" i="2"/>
  <c r="CD59" i="2"/>
  <c r="CC59" i="2"/>
  <c r="CB59" i="2"/>
  <c r="CD58" i="2"/>
  <c r="CC58" i="2"/>
  <c r="CB58" i="2"/>
  <c r="CF57" i="2"/>
  <c r="CE57" i="2"/>
  <c r="CB57" i="2"/>
  <c r="CF48" i="2"/>
  <c r="CE48" i="2"/>
  <c r="CD48" i="2"/>
  <c r="CC48" i="2"/>
  <c r="CB48" i="2"/>
  <c r="CD47" i="2"/>
  <c r="CC47" i="2"/>
  <c r="CB47" i="2"/>
  <c r="CF46" i="2"/>
  <c r="CE46" i="2"/>
  <c r="CB46" i="2"/>
  <c r="CF37" i="2"/>
  <c r="CE37" i="2"/>
  <c r="CD37" i="2"/>
  <c r="CC37" i="2"/>
  <c r="CB37" i="2"/>
  <c r="CD36" i="2"/>
  <c r="CC36" i="2"/>
  <c r="CB36" i="2"/>
  <c r="CF35" i="2"/>
  <c r="CE35" i="2"/>
  <c r="CB35" i="2"/>
  <c r="CF26" i="2"/>
  <c r="CE26" i="2"/>
  <c r="CD26" i="2"/>
  <c r="CC26" i="2"/>
  <c r="CB26" i="2"/>
  <c r="CD25" i="2"/>
  <c r="CC25" i="2"/>
  <c r="CB25" i="2"/>
  <c r="CF24" i="2"/>
  <c r="CE24" i="2"/>
  <c r="CB24" i="2"/>
  <c r="CB15" i="2"/>
  <c r="CC15" i="2"/>
  <c r="CD15" i="2"/>
  <c r="CE15" i="2"/>
  <c r="CF15" i="2"/>
  <c r="CB14" i="2"/>
  <c r="CC14" i="2"/>
  <c r="CD14" i="2"/>
  <c r="CB13" i="2"/>
  <c r="CE13" i="2"/>
  <c r="CF13" i="2"/>
  <c r="CM1" i="2"/>
  <c r="BN14" i="2"/>
  <c r="BN47" i="2" s="1"/>
  <c r="CA47" i="2" s="1"/>
  <c r="BZ48" i="2" s="1"/>
  <c r="BN68" i="2"/>
  <c r="BN79" i="2" s="1"/>
  <c r="BN90" i="2" s="1"/>
  <c r="BN69" i="2"/>
  <c r="CA69" i="2" s="1"/>
  <c r="BZ70" i="2" s="1"/>
  <c r="BN13" i="2"/>
  <c r="BN46" i="2" s="1"/>
  <c r="CA46" i="2" s="1"/>
  <c r="BN15" i="2"/>
  <c r="BN26" i="2" s="1"/>
  <c r="BN37" i="2" s="1"/>
  <c r="BN48" i="2" s="1"/>
  <c r="BN59" i="2" s="1"/>
  <c r="BN70" i="2" s="1"/>
  <c r="BN81" i="2" s="1"/>
  <c r="BN92" i="2" s="1"/>
  <c r="BN103" i="2" s="1"/>
  <c r="BN114" i="2" s="1"/>
  <c r="BN125" i="2" s="1"/>
  <c r="BN136" i="2" s="1"/>
  <c r="BN147" i="2" s="1"/>
  <c r="BN158" i="2" s="1"/>
  <c r="CA158" i="2" s="1"/>
  <c r="CA125" i="2" l="1"/>
  <c r="BX125" i="2" s="1"/>
  <c r="CA136" i="2"/>
  <c r="BY136" i="2" s="1"/>
  <c r="CA26" i="2"/>
  <c r="BV26" i="2" s="1"/>
  <c r="CA37" i="2"/>
  <c r="BX37" i="2" s="1"/>
  <c r="CA70" i="2"/>
  <c r="BX70" i="2" s="1"/>
  <c r="CA81" i="2"/>
  <c r="BW81" i="2" s="1"/>
  <c r="CA68" i="2"/>
  <c r="BW158" i="2"/>
  <c r="BV158" i="2"/>
  <c r="BY158" i="2"/>
  <c r="BX158" i="2"/>
  <c r="CA103" i="2"/>
  <c r="CA59" i="2"/>
  <c r="CA114" i="2"/>
  <c r="BW70" i="2"/>
  <c r="BV70" i="2"/>
  <c r="CA147" i="2"/>
  <c r="CA15" i="2"/>
  <c r="CA92" i="2"/>
  <c r="CA48" i="2"/>
  <c r="CA14" i="2"/>
  <c r="BZ15" i="2" s="1"/>
  <c r="CA13" i="2"/>
  <c r="CA79" i="2"/>
  <c r="BN36" i="2"/>
  <c r="BN25" i="2"/>
  <c r="BN24" i="2"/>
  <c r="CA24" i="2" s="1"/>
  <c r="B2" i="15"/>
  <c r="X7" i="15" s="1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Y26" i="2" l="1"/>
  <c r="BW136" i="2"/>
  <c r="BW125" i="2"/>
  <c r="BY125" i="2"/>
  <c r="BY70" i="2"/>
  <c r="BW37" i="2"/>
  <c r="BW26" i="2"/>
  <c r="BV37" i="2"/>
  <c r="BX26" i="2"/>
  <c r="BY37" i="2"/>
  <c r="BV136" i="2"/>
  <c r="BX136" i="2"/>
  <c r="BV81" i="2"/>
  <c r="BX81" i="2"/>
  <c r="BY81" i="2"/>
  <c r="BV125" i="2"/>
  <c r="BY103" i="2"/>
  <c r="BX103" i="2"/>
  <c r="BW103" i="2"/>
  <c r="BV103" i="2"/>
  <c r="BY48" i="2"/>
  <c r="BX48" i="2"/>
  <c r="BW48" i="2"/>
  <c r="BV48" i="2"/>
  <c r="BV15" i="2"/>
  <c r="BW15" i="2"/>
  <c r="BY15" i="2"/>
  <c r="BX15" i="2"/>
  <c r="BW92" i="2"/>
  <c r="BY92" i="2"/>
  <c r="BX92" i="2"/>
  <c r="BV92" i="2"/>
  <c r="BY147" i="2"/>
  <c r="BX147" i="2"/>
  <c r="BW147" i="2"/>
  <c r="BV147" i="2"/>
  <c r="BY114" i="2"/>
  <c r="BX114" i="2"/>
  <c r="BW114" i="2"/>
  <c r="BV114" i="2"/>
  <c r="BY59" i="2"/>
  <c r="BX59" i="2"/>
  <c r="BW59" i="2"/>
  <c r="BV59" i="2"/>
  <c r="BN102" i="2"/>
  <c r="CA102" i="2" s="1"/>
  <c r="BZ103" i="2" s="1"/>
  <c r="CA36" i="2"/>
  <c r="BZ37" i="2" s="1"/>
  <c r="K169" i="78"/>
  <c r="K145" i="78"/>
  <c r="K121" i="78"/>
  <c r="K97" i="78"/>
  <c r="K109" i="78"/>
  <c r="K37" i="78"/>
  <c r="K25" i="78"/>
  <c r="K157" i="78"/>
  <c r="K85" i="78"/>
  <c r="K73" i="78"/>
  <c r="K133" i="78"/>
  <c r="K13" i="78"/>
  <c r="K61" i="78"/>
  <c r="K49" i="78"/>
  <c r="BN58" i="2"/>
  <c r="CA25" i="2"/>
  <c r="BZ26" i="2" s="1"/>
  <c r="BN80" i="2"/>
  <c r="CA80" i="2" s="1"/>
  <c r="BZ81" i="2" s="1"/>
  <c r="BN35" i="2"/>
  <c r="BN57" i="2"/>
  <c r="X8" i="15"/>
  <c r="H145" i="78" l="1"/>
  <c r="H85" i="78"/>
  <c r="H169" i="78"/>
  <c r="H25" i="78"/>
  <c r="H109" i="78"/>
  <c r="H49" i="78"/>
  <c r="H133" i="78"/>
  <c r="H73" i="78"/>
  <c r="H157" i="78"/>
  <c r="H13" i="78"/>
  <c r="H97" i="78"/>
  <c r="H37" i="78"/>
  <c r="H121" i="78"/>
  <c r="H61" i="78"/>
  <c r="I85" i="78"/>
  <c r="I169" i="78"/>
  <c r="I25" i="78"/>
  <c r="I109" i="78"/>
  <c r="I49" i="78"/>
  <c r="I133" i="78"/>
  <c r="I73" i="78"/>
  <c r="I157" i="78"/>
  <c r="I13" i="78"/>
  <c r="I97" i="78"/>
  <c r="I37" i="78"/>
  <c r="I121" i="78"/>
  <c r="I145" i="78"/>
  <c r="I61" i="78"/>
  <c r="J169" i="78"/>
  <c r="J25" i="78"/>
  <c r="J109" i="78"/>
  <c r="J49" i="78"/>
  <c r="J133" i="78"/>
  <c r="J73" i="78"/>
  <c r="J13" i="78"/>
  <c r="J157" i="78"/>
  <c r="J97" i="78"/>
  <c r="J37" i="78"/>
  <c r="J121" i="78"/>
  <c r="J61" i="78"/>
  <c r="J145" i="78"/>
  <c r="J85" i="78"/>
  <c r="G61" i="78"/>
  <c r="G145" i="78"/>
  <c r="G85" i="78"/>
  <c r="G169" i="78"/>
  <c r="G25" i="78"/>
  <c r="G109" i="78"/>
  <c r="G49" i="78"/>
  <c r="G133" i="78"/>
  <c r="G73" i="78"/>
  <c r="G157" i="78"/>
  <c r="G13" i="78"/>
  <c r="G97" i="78"/>
  <c r="G37" i="78"/>
  <c r="G121" i="78"/>
  <c r="BN135" i="2"/>
  <c r="CA58" i="2"/>
  <c r="BZ59" i="2" s="1"/>
  <c r="BN134" i="2"/>
  <c r="CA57" i="2"/>
  <c r="BN101" i="2"/>
  <c r="CA35" i="2"/>
  <c r="BN91" i="2"/>
  <c r="CA91" i="2" s="1"/>
  <c r="BZ92" i="2" s="1"/>
  <c r="C18" i="45"/>
  <c r="M5" i="82"/>
  <c r="N13" i="82"/>
  <c r="K13" i="82"/>
  <c r="H13" i="82"/>
  <c r="AF12" i="82"/>
  <c r="AC12" i="82"/>
  <c r="AC5" i="82" s="1"/>
  <c r="Z12" i="82"/>
  <c r="Z5" i="82" s="1"/>
  <c r="T12" i="82"/>
  <c r="T5" i="82" s="1"/>
  <c r="Q12" i="82"/>
  <c r="N12" i="82"/>
  <c r="N5" i="82" s="1"/>
  <c r="H12" i="82"/>
  <c r="H5" i="82" s="1"/>
  <c r="E12" i="82"/>
  <c r="AK9" i="82"/>
  <c r="AJ9" i="82"/>
  <c r="AI9" i="82"/>
  <c r="AH9" i="82"/>
  <c r="D9" i="82" s="1"/>
  <c r="D21" i="82" s="1"/>
  <c r="AE20" i="81"/>
  <c r="AG13" i="82" s="1"/>
  <c r="S20" i="81"/>
  <c r="U13" i="82" s="1"/>
  <c r="Q20" i="81"/>
  <c r="S13" i="82" s="1"/>
  <c r="P20" i="81"/>
  <c r="R13" i="82" s="1"/>
  <c r="O20" i="81"/>
  <c r="Q13" i="82" s="1"/>
  <c r="N20" i="81"/>
  <c r="P13" i="82" s="1"/>
  <c r="M20" i="81"/>
  <c r="O13" i="82" s="1"/>
  <c r="L20" i="81"/>
  <c r="K20" i="81"/>
  <c r="M13" i="82" s="1"/>
  <c r="J20" i="81"/>
  <c r="L13" i="82" s="1"/>
  <c r="I20" i="81"/>
  <c r="H20" i="81"/>
  <c r="J13" i="82" s="1"/>
  <c r="G20" i="81"/>
  <c r="I13" i="82" s="1"/>
  <c r="F20" i="81"/>
  <c r="E20" i="81"/>
  <c r="G13" i="82" s="1"/>
  <c r="D20" i="81"/>
  <c r="F13" i="82" s="1"/>
  <c r="C20" i="81"/>
  <c r="E13" i="82" s="1"/>
  <c r="B20" i="81"/>
  <c r="D13" i="82" s="1"/>
  <c r="AE19" i="81"/>
  <c r="AD19" i="81"/>
  <c r="AC19" i="81"/>
  <c r="AB19" i="81"/>
  <c r="AA19" i="81"/>
  <c r="Z19" i="81"/>
  <c r="Y19" i="81"/>
  <c r="X19" i="81"/>
  <c r="W19" i="81"/>
  <c r="V19" i="81"/>
  <c r="U19" i="81"/>
  <c r="T19" i="81"/>
  <c r="S19" i="81"/>
  <c r="R19" i="81"/>
  <c r="Q19" i="81"/>
  <c r="P19" i="81"/>
  <c r="O19" i="81"/>
  <c r="N19" i="81"/>
  <c r="M19" i="81"/>
  <c r="L19" i="81"/>
  <c r="K19" i="81"/>
  <c r="J19" i="81"/>
  <c r="I19" i="81"/>
  <c r="H19" i="81"/>
  <c r="G19" i="81"/>
  <c r="F19" i="81"/>
  <c r="E19" i="81"/>
  <c r="D19" i="81"/>
  <c r="C19" i="81"/>
  <c r="B19" i="81"/>
  <c r="AE18" i="81"/>
  <c r="AG12" i="82" s="1"/>
  <c r="AG5" i="82" s="1"/>
  <c r="AD18" i="81"/>
  <c r="AC18" i="81"/>
  <c r="AE12" i="82" s="1"/>
  <c r="AE5" i="82" s="1"/>
  <c r="AB18" i="81"/>
  <c r="AD12" i="82" s="1"/>
  <c r="AD5" i="82" s="1"/>
  <c r="AA18" i="81"/>
  <c r="Z18" i="81"/>
  <c r="AB12" i="82" s="1"/>
  <c r="Y18" i="81"/>
  <c r="X18" i="81"/>
  <c r="W18" i="81"/>
  <c r="Y12" i="82" s="1"/>
  <c r="V18" i="81"/>
  <c r="U18" i="81"/>
  <c r="W12" i="82" s="1"/>
  <c r="T18" i="81"/>
  <c r="V12" i="82" s="1"/>
  <c r="S18" i="81"/>
  <c r="U12" i="82" s="1"/>
  <c r="R18" i="81"/>
  <c r="Q18" i="81"/>
  <c r="S12" i="82" s="1"/>
  <c r="S5" i="82" s="1"/>
  <c r="P18" i="81"/>
  <c r="R12" i="82" s="1"/>
  <c r="R5" i="82" s="1"/>
  <c r="O18" i="81"/>
  <c r="N18" i="81"/>
  <c r="P12" i="82" s="1"/>
  <c r="P5" i="82" s="1"/>
  <c r="M18" i="81"/>
  <c r="L18" i="81"/>
  <c r="K18" i="81"/>
  <c r="M12" i="82" s="1"/>
  <c r="J18" i="81"/>
  <c r="I18" i="81"/>
  <c r="K12" i="82" s="1"/>
  <c r="K5" i="82" s="1"/>
  <c r="H18" i="81"/>
  <c r="J12" i="82" s="1"/>
  <c r="J5" i="82" s="1"/>
  <c r="G18" i="81"/>
  <c r="I12" i="82" s="1"/>
  <c r="I5" i="82" s="1"/>
  <c r="F18" i="81"/>
  <c r="E18" i="81"/>
  <c r="G12" i="82" s="1"/>
  <c r="G5" i="82" s="1"/>
  <c r="D18" i="81"/>
  <c r="F12" i="82" s="1"/>
  <c r="F5" i="82" s="1"/>
  <c r="C18" i="81"/>
  <c r="B18" i="81"/>
  <c r="D12" i="82" s="1"/>
  <c r="D5" i="82" s="1"/>
  <c r="AE15" i="81"/>
  <c r="AD15" i="81"/>
  <c r="AD20" i="81" s="1"/>
  <c r="AF13" i="82" s="1"/>
  <c r="AC15" i="81"/>
  <c r="AC20" i="81" s="1"/>
  <c r="AE13" i="82" s="1"/>
  <c r="AB15" i="81"/>
  <c r="AB20" i="81" s="1"/>
  <c r="AD13" i="82" s="1"/>
  <c r="AA15" i="81"/>
  <c r="AA20" i="81" s="1"/>
  <c r="AC13" i="82" s="1"/>
  <c r="Z15" i="81"/>
  <c r="Z20" i="81" s="1"/>
  <c r="AB13" i="82" s="1"/>
  <c r="Y15" i="81"/>
  <c r="Y20" i="81" s="1"/>
  <c r="AA13" i="82" s="1"/>
  <c r="X15" i="81"/>
  <c r="X20" i="81" s="1"/>
  <c r="Z13" i="82" s="1"/>
  <c r="W15" i="81"/>
  <c r="W20" i="81" s="1"/>
  <c r="Y13" i="82" s="1"/>
  <c r="V15" i="81"/>
  <c r="V20" i="81" s="1"/>
  <c r="X13" i="82" s="1"/>
  <c r="U15" i="81"/>
  <c r="U20" i="81" s="1"/>
  <c r="W13" i="82" s="1"/>
  <c r="T15" i="81"/>
  <c r="T20" i="81" s="1"/>
  <c r="V13" i="82" s="1"/>
  <c r="S15" i="81"/>
  <c r="R15" i="81"/>
  <c r="R20" i="81" s="1"/>
  <c r="T13" i="82" s="1"/>
  <c r="Z44" i="80"/>
  <c r="V44" i="80"/>
  <c r="N44" i="80"/>
  <c r="J44" i="80"/>
  <c r="B44" i="80"/>
  <c r="AE43" i="80"/>
  <c r="AE44" i="80" s="1"/>
  <c r="AD43" i="80"/>
  <c r="AD44" i="80" s="1"/>
  <c r="AC43" i="80"/>
  <c r="AC44" i="80" s="1"/>
  <c r="AB43" i="80"/>
  <c r="AB44" i="80" s="1"/>
  <c r="AA43" i="80"/>
  <c r="AA44" i="80" s="1"/>
  <c r="Z43" i="80"/>
  <c r="Y43" i="80"/>
  <c r="Y44" i="80" s="1"/>
  <c r="X43" i="80"/>
  <c r="X44" i="80" s="1"/>
  <c r="W43" i="80"/>
  <c r="W44" i="80" s="1"/>
  <c r="V43" i="80"/>
  <c r="U43" i="80"/>
  <c r="U44" i="80" s="1"/>
  <c r="T43" i="80"/>
  <c r="T44" i="80" s="1"/>
  <c r="S43" i="80"/>
  <c r="S44" i="80" s="1"/>
  <c r="R43" i="80"/>
  <c r="R44" i="80" s="1"/>
  <c r="Q43" i="80"/>
  <c r="Q44" i="80" s="1"/>
  <c r="P43" i="80"/>
  <c r="P44" i="80" s="1"/>
  <c r="O43" i="80"/>
  <c r="O44" i="80" s="1"/>
  <c r="N43" i="80"/>
  <c r="M43" i="80"/>
  <c r="M44" i="80" s="1"/>
  <c r="L43" i="80"/>
  <c r="L44" i="80" s="1"/>
  <c r="K43" i="80"/>
  <c r="K44" i="80" s="1"/>
  <c r="J43" i="80"/>
  <c r="I43" i="80"/>
  <c r="I44" i="80" s="1"/>
  <c r="H43" i="80"/>
  <c r="H44" i="80" s="1"/>
  <c r="G43" i="80"/>
  <c r="G44" i="80" s="1"/>
  <c r="F43" i="80"/>
  <c r="F44" i="80" s="1"/>
  <c r="E43" i="80"/>
  <c r="E44" i="80" s="1"/>
  <c r="D43" i="80"/>
  <c r="D44" i="80" s="1"/>
  <c r="C43" i="80"/>
  <c r="C44" i="80" s="1"/>
  <c r="B43" i="80"/>
  <c r="B40" i="80"/>
  <c r="B39" i="80"/>
  <c r="C39" i="80" s="1"/>
  <c r="D39" i="80" s="1"/>
  <c r="E39" i="80" s="1"/>
  <c r="F39" i="80" s="1"/>
  <c r="G39" i="80" s="1"/>
  <c r="H39" i="80" s="1"/>
  <c r="I39" i="80" s="1"/>
  <c r="J39" i="80" s="1"/>
  <c r="K39" i="80" s="1"/>
  <c r="L39" i="80" s="1"/>
  <c r="M39" i="80" s="1"/>
  <c r="N39" i="80" s="1"/>
  <c r="O39" i="80" s="1"/>
  <c r="P39" i="80" s="1"/>
  <c r="Q39" i="80" s="1"/>
  <c r="R39" i="80" s="1"/>
  <c r="S39" i="80" s="1"/>
  <c r="T39" i="80" s="1"/>
  <c r="U39" i="80" s="1"/>
  <c r="V39" i="80" s="1"/>
  <c r="W39" i="80" s="1"/>
  <c r="X39" i="80" s="1"/>
  <c r="Y39" i="80" s="1"/>
  <c r="Z39" i="80" s="1"/>
  <c r="AA39" i="80" s="1"/>
  <c r="AB39" i="80" s="1"/>
  <c r="AC39" i="80" s="1"/>
  <c r="AD39" i="80" s="1"/>
  <c r="AE39" i="80" s="1"/>
  <c r="D38" i="80"/>
  <c r="E38" i="80" s="1"/>
  <c r="C38" i="80"/>
  <c r="C40" i="80" s="1"/>
  <c r="B37" i="80"/>
  <c r="C37" i="80" s="1"/>
  <c r="AE30" i="80"/>
  <c r="AD30" i="80"/>
  <c r="AC30" i="80"/>
  <c r="AB30" i="80"/>
  <c r="AA30" i="80"/>
  <c r="Z30" i="80"/>
  <c r="Y30" i="80"/>
  <c r="X30" i="80"/>
  <c r="W30" i="80"/>
  <c r="V30" i="80"/>
  <c r="U30" i="80"/>
  <c r="T30" i="80"/>
  <c r="S30" i="80"/>
  <c r="R30" i="80"/>
  <c r="Q30" i="80"/>
  <c r="P30" i="80"/>
  <c r="O30" i="80"/>
  <c r="N30" i="80"/>
  <c r="M30" i="80"/>
  <c r="L30" i="80"/>
  <c r="K30" i="80"/>
  <c r="J30" i="80"/>
  <c r="I30" i="80"/>
  <c r="H30" i="80"/>
  <c r="G30" i="80"/>
  <c r="F30" i="80"/>
  <c r="E30" i="80"/>
  <c r="B32" i="80" s="1"/>
  <c r="D30" i="80"/>
  <c r="C30" i="80"/>
  <c r="B30" i="80"/>
  <c r="AE29" i="80"/>
  <c r="AD29" i="80"/>
  <c r="AC29" i="80"/>
  <c r="AB29" i="80"/>
  <c r="AA29" i="80"/>
  <c r="Z29" i="80"/>
  <c r="Y29" i="80"/>
  <c r="X29" i="80"/>
  <c r="W29" i="80"/>
  <c r="V29" i="80"/>
  <c r="U29" i="80"/>
  <c r="T29" i="80"/>
  <c r="S29" i="80"/>
  <c r="R29" i="80"/>
  <c r="Q29" i="80"/>
  <c r="P29" i="80"/>
  <c r="O29" i="80"/>
  <c r="N29" i="80"/>
  <c r="M29" i="80"/>
  <c r="L29" i="80"/>
  <c r="K29" i="80"/>
  <c r="J29" i="80"/>
  <c r="I29" i="80"/>
  <c r="H29" i="80"/>
  <c r="G29" i="80"/>
  <c r="F29" i="80"/>
  <c r="E29" i="80"/>
  <c r="D29" i="80"/>
  <c r="C29" i="80"/>
  <c r="B29" i="80"/>
  <c r="B26" i="80"/>
  <c r="C25" i="80"/>
  <c r="C26" i="80" s="1"/>
  <c r="B24" i="80"/>
  <c r="B27" i="80" s="1"/>
  <c r="B31" i="80" s="1"/>
  <c r="B20" i="80"/>
  <c r="B9" i="80"/>
  <c r="B4" i="80"/>
  <c r="B3" i="80"/>
  <c r="B6" i="80" s="1"/>
  <c r="B10" i="80" s="1"/>
  <c r="C148" i="4"/>
  <c r="C137" i="4"/>
  <c r="C126" i="4"/>
  <c r="C115" i="4"/>
  <c r="C104" i="4"/>
  <c r="C93" i="4"/>
  <c r="C82" i="4"/>
  <c r="C71" i="4"/>
  <c r="C60" i="4"/>
  <c r="C49" i="4"/>
  <c r="C38" i="4"/>
  <c r="C27" i="4"/>
  <c r="C16" i="4"/>
  <c r="C5" i="4"/>
  <c r="E2" i="77"/>
  <c r="Y16" i="14"/>
  <c r="Z16" i="14" s="1"/>
  <c r="Y15" i="14"/>
  <c r="Z15" i="14" s="1"/>
  <c r="Y14" i="14"/>
  <c r="Z14" i="14" s="1"/>
  <c r="Y13" i="14"/>
  <c r="Z13" i="14" s="1"/>
  <c r="Z12" i="14"/>
  <c r="Y11" i="14"/>
  <c r="Z11" i="14" s="1"/>
  <c r="Z10" i="14"/>
  <c r="Y10" i="14"/>
  <c r="Z9" i="14"/>
  <c r="Y9" i="14"/>
  <c r="Y8" i="14"/>
  <c r="Z8" i="14" s="1"/>
  <c r="Z7" i="14"/>
  <c r="Y7" i="14"/>
  <c r="Y6" i="14"/>
  <c r="Z6" i="14" s="1"/>
  <c r="Y5" i="14"/>
  <c r="Z5" i="14" s="1"/>
  <c r="Z4" i="14"/>
  <c r="Y4" i="14"/>
  <c r="Z3" i="14"/>
  <c r="Y3" i="14"/>
  <c r="O16" i="14"/>
  <c r="P16" i="14" s="1"/>
  <c r="P15" i="14"/>
  <c r="O15" i="14"/>
  <c r="P14" i="14"/>
  <c r="O14" i="14"/>
  <c r="O13" i="14"/>
  <c r="P13" i="14" s="1"/>
  <c r="P12" i="14"/>
  <c r="P11" i="14"/>
  <c r="O11" i="14"/>
  <c r="P10" i="14"/>
  <c r="O10" i="14"/>
  <c r="O9" i="14"/>
  <c r="P9" i="14" s="1"/>
  <c r="O8" i="14"/>
  <c r="P8" i="14" s="1"/>
  <c r="O7" i="14"/>
  <c r="P7" i="14" s="1"/>
  <c r="O6" i="14"/>
  <c r="P6" i="14" s="1"/>
  <c r="P5" i="14"/>
  <c r="O5" i="14"/>
  <c r="P4" i="14"/>
  <c r="O4" i="14"/>
  <c r="O3" i="14"/>
  <c r="P3" i="14" s="1"/>
  <c r="J16" i="14"/>
  <c r="K16" i="14" s="1"/>
  <c r="J15" i="14"/>
  <c r="K15" i="14" s="1"/>
  <c r="K14" i="14"/>
  <c r="J14" i="14"/>
  <c r="J13" i="14"/>
  <c r="K13" i="14" s="1"/>
  <c r="K12" i="14"/>
  <c r="J11" i="14"/>
  <c r="K11" i="14" s="1"/>
  <c r="J10" i="14"/>
  <c r="K10" i="14" s="1"/>
  <c r="J9" i="14"/>
  <c r="K9" i="14" s="1"/>
  <c r="J8" i="14"/>
  <c r="K8" i="14" s="1"/>
  <c r="J7" i="14"/>
  <c r="K7" i="14" s="1"/>
  <c r="J6" i="14"/>
  <c r="K6" i="14" s="1"/>
  <c r="J5" i="14"/>
  <c r="K5" i="14" s="1"/>
  <c r="J4" i="14"/>
  <c r="K4" i="14" s="1"/>
  <c r="J3" i="14"/>
  <c r="K3" i="14" s="1"/>
  <c r="AB16" i="14"/>
  <c r="W16" i="14"/>
  <c r="H16" i="14"/>
  <c r="M16" i="14"/>
  <c r="T16" i="14"/>
  <c r="R16" i="14"/>
  <c r="T13" i="14"/>
  <c r="U13" i="14" s="1"/>
  <c r="T10" i="14"/>
  <c r="U10" i="14" s="1"/>
  <c r="T8" i="14"/>
  <c r="U8" i="14" s="1"/>
  <c r="T7" i="14"/>
  <c r="U7" i="14" s="1"/>
  <c r="U4" i="14"/>
  <c r="U5" i="14"/>
  <c r="U6" i="14"/>
  <c r="U9" i="14"/>
  <c r="U11" i="14"/>
  <c r="U12" i="14"/>
  <c r="U14" i="14"/>
  <c r="U15" i="14"/>
  <c r="T5" i="14"/>
  <c r="AB15" i="14"/>
  <c r="AB14" i="14"/>
  <c r="AB13" i="14"/>
  <c r="AB12" i="14"/>
  <c r="AB11" i="14"/>
  <c r="AB10" i="14"/>
  <c r="AB9" i="14"/>
  <c r="AB8" i="14"/>
  <c r="AB7" i="14"/>
  <c r="AB6" i="14"/>
  <c r="AB5" i="14"/>
  <c r="AB4" i="14"/>
  <c r="AB3" i="14"/>
  <c r="W15" i="14"/>
  <c r="W14" i="14"/>
  <c r="W13" i="14"/>
  <c r="W12" i="14"/>
  <c r="W11" i="14"/>
  <c r="W10" i="14"/>
  <c r="W9" i="14"/>
  <c r="W8" i="14"/>
  <c r="W7" i="14"/>
  <c r="W6" i="14"/>
  <c r="W5" i="14"/>
  <c r="W4" i="14"/>
  <c r="W3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R15" i="14"/>
  <c r="R14" i="14"/>
  <c r="R13" i="14"/>
  <c r="R12" i="14"/>
  <c r="R11" i="14"/>
  <c r="R10" i="14"/>
  <c r="R9" i="14"/>
  <c r="R7" i="14"/>
  <c r="R5" i="14"/>
  <c r="R4" i="14"/>
  <c r="BN146" i="2" l="1"/>
  <c r="CA146" i="2" s="1"/>
  <c r="BZ147" i="2" s="1"/>
  <c r="CA135" i="2"/>
  <c r="BZ136" i="2" s="1"/>
  <c r="BN112" i="2"/>
  <c r="CA101" i="2"/>
  <c r="BN145" i="2"/>
  <c r="CA134" i="2"/>
  <c r="BN113" i="2"/>
  <c r="BN157" i="2"/>
  <c r="CA157" i="2" s="1"/>
  <c r="BZ158" i="2" s="1"/>
  <c r="AF5" i="82"/>
  <c r="V5" i="82"/>
  <c r="Y5" i="82"/>
  <c r="Q5" i="82"/>
  <c r="U5" i="82"/>
  <c r="W5" i="82"/>
  <c r="E5" i="82"/>
  <c r="AB5" i="82"/>
  <c r="F38" i="80"/>
  <c r="E40" i="80"/>
  <c r="D25" i="80"/>
  <c r="D37" i="80"/>
  <c r="C41" i="80"/>
  <c r="C45" i="80" s="1"/>
  <c r="B46" i="80"/>
  <c r="E47" i="80" s="1"/>
  <c r="D40" i="80"/>
  <c r="L12" i="82"/>
  <c r="L5" i="82" s="1"/>
  <c r="X12" i="82"/>
  <c r="X5" i="82" s="1"/>
  <c r="D23" i="82"/>
  <c r="B33" i="80"/>
  <c r="B34" i="80" s="1"/>
  <c r="D17" i="82" s="1"/>
  <c r="C24" i="80"/>
  <c r="O12" i="82"/>
  <c r="O5" i="82" s="1"/>
  <c r="AA12" i="82"/>
  <c r="AA5" i="82" s="1"/>
  <c r="D16" i="82"/>
  <c r="E9" i="82"/>
  <c r="B41" i="80"/>
  <c r="B45" i="80" s="1"/>
  <c r="U16" i="14"/>
  <c r="BN124" i="2" l="1"/>
  <c r="CA124" i="2" s="1"/>
  <c r="BZ125" i="2" s="1"/>
  <c r="CA113" i="2"/>
  <c r="BZ114" i="2" s="1"/>
  <c r="BN156" i="2"/>
  <c r="CA156" i="2" s="1"/>
  <c r="CA145" i="2"/>
  <c r="BN123" i="2"/>
  <c r="CA123" i="2" s="1"/>
  <c r="CA112" i="2"/>
  <c r="D4" i="82"/>
  <c r="D18" i="82"/>
  <c r="B47" i="80"/>
  <c r="F47" i="80"/>
  <c r="E37" i="80"/>
  <c r="D41" i="80"/>
  <c r="D45" i="80" s="1"/>
  <c r="B48" i="80"/>
  <c r="E21" i="82"/>
  <c r="E16" i="82"/>
  <c r="F9" i="82"/>
  <c r="C27" i="80"/>
  <c r="C31" i="80" s="1"/>
  <c r="C34" i="80" s="1"/>
  <c r="E17" i="82" s="1"/>
  <c r="D24" i="80"/>
  <c r="C48" i="80"/>
  <c r="C47" i="80"/>
  <c r="D26" i="80"/>
  <c r="E25" i="80"/>
  <c r="D47" i="80"/>
  <c r="F40" i="80"/>
  <c r="G38" i="80"/>
  <c r="AB18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AC4" i="14"/>
  <c r="AC3" i="14"/>
  <c r="E18" i="82" l="1"/>
  <c r="H38" i="80"/>
  <c r="G40" i="80"/>
  <c r="B49" i="80"/>
  <c r="B50" i="80" s="1"/>
  <c r="D48" i="80"/>
  <c r="E26" i="80"/>
  <c r="F25" i="80"/>
  <c r="E41" i="80"/>
  <c r="E45" i="80" s="1"/>
  <c r="E48" i="80" s="1"/>
  <c r="F37" i="80"/>
  <c r="F21" i="82"/>
  <c r="G9" i="82"/>
  <c r="F16" i="82"/>
  <c r="E23" i="82"/>
  <c r="E4" i="82" s="1"/>
  <c r="C49" i="80"/>
  <c r="C50" i="80" s="1"/>
  <c r="E24" i="82" s="1"/>
  <c r="D27" i="80"/>
  <c r="D31" i="80" s="1"/>
  <c r="D34" i="80" s="1"/>
  <c r="F17" i="82" s="1"/>
  <c r="E24" i="80"/>
  <c r="AB17" i="14"/>
  <c r="AC17" i="14" s="1"/>
  <c r="D24" i="82" l="1"/>
  <c r="D25" i="82" s="1"/>
  <c r="E25" i="82"/>
  <c r="E29" i="82" s="1"/>
  <c r="E6" i="82" s="1"/>
  <c r="E7" i="82" s="1"/>
  <c r="E27" i="80"/>
  <c r="E31" i="80" s="1"/>
  <c r="E34" i="80" s="1"/>
  <c r="G17" i="82" s="1"/>
  <c r="F24" i="80"/>
  <c r="E49" i="80"/>
  <c r="E50" i="80"/>
  <c r="G24" i="82" s="1"/>
  <c r="G25" i="80"/>
  <c r="F26" i="80"/>
  <c r="F18" i="82"/>
  <c r="F23" i="82"/>
  <c r="F4" i="82" s="1"/>
  <c r="G37" i="80"/>
  <c r="F41" i="80"/>
  <c r="F45" i="80" s="1"/>
  <c r="F48" i="80" s="1"/>
  <c r="D49" i="80"/>
  <c r="D50" i="80"/>
  <c r="F24" i="82" s="1"/>
  <c r="I38" i="80"/>
  <c r="H40" i="80"/>
  <c r="G21" i="82"/>
  <c r="H9" i="82"/>
  <c r="G16" i="82"/>
  <c r="BV149" i="2"/>
  <c r="BI149" i="2"/>
  <c r="AV149" i="2"/>
  <c r="BV116" i="2"/>
  <c r="BI116" i="2"/>
  <c r="AV116" i="2"/>
  <c r="BV105" i="2"/>
  <c r="BI105" i="2"/>
  <c r="AV105" i="2"/>
  <c r="BW28" i="2"/>
  <c r="BJ28" i="2"/>
  <c r="AW28" i="2"/>
  <c r="AI149" i="2"/>
  <c r="AI116" i="2"/>
  <c r="AI105" i="2"/>
  <c r="AJ28" i="2"/>
  <c r="F25" i="82" l="1"/>
  <c r="F32" i="82" s="1"/>
  <c r="F33" i="82" s="1"/>
  <c r="J38" i="80"/>
  <c r="I40" i="80"/>
  <c r="H37" i="80"/>
  <c r="G41" i="80"/>
  <c r="G45" i="80" s="1"/>
  <c r="G48" i="80" s="1"/>
  <c r="G23" i="82"/>
  <c r="G4" i="82" s="1"/>
  <c r="F49" i="80"/>
  <c r="F50" i="80"/>
  <c r="H24" i="82" s="1"/>
  <c r="E32" i="82"/>
  <c r="E33" i="82" s="1"/>
  <c r="E27" i="82"/>
  <c r="F27" i="80"/>
  <c r="F31" i="80" s="1"/>
  <c r="F34" i="80" s="1"/>
  <c r="H17" i="82" s="1"/>
  <c r="G24" i="80"/>
  <c r="G18" i="82"/>
  <c r="D32" i="82"/>
  <c r="D33" i="82" s="1"/>
  <c r="D27" i="82"/>
  <c r="D29" i="82"/>
  <c r="D6" i="82" s="1"/>
  <c r="D7" i="82" s="1"/>
  <c r="H25" i="80"/>
  <c r="G26" i="80"/>
  <c r="I9" i="82"/>
  <c r="H21" i="82"/>
  <c r="H16" i="82"/>
  <c r="W18" i="14"/>
  <c r="X16" i="14"/>
  <c r="C161" i="78" s="1"/>
  <c r="X15" i="14"/>
  <c r="C149" i="78" s="1"/>
  <c r="X14" i="14"/>
  <c r="C137" i="78" s="1"/>
  <c r="X13" i="14"/>
  <c r="C125" i="78" s="1"/>
  <c r="X12" i="14"/>
  <c r="C113" i="78" s="1"/>
  <c r="X10" i="14"/>
  <c r="C89" i="78" s="1"/>
  <c r="X9" i="14"/>
  <c r="C77" i="78" s="1"/>
  <c r="X6" i="14"/>
  <c r="C41" i="78" s="1"/>
  <c r="X5" i="14"/>
  <c r="C29" i="78" s="1"/>
  <c r="X3" i="14"/>
  <c r="C5" i="78" s="1"/>
  <c r="M18" i="14"/>
  <c r="N15" i="14"/>
  <c r="C149" i="77" s="1"/>
  <c r="N14" i="14"/>
  <c r="C137" i="77" s="1"/>
  <c r="N13" i="14"/>
  <c r="C125" i="77" s="1"/>
  <c r="N12" i="14"/>
  <c r="C113" i="77" s="1"/>
  <c r="N10" i="14"/>
  <c r="C89" i="77" s="1"/>
  <c r="N9" i="14"/>
  <c r="C77" i="77" s="1"/>
  <c r="N5" i="14"/>
  <c r="C29" i="77" s="1"/>
  <c r="N3" i="14"/>
  <c r="C5" i="77" s="1"/>
  <c r="H18" i="14"/>
  <c r="I15" i="14"/>
  <c r="C149" i="79" s="1"/>
  <c r="I14" i="14"/>
  <c r="C137" i="79" s="1"/>
  <c r="I13" i="14"/>
  <c r="C125" i="79" s="1"/>
  <c r="I12" i="14"/>
  <c r="C113" i="79" s="1"/>
  <c r="I5" i="14"/>
  <c r="C29" i="79" s="1"/>
  <c r="I4" i="14"/>
  <c r="C17" i="79" s="1"/>
  <c r="I3" i="14"/>
  <c r="C5" i="79" s="1"/>
  <c r="R18" i="14"/>
  <c r="F29" i="82" l="1"/>
  <c r="F6" i="82" s="1"/>
  <c r="F7" i="82" s="1"/>
  <c r="F27" i="82"/>
  <c r="G25" i="82"/>
  <c r="G32" i="82" s="1"/>
  <c r="G33" i="82" s="1"/>
  <c r="G50" i="80"/>
  <c r="I24" i="82" s="1"/>
  <c r="G49" i="80"/>
  <c r="H41" i="80"/>
  <c r="H45" i="80" s="1"/>
  <c r="H48" i="80" s="1"/>
  <c r="I37" i="80"/>
  <c r="B51" i="80"/>
  <c r="H18" i="82"/>
  <c r="H23" i="82"/>
  <c r="H4" i="82" s="1"/>
  <c r="G27" i="80"/>
  <c r="G31" i="80" s="1"/>
  <c r="G34" i="80" s="1"/>
  <c r="I17" i="82" s="1"/>
  <c r="H24" i="80"/>
  <c r="I25" i="80"/>
  <c r="H26" i="80"/>
  <c r="K38" i="80"/>
  <c r="J40" i="80"/>
  <c r="I21" i="82"/>
  <c r="J9" i="82"/>
  <c r="I16" i="82"/>
  <c r="BU50" i="2"/>
  <c r="BZ50" i="2" s="1"/>
  <c r="X7" i="14"/>
  <c r="C53" i="78" s="1"/>
  <c r="BU94" i="2"/>
  <c r="BY94" i="2" s="1"/>
  <c r="X11" i="14"/>
  <c r="C101" i="78" s="1"/>
  <c r="BU61" i="2"/>
  <c r="BZ61" i="2" s="1"/>
  <c r="X8" i="14"/>
  <c r="C65" i="78" s="1"/>
  <c r="S4" i="14"/>
  <c r="C17" i="3" s="1"/>
  <c r="I6" i="14"/>
  <c r="C41" i="79" s="1"/>
  <c r="N16" i="14"/>
  <c r="C161" i="77" s="1"/>
  <c r="S7" i="14"/>
  <c r="C53" i="3" s="1"/>
  <c r="BU17" i="2"/>
  <c r="BZ17" i="2" s="1"/>
  <c r="X4" i="14"/>
  <c r="C17" i="78" s="1"/>
  <c r="N8" i="14"/>
  <c r="C65" i="77" s="1"/>
  <c r="BH127" i="2"/>
  <c r="BK127" i="2" s="1"/>
  <c r="S14" i="14"/>
  <c r="C137" i="3" s="1"/>
  <c r="BH138" i="2"/>
  <c r="BL138" i="2" s="1"/>
  <c r="S15" i="14"/>
  <c r="C149" i="3" s="1"/>
  <c r="BH149" i="2"/>
  <c r="BK149" i="2" s="1"/>
  <c r="S16" i="14"/>
  <c r="C161" i="3" s="1"/>
  <c r="S5" i="14"/>
  <c r="C29" i="3" s="1"/>
  <c r="S10" i="14"/>
  <c r="C89" i="3" s="1"/>
  <c r="S11" i="14"/>
  <c r="C101" i="3" s="1"/>
  <c r="BH105" i="2"/>
  <c r="BL105" i="2" s="1"/>
  <c r="S12" i="14"/>
  <c r="C113" i="3" s="1"/>
  <c r="BH72" i="2"/>
  <c r="BK72" i="2" s="1"/>
  <c r="S9" i="14"/>
  <c r="C77" i="3" s="1"/>
  <c r="BH116" i="2"/>
  <c r="BK116" i="2" s="1"/>
  <c r="S13" i="14"/>
  <c r="C125" i="3" s="1"/>
  <c r="AU94" i="2"/>
  <c r="AZ94" i="2" s="1"/>
  <c r="N11" i="14"/>
  <c r="C101" i="77" s="1"/>
  <c r="I16" i="14"/>
  <c r="C161" i="79" s="1"/>
  <c r="I7" i="14"/>
  <c r="C53" i="79" s="1"/>
  <c r="AU17" i="2"/>
  <c r="AX17" i="2" s="1"/>
  <c r="N4" i="14"/>
  <c r="C17" i="77" s="1"/>
  <c r="I8" i="14"/>
  <c r="C65" i="79" s="1"/>
  <c r="I9" i="14"/>
  <c r="C77" i="79" s="1"/>
  <c r="AU39" i="2"/>
  <c r="AZ39" i="2" s="1"/>
  <c r="N6" i="14"/>
  <c r="C41" i="77" s="1"/>
  <c r="I10" i="14"/>
  <c r="C89" i="79" s="1"/>
  <c r="AU50" i="2"/>
  <c r="AZ50" i="2" s="1"/>
  <c r="N7" i="14"/>
  <c r="C53" i="77" s="1"/>
  <c r="I11" i="14"/>
  <c r="C101" i="79" s="1"/>
  <c r="AH61" i="2"/>
  <c r="AH138" i="2"/>
  <c r="AH127" i="2"/>
  <c r="AU138" i="2"/>
  <c r="T11" i="14"/>
  <c r="BI94" i="2" s="1"/>
  <c r="BH94" i="2"/>
  <c r="AV28" i="2"/>
  <c r="AU28" i="2"/>
  <c r="BU127" i="2"/>
  <c r="BV6" i="2"/>
  <c r="BU6" i="2"/>
  <c r="BW149" i="2"/>
  <c r="BU149" i="2"/>
  <c r="T4" i="14"/>
  <c r="BI17" i="2" s="1"/>
  <c r="BH17" i="2"/>
  <c r="BU138" i="2"/>
  <c r="AV61" i="2"/>
  <c r="AU61" i="2"/>
  <c r="BV28" i="2"/>
  <c r="BU28" i="2"/>
  <c r="BW105" i="2"/>
  <c r="BU105" i="2"/>
  <c r="AW149" i="2"/>
  <c r="AU149" i="2"/>
  <c r="BU39" i="2"/>
  <c r="AV83" i="2"/>
  <c r="AU83" i="2"/>
  <c r="BW116" i="2"/>
  <c r="BU116" i="2"/>
  <c r="AV72" i="2"/>
  <c r="AU72" i="2"/>
  <c r="BY61" i="2"/>
  <c r="AW105" i="2"/>
  <c r="AU105" i="2"/>
  <c r="BU72" i="2"/>
  <c r="BI28" i="2"/>
  <c r="BH28" i="2"/>
  <c r="AW116" i="2"/>
  <c r="AU116" i="2"/>
  <c r="BU83" i="2"/>
  <c r="BI50" i="2"/>
  <c r="BH50" i="2"/>
  <c r="AU127" i="2"/>
  <c r="AV6" i="2"/>
  <c r="AU6" i="2"/>
  <c r="AJ116" i="2"/>
  <c r="AH116" i="2"/>
  <c r="AH83" i="2"/>
  <c r="AH6" i="2"/>
  <c r="AI17" i="2"/>
  <c r="AH17" i="2"/>
  <c r="AI28" i="2"/>
  <c r="AH28" i="2"/>
  <c r="AJ149" i="2"/>
  <c r="AH149" i="2"/>
  <c r="AH39" i="2"/>
  <c r="AH94" i="2"/>
  <c r="AJ105" i="2"/>
  <c r="AH105" i="2"/>
  <c r="AH50" i="2"/>
  <c r="AI72" i="2"/>
  <c r="AH72" i="2"/>
  <c r="W17" i="14"/>
  <c r="AV39" i="2"/>
  <c r="M17" i="14"/>
  <c r="H17" i="14"/>
  <c r="I17" i="14" s="1"/>
  <c r="T14" i="14"/>
  <c r="BI127" i="2" s="1"/>
  <c r="T15" i="14"/>
  <c r="BI138" i="2" s="1"/>
  <c r="BX61" i="2" l="1"/>
  <c r="BK138" i="2"/>
  <c r="BX94" i="2"/>
  <c r="BZ94" i="2"/>
  <c r="BM138" i="2"/>
  <c r="AX94" i="2"/>
  <c r="G29" i="82"/>
  <c r="G6" i="82" s="1"/>
  <c r="G7" i="82" s="1"/>
  <c r="G27" i="82"/>
  <c r="H25" i="82"/>
  <c r="K9" i="82"/>
  <c r="J16" i="82"/>
  <c r="J21" i="82"/>
  <c r="I23" i="82"/>
  <c r="I4" i="82" s="1"/>
  <c r="H29" i="82"/>
  <c r="H6" i="82" s="1"/>
  <c r="H7" i="82" s="1"/>
  <c r="J37" i="80"/>
  <c r="I41" i="80"/>
  <c r="I45" i="80" s="1"/>
  <c r="I48" i="80" s="1"/>
  <c r="L38" i="80"/>
  <c r="K40" i="80"/>
  <c r="J25" i="80"/>
  <c r="I26" i="80"/>
  <c r="I18" i="82"/>
  <c r="H49" i="80"/>
  <c r="H50" i="80"/>
  <c r="J24" i="82" s="1"/>
  <c r="H27" i="80"/>
  <c r="H31" i="80" s="1"/>
  <c r="H34" i="80" s="1"/>
  <c r="J17" i="82" s="1"/>
  <c r="I24" i="80"/>
  <c r="BX50" i="2"/>
  <c r="BY50" i="2"/>
  <c r="BM149" i="2"/>
  <c r="BL149" i="2"/>
  <c r="BL116" i="2"/>
  <c r="BM116" i="2"/>
  <c r="Y18" i="14"/>
  <c r="X17" i="14"/>
  <c r="BK105" i="2"/>
  <c r="BX17" i="2"/>
  <c r="BY17" i="2"/>
  <c r="AZ17" i="2"/>
  <c r="AY94" i="2"/>
  <c r="AY17" i="2"/>
  <c r="BM127" i="2"/>
  <c r="BL72" i="2"/>
  <c r="BL127" i="2"/>
  <c r="BM72" i="2"/>
  <c r="BM105" i="2"/>
  <c r="AW61" i="2"/>
  <c r="AX39" i="2"/>
  <c r="AY39" i="2"/>
  <c r="AX50" i="2"/>
  <c r="AY50" i="2"/>
  <c r="O18" i="14"/>
  <c r="N17" i="14"/>
  <c r="BM50" i="2"/>
  <c r="BL50" i="2"/>
  <c r="BK50" i="2"/>
  <c r="BW17" i="2"/>
  <c r="BV17" i="2"/>
  <c r="AZ149" i="2"/>
  <c r="AY149" i="2"/>
  <c r="AX149" i="2"/>
  <c r="BZ83" i="2"/>
  <c r="BY83" i="2"/>
  <c r="BX83" i="2"/>
  <c r="BZ105" i="2"/>
  <c r="BY105" i="2"/>
  <c r="BX105" i="2"/>
  <c r="BZ138" i="2"/>
  <c r="BY138" i="2"/>
  <c r="BX138" i="2"/>
  <c r="AW138" i="2"/>
  <c r="AV138" i="2"/>
  <c r="BW94" i="2"/>
  <c r="BV94" i="2"/>
  <c r="BW83" i="2"/>
  <c r="BV83" i="2"/>
  <c r="BW138" i="2"/>
  <c r="BV138" i="2"/>
  <c r="AW17" i="2"/>
  <c r="AV17" i="2"/>
  <c r="BW50" i="2"/>
  <c r="BV50" i="2"/>
  <c r="AZ116" i="2"/>
  <c r="AY116" i="2"/>
  <c r="AX116" i="2"/>
  <c r="AZ72" i="2"/>
  <c r="AY72" i="2"/>
  <c r="AX72" i="2"/>
  <c r="BK17" i="2"/>
  <c r="BM17" i="2"/>
  <c r="BL17" i="2"/>
  <c r="BW6" i="2"/>
  <c r="AW94" i="2"/>
  <c r="AV94" i="2"/>
  <c r="BW127" i="2"/>
  <c r="BV127" i="2"/>
  <c r="AW50" i="2"/>
  <c r="AV50" i="2"/>
  <c r="BZ149" i="2"/>
  <c r="BY149" i="2"/>
  <c r="BX149" i="2"/>
  <c r="AZ28" i="2"/>
  <c r="AX28" i="2"/>
  <c r="AY28" i="2"/>
  <c r="AZ83" i="2"/>
  <c r="AY83" i="2"/>
  <c r="AX83" i="2"/>
  <c r="AZ138" i="2"/>
  <c r="AY138" i="2"/>
  <c r="AX138" i="2"/>
  <c r="BK28" i="2"/>
  <c r="BM28" i="2"/>
  <c r="BL28" i="2"/>
  <c r="BZ116" i="2"/>
  <c r="BY116" i="2"/>
  <c r="BX116" i="2"/>
  <c r="AZ127" i="2"/>
  <c r="AX127" i="2"/>
  <c r="AY127" i="2"/>
  <c r="BW72" i="2"/>
  <c r="BV72" i="2"/>
  <c r="BW39" i="2"/>
  <c r="BV39" i="2"/>
  <c r="BK94" i="2"/>
  <c r="BM94" i="2"/>
  <c r="BL94" i="2"/>
  <c r="BW61" i="2"/>
  <c r="BV61" i="2"/>
  <c r="BZ127" i="2"/>
  <c r="BY127" i="2"/>
  <c r="BX127" i="2"/>
  <c r="AW72" i="2"/>
  <c r="BZ72" i="2"/>
  <c r="BX72" i="2"/>
  <c r="BY72" i="2"/>
  <c r="BZ39" i="2"/>
  <c r="BY39" i="2"/>
  <c r="BX39" i="2"/>
  <c r="BZ28" i="2"/>
  <c r="BY28" i="2"/>
  <c r="BX28" i="2"/>
  <c r="AW83" i="2"/>
  <c r="AW127" i="2"/>
  <c r="AV127" i="2"/>
  <c r="AX105" i="2"/>
  <c r="AY105" i="2"/>
  <c r="AZ105" i="2"/>
  <c r="AZ61" i="2"/>
  <c r="AY61" i="2"/>
  <c r="AX61" i="2"/>
  <c r="AW6" i="2"/>
  <c r="AJ17" i="2"/>
  <c r="AJ94" i="2"/>
  <c r="AI94" i="2"/>
  <c r="AJ61" i="2"/>
  <c r="AI61" i="2"/>
  <c r="AJ39" i="2"/>
  <c r="AI39" i="2"/>
  <c r="AJ50" i="2"/>
  <c r="AI50" i="2"/>
  <c r="AJ138" i="2"/>
  <c r="AI138" i="2"/>
  <c r="AJ83" i="2"/>
  <c r="AI83" i="2"/>
  <c r="AJ127" i="2"/>
  <c r="AI127" i="2"/>
  <c r="AJ6" i="2"/>
  <c r="AI6" i="2"/>
  <c r="AJ72" i="2"/>
  <c r="Y17" i="14"/>
  <c r="O17" i="14"/>
  <c r="AW39" i="2"/>
  <c r="J17" i="14"/>
  <c r="I27" i="80" l="1"/>
  <c r="I31" i="80" s="1"/>
  <c r="I34" i="80" s="1"/>
  <c r="K17" i="82" s="1"/>
  <c r="J24" i="80"/>
  <c r="I25" i="82"/>
  <c r="K37" i="80"/>
  <c r="J41" i="80"/>
  <c r="J45" i="80" s="1"/>
  <c r="J48" i="80" s="1"/>
  <c r="J23" i="82"/>
  <c r="J4" i="82" s="1"/>
  <c r="J18" i="82"/>
  <c r="K16" i="82"/>
  <c r="K21" i="82"/>
  <c r="L9" i="82"/>
  <c r="L40" i="80"/>
  <c r="M38" i="80"/>
  <c r="I49" i="80"/>
  <c r="I50" i="80" s="1"/>
  <c r="K24" i="82" s="1"/>
  <c r="J26" i="80"/>
  <c r="K25" i="80"/>
  <c r="H27" i="82"/>
  <c r="H32" i="82"/>
  <c r="H33" i="82" s="1"/>
  <c r="Z17" i="14"/>
  <c r="P17" i="14"/>
  <c r="K17" i="14"/>
  <c r="J25" i="82" l="1"/>
  <c r="J29" i="82" s="1"/>
  <c r="J6" i="82" s="1"/>
  <c r="J7" i="82" s="1"/>
  <c r="J50" i="80"/>
  <c r="L24" i="82" s="1"/>
  <c r="J49" i="80"/>
  <c r="K41" i="80"/>
  <c r="K45" i="80" s="1"/>
  <c r="K48" i="80" s="1"/>
  <c r="L37" i="80"/>
  <c r="I32" i="82"/>
  <c r="I33" i="82" s="1"/>
  <c r="I27" i="82"/>
  <c r="K26" i="80"/>
  <c r="L25" i="80"/>
  <c r="N38" i="80"/>
  <c r="M40" i="80"/>
  <c r="M9" i="82"/>
  <c r="L16" i="82"/>
  <c r="L21" i="82"/>
  <c r="J27" i="80"/>
  <c r="J31" i="80" s="1"/>
  <c r="J34" i="80" s="1"/>
  <c r="L17" i="82" s="1"/>
  <c r="K24" i="80"/>
  <c r="I29" i="82"/>
  <c r="I6" i="82" s="1"/>
  <c r="I7" i="82" s="1"/>
  <c r="K23" i="82"/>
  <c r="K25" i="82" s="1"/>
  <c r="K18" i="82"/>
  <c r="CN157" i="2"/>
  <c r="CN113" i="2"/>
  <c r="CN124" i="2" s="1"/>
  <c r="CN91" i="2"/>
  <c r="CN80" i="2"/>
  <c r="CN69" i="2"/>
  <c r="CN68" i="2"/>
  <c r="CN79" i="2" s="1"/>
  <c r="CN90" i="2" s="1"/>
  <c r="CN36" i="2"/>
  <c r="CN102" i="2" s="1"/>
  <c r="CN25" i="2"/>
  <c r="CN58" i="2" s="1"/>
  <c r="CN135" i="2" s="1"/>
  <c r="CN146" i="2" s="1"/>
  <c r="CN15" i="2"/>
  <c r="CN26" i="2" s="1"/>
  <c r="CN37" i="2" s="1"/>
  <c r="CN48" i="2" s="1"/>
  <c r="CN59" i="2" s="1"/>
  <c r="CN70" i="2" s="1"/>
  <c r="CN81" i="2" s="1"/>
  <c r="CN92" i="2" s="1"/>
  <c r="CN103" i="2" s="1"/>
  <c r="CN114" i="2" s="1"/>
  <c r="CN125" i="2" s="1"/>
  <c r="CN136" i="2" s="1"/>
  <c r="CN147" i="2" s="1"/>
  <c r="CN158" i="2" s="1"/>
  <c r="CN14" i="2"/>
  <c r="CN47" i="2" s="1"/>
  <c r="CN13" i="2"/>
  <c r="CN46" i="2" s="1"/>
  <c r="CN12" i="2"/>
  <c r="CN23" i="2" s="1"/>
  <c r="CN34" i="2" s="1"/>
  <c r="CN45" i="2" s="1"/>
  <c r="CN56" i="2" s="1"/>
  <c r="CN67" i="2" s="1"/>
  <c r="CN78" i="2" s="1"/>
  <c r="CN89" i="2" s="1"/>
  <c r="CN100" i="2" s="1"/>
  <c r="CN111" i="2" s="1"/>
  <c r="CN122" i="2" s="1"/>
  <c r="CN133" i="2" s="1"/>
  <c r="CN144" i="2" s="1"/>
  <c r="CN155" i="2" s="1"/>
  <c r="CN11" i="2"/>
  <c r="CN22" i="2" s="1"/>
  <c r="CN33" i="2" s="1"/>
  <c r="CN44" i="2" s="1"/>
  <c r="CN55" i="2" s="1"/>
  <c r="CN66" i="2" s="1"/>
  <c r="CN77" i="2" s="1"/>
  <c r="CN88" i="2" s="1"/>
  <c r="CN99" i="2" s="1"/>
  <c r="CN110" i="2" s="1"/>
  <c r="CN121" i="2" s="1"/>
  <c r="CN132" i="2" s="1"/>
  <c r="CN143" i="2" s="1"/>
  <c r="CN154" i="2" s="1"/>
  <c r="F13" i="77"/>
  <c r="F25" i="77"/>
  <c r="F37" i="77"/>
  <c r="F49" i="77"/>
  <c r="F61" i="77"/>
  <c r="F73" i="77"/>
  <c r="F85" i="77"/>
  <c r="F97" i="77"/>
  <c r="F109" i="77"/>
  <c r="F121" i="77"/>
  <c r="F133" i="77"/>
  <c r="F145" i="77"/>
  <c r="F157" i="77"/>
  <c r="F169" i="77"/>
  <c r="F13" i="79"/>
  <c r="F25" i="79"/>
  <c r="F37" i="79"/>
  <c r="F49" i="79"/>
  <c r="F61" i="79"/>
  <c r="F73" i="79"/>
  <c r="F85" i="79"/>
  <c r="F97" i="79"/>
  <c r="F109" i="79"/>
  <c r="F121" i="79"/>
  <c r="F133" i="79"/>
  <c r="F145" i="79"/>
  <c r="F157" i="79"/>
  <c r="F169" i="79"/>
  <c r="E2" i="79"/>
  <c r="M1" i="79"/>
  <c r="L166" i="79"/>
  <c r="L154" i="79"/>
  <c r="L142" i="79"/>
  <c r="L130" i="79"/>
  <c r="L118" i="79"/>
  <c r="L106" i="79"/>
  <c r="L94" i="79"/>
  <c r="L82" i="79"/>
  <c r="M79" i="79"/>
  <c r="L70" i="79"/>
  <c r="L58" i="79"/>
  <c r="L46" i="79"/>
  <c r="L34" i="79"/>
  <c r="M163" i="79" s="1"/>
  <c r="L22" i="79"/>
  <c r="M19" i="79" s="1"/>
  <c r="M20" i="79"/>
  <c r="M18" i="79"/>
  <c r="L10" i="79"/>
  <c r="M8" i="79" s="1"/>
  <c r="F12" i="78"/>
  <c r="F24" i="78"/>
  <c r="F36" i="78"/>
  <c r="F48" i="78"/>
  <c r="F60" i="78"/>
  <c r="F72" i="78"/>
  <c r="F84" i="78"/>
  <c r="F96" i="78"/>
  <c r="F108" i="78"/>
  <c r="F120" i="78"/>
  <c r="F132" i="78"/>
  <c r="F144" i="78"/>
  <c r="F156" i="78"/>
  <c r="F168" i="78"/>
  <c r="E2" i="78"/>
  <c r="M1" i="78"/>
  <c r="L166" i="78"/>
  <c r="L154" i="78"/>
  <c r="L142" i="78"/>
  <c r="L130" i="78"/>
  <c r="L118" i="78"/>
  <c r="L106" i="78"/>
  <c r="L94" i="78"/>
  <c r="L82" i="78"/>
  <c r="L70" i="78"/>
  <c r="L58" i="78"/>
  <c r="L46" i="78"/>
  <c r="L34" i="78"/>
  <c r="M89" i="78" s="1"/>
  <c r="L22" i="78"/>
  <c r="L10" i="78"/>
  <c r="M6" i="78" s="1"/>
  <c r="CA11" i="2"/>
  <c r="CB11" i="2"/>
  <c r="CC11" i="2"/>
  <c r="CC22" i="2" s="1"/>
  <c r="CC33" i="2" s="1"/>
  <c r="CC44" i="2" s="1"/>
  <c r="CC55" i="2" s="1"/>
  <c r="CC66" i="2" s="1"/>
  <c r="CD11" i="2"/>
  <c r="CE11" i="2"/>
  <c r="CE22" i="2" s="1"/>
  <c r="CE33" i="2" s="1"/>
  <c r="CE44" i="2" s="1"/>
  <c r="CE55" i="2" s="1"/>
  <c r="CF11" i="2"/>
  <c r="CF22" i="2" s="1"/>
  <c r="CF33" i="2" s="1"/>
  <c r="CF44" i="2" s="1"/>
  <c r="CA12" i="2"/>
  <c r="CB12" i="2"/>
  <c r="CB23" i="2" s="1"/>
  <c r="CC12" i="2"/>
  <c r="CC23" i="2" s="1"/>
  <c r="CD12" i="2"/>
  <c r="CD23" i="2" s="1"/>
  <c r="CE12" i="2"/>
  <c r="CE23" i="2" s="1"/>
  <c r="CF12" i="2"/>
  <c r="CF23" i="2" s="1"/>
  <c r="CA23" i="2"/>
  <c r="CD1" i="2"/>
  <c r="L166" i="77"/>
  <c r="L154" i="77"/>
  <c r="L142" i="77"/>
  <c r="L130" i="77"/>
  <c r="L118" i="77"/>
  <c r="L106" i="77"/>
  <c r="L94" i="77"/>
  <c r="L82" i="77"/>
  <c r="L70" i="77"/>
  <c r="L58" i="77"/>
  <c r="L46" i="77"/>
  <c r="L34" i="77"/>
  <c r="M101" i="77" s="1"/>
  <c r="L22" i="77"/>
  <c r="M20" i="77"/>
  <c r="L10" i="77"/>
  <c r="M7" i="77" s="1"/>
  <c r="AZ6" i="2"/>
  <c r="AM138" i="2"/>
  <c r="AM116" i="2"/>
  <c r="AL94" i="2"/>
  <c r="AK61" i="2"/>
  <c r="AM50" i="2"/>
  <c r="AK17" i="2"/>
  <c r="BF1" i="2"/>
  <c r="AS1" i="2"/>
  <c r="BF157" i="2"/>
  <c r="BE157" i="2"/>
  <c r="BD157" i="2"/>
  <c r="BC157" i="2"/>
  <c r="BB157" i="2"/>
  <c r="BA157" i="2"/>
  <c r="BF113" i="2"/>
  <c r="BF124" i="2" s="1"/>
  <c r="BE113" i="2"/>
  <c r="BE124" i="2" s="1"/>
  <c r="BD113" i="2"/>
  <c r="BD124" i="2" s="1"/>
  <c r="BC113" i="2"/>
  <c r="BC124" i="2" s="1"/>
  <c r="BB113" i="2"/>
  <c r="BB124" i="2" s="1"/>
  <c r="BA113" i="2"/>
  <c r="BA124" i="2" s="1"/>
  <c r="BF91" i="2"/>
  <c r="BE91" i="2"/>
  <c r="BD91" i="2"/>
  <c r="BC91" i="2"/>
  <c r="BB91" i="2"/>
  <c r="BA91" i="2"/>
  <c r="BF80" i="2"/>
  <c r="BE80" i="2"/>
  <c r="BD80" i="2"/>
  <c r="BC80" i="2"/>
  <c r="BB80" i="2"/>
  <c r="BA80" i="2"/>
  <c r="BF69" i="2"/>
  <c r="BF68" i="2"/>
  <c r="BF79" i="2" s="1"/>
  <c r="BF90" i="2" s="1"/>
  <c r="BE69" i="2"/>
  <c r="BE68" i="2"/>
  <c r="BE79" i="2" s="1"/>
  <c r="BE90" i="2" s="1"/>
  <c r="BD69" i="2"/>
  <c r="BD68" i="2"/>
  <c r="BD79" i="2" s="1"/>
  <c r="BD90" i="2" s="1"/>
  <c r="BC69" i="2"/>
  <c r="BC68" i="2"/>
  <c r="BC79" i="2" s="1"/>
  <c r="BC90" i="2" s="1"/>
  <c r="BB69" i="2"/>
  <c r="BB68" i="2"/>
  <c r="BB79" i="2" s="1"/>
  <c r="BB90" i="2" s="1"/>
  <c r="BA69" i="2"/>
  <c r="BA68" i="2"/>
  <c r="BA79" i="2" s="1"/>
  <c r="BA90" i="2" s="1"/>
  <c r="BF36" i="2"/>
  <c r="BF102" i="2" s="1"/>
  <c r="BE36" i="2"/>
  <c r="BE102" i="2" s="1"/>
  <c r="BD36" i="2"/>
  <c r="BD102" i="2" s="1"/>
  <c r="BC36" i="2"/>
  <c r="BC102" i="2" s="1"/>
  <c r="BB36" i="2"/>
  <c r="BB102" i="2" s="1"/>
  <c r="BA36" i="2"/>
  <c r="BA102" i="2" s="1"/>
  <c r="BF25" i="2"/>
  <c r="BF58" i="2" s="1"/>
  <c r="BF135" i="2" s="1"/>
  <c r="BF146" i="2" s="1"/>
  <c r="BE25" i="2"/>
  <c r="BE58" i="2" s="1"/>
  <c r="BE135" i="2" s="1"/>
  <c r="BE146" i="2" s="1"/>
  <c r="BD25" i="2"/>
  <c r="BD58" i="2" s="1"/>
  <c r="BD135" i="2" s="1"/>
  <c r="BD146" i="2" s="1"/>
  <c r="BC25" i="2"/>
  <c r="BC58" i="2" s="1"/>
  <c r="BC135" i="2" s="1"/>
  <c r="BC146" i="2" s="1"/>
  <c r="BB25" i="2"/>
  <c r="BB58" i="2" s="1"/>
  <c r="BB135" i="2" s="1"/>
  <c r="BB146" i="2" s="1"/>
  <c r="BA25" i="2"/>
  <c r="BA58" i="2" s="1"/>
  <c r="BA135" i="2" s="1"/>
  <c r="BA146" i="2" s="1"/>
  <c r="BF15" i="2"/>
  <c r="BF26" i="2" s="1"/>
  <c r="BF37" i="2" s="1"/>
  <c r="BF48" i="2" s="1"/>
  <c r="BF59" i="2" s="1"/>
  <c r="BF70" i="2" s="1"/>
  <c r="BF81" i="2" s="1"/>
  <c r="BF92" i="2" s="1"/>
  <c r="BF103" i="2" s="1"/>
  <c r="BF114" i="2" s="1"/>
  <c r="BF125" i="2" s="1"/>
  <c r="BF136" i="2" s="1"/>
  <c r="BF147" i="2" s="1"/>
  <c r="BF158" i="2" s="1"/>
  <c r="BF14" i="2"/>
  <c r="BF47" i="2" s="1"/>
  <c r="BF13" i="2"/>
  <c r="BF12" i="2"/>
  <c r="BF11" i="2"/>
  <c r="BE15" i="2"/>
  <c r="BE26" i="2" s="1"/>
  <c r="BE37" i="2" s="1"/>
  <c r="BE48" i="2" s="1"/>
  <c r="BE59" i="2" s="1"/>
  <c r="BE70" i="2" s="1"/>
  <c r="BE81" i="2" s="1"/>
  <c r="BE92" i="2" s="1"/>
  <c r="BE103" i="2" s="1"/>
  <c r="BE114" i="2" s="1"/>
  <c r="BE125" i="2" s="1"/>
  <c r="BE136" i="2" s="1"/>
  <c r="BE147" i="2" s="1"/>
  <c r="BE158" i="2" s="1"/>
  <c r="BE14" i="2"/>
  <c r="BE47" i="2" s="1"/>
  <c r="BE13" i="2"/>
  <c r="BE46" i="2" s="1"/>
  <c r="BE12" i="2"/>
  <c r="BE34" i="2" s="1"/>
  <c r="BE11" i="2"/>
  <c r="BE154" i="2" s="1"/>
  <c r="BD15" i="2"/>
  <c r="BD26" i="2" s="1"/>
  <c r="BD37" i="2" s="1"/>
  <c r="BD48" i="2" s="1"/>
  <c r="BD59" i="2" s="1"/>
  <c r="BD70" i="2" s="1"/>
  <c r="BD81" i="2" s="1"/>
  <c r="BD92" i="2" s="1"/>
  <c r="BD103" i="2" s="1"/>
  <c r="BD114" i="2" s="1"/>
  <c r="BD125" i="2" s="1"/>
  <c r="BD136" i="2" s="1"/>
  <c r="BD147" i="2" s="1"/>
  <c r="BD158" i="2" s="1"/>
  <c r="BD14" i="2"/>
  <c r="BD47" i="2" s="1"/>
  <c r="BD13" i="2"/>
  <c r="BD12" i="2"/>
  <c r="BD34" i="2" s="1"/>
  <c r="BD11" i="2"/>
  <c r="BD154" i="2" s="1"/>
  <c r="BC15" i="2"/>
  <c r="BC26" i="2" s="1"/>
  <c r="BC37" i="2" s="1"/>
  <c r="BC48" i="2" s="1"/>
  <c r="BC59" i="2" s="1"/>
  <c r="BC70" i="2" s="1"/>
  <c r="BC81" i="2" s="1"/>
  <c r="BC92" i="2" s="1"/>
  <c r="BC103" i="2" s="1"/>
  <c r="BC114" i="2" s="1"/>
  <c r="BC125" i="2" s="1"/>
  <c r="BC136" i="2" s="1"/>
  <c r="BC147" i="2" s="1"/>
  <c r="BC158" i="2" s="1"/>
  <c r="BC14" i="2"/>
  <c r="BC47" i="2" s="1"/>
  <c r="BC13" i="2"/>
  <c r="BC12" i="2"/>
  <c r="BC11" i="2"/>
  <c r="BB15" i="2"/>
  <c r="BB26" i="2" s="1"/>
  <c r="BB37" i="2" s="1"/>
  <c r="BB48" i="2" s="1"/>
  <c r="BB59" i="2" s="1"/>
  <c r="BB70" i="2" s="1"/>
  <c r="BB81" i="2" s="1"/>
  <c r="BB92" i="2" s="1"/>
  <c r="BB103" i="2" s="1"/>
  <c r="BB114" i="2" s="1"/>
  <c r="BB125" i="2" s="1"/>
  <c r="BB136" i="2" s="1"/>
  <c r="BB147" i="2" s="1"/>
  <c r="BB158" i="2" s="1"/>
  <c r="BB14" i="2"/>
  <c r="BB47" i="2" s="1"/>
  <c r="BB13" i="2"/>
  <c r="BB46" i="2" s="1"/>
  <c r="BB12" i="2"/>
  <c r="BB144" i="2" s="1"/>
  <c r="BB11" i="2"/>
  <c r="BB66" i="2" s="1"/>
  <c r="BA15" i="2"/>
  <c r="BA26" i="2" s="1"/>
  <c r="BA37" i="2" s="1"/>
  <c r="BA48" i="2" s="1"/>
  <c r="BA59" i="2" s="1"/>
  <c r="BA70" i="2" s="1"/>
  <c r="BA81" i="2" s="1"/>
  <c r="BA92" i="2" s="1"/>
  <c r="BA103" i="2" s="1"/>
  <c r="BA114" i="2" s="1"/>
  <c r="BA125" i="2" s="1"/>
  <c r="BA136" i="2" s="1"/>
  <c r="BA147" i="2" s="1"/>
  <c r="BA158" i="2" s="1"/>
  <c r="BA14" i="2"/>
  <c r="BA47" i="2" s="1"/>
  <c r="BA13" i="2"/>
  <c r="BA24" i="2" s="1"/>
  <c r="BA57" i="2" s="1"/>
  <c r="BA134" i="2" s="1"/>
  <c r="BA145" i="2" s="1"/>
  <c r="BA156" i="2" s="1"/>
  <c r="BA12" i="2"/>
  <c r="BA56" i="2" s="1"/>
  <c r="BA11" i="2"/>
  <c r="BA55" i="2" s="1"/>
  <c r="AS157" i="2"/>
  <c r="AR157" i="2"/>
  <c r="AQ157" i="2"/>
  <c r="AP157" i="2"/>
  <c r="AO157" i="2"/>
  <c r="AN157" i="2"/>
  <c r="AS113" i="2"/>
  <c r="AS124" i="2" s="1"/>
  <c r="AR113" i="2"/>
  <c r="AR124" i="2" s="1"/>
  <c r="AQ113" i="2"/>
  <c r="AQ124" i="2" s="1"/>
  <c r="AP113" i="2"/>
  <c r="AP124" i="2" s="1"/>
  <c r="AO113" i="2"/>
  <c r="AO124" i="2" s="1"/>
  <c r="AN113" i="2"/>
  <c r="AN124" i="2" s="1"/>
  <c r="AS91" i="2"/>
  <c r="AR91" i="2"/>
  <c r="AQ91" i="2"/>
  <c r="AP91" i="2"/>
  <c r="AO91" i="2"/>
  <c r="AN91" i="2"/>
  <c r="AS80" i="2"/>
  <c r="AR80" i="2"/>
  <c r="AQ80" i="2"/>
  <c r="AP80" i="2"/>
  <c r="AO80" i="2"/>
  <c r="AN80" i="2"/>
  <c r="AS69" i="2"/>
  <c r="AS68" i="2"/>
  <c r="AS79" i="2" s="1"/>
  <c r="AS90" i="2" s="1"/>
  <c r="AR69" i="2"/>
  <c r="AR68" i="2"/>
  <c r="AR79" i="2" s="1"/>
  <c r="AR90" i="2" s="1"/>
  <c r="AQ69" i="2"/>
  <c r="AQ68" i="2"/>
  <c r="AQ79" i="2" s="1"/>
  <c r="AQ90" i="2" s="1"/>
  <c r="AP69" i="2"/>
  <c r="AP68" i="2"/>
  <c r="AP79" i="2" s="1"/>
  <c r="AP90" i="2" s="1"/>
  <c r="AO69" i="2"/>
  <c r="AO68" i="2"/>
  <c r="AO79" i="2" s="1"/>
  <c r="AO90" i="2" s="1"/>
  <c r="AN69" i="2"/>
  <c r="AN68" i="2"/>
  <c r="AN79" i="2" s="1"/>
  <c r="AN90" i="2" s="1"/>
  <c r="AS36" i="2"/>
  <c r="AS102" i="2" s="1"/>
  <c r="AR36" i="2"/>
  <c r="AR102" i="2" s="1"/>
  <c r="AQ36" i="2"/>
  <c r="AQ102" i="2" s="1"/>
  <c r="AP36" i="2"/>
  <c r="AP102" i="2" s="1"/>
  <c r="AO36" i="2"/>
  <c r="AO102" i="2" s="1"/>
  <c r="AN36" i="2"/>
  <c r="AN102" i="2" s="1"/>
  <c r="AS25" i="2"/>
  <c r="AS58" i="2" s="1"/>
  <c r="AS135" i="2" s="1"/>
  <c r="AS146" i="2" s="1"/>
  <c r="AR25" i="2"/>
  <c r="AR58" i="2" s="1"/>
  <c r="AR135" i="2" s="1"/>
  <c r="AR146" i="2" s="1"/>
  <c r="AQ25" i="2"/>
  <c r="AQ58" i="2" s="1"/>
  <c r="AQ135" i="2" s="1"/>
  <c r="AQ146" i="2" s="1"/>
  <c r="AP25" i="2"/>
  <c r="AP58" i="2" s="1"/>
  <c r="AP135" i="2" s="1"/>
  <c r="AP146" i="2" s="1"/>
  <c r="AO25" i="2"/>
  <c r="AO58" i="2" s="1"/>
  <c r="AO135" i="2" s="1"/>
  <c r="AO146" i="2" s="1"/>
  <c r="AN25" i="2"/>
  <c r="AN58" i="2" s="1"/>
  <c r="AN135" i="2" s="1"/>
  <c r="AN146" i="2" s="1"/>
  <c r="AS15" i="2"/>
  <c r="AS26" i="2" s="1"/>
  <c r="AS37" i="2" s="1"/>
  <c r="AS48" i="2" s="1"/>
  <c r="AS59" i="2" s="1"/>
  <c r="AS70" i="2" s="1"/>
  <c r="AS81" i="2" s="1"/>
  <c r="AS92" i="2" s="1"/>
  <c r="AS103" i="2" s="1"/>
  <c r="AS114" i="2" s="1"/>
  <c r="AS125" i="2" s="1"/>
  <c r="AS136" i="2" s="1"/>
  <c r="AS147" i="2" s="1"/>
  <c r="AS158" i="2" s="1"/>
  <c r="AS14" i="2"/>
  <c r="AS47" i="2" s="1"/>
  <c r="AS13" i="2"/>
  <c r="AS12" i="2"/>
  <c r="AS11" i="2"/>
  <c r="AS66" i="2" s="1"/>
  <c r="AR15" i="2"/>
  <c r="AR26" i="2" s="1"/>
  <c r="AR37" i="2" s="1"/>
  <c r="AR48" i="2" s="1"/>
  <c r="AR59" i="2" s="1"/>
  <c r="AR70" i="2" s="1"/>
  <c r="AR81" i="2" s="1"/>
  <c r="AR92" i="2" s="1"/>
  <c r="AR103" i="2" s="1"/>
  <c r="AR114" i="2" s="1"/>
  <c r="AR125" i="2" s="1"/>
  <c r="AR136" i="2" s="1"/>
  <c r="AR147" i="2" s="1"/>
  <c r="AR158" i="2" s="1"/>
  <c r="AR14" i="2"/>
  <c r="AR47" i="2" s="1"/>
  <c r="AR13" i="2"/>
  <c r="AR24" i="2" s="1"/>
  <c r="AR35" i="2" s="1"/>
  <c r="AR101" i="2" s="1"/>
  <c r="AR112" i="2" s="1"/>
  <c r="AR123" i="2" s="1"/>
  <c r="AR12" i="2"/>
  <c r="AR11" i="2"/>
  <c r="AR77" i="2" s="1"/>
  <c r="AQ15" i="2"/>
  <c r="AQ26" i="2" s="1"/>
  <c r="AQ37" i="2" s="1"/>
  <c r="AQ48" i="2" s="1"/>
  <c r="AQ59" i="2" s="1"/>
  <c r="AQ70" i="2" s="1"/>
  <c r="AQ81" i="2" s="1"/>
  <c r="AQ92" i="2" s="1"/>
  <c r="AQ103" i="2" s="1"/>
  <c r="AQ114" i="2" s="1"/>
  <c r="AQ125" i="2" s="1"/>
  <c r="AQ136" i="2" s="1"/>
  <c r="AQ147" i="2" s="1"/>
  <c r="AQ158" i="2" s="1"/>
  <c r="AQ14" i="2"/>
  <c r="AQ47" i="2" s="1"/>
  <c r="AQ13" i="2"/>
  <c r="AQ12" i="2"/>
  <c r="AQ11" i="2"/>
  <c r="AP15" i="2"/>
  <c r="AP26" i="2" s="1"/>
  <c r="AP37" i="2" s="1"/>
  <c r="AP48" i="2" s="1"/>
  <c r="AP59" i="2" s="1"/>
  <c r="AP70" i="2" s="1"/>
  <c r="AP81" i="2" s="1"/>
  <c r="AP92" i="2" s="1"/>
  <c r="AP103" i="2" s="1"/>
  <c r="AP114" i="2" s="1"/>
  <c r="AP125" i="2" s="1"/>
  <c r="AP136" i="2" s="1"/>
  <c r="AP147" i="2" s="1"/>
  <c r="AP158" i="2" s="1"/>
  <c r="AP14" i="2"/>
  <c r="AP47" i="2" s="1"/>
  <c r="AP13" i="2"/>
  <c r="AP46" i="2" s="1"/>
  <c r="AP12" i="2"/>
  <c r="AP100" i="2" s="1"/>
  <c r="AP11" i="2"/>
  <c r="AP132" i="2" s="1"/>
  <c r="AO15" i="2"/>
  <c r="AO26" i="2" s="1"/>
  <c r="AO37" i="2" s="1"/>
  <c r="AO48" i="2" s="1"/>
  <c r="AO59" i="2" s="1"/>
  <c r="AO70" i="2" s="1"/>
  <c r="AO81" i="2" s="1"/>
  <c r="AO92" i="2" s="1"/>
  <c r="AO103" i="2" s="1"/>
  <c r="AO114" i="2" s="1"/>
  <c r="AO125" i="2" s="1"/>
  <c r="AO136" i="2" s="1"/>
  <c r="AO147" i="2" s="1"/>
  <c r="AO158" i="2" s="1"/>
  <c r="AO14" i="2"/>
  <c r="AO47" i="2" s="1"/>
  <c r="AO13" i="2"/>
  <c r="AO12" i="2"/>
  <c r="AO11" i="2"/>
  <c r="AN15" i="2"/>
  <c r="AN26" i="2" s="1"/>
  <c r="AN37" i="2" s="1"/>
  <c r="AN48" i="2" s="1"/>
  <c r="AN59" i="2" s="1"/>
  <c r="AN70" i="2" s="1"/>
  <c r="AN81" i="2" s="1"/>
  <c r="AN92" i="2" s="1"/>
  <c r="AN103" i="2" s="1"/>
  <c r="AN114" i="2" s="1"/>
  <c r="AN125" i="2" s="1"/>
  <c r="AN136" i="2" s="1"/>
  <c r="AN147" i="2" s="1"/>
  <c r="AN158" i="2" s="1"/>
  <c r="AN14" i="2"/>
  <c r="AN47" i="2" s="1"/>
  <c r="AN13" i="2"/>
  <c r="AN12" i="2"/>
  <c r="AN11" i="2"/>
  <c r="D10" i="45"/>
  <c r="E10" i="45" s="1"/>
  <c r="F10" i="45" s="1"/>
  <c r="G10" i="45" s="1"/>
  <c r="H10" i="45" s="1"/>
  <c r="I10" i="45" s="1"/>
  <c r="J10" i="45" s="1"/>
  <c r="K10" i="45" s="1"/>
  <c r="L10" i="45" s="1"/>
  <c r="M10" i="45" s="1"/>
  <c r="N10" i="45" s="1"/>
  <c r="O10" i="45" s="1"/>
  <c r="P10" i="45" s="1"/>
  <c r="Q10" i="45" s="1"/>
  <c r="R10" i="45" s="1"/>
  <c r="S10" i="45" s="1"/>
  <c r="T10" i="45" s="1"/>
  <c r="U10" i="45" s="1"/>
  <c r="V10" i="45" s="1"/>
  <c r="W10" i="45" s="1"/>
  <c r="X10" i="45" s="1"/>
  <c r="Y10" i="45" s="1"/>
  <c r="Z10" i="45" s="1"/>
  <c r="AA10" i="45" s="1"/>
  <c r="AB10" i="45" s="1"/>
  <c r="AC10" i="45" s="1"/>
  <c r="AD10" i="45" s="1"/>
  <c r="AE10" i="45" s="1"/>
  <c r="AF10" i="45" s="1"/>
  <c r="AG10" i="45" s="1"/>
  <c r="D9" i="45"/>
  <c r="E9" i="45" s="1"/>
  <c r="F9" i="45" s="1"/>
  <c r="G9" i="45" s="1"/>
  <c r="H9" i="45" s="1"/>
  <c r="I9" i="45" s="1"/>
  <c r="J9" i="45" s="1"/>
  <c r="K9" i="45" s="1"/>
  <c r="L9" i="45" s="1"/>
  <c r="M9" i="45" s="1"/>
  <c r="N9" i="45" s="1"/>
  <c r="O9" i="45" s="1"/>
  <c r="P9" i="45" s="1"/>
  <c r="Q9" i="45" s="1"/>
  <c r="R9" i="45" s="1"/>
  <c r="S9" i="45" s="1"/>
  <c r="T9" i="45" s="1"/>
  <c r="U9" i="45" s="1"/>
  <c r="V9" i="45" s="1"/>
  <c r="W9" i="45" s="1"/>
  <c r="X9" i="45" s="1"/>
  <c r="Y9" i="45" s="1"/>
  <c r="Z9" i="45" s="1"/>
  <c r="AA9" i="45" s="1"/>
  <c r="AB9" i="45" s="1"/>
  <c r="AC9" i="45" s="1"/>
  <c r="AD9" i="45" s="1"/>
  <c r="AE9" i="45" s="1"/>
  <c r="AF9" i="45" s="1"/>
  <c r="AG9" i="45" s="1"/>
  <c r="D12" i="74"/>
  <c r="D15" i="45"/>
  <c r="F169" i="3"/>
  <c r="F157" i="3"/>
  <c r="F145" i="3"/>
  <c r="F12" i="74"/>
  <c r="G12" i="74"/>
  <c r="H12" i="74"/>
  <c r="I12" i="74"/>
  <c r="J12" i="74"/>
  <c r="K12" i="74"/>
  <c r="F13" i="74"/>
  <c r="G13" i="74"/>
  <c r="H13" i="74"/>
  <c r="I13" i="74"/>
  <c r="J13" i="74"/>
  <c r="K13" i="74"/>
  <c r="F14" i="74"/>
  <c r="G14" i="74"/>
  <c r="H14" i="74"/>
  <c r="I14" i="74"/>
  <c r="J14" i="74"/>
  <c r="K14" i="74"/>
  <c r="D13" i="74"/>
  <c r="F8" i="74"/>
  <c r="G8" i="74"/>
  <c r="H8" i="74"/>
  <c r="I8" i="74"/>
  <c r="J8" i="74"/>
  <c r="K8" i="74"/>
  <c r="F9" i="74"/>
  <c r="G9" i="74"/>
  <c r="H9" i="74"/>
  <c r="I9" i="74"/>
  <c r="J9" i="74"/>
  <c r="K9" i="74"/>
  <c r="F10" i="74"/>
  <c r="G10" i="74"/>
  <c r="H10" i="74"/>
  <c r="I10" i="74"/>
  <c r="J10" i="74"/>
  <c r="K10" i="74"/>
  <c r="D9" i="74"/>
  <c r="D10" i="74"/>
  <c r="D8" i="74"/>
  <c r="D14" i="74"/>
  <c r="M8" i="78" l="1"/>
  <c r="M77" i="78"/>
  <c r="M32" i="78"/>
  <c r="M165" i="78"/>
  <c r="M56" i="78"/>
  <c r="E15" i="45"/>
  <c r="E7" i="45" s="1"/>
  <c r="D18" i="45"/>
  <c r="J27" i="82"/>
  <c r="J32" i="82"/>
  <c r="J33" i="82" s="1"/>
  <c r="K4" i="82"/>
  <c r="N40" i="80"/>
  <c r="O38" i="80"/>
  <c r="K29" i="82"/>
  <c r="K6" i="82" s="1"/>
  <c r="K7" i="82" s="1"/>
  <c r="L26" i="80"/>
  <c r="M25" i="80"/>
  <c r="K27" i="80"/>
  <c r="K31" i="80" s="1"/>
  <c r="K34" i="80" s="1"/>
  <c r="M17" i="82" s="1"/>
  <c r="L24" i="80"/>
  <c r="M37" i="80"/>
  <c r="L41" i="80"/>
  <c r="L45" i="80" s="1"/>
  <c r="L48" i="80" s="1"/>
  <c r="K49" i="80"/>
  <c r="K50" i="80" s="1"/>
  <c r="M24" i="82" s="1"/>
  <c r="K32" i="82"/>
  <c r="K33" i="82" s="1"/>
  <c r="K27" i="82"/>
  <c r="L23" i="82"/>
  <c r="L25" i="82" s="1"/>
  <c r="L18" i="82"/>
  <c r="M16" i="82"/>
  <c r="M21" i="82"/>
  <c r="N9" i="82"/>
  <c r="M91" i="78"/>
  <c r="M29" i="78"/>
  <c r="M31" i="78"/>
  <c r="M125" i="78"/>
  <c r="M126" i="78"/>
  <c r="M129" i="78"/>
  <c r="M65" i="78"/>
  <c r="M138" i="78"/>
  <c r="M139" i="78"/>
  <c r="M151" i="78"/>
  <c r="M93" i="78"/>
  <c r="M6" i="79"/>
  <c r="M43" i="79"/>
  <c r="M141" i="79"/>
  <c r="M153" i="79"/>
  <c r="M161" i="79"/>
  <c r="M152" i="79"/>
  <c r="M151" i="79"/>
  <c r="M150" i="79"/>
  <c r="M149" i="79"/>
  <c r="M129" i="77"/>
  <c r="M45" i="77"/>
  <c r="M162" i="77"/>
  <c r="M90" i="77"/>
  <c r="BX25" i="2"/>
  <c r="I24" i="78" s="1"/>
  <c r="BW25" i="2"/>
  <c r="H24" i="78" s="1"/>
  <c r="BW80" i="2"/>
  <c r="H84" i="78" s="1"/>
  <c r="BV80" i="2"/>
  <c r="G84" i="78" s="1"/>
  <c r="BV91" i="2"/>
  <c r="G96" i="78" s="1"/>
  <c r="BX58" i="2"/>
  <c r="I60" i="78" s="1"/>
  <c r="CN24" i="2"/>
  <c r="BV69" i="2"/>
  <c r="G72" i="78" s="1"/>
  <c r="BV36" i="2"/>
  <c r="G36" i="78" s="1"/>
  <c r="BX80" i="2"/>
  <c r="I84" i="78" s="1"/>
  <c r="BV25" i="2"/>
  <c r="G24" i="78" s="1"/>
  <c r="BX69" i="2"/>
  <c r="I72" i="78" s="1"/>
  <c r="BW69" i="2"/>
  <c r="H72" i="78" s="1"/>
  <c r="M56" i="79"/>
  <c r="M127" i="79"/>
  <c r="M66" i="79"/>
  <c r="M33" i="79"/>
  <c r="M115" i="79"/>
  <c r="M54" i="79"/>
  <c r="M164" i="79"/>
  <c r="M103" i="79"/>
  <c r="M42" i="79"/>
  <c r="M91" i="79"/>
  <c r="M30" i="79"/>
  <c r="M140" i="79"/>
  <c r="M55" i="79"/>
  <c r="M32" i="79"/>
  <c r="M138" i="79"/>
  <c r="M129" i="79"/>
  <c r="M101" i="79"/>
  <c r="M45" i="79"/>
  <c r="M89" i="79"/>
  <c r="M78" i="79"/>
  <c r="M113" i="79"/>
  <c r="M92" i="79"/>
  <c r="M57" i="79"/>
  <c r="M69" i="79"/>
  <c r="M128" i="79"/>
  <c r="M114" i="79"/>
  <c r="M93" i="79"/>
  <c r="M41" i="79"/>
  <c r="M104" i="79"/>
  <c r="M126" i="79"/>
  <c r="M81" i="79"/>
  <c r="M165" i="79"/>
  <c r="M105" i="79"/>
  <c r="M116" i="79"/>
  <c r="M53" i="79"/>
  <c r="M68" i="79"/>
  <c r="M137" i="79"/>
  <c r="M139" i="79"/>
  <c r="M90" i="79"/>
  <c r="M125" i="79"/>
  <c r="M117" i="79"/>
  <c r="M65" i="79"/>
  <c r="M80" i="79"/>
  <c r="M162" i="79"/>
  <c r="M44" i="79"/>
  <c r="M77" i="79"/>
  <c r="M5" i="79"/>
  <c r="M9" i="79"/>
  <c r="M7" i="79"/>
  <c r="M29" i="79"/>
  <c r="M31" i="79"/>
  <c r="M67" i="79"/>
  <c r="M102" i="79"/>
  <c r="M21" i="79"/>
  <c r="M17" i="79"/>
  <c r="M21" i="78"/>
  <c r="M19" i="78"/>
  <c r="M20" i="78"/>
  <c r="M18" i="78"/>
  <c r="M79" i="78"/>
  <c r="M101" i="78"/>
  <c r="M128" i="78"/>
  <c r="M150" i="78"/>
  <c r="M105" i="78"/>
  <c r="M41" i="78"/>
  <c r="M53" i="78"/>
  <c r="M68" i="78"/>
  <c r="M17" i="78"/>
  <c r="M81" i="78"/>
  <c r="M43" i="78"/>
  <c r="M57" i="78"/>
  <c r="M5" i="78"/>
  <c r="M9" i="78"/>
  <c r="M7" i="78"/>
  <c r="M127" i="78"/>
  <c r="M66" i="78"/>
  <c r="M33" i="78"/>
  <c r="M152" i="78"/>
  <c r="M115" i="78"/>
  <c r="M54" i="78"/>
  <c r="M164" i="78"/>
  <c r="M103" i="78"/>
  <c r="M42" i="78"/>
  <c r="M149" i="78"/>
  <c r="M116" i="78"/>
  <c r="M55" i="78"/>
  <c r="M141" i="78"/>
  <c r="M113" i="78"/>
  <c r="M80" i="78"/>
  <c r="M162" i="78"/>
  <c r="M153" i="78"/>
  <c r="M137" i="78"/>
  <c r="M117" i="78"/>
  <c r="M78" i="78"/>
  <c r="M104" i="78"/>
  <c r="M90" i="78"/>
  <c r="M114" i="78"/>
  <c r="M102" i="78"/>
  <c r="M69" i="78"/>
  <c r="M30" i="78"/>
  <c r="M163" i="78"/>
  <c r="M161" i="78"/>
  <c r="M140" i="78"/>
  <c r="M92" i="78"/>
  <c r="M67" i="78"/>
  <c r="M44" i="78"/>
  <c r="M45" i="78"/>
  <c r="BX91" i="2"/>
  <c r="I96" i="78" s="1"/>
  <c r="BW91" i="2"/>
  <c r="H96" i="78" s="1"/>
  <c r="BX36" i="2"/>
  <c r="I36" i="78" s="1"/>
  <c r="BW36" i="2"/>
  <c r="H36" i="78" s="1"/>
  <c r="BV157" i="2"/>
  <c r="G168" i="78" s="1"/>
  <c r="BX124" i="2"/>
  <c r="I132" i="78" s="1"/>
  <c r="BX113" i="2"/>
  <c r="I120" i="78" s="1"/>
  <c r="BW113" i="2"/>
  <c r="H120" i="78" s="1"/>
  <c r="BW124" i="2"/>
  <c r="H132" i="78" s="1"/>
  <c r="BX14" i="2"/>
  <c r="I12" i="78" s="1"/>
  <c r="BX47" i="2"/>
  <c r="I48" i="78" s="1"/>
  <c r="BW14" i="2"/>
  <c r="H12" i="78" s="1"/>
  <c r="BW47" i="2"/>
  <c r="H48" i="78" s="1"/>
  <c r="BV14" i="2"/>
  <c r="G12" i="78" s="1"/>
  <c r="BV47" i="2"/>
  <c r="G48" i="78" s="1"/>
  <c r="BV113" i="2"/>
  <c r="G120" i="78" s="1"/>
  <c r="CF34" i="2"/>
  <c r="CF45" i="2" s="1"/>
  <c r="CB34" i="2"/>
  <c r="CA34" i="2"/>
  <c r="CC77" i="2"/>
  <c r="CE66" i="2"/>
  <c r="CD22" i="2"/>
  <c r="CA22" i="2"/>
  <c r="CB22" i="2"/>
  <c r="BW146" i="2"/>
  <c r="H156" i="78" s="1"/>
  <c r="BW135" i="2"/>
  <c r="H144" i="78" s="1"/>
  <c r="BV135" i="2"/>
  <c r="G144" i="78" s="1"/>
  <c r="CE34" i="2"/>
  <c r="CD34" i="2"/>
  <c r="CC34" i="2"/>
  <c r="CF55" i="2"/>
  <c r="BW58" i="2"/>
  <c r="H60" i="78" s="1"/>
  <c r="BV58" i="2"/>
  <c r="G60" i="78" s="1"/>
  <c r="BV124" i="2"/>
  <c r="G132" i="78" s="1"/>
  <c r="BX157" i="2"/>
  <c r="I168" i="78" s="1"/>
  <c r="BW157" i="2"/>
  <c r="H168" i="78" s="1"/>
  <c r="AQ44" i="2"/>
  <c r="AN154" i="2"/>
  <c r="AR144" i="2"/>
  <c r="M127" i="77"/>
  <c r="M66" i="77"/>
  <c r="M33" i="77"/>
  <c r="M115" i="77"/>
  <c r="M54" i="77"/>
  <c r="M164" i="77"/>
  <c r="M103" i="77"/>
  <c r="M42" i="77"/>
  <c r="M152" i="77"/>
  <c r="M91" i="77"/>
  <c r="M30" i="77"/>
  <c r="M140" i="77"/>
  <c r="M137" i="77"/>
  <c r="M69" i="77"/>
  <c r="M56" i="77"/>
  <c r="M161" i="77"/>
  <c r="M149" i="77"/>
  <c r="M105" i="77"/>
  <c r="M67" i="77"/>
  <c r="M114" i="77"/>
  <c r="M41" i="77"/>
  <c r="M31" i="77"/>
  <c r="M57" i="77"/>
  <c r="M44" i="77"/>
  <c r="M29" i="77"/>
  <c r="M89" i="77"/>
  <c r="M77" i="77"/>
  <c r="M92" i="77"/>
  <c r="M126" i="77"/>
  <c r="M117" i="77"/>
  <c r="M113" i="77"/>
  <c r="M68" i="77"/>
  <c r="M139" i="77"/>
  <c r="M116" i="77"/>
  <c r="M81" i="77"/>
  <c r="M102" i="77"/>
  <c r="M53" i="77"/>
  <c r="M43" i="77"/>
  <c r="M163" i="77"/>
  <c r="M128" i="77"/>
  <c r="M79" i="77"/>
  <c r="M151" i="77"/>
  <c r="M125" i="77"/>
  <c r="M93" i="77"/>
  <c r="M104" i="77"/>
  <c r="M80" i="77"/>
  <c r="M32" i="77"/>
  <c r="M150" i="77"/>
  <c r="M165" i="77"/>
  <c r="M5" i="77"/>
  <c r="M9" i="77"/>
  <c r="M6" i="77"/>
  <c r="M8" i="77"/>
  <c r="M141" i="77"/>
  <c r="M21" i="77"/>
  <c r="M19" i="77"/>
  <c r="M18" i="77"/>
  <c r="M65" i="77"/>
  <c r="M17" i="77"/>
  <c r="M55" i="77"/>
  <c r="M153" i="77"/>
  <c r="M78" i="77"/>
  <c r="M138" i="77"/>
  <c r="AR67" i="2"/>
  <c r="AP89" i="2"/>
  <c r="AP34" i="2"/>
  <c r="AP99" i="2"/>
  <c r="AP55" i="2"/>
  <c r="AR23" i="2"/>
  <c r="AP44" i="2"/>
  <c r="AP56" i="2"/>
  <c r="AP45" i="2"/>
  <c r="BA35" i="2"/>
  <c r="BA101" i="2" s="1"/>
  <c r="BA112" i="2" s="1"/>
  <c r="BA123" i="2" s="1"/>
  <c r="AN143" i="2"/>
  <c r="BE143" i="2"/>
  <c r="BE121" i="2"/>
  <c r="AR89" i="2"/>
  <c r="AR132" i="2"/>
  <c r="AS88" i="2"/>
  <c r="AN44" i="2"/>
  <c r="BE99" i="2"/>
  <c r="AP24" i="2"/>
  <c r="AP57" i="2" s="1"/>
  <c r="AP134" i="2" s="1"/>
  <c r="AP145" i="2" s="1"/>
  <c r="AP156" i="2" s="1"/>
  <c r="AR133" i="2"/>
  <c r="BB89" i="2"/>
  <c r="BB24" i="2"/>
  <c r="BB35" i="2" s="1"/>
  <c r="BB101" i="2" s="1"/>
  <c r="BB112" i="2" s="1"/>
  <c r="BB123" i="2" s="1"/>
  <c r="BE33" i="2"/>
  <c r="BB100" i="2"/>
  <c r="AR46" i="2"/>
  <c r="AX6" i="2"/>
  <c r="AP144" i="2"/>
  <c r="BB155" i="2"/>
  <c r="AY6" i="2"/>
  <c r="AR55" i="2"/>
  <c r="AP66" i="2"/>
  <c r="AP154" i="2"/>
  <c r="BB44" i="2"/>
  <c r="BB67" i="2"/>
  <c r="AP121" i="2"/>
  <c r="AR44" i="2"/>
  <c r="AP122" i="2"/>
  <c r="AP143" i="2"/>
  <c r="AR56" i="2"/>
  <c r="AP67" i="2"/>
  <c r="AP155" i="2"/>
  <c r="BB34" i="2"/>
  <c r="AR34" i="2"/>
  <c r="AR100" i="2"/>
  <c r="BB133" i="2"/>
  <c r="AR57" i="2"/>
  <c r="AR134" i="2" s="1"/>
  <c r="AR145" i="2" s="1"/>
  <c r="AR156" i="2" s="1"/>
  <c r="AP88" i="2"/>
  <c r="BE44" i="2"/>
  <c r="AN45" i="2"/>
  <c r="AN144" i="2"/>
  <c r="AN122" i="2"/>
  <c r="BD133" i="2"/>
  <c r="BD45" i="2"/>
  <c r="AN24" i="2"/>
  <c r="AN57" i="2" s="1"/>
  <c r="AN134" i="2" s="1"/>
  <c r="AN145" i="2" s="1"/>
  <c r="AN156" i="2" s="1"/>
  <c r="AN46" i="2"/>
  <c r="AS44" i="2"/>
  <c r="AS22" i="2"/>
  <c r="AS99" i="2"/>
  <c r="BD24" i="2"/>
  <c r="BD46" i="2"/>
  <c r="BD55" i="2"/>
  <c r="BD78" i="2"/>
  <c r="AK138" i="2"/>
  <c r="BB132" i="2"/>
  <c r="BB55" i="2"/>
  <c r="BD56" i="2"/>
  <c r="AL138" i="2"/>
  <c r="AO88" i="2"/>
  <c r="AO132" i="2"/>
  <c r="AO89" i="2"/>
  <c r="AO23" i="2"/>
  <c r="AO111" i="2"/>
  <c r="AO144" i="2"/>
  <c r="AO45" i="2"/>
  <c r="AO78" i="2"/>
  <c r="AO46" i="2"/>
  <c r="AO24" i="2"/>
  <c r="AO155" i="2"/>
  <c r="AO55" i="2"/>
  <c r="AO56" i="2"/>
  <c r="BF89" i="2"/>
  <c r="BF144" i="2"/>
  <c r="BF78" i="2"/>
  <c r="AM94" i="2"/>
  <c r="AM105" i="2"/>
  <c r="AL105" i="2"/>
  <c r="AO122" i="2"/>
  <c r="AN133" i="2"/>
  <c r="BA46" i="2"/>
  <c r="AM6" i="2"/>
  <c r="AL6" i="2"/>
  <c r="AK6" i="2"/>
  <c r="BB56" i="2"/>
  <c r="BE22" i="2"/>
  <c r="AR22" i="2"/>
  <c r="AR121" i="2"/>
  <c r="AR66" i="2"/>
  <c r="AR110" i="2"/>
  <c r="AK116" i="2"/>
  <c r="AR88" i="2"/>
  <c r="AM17" i="2"/>
  <c r="AL17" i="2"/>
  <c r="AL116" i="2"/>
  <c r="BB23" i="2"/>
  <c r="BE66" i="2"/>
  <c r="BE88" i="2"/>
  <c r="BB122" i="2"/>
  <c r="AR155" i="2"/>
  <c r="AR122" i="2"/>
  <c r="BF121" i="2"/>
  <c r="BF154" i="2"/>
  <c r="BF22" i="2"/>
  <c r="BF44" i="2"/>
  <c r="BF66" i="2"/>
  <c r="BF33" i="2"/>
  <c r="BF55" i="2"/>
  <c r="AS89" i="2"/>
  <c r="AS34" i="2"/>
  <c r="AS133" i="2"/>
  <c r="AS78" i="2"/>
  <c r="AS155" i="2"/>
  <c r="AS100" i="2"/>
  <c r="AS23" i="2"/>
  <c r="AS56" i="2"/>
  <c r="AS144" i="2"/>
  <c r="AS122" i="2"/>
  <c r="AS45" i="2"/>
  <c r="BE24" i="2"/>
  <c r="AS24" i="2"/>
  <c r="AS46" i="2"/>
  <c r="BC88" i="2"/>
  <c r="BC33" i="2"/>
  <c r="BC55" i="2"/>
  <c r="BC132" i="2"/>
  <c r="BC77" i="2"/>
  <c r="BC154" i="2"/>
  <c r="BC99" i="2"/>
  <c r="BC44" i="2"/>
  <c r="BF143" i="2"/>
  <c r="AK39" i="2"/>
  <c r="AQ88" i="2"/>
  <c r="AQ33" i="2"/>
  <c r="AQ154" i="2"/>
  <c r="AQ22" i="2"/>
  <c r="AQ99" i="2"/>
  <c r="AQ110" i="2"/>
  <c r="BC89" i="2"/>
  <c r="BC34" i="2"/>
  <c r="BC144" i="2"/>
  <c r="BC133" i="2"/>
  <c r="BC78" i="2"/>
  <c r="BC155" i="2"/>
  <c r="BC100" i="2"/>
  <c r="BC23" i="2"/>
  <c r="BC56" i="2"/>
  <c r="AL39" i="2"/>
  <c r="AQ144" i="2"/>
  <c r="AQ23" i="2"/>
  <c r="AQ45" i="2"/>
  <c r="AQ122" i="2"/>
  <c r="AQ100" i="2"/>
  <c r="AQ34" i="2"/>
  <c r="AQ111" i="2"/>
  <c r="AQ89" i="2"/>
  <c r="AQ78" i="2"/>
  <c r="BC24" i="2"/>
  <c r="BC46" i="2"/>
  <c r="BC45" i="2"/>
  <c r="BF77" i="2"/>
  <c r="AM39" i="2"/>
  <c r="AQ46" i="2"/>
  <c r="AQ24" i="2"/>
  <c r="BA22" i="2"/>
  <c r="BA121" i="2"/>
  <c r="BA44" i="2"/>
  <c r="BA33" i="2"/>
  <c r="BA143" i="2"/>
  <c r="BA132" i="2"/>
  <c r="BA110" i="2"/>
  <c r="AO66" i="2"/>
  <c r="AO121" i="2"/>
  <c r="AO143" i="2"/>
  <c r="AO77" i="2"/>
  <c r="AQ155" i="2"/>
  <c r="BA122" i="2"/>
  <c r="BA23" i="2"/>
  <c r="BA45" i="2"/>
  <c r="BA133" i="2"/>
  <c r="BA111" i="2"/>
  <c r="BA144" i="2"/>
  <c r="BA100" i="2"/>
  <c r="BA99" i="2"/>
  <c r="BC121" i="2"/>
  <c r="BC143" i="2"/>
  <c r="BF23" i="2"/>
  <c r="BF45" i="2"/>
  <c r="BF122" i="2"/>
  <c r="BF67" i="2"/>
  <c r="BF34" i="2"/>
  <c r="BF56" i="2"/>
  <c r="BC22" i="2"/>
  <c r="BF110" i="2"/>
  <c r="BC122" i="2"/>
  <c r="BA154" i="2"/>
  <c r="AO44" i="2"/>
  <c r="BF46" i="2"/>
  <c r="BF24" i="2"/>
  <c r="BC110" i="2"/>
  <c r="BF111" i="2"/>
  <c r="BF132" i="2"/>
  <c r="BA155" i="2"/>
  <c r="AL61" i="2"/>
  <c r="BD44" i="2"/>
  <c r="BD99" i="2"/>
  <c r="BD121" i="2"/>
  <c r="BD66" i="2"/>
  <c r="BD143" i="2"/>
  <c r="BD88" i="2"/>
  <c r="BD22" i="2"/>
  <c r="BD110" i="2"/>
  <c r="BD132" i="2"/>
  <c r="BC66" i="2"/>
  <c r="BC111" i="2"/>
  <c r="BF133" i="2"/>
  <c r="AM61" i="2"/>
  <c r="AO33" i="2"/>
  <c r="AO110" i="2"/>
  <c r="AQ143" i="2"/>
  <c r="AO154" i="2"/>
  <c r="BA34" i="2"/>
  <c r="BD33" i="2"/>
  <c r="BC67" i="2"/>
  <c r="AL72" i="2"/>
  <c r="AK72" i="2"/>
  <c r="AM72" i="2"/>
  <c r="AO22" i="2"/>
  <c r="BD77" i="2"/>
  <c r="BA88" i="2"/>
  <c r="AS67" i="2"/>
  <c r="BA89" i="2"/>
  <c r="AM149" i="2"/>
  <c r="AQ55" i="2"/>
  <c r="BF99" i="2"/>
  <c r="AK149" i="2"/>
  <c r="AQ56" i="2"/>
  <c r="AS111" i="2"/>
  <c r="AQ132" i="2"/>
  <c r="BA77" i="2"/>
  <c r="BF100" i="2"/>
  <c r="AL149" i="2"/>
  <c r="AN132" i="2"/>
  <c r="AN55" i="2"/>
  <c r="AN77" i="2"/>
  <c r="AN99" i="2"/>
  <c r="AN121" i="2"/>
  <c r="AN110" i="2"/>
  <c r="AN33" i="2"/>
  <c r="AN22" i="2"/>
  <c r="AN88" i="2"/>
  <c r="AN66" i="2"/>
  <c r="AO99" i="2"/>
  <c r="AQ133" i="2"/>
  <c r="BA66" i="2"/>
  <c r="BA78" i="2"/>
  <c r="BF155" i="2"/>
  <c r="AU160" i="2"/>
  <c r="AN111" i="2"/>
  <c r="AN56" i="2"/>
  <c r="AN78" i="2"/>
  <c r="AN100" i="2"/>
  <c r="AN155" i="2"/>
  <c r="AN34" i="2"/>
  <c r="AN23" i="2"/>
  <c r="AN89" i="2"/>
  <c r="AN67" i="2"/>
  <c r="AQ66" i="2"/>
  <c r="BA67" i="2"/>
  <c r="AS110" i="2"/>
  <c r="AS55" i="2"/>
  <c r="AS132" i="2"/>
  <c r="AS77" i="2"/>
  <c r="AS154" i="2"/>
  <c r="AS143" i="2"/>
  <c r="AS121" i="2"/>
  <c r="AS33" i="2"/>
  <c r="AQ67" i="2"/>
  <c r="AQ77" i="2"/>
  <c r="AQ121" i="2"/>
  <c r="BE155" i="2"/>
  <c r="BE122" i="2"/>
  <c r="BE89" i="2"/>
  <c r="BE56" i="2"/>
  <c r="BE23" i="2"/>
  <c r="BE133" i="2"/>
  <c r="BE78" i="2"/>
  <c r="BE111" i="2"/>
  <c r="BE100" i="2"/>
  <c r="BE144" i="2"/>
  <c r="BE67" i="2"/>
  <c r="BE45" i="2"/>
  <c r="BF88" i="2"/>
  <c r="AK105" i="2"/>
  <c r="BD122" i="2"/>
  <c r="BD100" i="2"/>
  <c r="BD155" i="2"/>
  <c r="BD67" i="2"/>
  <c r="BD144" i="2"/>
  <c r="BD89" i="2"/>
  <c r="BB77" i="2"/>
  <c r="BB22" i="2"/>
  <c r="BB110" i="2"/>
  <c r="BB33" i="2"/>
  <c r="AM127" i="2"/>
  <c r="AL127" i="2"/>
  <c r="AK127" i="2"/>
  <c r="BD111" i="2"/>
  <c r="AH160" i="2"/>
  <c r="AM83" i="2"/>
  <c r="AL83" i="2"/>
  <c r="BB88" i="2"/>
  <c r="AK28" i="2"/>
  <c r="BD23" i="2"/>
  <c r="BB99" i="2"/>
  <c r="BB143" i="2"/>
  <c r="BB154" i="2"/>
  <c r="AL28" i="2"/>
  <c r="BE110" i="2"/>
  <c r="BE55" i="2"/>
  <c r="BE132" i="2"/>
  <c r="BE77" i="2"/>
  <c r="BB121" i="2"/>
  <c r="AM28" i="2"/>
  <c r="AK83" i="2"/>
  <c r="AR99" i="2"/>
  <c r="AR154" i="2"/>
  <c r="AR33" i="2"/>
  <c r="AP77" i="2"/>
  <c r="AP22" i="2"/>
  <c r="AP110" i="2"/>
  <c r="AR143" i="2"/>
  <c r="AK50" i="2"/>
  <c r="AP78" i="2"/>
  <c r="AP23" i="2"/>
  <c r="AP133" i="2"/>
  <c r="AP33" i="2"/>
  <c r="AP111" i="2"/>
  <c r="AL50" i="2"/>
  <c r="AK94" i="2"/>
  <c r="AO133" i="2"/>
  <c r="AO100" i="2"/>
  <c r="AO67" i="2"/>
  <c r="AO34" i="2"/>
  <c r="AR45" i="2"/>
  <c r="AR78" i="2"/>
  <c r="AR111" i="2"/>
  <c r="BB45" i="2"/>
  <c r="BB78" i="2"/>
  <c r="BB111" i="2"/>
  <c r="D7" i="45"/>
  <c r="C11" i="45"/>
  <c r="F15" i="45" l="1"/>
  <c r="E18" i="45"/>
  <c r="L4" i="82"/>
  <c r="L32" i="82"/>
  <c r="L33" i="82" s="1"/>
  <c r="L27" i="82"/>
  <c r="L49" i="80"/>
  <c r="L50" i="80" s="1"/>
  <c r="N24" i="82" s="1"/>
  <c r="M23" i="82"/>
  <c r="M25" i="82" s="1"/>
  <c r="N37" i="80"/>
  <c r="M41" i="80"/>
  <c r="M45" i="80" s="1"/>
  <c r="M48" i="80" s="1"/>
  <c r="M18" i="82"/>
  <c r="L27" i="80"/>
  <c r="L31" i="80" s="1"/>
  <c r="L34" i="80" s="1"/>
  <c r="N17" i="82" s="1"/>
  <c r="M24" i="80"/>
  <c r="O9" i="82"/>
  <c r="N21" i="82"/>
  <c r="N16" i="82"/>
  <c r="L29" i="82"/>
  <c r="L6" i="82" s="1"/>
  <c r="M26" i="80"/>
  <c r="N25" i="80"/>
  <c r="O40" i="80"/>
  <c r="P38" i="80"/>
  <c r="BX135" i="2"/>
  <c r="I144" i="78" s="1"/>
  <c r="CN57" i="2"/>
  <c r="CN134" i="2" s="1"/>
  <c r="CN145" i="2" s="1"/>
  <c r="CN156" i="2" s="1"/>
  <c r="CN35" i="2"/>
  <c r="CN101" i="2" s="1"/>
  <c r="CN112" i="2" s="1"/>
  <c r="CN123" i="2" s="1"/>
  <c r="BW102" i="2"/>
  <c r="H108" i="78" s="1"/>
  <c r="CA45" i="2"/>
  <c r="CB45" i="2"/>
  <c r="CF56" i="2"/>
  <c r="CF67" i="2" s="1"/>
  <c r="CF78" i="2" s="1"/>
  <c r="BV102" i="2"/>
  <c r="G108" i="78" s="1"/>
  <c r="BV146" i="2"/>
  <c r="G156" i="78" s="1"/>
  <c r="CD33" i="2"/>
  <c r="CE45" i="2"/>
  <c r="CC88" i="2"/>
  <c r="CE77" i="2"/>
  <c r="CC45" i="2"/>
  <c r="CB33" i="2"/>
  <c r="CA33" i="2"/>
  <c r="BX102" i="2"/>
  <c r="I108" i="78" s="1"/>
  <c r="CD45" i="2"/>
  <c r="CF66" i="2"/>
  <c r="BB57" i="2"/>
  <c r="BB134" i="2" s="1"/>
  <c r="BB145" i="2" s="1"/>
  <c r="BB156" i="2" s="1"/>
  <c r="AP35" i="2"/>
  <c r="AP101" i="2" s="1"/>
  <c r="AP112" i="2" s="1"/>
  <c r="AP123" i="2" s="1"/>
  <c r="AN35" i="2"/>
  <c r="AN101" i="2" s="1"/>
  <c r="AN112" i="2" s="1"/>
  <c r="AN123" i="2" s="1"/>
  <c r="AM160" i="2"/>
  <c r="AL160" i="2"/>
  <c r="AX160" i="2"/>
  <c r="AO57" i="2"/>
  <c r="AO134" i="2" s="1"/>
  <c r="AO145" i="2" s="1"/>
  <c r="AO156" i="2" s="1"/>
  <c r="AO35" i="2"/>
  <c r="AO101" i="2" s="1"/>
  <c r="AO112" i="2" s="1"/>
  <c r="AO123" i="2" s="1"/>
  <c r="BD35" i="2"/>
  <c r="BD101" i="2" s="1"/>
  <c r="BD112" i="2" s="1"/>
  <c r="BD123" i="2" s="1"/>
  <c r="BD57" i="2"/>
  <c r="BD134" i="2" s="1"/>
  <c r="BD145" i="2" s="1"/>
  <c r="BD156" i="2" s="1"/>
  <c r="AI160" i="2"/>
  <c r="AK160" i="2"/>
  <c r="AZ160" i="2"/>
  <c r="AY160" i="2"/>
  <c r="AV160" i="2"/>
  <c r="AS35" i="2"/>
  <c r="AS101" i="2" s="1"/>
  <c r="AS112" i="2" s="1"/>
  <c r="AS123" i="2" s="1"/>
  <c r="AS57" i="2"/>
  <c r="AS134" i="2" s="1"/>
  <c r="AS145" i="2" s="1"/>
  <c r="AS156" i="2" s="1"/>
  <c r="BF35" i="2"/>
  <c r="BF101" i="2" s="1"/>
  <c r="BF112" i="2" s="1"/>
  <c r="BF123" i="2" s="1"/>
  <c r="BF57" i="2"/>
  <c r="BF134" i="2" s="1"/>
  <c r="BF145" i="2" s="1"/>
  <c r="BF156" i="2" s="1"/>
  <c r="BC57" i="2"/>
  <c r="BC134" i="2" s="1"/>
  <c r="BC145" i="2" s="1"/>
  <c r="BC156" i="2" s="1"/>
  <c r="BC35" i="2"/>
  <c r="BC101" i="2" s="1"/>
  <c r="BC112" i="2" s="1"/>
  <c r="BC123" i="2" s="1"/>
  <c r="AQ57" i="2"/>
  <c r="AQ134" i="2" s="1"/>
  <c r="AQ145" i="2" s="1"/>
  <c r="AQ156" i="2" s="1"/>
  <c r="AQ35" i="2"/>
  <c r="AQ101" i="2" s="1"/>
  <c r="AQ112" i="2" s="1"/>
  <c r="AQ123" i="2" s="1"/>
  <c r="BE35" i="2"/>
  <c r="BE101" i="2" s="1"/>
  <c r="BE112" i="2" s="1"/>
  <c r="BE123" i="2" s="1"/>
  <c r="BE57" i="2"/>
  <c r="BE134" i="2" s="1"/>
  <c r="BE145" i="2" s="1"/>
  <c r="BE156" i="2" s="1"/>
  <c r="W59" i="75"/>
  <c r="Z58" i="75"/>
  <c r="Z59" i="75"/>
  <c r="Y56" i="75"/>
  <c r="W56" i="75"/>
  <c r="W55" i="75"/>
  <c r="Y59" i="75"/>
  <c r="W57" i="75"/>
  <c r="Z51" i="75"/>
  <c r="W51" i="75"/>
  <c r="Z50" i="75"/>
  <c r="W50" i="75"/>
  <c r="Z49" i="75"/>
  <c r="W49" i="75"/>
  <c r="Y48" i="75"/>
  <c r="W48" i="75"/>
  <c r="Y47" i="75"/>
  <c r="W47" i="75"/>
  <c r="Y49" i="75"/>
  <c r="W43" i="75"/>
  <c r="Z42" i="75"/>
  <c r="Y42" i="75"/>
  <c r="Z41" i="75"/>
  <c r="Y40" i="75"/>
  <c r="W40" i="75"/>
  <c r="Y39" i="75"/>
  <c r="W39" i="75"/>
  <c r="Y43" i="75"/>
  <c r="W42" i="75"/>
  <c r="Z35" i="75"/>
  <c r="W35" i="75"/>
  <c r="Z34" i="75"/>
  <c r="W34" i="75"/>
  <c r="Z33" i="75"/>
  <c r="W33" i="75"/>
  <c r="Y32" i="75"/>
  <c r="W32" i="75"/>
  <c r="Y31" i="75"/>
  <c r="W31" i="75"/>
  <c r="Y33" i="75"/>
  <c r="W27" i="75"/>
  <c r="Z26" i="75"/>
  <c r="Y24" i="75"/>
  <c r="W24" i="75"/>
  <c r="W23" i="75"/>
  <c r="Y27" i="75"/>
  <c r="W25" i="75"/>
  <c r="Z19" i="75"/>
  <c r="W19" i="75"/>
  <c r="Z18" i="75"/>
  <c r="W18" i="75"/>
  <c r="Z17" i="75"/>
  <c r="W17" i="75"/>
  <c r="Y16" i="75"/>
  <c r="W16" i="75"/>
  <c r="Y15" i="75"/>
  <c r="W15" i="75"/>
  <c r="Y17" i="75"/>
  <c r="W11" i="75"/>
  <c r="Z10" i="75"/>
  <c r="Y10" i="75"/>
  <c r="Z9" i="75"/>
  <c r="W9" i="75"/>
  <c r="Y8" i="75"/>
  <c r="W8" i="75"/>
  <c r="Y7" i="75"/>
  <c r="W7" i="75"/>
  <c r="Y6" i="75"/>
  <c r="W6" i="75"/>
  <c r="W10" i="75"/>
  <c r="E14" i="74"/>
  <c r="L14" i="74" s="1"/>
  <c r="E10" i="74"/>
  <c r="L10" i="74" s="1"/>
  <c r="E9" i="74"/>
  <c r="L9" i="74" s="1"/>
  <c r="BX146" i="2" l="1"/>
  <c r="I156" i="78" s="1"/>
  <c r="G15" i="45"/>
  <c r="F18" i="45"/>
  <c r="F7" i="45"/>
  <c r="L7" i="82"/>
  <c r="M4" i="82"/>
  <c r="M29" i="82"/>
  <c r="O37" i="80"/>
  <c r="N41" i="80"/>
  <c r="N45" i="80" s="1"/>
  <c r="N48" i="80" s="1"/>
  <c r="N26" i="80"/>
  <c r="O25" i="80"/>
  <c r="Q38" i="80"/>
  <c r="P40" i="80"/>
  <c r="M32" i="82"/>
  <c r="M33" i="82" s="1"/>
  <c r="M27" i="82"/>
  <c r="N18" i="82"/>
  <c r="N23" i="82"/>
  <c r="N25" i="82" s="1"/>
  <c r="M49" i="80"/>
  <c r="M50" i="80" s="1"/>
  <c r="O24" i="82" s="1"/>
  <c r="O16" i="82"/>
  <c r="O21" i="82"/>
  <c r="P9" i="82"/>
  <c r="M27" i="80"/>
  <c r="M31" i="80" s="1"/>
  <c r="M34" i="80" s="1"/>
  <c r="O17" i="82" s="1"/>
  <c r="N24" i="80"/>
  <c r="CB56" i="2"/>
  <c r="CA56" i="2"/>
  <c r="CF77" i="2"/>
  <c r="CF89" i="2"/>
  <c r="CC56" i="2"/>
  <c r="CD56" i="2"/>
  <c r="CA44" i="2"/>
  <c r="CE88" i="2"/>
  <c r="CC99" i="2"/>
  <c r="CB44" i="2"/>
  <c r="CE56" i="2"/>
  <c r="CD44" i="2"/>
  <c r="E11" i="45"/>
  <c r="D11" i="45"/>
  <c r="Y57" i="75"/>
  <c r="Z25" i="75"/>
  <c r="Y35" i="75"/>
  <c r="Z57" i="75"/>
  <c r="Y18" i="75"/>
  <c r="Y50" i="75"/>
  <c r="W26" i="75"/>
  <c r="W58" i="75"/>
  <c r="Y11" i="75"/>
  <c r="Y23" i="75"/>
  <c r="W41" i="75"/>
  <c r="Y55" i="75"/>
  <c r="Z11" i="75"/>
  <c r="Y26" i="75"/>
  <c r="Z43" i="75"/>
  <c r="Y58" i="75"/>
  <c r="Z27" i="75"/>
  <c r="Y25" i="75"/>
  <c r="Y9" i="75"/>
  <c r="Y41" i="75"/>
  <c r="Y19" i="75"/>
  <c r="Y51" i="75"/>
  <c r="Y34" i="75"/>
  <c r="H15" i="45" l="1"/>
  <c r="G18" i="45"/>
  <c r="G7" i="45"/>
  <c r="M6" i="82"/>
  <c r="M7" i="82" s="1"/>
  <c r="N4" i="82"/>
  <c r="N32" i="82"/>
  <c r="N33" i="82" s="1"/>
  <c r="N27" i="82"/>
  <c r="O24" i="80"/>
  <c r="N27" i="80"/>
  <c r="N31" i="80" s="1"/>
  <c r="N34" i="80" s="1"/>
  <c r="P17" i="82" s="1"/>
  <c r="P21" i="82"/>
  <c r="Q9" i="82"/>
  <c r="P16" i="82"/>
  <c r="R38" i="80"/>
  <c r="Q40" i="80"/>
  <c r="O23" i="82"/>
  <c r="O25" i="82" s="1"/>
  <c r="P25" i="80"/>
  <c r="O26" i="80"/>
  <c r="O18" i="82"/>
  <c r="P37" i="80"/>
  <c r="O41" i="80"/>
  <c r="O45" i="80" s="1"/>
  <c r="O48" i="80" s="1"/>
  <c r="N29" i="82"/>
  <c r="N6" i="82" s="1"/>
  <c r="N49" i="80"/>
  <c r="N50" i="80" s="1"/>
  <c r="P24" i="82" s="1"/>
  <c r="CA67" i="2"/>
  <c r="CB67" i="2"/>
  <c r="CE99" i="2"/>
  <c r="CA55" i="2"/>
  <c r="CD55" i="2"/>
  <c r="CD67" i="2"/>
  <c r="CC67" i="2"/>
  <c r="CE67" i="2"/>
  <c r="CB55" i="2"/>
  <c r="CF100" i="2"/>
  <c r="CC110" i="2"/>
  <c r="CF88" i="2"/>
  <c r="F11" i="45"/>
  <c r="I15" i="45" l="1"/>
  <c r="H18" i="45"/>
  <c r="H7" i="45"/>
  <c r="O4" i="82"/>
  <c r="N7" i="82"/>
  <c r="O32" i="82"/>
  <c r="O33" i="82" s="1"/>
  <c r="O27" i="82"/>
  <c r="Q21" i="82"/>
  <c r="R9" i="82"/>
  <c r="Q16" i="82"/>
  <c r="P23" i="82"/>
  <c r="P4" i="82" s="1"/>
  <c r="O49" i="80"/>
  <c r="O50" i="80"/>
  <c r="Q24" i="82" s="1"/>
  <c r="O29" i="82"/>
  <c r="O27" i="80"/>
  <c r="O31" i="80" s="1"/>
  <c r="O34" i="80" s="1"/>
  <c r="Q17" i="82" s="1"/>
  <c r="P24" i="80"/>
  <c r="R40" i="80"/>
  <c r="S38" i="80"/>
  <c r="P18" i="82"/>
  <c r="Q37" i="80"/>
  <c r="P41" i="80"/>
  <c r="P45" i="80" s="1"/>
  <c r="P48" i="80" s="1"/>
  <c r="P26" i="80"/>
  <c r="Q25" i="80"/>
  <c r="CB78" i="2"/>
  <c r="CA78" i="2"/>
  <c r="CF111" i="2"/>
  <c r="CB66" i="2"/>
  <c r="CE78" i="2"/>
  <c r="CC78" i="2"/>
  <c r="CD78" i="2"/>
  <c r="CF99" i="2"/>
  <c r="CD66" i="2"/>
  <c r="CC121" i="2"/>
  <c r="CA66" i="2"/>
  <c r="CE110" i="2"/>
  <c r="G11" i="45"/>
  <c r="J15" i="45" l="1"/>
  <c r="I18" i="45"/>
  <c r="I7" i="45"/>
  <c r="O6" i="82"/>
  <c r="O7" i="82" s="1"/>
  <c r="P49" i="80"/>
  <c r="P50" i="80"/>
  <c r="R24" i="82" s="1"/>
  <c r="P25" i="82"/>
  <c r="P29" i="82" s="1"/>
  <c r="P6" i="82" s="1"/>
  <c r="P7" i="82" s="1"/>
  <c r="T38" i="80"/>
  <c r="S40" i="80"/>
  <c r="Q18" i="82"/>
  <c r="Q26" i="80"/>
  <c r="R25" i="80"/>
  <c r="Q41" i="80"/>
  <c r="Q45" i="80" s="1"/>
  <c r="Q48" i="80" s="1"/>
  <c r="R37" i="80"/>
  <c r="R21" i="82"/>
  <c r="S9" i="82"/>
  <c r="R16" i="82"/>
  <c r="Q23" i="82"/>
  <c r="Q25" i="82" s="1"/>
  <c r="P27" i="80"/>
  <c r="P31" i="80" s="1"/>
  <c r="P34" i="80" s="1"/>
  <c r="R17" i="82" s="1"/>
  <c r="Q24" i="80"/>
  <c r="CA89" i="2"/>
  <c r="CB89" i="2"/>
  <c r="CD77" i="2"/>
  <c r="CF110" i="2"/>
  <c r="CD89" i="2"/>
  <c r="CE121" i="2"/>
  <c r="CC89" i="2"/>
  <c r="CE89" i="2"/>
  <c r="CA77" i="2"/>
  <c r="CB77" i="2"/>
  <c r="CF122" i="2"/>
  <c r="CC132" i="2"/>
  <c r="H11" i="45"/>
  <c r="K15" i="45" l="1"/>
  <c r="J18" i="45"/>
  <c r="J7" i="45"/>
  <c r="Q4" i="82"/>
  <c r="Q32" i="82"/>
  <c r="Q33" i="82" s="1"/>
  <c r="Q27" i="82"/>
  <c r="Q29" i="82"/>
  <c r="Q6" i="82" s="1"/>
  <c r="U38" i="80"/>
  <c r="T40" i="80"/>
  <c r="P32" i="82"/>
  <c r="P33" i="82" s="1"/>
  <c r="P27" i="82"/>
  <c r="S37" i="80"/>
  <c r="R41" i="80"/>
  <c r="R45" i="80" s="1"/>
  <c r="R48" i="80" s="1"/>
  <c r="R26" i="80"/>
  <c r="S25" i="80"/>
  <c r="Q49" i="80"/>
  <c r="Q50" i="80" s="1"/>
  <c r="S24" i="82" s="1"/>
  <c r="Q27" i="80"/>
  <c r="Q31" i="80" s="1"/>
  <c r="Q34" i="80" s="1"/>
  <c r="S17" i="82" s="1"/>
  <c r="R24" i="80"/>
  <c r="R18" i="82"/>
  <c r="S21" i="82"/>
  <c r="T9" i="82"/>
  <c r="S16" i="82"/>
  <c r="R23" i="82"/>
  <c r="R25" i="82" s="1"/>
  <c r="CB100" i="2"/>
  <c r="CA100" i="2"/>
  <c r="CA88" i="2"/>
  <c r="CE100" i="2"/>
  <c r="CC100" i="2"/>
  <c r="CE132" i="2"/>
  <c r="CC143" i="2"/>
  <c r="CD100" i="2"/>
  <c r="CF121" i="2"/>
  <c r="CF133" i="2"/>
  <c r="CD88" i="2"/>
  <c r="CB88" i="2"/>
  <c r="I11" i="45"/>
  <c r="L15" i="45" l="1"/>
  <c r="K18" i="45"/>
  <c r="K7" i="45"/>
  <c r="R4" i="82"/>
  <c r="Q7" i="82"/>
  <c r="R32" i="82"/>
  <c r="R33" i="82" s="1"/>
  <c r="R27" i="82"/>
  <c r="S26" i="80"/>
  <c r="T25" i="80"/>
  <c r="S23" i="82"/>
  <c r="S25" i="82" s="1"/>
  <c r="R27" i="80"/>
  <c r="R31" i="80" s="1"/>
  <c r="R34" i="80" s="1"/>
  <c r="T17" i="82" s="1"/>
  <c r="S24" i="80"/>
  <c r="T37" i="80"/>
  <c r="S41" i="80"/>
  <c r="S45" i="80" s="1"/>
  <c r="S48" i="80" s="1"/>
  <c r="V38" i="80"/>
  <c r="U40" i="80"/>
  <c r="R49" i="80"/>
  <c r="R50" i="80"/>
  <c r="T24" i="82" s="1"/>
  <c r="R29" i="82"/>
  <c r="S18" i="82"/>
  <c r="U9" i="82"/>
  <c r="T16" i="82"/>
  <c r="T21" i="82"/>
  <c r="CA111" i="2"/>
  <c r="CB111" i="2"/>
  <c r="CF132" i="2"/>
  <c r="CD111" i="2"/>
  <c r="CC154" i="2"/>
  <c r="CE143" i="2"/>
  <c r="CC111" i="2"/>
  <c r="CE111" i="2"/>
  <c r="CB99" i="2"/>
  <c r="CD99" i="2"/>
  <c r="CA99" i="2"/>
  <c r="CF144" i="2"/>
  <c r="J11" i="45"/>
  <c r="T59" i="75"/>
  <c r="S59" i="75"/>
  <c r="Q59" i="75"/>
  <c r="S58" i="75"/>
  <c r="Q58" i="75"/>
  <c r="T57" i="75"/>
  <c r="Q57" i="75"/>
  <c r="S56" i="75"/>
  <c r="Q56" i="75"/>
  <c r="Q55" i="75"/>
  <c r="S55" i="75"/>
  <c r="T51" i="75"/>
  <c r="Q51" i="75"/>
  <c r="T50" i="75"/>
  <c r="Q50" i="75"/>
  <c r="T49" i="75"/>
  <c r="S49" i="75"/>
  <c r="Q49" i="75"/>
  <c r="S48" i="75"/>
  <c r="Q48" i="75"/>
  <c r="S47" i="75"/>
  <c r="Q47" i="75"/>
  <c r="Q43" i="75"/>
  <c r="Q42" i="75"/>
  <c r="S41" i="75"/>
  <c r="Q40" i="75"/>
  <c r="S39" i="75"/>
  <c r="Q39" i="75"/>
  <c r="Q41" i="75"/>
  <c r="Q35" i="75"/>
  <c r="Q34" i="75"/>
  <c r="Q33" i="75"/>
  <c r="Q32" i="75"/>
  <c r="S31" i="75"/>
  <c r="Q31" i="75"/>
  <c r="Q27" i="75"/>
  <c r="Q26" i="75"/>
  <c r="S25" i="75"/>
  <c r="Q25" i="75"/>
  <c r="Q24" i="75"/>
  <c r="Q23" i="75"/>
  <c r="S23" i="75"/>
  <c r="Q19" i="75"/>
  <c r="Q18" i="75"/>
  <c r="T17" i="75"/>
  <c r="S17" i="75"/>
  <c r="Q17" i="75"/>
  <c r="Q16" i="75"/>
  <c r="S15" i="75"/>
  <c r="Q15" i="75"/>
  <c r="Q11" i="75"/>
  <c r="Q10" i="75"/>
  <c r="Q9" i="75"/>
  <c r="Q8" i="75"/>
  <c r="S7" i="75"/>
  <c r="Q7" i="75"/>
  <c r="S6" i="75"/>
  <c r="Q6" i="75"/>
  <c r="H32" i="74"/>
  <c r="M15" i="45" l="1"/>
  <c r="L18" i="45"/>
  <c r="L7" i="45"/>
  <c r="R6" i="82"/>
  <c r="R7" i="82"/>
  <c r="S4" i="82"/>
  <c r="S32" i="82"/>
  <c r="S33" i="82" s="1"/>
  <c r="S27" i="82"/>
  <c r="T41" i="80"/>
  <c r="T45" i="80" s="1"/>
  <c r="T48" i="80" s="1"/>
  <c r="U37" i="80"/>
  <c r="T23" i="82"/>
  <c r="T25" i="82" s="1"/>
  <c r="T18" i="82"/>
  <c r="U21" i="82"/>
  <c r="V9" i="82"/>
  <c r="U16" i="82"/>
  <c r="U25" i="80"/>
  <c r="T26" i="80"/>
  <c r="S49" i="80"/>
  <c r="S50" i="80" s="1"/>
  <c r="U24" i="82" s="1"/>
  <c r="S27" i="80"/>
  <c r="S31" i="80" s="1"/>
  <c r="S34" i="80" s="1"/>
  <c r="U17" i="82" s="1"/>
  <c r="T24" i="80"/>
  <c r="S29" i="82"/>
  <c r="W38" i="80"/>
  <c r="V40" i="80"/>
  <c r="CB122" i="2"/>
  <c r="CA122" i="2"/>
  <c r="CB110" i="2"/>
  <c r="CE122" i="2"/>
  <c r="CC122" i="2"/>
  <c r="CF155" i="2"/>
  <c r="CE154" i="2"/>
  <c r="CD122" i="2"/>
  <c r="CA110" i="2"/>
  <c r="CD110" i="2"/>
  <c r="CF143" i="2"/>
  <c r="K11" i="45"/>
  <c r="S57" i="75"/>
  <c r="T25" i="75"/>
  <c r="S50" i="75"/>
  <c r="S9" i="75"/>
  <c r="T9" i="75"/>
  <c r="T41" i="75"/>
  <c r="S51" i="75"/>
  <c r="T58" i="75"/>
  <c r="S34" i="75"/>
  <c r="M27" i="75"/>
  <c r="M24" i="75"/>
  <c r="N25" i="75"/>
  <c r="H18" i="75"/>
  <c r="G18" i="75"/>
  <c r="H17" i="75"/>
  <c r="H19" i="75"/>
  <c r="BO13" i="2"/>
  <c r="BO24" i="2" s="1"/>
  <c r="BO35" i="2" s="1"/>
  <c r="BP13" i="2"/>
  <c r="BQ13" i="2"/>
  <c r="CD13" i="2" s="1"/>
  <c r="BR13" i="2"/>
  <c r="BR24" i="2" s="1"/>
  <c r="BR35" i="2" s="1"/>
  <c r="BS13" i="2"/>
  <c r="BS24" i="2" s="1"/>
  <c r="BS35" i="2" s="1"/>
  <c r="N59" i="75"/>
  <c r="M59" i="75"/>
  <c r="K59" i="75"/>
  <c r="H59" i="75"/>
  <c r="G59" i="75"/>
  <c r="E59" i="75"/>
  <c r="N58" i="75"/>
  <c r="M58" i="75"/>
  <c r="K58" i="75"/>
  <c r="H58" i="75"/>
  <c r="G58" i="75"/>
  <c r="E58" i="75"/>
  <c r="N57" i="75"/>
  <c r="M57" i="75"/>
  <c r="K57" i="75"/>
  <c r="H57" i="75"/>
  <c r="G57" i="75"/>
  <c r="E57" i="75"/>
  <c r="M56" i="75"/>
  <c r="K56" i="75"/>
  <c r="G56" i="75"/>
  <c r="E56" i="75"/>
  <c r="M55" i="75"/>
  <c r="K55" i="75"/>
  <c r="G55" i="75"/>
  <c r="E55" i="75"/>
  <c r="N51" i="75"/>
  <c r="M51" i="75"/>
  <c r="K51" i="75"/>
  <c r="H51" i="75"/>
  <c r="G51" i="75"/>
  <c r="E51" i="75"/>
  <c r="N50" i="75"/>
  <c r="M50" i="75"/>
  <c r="K50" i="75"/>
  <c r="H50" i="75"/>
  <c r="G50" i="75"/>
  <c r="E50" i="75"/>
  <c r="N49" i="75"/>
  <c r="M49" i="75"/>
  <c r="K49" i="75"/>
  <c r="H49" i="75"/>
  <c r="G49" i="75"/>
  <c r="E49" i="75"/>
  <c r="M48" i="75"/>
  <c r="K48" i="75"/>
  <c r="G48" i="75"/>
  <c r="E48" i="75"/>
  <c r="M47" i="75"/>
  <c r="K47" i="75"/>
  <c r="G47" i="75"/>
  <c r="E47" i="75"/>
  <c r="N43" i="75"/>
  <c r="M43" i="75"/>
  <c r="K43" i="75"/>
  <c r="H43" i="75"/>
  <c r="G43" i="75"/>
  <c r="E43" i="75"/>
  <c r="N42" i="75"/>
  <c r="M42" i="75"/>
  <c r="K42" i="75"/>
  <c r="H42" i="75"/>
  <c r="G42" i="75"/>
  <c r="E42" i="75"/>
  <c r="N41" i="75"/>
  <c r="M41" i="75"/>
  <c r="K41" i="75"/>
  <c r="H41" i="75"/>
  <c r="G41" i="75"/>
  <c r="E41" i="75"/>
  <c r="M40" i="75"/>
  <c r="K40" i="75"/>
  <c r="G40" i="75"/>
  <c r="E40" i="75"/>
  <c r="M39" i="75"/>
  <c r="K39" i="75"/>
  <c r="G39" i="75"/>
  <c r="E39" i="75"/>
  <c r="N35" i="75"/>
  <c r="M35" i="75"/>
  <c r="K35" i="75"/>
  <c r="H35" i="75"/>
  <c r="G35" i="75"/>
  <c r="E35" i="75"/>
  <c r="N34" i="75"/>
  <c r="M34" i="75"/>
  <c r="K34" i="75"/>
  <c r="H34" i="75"/>
  <c r="G34" i="75"/>
  <c r="E34" i="75"/>
  <c r="N33" i="75"/>
  <c r="M33" i="75"/>
  <c r="K33" i="75"/>
  <c r="H33" i="75"/>
  <c r="G33" i="75"/>
  <c r="E33" i="75"/>
  <c r="M32" i="75"/>
  <c r="K32" i="75"/>
  <c r="G32" i="75"/>
  <c r="E32" i="75"/>
  <c r="M31" i="75"/>
  <c r="K31" i="75"/>
  <c r="G31" i="75"/>
  <c r="E31" i="75"/>
  <c r="H27" i="75"/>
  <c r="G27" i="75"/>
  <c r="E27" i="75"/>
  <c r="N26" i="75"/>
  <c r="H26" i="75"/>
  <c r="G26" i="75"/>
  <c r="E26" i="75"/>
  <c r="H25" i="75"/>
  <c r="G25" i="75"/>
  <c r="E25" i="75"/>
  <c r="G24" i="75"/>
  <c r="E24" i="75"/>
  <c r="K23" i="75"/>
  <c r="G23" i="75"/>
  <c r="E23" i="75"/>
  <c r="N19" i="75"/>
  <c r="M19" i="75"/>
  <c r="K19" i="75"/>
  <c r="N18" i="75"/>
  <c r="M18" i="75"/>
  <c r="K18" i="75"/>
  <c r="N17" i="75"/>
  <c r="M17" i="75"/>
  <c r="K17" i="75"/>
  <c r="M16" i="75"/>
  <c r="K16" i="75"/>
  <c r="M15" i="75"/>
  <c r="K15" i="75"/>
  <c r="N11" i="75"/>
  <c r="M11" i="75"/>
  <c r="K11" i="75"/>
  <c r="N10" i="75"/>
  <c r="M10" i="75"/>
  <c r="K10" i="75"/>
  <c r="N9" i="75"/>
  <c r="M9" i="75"/>
  <c r="K9" i="75"/>
  <c r="M8" i="75"/>
  <c r="K8" i="75"/>
  <c r="M7" i="75"/>
  <c r="K7" i="75"/>
  <c r="M6" i="75"/>
  <c r="K6" i="75"/>
  <c r="K55" i="74"/>
  <c r="J55" i="74"/>
  <c r="I55" i="74"/>
  <c r="H55" i="74"/>
  <c r="G55" i="74"/>
  <c r="F55" i="74"/>
  <c r="D55" i="74"/>
  <c r="K54" i="74"/>
  <c r="J54" i="74"/>
  <c r="I54" i="74"/>
  <c r="H54" i="74"/>
  <c r="G54" i="74"/>
  <c r="F54" i="74"/>
  <c r="K53" i="74"/>
  <c r="J53" i="74"/>
  <c r="I53" i="74"/>
  <c r="H53" i="74"/>
  <c r="G53" i="74"/>
  <c r="F53" i="74"/>
  <c r="K52" i="74"/>
  <c r="J52" i="74"/>
  <c r="I52" i="74"/>
  <c r="H52" i="74"/>
  <c r="G52" i="74"/>
  <c r="F52" i="74"/>
  <c r="K51" i="74"/>
  <c r="J51" i="74"/>
  <c r="I51" i="74"/>
  <c r="H51" i="74"/>
  <c r="G51" i="74"/>
  <c r="F51" i="74"/>
  <c r="K50" i="74"/>
  <c r="J50" i="74"/>
  <c r="I50" i="74"/>
  <c r="H50" i="74"/>
  <c r="G50" i="74"/>
  <c r="F50" i="74"/>
  <c r="K49" i="74"/>
  <c r="J49" i="74"/>
  <c r="I49" i="74"/>
  <c r="H49" i="74"/>
  <c r="G49" i="74"/>
  <c r="F49" i="74"/>
  <c r="D48" i="74"/>
  <c r="K47" i="74"/>
  <c r="J47" i="74"/>
  <c r="K42" i="74"/>
  <c r="J42" i="74"/>
  <c r="I42" i="74"/>
  <c r="H42" i="74"/>
  <c r="G42" i="74"/>
  <c r="F42" i="74"/>
  <c r="K41" i="74"/>
  <c r="J41" i="74"/>
  <c r="I41" i="74"/>
  <c r="H41" i="74"/>
  <c r="G41" i="74"/>
  <c r="F41" i="74"/>
  <c r="D41" i="74"/>
  <c r="K40" i="74"/>
  <c r="J40" i="74"/>
  <c r="I40" i="74"/>
  <c r="H40" i="74"/>
  <c r="G40" i="74"/>
  <c r="F40" i="74"/>
  <c r="D40" i="74"/>
  <c r="K39" i="74"/>
  <c r="J39" i="74"/>
  <c r="I39" i="74"/>
  <c r="H39" i="74"/>
  <c r="G39" i="74"/>
  <c r="F39" i="74"/>
  <c r="D39" i="74"/>
  <c r="K38" i="74"/>
  <c r="J38" i="74"/>
  <c r="I38" i="74"/>
  <c r="H38" i="74"/>
  <c r="G38" i="74"/>
  <c r="F38" i="74"/>
  <c r="D38" i="74"/>
  <c r="K37" i="74"/>
  <c r="J37" i="74"/>
  <c r="I37" i="74"/>
  <c r="H37" i="74"/>
  <c r="G37" i="74"/>
  <c r="F37" i="74"/>
  <c r="D37" i="74"/>
  <c r="K36" i="74"/>
  <c r="J36" i="74"/>
  <c r="I36" i="74"/>
  <c r="H36" i="74"/>
  <c r="G36" i="74"/>
  <c r="F36" i="74"/>
  <c r="D36" i="74"/>
  <c r="K35" i="74"/>
  <c r="J35" i="74"/>
  <c r="I35" i="74"/>
  <c r="H35" i="74"/>
  <c r="G35" i="74"/>
  <c r="F35" i="74"/>
  <c r="D35" i="74"/>
  <c r="K34" i="74"/>
  <c r="J34" i="74"/>
  <c r="I34" i="74"/>
  <c r="H34" i="74"/>
  <c r="G34" i="74"/>
  <c r="F34" i="74"/>
  <c r="D34" i="74"/>
  <c r="K33" i="74"/>
  <c r="J33" i="74"/>
  <c r="I33" i="74"/>
  <c r="H33" i="74"/>
  <c r="G33" i="74"/>
  <c r="F33" i="74"/>
  <c r="D33" i="74"/>
  <c r="K32" i="74"/>
  <c r="J32" i="74"/>
  <c r="I32" i="74"/>
  <c r="G32" i="74"/>
  <c r="F32" i="74"/>
  <c r="D32" i="74"/>
  <c r="K31" i="74"/>
  <c r="J31" i="74"/>
  <c r="I31" i="74"/>
  <c r="H31" i="74"/>
  <c r="G31" i="74"/>
  <c r="F31" i="74"/>
  <c r="D31" i="74"/>
  <c r="K30" i="74"/>
  <c r="J30" i="74"/>
  <c r="I30" i="74"/>
  <c r="H30" i="74"/>
  <c r="G30" i="74"/>
  <c r="F30" i="74"/>
  <c r="D30" i="74"/>
  <c r="K29" i="74"/>
  <c r="J29" i="74"/>
  <c r="I29" i="74"/>
  <c r="H29" i="74"/>
  <c r="G29" i="74"/>
  <c r="F29" i="74"/>
  <c r="D29" i="74"/>
  <c r="K28" i="74"/>
  <c r="J28" i="74"/>
  <c r="I28" i="74"/>
  <c r="H28" i="74"/>
  <c r="G28" i="74"/>
  <c r="F28" i="74"/>
  <c r="D28" i="74"/>
  <c r="K27" i="74"/>
  <c r="J27" i="74"/>
  <c r="I27" i="74"/>
  <c r="H27" i="74"/>
  <c r="G27" i="74"/>
  <c r="F27" i="74"/>
  <c r="D27" i="74"/>
  <c r="K26" i="74"/>
  <c r="J26" i="74"/>
  <c r="I26" i="74"/>
  <c r="H26" i="74"/>
  <c r="G26" i="74"/>
  <c r="F26" i="74"/>
  <c r="D26" i="74"/>
  <c r="K25" i="74"/>
  <c r="J25" i="74"/>
  <c r="I25" i="74"/>
  <c r="H25" i="74"/>
  <c r="G25" i="74"/>
  <c r="F25" i="74"/>
  <c r="D25" i="74"/>
  <c r="K24" i="74"/>
  <c r="J24" i="74"/>
  <c r="I24" i="74"/>
  <c r="H24" i="74"/>
  <c r="G24" i="74"/>
  <c r="F24" i="74"/>
  <c r="D24" i="74"/>
  <c r="K23" i="74"/>
  <c r="J23" i="74"/>
  <c r="I23" i="74"/>
  <c r="H23" i="74"/>
  <c r="G23" i="74"/>
  <c r="F23" i="74"/>
  <c r="D23" i="74"/>
  <c r="K22" i="74"/>
  <c r="J22" i="74"/>
  <c r="I22" i="74"/>
  <c r="H22" i="74"/>
  <c r="G22" i="74"/>
  <c r="F22" i="74"/>
  <c r="D22" i="74"/>
  <c r="K21" i="74"/>
  <c r="J21" i="74"/>
  <c r="I21" i="74"/>
  <c r="H21" i="74"/>
  <c r="G21" i="74"/>
  <c r="F21" i="74"/>
  <c r="D21" i="74"/>
  <c r="K20" i="74"/>
  <c r="J20" i="74"/>
  <c r="I20" i="74"/>
  <c r="H20" i="74"/>
  <c r="G20" i="74"/>
  <c r="F20" i="74"/>
  <c r="D20" i="74"/>
  <c r="K19" i="74"/>
  <c r="J19" i="74"/>
  <c r="I19" i="74"/>
  <c r="H19" i="74"/>
  <c r="G19" i="74"/>
  <c r="F19" i="74"/>
  <c r="D19" i="74"/>
  <c r="K18" i="74"/>
  <c r="J18" i="74"/>
  <c r="I18" i="74"/>
  <c r="H18" i="74"/>
  <c r="G18" i="74"/>
  <c r="F18" i="74"/>
  <c r="D18" i="74"/>
  <c r="K17" i="74"/>
  <c r="J17" i="74"/>
  <c r="I17" i="74"/>
  <c r="H17" i="74"/>
  <c r="G17" i="74"/>
  <c r="F17" i="74"/>
  <c r="D17" i="74"/>
  <c r="K16" i="74"/>
  <c r="J16" i="74"/>
  <c r="I16" i="74"/>
  <c r="H16" i="74"/>
  <c r="G16" i="74"/>
  <c r="F16" i="74"/>
  <c r="D16" i="74"/>
  <c r="K15" i="74"/>
  <c r="J15" i="74"/>
  <c r="I15" i="74"/>
  <c r="H15" i="74"/>
  <c r="G15" i="74"/>
  <c r="F15" i="74"/>
  <c r="D15" i="74"/>
  <c r="K7" i="74"/>
  <c r="J7" i="74"/>
  <c r="I7" i="74"/>
  <c r="H7" i="74"/>
  <c r="G7" i="74"/>
  <c r="F7" i="74"/>
  <c r="D7" i="74"/>
  <c r="K6" i="74"/>
  <c r="J6" i="74"/>
  <c r="I6" i="74"/>
  <c r="H6" i="74"/>
  <c r="G6" i="74"/>
  <c r="F6" i="74"/>
  <c r="D6" i="74"/>
  <c r="K5" i="74"/>
  <c r="J5" i="74"/>
  <c r="I5" i="74"/>
  <c r="H5" i="74"/>
  <c r="G5" i="74"/>
  <c r="F5" i="74"/>
  <c r="D5" i="74"/>
  <c r="D4" i="74"/>
  <c r="E37" i="73"/>
  <c r="D37" i="73"/>
  <c r="E34" i="73"/>
  <c r="D34" i="73"/>
  <c r="E30" i="73"/>
  <c r="D30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Q7" i="73"/>
  <c r="P7" i="73"/>
  <c r="O7" i="73"/>
  <c r="N7" i="73"/>
  <c r="M7" i="73"/>
  <c r="L7" i="73"/>
  <c r="K7" i="73"/>
  <c r="J7" i="73"/>
  <c r="I7" i="73"/>
  <c r="H7" i="73"/>
  <c r="G7" i="73"/>
  <c r="F7" i="73"/>
  <c r="E7" i="73"/>
  <c r="D7" i="73"/>
  <c r="Q6" i="73"/>
  <c r="P6" i="73"/>
  <c r="O6" i="73"/>
  <c r="N6" i="73"/>
  <c r="M6" i="73"/>
  <c r="L6" i="73"/>
  <c r="K6" i="73"/>
  <c r="J6" i="73"/>
  <c r="I6" i="73"/>
  <c r="H6" i="73"/>
  <c r="G6" i="73"/>
  <c r="F6" i="73"/>
  <c r="E6" i="73"/>
  <c r="D6" i="73"/>
  <c r="BP24" i="2" l="1"/>
  <c r="CC13" i="2"/>
  <c r="N15" i="45"/>
  <c r="M18" i="45"/>
  <c r="M7" i="45"/>
  <c r="S6" i="82"/>
  <c r="S7" i="82"/>
  <c r="T4" i="82"/>
  <c r="T32" i="82"/>
  <c r="T33" i="82" s="1"/>
  <c r="T27" i="82"/>
  <c r="U18" i="82"/>
  <c r="U23" i="82"/>
  <c r="U4" i="82" s="1"/>
  <c r="T27" i="80"/>
  <c r="T31" i="80" s="1"/>
  <c r="T34" i="80" s="1"/>
  <c r="V17" i="82" s="1"/>
  <c r="U24" i="80"/>
  <c r="T29" i="82"/>
  <c r="X38" i="80"/>
  <c r="W40" i="80"/>
  <c r="V37" i="80"/>
  <c r="U41" i="80"/>
  <c r="U45" i="80" s="1"/>
  <c r="U48" i="80" s="1"/>
  <c r="T49" i="80"/>
  <c r="T50" i="80"/>
  <c r="V24" i="82" s="1"/>
  <c r="W9" i="82"/>
  <c r="V16" i="82"/>
  <c r="V21" i="82"/>
  <c r="U26" i="80"/>
  <c r="V25" i="80"/>
  <c r="CA133" i="2"/>
  <c r="CB133" i="2"/>
  <c r="CD133" i="2"/>
  <c r="CF154" i="2"/>
  <c r="CC133" i="2"/>
  <c r="CD121" i="2"/>
  <c r="CE133" i="2"/>
  <c r="CA121" i="2"/>
  <c r="CB121" i="2"/>
  <c r="BQ24" i="2"/>
  <c r="L11" i="45"/>
  <c r="M23" i="75"/>
  <c r="M26" i="75"/>
  <c r="N27" i="75"/>
  <c r="M25" i="75"/>
  <c r="K25" i="75"/>
  <c r="K24" i="75"/>
  <c r="K26" i="75"/>
  <c r="K27" i="75"/>
  <c r="G14" i="75"/>
  <c r="G19" i="75"/>
  <c r="G17" i="75"/>
  <c r="G15" i="75"/>
  <c r="E16" i="75"/>
  <c r="E18" i="75"/>
  <c r="E14" i="75"/>
  <c r="E15" i="75"/>
  <c r="E19" i="75"/>
  <c r="E17" i="75"/>
  <c r="G16" i="75"/>
  <c r="AX18" i="46"/>
  <c r="AX16" i="46"/>
  <c r="AX17" i="46"/>
  <c r="AX14" i="46"/>
  <c r="AX15" i="46"/>
  <c r="AX13" i="46"/>
  <c r="AX12" i="46"/>
  <c r="AX11" i="46"/>
  <c r="AX10" i="46"/>
  <c r="AX9" i="46"/>
  <c r="AX8" i="46"/>
  <c r="AX7" i="46"/>
  <c r="AX6" i="46"/>
  <c r="AX5" i="46"/>
  <c r="BP35" i="2" l="1"/>
  <c r="CC35" i="2" s="1"/>
  <c r="CC24" i="2"/>
  <c r="BQ35" i="2"/>
  <c r="CD35" i="2" s="1"/>
  <c r="CD24" i="2"/>
  <c r="O15" i="45"/>
  <c r="N18" i="45"/>
  <c r="N7" i="45"/>
  <c r="T6" i="82"/>
  <c r="T7" i="82"/>
  <c r="U25" i="82"/>
  <c r="U29" i="82" s="1"/>
  <c r="U6" i="82" s="1"/>
  <c r="U7" i="82" s="1"/>
  <c r="V18" i="82"/>
  <c r="U27" i="82"/>
  <c r="V23" i="82"/>
  <c r="V25" i="82" s="1"/>
  <c r="U27" i="80"/>
  <c r="U31" i="80" s="1"/>
  <c r="U34" i="80" s="1"/>
  <c r="W17" i="82" s="1"/>
  <c r="V24" i="80"/>
  <c r="W16" i="82"/>
  <c r="W21" i="82"/>
  <c r="X9" i="82"/>
  <c r="U49" i="80"/>
  <c r="U50" i="80" s="1"/>
  <c r="W24" i="82" s="1"/>
  <c r="W37" i="80"/>
  <c r="V41" i="80"/>
  <c r="V45" i="80" s="1"/>
  <c r="V48" i="80" s="1"/>
  <c r="X40" i="80"/>
  <c r="Y38" i="80"/>
  <c r="V26" i="80"/>
  <c r="W25" i="80"/>
  <c r="CB144" i="2"/>
  <c r="CA144" i="2"/>
  <c r="CA132" i="2"/>
  <c r="CE144" i="2"/>
  <c r="CD132" i="2"/>
  <c r="CC144" i="2"/>
  <c r="CB132" i="2"/>
  <c r="CD144" i="2"/>
  <c r="M11" i="45"/>
  <c r="CH8" i="46"/>
  <c r="CH9" i="46"/>
  <c r="CH10" i="46"/>
  <c r="CH11" i="46"/>
  <c r="CH12" i="46"/>
  <c r="CH13" i="46"/>
  <c r="CH14" i="46"/>
  <c r="CH15" i="46"/>
  <c r="CH16" i="46"/>
  <c r="CH17" i="46"/>
  <c r="CH18" i="46"/>
  <c r="CH6" i="46"/>
  <c r="CH7" i="46"/>
  <c r="CH5" i="46"/>
  <c r="P15" i="45" l="1"/>
  <c r="O18" i="45"/>
  <c r="O7" i="45"/>
  <c r="U32" i="82"/>
  <c r="U33" i="82" s="1"/>
  <c r="V4" i="82"/>
  <c r="V32" i="82"/>
  <c r="V33" i="82" s="1"/>
  <c r="V27" i="82"/>
  <c r="V49" i="80"/>
  <c r="V50" i="80" s="1"/>
  <c r="X24" i="82" s="1"/>
  <c r="V27" i="80"/>
  <c r="V31" i="80" s="1"/>
  <c r="V34" i="80" s="1"/>
  <c r="X17" i="82" s="1"/>
  <c r="W24" i="80"/>
  <c r="X25" i="80"/>
  <c r="W26" i="80"/>
  <c r="Y9" i="82"/>
  <c r="X16" i="82"/>
  <c r="X21" i="82"/>
  <c r="W23" i="82"/>
  <c r="W25" i="82" s="1"/>
  <c r="V29" i="82"/>
  <c r="Z38" i="80"/>
  <c r="Y40" i="80"/>
  <c r="W41" i="80"/>
  <c r="W45" i="80" s="1"/>
  <c r="W48" i="80" s="1"/>
  <c r="X37" i="80"/>
  <c r="W18" i="82"/>
  <c r="CA155" i="2"/>
  <c r="CB155" i="2"/>
  <c r="CD155" i="2"/>
  <c r="CB143" i="2"/>
  <c r="CC155" i="2"/>
  <c r="CD143" i="2"/>
  <c r="CE155" i="2"/>
  <c r="CA143" i="2"/>
  <c r="N11" i="45"/>
  <c r="C49" i="67"/>
  <c r="A49" i="67"/>
  <c r="C49" i="66"/>
  <c r="A49" i="66"/>
  <c r="C49" i="55"/>
  <c r="A49" i="55"/>
  <c r="C49" i="65"/>
  <c r="A49" i="65"/>
  <c r="C49" i="58"/>
  <c r="A49" i="58"/>
  <c r="C49" i="57"/>
  <c r="A49" i="57"/>
  <c r="C49" i="52"/>
  <c r="A49" i="52"/>
  <c r="C49" i="53"/>
  <c r="A49" i="53"/>
  <c r="C49" i="51"/>
  <c r="A49" i="51"/>
  <c r="Q15" i="45" l="1"/>
  <c r="P18" i="45"/>
  <c r="P7" i="45"/>
  <c r="V6" i="82"/>
  <c r="V7" i="82" s="1"/>
  <c r="W4" i="82"/>
  <c r="W32" i="82"/>
  <c r="W33" i="82" s="1"/>
  <c r="W27" i="82"/>
  <c r="X26" i="80"/>
  <c r="Y25" i="80"/>
  <c r="Y16" i="82"/>
  <c r="Y21" i="82"/>
  <c r="Z9" i="82"/>
  <c r="W50" i="80"/>
  <c r="Y24" i="82" s="1"/>
  <c r="W49" i="80"/>
  <c r="W27" i="80"/>
  <c r="W31" i="80" s="1"/>
  <c r="W34" i="80" s="1"/>
  <c r="Y17" i="82" s="1"/>
  <c r="X24" i="80"/>
  <c r="W29" i="82"/>
  <c r="W6" i="82" s="1"/>
  <c r="Y37" i="80"/>
  <c r="X41" i="80"/>
  <c r="X45" i="80" s="1"/>
  <c r="X48" i="80" s="1"/>
  <c r="Z40" i="80"/>
  <c r="AA38" i="80"/>
  <c r="X23" i="82"/>
  <c r="X4" i="82" s="1"/>
  <c r="X18" i="82"/>
  <c r="CA154" i="2"/>
  <c r="CD154" i="2"/>
  <c r="CB154" i="2"/>
  <c r="O11" i="45"/>
  <c r="BO15" i="2"/>
  <c r="BO26" i="2" s="1"/>
  <c r="BO37" i="2" s="1"/>
  <c r="BO48" i="2" s="1"/>
  <c r="BO59" i="2" s="1"/>
  <c r="BO70" i="2" s="1"/>
  <c r="BO81" i="2" s="1"/>
  <c r="BO92" i="2" s="1"/>
  <c r="BO103" i="2" s="1"/>
  <c r="BO114" i="2" s="1"/>
  <c r="BO125" i="2" s="1"/>
  <c r="BO136" i="2" s="1"/>
  <c r="BO147" i="2" s="1"/>
  <c r="BO158" i="2" s="1"/>
  <c r="BP15" i="2"/>
  <c r="BP26" i="2" s="1"/>
  <c r="BP37" i="2" s="1"/>
  <c r="BP48" i="2" s="1"/>
  <c r="BP59" i="2" s="1"/>
  <c r="BP70" i="2" s="1"/>
  <c r="BP81" i="2" s="1"/>
  <c r="BP92" i="2" s="1"/>
  <c r="BP103" i="2" s="1"/>
  <c r="BP114" i="2" s="1"/>
  <c r="BP125" i="2" s="1"/>
  <c r="BP136" i="2" s="1"/>
  <c r="BP147" i="2" s="1"/>
  <c r="BP158" i="2" s="1"/>
  <c r="BQ15" i="2"/>
  <c r="BR15" i="2"/>
  <c r="BR26" i="2" s="1"/>
  <c r="BR37" i="2" s="1"/>
  <c r="BR48" i="2" s="1"/>
  <c r="BR59" i="2" s="1"/>
  <c r="BR70" i="2" s="1"/>
  <c r="BR81" i="2" s="1"/>
  <c r="BR92" i="2" s="1"/>
  <c r="BR103" i="2" s="1"/>
  <c r="BR114" i="2" s="1"/>
  <c r="BR125" i="2" s="1"/>
  <c r="BR136" i="2" s="1"/>
  <c r="BR147" i="2" s="1"/>
  <c r="BR158" i="2" s="1"/>
  <c r="BS15" i="2"/>
  <c r="BS26" i="2" s="1"/>
  <c r="BS37" i="2" s="1"/>
  <c r="BS48" i="2" s="1"/>
  <c r="BS59" i="2" s="1"/>
  <c r="BS70" i="2" s="1"/>
  <c r="BS81" i="2" s="1"/>
  <c r="BS92" i="2" s="1"/>
  <c r="BS103" i="2" s="1"/>
  <c r="BS114" i="2" s="1"/>
  <c r="BS125" i="2" s="1"/>
  <c r="BS136" i="2" s="1"/>
  <c r="BS147" i="2" s="1"/>
  <c r="BS158" i="2" s="1"/>
  <c r="BQ26" i="2" l="1"/>
  <c r="BQ37" i="2" s="1"/>
  <c r="BQ48" i="2" s="1"/>
  <c r="BQ59" i="2" s="1"/>
  <c r="BQ70" i="2" s="1"/>
  <c r="BQ81" i="2" s="1"/>
  <c r="BQ92" i="2" s="1"/>
  <c r="BQ103" i="2" s="1"/>
  <c r="BQ114" i="2" s="1"/>
  <c r="BQ125" i="2" s="1"/>
  <c r="BQ136" i="2" s="1"/>
  <c r="BQ147" i="2" s="1"/>
  <c r="BQ158" i="2" s="1"/>
  <c r="R15" i="45"/>
  <c r="Q18" i="45"/>
  <c r="Q7" i="45"/>
  <c r="W7" i="82"/>
  <c r="AA40" i="80"/>
  <c r="AB38" i="80"/>
  <c r="Z16" i="82"/>
  <c r="Z21" i="82"/>
  <c r="AA9" i="82"/>
  <c r="Y18" i="82"/>
  <c r="Y26" i="80"/>
  <c r="Z25" i="80"/>
  <c r="X25" i="82"/>
  <c r="Y23" i="82"/>
  <c r="Y25" i="82" s="1"/>
  <c r="Z37" i="80"/>
  <c r="Y41" i="80"/>
  <c r="Y45" i="80" s="1"/>
  <c r="Y48" i="80" s="1"/>
  <c r="X49" i="80"/>
  <c r="X50" i="80" s="1"/>
  <c r="Z24" i="82" s="1"/>
  <c r="X27" i="80"/>
  <c r="X31" i="80" s="1"/>
  <c r="X34" i="80" s="1"/>
  <c r="Z17" i="82" s="1"/>
  <c r="Y24" i="80"/>
  <c r="P11" i="45"/>
  <c r="I128" i="45"/>
  <c r="G45" i="74" s="1"/>
  <c r="G128" i="45"/>
  <c r="H128" i="45"/>
  <c r="F128" i="45"/>
  <c r="I2" i="23"/>
  <c r="I3" i="23"/>
  <c r="I4" i="23"/>
  <c r="I5" i="23"/>
  <c r="I6" i="23"/>
  <c r="I7" i="23"/>
  <c r="I8" i="23"/>
  <c r="I9" i="23"/>
  <c r="I10" i="23"/>
  <c r="H10" i="23"/>
  <c r="H9" i="23"/>
  <c r="H8" i="23"/>
  <c r="H7" i="23"/>
  <c r="H6" i="23"/>
  <c r="H5" i="23"/>
  <c r="H4" i="23"/>
  <c r="H3" i="23"/>
  <c r="H2" i="23"/>
  <c r="Q13" i="45"/>
  <c r="S15" i="45" l="1"/>
  <c r="R18" i="45"/>
  <c r="R7" i="45"/>
  <c r="Y4" i="82"/>
  <c r="Y29" i="82"/>
  <c r="Z26" i="80"/>
  <c r="AA25" i="80"/>
  <c r="Z23" i="82"/>
  <c r="Z25" i="82" s="1"/>
  <c r="Z18" i="82"/>
  <c r="X32" i="82"/>
  <c r="X33" i="82" s="1"/>
  <c r="X27" i="82"/>
  <c r="Y27" i="80"/>
  <c r="Y31" i="80" s="1"/>
  <c r="Y34" i="80" s="1"/>
  <c r="AA17" i="82" s="1"/>
  <c r="Z24" i="80"/>
  <c r="Y49" i="80"/>
  <c r="Y50" i="80" s="1"/>
  <c r="AA24" i="82" s="1"/>
  <c r="X29" i="82"/>
  <c r="X6" i="82" s="1"/>
  <c r="X7" i="82" s="1"/>
  <c r="AA16" i="82"/>
  <c r="AA21" i="82"/>
  <c r="AB9" i="82"/>
  <c r="AC38" i="80"/>
  <c r="AB40" i="80"/>
  <c r="AA37" i="80"/>
  <c r="Z41" i="80"/>
  <c r="Z45" i="80" s="1"/>
  <c r="Z48" i="80" s="1"/>
  <c r="Y32" i="82"/>
  <c r="Y33" i="82" s="1"/>
  <c r="Y27" i="82"/>
  <c r="Q11" i="45"/>
  <c r="Q47" i="67"/>
  <c r="Q47" i="58"/>
  <c r="Q47" i="52"/>
  <c r="Q47" i="57"/>
  <c r="Q47" i="51"/>
  <c r="Q47" i="53"/>
  <c r="Q47" i="55"/>
  <c r="Q47" i="65"/>
  <c r="Q47" i="66"/>
  <c r="BP161" i="2"/>
  <c r="BQ161" i="2"/>
  <c r="BR161" i="2"/>
  <c r="BS161" i="2"/>
  <c r="BO161" i="2"/>
  <c r="H5" i="15" l="1"/>
  <c r="H4" i="15"/>
  <c r="H2" i="15"/>
  <c r="H6" i="15"/>
  <c r="T15" i="45"/>
  <c r="S18" i="45"/>
  <c r="S7" i="45"/>
  <c r="Y6" i="82"/>
  <c r="Y7" i="82"/>
  <c r="Z4" i="82"/>
  <c r="Z27" i="82"/>
  <c r="Z32" i="82"/>
  <c r="Z33" i="82" s="1"/>
  <c r="Z49" i="80"/>
  <c r="Z50" i="80" s="1"/>
  <c r="AB24" i="82" s="1"/>
  <c r="AB37" i="80"/>
  <c r="AA41" i="80"/>
  <c r="AA45" i="80" s="1"/>
  <c r="AA48" i="80" s="1"/>
  <c r="AD38" i="80"/>
  <c r="AC40" i="80"/>
  <c r="AB21" i="82"/>
  <c r="AC9" i="82"/>
  <c r="AB16" i="82"/>
  <c r="Z29" i="82"/>
  <c r="AA23" i="82"/>
  <c r="AA25" i="82" s="1"/>
  <c r="Z27" i="80"/>
  <c r="Z31" i="80" s="1"/>
  <c r="Z34" i="80" s="1"/>
  <c r="AB17" i="82" s="1"/>
  <c r="AA24" i="80"/>
  <c r="AA26" i="80"/>
  <c r="AB25" i="80"/>
  <c r="AA18" i="82"/>
  <c r="R11" i="45"/>
  <c r="AN18" i="46"/>
  <c r="AN17" i="46"/>
  <c r="AN16" i="46"/>
  <c r="AN15" i="46"/>
  <c r="AN14" i="46"/>
  <c r="AN13" i="46"/>
  <c r="AN6" i="46"/>
  <c r="AN7" i="46"/>
  <c r="AN8" i="46"/>
  <c r="AN9" i="46"/>
  <c r="AN10" i="46"/>
  <c r="AH18" i="46"/>
  <c r="AH17" i="46"/>
  <c r="AH16" i="46"/>
  <c r="AH15" i="46"/>
  <c r="AH14" i="46"/>
  <c r="AH13" i="46"/>
  <c r="AH12" i="46"/>
  <c r="AH11" i="46"/>
  <c r="AH6" i="46"/>
  <c r="AH7" i="46"/>
  <c r="AH8" i="46"/>
  <c r="AH9" i="46"/>
  <c r="AH10" i="46"/>
  <c r="AH5" i="46"/>
  <c r="U15" i="45" l="1"/>
  <c r="T18" i="45"/>
  <c r="T7" i="45"/>
  <c r="Z6" i="82"/>
  <c r="Z7" i="82" s="1"/>
  <c r="AA4" i="82"/>
  <c r="AA32" i="82"/>
  <c r="AA33" i="82" s="1"/>
  <c r="AA27" i="82"/>
  <c r="AA29" i="82"/>
  <c r="AA6" i="82" s="1"/>
  <c r="AA49" i="80"/>
  <c r="AA50" i="80" s="1"/>
  <c r="AC24" i="82" s="1"/>
  <c r="AC37" i="80"/>
  <c r="AB41" i="80"/>
  <c r="AB45" i="80" s="1"/>
  <c r="AB48" i="80" s="1"/>
  <c r="AC21" i="82"/>
  <c r="AD9" i="82"/>
  <c r="AC16" i="82"/>
  <c r="AB26" i="80"/>
  <c r="AC25" i="80"/>
  <c r="AB23" i="82"/>
  <c r="AB25" i="82" s="1"/>
  <c r="AD40" i="80"/>
  <c r="AE38" i="80"/>
  <c r="AE40" i="80" s="1"/>
  <c r="AA27" i="80"/>
  <c r="AA31" i="80" s="1"/>
  <c r="AA34" i="80" s="1"/>
  <c r="AC17" i="82" s="1"/>
  <c r="AB24" i="80"/>
  <c r="AB18" i="82"/>
  <c r="S11" i="45"/>
  <c r="BN12" i="2"/>
  <c r="BO12" i="2"/>
  <c r="BO23" i="2" s="1"/>
  <c r="BO34" i="2" s="1"/>
  <c r="BO45" i="2" s="1"/>
  <c r="BO56" i="2" s="1"/>
  <c r="BO67" i="2" s="1"/>
  <c r="BO78" i="2" s="1"/>
  <c r="BO89" i="2" s="1"/>
  <c r="BO100" i="2" s="1"/>
  <c r="BO111" i="2" s="1"/>
  <c r="BO122" i="2" s="1"/>
  <c r="BO133" i="2" s="1"/>
  <c r="BO144" i="2" s="1"/>
  <c r="BO155" i="2" s="1"/>
  <c r="BP12" i="2"/>
  <c r="BP23" i="2" s="1"/>
  <c r="BP34" i="2" s="1"/>
  <c r="BP45" i="2" s="1"/>
  <c r="BP56" i="2" s="1"/>
  <c r="BP67" i="2" s="1"/>
  <c r="BP78" i="2" s="1"/>
  <c r="BP89" i="2" s="1"/>
  <c r="BP100" i="2" s="1"/>
  <c r="BP111" i="2" s="1"/>
  <c r="BP122" i="2" s="1"/>
  <c r="BP133" i="2" s="1"/>
  <c r="BP144" i="2" s="1"/>
  <c r="BP155" i="2" s="1"/>
  <c r="BQ12" i="2"/>
  <c r="BQ23" i="2" s="1"/>
  <c r="BQ34" i="2" s="1"/>
  <c r="BQ45" i="2" s="1"/>
  <c r="BQ56" i="2" s="1"/>
  <c r="BQ67" i="2" s="1"/>
  <c r="BQ78" i="2" s="1"/>
  <c r="BQ89" i="2" s="1"/>
  <c r="BQ100" i="2" s="1"/>
  <c r="BQ111" i="2" s="1"/>
  <c r="BQ122" i="2" s="1"/>
  <c r="BQ133" i="2" s="1"/>
  <c r="BQ144" i="2" s="1"/>
  <c r="BQ155" i="2" s="1"/>
  <c r="CK155" i="2" s="1"/>
  <c r="BR12" i="2"/>
  <c r="BR23" i="2" s="1"/>
  <c r="BR34" i="2" s="1"/>
  <c r="BR45" i="2" s="1"/>
  <c r="BR56" i="2" s="1"/>
  <c r="BR67" i="2" s="1"/>
  <c r="BR78" i="2" s="1"/>
  <c r="BR89" i="2" s="1"/>
  <c r="BR100" i="2" s="1"/>
  <c r="BR111" i="2" s="1"/>
  <c r="BR122" i="2" s="1"/>
  <c r="BR133" i="2" s="1"/>
  <c r="BR144" i="2" s="1"/>
  <c r="BR155" i="2" s="1"/>
  <c r="CL155" i="2" s="1"/>
  <c r="BS12" i="2"/>
  <c r="CM12" i="2" s="1"/>
  <c r="BO11" i="2"/>
  <c r="BO22" i="2" s="1"/>
  <c r="BO33" i="2" s="1"/>
  <c r="BO44" i="2" s="1"/>
  <c r="BO55" i="2" s="1"/>
  <c r="BO66" i="2" s="1"/>
  <c r="BO77" i="2" s="1"/>
  <c r="BO88" i="2" s="1"/>
  <c r="BO99" i="2" s="1"/>
  <c r="BO110" i="2" s="1"/>
  <c r="BO121" i="2" s="1"/>
  <c r="BO132" i="2" s="1"/>
  <c r="BO143" i="2" s="1"/>
  <c r="BO154" i="2" s="1"/>
  <c r="BP11" i="2"/>
  <c r="BP22" i="2" s="1"/>
  <c r="BP33" i="2" s="1"/>
  <c r="BP44" i="2" s="1"/>
  <c r="BP55" i="2" s="1"/>
  <c r="BP66" i="2" s="1"/>
  <c r="BP77" i="2" s="1"/>
  <c r="BP88" i="2" s="1"/>
  <c r="BP99" i="2" s="1"/>
  <c r="BP110" i="2" s="1"/>
  <c r="BP121" i="2" s="1"/>
  <c r="BP132" i="2" s="1"/>
  <c r="BP143" i="2" s="1"/>
  <c r="BP154" i="2" s="1"/>
  <c r="BQ11" i="2"/>
  <c r="BQ22" i="2" s="1"/>
  <c r="BR11" i="2"/>
  <c r="CL11" i="2" s="1"/>
  <c r="BS11" i="2"/>
  <c r="CM11" i="2" s="1"/>
  <c r="BN11" i="2"/>
  <c r="AW6" i="46"/>
  <c r="AW7" i="46"/>
  <c r="AW8" i="46"/>
  <c r="AW9" i="46"/>
  <c r="AW10" i="46"/>
  <c r="AW11" i="46"/>
  <c r="AW12" i="46"/>
  <c r="AW13" i="46"/>
  <c r="AW14" i="46"/>
  <c r="AW15" i="46"/>
  <c r="AW16" i="46"/>
  <c r="AW17" i="46"/>
  <c r="AW18" i="46"/>
  <c r="AW5" i="46"/>
  <c r="AV18" i="46"/>
  <c r="AV17" i="46"/>
  <c r="AV16" i="46"/>
  <c r="AV15" i="46"/>
  <c r="AV14" i="46"/>
  <c r="AV13" i="46"/>
  <c r="AV12" i="46"/>
  <c r="AV11" i="46"/>
  <c r="AV10" i="46"/>
  <c r="AV9" i="46"/>
  <c r="AV8" i="46"/>
  <c r="AV7" i="46"/>
  <c r="AV6" i="46"/>
  <c r="AV5" i="46"/>
  <c r="AZ8" i="46"/>
  <c r="AZ9" i="46"/>
  <c r="AZ10" i="46"/>
  <c r="AZ11" i="46"/>
  <c r="AZ12" i="46"/>
  <c r="AZ13" i="46"/>
  <c r="AZ14" i="46"/>
  <c r="AZ15" i="46"/>
  <c r="AZ16" i="46"/>
  <c r="AZ17" i="46"/>
  <c r="AZ18" i="46"/>
  <c r="AZ7" i="46"/>
  <c r="AZ6" i="46"/>
  <c r="AZ5" i="46"/>
  <c r="V15" i="45" l="1"/>
  <c r="U18" i="45"/>
  <c r="U7" i="45"/>
  <c r="AB4" i="82"/>
  <c r="AA7" i="82"/>
  <c r="AB32" i="82"/>
  <c r="AB33" i="82" s="1"/>
  <c r="AB27" i="82"/>
  <c r="AC23" i="82"/>
  <c r="AC25" i="82" s="1"/>
  <c r="AC41" i="80"/>
  <c r="AC45" i="80" s="1"/>
  <c r="AC48" i="80" s="1"/>
  <c r="AD37" i="80"/>
  <c r="AB49" i="80"/>
  <c r="AB50" i="80" s="1"/>
  <c r="AD24" i="82" s="1"/>
  <c r="AC18" i="82"/>
  <c r="AD21" i="82"/>
  <c r="AE9" i="82"/>
  <c r="AD16" i="82"/>
  <c r="AB27" i="80"/>
  <c r="AB31" i="80" s="1"/>
  <c r="AB34" i="80" s="1"/>
  <c r="AD17" i="82" s="1"/>
  <c r="AC24" i="80"/>
  <c r="AB29" i="82"/>
  <c r="AC26" i="80"/>
  <c r="AD25" i="80"/>
  <c r="BN22" i="2"/>
  <c r="BN23" i="2"/>
  <c r="T11" i="45"/>
  <c r="BR22" i="2"/>
  <c r="BR33" i="2" s="1"/>
  <c r="BR44" i="2" s="1"/>
  <c r="CK56" i="2"/>
  <c r="BQ33" i="2"/>
  <c r="BQ44" i="2" s="1"/>
  <c r="BQ55" i="2" s="1"/>
  <c r="BQ66" i="2" s="1"/>
  <c r="BQ77" i="2" s="1"/>
  <c r="BQ88" i="2" s="1"/>
  <c r="BQ99" i="2" s="1"/>
  <c r="CK22" i="2"/>
  <c r="CK11" i="2"/>
  <c r="BS23" i="2"/>
  <c r="BS34" i="2" s="1"/>
  <c r="BS45" i="2" s="1"/>
  <c r="BS56" i="2" s="1"/>
  <c r="BS67" i="2" s="1"/>
  <c r="BS78" i="2" s="1"/>
  <c r="BS89" i="2" s="1"/>
  <c r="BS100" i="2" s="1"/>
  <c r="BS111" i="2" s="1"/>
  <c r="BS122" i="2" s="1"/>
  <c r="BS133" i="2" s="1"/>
  <c r="BS144" i="2" s="1"/>
  <c r="BS155" i="2" s="1"/>
  <c r="CM155" i="2" s="1"/>
  <c r="CL144" i="2"/>
  <c r="BS22" i="2"/>
  <c r="CK34" i="2"/>
  <c r="CL56" i="2"/>
  <c r="CL34" i="2"/>
  <c r="CL111" i="2"/>
  <c r="CL67" i="2"/>
  <c r="CL12" i="2"/>
  <c r="CL78" i="2"/>
  <c r="CL133" i="2"/>
  <c r="CK12" i="2"/>
  <c r="CL89" i="2"/>
  <c r="CL45" i="2"/>
  <c r="CL122" i="2"/>
  <c r="CL23" i="2"/>
  <c r="CL100" i="2"/>
  <c r="CK144" i="2"/>
  <c r="CK78" i="2"/>
  <c r="CK122" i="2"/>
  <c r="CK23" i="2"/>
  <c r="CK89" i="2"/>
  <c r="CK45" i="2"/>
  <c r="CK100" i="2"/>
  <c r="CK67" i="2"/>
  <c r="CK111" i="2"/>
  <c r="CK133" i="2"/>
  <c r="C277" i="45"/>
  <c r="C278" i="45"/>
  <c r="C279" i="45"/>
  <c r="C280" i="45"/>
  <c r="C281" i="45"/>
  <c r="C282" i="45"/>
  <c r="C283" i="45"/>
  <c r="C284" i="45"/>
  <c r="C276" i="45"/>
  <c r="D11" i="74"/>
  <c r="AY6" i="46"/>
  <c r="AY7" i="46"/>
  <c r="AY8" i="46"/>
  <c r="AY9" i="46"/>
  <c r="AY10" i="46"/>
  <c r="AY11" i="46"/>
  <c r="AY12" i="46"/>
  <c r="AY13" i="46"/>
  <c r="AY14" i="46"/>
  <c r="AY15" i="46"/>
  <c r="AY16" i="46"/>
  <c r="AY17" i="46"/>
  <c r="AY18" i="46"/>
  <c r="AY5" i="46"/>
  <c r="E4" i="74"/>
  <c r="L4" i="74" s="1"/>
  <c r="AN12" i="46"/>
  <c r="AN11" i="46"/>
  <c r="AK18" i="46"/>
  <c r="AK17" i="46"/>
  <c r="AK16" i="46"/>
  <c r="AK15" i="46"/>
  <c r="AK14" i="46"/>
  <c r="AK13" i="46"/>
  <c r="AK8" i="46"/>
  <c r="AK9" i="46"/>
  <c r="AK10" i="46"/>
  <c r="AK7" i="46"/>
  <c r="AK6" i="46"/>
  <c r="AN5" i="46"/>
  <c r="AK5" i="46"/>
  <c r="AK11" i="46"/>
  <c r="AK12" i="46"/>
  <c r="AD13" i="45"/>
  <c r="AE13" i="45"/>
  <c r="AF13" i="45"/>
  <c r="AG13" i="45"/>
  <c r="AC13" i="45"/>
  <c r="T13" i="45"/>
  <c r="U13" i="45"/>
  <c r="V13" i="45"/>
  <c r="W13" i="45"/>
  <c r="X13" i="45"/>
  <c r="Y13" i="45"/>
  <c r="Z13" i="45"/>
  <c r="AA13" i="45"/>
  <c r="AB13" i="45"/>
  <c r="S13" i="45"/>
  <c r="J13" i="45"/>
  <c r="K13" i="45"/>
  <c r="L13" i="45"/>
  <c r="M13" i="45"/>
  <c r="N13" i="45"/>
  <c r="O13" i="45"/>
  <c r="P13" i="45"/>
  <c r="R13" i="45"/>
  <c r="I13" i="45"/>
  <c r="E13" i="45"/>
  <c r="F13" i="45"/>
  <c r="G13" i="45"/>
  <c r="H13" i="45"/>
  <c r="C13" i="45"/>
  <c r="D13" i="45"/>
  <c r="W15" i="45" l="1"/>
  <c r="V18" i="45"/>
  <c r="V7" i="45"/>
  <c r="AB6" i="82"/>
  <c r="AB7" i="82" s="1"/>
  <c r="AC4" i="82"/>
  <c r="AC29" i="82"/>
  <c r="AC6" i="82" s="1"/>
  <c r="AE37" i="80"/>
  <c r="AE41" i="80" s="1"/>
  <c r="AE45" i="80" s="1"/>
  <c r="AE48" i="80" s="1"/>
  <c r="AD41" i="80"/>
  <c r="AD45" i="80" s="1"/>
  <c r="AD48" i="80" s="1"/>
  <c r="AC49" i="80"/>
  <c r="AC50" i="80"/>
  <c r="AE24" i="82" s="1"/>
  <c r="AC32" i="82"/>
  <c r="AC33" i="82" s="1"/>
  <c r="AC27" i="82"/>
  <c r="AD26" i="80"/>
  <c r="AE25" i="80"/>
  <c r="AE26" i="80" s="1"/>
  <c r="AD18" i="82"/>
  <c r="AD23" i="82"/>
  <c r="AD25" i="82" s="1"/>
  <c r="AD24" i="80"/>
  <c r="AC27" i="80"/>
  <c r="AC31" i="80" s="1"/>
  <c r="AC34" i="80" s="1"/>
  <c r="AE17" i="82" s="1"/>
  <c r="AE21" i="82"/>
  <c r="AF9" i="82"/>
  <c r="AE16" i="82"/>
  <c r="BN34" i="2"/>
  <c r="BN33" i="2"/>
  <c r="U11" i="45"/>
  <c r="CK44" i="2"/>
  <c r="CL33" i="2"/>
  <c r="CL22" i="2"/>
  <c r="T47" i="55"/>
  <c r="T47" i="51"/>
  <c r="T47" i="65"/>
  <c r="T47" i="53"/>
  <c r="T47" i="52"/>
  <c r="T47" i="66"/>
  <c r="T47" i="67"/>
  <c r="T47" i="57"/>
  <c r="T47" i="58"/>
  <c r="K47" i="53"/>
  <c r="K47" i="52"/>
  <c r="K47" i="66"/>
  <c r="K47" i="67"/>
  <c r="K47" i="58"/>
  <c r="K47" i="65"/>
  <c r="K47" i="51"/>
  <c r="K47" i="55"/>
  <c r="K47" i="57"/>
  <c r="AF47" i="55"/>
  <c r="AF47" i="66"/>
  <c r="AF47" i="51"/>
  <c r="AF47" i="65"/>
  <c r="AF47" i="53"/>
  <c r="AF47" i="52"/>
  <c r="AF47" i="57"/>
  <c r="AF47" i="67"/>
  <c r="AF47" i="58"/>
  <c r="F47" i="57"/>
  <c r="F47" i="51"/>
  <c r="F47" i="55"/>
  <c r="F47" i="52"/>
  <c r="F47" i="65"/>
  <c r="F47" i="53"/>
  <c r="F47" i="66"/>
  <c r="F47" i="58"/>
  <c r="F47" i="67"/>
  <c r="AB47" i="67"/>
  <c r="AB47" i="58"/>
  <c r="AB47" i="53"/>
  <c r="AB47" i="57"/>
  <c r="AB47" i="65"/>
  <c r="AB47" i="55"/>
  <c r="AB47" i="51"/>
  <c r="AB47" i="52"/>
  <c r="AB47" i="66"/>
  <c r="AE47" i="57"/>
  <c r="AE47" i="66"/>
  <c r="AE47" i="55"/>
  <c r="AE47" i="51"/>
  <c r="AE47" i="65"/>
  <c r="AE47" i="53"/>
  <c r="AE47" i="52"/>
  <c r="AE47" i="58"/>
  <c r="AE47" i="67"/>
  <c r="E47" i="67"/>
  <c r="E47" i="58"/>
  <c r="E47" i="57"/>
  <c r="E47" i="55"/>
  <c r="E47" i="51"/>
  <c r="E47" i="65"/>
  <c r="E47" i="53"/>
  <c r="E47" i="52"/>
  <c r="E47" i="66"/>
  <c r="AA47" i="66"/>
  <c r="AA47" i="65"/>
  <c r="AA47" i="67"/>
  <c r="AA47" i="58"/>
  <c r="AA47" i="57"/>
  <c r="AA47" i="51"/>
  <c r="AA47" i="55"/>
  <c r="AA47" i="52"/>
  <c r="AA47" i="53"/>
  <c r="AD47" i="57"/>
  <c r="AD47" i="55"/>
  <c r="AD47" i="52"/>
  <c r="AD47" i="51"/>
  <c r="AD47" i="65"/>
  <c r="AD47" i="53"/>
  <c r="AD47" i="66"/>
  <c r="AD47" i="58"/>
  <c r="AD47" i="67"/>
  <c r="AG47" i="51"/>
  <c r="AG47" i="65"/>
  <c r="AG47" i="67"/>
  <c r="AG47" i="53"/>
  <c r="AG47" i="66"/>
  <c r="AG47" i="52"/>
  <c r="AG47" i="58"/>
  <c r="AG47" i="55"/>
  <c r="AG47" i="57"/>
  <c r="R47" i="57"/>
  <c r="R47" i="55"/>
  <c r="R47" i="51"/>
  <c r="R47" i="52"/>
  <c r="R47" i="65"/>
  <c r="R47" i="53"/>
  <c r="R47" i="67"/>
  <c r="R47" i="66"/>
  <c r="R47" i="58"/>
  <c r="Y47" i="66"/>
  <c r="Y47" i="57"/>
  <c r="Y47" i="67"/>
  <c r="Y47" i="58"/>
  <c r="Y47" i="55"/>
  <c r="Y47" i="51"/>
  <c r="Y47" i="65"/>
  <c r="Y47" i="53"/>
  <c r="Y47" i="52"/>
  <c r="L47" i="52"/>
  <c r="L47" i="55"/>
  <c r="L47" i="66"/>
  <c r="L47" i="57"/>
  <c r="L47" i="67"/>
  <c r="L47" i="58"/>
  <c r="L47" i="65"/>
  <c r="L47" i="51"/>
  <c r="L47" i="53"/>
  <c r="J47" i="65"/>
  <c r="J47" i="53"/>
  <c r="J47" i="52"/>
  <c r="J47" i="58"/>
  <c r="J47" i="66"/>
  <c r="J47" i="67"/>
  <c r="J47" i="51"/>
  <c r="J47" i="55"/>
  <c r="J47" i="57"/>
  <c r="S47" i="57"/>
  <c r="S47" i="55"/>
  <c r="S47" i="51"/>
  <c r="S47" i="65"/>
  <c r="S47" i="53"/>
  <c r="S47" i="52"/>
  <c r="S47" i="66"/>
  <c r="S47" i="58"/>
  <c r="S47" i="67"/>
  <c r="I47" i="51"/>
  <c r="I47" i="65"/>
  <c r="I47" i="58"/>
  <c r="I47" i="53"/>
  <c r="I47" i="66"/>
  <c r="I47" i="52"/>
  <c r="I47" i="67"/>
  <c r="I47" i="55"/>
  <c r="I47" i="57"/>
  <c r="O47" i="66"/>
  <c r="O47" i="65"/>
  <c r="O47" i="67"/>
  <c r="O47" i="58"/>
  <c r="O47" i="57"/>
  <c r="O47" i="55"/>
  <c r="O47" i="51"/>
  <c r="O47" i="52"/>
  <c r="O47" i="53"/>
  <c r="W47" i="53"/>
  <c r="W47" i="52"/>
  <c r="W47" i="58"/>
  <c r="W47" i="66"/>
  <c r="W47" i="67"/>
  <c r="W47" i="57"/>
  <c r="W47" i="51"/>
  <c r="W47" i="65"/>
  <c r="W47" i="55"/>
  <c r="AC47" i="67"/>
  <c r="AC47" i="58"/>
  <c r="AC47" i="51"/>
  <c r="AC47" i="57"/>
  <c r="AC47" i="53"/>
  <c r="AC47" i="55"/>
  <c r="AC47" i="65"/>
  <c r="AC47" i="52"/>
  <c r="AC47" i="66"/>
  <c r="H47" i="55"/>
  <c r="H47" i="51"/>
  <c r="H47" i="65"/>
  <c r="H47" i="66"/>
  <c r="H47" i="53"/>
  <c r="H47" i="52"/>
  <c r="H47" i="58"/>
  <c r="H47" i="57"/>
  <c r="H47" i="67"/>
  <c r="Z47" i="55"/>
  <c r="Z47" i="66"/>
  <c r="Z47" i="65"/>
  <c r="Z47" i="67"/>
  <c r="Z47" i="58"/>
  <c r="Z47" i="57"/>
  <c r="Z47" i="51"/>
  <c r="Z47" i="52"/>
  <c r="Z47" i="53"/>
  <c r="P47" i="67"/>
  <c r="P47" i="58"/>
  <c r="P47" i="57"/>
  <c r="P47" i="55"/>
  <c r="P47" i="65"/>
  <c r="P47" i="53"/>
  <c r="P47" i="51"/>
  <c r="P47" i="52"/>
  <c r="P47" i="66"/>
  <c r="N47" i="65"/>
  <c r="N47" i="66"/>
  <c r="N47" i="67"/>
  <c r="N47" i="58"/>
  <c r="N47" i="55"/>
  <c r="N47" i="57"/>
  <c r="N47" i="51"/>
  <c r="N47" i="53"/>
  <c r="N47" i="52"/>
  <c r="V47" i="65"/>
  <c r="V47" i="58"/>
  <c r="V47" i="53"/>
  <c r="V47" i="52"/>
  <c r="V47" i="67"/>
  <c r="V47" i="66"/>
  <c r="V47" i="55"/>
  <c r="V47" i="57"/>
  <c r="V47" i="51"/>
  <c r="D47" i="65"/>
  <c r="D47" i="53"/>
  <c r="D47" i="67"/>
  <c r="D47" i="58"/>
  <c r="D47" i="57"/>
  <c r="D47" i="55"/>
  <c r="D47" i="51"/>
  <c r="D47" i="66"/>
  <c r="D47" i="52"/>
  <c r="C47" i="66"/>
  <c r="C47" i="65"/>
  <c r="C47" i="67"/>
  <c r="C47" i="58"/>
  <c r="C47" i="57"/>
  <c r="C47" i="51"/>
  <c r="C47" i="55"/>
  <c r="C47" i="53"/>
  <c r="C47" i="52"/>
  <c r="G47" i="57"/>
  <c r="G47" i="55"/>
  <c r="G47" i="66"/>
  <c r="G47" i="51"/>
  <c r="G47" i="65"/>
  <c r="G47" i="53"/>
  <c r="G47" i="52"/>
  <c r="G47" i="58"/>
  <c r="G47" i="67"/>
  <c r="X47" i="52"/>
  <c r="X47" i="57"/>
  <c r="X47" i="66"/>
  <c r="X47" i="55"/>
  <c r="X47" i="67"/>
  <c r="X47" i="58"/>
  <c r="X47" i="51"/>
  <c r="X47" i="65"/>
  <c r="X47" i="53"/>
  <c r="M47" i="66"/>
  <c r="M47" i="55"/>
  <c r="M47" i="67"/>
  <c r="M47" i="58"/>
  <c r="M47" i="57"/>
  <c r="M47" i="51"/>
  <c r="M47" i="52"/>
  <c r="M47" i="53"/>
  <c r="M47" i="65"/>
  <c r="U47" i="51"/>
  <c r="U47" i="66"/>
  <c r="U47" i="65"/>
  <c r="U47" i="53"/>
  <c r="U47" i="58"/>
  <c r="U47" i="52"/>
  <c r="U47" i="67"/>
  <c r="U47" i="55"/>
  <c r="U47" i="57"/>
  <c r="CK55" i="2"/>
  <c r="CM100" i="2"/>
  <c r="CK33" i="2"/>
  <c r="CM34" i="2"/>
  <c r="CM89" i="2"/>
  <c r="CM144" i="2"/>
  <c r="CM122" i="2"/>
  <c r="CK77" i="2"/>
  <c r="CM133" i="2"/>
  <c r="CM45" i="2"/>
  <c r="CM23" i="2"/>
  <c r="CM56" i="2"/>
  <c r="BQ110" i="2"/>
  <c r="CK99" i="2"/>
  <c r="CM78" i="2"/>
  <c r="CM111" i="2"/>
  <c r="CK88" i="2"/>
  <c r="CM67" i="2"/>
  <c r="CK66" i="2"/>
  <c r="BS33" i="2"/>
  <c r="CM22" i="2"/>
  <c r="BR55" i="2"/>
  <c r="CL44" i="2"/>
  <c r="CC13" i="46"/>
  <c r="CC14" i="46"/>
  <c r="CC15" i="46"/>
  <c r="CC16" i="46"/>
  <c r="CC17" i="46"/>
  <c r="CC18" i="46"/>
  <c r="CC6" i="46"/>
  <c r="CC7" i="46"/>
  <c r="CC8" i="46"/>
  <c r="CC9" i="46"/>
  <c r="CC10" i="46"/>
  <c r="CC11" i="46"/>
  <c r="CC12" i="46"/>
  <c r="CC5" i="46"/>
  <c r="CA6" i="46"/>
  <c r="CA7" i="46"/>
  <c r="CA8" i="46"/>
  <c r="CA9" i="46"/>
  <c r="CA10" i="46"/>
  <c r="CA11" i="46"/>
  <c r="CA12" i="46"/>
  <c r="CA13" i="46"/>
  <c r="CA14" i="46"/>
  <c r="CA15" i="46"/>
  <c r="CA16" i="46"/>
  <c r="CA17" i="46"/>
  <c r="CA18" i="46"/>
  <c r="CA5" i="46"/>
  <c r="BP6" i="46"/>
  <c r="BP7" i="46"/>
  <c r="BP8" i="46"/>
  <c r="BP9" i="46"/>
  <c r="BP10" i="46"/>
  <c r="BP11" i="46"/>
  <c r="BP12" i="46"/>
  <c r="BP13" i="46"/>
  <c r="BP14" i="46"/>
  <c r="BP15" i="46"/>
  <c r="BP16" i="46"/>
  <c r="BP17" i="46"/>
  <c r="BP18" i="46"/>
  <c r="BP5" i="46"/>
  <c r="D18" i="46"/>
  <c r="D17" i="46"/>
  <c r="D16" i="46"/>
  <c r="D15" i="46"/>
  <c r="D14" i="46"/>
  <c r="D13" i="46"/>
  <c r="D12" i="46"/>
  <c r="D11" i="46"/>
  <c r="D10" i="46"/>
  <c r="D6" i="46"/>
  <c r="D7" i="46"/>
  <c r="D8" i="46"/>
  <c r="D9" i="46"/>
  <c r="D5" i="46"/>
  <c r="AH299" i="45"/>
  <c r="AI299" i="45"/>
  <c r="AJ299" i="45"/>
  <c r="AK299" i="45"/>
  <c r="AH300" i="45"/>
  <c r="AI300" i="45"/>
  <c r="AJ300" i="45"/>
  <c r="AK300" i="45"/>
  <c r="AH301" i="45"/>
  <c r="AI301" i="45"/>
  <c r="AJ301" i="45"/>
  <c r="AK301" i="45"/>
  <c r="AH302" i="45"/>
  <c r="AI302" i="45"/>
  <c r="AJ302" i="45"/>
  <c r="AK302" i="45"/>
  <c r="AH303" i="45"/>
  <c r="AI303" i="45"/>
  <c r="AJ303" i="45"/>
  <c r="AK303" i="45"/>
  <c r="AH304" i="45"/>
  <c r="AI304" i="45"/>
  <c r="AJ304" i="45"/>
  <c r="AK304" i="45"/>
  <c r="AH305" i="45"/>
  <c r="AI305" i="45"/>
  <c r="AJ305" i="45"/>
  <c r="AK305" i="45"/>
  <c r="AH306" i="45"/>
  <c r="AI306" i="45"/>
  <c r="AJ306" i="45"/>
  <c r="AK306" i="45"/>
  <c r="AI298" i="45"/>
  <c r="AJ298" i="45"/>
  <c r="AK298" i="45"/>
  <c r="AH298" i="45"/>
  <c r="C301" i="45"/>
  <c r="C302" i="45"/>
  <c r="C303" i="45"/>
  <c r="C304" i="45"/>
  <c r="C305" i="45"/>
  <c r="C306" i="45"/>
  <c r="C299" i="45"/>
  <c r="C300" i="45"/>
  <c r="C298" i="45"/>
  <c r="C104" i="61"/>
  <c r="X15" i="45" l="1"/>
  <c r="W18" i="45"/>
  <c r="W7" i="45"/>
  <c r="AD4" i="82"/>
  <c r="AC7" i="82"/>
  <c r="AD29" i="82"/>
  <c r="AD32" i="82"/>
  <c r="AD33" i="82" s="1"/>
  <c r="AD27" i="82"/>
  <c r="AE18" i="82"/>
  <c r="AG9" i="82"/>
  <c r="AF21" i="82"/>
  <c r="AF16" i="82"/>
  <c r="AE23" i="82"/>
  <c r="AE4" i="82" s="1"/>
  <c r="AD27" i="80"/>
  <c r="AD31" i="80" s="1"/>
  <c r="AD34" i="80" s="1"/>
  <c r="AF17" i="82" s="1"/>
  <c r="AE24" i="80"/>
  <c r="AD49" i="80"/>
  <c r="AD50" i="80"/>
  <c r="AF24" i="82" s="1"/>
  <c r="AE49" i="80"/>
  <c r="AE50" i="80" s="1"/>
  <c r="AG24" i="82" s="1"/>
  <c r="BN44" i="2"/>
  <c r="BN45" i="2"/>
  <c r="BN56" i="2" s="1"/>
  <c r="V11" i="45"/>
  <c r="BQ121" i="2"/>
  <c r="CK110" i="2"/>
  <c r="BR66" i="2"/>
  <c r="CL55" i="2"/>
  <c r="BS44" i="2"/>
  <c r="CM33" i="2"/>
  <c r="BO157" i="2"/>
  <c r="BP157" i="2"/>
  <c r="BQ157" i="2"/>
  <c r="BR157" i="2"/>
  <c r="CE157" i="2" s="1"/>
  <c r="BY157" i="2" s="1"/>
  <c r="J168" i="78" s="1"/>
  <c r="BS157" i="2"/>
  <c r="CF157" i="2" s="1"/>
  <c r="BZ157" i="2" s="1"/>
  <c r="K168" i="78" s="1"/>
  <c r="BO113" i="2"/>
  <c r="BP113" i="2"/>
  <c r="BQ113" i="2"/>
  <c r="BR113" i="2"/>
  <c r="CE113" i="2" s="1"/>
  <c r="BY113" i="2" s="1"/>
  <c r="J120" i="78" s="1"/>
  <c r="BS113" i="2"/>
  <c r="CF113" i="2" s="1"/>
  <c r="BZ113" i="2" s="1"/>
  <c r="K120" i="78" s="1"/>
  <c r="BO91" i="2"/>
  <c r="BP91" i="2"/>
  <c r="BQ91" i="2"/>
  <c r="BR91" i="2"/>
  <c r="CE91" i="2" s="1"/>
  <c r="BY91" i="2" s="1"/>
  <c r="J96" i="78" s="1"/>
  <c r="BS91" i="2"/>
  <c r="CF91" i="2" s="1"/>
  <c r="BZ91" i="2" s="1"/>
  <c r="K96" i="78" s="1"/>
  <c r="BO80" i="2"/>
  <c r="BP80" i="2"/>
  <c r="BQ80" i="2"/>
  <c r="BR80" i="2"/>
  <c r="CE80" i="2" s="1"/>
  <c r="BY80" i="2" s="1"/>
  <c r="J84" i="78" s="1"/>
  <c r="BS80" i="2"/>
  <c r="CF80" i="2" s="1"/>
  <c r="BZ80" i="2" s="1"/>
  <c r="K84" i="78" s="1"/>
  <c r="BO68" i="2"/>
  <c r="BO79" i="2" s="1"/>
  <c r="BO90" i="2" s="1"/>
  <c r="BP68" i="2"/>
  <c r="BQ68" i="2"/>
  <c r="BR68" i="2"/>
  <c r="BR79" i="2" s="1"/>
  <c r="BR90" i="2" s="1"/>
  <c r="BS68" i="2"/>
  <c r="BS79" i="2" s="1"/>
  <c r="BS90" i="2" s="1"/>
  <c r="BO69" i="2"/>
  <c r="BP69" i="2"/>
  <c r="BQ69" i="2"/>
  <c r="BR69" i="2"/>
  <c r="CE69" i="2" s="1"/>
  <c r="BY69" i="2" s="1"/>
  <c r="J72" i="78" s="1"/>
  <c r="BS69" i="2"/>
  <c r="CF69" i="2" s="1"/>
  <c r="BZ69" i="2" s="1"/>
  <c r="K72" i="78" s="1"/>
  <c r="BO101" i="2"/>
  <c r="BO112" i="2" s="1"/>
  <c r="BO123" i="2" s="1"/>
  <c r="BP101" i="2"/>
  <c r="BQ101" i="2"/>
  <c r="BR101" i="2"/>
  <c r="BR112" i="2" s="1"/>
  <c r="BR123" i="2" s="1"/>
  <c r="BS101" i="2"/>
  <c r="BS112" i="2" s="1"/>
  <c r="BS123" i="2" s="1"/>
  <c r="BO36" i="2"/>
  <c r="BP36" i="2"/>
  <c r="BQ36" i="2"/>
  <c r="BR36" i="2"/>
  <c r="CE36" i="2" s="1"/>
  <c r="BY36" i="2" s="1"/>
  <c r="J36" i="78" s="1"/>
  <c r="BS36" i="2"/>
  <c r="CF36" i="2" s="1"/>
  <c r="BZ36" i="2" s="1"/>
  <c r="K36" i="78" s="1"/>
  <c r="BO25" i="2"/>
  <c r="BP25" i="2"/>
  <c r="BQ25" i="2"/>
  <c r="BR25" i="2"/>
  <c r="CE25" i="2" s="1"/>
  <c r="BY25" i="2" s="1"/>
  <c r="J24" i="78" s="1"/>
  <c r="BS25" i="2"/>
  <c r="CF25" i="2" s="1"/>
  <c r="BZ25" i="2" s="1"/>
  <c r="K24" i="78" s="1"/>
  <c r="BO57" i="2"/>
  <c r="BO134" i="2" s="1"/>
  <c r="BO145" i="2" s="1"/>
  <c r="BO156" i="2" s="1"/>
  <c r="BP57" i="2"/>
  <c r="BQ57" i="2"/>
  <c r="BR57" i="2"/>
  <c r="BR134" i="2" s="1"/>
  <c r="BR145" i="2" s="1"/>
  <c r="BR156" i="2" s="1"/>
  <c r="BS57" i="2"/>
  <c r="BS134" i="2" s="1"/>
  <c r="BS145" i="2" s="1"/>
  <c r="BS156" i="2" s="1"/>
  <c r="BO14" i="2"/>
  <c r="BP14" i="2"/>
  <c r="BQ14" i="2"/>
  <c r="BR14" i="2"/>
  <c r="CE14" i="2" s="1"/>
  <c r="BY14" i="2" s="1"/>
  <c r="J12" i="78" s="1"/>
  <c r="BS14" i="2"/>
  <c r="CF14" i="2" s="1"/>
  <c r="BZ14" i="2" s="1"/>
  <c r="K12" i="78" s="1"/>
  <c r="BO46" i="2"/>
  <c r="BP46" i="2"/>
  <c r="CC46" i="2" s="1"/>
  <c r="BR46" i="2"/>
  <c r="BS46" i="2"/>
  <c r="O10" i="23"/>
  <c r="L10" i="23"/>
  <c r="K10" i="23"/>
  <c r="O9" i="23"/>
  <c r="L9" i="23"/>
  <c r="K9" i="23"/>
  <c r="O8" i="23"/>
  <c r="L8" i="23"/>
  <c r="K8" i="23"/>
  <c r="O7" i="23"/>
  <c r="L7" i="23"/>
  <c r="K7" i="23"/>
  <c r="O6" i="23"/>
  <c r="L6" i="23"/>
  <c r="K6" i="23"/>
  <c r="P5" i="23"/>
  <c r="O5" i="23"/>
  <c r="N5" i="23"/>
  <c r="M5" i="23"/>
  <c r="L5" i="23"/>
  <c r="K5" i="23"/>
  <c r="O4" i="23"/>
  <c r="L4" i="23"/>
  <c r="K4" i="23"/>
  <c r="O3" i="23"/>
  <c r="L3" i="23"/>
  <c r="K3" i="23"/>
  <c r="O2" i="23"/>
  <c r="L2" i="23"/>
  <c r="K2" i="23"/>
  <c r="J10" i="23"/>
  <c r="J9" i="23"/>
  <c r="J8" i="23"/>
  <c r="J7" i="23"/>
  <c r="J6" i="23"/>
  <c r="J5" i="23"/>
  <c r="J4" i="23"/>
  <c r="J3" i="23"/>
  <c r="J2" i="23"/>
  <c r="E75" i="47"/>
  <c r="CE13" i="46"/>
  <c r="CE14" i="46"/>
  <c r="CE15" i="46"/>
  <c r="CE16" i="46"/>
  <c r="CE17" i="46"/>
  <c r="CE18" i="46"/>
  <c r="CE11" i="46"/>
  <c r="CE12" i="46"/>
  <c r="CE10" i="46"/>
  <c r="CE9" i="46"/>
  <c r="CE8" i="46"/>
  <c r="CE7" i="46"/>
  <c r="CE6" i="46"/>
  <c r="CE5" i="46"/>
  <c r="Q12" i="46"/>
  <c r="CF12" i="46" s="1"/>
  <c r="Q11" i="46"/>
  <c r="CF11" i="46" s="1"/>
  <c r="BL18" i="46"/>
  <c r="BC18" i="46"/>
  <c r="BL17" i="46"/>
  <c r="BC17" i="46"/>
  <c r="BL16" i="46"/>
  <c r="BC16" i="46"/>
  <c r="BL15" i="46"/>
  <c r="BC15" i="46"/>
  <c r="BD15" i="46" s="1"/>
  <c r="C179" i="45" s="1"/>
  <c r="D179" i="45" s="1"/>
  <c r="E179" i="45" s="1"/>
  <c r="F179" i="45" s="1"/>
  <c r="G179" i="45" s="1"/>
  <c r="H179" i="45" s="1"/>
  <c r="I179" i="45" s="1"/>
  <c r="J179" i="45" s="1"/>
  <c r="K179" i="45" s="1"/>
  <c r="L179" i="45" s="1"/>
  <c r="M179" i="45" s="1"/>
  <c r="N179" i="45" s="1"/>
  <c r="O179" i="45" s="1"/>
  <c r="P179" i="45" s="1"/>
  <c r="Q179" i="45" s="1"/>
  <c r="R179" i="45" s="1"/>
  <c r="S179" i="45" s="1"/>
  <c r="T179" i="45" s="1"/>
  <c r="U179" i="45" s="1"/>
  <c r="V179" i="45" s="1"/>
  <c r="W179" i="45" s="1"/>
  <c r="X179" i="45" s="1"/>
  <c r="Y179" i="45" s="1"/>
  <c r="Z179" i="45" s="1"/>
  <c r="AA179" i="45" s="1"/>
  <c r="AB179" i="45" s="1"/>
  <c r="AC179" i="45" s="1"/>
  <c r="AD179" i="45" s="1"/>
  <c r="AE179" i="45" s="1"/>
  <c r="AF179" i="45" s="1"/>
  <c r="AG179" i="45" s="1"/>
  <c r="BL14" i="46"/>
  <c r="BC14" i="46"/>
  <c r="BD14" i="46" s="1"/>
  <c r="C178" i="45" s="1"/>
  <c r="D178" i="45" s="1"/>
  <c r="E178" i="45" s="1"/>
  <c r="F178" i="45" s="1"/>
  <c r="G178" i="45" s="1"/>
  <c r="H178" i="45" s="1"/>
  <c r="I178" i="45" s="1"/>
  <c r="J178" i="45" s="1"/>
  <c r="K178" i="45" s="1"/>
  <c r="L178" i="45" s="1"/>
  <c r="M178" i="45" s="1"/>
  <c r="N178" i="45" s="1"/>
  <c r="O178" i="45" s="1"/>
  <c r="P178" i="45" s="1"/>
  <c r="Q178" i="45" s="1"/>
  <c r="R178" i="45" s="1"/>
  <c r="S178" i="45" s="1"/>
  <c r="T178" i="45" s="1"/>
  <c r="U178" i="45" s="1"/>
  <c r="V178" i="45" s="1"/>
  <c r="W178" i="45" s="1"/>
  <c r="X178" i="45" s="1"/>
  <c r="Y178" i="45" s="1"/>
  <c r="Z178" i="45" s="1"/>
  <c r="AA178" i="45" s="1"/>
  <c r="AB178" i="45" s="1"/>
  <c r="AC178" i="45" s="1"/>
  <c r="AD178" i="45" s="1"/>
  <c r="AE178" i="45" s="1"/>
  <c r="AF178" i="45" s="1"/>
  <c r="AG178" i="45" s="1"/>
  <c r="BL13" i="46"/>
  <c r="BC13" i="46"/>
  <c r="BD13" i="46" s="1"/>
  <c r="C177" i="45" s="1"/>
  <c r="D177" i="45" s="1"/>
  <c r="E177" i="45" s="1"/>
  <c r="F177" i="45" s="1"/>
  <c r="G177" i="45" s="1"/>
  <c r="H177" i="45" s="1"/>
  <c r="I177" i="45" s="1"/>
  <c r="J177" i="45" s="1"/>
  <c r="K177" i="45" s="1"/>
  <c r="L177" i="45" s="1"/>
  <c r="M177" i="45" s="1"/>
  <c r="N177" i="45" s="1"/>
  <c r="O177" i="45" s="1"/>
  <c r="P177" i="45" s="1"/>
  <c r="Q177" i="45" s="1"/>
  <c r="R177" i="45" s="1"/>
  <c r="S177" i="45" s="1"/>
  <c r="T177" i="45" s="1"/>
  <c r="U177" i="45" s="1"/>
  <c r="V177" i="45" s="1"/>
  <c r="W177" i="45" s="1"/>
  <c r="X177" i="45" s="1"/>
  <c r="Y177" i="45" s="1"/>
  <c r="Z177" i="45" s="1"/>
  <c r="AA177" i="45" s="1"/>
  <c r="AB177" i="45" s="1"/>
  <c r="AC177" i="45" s="1"/>
  <c r="AD177" i="45" s="1"/>
  <c r="AE177" i="45" s="1"/>
  <c r="AF177" i="45" s="1"/>
  <c r="AG177" i="45" s="1"/>
  <c r="BL12" i="46"/>
  <c r="BC12" i="46"/>
  <c r="BD12" i="46" s="1"/>
  <c r="C176" i="45" s="1"/>
  <c r="D176" i="45" s="1"/>
  <c r="E176" i="45" s="1"/>
  <c r="F176" i="45" s="1"/>
  <c r="G176" i="45" s="1"/>
  <c r="H176" i="45" s="1"/>
  <c r="I176" i="45" s="1"/>
  <c r="J176" i="45" s="1"/>
  <c r="K176" i="45" s="1"/>
  <c r="L176" i="45" s="1"/>
  <c r="M176" i="45" s="1"/>
  <c r="N176" i="45" s="1"/>
  <c r="O176" i="45" s="1"/>
  <c r="P176" i="45" s="1"/>
  <c r="Q176" i="45" s="1"/>
  <c r="R176" i="45" s="1"/>
  <c r="S176" i="45" s="1"/>
  <c r="T176" i="45" s="1"/>
  <c r="U176" i="45" s="1"/>
  <c r="V176" i="45" s="1"/>
  <c r="W176" i="45" s="1"/>
  <c r="X176" i="45" s="1"/>
  <c r="Y176" i="45" s="1"/>
  <c r="Z176" i="45" s="1"/>
  <c r="AA176" i="45" s="1"/>
  <c r="AB176" i="45" s="1"/>
  <c r="AC176" i="45" s="1"/>
  <c r="AD176" i="45" s="1"/>
  <c r="AE176" i="45" s="1"/>
  <c r="AF176" i="45" s="1"/>
  <c r="AG176" i="45" s="1"/>
  <c r="BL11" i="46"/>
  <c r="BC11" i="46"/>
  <c r="BD11" i="46" s="1"/>
  <c r="C175" i="45" s="1"/>
  <c r="D175" i="45" s="1"/>
  <c r="E175" i="45" s="1"/>
  <c r="F175" i="45" s="1"/>
  <c r="G175" i="45" s="1"/>
  <c r="H175" i="45" s="1"/>
  <c r="I175" i="45" s="1"/>
  <c r="J175" i="45" s="1"/>
  <c r="K175" i="45" s="1"/>
  <c r="L175" i="45" s="1"/>
  <c r="M175" i="45" s="1"/>
  <c r="N175" i="45" s="1"/>
  <c r="O175" i="45" s="1"/>
  <c r="P175" i="45" s="1"/>
  <c r="Q175" i="45" s="1"/>
  <c r="R175" i="45" s="1"/>
  <c r="S175" i="45" s="1"/>
  <c r="T175" i="45" s="1"/>
  <c r="U175" i="45" s="1"/>
  <c r="V175" i="45" s="1"/>
  <c r="W175" i="45" s="1"/>
  <c r="X175" i="45" s="1"/>
  <c r="Y175" i="45" s="1"/>
  <c r="Z175" i="45" s="1"/>
  <c r="AA175" i="45" s="1"/>
  <c r="AB175" i="45" s="1"/>
  <c r="AC175" i="45" s="1"/>
  <c r="AD175" i="45" s="1"/>
  <c r="AE175" i="45" s="1"/>
  <c r="AF175" i="45" s="1"/>
  <c r="AG175" i="45" s="1"/>
  <c r="BL10" i="46"/>
  <c r="BC10" i="46"/>
  <c r="BD10" i="46" s="1"/>
  <c r="C174" i="45" s="1"/>
  <c r="D174" i="45" s="1"/>
  <c r="E174" i="45" s="1"/>
  <c r="F174" i="45" s="1"/>
  <c r="G174" i="45" s="1"/>
  <c r="H174" i="45" s="1"/>
  <c r="I174" i="45" s="1"/>
  <c r="J174" i="45" s="1"/>
  <c r="K174" i="45" s="1"/>
  <c r="L174" i="45" s="1"/>
  <c r="M174" i="45" s="1"/>
  <c r="N174" i="45" s="1"/>
  <c r="O174" i="45" s="1"/>
  <c r="P174" i="45" s="1"/>
  <c r="Q174" i="45" s="1"/>
  <c r="R174" i="45" s="1"/>
  <c r="S174" i="45" s="1"/>
  <c r="T174" i="45" s="1"/>
  <c r="U174" i="45" s="1"/>
  <c r="V174" i="45" s="1"/>
  <c r="W174" i="45" s="1"/>
  <c r="X174" i="45" s="1"/>
  <c r="Y174" i="45" s="1"/>
  <c r="Z174" i="45" s="1"/>
  <c r="AA174" i="45" s="1"/>
  <c r="AB174" i="45" s="1"/>
  <c r="AC174" i="45" s="1"/>
  <c r="AD174" i="45" s="1"/>
  <c r="AE174" i="45" s="1"/>
  <c r="AF174" i="45" s="1"/>
  <c r="AG174" i="45" s="1"/>
  <c r="BL9" i="46"/>
  <c r="BC9" i="46"/>
  <c r="BD9" i="46" s="1"/>
  <c r="C173" i="45" s="1"/>
  <c r="D173" i="45" s="1"/>
  <c r="E173" i="45" s="1"/>
  <c r="F173" i="45" s="1"/>
  <c r="G173" i="45" s="1"/>
  <c r="H173" i="45" s="1"/>
  <c r="I173" i="45" s="1"/>
  <c r="J173" i="45" s="1"/>
  <c r="K173" i="45" s="1"/>
  <c r="L173" i="45" s="1"/>
  <c r="M173" i="45" s="1"/>
  <c r="N173" i="45" s="1"/>
  <c r="O173" i="45" s="1"/>
  <c r="P173" i="45" s="1"/>
  <c r="Q173" i="45" s="1"/>
  <c r="R173" i="45" s="1"/>
  <c r="S173" i="45" s="1"/>
  <c r="T173" i="45" s="1"/>
  <c r="U173" i="45" s="1"/>
  <c r="V173" i="45" s="1"/>
  <c r="W173" i="45" s="1"/>
  <c r="X173" i="45" s="1"/>
  <c r="Y173" i="45" s="1"/>
  <c r="Z173" i="45" s="1"/>
  <c r="AA173" i="45" s="1"/>
  <c r="AB173" i="45" s="1"/>
  <c r="AC173" i="45" s="1"/>
  <c r="AD173" i="45" s="1"/>
  <c r="AE173" i="45" s="1"/>
  <c r="AF173" i="45" s="1"/>
  <c r="AG173" i="45" s="1"/>
  <c r="BL8" i="46"/>
  <c r="BC8" i="46"/>
  <c r="BD8" i="46" s="1"/>
  <c r="C172" i="45" s="1"/>
  <c r="D172" i="45" s="1"/>
  <c r="E172" i="45" s="1"/>
  <c r="F172" i="45" s="1"/>
  <c r="G172" i="45" s="1"/>
  <c r="H172" i="45" s="1"/>
  <c r="I172" i="45" s="1"/>
  <c r="J172" i="45" s="1"/>
  <c r="K172" i="45" s="1"/>
  <c r="L172" i="45" s="1"/>
  <c r="M172" i="45" s="1"/>
  <c r="N172" i="45" s="1"/>
  <c r="O172" i="45" s="1"/>
  <c r="P172" i="45" s="1"/>
  <c r="Q172" i="45" s="1"/>
  <c r="R172" i="45" s="1"/>
  <c r="S172" i="45" s="1"/>
  <c r="T172" i="45" s="1"/>
  <c r="U172" i="45" s="1"/>
  <c r="V172" i="45" s="1"/>
  <c r="W172" i="45" s="1"/>
  <c r="X172" i="45" s="1"/>
  <c r="Y172" i="45" s="1"/>
  <c r="Z172" i="45" s="1"/>
  <c r="AA172" i="45" s="1"/>
  <c r="AB172" i="45" s="1"/>
  <c r="AC172" i="45" s="1"/>
  <c r="AD172" i="45" s="1"/>
  <c r="AE172" i="45" s="1"/>
  <c r="AF172" i="45" s="1"/>
  <c r="AG172" i="45" s="1"/>
  <c r="BL7" i="46"/>
  <c r="BC7" i="46"/>
  <c r="BD7" i="46" s="1"/>
  <c r="C171" i="45" s="1"/>
  <c r="D171" i="45" s="1"/>
  <c r="E171" i="45" s="1"/>
  <c r="F171" i="45" s="1"/>
  <c r="G171" i="45" s="1"/>
  <c r="H171" i="45" s="1"/>
  <c r="I171" i="45" s="1"/>
  <c r="J171" i="45" s="1"/>
  <c r="K171" i="45" s="1"/>
  <c r="L171" i="45" s="1"/>
  <c r="M171" i="45" s="1"/>
  <c r="N171" i="45" s="1"/>
  <c r="O171" i="45" s="1"/>
  <c r="P171" i="45" s="1"/>
  <c r="Q171" i="45" s="1"/>
  <c r="R171" i="45" s="1"/>
  <c r="S171" i="45" s="1"/>
  <c r="T171" i="45" s="1"/>
  <c r="U171" i="45" s="1"/>
  <c r="V171" i="45" s="1"/>
  <c r="W171" i="45" s="1"/>
  <c r="X171" i="45" s="1"/>
  <c r="Y171" i="45" s="1"/>
  <c r="Z171" i="45" s="1"/>
  <c r="AA171" i="45" s="1"/>
  <c r="AB171" i="45" s="1"/>
  <c r="AC171" i="45" s="1"/>
  <c r="AD171" i="45" s="1"/>
  <c r="AE171" i="45" s="1"/>
  <c r="AF171" i="45" s="1"/>
  <c r="AG171" i="45" s="1"/>
  <c r="BL6" i="46"/>
  <c r="BC6" i="46"/>
  <c r="BD6" i="46" s="1"/>
  <c r="C170" i="45" s="1"/>
  <c r="D170" i="45" s="1"/>
  <c r="E170" i="45" s="1"/>
  <c r="F170" i="45" s="1"/>
  <c r="G170" i="45" s="1"/>
  <c r="H170" i="45" s="1"/>
  <c r="I170" i="45" s="1"/>
  <c r="J170" i="45" s="1"/>
  <c r="K170" i="45" s="1"/>
  <c r="L170" i="45" s="1"/>
  <c r="M170" i="45" s="1"/>
  <c r="N170" i="45" s="1"/>
  <c r="O170" i="45" s="1"/>
  <c r="P170" i="45" s="1"/>
  <c r="Q170" i="45" s="1"/>
  <c r="R170" i="45" s="1"/>
  <c r="S170" i="45" s="1"/>
  <c r="T170" i="45" s="1"/>
  <c r="U170" i="45" s="1"/>
  <c r="V170" i="45" s="1"/>
  <c r="W170" i="45" s="1"/>
  <c r="X170" i="45" s="1"/>
  <c r="Y170" i="45" s="1"/>
  <c r="Z170" i="45" s="1"/>
  <c r="AA170" i="45" s="1"/>
  <c r="AB170" i="45" s="1"/>
  <c r="AC170" i="45" s="1"/>
  <c r="AD170" i="45" s="1"/>
  <c r="AE170" i="45" s="1"/>
  <c r="AF170" i="45" s="1"/>
  <c r="AG170" i="45" s="1"/>
  <c r="BL5" i="46"/>
  <c r="BC5" i="46"/>
  <c r="BD5" i="46" s="1"/>
  <c r="C169" i="45" s="1"/>
  <c r="D169" i="45" s="1"/>
  <c r="E169" i="45" s="1"/>
  <c r="F169" i="45" s="1"/>
  <c r="G169" i="45" s="1"/>
  <c r="H169" i="45" s="1"/>
  <c r="I169" i="45" s="1"/>
  <c r="J169" i="45" s="1"/>
  <c r="K169" i="45" s="1"/>
  <c r="L169" i="45" s="1"/>
  <c r="M169" i="45" s="1"/>
  <c r="N169" i="45" s="1"/>
  <c r="O169" i="45" s="1"/>
  <c r="P169" i="45" s="1"/>
  <c r="Q169" i="45" s="1"/>
  <c r="R169" i="45" s="1"/>
  <c r="S169" i="45" s="1"/>
  <c r="T169" i="45" s="1"/>
  <c r="U169" i="45" s="1"/>
  <c r="V169" i="45" s="1"/>
  <c r="W169" i="45" s="1"/>
  <c r="X169" i="45" s="1"/>
  <c r="Y169" i="45" s="1"/>
  <c r="Z169" i="45" s="1"/>
  <c r="AA169" i="45" s="1"/>
  <c r="AB169" i="45" s="1"/>
  <c r="AC169" i="45" s="1"/>
  <c r="AD169" i="45" s="1"/>
  <c r="AE169" i="45" s="1"/>
  <c r="AF169" i="45" s="1"/>
  <c r="AG169" i="45" s="1"/>
  <c r="F61" i="3"/>
  <c r="I153" i="4"/>
  <c r="I142" i="4"/>
  <c r="I131" i="4"/>
  <c r="I120" i="4"/>
  <c r="I109" i="4"/>
  <c r="I98" i="4"/>
  <c r="I87" i="4"/>
  <c r="I76" i="4"/>
  <c r="I65" i="4"/>
  <c r="I54" i="4"/>
  <c r="L166" i="3"/>
  <c r="L154" i="3"/>
  <c r="F133" i="3"/>
  <c r="L142" i="3"/>
  <c r="F121" i="3"/>
  <c r="F109" i="3"/>
  <c r="L118" i="3"/>
  <c r="L106" i="3"/>
  <c r="F97" i="3"/>
  <c r="L94" i="3"/>
  <c r="F85" i="3"/>
  <c r="L82" i="3"/>
  <c r="F73" i="3"/>
  <c r="L70" i="3"/>
  <c r="F37" i="3"/>
  <c r="F25" i="3"/>
  <c r="F49" i="3"/>
  <c r="L58" i="3"/>
  <c r="D155" i="2"/>
  <c r="D154" i="2"/>
  <c r="D153" i="2"/>
  <c r="D152" i="2"/>
  <c r="D151" i="2"/>
  <c r="D144" i="2"/>
  <c r="D143" i="2"/>
  <c r="D142" i="2"/>
  <c r="D141" i="2"/>
  <c r="D140" i="2"/>
  <c r="D133" i="2"/>
  <c r="CJ133" i="2" s="1"/>
  <c r="D132" i="2"/>
  <c r="D131" i="2"/>
  <c r="D130" i="2"/>
  <c r="D129" i="2"/>
  <c r="D122" i="2"/>
  <c r="D121" i="2"/>
  <c r="D120" i="2"/>
  <c r="D119" i="2"/>
  <c r="D118" i="2"/>
  <c r="D111" i="2"/>
  <c r="CJ111" i="2" s="1"/>
  <c r="D110" i="2"/>
  <c r="D109" i="2"/>
  <c r="D108" i="2"/>
  <c r="D107" i="2"/>
  <c r="D100" i="2"/>
  <c r="D99" i="2"/>
  <c r="CH99" i="2" s="1"/>
  <c r="D98" i="2"/>
  <c r="D97" i="2"/>
  <c r="D96" i="2"/>
  <c r="D89" i="2"/>
  <c r="CJ89" i="2" s="1"/>
  <c r="D88" i="2"/>
  <c r="CH88" i="2" s="1"/>
  <c r="D87" i="2"/>
  <c r="D86" i="2"/>
  <c r="D85" i="2"/>
  <c r="D78" i="2"/>
  <c r="D77" i="2"/>
  <c r="CH77" i="2" s="1"/>
  <c r="D76" i="2"/>
  <c r="D75" i="2"/>
  <c r="D74" i="2"/>
  <c r="D67" i="2"/>
  <c r="D66" i="2"/>
  <c r="CH66" i="2" s="1"/>
  <c r="D65" i="2"/>
  <c r="D64" i="2"/>
  <c r="D63" i="2"/>
  <c r="C121" i="67"/>
  <c r="C138" i="67"/>
  <c r="C155" i="67"/>
  <c r="C104" i="67"/>
  <c r="C87" i="67"/>
  <c r="C70" i="67"/>
  <c r="C63" i="67"/>
  <c r="C64" i="67" s="1"/>
  <c r="G37" i="67"/>
  <c r="D37" i="67"/>
  <c r="C37" i="67"/>
  <c r="C24" i="67"/>
  <c r="C22" i="67"/>
  <c r="C21" i="67"/>
  <c r="C17" i="67"/>
  <c r="C16" i="67"/>
  <c r="C14" i="67"/>
  <c r="C12" i="67"/>
  <c r="C6" i="67"/>
  <c r="C5" i="67"/>
  <c r="B3" i="67"/>
  <c r="B2" i="67"/>
  <c r="D191" i="67"/>
  <c r="E191" i="67" s="1"/>
  <c r="F191" i="67" s="1"/>
  <c r="G191" i="67" s="1"/>
  <c r="H191" i="67" s="1"/>
  <c r="I191" i="67" s="1"/>
  <c r="J191" i="67" s="1"/>
  <c r="K191" i="67" s="1"/>
  <c r="L191" i="67" s="1"/>
  <c r="M191" i="67" s="1"/>
  <c r="N191" i="67" s="1"/>
  <c r="O191" i="67" s="1"/>
  <c r="P191" i="67" s="1"/>
  <c r="Q191" i="67" s="1"/>
  <c r="R191" i="67" s="1"/>
  <c r="S191" i="67" s="1"/>
  <c r="T191" i="67" s="1"/>
  <c r="U191" i="67" s="1"/>
  <c r="V191" i="67" s="1"/>
  <c r="W191" i="67" s="1"/>
  <c r="X191" i="67" s="1"/>
  <c r="Y191" i="67" s="1"/>
  <c r="Z191" i="67" s="1"/>
  <c r="AA191" i="67" s="1"/>
  <c r="AB191" i="67" s="1"/>
  <c r="AC191" i="67" s="1"/>
  <c r="AD191" i="67" s="1"/>
  <c r="AE191" i="67" s="1"/>
  <c r="AF191" i="67" s="1"/>
  <c r="AG191" i="67" s="1"/>
  <c r="A186" i="67"/>
  <c r="B186" i="67" s="1"/>
  <c r="A185" i="67"/>
  <c r="B185" i="67" s="1"/>
  <c r="A184" i="67"/>
  <c r="B184" i="67" s="1"/>
  <c r="A183" i="67"/>
  <c r="B183" i="67" s="1"/>
  <c r="D182" i="67"/>
  <c r="E182" i="67" s="1"/>
  <c r="F182" i="67" s="1"/>
  <c r="G182" i="67" s="1"/>
  <c r="H182" i="67" s="1"/>
  <c r="I182" i="67" s="1"/>
  <c r="J182" i="67" s="1"/>
  <c r="K182" i="67" s="1"/>
  <c r="L182" i="67" s="1"/>
  <c r="M182" i="67" s="1"/>
  <c r="N182" i="67" s="1"/>
  <c r="O182" i="67" s="1"/>
  <c r="P182" i="67" s="1"/>
  <c r="Q182" i="67" s="1"/>
  <c r="R182" i="67" s="1"/>
  <c r="S182" i="67" s="1"/>
  <c r="T182" i="67" s="1"/>
  <c r="U182" i="67" s="1"/>
  <c r="V182" i="67" s="1"/>
  <c r="W182" i="67" s="1"/>
  <c r="X182" i="67" s="1"/>
  <c r="Y182" i="67" s="1"/>
  <c r="Z182" i="67" s="1"/>
  <c r="AA182" i="67" s="1"/>
  <c r="AB182" i="67" s="1"/>
  <c r="AC182" i="67" s="1"/>
  <c r="AD182" i="67" s="1"/>
  <c r="AE182" i="67" s="1"/>
  <c r="AF182" i="67" s="1"/>
  <c r="AG182" i="67" s="1"/>
  <c r="B178" i="67"/>
  <c r="B176" i="67"/>
  <c r="B175" i="67"/>
  <c r="B174" i="67"/>
  <c r="D173" i="67"/>
  <c r="E173" i="67" s="1"/>
  <c r="F173" i="67" s="1"/>
  <c r="G173" i="67" s="1"/>
  <c r="H173" i="67" s="1"/>
  <c r="I173" i="67" s="1"/>
  <c r="J173" i="67" s="1"/>
  <c r="K173" i="67" s="1"/>
  <c r="L173" i="67" s="1"/>
  <c r="M173" i="67" s="1"/>
  <c r="N173" i="67" s="1"/>
  <c r="O173" i="67" s="1"/>
  <c r="P173" i="67" s="1"/>
  <c r="Q173" i="67" s="1"/>
  <c r="R173" i="67" s="1"/>
  <c r="S173" i="67" s="1"/>
  <c r="T173" i="67" s="1"/>
  <c r="U173" i="67" s="1"/>
  <c r="V173" i="67" s="1"/>
  <c r="W173" i="67" s="1"/>
  <c r="X173" i="67" s="1"/>
  <c r="Y173" i="67" s="1"/>
  <c r="Z173" i="67" s="1"/>
  <c r="AA173" i="67" s="1"/>
  <c r="AB173" i="67" s="1"/>
  <c r="AC173" i="67" s="1"/>
  <c r="AD173" i="67" s="1"/>
  <c r="AE173" i="67" s="1"/>
  <c r="AF173" i="67" s="1"/>
  <c r="AG173" i="67" s="1"/>
  <c r="A170" i="67"/>
  <c r="A169" i="67"/>
  <c r="A168" i="67"/>
  <c r="A165" i="67"/>
  <c r="D164" i="67"/>
  <c r="E164" i="67" s="1"/>
  <c r="F164" i="67" s="1"/>
  <c r="G164" i="67" s="1"/>
  <c r="H164" i="67" s="1"/>
  <c r="I164" i="67" s="1"/>
  <c r="J164" i="67" s="1"/>
  <c r="K164" i="67" s="1"/>
  <c r="L164" i="67" s="1"/>
  <c r="M164" i="67" s="1"/>
  <c r="N164" i="67" s="1"/>
  <c r="O164" i="67" s="1"/>
  <c r="P164" i="67" s="1"/>
  <c r="Q164" i="67" s="1"/>
  <c r="R164" i="67" s="1"/>
  <c r="S164" i="67" s="1"/>
  <c r="T164" i="67" s="1"/>
  <c r="U164" i="67" s="1"/>
  <c r="V164" i="67" s="1"/>
  <c r="W164" i="67" s="1"/>
  <c r="X164" i="67" s="1"/>
  <c r="Y164" i="67" s="1"/>
  <c r="Z164" i="67" s="1"/>
  <c r="AA164" i="67" s="1"/>
  <c r="AB164" i="67" s="1"/>
  <c r="AC164" i="67" s="1"/>
  <c r="AD164" i="67" s="1"/>
  <c r="AE164" i="67" s="1"/>
  <c r="AF164" i="67" s="1"/>
  <c r="AG164" i="67" s="1"/>
  <c r="D148" i="67"/>
  <c r="E148" i="67" s="1"/>
  <c r="F148" i="67" s="1"/>
  <c r="G148" i="67" s="1"/>
  <c r="H148" i="67" s="1"/>
  <c r="I148" i="67" s="1"/>
  <c r="J148" i="67" s="1"/>
  <c r="K148" i="67" s="1"/>
  <c r="L148" i="67" s="1"/>
  <c r="M148" i="67" s="1"/>
  <c r="N148" i="67" s="1"/>
  <c r="O148" i="67" s="1"/>
  <c r="P148" i="67" s="1"/>
  <c r="Q148" i="67" s="1"/>
  <c r="R148" i="67" s="1"/>
  <c r="S148" i="67" s="1"/>
  <c r="T148" i="67" s="1"/>
  <c r="U148" i="67" s="1"/>
  <c r="V148" i="67" s="1"/>
  <c r="W148" i="67" s="1"/>
  <c r="X148" i="67" s="1"/>
  <c r="Y148" i="67" s="1"/>
  <c r="Z148" i="67" s="1"/>
  <c r="AA148" i="67" s="1"/>
  <c r="AB148" i="67" s="1"/>
  <c r="AC148" i="67" s="1"/>
  <c r="AD148" i="67" s="1"/>
  <c r="AE148" i="67" s="1"/>
  <c r="AF148" i="67" s="1"/>
  <c r="AG148" i="67" s="1"/>
  <c r="D131" i="67"/>
  <c r="E131" i="67" s="1"/>
  <c r="F131" i="67" s="1"/>
  <c r="G131" i="67" s="1"/>
  <c r="H131" i="67" s="1"/>
  <c r="I131" i="67" s="1"/>
  <c r="J131" i="67" s="1"/>
  <c r="K131" i="67" s="1"/>
  <c r="L131" i="67" s="1"/>
  <c r="M131" i="67" s="1"/>
  <c r="N131" i="67" s="1"/>
  <c r="O131" i="67" s="1"/>
  <c r="P131" i="67" s="1"/>
  <c r="Q131" i="67" s="1"/>
  <c r="R131" i="67" s="1"/>
  <c r="S131" i="67" s="1"/>
  <c r="T131" i="67" s="1"/>
  <c r="U131" i="67" s="1"/>
  <c r="V131" i="67" s="1"/>
  <c r="W131" i="67" s="1"/>
  <c r="X131" i="67" s="1"/>
  <c r="Y131" i="67" s="1"/>
  <c r="Z131" i="67" s="1"/>
  <c r="AA131" i="67" s="1"/>
  <c r="AB131" i="67" s="1"/>
  <c r="AC131" i="67" s="1"/>
  <c r="AD131" i="67" s="1"/>
  <c r="AE131" i="67" s="1"/>
  <c r="AF131" i="67" s="1"/>
  <c r="AG131" i="67" s="1"/>
  <c r="D114" i="67"/>
  <c r="E114" i="67" s="1"/>
  <c r="F114" i="67" s="1"/>
  <c r="G114" i="67" s="1"/>
  <c r="H114" i="67" s="1"/>
  <c r="I114" i="67" s="1"/>
  <c r="J114" i="67" s="1"/>
  <c r="K114" i="67" s="1"/>
  <c r="L114" i="67" s="1"/>
  <c r="M114" i="67" s="1"/>
  <c r="N114" i="67" s="1"/>
  <c r="O114" i="67" s="1"/>
  <c r="P114" i="67" s="1"/>
  <c r="Q114" i="67" s="1"/>
  <c r="R114" i="67" s="1"/>
  <c r="S114" i="67" s="1"/>
  <c r="T114" i="67" s="1"/>
  <c r="U114" i="67" s="1"/>
  <c r="V114" i="67" s="1"/>
  <c r="W114" i="67" s="1"/>
  <c r="X114" i="67" s="1"/>
  <c r="Y114" i="67" s="1"/>
  <c r="Z114" i="67" s="1"/>
  <c r="AA114" i="67" s="1"/>
  <c r="AB114" i="67" s="1"/>
  <c r="AC114" i="67" s="1"/>
  <c r="AD114" i="67" s="1"/>
  <c r="AE114" i="67" s="1"/>
  <c r="AF114" i="67" s="1"/>
  <c r="AG114" i="67" s="1"/>
  <c r="D97" i="67"/>
  <c r="E97" i="67" s="1"/>
  <c r="F97" i="67" s="1"/>
  <c r="G97" i="67" s="1"/>
  <c r="H97" i="67" s="1"/>
  <c r="I97" i="67" s="1"/>
  <c r="J97" i="67" s="1"/>
  <c r="K97" i="67" s="1"/>
  <c r="L97" i="67" s="1"/>
  <c r="M97" i="67" s="1"/>
  <c r="N97" i="67" s="1"/>
  <c r="O97" i="67" s="1"/>
  <c r="P97" i="67" s="1"/>
  <c r="Q97" i="67" s="1"/>
  <c r="R97" i="67" s="1"/>
  <c r="S97" i="67" s="1"/>
  <c r="T97" i="67" s="1"/>
  <c r="U97" i="67" s="1"/>
  <c r="V97" i="67" s="1"/>
  <c r="W97" i="67" s="1"/>
  <c r="X97" i="67" s="1"/>
  <c r="Y97" i="67" s="1"/>
  <c r="Z97" i="67" s="1"/>
  <c r="AA97" i="67" s="1"/>
  <c r="AB97" i="67" s="1"/>
  <c r="AC97" i="67" s="1"/>
  <c r="AD97" i="67" s="1"/>
  <c r="AE97" i="67" s="1"/>
  <c r="AF97" i="67" s="1"/>
  <c r="AG97" i="67" s="1"/>
  <c r="D80" i="67"/>
  <c r="E80" i="67" s="1"/>
  <c r="F80" i="67" s="1"/>
  <c r="G80" i="67" s="1"/>
  <c r="H80" i="67" s="1"/>
  <c r="I80" i="67" s="1"/>
  <c r="J80" i="67" s="1"/>
  <c r="K80" i="67" s="1"/>
  <c r="L80" i="67" s="1"/>
  <c r="M80" i="67" s="1"/>
  <c r="N80" i="67" s="1"/>
  <c r="O80" i="67" s="1"/>
  <c r="P80" i="67" s="1"/>
  <c r="Q80" i="67" s="1"/>
  <c r="R80" i="67" s="1"/>
  <c r="S80" i="67" s="1"/>
  <c r="T80" i="67" s="1"/>
  <c r="U80" i="67" s="1"/>
  <c r="V80" i="67" s="1"/>
  <c r="W80" i="67" s="1"/>
  <c r="X80" i="67" s="1"/>
  <c r="Y80" i="67" s="1"/>
  <c r="Z80" i="67" s="1"/>
  <c r="AA80" i="67" s="1"/>
  <c r="AB80" i="67" s="1"/>
  <c r="AC80" i="67" s="1"/>
  <c r="AD80" i="67" s="1"/>
  <c r="AE80" i="67" s="1"/>
  <c r="AF80" i="67" s="1"/>
  <c r="AG80" i="67" s="1"/>
  <c r="D62" i="67"/>
  <c r="E62" i="67" s="1"/>
  <c r="F62" i="67" s="1"/>
  <c r="G62" i="67" s="1"/>
  <c r="H62" i="67" s="1"/>
  <c r="I62" i="67" s="1"/>
  <c r="J62" i="67" s="1"/>
  <c r="K62" i="67" s="1"/>
  <c r="L62" i="67" s="1"/>
  <c r="M62" i="67" s="1"/>
  <c r="N62" i="67" s="1"/>
  <c r="O62" i="67" s="1"/>
  <c r="P62" i="67" s="1"/>
  <c r="Q62" i="67" s="1"/>
  <c r="R62" i="67" s="1"/>
  <c r="S62" i="67" s="1"/>
  <c r="T62" i="67" s="1"/>
  <c r="U62" i="67" s="1"/>
  <c r="V62" i="67" s="1"/>
  <c r="W62" i="67" s="1"/>
  <c r="X62" i="67" s="1"/>
  <c r="Y62" i="67" s="1"/>
  <c r="Z62" i="67" s="1"/>
  <c r="AA62" i="67" s="1"/>
  <c r="AB62" i="67" s="1"/>
  <c r="AC62" i="67" s="1"/>
  <c r="AD62" i="67" s="1"/>
  <c r="AE62" i="67" s="1"/>
  <c r="AF62" i="67" s="1"/>
  <c r="AG62" i="67" s="1"/>
  <c r="AI58" i="67"/>
  <c r="AI53" i="67"/>
  <c r="AH53" i="67"/>
  <c r="C53" i="67"/>
  <c r="A53" i="67"/>
  <c r="AK52" i="67"/>
  <c r="AJ52" i="67"/>
  <c r="AI52" i="67"/>
  <c r="AH52" i="67"/>
  <c r="C52" i="67"/>
  <c r="A52" i="67"/>
  <c r="AI51" i="67"/>
  <c r="AH51" i="67"/>
  <c r="C51" i="67"/>
  <c r="C46" i="67"/>
  <c r="C45" i="67"/>
  <c r="C44" i="67"/>
  <c r="C43" i="67"/>
  <c r="C42" i="67"/>
  <c r="AG41" i="67"/>
  <c r="AF41" i="67"/>
  <c r="AE41" i="67"/>
  <c r="AD41" i="67"/>
  <c r="AC41" i="67"/>
  <c r="AB41" i="67"/>
  <c r="AA41" i="67"/>
  <c r="Z41" i="67"/>
  <c r="Y41" i="67"/>
  <c r="X41" i="67"/>
  <c r="W41" i="67"/>
  <c r="V41" i="67"/>
  <c r="U41" i="67"/>
  <c r="T41" i="67"/>
  <c r="S41" i="67"/>
  <c r="R41" i="67"/>
  <c r="Q41" i="67"/>
  <c r="P41" i="67"/>
  <c r="O41" i="67"/>
  <c r="N41" i="67"/>
  <c r="M41" i="67"/>
  <c r="L41" i="67"/>
  <c r="K41" i="67"/>
  <c r="J41" i="67"/>
  <c r="I41" i="67"/>
  <c r="H41" i="67"/>
  <c r="G41" i="67"/>
  <c r="F41" i="67"/>
  <c r="E41" i="67"/>
  <c r="D41" i="67"/>
  <c r="C41" i="67"/>
  <c r="D40" i="67"/>
  <c r="E40" i="67" s="1"/>
  <c r="F40" i="67" s="1"/>
  <c r="G40" i="67" s="1"/>
  <c r="H40" i="67" s="1"/>
  <c r="I40" i="67" s="1"/>
  <c r="J40" i="67" s="1"/>
  <c r="K40" i="67" s="1"/>
  <c r="L40" i="67" s="1"/>
  <c r="M40" i="67" s="1"/>
  <c r="N40" i="67" s="1"/>
  <c r="O40" i="67" s="1"/>
  <c r="P40" i="67" s="1"/>
  <c r="Q40" i="67" s="1"/>
  <c r="R40" i="67" s="1"/>
  <c r="S40" i="67" s="1"/>
  <c r="T40" i="67" s="1"/>
  <c r="U40" i="67" s="1"/>
  <c r="V40" i="67" s="1"/>
  <c r="W40" i="67" s="1"/>
  <c r="X40" i="67" s="1"/>
  <c r="Y40" i="67" s="1"/>
  <c r="Z40" i="67" s="1"/>
  <c r="AA40" i="67" s="1"/>
  <c r="AB40" i="67" s="1"/>
  <c r="AC40" i="67" s="1"/>
  <c r="AD40" i="67" s="1"/>
  <c r="AE40" i="67" s="1"/>
  <c r="AF40" i="67" s="1"/>
  <c r="AG40" i="67" s="1"/>
  <c r="E32" i="67"/>
  <c r="C32" i="67"/>
  <c r="E31" i="67"/>
  <c r="D31" i="67"/>
  <c r="C31" i="67"/>
  <c r="C29" i="67"/>
  <c r="C28" i="67"/>
  <c r="C27" i="67"/>
  <c r="C26" i="67"/>
  <c r="C25" i="67"/>
  <c r="C20" i="67"/>
  <c r="C15" i="67"/>
  <c r="C13" i="67"/>
  <c r="D37" i="66"/>
  <c r="G37" i="66"/>
  <c r="C37" i="66"/>
  <c r="C24" i="66"/>
  <c r="C22" i="66"/>
  <c r="C21" i="66"/>
  <c r="C17" i="66"/>
  <c r="C16" i="66"/>
  <c r="C14" i="66"/>
  <c r="C12" i="66"/>
  <c r="C5" i="66"/>
  <c r="B3" i="66"/>
  <c r="B2" i="66"/>
  <c r="D191" i="66"/>
  <c r="E191" i="66" s="1"/>
  <c r="F191" i="66" s="1"/>
  <c r="G191" i="66" s="1"/>
  <c r="H191" i="66" s="1"/>
  <c r="I191" i="66" s="1"/>
  <c r="J191" i="66" s="1"/>
  <c r="K191" i="66" s="1"/>
  <c r="L191" i="66" s="1"/>
  <c r="M191" i="66" s="1"/>
  <c r="N191" i="66" s="1"/>
  <c r="O191" i="66" s="1"/>
  <c r="P191" i="66" s="1"/>
  <c r="Q191" i="66" s="1"/>
  <c r="R191" i="66" s="1"/>
  <c r="S191" i="66" s="1"/>
  <c r="T191" i="66" s="1"/>
  <c r="U191" i="66" s="1"/>
  <c r="V191" i="66" s="1"/>
  <c r="W191" i="66" s="1"/>
  <c r="X191" i="66" s="1"/>
  <c r="Y191" i="66" s="1"/>
  <c r="Z191" i="66" s="1"/>
  <c r="AA191" i="66" s="1"/>
  <c r="AB191" i="66" s="1"/>
  <c r="AC191" i="66" s="1"/>
  <c r="AD191" i="66" s="1"/>
  <c r="AE191" i="66" s="1"/>
  <c r="AF191" i="66" s="1"/>
  <c r="AG191" i="66" s="1"/>
  <c r="A186" i="66"/>
  <c r="B186" i="66" s="1"/>
  <c r="A185" i="66"/>
  <c r="B185" i="66" s="1"/>
  <c r="A184" i="66"/>
  <c r="B184" i="66" s="1"/>
  <c r="A183" i="66"/>
  <c r="B183" i="66" s="1"/>
  <c r="D182" i="66"/>
  <c r="E182" i="66" s="1"/>
  <c r="F182" i="66" s="1"/>
  <c r="G182" i="66" s="1"/>
  <c r="H182" i="66" s="1"/>
  <c r="I182" i="66" s="1"/>
  <c r="J182" i="66" s="1"/>
  <c r="K182" i="66" s="1"/>
  <c r="L182" i="66" s="1"/>
  <c r="M182" i="66" s="1"/>
  <c r="N182" i="66" s="1"/>
  <c r="O182" i="66" s="1"/>
  <c r="P182" i="66" s="1"/>
  <c r="Q182" i="66" s="1"/>
  <c r="R182" i="66" s="1"/>
  <c r="S182" i="66" s="1"/>
  <c r="T182" i="66" s="1"/>
  <c r="U182" i="66" s="1"/>
  <c r="V182" i="66" s="1"/>
  <c r="W182" i="66" s="1"/>
  <c r="X182" i="66" s="1"/>
  <c r="Y182" i="66" s="1"/>
  <c r="Z182" i="66" s="1"/>
  <c r="AA182" i="66" s="1"/>
  <c r="AB182" i="66" s="1"/>
  <c r="AC182" i="66" s="1"/>
  <c r="AD182" i="66" s="1"/>
  <c r="AE182" i="66" s="1"/>
  <c r="AF182" i="66" s="1"/>
  <c r="AG182" i="66" s="1"/>
  <c r="B178" i="66"/>
  <c r="B176" i="66"/>
  <c r="B175" i="66"/>
  <c r="B174" i="66"/>
  <c r="D173" i="66"/>
  <c r="E173" i="66" s="1"/>
  <c r="F173" i="66" s="1"/>
  <c r="G173" i="66" s="1"/>
  <c r="H173" i="66" s="1"/>
  <c r="I173" i="66" s="1"/>
  <c r="J173" i="66" s="1"/>
  <c r="K173" i="66" s="1"/>
  <c r="L173" i="66" s="1"/>
  <c r="M173" i="66" s="1"/>
  <c r="N173" i="66" s="1"/>
  <c r="O173" i="66" s="1"/>
  <c r="P173" i="66" s="1"/>
  <c r="Q173" i="66" s="1"/>
  <c r="R173" i="66" s="1"/>
  <c r="S173" i="66" s="1"/>
  <c r="T173" i="66" s="1"/>
  <c r="U173" i="66" s="1"/>
  <c r="V173" i="66" s="1"/>
  <c r="W173" i="66" s="1"/>
  <c r="X173" i="66" s="1"/>
  <c r="Y173" i="66" s="1"/>
  <c r="Z173" i="66" s="1"/>
  <c r="AA173" i="66" s="1"/>
  <c r="AB173" i="66" s="1"/>
  <c r="AC173" i="66" s="1"/>
  <c r="AD173" i="66" s="1"/>
  <c r="AE173" i="66" s="1"/>
  <c r="AF173" i="66" s="1"/>
  <c r="AG173" i="66" s="1"/>
  <c r="A170" i="66"/>
  <c r="A169" i="66"/>
  <c r="A168" i="66"/>
  <c r="A165" i="66"/>
  <c r="D164" i="66"/>
  <c r="E164" i="66" s="1"/>
  <c r="F164" i="66" s="1"/>
  <c r="G164" i="66" s="1"/>
  <c r="H164" i="66" s="1"/>
  <c r="I164" i="66" s="1"/>
  <c r="J164" i="66" s="1"/>
  <c r="K164" i="66" s="1"/>
  <c r="L164" i="66" s="1"/>
  <c r="M164" i="66" s="1"/>
  <c r="N164" i="66" s="1"/>
  <c r="O164" i="66" s="1"/>
  <c r="P164" i="66" s="1"/>
  <c r="Q164" i="66" s="1"/>
  <c r="R164" i="66" s="1"/>
  <c r="S164" i="66" s="1"/>
  <c r="T164" i="66" s="1"/>
  <c r="U164" i="66" s="1"/>
  <c r="V164" i="66" s="1"/>
  <c r="W164" i="66" s="1"/>
  <c r="X164" i="66" s="1"/>
  <c r="Y164" i="66" s="1"/>
  <c r="Z164" i="66" s="1"/>
  <c r="AA164" i="66" s="1"/>
  <c r="AB164" i="66" s="1"/>
  <c r="AC164" i="66" s="1"/>
  <c r="AD164" i="66" s="1"/>
  <c r="AE164" i="66" s="1"/>
  <c r="AF164" i="66" s="1"/>
  <c r="AG164" i="66" s="1"/>
  <c r="C155" i="66"/>
  <c r="D148" i="66"/>
  <c r="E148" i="66" s="1"/>
  <c r="F148" i="66" s="1"/>
  <c r="G148" i="66" s="1"/>
  <c r="H148" i="66" s="1"/>
  <c r="I148" i="66" s="1"/>
  <c r="J148" i="66" s="1"/>
  <c r="K148" i="66" s="1"/>
  <c r="L148" i="66" s="1"/>
  <c r="M148" i="66" s="1"/>
  <c r="N148" i="66" s="1"/>
  <c r="O148" i="66" s="1"/>
  <c r="P148" i="66" s="1"/>
  <c r="Q148" i="66" s="1"/>
  <c r="R148" i="66" s="1"/>
  <c r="S148" i="66" s="1"/>
  <c r="T148" i="66" s="1"/>
  <c r="U148" i="66" s="1"/>
  <c r="V148" i="66" s="1"/>
  <c r="W148" i="66" s="1"/>
  <c r="X148" i="66" s="1"/>
  <c r="Y148" i="66" s="1"/>
  <c r="Z148" i="66" s="1"/>
  <c r="AA148" i="66" s="1"/>
  <c r="AB148" i="66" s="1"/>
  <c r="AC148" i="66" s="1"/>
  <c r="AD148" i="66" s="1"/>
  <c r="AE148" i="66" s="1"/>
  <c r="AF148" i="66" s="1"/>
  <c r="AG148" i="66" s="1"/>
  <c r="C138" i="66"/>
  <c r="D131" i="66"/>
  <c r="E131" i="66" s="1"/>
  <c r="F131" i="66" s="1"/>
  <c r="G131" i="66" s="1"/>
  <c r="H131" i="66" s="1"/>
  <c r="I131" i="66" s="1"/>
  <c r="J131" i="66" s="1"/>
  <c r="K131" i="66" s="1"/>
  <c r="L131" i="66" s="1"/>
  <c r="M131" i="66" s="1"/>
  <c r="N131" i="66" s="1"/>
  <c r="O131" i="66" s="1"/>
  <c r="P131" i="66" s="1"/>
  <c r="Q131" i="66" s="1"/>
  <c r="R131" i="66" s="1"/>
  <c r="S131" i="66" s="1"/>
  <c r="T131" i="66" s="1"/>
  <c r="U131" i="66" s="1"/>
  <c r="V131" i="66" s="1"/>
  <c r="W131" i="66" s="1"/>
  <c r="X131" i="66" s="1"/>
  <c r="Y131" i="66" s="1"/>
  <c r="Z131" i="66" s="1"/>
  <c r="AA131" i="66" s="1"/>
  <c r="AB131" i="66" s="1"/>
  <c r="AC131" i="66" s="1"/>
  <c r="AD131" i="66" s="1"/>
  <c r="AE131" i="66" s="1"/>
  <c r="AF131" i="66" s="1"/>
  <c r="AG131" i="66" s="1"/>
  <c r="C121" i="66"/>
  <c r="D114" i="66"/>
  <c r="E114" i="66" s="1"/>
  <c r="F114" i="66" s="1"/>
  <c r="G114" i="66" s="1"/>
  <c r="H114" i="66" s="1"/>
  <c r="I114" i="66" s="1"/>
  <c r="J114" i="66" s="1"/>
  <c r="K114" i="66" s="1"/>
  <c r="L114" i="66" s="1"/>
  <c r="M114" i="66" s="1"/>
  <c r="N114" i="66" s="1"/>
  <c r="O114" i="66" s="1"/>
  <c r="P114" i="66" s="1"/>
  <c r="Q114" i="66" s="1"/>
  <c r="R114" i="66" s="1"/>
  <c r="S114" i="66" s="1"/>
  <c r="T114" i="66" s="1"/>
  <c r="U114" i="66" s="1"/>
  <c r="V114" i="66" s="1"/>
  <c r="W114" i="66" s="1"/>
  <c r="X114" i="66" s="1"/>
  <c r="Y114" i="66" s="1"/>
  <c r="Z114" i="66" s="1"/>
  <c r="AA114" i="66" s="1"/>
  <c r="AB114" i="66" s="1"/>
  <c r="AC114" i="66" s="1"/>
  <c r="AD114" i="66" s="1"/>
  <c r="AE114" i="66" s="1"/>
  <c r="AF114" i="66" s="1"/>
  <c r="AG114" i="66" s="1"/>
  <c r="C104" i="66"/>
  <c r="D97" i="66"/>
  <c r="E97" i="66" s="1"/>
  <c r="F97" i="66" s="1"/>
  <c r="G97" i="66" s="1"/>
  <c r="H97" i="66" s="1"/>
  <c r="I97" i="66" s="1"/>
  <c r="J97" i="66" s="1"/>
  <c r="K97" i="66" s="1"/>
  <c r="L97" i="66" s="1"/>
  <c r="M97" i="66" s="1"/>
  <c r="N97" i="66" s="1"/>
  <c r="O97" i="66" s="1"/>
  <c r="P97" i="66" s="1"/>
  <c r="Q97" i="66" s="1"/>
  <c r="R97" i="66" s="1"/>
  <c r="S97" i="66" s="1"/>
  <c r="T97" i="66" s="1"/>
  <c r="U97" i="66" s="1"/>
  <c r="V97" i="66" s="1"/>
  <c r="W97" i="66" s="1"/>
  <c r="X97" i="66" s="1"/>
  <c r="Y97" i="66" s="1"/>
  <c r="Z97" i="66" s="1"/>
  <c r="AA97" i="66" s="1"/>
  <c r="AB97" i="66" s="1"/>
  <c r="AC97" i="66" s="1"/>
  <c r="AD97" i="66" s="1"/>
  <c r="AE97" i="66" s="1"/>
  <c r="AF97" i="66" s="1"/>
  <c r="AG97" i="66" s="1"/>
  <c r="C87" i="66"/>
  <c r="D80" i="66"/>
  <c r="E80" i="66" s="1"/>
  <c r="F80" i="66" s="1"/>
  <c r="G80" i="66" s="1"/>
  <c r="H80" i="66" s="1"/>
  <c r="I80" i="66" s="1"/>
  <c r="J80" i="66" s="1"/>
  <c r="K80" i="66" s="1"/>
  <c r="L80" i="66" s="1"/>
  <c r="M80" i="66" s="1"/>
  <c r="N80" i="66" s="1"/>
  <c r="O80" i="66" s="1"/>
  <c r="P80" i="66" s="1"/>
  <c r="Q80" i="66" s="1"/>
  <c r="R80" i="66" s="1"/>
  <c r="S80" i="66" s="1"/>
  <c r="T80" i="66" s="1"/>
  <c r="U80" i="66" s="1"/>
  <c r="V80" i="66" s="1"/>
  <c r="W80" i="66" s="1"/>
  <c r="X80" i="66" s="1"/>
  <c r="Y80" i="66" s="1"/>
  <c r="Z80" i="66" s="1"/>
  <c r="AA80" i="66" s="1"/>
  <c r="AB80" i="66" s="1"/>
  <c r="AC80" i="66" s="1"/>
  <c r="AD80" i="66" s="1"/>
  <c r="AE80" i="66" s="1"/>
  <c r="AF80" i="66" s="1"/>
  <c r="AG80" i="66" s="1"/>
  <c r="C70" i="66"/>
  <c r="C63" i="66"/>
  <c r="C64" i="66" s="1"/>
  <c r="D62" i="66"/>
  <c r="E62" i="66" s="1"/>
  <c r="F62" i="66" s="1"/>
  <c r="G62" i="66" s="1"/>
  <c r="H62" i="66" s="1"/>
  <c r="I62" i="66" s="1"/>
  <c r="J62" i="66" s="1"/>
  <c r="K62" i="66" s="1"/>
  <c r="L62" i="66" s="1"/>
  <c r="M62" i="66" s="1"/>
  <c r="N62" i="66" s="1"/>
  <c r="O62" i="66" s="1"/>
  <c r="P62" i="66" s="1"/>
  <c r="Q62" i="66" s="1"/>
  <c r="R62" i="66" s="1"/>
  <c r="S62" i="66" s="1"/>
  <c r="T62" i="66" s="1"/>
  <c r="U62" i="66" s="1"/>
  <c r="V62" i="66" s="1"/>
  <c r="W62" i="66" s="1"/>
  <c r="X62" i="66" s="1"/>
  <c r="Y62" i="66" s="1"/>
  <c r="Z62" i="66" s="1"/>
  <c r="AA62" i="66" s="1"/>
  <c r="AB62" i="66" s="1"/>
  <c r="AC62" i="66" s="1"/>
  <c r="AD62" i="66" s="1"/>
  <c r="AE62" i="66" s="1"/>
  <c r="AF62" i="66" s="1"/>
  <c r="AG62" i="66" s="1"/>
  <c r="AI58" i="66"/>
  <c r="AI53" i="66"/>
  <c r="AH53" i="66"/>
  <c r="C53" i="66"/>
  <c r="A53" i="66"/>
  <c r="AK52" i="66"/>
  <c r="AJ52" i="66"/>
  <c r="AI52" i="66"/>
  <c r="AH52" i="66"/>
  <c r="C52" i="66"/>
  <c r="A52" i="66"/>
  <c r="AI51" i="66"/>
  <c r="AH51" i="66"/>
  <c r="C51" i="66"/>
  <c r="C46" i="66"/>
  <c r="C45" i="66"/>
  <c r="C44" i="66"/>
  <c r="C43" i="66"/>
  <c r="C42" i="66"/>
  <c r="AG41" i="66"/>
  <c r="AF41" i="66"/>
  <c r="AE41" i="66"/>
  <c r="AD41" i="66"/>
  <c r="AC41" i="66"/>
  <c r="AB41" i="66"/>
  <c r="AA41" i="66"/>
  <c r="Z41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C41" i="66"/>
  <c r="D40" i="66"/>
  <c r="E40" i="66" s="1"/>
  <c r="F40" i="66" s="1"/>
  <c r="G40" i="66" s="1"/>
  <c r="H40" i="66" s="1"/>
  <c r="I40" i="66" s="1"/>
  <c r="J40" i="66" s="1"/>
  <c r="K40" i="66" s="1"/>
  <c r="L40" i="66" s="1"/>
  <c r="M40" i="66" s="1"/>
  <c r="N40" i="66" s="1"/>
  <c r="O40" i="66" s="1"/>
  <c r="P40" i="66" s="1"/>
  <c r="Q40" i="66" s="1"/>
  <c r="R40" i="66" s="1"/>
  <c r="S40" i="66" s="1"/>
  <c r="T40" i="66" s="1"/>
  <c r="U40" i="66" s="1"/>
  <c r="V40" i="66" s="1"/>
  <c r="W40" i="66" s="1"/>
  <c r="X40" i="66" s="1"/>
  <c r="Y40" i="66" s="1"/>
  <c r="Z40" i="66" s="1"/>
  <c r="AA40" i="66" s="1"/>
  <c r="AB40" i="66" s="1"/>
  <c r="AC40" i="66" s="1"/>
  <c r="AD40" i="66" s="1"/>
  <c r="AE40" i="66" s="1"/>
  <c r="AF40" i="66" s="1"/>
  <c r="AG40" i="66" s="1"/>
  <c r="E32" i="66"/>
  <c r="C32" i="66"/>
  <c r="E31" i="66"/>
  <c r="D31" i="66"/>
  <c r="C31" i="66"/>
  <c r="C29" i="66"/>
  <c r="C28" i="66"/>
  <c r="C27" i="66"/>
  <c r="C26" i="66"/>
  <c r="C25" i="66"/>
  <c r="C20" i="66"/>
  <c r="C15" i="66"/>
  <c r="C13" i="66"/>
  <c r="C6" i="66"/>
  <c r="C27" i="55"/>
  <c r="C28" i="55"/>
  <c r="C15" i="55"/>
  <c r="D35" i="65"/>
  <c r="G35" i="65"/>
  <c r="C35" i="65"/>
  <c r="C24" i="65"/>
  <c r="C22" i="65"/>
  <c r="C21" i="65"/>
  <c r="C17" i="65"/>
  <c r="C16" i="65"/>
  <c r="C14" i="65"/>
  <c r="C12" i="65"/>
  <c r="C5" i="65"/>
  <c r="B3" i="65"/>
  <c r="B2" i="65"/>
  <c r="D191" i="65"/>
  <c r="E191" i="65" s="1"/>
  <c r="F191" i="65" s="1"/>
  <c r="G191" i="65" s="1"/>
  <c r="H191" i="65" s="1"/>
  <c r="I191" i="65" s="1"/>
  <c r="J191" i="65" s="1"/>
  <c r="K191" i="65" s="1"/>
  <c r="L191" i="65" s="1"/>
  <c r="M191" i="65" s="1"/>
  <c r="N191" i="65" s="1"/>
  <c r="O191" i="65" s="1"/>
  <c r="P191" i="65" s="1"/>
  <c r="Q191" i="65" s="1"/>
  <c r="R191" i="65" s="1"/>
  <c r="S191" i="65" s="1"/>
  <c r="T191" i="65" s="1"/>
  <c r="U191" i="65" s="1"/>
  <c r="V191" i="65" s="1"/>
  <c r="W191" i="65" s="1"/>
  <c r="X191" i="65" s="1"/>
  <c r="Y191" i="65" s="1"/>
  <c r="Z191" i="65" s="1"/>
  <c r="AA191" i="65" s="1"/>
  <c r="AB191" i="65" s="1"/>
  <c r="AC191" i="65" s="1"/>
  <c r="AD191" i="65" s="1"/>
  <c r="AE191" i="65" s="1"/>
  <c r="AF191" i="65" s="1"/>
  <c r="AG191" i="65" s="1"/>
  <c r="A186" i="65"/>
  <c r="B186" i="65" s="1"/>
  <c r="A185" i="65"/>
  <c r="B185" i="65" s="1"/>
  <c r="A184" i="65"/>
  <c r="B184" i="65" s="1"/>
  <c r="A183" i="65"/>
  <c r="B183" i="65" s="1"/>
  <c r="D182" i="65"/>
  <c r="E182" i="65" s="1"/>
  <c r="F182" i="65" s="1"/>
  <c r="G182" i="65" s="1"/>
  <c r="H182" i="65" s="1"/>
  <c r="I182" i="65" s="1"/>
  <c r="J182" i="65" s="1"/>
  <c r="K182" i="65" s="1"/>
  <c r="L182" i="65" s="1"/>
  <c r="M182" i="65" s="1"/>
  <c r="N182" i="65" s="1"/>
  <c r="O182" i="65" s="1"/>
  <c r="P182" i="65" s="1"/>
  <c r="Q182" i="65" s="1"/>
  <c r="R182" i="65" s="1"/>
  <c r="S182" i="65" s="1"/>
  <c r="T182" i="65" s="1"/>
  <c r="U182" i="65" s="1"/>
  <c r="V182" i="65" s="1"/>
  <c r="W182" i="65" s="1"/>
  <c r="X182" i="65" s="1"/>
  <c r="Y182" i="65" s="1"/>
  <c r="Z182" i="65" s="1"/>
  <c r="AA182" i="65" s="1"/>
  <c r="AB182" i="65" s="1"/>
  <c r="AC182" i="65" s="1"/>
  <c r="AD182" i="65" s="1"/>
  <c r="AE182" i="65" s="1"/>
  <c r="AF182" i="65" s="1"/>
  <c r="AG182" i="65" s="1"/>
  <c r="B178" i="65"/>
  <c r="B176" i="65"/>
  <c r="B175" i="65"/>
  <c r="B174" i="65"/>
  <c r="D173" i="65"/>
  <c r="E173" i="65" s="1"/>
  <c r="F173" i="65" s="1"/>
  <c r="G173" i="65" s="1"/>
  <c r="H173" i="65" s="1"/>
  <c r="I173" i="65" s="1"/>
  <c r="J173" i="65" s="1"/>
  <c r="K173" i="65" s="1"/>
  <c r="L173" i="65" s="1"/>
  <c r="M173" i="65" s="1"/>
  <c r="N173" i="65" s="1"/>
  <c r="O173" i="65" s="1"/>
  <c r="P173" i="65" s="1"/>
  <c r="Q173" i="65" s="1"/>
  <c r="R173" i="65" s="1"/>
  <c r="S173" i="65" s="1"/>
  <c r="T173" i="65" s="1"/>
  <c r="U173" i="65" s="1"/>
  <c r="V173" i="65" s="1"/>
  <c r="W173" i="65" s="1"/>
  <c r="X173" i="65" s="1"/>
  <c r="Y173" i="65" s="1"/>
  <c r="Z173" i="65" s="1"/>
  <c r="AA173" i="65" s="1"/>
  <c r="AB173" i="65" s="1"/>
  <c r="AC173" i="65" s="1"/>
  <c r="AD173" i="65" s="1"/>
  <c r="AE173" i="65" s="1"/>
  <c r="AF173" i="65" s="1"/>
  <c r="AG173" i="65" s="1"/>
  <c r="A170" i="65"/>
  <c r="A168" i="65"/>
  <c r="A169" i="65"/>
  <c r="A165" i="65"/>
  <c r="D164" i="65"/>
  <c r="E164" i="65" s="1"/>
  <c r="F164" i="65" s="1"/>
  <c r="G164" i="65" s="1"/>
  <c r="H164" i="65" s="1"/>
  <c r="I164" i="65" s="1"/>
  <c r="J164" i="65" s="1"/>
  <c r="K164" i="65" s="1"/>
  <c r="L164" i="65" s="1"/>
  <c r="M164" i="65" s="1"/>
  <c r="N164" i="65" s="1"/>
  <c r="O164" i="65" s="1"/>
  <c r="P164" i="65" s="1"/>
  <c r="Q164" i="65" s="1"/>
  <c r="R164" i="65" s="1"/>
  <c r="S164" i="65" s="1"/>
  <c r="T164" i="65" s="1"/>
  <c r="U164" i="65" s="1"/>
  <c r="V164" i="65" s="1"/>
  <c r="W164" i="65" s="1"/>
  <c r="X164" i="65" s="1"/>
  <c r="Y164" i="65" s="1"/>
  <c r="Z164" i="65" s="1"/>
  <c r="AA164" i="65" s="1"/>
  <c r="AB164" i="65" s="1"/>
  <c r="AC164" i="65" s="1"/>
  <c r="AD164" i="65" s="1"/>
  <c r="AE164" i="65" s="1"/>
  <c r="AF164" i="65" s="1"/>
  <c r="AG164" i="65" s="1"/>
  <c r="C155" i="65"/>
  <c r="D148" i="65"/>
  <c r="E148" i="65" s="1"/>
  <c r="F148" i="65" s="1"/>
  <c r="G148" i="65" s="1"/>
  <c r="H148" i="65" s="1"/>
  <c r="I148" i="65" s="1"/>
  <c r="J148" i="65" s="1"/>
  <c r="K148" i="65" s="1"/>
  <c r="L148" i="65" s="1"/>
  <c r="M148" i="65" s="1"/>
  <c r="N148" i="65" s="1"/>
  <c r="O148" i="65" s="1"/>
  <c r="P148" i="65" s="1"/>
  <c r="Q148" i="65" s="1"/>
  <c r="R148" i="65" s="1"/>
  <c r="S148" i="65" s="1"/>
  <c r="T148" i="65" s="1"/>
  <c r="U148" i="65" s="1"/>
  <c r="V148" i="65" s="1"/>
  <c r="W148" i="65" s="1"/>
  <c r="X148" i="65" s="1"/>
  <c r="Y148" i="65" s="1"/>
  <c r="Z148" i="65" s="1"/>
  <c r="AA148" i="65" s="1"/>
  <c r="AB148" i="65" s="1"/>
  <c r="AC148" i="65" s="1"/>
  <c r="AD148" i="65" s="1"/>
  <c r="AE148" i="65" s="1"/>
  <c r="AF148" i="65" s="1"/>
  <c r="AG148" i="65" s="1"/>
  <c r="C138" i="65"/>
  <c r="D131" i="65"/>
  <c r="E131" i="65" s="1"/>
  <c r="F131" i="65" s="1"/>
  <c r="G131" i="65" s="1"/>
  <c r="H131" i="65" s="1"/>
  <c r="I131" i="65" s="1"/>
  <c r="J131" i="65" s="1"/>
  <c r="K131" i="65" s="1"/>
  <c r="L131" i="65" s="1"/>
  <c r="M131" i="65" s="1"/>
  <c r="N131" i="65" s="1"/>
  <c r="O131" i="65" s="1"/>
  <c r="P131" i="65" s="1"/>
  <c r="Q131" i="65" s="1"/>
  <c r="R131" i="65" s="1"/>
  <c r="S131" i="65" s="1"/>
  <c r="T131" i="65" s="1"/>
  <c r="U131" i="65" s="1"/>
  <c r="V131" i="65" s="1"/>
  <c r="W131" i="65" s="1"/>
  <c r="X131" i="65" s="1"/>
  <c r="Y131" i="65" s="1"/>
  <c r="Z131" i="65" s="1"/>
  <c r="AA131" i="65" s="1"/>
  <c r="AB131" i="65" s="1"/>
  <c r="AC131" i="65" s="1"/>
  <c r="AD131" i="65" s="1"/>
  <c r="AE131" i="65" s="1"/>
  <c r="AF131" i="65" s="1"/>
  <c r="AG131" i="65" s="1"/>
  <c r="C121" i="65"/>
  <c r="D114" i="65"/>
  <c r="E114" i="65" s="1"/>
  <c r="F114" i="65" s="1"/>
  <c r="G114" i="65" s="1"/>
  <c r="H114" i="65" s="1"/>
  <c r="I114" i="65" s="1"/>
  <c r="J114" i="65" s="1"/>
  <c r="K114" i="65" s="1"/>
  <c r="L114" i="65" s="1"/>
  <c r="M114" i="65" s="1"/>
  <c r="N114" i="65" s="1"/>
  <c r="O114" i="65" s="1"/>
  <c r="P114" i="65" s="1"/>
  <c r="Q114" i="65" s="1"/>
  <c r="R114" i="65" s="1"/>
  <c r="S114" i="65" s="1"/>
  <c r="T114" i="65" s="1"/>
  <c r="U114" i="65" s="1"/>
  <c r="V114" i="65" s="1"/>
  <c r="W114" i="65" s="1"/>
  <c r="X114" i="65" s="1"/>
  <c r="Y114" i="65" s="1"/>
  <c r="Z114" i="65" s="1"/>
  <c r="AA114" i="65" s="1"/>
  <c r="AB114" i="65" s="1"/>
  <c r="AC114" i="65" s="1"/>
  <c r="AD114" i="65" s="1"/>
  <c r="AE114" i="65" s="1"/>
  <c r="AF114" i="65" s="1"/>
  <c r="AG114" i="65" s="1"/>
  <c r="C104" i="65"/>
  <c r="D97" i="65"/>
  <c r="E97" i="65" s="1"/>
  <c r="F97" i="65" s="1"/>
  <c r="G97" i="65" s="1"/>
  <c r="H97" i="65" s="1"/>
  <c r="I97" i="65" s="1"/>
  <c r="J97" i="65" s="1"/>
  <c r="K97" i="65" s="1"/>
  <c r="L97" i="65" s="1"/>
  <c r="M97" i="65" s="1"/>
  <c r="N97" i="65" s="1"/>
  <c r="O97" i="65" s="1"/>
  <c r="P97" i="65" s="1"/>
  <c r="Q97" i="65" s="1"/>
  <c r="R97" i="65" s="1"/>
  <c r="S97" i="65" s="1"/>
  <c r="T97" i="65" s="1"/>
  <c r="U97" i="65" s="1"/>
  <c r="V97" i="65" s="1"/>
  <c r="W97" i="65" s="1"/>
  <c r="X97" i="65" s="1"/>
  <c r="Y97" i="65" s="1"/>
  <c r="Z97" i="65" s="1"/>
  <c r="AA97" i="65" s="1"/>
  <c r="AB97" i="65" s="1"/>
  <c r="AC97" i="65" s="1"/>
  <c r="AD97" i="65" s="1"/>
  <c r="AE97" i="65" s="1"/>
  <c r="AF97" i="65" s="1"/>
  <c r="AG97" i="65" s="1"/>
  <c r="C87" i="65"/>
  <c r="D80" i="65"/>
  <c r="E80" i="65" s="1"/>
  <c r="F80" i="65" s="1"/>
  <c r="G80" i="65" s="1"/>
  <c r="H80" i="65" s="1"/>
  <c r="I80" i="65" s="1"/>
  <c r="J80" i="65" s="1"/>
  <c r="K80" i="65" s="1"/>
  <c r="L80" i="65" s="1"/>
  <c r="M80" i="65" s="1"/>
  <c r="N80" i="65" s="1"/>
  <c r="O80" i="65" s="1"/>
  <c r="P80" i="65" s="1"/>
  <c r="Q80" i="65" s="1"/>
  <c r="R80" i="65" s="1"/>
  <c r="S80" i="65" s="1"/>
  <c r="T80" i="65" s="1"/>
  <c r="U80" i="65" s="1"/>
  <c r="V80" i="65" s="1"/>
  <c r="W80" i="65" s="1"/>
  <c r="X80" i="65" s="1"/>
  <c r="Y80" i="65" s="1"/>
  <c r="Z80" i="65" s="1"/>
  <c r="AA80" i="65" s="1"/>
  <c r="AB80" i="65" s="1"/>
  <c r="AC80" i="65" s="1"/>
  <c r="AD80" i="65" s="1"/>
  <c r="AE80" i="65" s="1"/>
  <c r="AF80" i="65" s="1"/>
  <c r="AG80" i="65" s="1"/>
  <c r="C70" i="65"/>
  <c r="C63" i="65"/>
  <c r="C64" i="65" s="1"/>
  <c r="D62" i="65"/>
  <c r="E62" i="65" s="1"/>
  <c r="F62" i="65" s="1"/>
  <c r="G62" i="65" s="1"/>
  <c r="H62" i="65" s="1"/>
  <c r="I62" i="65" s="1"/>
  <c r="J62" i="65" s="1"/>
  <c r="K62" i="65" s="1"/>
  <c r="L62" i="65" s="1"/>
  <c r="M62" i="65" s="1"/>
  <c r="N62" i="65" s="1"/>
  <c r="O62" i="65" s="1"/>
  <c r="P62" i="65" s="1"/>
  <c r="Q62" i="65" s="1"/>
  <c r="R62" i="65" s="1"/>
  <c r="S62" i="65" s="1"/>
  <c r="T62" i="65" s="1"/>
  <c r="U62" i="65" s="1"/>
  <c r="V62" i="65" s="1"/>
  <c r="W62" i="65" s="1"/>
  <c r="X62" i="65" s="1"/>
  <c r="Y62" i="65" s="1"/>
  <c r="Z62" i="65" s="1"/>
  <c r="AA62" i="65" s="1"/>
  <c r="AB62" i="65" s="1"/>
  <c r="AC62" i="65" s="1"/>
  <c r="AD62" i="65" s="1"/>
  <c r="AE62" i="65" s="1"/>
  <c r="AF62" i="65" s="1"/>
  <c r="AG62" i="65" s="1"/>
  <c r="AI58" i="65"/>
  <c r="AI53" i="65"/>
  <c r="AH53" i="65"/>
  <c r="C53" i="65"/>
  <c r="A53" i="65"/>
  <c r="AK52" i="65"/>
  <c r="AJ52" i="65"/>
  <c r="AI52" i="65"/>
  <c r="AH52" i="65"/>
  <c r="C52" i="65"/>
  <c r="A52" i="65"/>
  <c r="AI51" i="65"/>
  <c r="AH51" i="65"/>
  <c r="C51" i="65"/>
  <c r="C46" i="65"/>
  <c r="C45" i="65"/>
  <c r="C44" i="65"/>
  <c r="C43" i="65"/>
  <c r="C42" i="65"/>
  <c r="AG41" i="65"/>
  <c r="AF41" i="65"/>
  <c r="AE41" i="65"/>
  <c r="AD41" i="65"/>
  <c r="AC41" i="65"/>
  <c r="AB41" i="65"/>
  <c r="AA41" i="65"/>
  <c r="Z41" i="65"/>
  <c r="Y41" i="65"/>
  <c r="X41" i="65"/>
  <c r="W41" i="65"/>
  <c r="V41" i="65"/>
  <c r="U41" i="65"/>
  <c r="T41" i="65"/>
  <c r="S41" i="65"/>
  <c r="R41" i="65"/>
  <c r="Q41" i="65"/>
  <c r="P41" i="65"/>
  <c r="O41" i="65"/>
  <c r="N41" i="65"/>
  <c r="M41" i="65"/>
  <c r="L41" i="65"/>
  <c r="K41" i="65"/>
  <c r="J41" i="65"/>
  <c r="I41" i="65"/>
  <c r="H41" i="65"/>
  <c r="G41" i="65"/>
  <c r="F41" i="65"/>
  <c r="E41" i="65"/>
  <c r="D41" i="65"/>
  <c r="C41" i="65"/>
  <c r="D40" i="65"/>
  <c r="E40" i="65" s="1"/>
  <c r="F40" i="65" s="1"/>
  <c r="G40" i="65" s="1"/>
  <c r="H40" i="65" s="1"/>
  <c r="I40" i="65" s="1"/>
  <c r="J40" i="65" s="1"/>
  <c r="K40" i="65" s="1"/>
  <c r="L40" i="65" s="1"/>
  <c r="M40" i="65" s="1"/>
  <c r="N40" i="65" s="1"/>
  <c r="O40" i="65" s="1"/>
  <c r="P40" i="65" s="1"/>
  <c r="Q40" i="65" s="1"/>
  <c r="R40" i="65" s="1"/>
  <c r="S40" i="65" s="1"/>
  <c r="T40" i="65" s="1"/>
  <c r="U40" i="65" s="1"/>
  <c r="V40" i="65" s="1"/>
  <c r="W40" i="65" s="1"/>
  <c r="X40" i="65" s="1"/>
  <c r="Y40" i="65" s="1"/>
  <c r="Z40" i="65" s="1"/>
  <c r="AA40" i="65" s="1"/>
  <c r="AB40" i="65" s="1"/>
  <c r="AC40" i="65" s="1"/>
  <c r="AD40" i="65" s="1"/>
  <c r="AE40" i="65" s="1"/>
  <c r="AF40" i="65" s="1"/>
  <c r="AG40" i="65" s="1"/>
  <c r="E31" i="65"/>
  <c r="C31" i="65"/>
  <c r="E30" i="65"/>
  <c r="D30" i="65"/>
  <c r="C30" i="65"/>
  <c r="C29" i="65"/>
  <c r="C28" i="65"/>
  <c r="C27" i="65"/>
  <c r="C26" i="65"/>
  <c r="C25" i="65"/>
  <c r="C20" i="65"/>
  <c r="C15" i="65"/>
  <c r="C13" i="65"/>
  <c r="C6" i="65"/>
  <c r="C27" i="58"/>
  <c r="C28" i="58"/>
  <c r="C27" i="57"/>
  <c r="C28" i="57"/>
  <c r="C28" i="52"/>
  <c r="C27" i="52"/>
  <c r="C15" i="52"/>
  <c r="C28" i="53"/>
  <c r="C27" i="53"/>
  <c r="C25" i="53"/>
  <c r="C26" i="53"/>
  <c r="C29" i="53"/>
  <c r="C25" i="51"/>
  <c r="C26" i="51"/>
  <c r="C27" i="51"/>
  <c r="C28" i="51"/>
  <c r="C29" i="51"/>
  <c r="C31" i="53"/>
  <c r="C32" i="51"/>
  <c r="D32" i="51"/>
  <c r="E32" i="51"/>
  <c r="C12" i="51"/>
  <c r="BI83" i="2"/>
  <c r="BJ149" i="2"/>
  <c r="BJ105" i="2"/>
  <c r="BH83" i="2"/>
  <c r="T9" i="14"/>
  <c r="BI72" i="2" s="1"/>
  <c r="R8" i="14"/>
  <c r="BJ50" i="2"/>
  <c r="R6" i="14"/>
  <c r="R3" i="14"/>
  <c r="S3" i="14" s="1"/>
  <c r="C5" i="3" s="1"/>
  <c r="Z5" i="46"/>
  <c r="AA5" i="46"/>
  <c r="AB5" i="46"/>
  <c r="AE5" i="46"/>
  <c r="Z6" i="46"/>
  <c r="AA6" i="46"/>
  <c r="AB6" i="46"/>
  <c r="AE6" i="46"/>
  <c r="Z7" i="46"/>
  <c r="AA7" i="46"/>
  <c r="AB7" i="46"/>
  <c r="AE7" i="46"/>
  <c r="Z8" i="46"/>
  <c r="AA8" i="46"/>
  <c r="AB8" i="46"/>
  <c r="AE8" i="46"/>
  <c r="Z9" i="46"/>
  <c r="AA9" i="46"/>
  <c r="AB9" i="46"/>
  <c r="AE9" i="46"/>
  <c r="Z10" i="46"/>
  <c r="AA10" i="46"/>
  <c r="AB10" i="46"/>
  <c r="AE10" i="46"/>
  <c r="Z11" i="46"/>
  <c r="AC11" i="46" s="1"/>
  <c r="AA11" i="46"/>
  <c r="AD11" i="46" s="1"/>
  <c r="AB11" i="46"/>
  <c r="AE11" i="46"/>
  <c r="Z12" i="46"/>
  <c r="AA12" i="46"/>
  <c r="AB12" i="46"/>
  <c r="AE12" i="46"/>
  <c r="Z13" i="46"/>
  <c r="AA13" i="46"/>
  <c r="AB13" i="46"/>
  <c r="AE13" i="46"/>
  <c r="Z14" i="46"/>
  <c r="AA14" i="46"/>
  <c r="AB14" i="46"/>
  <c r="AE14" i="46"/>
  <c r="Z15" i="46"/>
  <c r="AA15" i="46"/>
  <c r="AB15" i="46"/>
  <c r="AE15" i="46"/>
  <c r="Z16" i="46"/>
  <c r="AA16" i="46"/>
  <c r="AB16" i="46"/>
  <c r="AE16" i="46"/>
  <c r="Z17" i="46"/>
  <c r="AA17" i="46"/>
  <c r="AB17" i="46"/>
  <c r="AE17" i="46"/>
  <c r="Z18" i="46"/>
  <c r="AA18" i="46"/>
  <c r="AB18" i="46"/>
  <c r="AE18" i="46"/>
  <c r="X18" i="46"/>
  <c r="H37" i="67" s="1"/>
  <c r="V18" i="46"/>
  <c r="F37" i="67" s="1"/>
  <c r="U18" i="46"/>
  <c r="E37" i="67" s="1"/>
  <c r="X17" i="46"/>
  <c r="H37" i="66" s="1"/>
  <c r="V17" i="46"/>
  <c r="F37" i="66" s="1"/>
  <c r="U17" i="46"/>
  <c r="E37" i="66" s="1"/>
  <c r="X16" i="46"/>
  <c r="P6" i="23" s="1"/>
  <c r="V16" i="46"/>
  <c r="N6" i="23" s="1"/>
  <c r="U16" i="46"/>
  <c r="M6" i="23" s="1"/>
  <c r="X15" i="46"/>
  <c r="H35" i="65" s="1"/>
  <c r="V15" i="46"/>
  <c r="F35" i="65" s="1"/>
  <c r="U15" i="46"/>
  <c r="E35" i="65" s="1"/>
  <c r="X14" i="46"/>
  <c r="V14" i="46"/>
  <c r="U14" i="46"/>
  <c r="X13" i="46"/>
  <c r="V13" i="46"/>
  <c r="U13" i="46"/>
  <c r="X12" i="46"/>
  <c r="V12" i="46"/>
  <c r="U12" i="46"/>
  <c r="X11" i="46"/>
  <c r="V11" i="46"/>
  <c r="U11" i="46"/>
  <c r="X10" i="46"/>
  <c r="P9" i="23" s="1"/>
  <c r="V10" i="46"/>
  <c r="N9" i="23" s="1"/>
  <c r="U10" i="46"/>
  <c r="M9" i="23" s="1"/>
  <c r="X9" i="46"/>
  <c r="V9" i="46"/>
  <c r="U9" i="46"/>
  <c r="X8" i="46"/>
  <c r="V8" i="46"/>
  <c r="U8" i="46"/>
  <c r="X7" i="46"/>
  <c r="V7" i="46"/>
  <c r="U7" i="46"/>
  <c r="X6" i="46"/>
  <c r="V6" i="46"/>
  <c r="U6" i="46"/>
  <c r="X5" i="46"/>
  <c r="V5" i="46"/>
  <c r="U5" i="46"/>
  <c r="BN153" i="2" l="1"/>
  <c r="BH153" i="2" s="1"/>
  <c r="AN153" i="2"/>
  <c r="CA153" i="2"/>
  <c r="BA153" i="2"/>
  <c r="CN153" i="2"/>
  <c r="BN142" i="2"/>
  <c r="CA142" i="2"/>
  <c r="BU142" i="2" s="1"/>
  <c r="F151" i="78" s="1"/>
  <c r="R151" i="78" s="1"/>
  <c r="BA142" i="2"/>
  <c r="AU142" i="2" s="1"/>
  <c r="AN142" i="2"/>
  <c r="CN142" i="2"/>
  <c r="BN120" i="2"/>
  <c r="BA120" i="2"/>
  <c r="AU120" i="2" s="1"/>
  <c r="CN120" i="2"/>
  <c r="AN120" i="2"/>
  <c r="CA120" i="2"/>
  <c r="BP112" i="2"/>
  <c r="CC101" i="2"/>
  <c r="BP134" i="2"/>
  <c r="CC57" i="2"/>
  <c r="BP79" i="2"/>
  <c r="CC68" i="2"/>
  <c r="BQ112" i="2"/>
  <c r="CD101" i="2"/>
  <c r="BQ134" i="2"/>
  <c r="CD57" i="2"/>
  <c r="BQ79" i="2"/>
  <c r="CD68" i="2"/>
  <c r="Y15" i="45"/>
  <c r="X18" i="45"/>
  <c r="X7" i="45"/>
  <c r="AD6" i="82"/>
  <c r="AD7" i="82" s="1"/>
  <c r="AE27" i="80"/>
  <c r="AE31" i="80" s="1"/>
  <c r="AE34" i="80" s="1"/>
  <c r="AG17" i="82" s="1"/>
  <c r="AE25" i="82"/>
  <c r="AF18" i="82"/>
  <c r="AF23" i="82"/>
  <c r="AF4" i="82" s="1"/>
  <c r="AG21" i="82"/>
  <c r="AG16" i="82"/>
  <c r="AE29" i="82"/>
  <c r="AE6" i="82" s="1"/>
  <c r="AE7" i="82" s="1"/>
  <c r="BH39" i="2"/>
  <c r="BM39" i="2" s="1"/>
  <c r="S6" i="14"/>
  <c r="C41" i="3" s="1"/>
  <c r="BH61" i="2"/>
  <c r="BM61" i="2" s="1"/>
  <c r="S8" i="14"/>
  <c r="C65" i="3" s="1"/>
  <c r="CI67" i="2"/>
  <c r="CH67" i="2"/>
  <c r="AX121" i="2"/>
  <c r="AW121" i="2"/>
  <c r="AJ121" i="2"/>
  <c r="AI121" i="2"/>
  <c r="AL121" i="2"/>
  <c r="AV121" i="2"/>
  <c r="AH121" i="2"/>
  <c r="F128" i="79" s="1"/>
  <c r="R128" i="79" s="1"/>
  <c r="AZ121" i="2"/>
  <c r="AY121" i="2"/>
  <c r="AU121" i="2"/>
  <c r="AK121" i="2"/>
  <c r="AM121" i="2"/>
  <c r="K128" i="79" s="1"/>
  <c r="W128" i="79" s="1"/>
  <c r="CH122" i="2"/>
  <c r="F119" i="4" s="1"/>
  <c r="O119" i="4" s="1"/>
  <c r="CI122" i="2"/>
  <c r="AY99" i="2"/>
  <c r="AI99" i="2"/>
  <c r="AL99" i="2"/>
  <c r="AK99" i="2"/>
  <c r="AW99" i="2"/>
  <c r="AZ99" i="2"/>
  <c r="AJ99" i="2"/>
  <c r="AU99" i="2"/>
  <c r="AH99" i="2"/>
  <c r="AV99" i="2"/>
  <c r="AX99" i="2"/>
  <c r="AM99" i="2"/>
  <c r="AH153" i="2"/>
  <c r="F163" i="79" s="1"/>
  <c r="R163" i="79" s="1"/>
  <c r="AU153" i="2"/>
  <c r="CH144" i="2"/>
  <c r="CI144" i="2"/>
  <c r="CH100" i="2"/>
  <c r="F97" i="4" s="1"/>
  <c r="O97" i="4" s="1"/>
  <c r="CI100" i="2"/>
  <c r="AY154" i="2"/>
  <c r="AX154" i="2"/>
  <c r="AH154" i="2"/>
  <c r="F164" i="79" s="1"/>
  <c r="R164" i="79" s="1"/>
  <c r="AW154" i="2"/>
  <c r="AU154" i="2"/>
  <c r="AV154" i="2"/>
  <c r="AM154" i="2"/>
  <c r="AJ154" i="2"/>
  <c r="H164" i="79" s="1"/>
  <c r="T164" i="79" s="1"/>
  <c r="AK154" i="2"/>
  <c r="I164" i="79" s="1"/>
  <c r="U164" i="79" s="1"/>
  <c r="AI154" i="2"/>
  <c r="G164" i="79" s="1"/>
  <c r="S164" i="79" s="1"/>
  <c r="AZ154" i="2"/>
  <c r="AL154" i="2"/>
  <c r="CH110" i="2"/>
  <c r="AL77" i="2"/>
  <c r="AY77" i="2"/>
  <c r="AW77" i="2"/>
  <c r="AM77" i="2"/>
  <c r="AV77" i="2"/>
  <c r="AJ77" i="2"/>
  <c r="AZ77" i="2"/>
  <c r="AH77" i="2"/>
  <c r="F80" i="79" s="1"/>
  <c r="R80" i="79" s="1"/>
  <c r="AX77" i="2"/>
  <c r="AU77" i="2"/>
  <c r="AI77" i="2"/>
  <c r="AK77" i="2"/>
  <c r="CI155" i="2"/>
  <c r="CH155" i="2"/>
  <c r="CJ155" i="2"/>
  <c r="AM66" i="2"/>
  <c r="K68" i="79" s="1"/>
  <c r="W68" i="79" s="1"/>
  <c r="AV66" i="2"/>
  <c r="AH66" i="2"/>
  <c r="F68" i="79" s="1"/>
  <c r="R68" i="79" s="1"/>
  <c r="AL66" i="2"/>
  <c r="AW66" i="2"/>
  <c r="AK66" i="2"/>
  <c r="AU66" i="2"/>
  <c r="AX66" i="2"/>
  <c r="AI66" i="2"/>
  <c r="AZ66" i="2"/>
  <c r="AJ66" i="2"/>
  <c r="AY66" i="2"/>
  <c r="CI78" i="2"/>
  <c r="G75" i="4" s="1"/>
  <c r="P75" i="4" s="1"/>
  <c r="CH78" i="2"/>
  <c r="F75" i="4" s="1"/>
  <c r="O75" i="4" s="1"/>
  <c r="AJ132" i="2"/>
  <c r="H140" i="79" s="1"/>
  <c r="T140" i="79" s="1"/>
  <c r="AK132" i="2"/>
  <c r="AZ132" i="2"/>
  <c r="AY132" i="2"/>
  <c r="AX132" i="2"/>
  <c r="AH132" i="2"/>
  <c r="AM132" i="2"/>
  <c r="AU132" i="2"/>
  <c r="AV132" i="2"/>
  <c r="AI132" i="2"/>
  <c r="G140" i="79" s="1"/>
  <c r="S140" i="79" s="1"/>
  <c r="AW132" i="2"/>
  <c r="AL132" i="2"/>
  <c r="CI133" i="2"/>
  <c r="CH133" i="2"/>
  <c r="AM110" i="2"/>
  <c r="K116" i="79" s="1"/>
  <c r="W116" i="79" s="1"/>
  <c r="AH110" i="2"/>
  <c r="F116" i="79" s="1"/>
  <c r="R116" i="79" s="1"/>
  <c r="AZ110" i="2"/>
  <c r="AK110" i="2"/>
  <c r="AL110" i="2"/>
  <c r="AX110" i="2"/>
  <c r="AI110" i="2"/>
  <c r="G116" i="79" s="1"/>
  <c r="S116" i="79" s="1"/>
  <c r="AW110" i="2"/>
  <c r="AU110" i="2"/>
  <c r="AY110" i="2"/>
  <c r="AJ110" i="2"/>
  <c r="AV110" i="2"/>
  <c r="CH111" i="2"/>
  <c r="F108" i="4" s="1"/>
  <c r="O108" i="4" s="1"/>
  <c r="CI111" i="2"/>
  <c r="CJ144" i="2"/>
  <c r="H141" i="4" s="1"/>
  <c r="Q141" i="4" s="1"/>
  <c r="AW88" i="2"/>
  <c r="AI88" i="2"/>
  <c r="AK88" i="2"/>
  <c r="I92" i="79" s="1"/>
  <c r="U92" i="79" s="1"/>
  <c r="AU88" i="2"/>
  <c r="AX88" i="2"/>
  <c r="AV88" i="2"/>
  <c r="AY88" i="2"/>
  <c r="AZ88" i="2"/>
  <c r="AM88" i="2"/>
  <c r="K92" i="79" s="1"/>
  <c r="W92" i="79" s="1"/>
  <c r="AL88" i="2"/>
  <c r="J92" i="79" s="1"/>
  <c r="V92" i="79" s="1"/>
  <c r="AH88" i="2"/>
  <c r="F92" i="79" s="1"/>
  <c r="R92" i="79" s="1"/>
  <c r="AJ88" i="2"/>
  <c r="AH142" i="2"/>
  <c r="CJ67" i="2"/>
  <c r="CJ100" i="2"/>
  <c r="CH89" i="2"/>
  <c r="CI89" i="2"/>
  <c r="AY143" i="2"/>
  <c r="AU143" i="2"/>
  <c r="AJ143" i="2"/>
  <c r="H152" i="79" s="1"/>
  <c r="T152" i="79" s="1"/>
  <c r="AZ143" i="2"/>
  <c r="AV143" i="2"/>
  <c r="AW143" i="2"/>
  <c r="AK143" i="2"/>
  <c r="AM143" i="2"/>
  <c r="AX143" i="2"/>
  <c r="AH143" i="2"/>
  <c r="AI143" i="2"/>
  <c r="G152" i="79" s="1"/>
  <c r="S152" i="79" s="1"/>
  <c r="AL143" i="2"/>
  <c r="CJ122" i="2"/>
  <c r="H119" i="4" s="1"/>
  <c r="Q119" i="4" s="1"/>
  <c r="CJ78" i="2"/>
  <c r="BH6" i="2"/>
  <c r="T6" i="14"/>
  <c r="BI39" i="2" s="1"/>
  <c r="BI61" i="2"/>
  <c r="BX6" i="2"/>
  <c r="BY6" i="2"/>
  <c r="BZ6" i="2"/>
  <c r="AJ160" i="2"/>
  <c r="BJ72" i="2"/>
  <c r="AY25" i="2"/>
  <c r="J25" i="77" s="1"/>
  <c r="AL25" i="2"/>
  <c r="J25" i="79" s="1"/>
  <c r="AX91" i="2"/>
  <c r="I97" i="77" s="1"/>
  <c r="AK91" i="2"/>
  <c r="I97" i="79" s="1"/>
  <c r="AX69" i="2"/>
  <c r="I73" i="77" s="1"/>
  <c r="AK69" i="2"/>
  <c r="I73" i="79" s="1"/>
  <c r="AV25" i="2"/>
  <c r="G25" i="77" s="1"/>
  <c r="AI25" i="2"/>
  <c r="G25" i="79" s="1"/>
  <c r="AV69" i="2"/>
  <c r="G73" i="77" s="1"/>
  <c r="AI69" i="2"/>
  <c r="G73" i="79" s="1"/>
  <c r="AY14" i="2"/>
  <c r="J13" i="77" s="1"/>
  <c r="AL14" i="2"/>
  <c r="J13" i="79" s="1"/>
  <c r="AV14" i="2"/>
  <c r="G13" i="77" s="1"/>
  <c r="AI14" i="2"/>
  <c r="G13" i="79" s="1"/>
  <c r="AZ69" i="2"/>
  <c r="K73" i="77" s="1"/>
  <c r="AM69" i="2"/>
  <c r="K73" i="79" s="1"/>
  <c r="AX25" i="2"/>
  <c r="I25" i="77" s="1"/>
  <c r="AK25" i="2"/>
  <c r="I25" i="79" s="1"/>
  <c r="AW25" i="2"/>
  <c r="H25" i="77" s="1"/>
  <c r="AJ25" i="2"/>
  <c r="H25" i="79" s="1"/>
  <c r="AV91" i="2"/>
  <c r="G97" i="77" s="1"/>
  <c r="AI91" i="2"/>
  <c r="G97" i="79" s="1"/>
  <c r="AK113" i="2"/>
  <c r="I121" i="79" s="1"/>
  <c r="AX113" i="2"/>
  <c r="I121" i="77" s="1"/>
  <c r="AW14" i="2"/>
  <c r="H13" i="77" s="1"/>
  <c r="AJ14" i="2"/>
  <c r="H13" i="79" s="1"/>
  <c r="AK36" i="2"/>
  <c r="I37" i="79" s="1"/>
  <c r="AX36" i="2"/>
  <c r="I37" i="77" s="1"/>
  <c r="AJ36" i="2"/>
  <c r="H37" i="79" s="1"/>
  <c r="AW36" i="2"/>
  <c r="H37" i="77" s="1"/>
  <c r="AV113" i="2"/>
  <c r="G121" i="77" s="1"/>
  <c r="AI113" i="2"/>
  <c r="G121" i="79" s="1"/>
  <c r="AZ80" i="2"/>
  <c r="K85" i="77" s="1"/>
  <c r="AM80" i="2"/>
  <c r="K85" i="79" s="1"/>
  <c r="AK80" i="2"/>
  <c r="I85" i="79" s="1"/>
  <c r="AX80" i="2"/>
  <c r="I85" i="77" s="1"/>
  <c r="AM157" i="2"/>
  <c r="K169" i="79" s="1"/>
  <c r="AZ157" i="2"/>
  <c r="K169" i="77" s="1"/>
  <c r="AJ80" i="2"/>
  <c r="H85" i="79" s="1"/>
  <c r="AW80" i="2"/>
  <c r="H85" i="77" s="1"/>
  <c r="AV80" i="2"/>
  <c r="G85" i="77" s="1"/>
  <c r="AI80" i="2"/>
  <c r="G85" i="79" s="1"/>
  <c r="AK157" i="2"/>
  <c r="I169" i="79" s="1"/>
  <c r="AX157" i="2"/>
  <c r="I169" i="77" s="1"/>
  <c r="AW157" i="2"/>
  <c r="H169" i="77" s="1"/>
  <c r="AJ157" i="2"/>
  <c r="H169" i="79" s="1"/>
  <c r="AY91" i="2"/>
  <c r="J97" i="77" s="1"/>
  <c r="AL91" i="2"/>
  <c r="J97" i="79" s="1"/>
  <c r="AY69" i="2"/>
  <c r="J73" i="77" s="1"/>
  <c r="AL69" i="2"/>
  <c r="J73" i="79" s="1"/>
  <c r="AJ91" i="2"/>
  <c r="H97" i="79" s="1"/>
  <c r="AW91" i="2"/>
  <c r="H97" i="77" s="1"/>
  <c r="AW69" i="2"/>
  <c r="H73" i="77" s="1"/>
  <c r="AJ69" i="2"/>
  <c r="H73" i="79" s="1"/>
  <c r="AZ14" i="2"/>
  <c r="K13" i="77" s="1"/>
  <c r="AM14" i="2"/>
  <c r="K13" i="79" s="1"/>
  <c r="AM113" i="2"/>
  <c r="K121" i="79" s="1"/>
  <c r="AZ113" i="2"/>
  <c r="K121" i="77" s="1"/>
  <c r="AM36" i="2"/>
  <c r="K37" i="79" s="1"/>
  <c r="AZ36" i="2"/>
  <c r="K37" i="77" s="1"/>
  <c r="AY113" i="2"/>
  <c r="J121" i="77" s="1"/>
  <c r="AL113" i="2"/>
  <c r="J121" i="79" s="1"/>
  <c r="AX14" i="2"/>
  <c r="I13" i="77" s="1"/>
  <c r="AK14" i="2"/>
  <c r="I13" i="79" s="1"/>
  <c r="AL36" i="2"/>
  <c r="J37" i="79" s="1"/>
  <c r="AY36" i="2"/>
  <c r="J37" i="77" s="1"/>
  <c r="AW113" i="2"/>
  <c r="H121" i="77" s="1"/>
  <c r="AJ113" i="2"/>
  <c r="H121" i="79" s="1"/>
  <c r="AI36" i="2"/>
  <c r="G37" i="79" s="1"/>
  <c r="AV36" i="2"/>
  <c r="G37" i="77" s="1"/>
  <c r="AL80" i="2"/>
  <c r="J85" i="79" s="1"/>
  <c r="AY80" i="2"/>
  <c r="J85" i="77" s="1"/>
  <c r="AL157" i="2"/>
  <c r="J169" i="79" s="1"/>
  <c r="AY157" i="2"/>
  <c r="J169" i="77" s="1"/>
  <c r="AZ25" i="2"/>
  <c r="K25" i="77" s="1"/>
  <c r="AM25" i="2"/>
  <c r="K25" i="79" s="1"/>
  <c r="AZ91" i="2"/>
  <c r="K97" i="77" s="1"/>
  <c r="AM91" i="2"/>
  <c r="K97" i="79" s="1"/>
  <c r="AV157" i="2"/>
  <c r="G169" i="77" s="1"/>
  <c r="AI157" i="2"/>
  <c r="G169" i="79" s="1"/>
  <c r="BU120" i="2"/>
  <c r="F127" i="78" s="1"/>
  <c r="R127" i="78" s="1"/>
  <c r="BX77" i="2"/>
  <c r="I80" i="78" s="1"/>
  <c r="U80" i="78" s="1"/>
  <c r="BV77" i="2"/>
  <c r="G80" i="78" s="1"/>
  <c r="S80" i="78" s="1"/>
  <c r="BU77" i="2"/>
  <c r="F80" i="78" s="1"/>
  <c r="R80" i="78" s="1"/>
  <c r="BW77" i="2"/>
  <c r="H80" i="78" s="1"/>
  <c r="T80" i="78" s="1"/>
  <c r="BY77" i="2"/>
  <c r="J80" i="78" s="1"/>
  <c r="V80" i="78" s="1"/>
  <c r="BZ77" i="2"/>
  <c r="K80" i="78" s="1"/>
  <c r="W80" i="78" s="1"/>
  <c r="BY99" i="2"/>
  <c r="J104" i="78" s="1"/>
  <c r="V104" i="78" s="1"/>
  <c r="BZ99" i="2"/>
  <c r="K104" i="78" s="1"/>
  <c r="W104" i="78" s="1"/>
  <c r="BX99" i="2"/>
  <c r="I104" i="78" s="1"/>
  <c r="U104" i="78" s="1"/>
  <c r="BV99" i="2"/>
  <c r="G104" i="78" s="1"/>
  <c r="S104" i="78" s="1"/>
  <c r="BU99" i="2"/>
  <c r="F104" i="78" s="1"/>
  <c r="R104" i="78" s="1"/>
  <c r="BW99" i="2"/>
  <c r="H104" i="78" s="1"/>
  <c r="T104" i="78" s="1"/>
  <c r="BU121" i="2"/>
  <c r="F128" i="78" s="1"/>
  <c r="R128" i="78" s="1"/>
  <c r="BW121" i="2"/>
  <c r="H128" i="78" s="1"/>
  <c r="T128" i="78" s="1"/>
  <c r="BY121" i="2"/>
  <c r="J128" i="78" s="1"/>
  <c r="V128" i="78" s="1"/>
  <c r="BZ121" i="2"/>
  <c r="K128" i="78" s="1"/>
  <c r="W128" i="78" s="1"/>
  <c r="BX121" i="2"/>
  <c r="I128" i="78" s="1"/>
  <c r="U128" i="78" s="1"/>
  <c r="BV121" i="2"/>
  <c r="G128" i="78" s="1"/>
  <c r="S128" i="78" s="1"/>
  <c r="BU143" i="2"/>
  <c r="F152" i="78" s="1"/>
  <c r="R152" i="78" s="1"/>
  <c r="BW143" i="2"/>
  <c r="H152" i="78" s="1"/>
  <c r="T152" i="78" s="1"/>
  <c r="BY143" i="2"/>
  <c r="J152" i="78" s="1"/>
  <c r="V152" i="78" s="1"/>
  <c r="BZ143" i="2"/>
  <c r="K152" i="78" s="1"/>
  <c r="W152" i="78" s="1"/>
  <c r="BX143" i="2"/>
  <c r="I152" i="78" s="1"/>
  <c r="U152" i="78" s="1"/>
  <c r="BV143" i="2"/>
  <c r="G152" i="78" s="1"/>
  <c r="S152" i="78" s="1"/>
  <c r="BZ78" i="2"/>
  <c r="K81" i="78" s="1"/>
  <c r="W81" i="78" s="1"/>
  <c r="BU78" i="2"/>
  <c r="F81" i="78" s="1"/>
  <c r="R81" i="78" s="1"/>
  <c r="BV78" i="2"/>
  <c r="G81" i="78" s="1"/>
  <c r="S81" i="78" s="1"/>
  <c r="BX78" i="2"/>
  <c r="I81" i="78" s="1"/>
  <c r="U81" i="78" s="1"/>
  <c r="BW78" i="2"/>
  <c r="H81" i="78" s="1"/>
  <c r="T81" i="78" s="1"/>
  <c r="BY78" i="2"/>
  <c r="J81" i="78" s="1"/>
  <c r="V81" i="78" s="1"/>
  <c r="BU100" i="2"/>
  <c r="F105" i="78" s="1"/>
  <c r="R105" i="78" s="1"/>
  <c r="BZ100" i="2"/>
  <c r="K105" i="78" s="1"/>
  <c r="W105" i="78" s="1"/>
  <c r="BV100" i="2"/>
  <c r="G105" i="78" s="1"/>
  <c r="S105" i="78" s="1"/>
  <c r="BX100" i="2"/>
  <c r="I105" i="78" s="1"/>
  <c r="U105" i="78" s="1"/>
  <c r="BW100" i="2"/>
  <c r="H105" i="78" s="1"/>
  <c r="T105" i="78" s="1"/>
  <c r="BY100" i="2"/>
  <c r="J105" i="78" s="1"/>
  <c r="V105" i="78" s="1"/>
  <c r="BZ122" i="2"/>
  <c r="K129" i="78" s="1"/>
  <c r="W129" i="78" s="1"/>
  <c r="BU122" i="2"/>
  <c r="F129" i="78" s="1"/>
  <c r="R129" i="78" s="1"/>
  <c r="BV122" i="2"/>
  <c r="G129" i="78" s="1"/>
  <c r="S129" i="78" s="1"/>
  <c r="BX122" i="2"/>
  <c r="I129" i="78" s="1"/>
  <c r="U129" i="78" s="1"/>
  <c r="BW122" i="2"/>
  <c r="H129" i="78" s="1"/>
  <c r="T129" i="78" s="1"/>
  <c r="BY122" i="2"/>
  <c r="J129" i="78" s="1"/>
  <c r="V129" i="78" s="1"/>
  <c r="BU144" i="2"/>
  <c r="F153" i="78" s="1"/>
  <c r="R153" i="78" s="1"/>
  <c r="BZ144" i="2"/>
  <c r="K153" i="78" s="1"/>
  <c r="W153" i="78" s="1"/>
  <c r="BV144" i="2"/>
  <c r="G153" i="78" s="1"/>
  <c r="S153" i="78" s="1"/>
  <c r="BX144" i="2"/>
  <c r="I153" i="78" s="1"/>
  <c r="U153" i="78" s="1"/>
  <c r="BW144" i="2"/>
  <c r="H153" i="78" s="1"/>
  <c r="T153" i="78" s="1"/>
  <c r="BY144" i="2"/>
  <c r="J153" i="78" s="1"/>
  <c r="V153" i="78" s="1"/>
  <c r="BY66" i="2"/>
  <c r="J68" i="78" s="1"/>
  <c r="V68" i="78" s="1"/>
  <c r="BZ66" i="2"/>
  <c r="K68" i="78" s="1"/>
  <c r="W68" i="78" s="1"/>
  <c r="BV66" i="2"/>
  <c r="G68" i="78" s="1"/>
  <c r="S68" i="78" s="1"/>
  <c r="BX66" i="2"/>
  <c r="I68" i="78" s="1"/>
  <c r="U68" i="78" s="1"/>
  <c r="BU66" i="2"/>
  <c r="F68" i="78" s="1"/>
  <c r="R68" i="78" s="1"/>
  <c r="BW66" i="2"/>
  <c r="H68" i="78" s="1"/>
  <c r="T68" i="78" s="1"/>
  <c r="BU88" i="2"/>
  <c r="F92" i="78" s="1"/>
  <c r="R92" i="78" s="1"/>
  <c r="BW88" i="2"/>
  <c r="H92" i="78" s="1"/>
  <c r="T92" i="78" s="1"/>
  <c r="BY88" i="2"/>
  <c r="J92" i="78" s="1"/>
  <c r="V92" i="78" s="1"/>
  <c r="BZ88" i="2"/>
  <c r="K92" i="78" s="1"/>
  <c r="W92" i="78" s="1"/>
  <c r="BV88" i="2"/>
  <c r="G92" i="78" s="1"/>
  <c r="S92" i="78" s="1"/>
  <c r="BX88" i="2"/>
  <c r="I92" i="78" s="1"/>
  <c r="U92" i="78" s="1"/>
  <c r="BZ110" i="2"/>
  <c r="K116" i="78" s="1"/>
  <c r="W116" i="78" s="1"/>
  <c r="BV110" i="2"/>
  <c r="G116" i="78" s="1"/>
  <c r="S116" i="78" s="1"/>
  <c r="BX110" i="2"/>
  <c r="I116" i="78" s="1"/>
  <c r="U116" i="78" s="1"/>
  <c r="BU110" i="2"/>
  <c r="F116" i="78" s="1"/>
  <c r="R116" i="78" s="1"/>
  <c r="BW110" i="2"/>
  <c r="H116" i="78" s="1"/>
  <c r="T116" i="78" s="1"/>
  <c r="BY110" i="2"/>
  <c r="J116" i="78" s="1"/>
  <c r="V116" i="78" s="1"/>
  <c r="BY132" i="2"/>
  <c r="J140" i="78" s="1"/>
  <c r="V140" i="78" s="1"/>
  <c r="BZ132" i="2"/>
  <c r="K140" i="78" s="1"/>
  <c r="W140" i="78" s="1"/>
  <c r="BV132" i="2"/>
  <c r="G140" i="78" s="1"/>
  <c r="S140" i="78" s="1"/>
  <c r="BX132" i="2"/>
  <c r="I140" i="78" s="1"/>
  <c r="U140" i="78" s="1"/>
  <c r="BU132" i="2"/>
  <c r="F140" i="78" s="1"/>
  <c r="R140" i="78" s="1"/>
  <c r="BW132" i="2"/>
  <c r="H140" i="78" s="1"/>
  <c r="T140" i="78" s="1"/>
  <c r="BV154" i="2"/>
  <c r="G164" i="78" s="1"/>
  <c r="S164" i="78" s="1"/>
  <c r="BX154" i="2"/>
  <c r="I164" i="78" s="1"/>
  <c r="U164" i="78" s="1"/>
  <c r="BU154" i="2"/>
  <c r="F164" i="78" s="1"/>
  <c r="R164" i="78" s="1"/>
  <c r="BW154" i="2"/>
  <c r="H164" i="78" s="1"/>
  <c r="T164" i="78" s="1"/>
  <c r="BY154" i="2"/>
  <c r="J164" i="78" s="1"/>
  <c r="V164" i="78" s="1"/>
  <c r="BZ154" i="2"/>
  <c r="K164" i="78" s="1"/>
  <c r="W164" i="78" s="1"/>
  <c r="BV67" i="2"/>
  <c r="G69" i="78" s="1"/>
  <c r="S69" i="78" s="1"/>
  <c r="BU67" i="2"/>
  <c r="F69" i="78" s="1"/>
  <c r="R69" i="78" s="1"/>
  <c r="BZ67" i="2"/>
  <c r="K69" i="78" s="1"/>
  <c r="W69" i="78" s="1"/>
  <c r="BY67" i="2"/>
  <c r="J69" i="78" s="1"/>
  <c r="V69" i="78" s="1"/>
  <c r="BW67" i="2"/>
  <c r="H69" i="78" s="1"/>
  <c r="T69" i="78" s="1"/>
  <c r="BX67" i="2"/>
  <c r="I69" i="78" s="1"/>
  <c r="U69" i="78" s="1"/>
  <c r="BV89" i="2"/>
  <c r="G93" i="78" s="1"/>
  <c r="S93" i="78" s="1"/>
  <c r="BU89" i="2"/>
  <c r="F93" i="78" s="1"/>
  <c r="R93" i="78" s="1"/>
  <c r="BZ89" i="2"/>
  <c r="K93" i="78" s="1"/>
  <c r="W93" i="78" s="1"/>
  <c r="BY89" i="2"/>
  <c r="J93" i="78" s="1"/>
  <c r="V93" i="78" s="1"/>
  <c r="BW89" i="2"/>
  <c r="H93" i="78" s="1"/>
  <c r="T93" i="78" s="1"/>
  <c r="BX89" i="2"/>
  <c r="I93" i="78" s="1"/>
  <c r="U93" i="78" s="1"/>
  <c r="BV111" i="2"/>
  <c r="G117" i="78" s="1"/>
  <c r="S117" i="78" s="1"/>
  <c r="BZ111" i="2"/>
  <c r="K117" i="78" s="1"/>
  <c r="W117" i="78" s="1"/>
  <c r="BU111" i="2"/>
  <c r="F117" i="78" s="1"/>
  <c r="R117" i="78" s="1"/>
  <c r="BY111" i="2"/>
  <c r="J117" i="78" s="1"/>
  <c r="V117" i="78" s="1"/>
  <c r="BW111" i="2"/>
  <c r="H117" i="78" s="1"/>
  <c r="T117" i="78" s="1"/>
  <c r="BX111" i="2"/>
  <c r="I117" i="78" s="1"/>
  <c r="U117" i="78" s="1"/>
  <c r="BV133" i="2"/>
  <c r="G141" i="78" s="1"/>
  <c r="S141" i="78" s="1"/>
  <c r="BX133" i="2"/>
  <c r="I141" i="78" s="1"/>
  <c r="U141" i="78" s="1"/>
  <c r="BU133" i="2"/>
  <c r="F141" i="78" s="1"/>
  <c r="R141" i="78" s="1"/>
  <c r="BZ133" i="2"/>
  <c r="K141" i="78" s="1"/>
  <c r="W141" i="78" s="1"/>
  <c r="BY133" i="2"/>
  <c r="J141" i="78" s="1"/>
  <c r="V141" i="78" s="1"/>
  <c r="BW133" i="2"/>
  <c r="H141" i="78" s="1"/>
  <c r="T141" i="78" s="1"/>
  <c r="BY155" i="2"/>
  <c r="J165" i="78" s="1"/>
  <c r="V165" i="78" s="1"/>
  <c r="BW155" i="2"/>
  <c r="H165" i="78" s="1"/>
  <c r="T165" i="78" s="1"/>
  <c r="BX155" i="2"/>
  <c r="I165" i="78" s="1"/>
  <c r="U165" i="78" s="1"/>
  <c r="BV155" i="2"/>
  <c r="G165" i="78" s="1"/>
  <c r="S165" i="78" s="1"/>
  <c r="BU155" i="2"/>
  <c r="F165" i="78" s="1"/>
  <c r="R165" i="78" s="1"/>
  <c r="BZ155" i="2"/>
  <c r="K165" i="78" s="1"/>
  <c r="W165" i="78" s="1"/>
  <c r="J80" i="79"/>
  <c r="V80" i="79" s="1"/>
  <c r="K80" i="79"/>
  <c r="W80" i="79" s="1"/>
  <c r="H80" i="79"/>
  <c r="T80" i="79" s="1"/>
  <c r="I80" i="79"/>
  <c r="U80" i="79" s="1"/>
  <c r="G80" i="79"/>
  <c r="S80" i="79" s="1"/>
  <c r="J140" i="79"/>
  <c r="V140" i="79" s="1"/>
  <c r="K140" i="79"/>
  <c r="W140" i="79" s="1"/>
  <c r="I140" i="79"/>
  <c r="U140" i="79" s="1"/>
  <c r="F140" i="79"/>
  <c r="R140" i="79" s="1"/>
  <c r="AK78" i="2"/>
  <c r="I81" i="79" s="1"/>
  <c r="U81" i="79" s="1"/>
  <c r="AM78" i="2"/>
  <c r="K81" i="79" s="1"/>
  <c r="W81" i="79" s="1"/>
  <c r="AL78" i="2"/>
  <c r="J81" i="79" s="1"/>
  <c r="V81" i="79" s="1"/>
  <c r="AX78" i="2"/>
  <c r="AZ78" i="2"/>
  <c r="AH78" i="2"/>
  <c r="F81" i="79" s="1"/>
  <c r="R81" i="79" s="1"/>
  <c r="AI78" i="2"/>
  <c r="G81" i="79" s="1"/>
  <c r="S81" i="79" s="1"/>
  <c r="AY78" i="2"/>
  <c r="AV78" i="2"/>
  <c r="AW78" i="2"/>
  <c r="AJ78" i="2"/>
  <c r="H81" i="79" s="1"/>
  <c r="T81" i="79" s="1"/>
  <c r="AU78" i="2"/>
  <c r="AW133" i="2"/>
  <c r="AV133" i="2"/>
  <c r="AX133" i="2"/>
  <c r="AM133" i="2"/>
  <c r="K141" i="79" s="1"/>
  <c r="W141" i="79" s="1"/>
  <c r="AI133" i="2"/>
  <c r="G141" i="79" s="1"/>
  <c r="S141" i="79" s="1"/>
  <c r="AH133" i="2"/>
  <c r="F141" i="79" s="1"/>
  <c r="R141" i="79" s="1"/>
  <c r="AL133" i="2"/>
  <c r="J141" i="79" s="1"/>
  <c r="V141" i="79" s="1"/>
  <c r="AY133" i="2"/>
  <c r="AU133" i="2"/>
  <c r="AZ133" i="2"/>
  <c r="AJ133" i="2"/>
  <c r="H141" i="79" s="1"/>
  <c r="T141" i="79" s="1"/>
  <c r="AK133" i="2"/>
  <c r="I141" i="79" s="1"/>
  <c r="U141" i="79" s="1"/>
  <c r="K164" i="79"/>
  <c r="W164" i="79" s="1"/>
  <c r="J164" i="79"/>
  <c r="V164" i="79" s="1"/>
  <c r="AM155" i="2"/>
  <c r="K165" i="79" s="1"/>
  <c r="W165" i="79" s="1"/>
  <c r="AW155" i="2"/>
  <c r="AL155" i="2"/>
  <c r="J165" i="79" s="1"/>
  <c r="V165" i="79" s="1"/>
  <c r="AJ155" i="2"/>
  <c r="H165" i="79" s="1"/>
  <c r="T165" i="79" s="1"/>
  <c r="AZ155" i="2"/>
  <c r="AK155" i="2"/>
  <c r="I165" i="79" s="1"/>
  <c r="U165" i="79" s="1"/>
  <c r="AX155" i="2"/>
  <c r="AU155" i="2"/>
  <c r="AV155" i="2"/>
  <c r="AH155" i="2"/>
  <c r="F165" i="79" s="1"/>
  <c r="R165" i="79" s="1"/>
  <c r="AI155" i="2"/>
  <c r="G165" i="79" s="1"/>
  <c r="S165" i="79" s="1"/>
  <c r="AY155" i="2"/>
  <c r="J116" i="79"/>
  <c r="V116" i="79" s="1"/>
  <c r="I116" i="79"/>
  <c r="U116" i="79" s="1"/>
  <c r="H116" i="79"/>
  <c r="T116" i="79" s="1"/>
  <c r="H68" i="79"/>
  <c r="T68" i="79" s="1"/>
  <c r="J68" i="79"/>
  <c r="V68" i="79" s="1"/>
  <c r="I68" i="79"/>
  <c r="U68" i="79" s="1"/>
  <c r="G68" i="79"/>
  <c r="S68" i="79" s="1"/>
  <c r="I104" i="79"/>
  <c r="U104" i="79" s="1"/>
  <c r="G104" i="79"/>
  <c r="S104" i="79" s="1"/>
  <c r="J104" i="79"/>
  <c r="V104" i="79" s="1"/>
  <c r="F104" i="79"/>
  <c r="R104" i="79" s="1"/>
  <c r="H104" i="79"/>
  <c r="T104" i="79" s="1"/>
  <c r="K104" i="79"/>
  <c r="W104" i="79" s="1"/>
  <c r="AX111" i="2"/>
  <c r="AI111" i="2"/>
  <c r="G117" i="79" s="1"/>
  <c r="S117" i="79" s="1"/>
  <c r="AL111" i="2"/>
  <c r="J117" i="79" s="1"/>
  <c r="V117" i="79" s="1"/>
  <c r="AH111" i="2"/>
  <c r="F117" i="79" s="1"/>
  <c r="R117" i="79" s="1"/>
  <c r="AY111" i="2"/>
  <c r="AM111" i="2"/>
  <c r="K117" i="79" s="1"/>
  <c r="W117" i="79" s="1"/>
  <c r="AJ111" i="2"/>
  <c r="H117" i="79" s="1"/>
  <c r="T117" i="79" s="1"/>
  <c r="AK111" i="2"/>
  <c r="I117" i="79" s="1"/>
  <c r="U117" i="79" s="1"/>
  <c r="AW111" i="2"/>
  <c r="AV111" i="2"/>
  <c r="AZ111" i="2"/>
  <c r="AU111" i="2"/>
  <c r="AY67" i="2"/>
  <c r="AL67" i="2"/>
  <c r="J69" i="79" s="1"/>
  <c r="V69" i="79" s="1"/>
  <c r="AV67" i="2"/>
  <c r="AU67" i="2"/>
  <c r="AX67" i="2"/>
  <c r="AJ67" i="2"/>
  <c r="H69" i="79" s="1"/>
  <c r="T69" i="79" s="1"/>
  <c r="AK67" i="2"/>
  <c r="I69" i="79" s="1"/>
  <c r="U69" i="79" s="1"/>
  <c r="AW67" i="2"/>
  <c r="AH67" i="2"/>
  <c r="F69" i="79" s="1"/>
  <c r="R69" i="79" s="1"/>
  <c r="AZ67" i="2"/>
  <c r="AI67" i="2"/>
  <c r="G69" i="79" s="1"/>
  <c r="S69" i="79" s="1"/>
  <c r="AM67" i="2"/>
  <c r="K69" i="79" s="1"/>
  <c r="W69" i="79" s="1"/>
  <c r="H92" i="79"/>
  <c r="T92" i="79" s="1"/>
  <c r="G92" i="79"/>
  <c r="S92" i="79" s="1"/>
  <c r="AJ100" i="2"/>
  <c r="H105" i="79" s="1"/>
  <c r="T105" i="79" s="1"/>
  <c r="AW100" i="2"/>
  <c r="AI100" i="2"/>
  <c r="G105" i="79" s="1"/>
  <c r="S105" i="79" s="1"/>
  <c r="AM100" i="2"/>
  <c r="K105" i="79" s="1"/>
  <c r="W105" i="79" s="1"/>
  <c r="AK100" i="2"/>
  <c r="I105" i="79" s="1"/>
  <c r="U105" i="79" s="1"/>
  <c r="AU100" i="2"/>
  <c r="AL100" i="2"/>
  <c r="J105" i="79" s="1"/>
  <c r="V105" i="79" s="1"/>
  <c r="AV100" i="2"/>
  <c r="AH100" i="2"/>
  <c r="F105" i="79" s="1"/>
  <c r="R105" i="79" s="1"/>
  <c r="AZ100" i="2"/>
  <c r="AX100" i="2"/>
  <c r="AY100" i="2"/>
  <c r="F151" i="79"/>
  <c r="R151" i="79" s="1"/>
  <c r="I152" i="79"/>
  <c r="U152" i="79" s="1"/>
  <c r="J152" i="79"/>
  <c r="V152" i="79" s="1"/>
  <c r="F152" i="79"/>
  <c r="R152" i="79" s="1"/>
  <c r="K152" i="79"/>
  <c r="W152" i="79" s="1"/>
  <c r="AH89" i="2"/>
  <c r="F93" i="79" s="1"/>
  <c r="R93" i="79" s="1"/>
  <c r="AI89" i="2"/>
  <c r="G93" i="79" s="1"/>
  <c r="S93" i="79" s="1"/>
  <c r="AJ89" i="2"/>
  <c r="H93" i="79" s="1"/>
  <c r="T93" i="79" s="1"/>
  <c r="AL89" i="2"/>
  <c r="J93" i="79" s="1"/>
  <c r="V93" i="79" s="1"/>
  <c r="AZ89" i="2"/>
  <c r="AX89" i="2"/>
  <c r="AV89" i="2"/>
  <c r="AU89" i="2"/>
  <c r="AK89" i="2"/>
  <c r="I93" i="79" s="1"/>
  <c r="U93" i="79" s="1"/>
  <c r="AY89" i="2"/>
  <c r="AW89" i="2"/>
  <c r="AM89" i="2"/>
  <c r="K93" i="79" s="1"/>
  <c r="W93" i="79" s="1"/>
  <c r="AY122" i="2"/>
  <c r="AV122" i="2"/>
  <c r="AI122" i="2"/>
  <c r="G129" i="79" s="1"/>
  <c r="S129" i="79" s="1"/>
  <c r="AJ122" i="2"/>
  <c r="H129" i="79" s="1"/>
  <c r="T129" i="79" s="1"/>
  <c r="AK122" i="2"/>
  <c r="I129" i="79" s="1"/>
  <c r="U129" i="79" s="1"/>
  <c r="AW122" i="2"/>
  <c r="AM122" i="2"/>
  <c r="K129" i="79" s="1"/>
  <c r="W129" i="79" s="1"/>
  <c r="AL122" i="2"/>
  <c r="J129" i="79" s="1"/>
  <c r="V129" i="79" s="1"/>
  <c r="AU122" i="2"/>
  <c r="AX122" i="2"/>
  <c r="AZ122" i="2"/>
  <c r="AH122" i="2"/>
  <c r="F129" i="79" s="1"/>
  <c r="R129" i="79" s="1"/>
  <c r="AV144" i="2"/>
  <c r="AK144" i="2"/>
  <c r="I153" i="79" s="1"/>
  <c r="U153" i="79" s="1"/>
  <c r="AH144" i="2"/>
  <c r="F153" i="79" s="1"/>
  <c r="R153" i="79" s="1"/>
  <c r="AW144" i="2"/>
  <c r="AM144" i="2"/>
  <c r="K153" i="79" s="1"/>
  <c r="W153" i="79" s="1"/>
  <c r="AZ144" i="2"/>
  <c r="AI144" i="2"/>
  <c r="G153" i="79" s="1"/>
  <c r="S153" i="79" s="1"/>
  <c r="AX144" i="2"/>
  <c r="AY144" i="2"/>
  <c r="AU144" i="2"/>
  <c r="AJ144" i="2"/>
  <c r="H153" i="79" s="1"/>
  <c r="T153" i="79" s="1"/>
  <c r="AL144" i="2"/>
  <c r="J153" i="79" s="1"/>
  <c r="V153" i="79" s="1"/>
  <c r="G128" i="79"/>
  <c r="S128" i="79" s="1"/>
  <c r="H128" i="79"/>
  <c r="T128" i="79" s="1"/>
  <c r="J128" i="79"/>
  <c r="V128" i="79" s="1"/>
  <c r="I128" i="79"/>
  <c r="U128" i="79" s="1"/>
  <c r="AJ26" i="2"/>
  <c r="AW26" i="2"/>
  <c r="AK70" i="2"/>
  <c r="AX70" i="2"/>
  <c r="AW92" i="2"/>
  <c r="AJ92" i="2"/>
  <c r="AV26" i="2"/>
  <c r="AI26" i="2"/>
  <c r="AW70" i="2"/>
  <c r="AJ70" i="2"/>
  <c r="AI92" i="2"/>
  <c r="AV92" i="2"/>
  <c r="AI70" i="2"/>
  <c r="AV70" i="2"/>
  <c r="AZ15" i="2"/>
  <c r="AM114" i="2"/>
  <c r="AZ114" i="2"/>
  <c r="AY15" i="2"/>
  <c r="AZ37" i="2"/>
  <c r="AM37" i="2"/>
  <c r="AL114" i="2"/>
  <c r="AY114" i="2"/>
  <c r="AX15" i="2"/>
  <c r="AL37" i="2"/>
  <c r="AY37" i="2"/>
  <c r="AK114" i="2"/>
  <c r="AX114" i="2"/>
  <c r="AW15" i="2"/>
  <c r="AX37" i="2"/>
  <c r="AK37" i="2"/>
  <c r="AW114" i="2"/>
  <c r="AJ114" i="2"/>
  <c r="AV15" i="2"/>
  <c r="AW37" i="2"/>
  <c r="AJ37" i="2"/>
  <c r="AI114" i="2"/>
  <c r="AV114" i="2"/>
  <c r="AI37" i="2"/>
  <c r="AV37" i="2"/>
  <c r="AZ81" i="2"/>
  <c r="AM81" i="2"/>
  <c r="AL81" i="2"/>
  <c r="AY81" i="2"/>
  <c r="AX81" i="2"/>
  <c r="AK81" i="2"/>
  <c r="AW81" i="2"/>
  <c r="AJ81" i="2"/>
  <c r="AI81" i="2"/>
  <c r="AV81" i="2"/>
  <c r="AZ158" i="2"/>
  <c r="AM158" i="2"/>
  <c r="AL158" i="2"/>
  <c r="AY158" i="2"/>
  <c r="AZ26" i="2"/>
  <c r="AM26" i="2"/>
  <c r="AZ92" i="2"/>
  <c r="AM92" i="2"/>
  <c r="AX158" i="2"/>
  <c r="AK158" i="2"/>
  <c r="AY26" i="2"/>
  <c r="AL26" i="2"/>
  <c r="AM70" i="2"/>
  <c r="AZ70" i="2"/>
  <c r="AY92" i="2"/>
  <c r="AL92" i="2"/>
  <c r="AW158" i="2"/>
  <c r="AJ158" i="2"/>
  <c r="AK26" i="2"/>
  <c r="AX26" i="2"/>
  <c r="AL70" i="2"/>
  <c r="AY70" i="2"/>
  <c r="AX92" i="2"/>
  <c r="AK92" i="2"/>
  <c r="AV158" i="2"/>
  <c r="AI158" i="2"/>
  <c r="BN55" i="2"/>
  <c r="BQ58" i="2"/>
  <c r="BK25" i="2"/>
  <c r="BJ157" i="2"/>
  <c r="BJ91" i="2"/>
  <c r="BI69" i="2"/>
  <c r="BS47" i="2"/>
  <c r="CF47" i="2" s="1"/>
  <c r="BZ47" i="2" s="1"/>
  <c r="K48" i="78" s="1"/>
  <c r="BM14" i="2"/>
  <c r="BR47" i="2"/>
  <c r="CE47" i="2" s="1"/>
  <c r="BY47" i="2" s="1"/>
  <c r="J48" i="78" s="1"/>
  <c r="BL14" i="2"/>
  <c r="BS102" i="2"/>
  <c r="CF102" i="2" s="1"/>
  <c r="BZ102" i="2" s="1"/>
  <c r="K108" i="78" s="1"/>
  <c r="BM36" i="2"/>
  <c r="BK14" i="2"/>
  <c r="BR102" i="2"/>
  <c r="CE102" i="2" s="1"/>
  <c r="BY102" i="2" s="1"/>
  <c r="J108" i="78" s="1"/>
  <c r="BL36" i="2"/>
  <c r="BP47" i="2"/>
  <c r="BJ14" i="2"/>
  <c r="BQ102" i="2"/>
  <c r="BK36" i="2"/>
  <c r="BO47" i="2"/>
  <c r="BI14" i="2"/>
  <c r="BP102" i="2"/>
  <c r="BJ36" i="2"/>
  <c r="BL80" i="2"/>
  <c r="BJ80" i="2"/>
  <c r="BO102" i="2"/>
  <c r="BI36" i="2"/>
  <c r="BM80" i="2"/>
  <c r="BK80" i="2"/>
  <c r="BI80" i="2"/>
  <c r="BK91" i="2"/>
  <c r="BP58" i="2"/>
  <c r="BJ25" i="2"/>
  <c r="BI157" i="2"/>
  <c r="BO58" i="2"/>
  <c r="BI25" i="2"/>
  <c r="BI91" i="2"/>
  <c r="BL69" i="2"/>
  <c r="BK69" i="2"/>
  <c r="BJ69" i="2"/>
  <c r="BS124" i="2"/>
  <c r="CF124" i="2" s="1"/>
  <c r="BZ124" i="2" s="1"/>
  <c r="K132" i="78" s="1"/>
  <c r="BM113" i="2"/>
  <c r="BR124" i="2"/>
  <c r="CE124" i="2" s="1"/>
  <c r="BY124" i="2" s="1"/>
  <c r="J132" i="78" s="1"/>
  <c r="BL113" i="2"/>
  <c r="BQ124" i="2"/>
  <c r="BK113" i="2"/>
  <c r="BP124" i="2"/>
  <c r="BJ113" i="2"/>
  <c r="BO124" i="2"/>
  <c r="BI113" i="2"/>
  <c r="BM157" i="2"/>
  <c r="BS58" i="2"/>
  <c r="CF58" i="2" s="1"/>
  <c r="BZ58" i="2" s="1"/>
  <c r="K60" i="78" s="1"/>
  <c r="BM25" i="2"/>
  <c r="BM91" i="2"/>
  <c r="BL157" i="2"/>
  <c r="BR58" i="2"/>
  <c r="CE58" i="2" s="1"/>
  <c r="BY58" i="2" s="1"/>
  <c r="J60" i="78" s="1"/>
  <c r="BL25" i="2"/>
  <c r="BM69" i="2"/>
  <c r="BL91" i="2"/>
  <c r="BK157" i="2"/>
  <c r="W11" i="45"/>
  <c r="BE16" i="46"/>
  <c r="BD16" i="46"/>
  <c r="C180" i="45" s="1"/>
  <c r="D180" i="45" s="1"/>
  <c r="E180" i="45" s="1"/>
  <c r="F180" i="45" s="1"/>
  <c r="G180" i="45" s="1"/>
  <c r="H180" i="45" s="1"/>
  <c r="I180" i="45" s="1"/>
  <c r="J180" i="45" s="1"/>
  <c r="K180" i="45" s="1"/>
  <c r="L180" i="45" s="1"/>
  <c r="M180" i="45" s="1"/>
  <c r="N180" i="45" s="1"/>
  <c r="O180" i="45" s="1"/>
  <c r="P180" i="45" s="1"/>
  <c r="Q180" i="45" s="1"/>
  <c r="R180" i="45" s="1"/>
  <c r="S180" i="45" s="1"/>
  <c r="T180" i="45" s="1"/>
  <c r="U180" i="45" s="1"/>
  <c r="V180" i="45" s="1"/>
  <c r="W180" i="45" s="1"/>
  <c r="X180" i="45" s="1"/>
  <c r="Y180" i="45" s="1"/>
  <c r="Z180" i="45" s="1"/>
  <c r="AA180" i="45" s="1"/>
  <c r="AB180" i="45" s="1"/>
  <c r="AC180" i="45" s="1"/>
  <c r="AD180" i="45" s="1"/>
  <c r="AE180" i="45" s="1"/>
  <c r="AF180" i="45" s="1"/>
  <c r="AG180" i="45" s="1"/>
  <c r="BE17" i="46"/>
  <c r="BD17" i="46"/>
  <c r="C181" i="45" s="1"/>
  <c r="D181" i="45" s="1"/>
  <c r="E181" i="45" s="1"/>
  <c r="F181" i="45" s="1"/>
  <c r="G181" i="45" s="1"/>
  <c r="H181" i="45" s="1"/>
  <c r="I181" i="45" s="1"/>
  <c r="J181" i="45" s="1"/>
  <c r="K181" i="45" s="1"/>
  <c r="L181" i="45" s="1"/>
  <c r="M181" i="45" s="1"/>
  <c r="N181" i="45" s="1"/>
  <c r="O181" i="45" s="1"/>
  <c r="P181" i="45" s="1"/>
  <c r="Q181" i="45" s="1"/>
  <c r="R181" i="45" s="1"/>
  <c r="S181" i="45" s="1"/>
  <c r="T181" i="45" s="1"/>
  <c r="U181" i="45" s="1"/>
  <c r="V181" i="45" s="1"/>
  <c r="W181" i="45" s="1"/>
  <c r="X181" i="45" s="1"/>
  <c r="Y181" i="45" s="1"/>
  <c r="Z181" i="45" s="1"/>
  <c r="AA181" i="45" s="1"/>
  <c r="AB181" i="45" s="1"/>
  <c r="AC181" i="45" s="1"/>
  <c r="AD181" i="45" s="1"/>
  <c r="AE181" i="45" s="1"/>
  <c r="AF181" i="45" s="1"/>
  <c r="AG181" i="45" s="1"/>
  <c r="BE18" i="46"/>
  <c r="BD18" i="46"/>
  <c r="C182" i="45" s="1"/>
  <c r="D182" i="45" s="1"/>
  <c r="E182" i="45" s="1"/>
  <c r="F182" i="45" s="1"/>
  <c r="G182" i="45" s="1"/>
  <c r="H182" i="45" s="1"/>
  <c r="I182" i="45" s="1"/>
  <c r="J182" i="45" s="1"/>
  <c r="K182" i="45" s="1"/>
  <c r="L182" i="45" s="1"/>
  <c r="M182" i="45" s="1"/>
  <c r="N182" i="45" s="1"/>
  <c r="O182" i="45" s="1"/>
  <c r="P182" i="45" s="1"/>
  <c r="Q182" i="45" s="1"/>
  <c r="R182" i="45" s="1"/>
  <c r="S182" i="45" s="1"/>
  <c r="T182" i="45" s="1"/>
  <c r="U182" i="45" s="1"/>
  <c r="V182" i="45" s="1"/>
  <c r="W182" i="45" s="1"/>
  <c r="X182" i="45" s="1"/>
  <c r="Y182" i="45" s="1"/>
  <c r="Z182" i="45" s="1"/>
  <c r="AA182" i="45" s="1"/>
  <c r="AB182" i="45" s="1"/>
  <c r="AC182" i="45" s="1"/>
  <c r="AD182" i="45" s="1"/>
  <c r="AE182" i="45" s="1"/>
  <c r="AF182" i="45" s="1"/>
  <c r="AG182" i="45" s="1"/>
  <c r="C48" i="65"/>
  <c r="C50" i="65" s="1"/>
  <c r="C48" i="66"/>
  <c r="C50" i="66" s="1"/>
  <c r="C48" i="67"/>
  <c r="C50" i="67" s="1"/>
  <c r="AL6" i="46"/>
  <c r="AI6" i="46"/>
  <c r="AO6" i="46"/>
  <c r="AD16" i="46"/>
  <c r="AM16" i="46"/>
  <c r="AJ16" i="46"/>
  <c r="AP16" i="46"/>
  <c r="AM10" i="46"/>
  <c r="AP10" i="46"/>
  <c r="AJ10" i="46"/>
  <c r="AL7" i="46"/>
  <c r="AO7" i="46"/>
  <c r="AI7" i="46"/>
  <c r="AO15" i="46"/>
  <c r="AL15" i="46"/>
  <c r="AI15" i="46"/>
  <c r="AP18" i="46"/>
  <c r="AM18" i="46"/>
  <c r="AJ18" i="46"/>
  <c r="AJ15" i="46"/>
  <c r="AM15" i="46"/>
  <c r="AP15" i="46"/>
  <c r="AM9" i="46"/>
  <c r="AP9" i="46"/>
  <c r="AJ9" i="46"/>
  <c r="AM6" i="46"/>
  <c r="AP6" i="46"/>
  <c r="AJ6" i="46"/>
  <c r="AM13" i="46"/>
  <c r="AJ13" i="46"/>
  <c r="AP13" i="46"/>
  <c r="AI16" i="46"/>
  <c r="AL16" i="46"/>
  <c r="AO16" i="46"/>
  <c r="AL10" i="46"/>
  <c r="AO10" i="46"/>
  <c r="AI10" i="46"/>
  <c r="AI18" i="46"/>
  <c r="AO18" i="46"/>
  <c r="AL18" i="46"/>
  <c r="AI9" i="46"/>
  <c r="AO9" i="46"/>
  <c r="AL9" i="46"/>
  <c r="AJ7" i="46"/>
  <c r="AP7" i="46"/>
  <c r="AM7" i="46"/>
  <c r="AJ17" i="46"/>
  <c r="AP17" i="46"/>
  <c r="AM17" i="46"/>
  <c r="AP14" i="46"/>
  <c r="AM14" i="46"/>
  <c r="AJ14" i="46"/>
  <c r="AM8" i="46"/>
  <c r="AP8" i="46"/>
  <c r="AJ8" i="46"/>
  <c r="AP5" i="46"/>
  <c r="AJ5" i="46"/>
  <c r="AM5" i="46"/>
  <c r="AF13" i="46"/>
  <c r="AL13" i="46"/>
  <c r="AI13" i="46"/>
  <c r="AO13" i="46"/>
  <c r="AI17" i="46"/>
  <c r="AL17" i="46"/>
  <c r="AO17" i="46"/>
  <c r="AI14" i="46"/>
  <c r="AO14" i="46"/>
  <c r="AL14" i="46"/>
  <c r="AL8" i="46"/>
  <c r="AO8" i="46"/>
  <c r="AI8" i="46"/>
  <c r="AL5" i="46"/>
  <c r="AI5" i="46"/>
  <c r="AO5" i="46"/>
  <c r="BQ132" i="2"/>
  <c r="CK121" i="2"/>
  <c r="CH121" i="2" s="1"/>
  <c r="BS55" i="2"/>
  <c r="CM44" i="2"/>
  <c r="BR77" i="2"/>
  <c r="CL66" i="2"/>
  <c r="N3" i="23"/>
  <c r="C61" i="65"/>
  <c r="C61" i="67"/>
  <c r="C61" i="66"/>
  <c r="P8" i="23"/>
  <c r="M8" i="23"/>
  <c r="AD13" i="46"/>
  <c r="AG11" i="46"/>
  <c r="AP11" i="46"/>
  <c r="N8" i="23"/>
  <c r="AC13" i="46"/>
  <c r="AF11" i="46"/>
  <c r="AL11" i="46"/>
  <c r="AO11" i="46"/>
  <c r="AF8" i="46"/>
  <c r="AC5" i="46"/>
  <c r="BQ47" i="2"/>
  <c r="AD18" i="46"/>
  <c r="AF18" i="46"/>
  <c r="AD15" i="46"/>
  <c r="N7" i="23"/>
  <c r="AC15" i="46"/>
  <c r="AD10" i="46"/>
  <c r="AD7" i="46"/>
  <c r="AD12" i="46"/>
  <c r="AP12" i="46"/>
  <c r="AC7" i="46"/>
  <c r="BQ46" i="2"/>
  <c r="CD46" i="2" s="1"/>
  <c r="M4" i="23"/>
  <c r="AD17" i="46"/>
  <c r="AC12" i="46"/>
  <c r="AL12" i="46"/>
  <c r="AO12" i="46"/>
  <c r="N2" i="23"/>
  <c r="N4" i="23"/>
  <c r="AF17" i="46"/>
  <c r="AG14" i="46"/>
  <c r="AD9" i="46"/>
  <c r="AG6" i="46"/>
  <c r="P3" i="23"/>
  <c r="M2" i="23"/>
  <c r="P2" i="23"/>
  <c r="P4" i="23"/>
  <c r="M3" i="23"/>
  <c r="P7" i="23"/>
  <c r="M10" i="23"/>
  <c r="N10" i="23"/>
  <c r="AM12" i="46"/>
  <c r="AG5" i="46"/>
  <c r="P10" i="23"/>
  <c r="AF5" i="46"/>
  <c r="M7" i="23"/>
  <c r="AC8" i="46"/>
  <c r="AF10" i="46"/>
  <c r="AC16" i="46"/>
  <c r="AC10" i="46"/>
  <c r="BM17" i="46"/>
  <c r="C165" i="45" s="1"/>
  <c r="C56" i="66" s="1"/>
  <c r="C69" i="66" s="1"/>
  <c r="AF6" i="46"/>
  <c r="AC18" i="46"/>
  <c r="AF14" i="46"/>
  <c r="AC6" i="46"/>
  <c r="AM11" i="46"/>
  <c r="AD14" i="46"/>
  <c r="AG18" i="46"/>
  <c r="AG16" i="46"/>
  <c r="AF16" i="46"/>
  <c r="AD5" i="46"/>
  <c r="AC14" i="46"/>
  <c r="AG10" i="46"/>
  <c r="AG8" i="46"/>
  <c r="AG13" i="46"/>
  <c r="BM18" i="46"/>
  <c r="C166" i="45" s="1"/>
  <c r="C56" i="67" s="1"/>
  <c r="C69" i="67" s="1"/>
  <c r="AD8" i="46"/>
  <c r="AD6" i="46"/>
  <c r="BM16" i="46"/>
  <c r="C164" i="45" s="1"/>
  <c r="BE5" i="46"/>
  <c r="BM5" i="46" s="1"/>
  <c r="C153" i="45" s="1"/>
  <c r="BE6" i="46"/>
  <c r="BM6" i="46" s="1"/>
  <c r="C154" i="45" s="1"/>
  <c r="D49" i="74" s="1"/>
  <c r="BE7" i="46"/>
  <c r="BM7" i="46" s="1"/>
  <c r="C155" i="45" s="1"/>
  <c r="BE8" i="46"/>
  <c r="BM8" i="46" s="1"/>
  <c r="C156" i="45" s="1"/>
  <c r="BE9" i="46"/>
  <c r="BM9" i="46" s="1"/>
  <c r="C157" i="45" s="1"/>
  <c r="BE10" i="46"/>
  <c r="BM10" i="46" s="1"/>
  <c r="C158" i="45" s="1"/>
  <c r="BE11" i="46"/>
  <c r="BM11" i="46" s="1"/>
  <c r="C159" i="45" s="1"/>
  <c r="BE12" i="46"/>
  <c r="BM12" i="46" s="1"/>
  <c r="C160" i="45" s="1"/>
  <c r="BE13" i="46"/>
  <c r="BM13" i="46" s="1"/>
  <c r="C161" i="45" s="1"/>
  <c r="BE14" i="46"/>
  <c r="BM14" i="46" s="1"/>
  <c r="C162" i="45" s="1"/>
  <c r="BE15" i="46"/>
  <c r="BM15" i="46" s="1"/>
  <c r="C163" i="45" s="1"/>
  <c r="C56" i="65" s="1"/>
  <c r="C69" i="65" s="1"/>
  <c r="L130" i="3"/>
  <c r="BR153" i="2"/>
  <c r="BR142" i="2"/>
  <c r="BP142" i="2"/>
  <c r="BO142" i="2"/>
  <c r="BH142" i="2"/>
  <c r="F151" i="3" s="1"/>
  <c r="R151" i="3" s="1"/>
  <c r="BR120" i="2"/>
  <c r="BP120" i="2"/>
  <c r="BO120" i="2"/>
  <c r="BH120" i="2"/>
  <c r="BM83" i="2"/>
  <c r="BL83" i="2"/>
  <c r="BK83" i="2"/>
  <c r="H152" i="4"/>
  <c r="Q152" i="4" s="1"/>
  <c r="F152" i="4"/>
  <c r="O152" i="4" s="1"/>
  <c r="G152" i="4"/>
  <c r="P152" i="4" s="1"/>
  <c r="G141" i="4"/>
  <c r="P141" i="4" s="1"/>
  <c r="F141" i="4"/>
  <c r="O141" i="4" s="1"/>
  <c r="F130" i="4"/>
  <c r="O130" i="4" s="1"/>
  <c r="H130" i="4"/>
  <c r="Q130" i="4" s="1"/>
  <c r="G130" i="4"/>
  <c r="P130" i="4" s="1"/>
  <c r="G119" i="4"/>
  <c r="P119" i="4" s="1"/>
  <c r="H108" i="4"/>
  <c r="Q108" i="4" s="1"/>
  <c r="G108" i="4"/>
  <c r="P108" i="4" s="1"/>
  <c r="H97" i="4"/>
  <c r="Q97" i="4" s="1"/>
  <c r="G97" i="4"/>
  <c r="P97" i="4" s="1"/>
  <c r="H86" i="4"/>
  <c r="Q86" i="4" s="1"/>
  <c r="G86" i="4"/>
  <c r="P86" i="4" s="1"/>
  <c r="F86" i="4"/>
  <c r="O86" i="4" s="1"/>
  <c r="H75" i="4"/>
  <c r="Q75" i="4" s="1"/>
  <c r="H64" i="4"/>
  <c r="Q64" i="4" s="1"/>
  <c r="G64" i="4"/>
  <c r="P64" i="4" s="1"/>
  <c r="F64" i="4"/>
  <c r="O64" i="4" s="1"/>
  <c r="C54" i="67"/>
  <c r="C60" i="67"/>
  <c r="C55" i="67"/>
  <c r="A194" i="67"/>
  <c r="A179" i="67"/>
  <c r="B170" i="67"/>
  <c r="A193" i="67"/>
  <c r="B169" i="67"/>
  <c r="A177" i="67"/>
  <c r="B168" i="67"/>
  <c r="A192" i="67"/>
  <c r="B165" i="67"/>
  <c r="C77" i="67"/>
  <c r="C72" i="67"/>
  <c r="C66" i="67"/>
  <c r="C74" i="67" s="1"/>
  <c r="H38" i="67"/>
  <c r="G38" i="67"/>
  <c r="E38" i="67"/>
  <c r="C38" i="67"/>
  <c r="F38" i="67"/>
  <c r="D38" i="67"/>
  <c r="A194" i="66"/>
  <c r="A179" i="66"/>
  <c r="B170" i="66"/>
  <c r="A193" i="66"/>
  <c r="B169" i="66"/>
  <c r="A177" i="66"/>
  <c r="B168" i="66"/>
  <c r="A192" i="66"/>
  <c r="B165" i="66"/>
  <c r="C72" i="66"/>
  <c r="C77" i="66"/>
  <c r="C66" i="66"/>
  <c r="C74" i="66" s="1"/>
  <c r="C60" i="66"/>
  <c r="C54" i="66"/>
  <c r="C55" i="66"/>
  <c r="H38" i="66"/>
  <c r="G38" i="66"/>
  <c r="F38" i="66"/>
  <c r="E38" i="66"/>
  <c r="D38" i="66"/>
  <c r="C38" i="66"/>
  <c r="A194" i="65"/>
  <c r="A179" i="65"/>
  <c r="B170" i="65"/>
  <c r="B168" i="65"/>
  <c r="A177" i="65"/>
  <c r="A193" i="65"/>
  <c r="B169" i="65"/>
  <c r="A192" i="65"/>
  <c r="B165" i="65"/>
  <c r="C77" i="65"/>
  <c r="C72" i="65"/>
  <c r="C66" i="65"/>
  <c r="C74" i="65" s="1"/>
  <c r="C36" i="65"/>
  <c r="E36" i="65"/>
  <c r="G36" i="65"/>
  <c r="C55" i="65"/>
  <c r="C54" i="65"/>
  <c r="C60" i="65"/>
  <c r="H36" i="65"/>
  <c r="F36" i="65"/>
  <c r="D36" i="65"/>
  <c r="BJ127" i="2"/>
  <c r="T3" i="14"/>
  <c r="BI6" i="2" s="1"/>
  <c r="BJ138" i="2"/>
  <c r="BJ116" i="2"/>
  <c r="BJ94" i="2"/>
  <c r="R17" i="14"/>
  <c r="AC17" i="46"/>
  <c r="AC9" i="46"/>
  <c r="AJ12" i="46"/>
  <c r="AI12" i="46"/>
  <c r="AG15" i="46"/>
  <c r="AG7" i="46"/>
  <c r="AF15" i="46"/>
  <c r="AG12" i="46"/>
  <c r="AJ11" i="46"/>
  <c r="AF7" i="46"/>
  <c r="AG17" i="46"/>
  <c r="AF12" i="46"/>
  <c r="AI11" i="46"/>
  <c r="AG9" i="46"/>
  <c r="AF9" i="46"/>
  <c r="BO153" i="2" l="1"/>
  <c r="BP153" i="2"/>
  <c r="BC153" i="2"/>
  <c r="AW153" i="2" s="1"/>
  <c r="H163" i="77" s="1"/>
  <c r="T163" i="77" s="1"/>
  <c r="BB153" i="2"/>
  <c r="AV153" i="2" s="1"/>
  <c r="G163" i="77" s="1"/>
  <c r="S163" i="77" s="1"/>
  <c r="BE153" i="2"/>
  <c r="AY153" i="2" s="1"/>
  <c r="CE153" i="2"/>
  <c r="BY153" i="2" s="1"/>
  <c r="J163" i="78" s="1"/>
  <c r="V163" i="78" s="1"/>
  <c r="CC153" i="2"/>
  <c r="BW153" i="2" s="1"/>
  <c r="H163" i="78" s="1"/>
  <c r="T163" i="78" s="1"/>
  <c r="CB153" i="2"/>
  <c r="BV153" i="2" s="1"/>
  <c r="G163" i="78" s="1"/>
  <c r="S163" i="78" s="1"/>
  <c r="BU153" i="2"/>
  <c r="F163" i="78" s="1"/>
  <c r="R163" i="78" s="1"/>
  <c r="AP153" i="2"/>
  <c r="AJ153" i="2" s="1"/>
  <c r="H163" i="79" s="1"/>
  <c r="T163" i="79" s="1"/>
  <c r="AO153" i="2"/>
  <c r="AI153" i="2" s="1"/>
  <c r="G163" i="79" s="1"/>
  <c r="S163" i="79" s="1"/>
  <c r="AR153" i="2"/>
  <c r="AL153" i="2" s="1"/>
  <c r="J163" i="79" s="1"/>
  <c r="V163" i="79" s="1"/>
  <c r="AO142" i="2"/>
  <c r="AI142" i="2" s="1"/>
  <c r="G151" i="79" s="1"/>
  <c r="S151" i="79" s="1"/>
  <c r="AR142" i="2"/>
  <c r="AL142" i="2" s="1"/>
  <c r="J151" i="79" s="1"/>
  <c r="V151" i="79" s="1"/>
  <c r="AP142" i="2"/>
  <c r="AJ142" i="2" s="1"/>
  <c r="H151" i="79" s="1"/>
  <c r="T151" i="79" s="1"/>
  <c r="BB142" i="2"/>
  <c r="AV142" i="2" s="1"/>
  <c r="BE142" i="2"/>
  <c r="AY142" i="2" s="1"/>
  <c r="BC142" i="2"/>
  <c r="AW142" i="2" s="1"/>
  <c r="CE142" i="2"/>
  <c r="BY142" i="2" s="1"/>
  <c r="J151" i="78" s="1"/>
  <c r="V151" i="78" s="1"/>
  <c r="CC142" i="2"/>
  <c r="BW142" i="2" s="1"/>
  <c r="H151" i="78" s="1"/>
  <c r="T151" i="78" s="1"/>
  <c r="CB142" i="2"/>
  <c r="BV142" i="2" s="1"/>
  <c r="G151" i="78" s="1"/>
  <c r="S151" i="78" s="1"/>
  <c r="AP120" i="2"/>
  <c r="AJ120" i="2" s="1"/>
  <c r="H127" i="79" s="1"/>
  <c r="T127" i="79" s="1"/>
  <c r="AO120" i="2"/>
  <c r="AI120" i="2" s="1"/>
  <c r="G127" i="79" s="1"/>
  <c r="S127" i="79" s="1"/>
  <c r="AR120" i="2"/>
  <c r="AL120" i="2" s="1"/>
  <c r="J127" i="79" s="1"/>
  <c r="V127" i="79" s="1"/>
  <c r="CB120" i="2"/>
  <c r="BV120" i="2" s="1"/>
  <c r="G127" i="78" s="1"/>
  <c r="S127" i="78" s="1"/>
  <c r="CC120" i="2"/>
  <c r="BW120" i="2" s="1"/>
  <c r="H127" i="78" s="1"/>
  <c r="T127" i="78" s="1"/>
  <c r="CE120" i="2"/>
  <c r="BY120" i="2" s="1"/>
  <c r="J127" i="78" s="1"/>
  <c r="V127" i="78" s="1"/>
  <c r="BB120" i="2"/>
  <c r="AV120" i="2" s="1"/>
  <c r="BE120" i="2"/>
  <c r="AY120" i="2" s="1"/>
  <c r="BC120" i="2"/>
  <c r="AW120" i="2" s="1"/>
  <c r="AH120" i="2"/>
  <c r="F127" i="79" s="1"/>
  <c r="R127" i="79" s="1"/>
  <c r="BK61" i="2"/>
  <c r="BL61" i="2"/>
  <c r="BP90" i="2"/>
  <c r="CC90" i="2" s="1"/>
  <c r="CC79" i="2"/>
  <c r="BP145" i="2"/>
  <c r="CC134" i="2"/>
  <c r="BP123" i="2"/>
  <c r="CC123" i="2" s="1"/>
  <c r="CC112" i="2"/>
  <c r="BQ90" i="2"/>
  <c r="CD90" i="2" s="1"/>
  <c r="CD79" i="2"/>
  <c r="BQ145" i="2"/>
  <c r="CD134" i="2"/>
  <c r="BQ123" i="2"/>
  <c r="CD123" i="2" s="1"/>
  <c r="CD112" i="2"/>
  <c r="BK39" i="2"/>
  <c r="BL39" i="2"/>
  <c r="Z15" i="45"/>
  <c r="Y18" i="45"/>
  <c r="Y7" i="45"/>
  <c r="AG18" i="82"/>
  <c r="AG23" i="82"/>
  <c r="AG4" i="82" s="1"/>
  <c r="AF25" i="82"/>
  <c r="AF29" i="82"/>
  <c r="AF6" i="82" s="1"/>
  <c r="AF7" i="82" s="1"/>
  <c r="AE32" i="82"/>
  <c r="AE33" i="82" s="1"/>
  <c r="AE27" i="82"/>
  <c r="T18" i="14"/>
  <c r="S17" i="14"/>
  <c r="BJ61" i="2"/>
  <c r="CI66" i="2"/>
  <c r="G63" i="4" s="1"/>
  <c r="P63" i="4" s="1"/>
  <c r="U3" i="14"/>
  <c r="BJ6" i="2" s="1"/>
  <c r="BU160" i="2"/>
  <c r="BX160" i="2"/>
  <c r="AW160" i="2"/>
  <c r="AI124" i="2"/>
  <c r="G133" i="79" s="1"/>
  <c r="AV124" i="2"/>
  <c r="G133" i="77" s="1"/>
  <c r="AJ124" i="2"/>
  <c r="H133" i="79" s="1"/>
  <c r="AW124" i="2"/>
  <c r="H133" i="77" s="1"/>
  <c r="AZ102" i="2"/>
  <c r="K109" i="77" s="1"/>
  <c r="AM102" i="2"/>
  <c r="K109" i="79" s="1"/>
  <c r="AX124" i="2"/>
  <c r="I133" i="77" s="1"/>
  <c r="AK124" i="2"/>
  <c r="I133" i="79" s="1"/>
  <c r="AL47" i="2"/>
  <c r="J49" i="79" s="1"/>
  <c r="AY47" i="2"/>
  <c r="J49" i="77" s="1"/>
  <c r="AY124" i="2"/>
  <c r="J133" i="77" s="1"/>
  <c r="AL124" i="2"/>
  <c r="J133" i="79" s="1"/>
  <c r="AJ102" i="2"/>
  <c r="H109" i="79" s="1"/>
  <c r="AW102" i="2"/>
  <c r="H109" i="77" s="1"/>
  <c r="AY58" i="2"/>
  <c r="J61" i="77" s="1"/>
  <c r="AL58" i="2"/>
  <c r="J61" i="79" s="1"/>
  <c r="AI47" i="2"/>
  <c r="G49" i="79" s="1"/>
  <c r="AV47" i="2"/>
  <c r="G49" i="77" s="1"/>
  <c r="AX58" i="2"/>
  <c r="I61" i="77" s="1"/>
  <c r="AK58" i="2"/>
  <c r="I61" i="79" s="1"/>
  <c r="AW58" i="2"/>
  <c r="H61" i="77" s="1"/>
  <c r="AJ58" i="2"/>
  <c r="H61" i="79" s="1"/>
  <c r="AY102" i="2"/>
  <c r="J109" i="77" s="1"/>
  <c r="AL102" i="2"/>
  <c r="J109" i="79" s="1"/>
  <c r="AV102" i="2"/>
  <c r="G109" i="77" s="1"/>
  <c r="AI102" i="2"/>
  <c r="G109" i="79" s="1"/>
  <c r="AM47" i="2"/>
  <c r="K49" i="79" s="1"/>
  <c r="AZ47" i="2"/>
  <c r="K49" i="77" s="1"/>
  <c r="AZ124" i="2"/>
  <c r="K133" i="77" s="1"/>
  <c r="AM124" i="2"/>
  <c r="K133" i="79" s="1"/>
  <c r="AK102" i="2"/>
  <c r="I109" i="79" s="1"/>
  <c r="AX102" i="2"/>
  <c r="I109" i="77" s="1"/>
  <c r="AX47" i="2"/>
  <c r="I49" i="77" s="1"/>
  <c r="AK47" i="2"/>
  <c r="I49" i="79" s="1"/>
  <c r="AI58" i="2"/>
  <c r="G61" i="79" s="1"/>
  <c r="AV58" i="2"/>
  <c r="G61" i="77" s="1"/>
  <c r="AZ58" i="2"/>
  <c r="K61" i="77" s="1"/>
  <c r="AM58" i="2"/>
  <c r="K61" i="79" s="1"/>
  <c r="AW47" i="2"/>
  <c r="H49" i="77" s="1"/>
  <c r="AJ47" i="2"/>
  <c r="H49" i="79" s="1"/>
  <c r="K129" i="77"/>
  <c r="W129" i="77" s="1"/>
  <c r="F164" i="77"/>
  <c r="R164" i="77" s="1"/>
  <c r="I152" i="77"/>
  <c r="U152" i="77" s="1"/>
  <c r="I92" i="77"/>
  <c r="U92" i="77" s="1"/>
  <c r="J117" i="77"/>
  <c r="V117" i="77" s="1"/>
  <c r="H81" i="77"/>
  <c r="T81" i="77" s="1"/>
  <c r="H164" i="77"/>
  <c r="T164" i="77" s="1"/>
  <c r="J163" i="77"/>
  <c r="V163" i="77" s="1"/>
  <c r="F81" i="77"/>
  <c r="R81" i="77" s="1"/>
  <c r="K165" i="77"/>
  <c r="W165" i="77" s="1"/>
  <c r="H152" i="77"/>
  <c r="T152" i="77" s="1"/>
  <c r="J127" i="77"/>
  <c r="V127" i="77" s="1"/>
  <c r="G81" i="77"/>
  <c r="S81" i="77" s="1"/>
  <c r="I68" i="77"/>
  <c r="U68" i="77" s="1"/>
  <c r="I164" i="77"/>
  <c r="U164" i="77" s="1"/>
  <c r="F68" i="77"/>
  <c r="R68" i="77" s="1"/>
  <c r="K92" i="77"/>
  <c r="W92" i="77" s="1"/>
  <c r="F163" i="77"/>
  <c r="R163" i="77" s="1"/>
  <c r="K81" i="77"/>
  <c r="W81" i="77" s="1"/>
  <c r="K140" i="77"/>
  <c r="W140" i="77" s="1"/>
  <c r="F153" i="77"/>
  <c r="R153" i="77" s="1"/>
  <c r="J93" i="77"/>
  <c r="V93" i="77" s="1"/>
  <c r="G92" i="77"/>
  <c r="S92" i="77" s="1"/>
  <c r="J151" i="77"/>
  <c r="V151" i="77" s="1"/>
  <c r="G127" i="77"/>
  <c r="S127" i="77" s="1"/>
  <c r="G104" i="77"/>
  <c r="S104" i="77" s="1"/>
  <c r="F116" i="77"/>
  <c r="R116" i="77" s="1"/>
  <c r="F141" i="77"/>
  <c r="R141" i="77" s="1"/>
  <c r="F129" i="77"/>
  <c r="R129" i="77" s="1"/>
  <c r="F140" i="77"/>
  <c r="R140" i="77" s="1"/>
  <c r="I105" i="77"/>
  <c r="U105" i="77" s="1"/>
  <c r="H116" i="77"/>
  <c r="T116" i="77" s="1"/>
  <c r="K141" i="77"/>
  <c r="W141" i="77" s="1"/>
  <c r="I81" i="77"/>
  <c r="U81" i="77" s="1"/>
  <c r="H151" i="77"/>
  <c r="T151" i="77" s="1"/>
  <c r="G105" i="77"/>
  <c r="S105" i="77" s="1"/>
  <c r="I80" i="77"/>
  <c r="U80" i="77" s="1"/>
  <c r="K152" i="77"/>
  <c r="W152" i="77" s="1"/>
  <c r="G164" i="77"/>
  <c r="S164" i="77" s="1"/>
  <c r="K116" i="77"/>
  <c r="W116" i="77" s="1"/>
  <c r="H93" i="77"/>
  <c r="T93" i="77" s="1"/>
  <c r="H80" i="77"/>
  <c r="T80" i="77" s="1"/>
  <c r="J153" i="77"/>
  <c r="V153" i="77" s="1"/>
  <c r="K128" i="77"/>
  <c r="W128" i="77" s="1"/>
  <c r="G129" i="77"/>
  <c r="S129" i="77" s="1"/>
  <c r="F93" i="77"/>
  <c r="R93" i="77" s="1"/>
  <c r="J129" i="77"/>
  <c r="V129" i="77" s="1"/>
  <c r="G93" i="77"/>
  <c r="S93" i="77" s="1"/>
  <c r="F127" i="77"/>
  <c r="R127" i="77" s="1"/>
  <c r="I104" i="77"/>
  <c r="U104" i="77" s="1"/>
  <c r="K93" i="77"/>
  <c r="W93" i="77" s="1"/>
  <c r="I69" i="77"/>
  <c r="U69" i="77" s="1"/>
  <c r="K117" i="77"/>
  <c r="W117" i="77" s="1"/>
  <c r="J116" i="77"/>
  <c r="V116" i="77" s="1"/>
  <c r="H127" i="77"/>
  <c r="T127" i="77" s="1"/>
  <c r="J152" i="77"/>
  <c r="V152" i="77" s="1"/>
  <c r="I128" i="77"/>
  <c r="U128" i="77" s="1"/>
  <c r="I129" i="77"/>
  <c r="U129" i="77" s="1"/>
  <c r="K68" i="77"/>
  <c r="W68" i="77" s="1"/>
  <c r="F92" i="77"/>
  <c r="R92" i="77" s="1"/>
  <c r="G128" i="77"/>
  <c r="S128" i="77" s="1"/>
  <c r="H165" i="77"/>
  <c r="T165" i="77" s="1"/>
  <c r="J128" i="77"/>
  <c r="V128" i="77" s="1"/>
  <c r="G152" i="77"/>
  <c r="S152" i="77" s="1"/>
  <c r="H92" i="77"/>
  <c r="T92" i="77" s="1"/>
  <c r="I117" i="77"/>
  <c r="U117" i="77" s="1"/>
  <c r="J164" i="77"/>
  <c r="V164" i="77" s="1"/>
  <c r="H128" i="77"/>
  <c r="T128" i="77" s="1"/>
  <c r="J105" i="77"/>
  <c r="V105" i="77" s="1"/>
  <c r="K105" i="77"/>
  <c r="W105" i="77" s="1"/>
  <c r="K69" i="77"/>
  <c r="W69" i="77" s="1"/>
  <c r="K104" i="77"/>
  <c r="W104" i="77" s="1"/>
  <c r="J68" i="77"/>
  <c r="V68" i="77" s="1"/>
  <c r="F128" i="77"/>
  <c r="R128" i="77" s="1"/>
  <c r="I153" i="77"/>
  <c r="U153" i="77" s="1"/>
  <c r="H69" i="77"/>
  <c r="T69" i="77" s="1"/>
  <c r="G68" i="77"/>
  <c r="S68" i="77" s="1"/>
  <c r="J141" i="77"/>
  <c r="V141" i="77" s="1"/>
  <c r="F152" i="77"/>
  <c r="R152" i="77" s="1"/>
  <c r="J92" i="77"/>
  <c r="V92" i="77" s="1"/>
  <c r="G116" i="77"/>
  <c r="S116" i="77" s="1"/>
  <c r="G140" i="77"/>
  <c r="S140" i="77" s="1"/>
  <c r="G80" i="77"/>
  <c r="S80" i="77" s="1"/>
  <c r="K153" i="77"/>
  <c r="W153" i="77" s="1"/>
  <c r="I93" i="77"/>
  <c r="U93" i="77" s="1"/>
  <c r="F105" i="77"/>
  <c r="R105" i="77" s="1"/>
  <c r="F117" i="77"/>
  <c r="R117" i="77" s="1"/>
  <c r="J140" i="77"/>
  <c r="V140" i="77" s="1"/>
  <c r="G117" i="77"/>
  <c r="S117" i="77" s="1"/>
  <c r="H140" i="77"/>
  <c r="T140" i="77" s="1"/>
  <c r="G69" i="77"/>
  <c r="S69" i="77" s="1"/>
  <c r="H117" i="77"/>
  <c r="T117" i="77" s="1"/>
  <c r="J104" i="77"/>
  <c r="V104" i="77" s="1"/>
  <c r="G165" i="77"/>
  <c r="S165" i="77" s="1"/>
  <c r="F80" i="77"/>
  <c r="R80" i="77" s="1"/>
  <c r="G151" i="77"/>
  <c r="S151" i="77" s="1"/>
  <c r="H105" i="77"/>
  <c r="T105" i="77" s="1"/>
  <c r="H104" i="77"/>
  <c r="T104" i="77" s="1"/>
  <c r="F165" i="77"/>
  <c r="R165" i="77" s="1"/>
  <c r="G141" i="77"/>
  <c r="S141" i="77" s="1"/>
  <c r="I140" i="77"/>
  <c r="U140" i="77" s="1"/>
  <c r="K80" i="77"/>
  <c r="W80" i="77" s="1"/>
  <c r="J81" i="77"/>
  <c r="V81" i="77" s="1"/>
  <c r="H129" i="77"/>
  <c r="T129" i="77" s="1"/>
  <c r="H68" i="77"/>
  <c r="T68" i="77" s="1"/>
  <c r="J165" i="77"/>
  <c r="V165" i="77" s="1"/>
  <c r="K164" i="77"/>
  <c r="W164" i="77" s="1"/>
  <c r="J80" i="77"/>
  <c r="V80" i="77" s="1"/>
  <c r="H153" i="77"/>
  <c r="T153" i="77" s="1"/>
  <c r="F69" i="77"/>
  <c r="R69" i="77" s="1"/>
  <c r="I141" i="77"/>
  <c r="U141" i="77" s="1"/>
  <c r="G153" i="77"/>
  <c r="S153" i="77" s="1"/>
  <c r="F151" i="77"/>
  <c r="R151" i="77" s="1"/>
  <c r="J69" i="77"/>
  <c r="V69" i="77" s="1"/>
  <c r="F104" i="77"/>
  <c r="R104" i="77" s="1"/>
  <c r="I116" i="77"/>
  <c r="U116" i="77" s="1"/>
  <c r="I165" i="77"/>
  <c r="U165" i="77" s="1"/>
  <c r="H141" i="77"/>
  <c r="T141" i="77" s="1"/>
  <c r="K121" i="3"/>
  <c r="CL142" i="2"/>
  <c r="G97" i="3"/>
  <c r="K85" i="3"/>
  <c r="CL153" i="2"/>
  <c r="CL120" i="2"/>
  <c r="CI120" i="2" s="1"/>
  <c r="I73" i="3"/>
  <c r="H169" i="3"/>
  <c r="J121" i="3"/>
  <c r="H85" i="3"/>
  <c r="I169" i="3"/>
  <c r="J85" i="3"/>
  <c r="K73" i="3"/>
  <c r="H73" i="3"/>
  <c r="H97" i="3"/>
  <c r="J73" i="3"/>
  <c r="J169" i="3"/>
  <c r="K97" i="3"/>
  <c r="G169" i="3"/>
  <c r="K169" i="3"/>
  <c r="G121" i="3"/>
  <c r="I97" i="3"/>
  <c r="J97" i="3"/>
  <c r="H121" i="3"/>
  <c r="G85" i="3"/>
  <c r="G73" i="3"/>
  <c r="I85" i="3"/>
  <c r="I121" i="3"/>
  <c r="AJ103" i="2"/>
  <c r="AW103" i="2"/>
  <c r="AY59" i="2"/>
  <c r="AL59" i="2"/>
  <c r="AV48" i="2"/>
  <c r="AI48" i="2"/>
  <c r="AK59" i="2"/>
  <c r="AX59" i="2"/>
  <c r="AX103" i="2"/>
  <c r="AK103" i="2"/>
  <c r="BN66" i="2"/>
  <c r="AV59" i="2"/>
  <c r="AI59" i="2"/>
  <c r="AZ59" i="2"/>
  <c r="AM59" i="2"/>
  <c r="AJ48" i="2"/>
  <c r="AW48" i="2"/>
  <c r="AJ59" i="2"/>
  <c r="AW59" i="2"/>
  <c r="AY103" i="2"/>
  <c r="AL103" i="2"/>
  <c r="AV125" i="2"/>
  <c r="AI125" i="2"/>
  <c r="AW125" i="2"/>
  <c r="AJ125" i="2"/>
  <c r="AZ103" i="2"/>
  <c r="AM103" i="2"/>
  <c r="AK125" i="2"/>
  <c r="AX125" i="2"/>
  <c r="AX48" i="2"/>
  <c r="AK48" i="2"/>
  <c r="AV103" i="2"/>
  <c r="AI103" i="2"/>
  <c r="AY48" i="2"/>
  <c r="AL48" i="2"/>
  <c r="AY125" i="2"/>
  <c r="AL125" i="2"/>
  <c r="AM48" i="2"/>
  <c r="AZ48" i="2"/>
  <c r="AM125" i="2"/>
  <c r="AZ125" i="2"/>
  <c r="BN67" i="2"/>
  <c r="BP135" i="2"/>
  <c r="BJ58" i="2"/>
  <c r="BI124" i="2"/>
  <c r="BJ124" i="2"/>
  <c r="BL124" i="2"/>
  <c r="BK102" i="2"/>
  <c r="BI47" i="2"/>
  <c r="BJ47" i="2"/>
  <c r="BQ135" i="2"/>
  <c r="BK58" i="2"/>
  <c r="BK47" i="2"/>
  <c r="BI102" i="2"/>
  <c r="BM102" i="2"/>
  <c r="BM47" i="2"/>
  <c r="BL102" i="2"/>
  <c r="F127" i="3"/>
  <c r="R127" i="3" s="1"/>
  <c r="BJ102" i="2"/>
  <c r="BS135" i="2"/>
  <c r="CF135" i="2" s="1"/>
  <c r="BZ135" i="2" s="1"/>
  <c r="K144" i="78" s="1"/>
  <c r="BM58" i="2"/>
  <c r="BK124" i="2"/>
  <c r="BM124" i="2"/>
  <c r="BR135" i="2"/>
  <c r="CE135" i="2" s="1"/>
  <c r="BY135" i="2" s="1"/>
  <c r="J144" i="78" s="1"/>
  <c r="BL58" i="2"/>
  <c r="BO135" i="2"/>
  <c r="BI58" i="2"/>
  <c r="BL47" i="2"/>
  <c r="X11" i="45"/>
  <c r="F63" i="4"/>
  <c r="O63" i="4" s="1"/>
  <c r="BQ143" i="2"/>
  <c r="CK132" i="2"/>
  <c r="CH132" i="2" s="1"/>
  <c r="BR88" i="2"/>
  <c r="CL77" i="2"/>
  <c r="CI77" i="2" s="1"/>
  <c r="BS66" i="2"/>
  <c r="CM55" i="2"/>
  <c r="C156" i="67"/>
  <c r="C122" i="67"/>
  <c r="C139" i="67"/>
  <c r="C156" i="65"/>
  <c r="C122" i="65"/>
  <c r="C139" i="65"/>
  <c r="C139" i="66"/>
  <c r="C156" i="66"/>
  <c r="C122" i="66"/>
  <c r="T17" i="14"/>
  <c r="BH160" i="2"/>
  <c r="BJ39" i="2"/>
  <c r="BO17" i="46"/>
  <c r="C197" i="45" s="1"/>
  <c r="BO9" i="46"/>
  <c r="C189" i="45" s="1"/>
  <c r="BO8" i="46"/>
  <c r="C188" i="45" s="1"/>
  <c r="BO7" i="46"/>
  <c r="C187" i="45" s="1"/>
  <c r="BO6" i="46"/>
  <c r="C186" i="45" s="1"/>
  <c r="D50" i="74" s="1"/>
  <c r="BO11" i="46"/>
  <c r="C191" i="45" s="1"/>
  <c r="BO5" i="46"/>
  <c r="C185" i="45" s="1"/>
  <c r="BO15" i="46"/>
  <c r="C195" i="45" s="1"/>
  <c r="BO14" i="46"/>
  <c r="C194" i="45" s="1"/>
  <c r="BO18" i="46"/>
  <c r="C198" i="45" s="1"/>
  <c r="BO13" i="46"/>
  <c r="C193" i="45" s="1"/>
  <c r="BO16" i="46"/>
  <c r="C196" i="45" s="1"/>
  <c r="BO10" i="46"/>
  <c r="C190" i="45" s="1"/>
  <c r="BO12" i="46"/>
  <c r="C192" i="45" s="1"/>
  <c r="F163" i="3"/>
  <c r="R163" i="3" s="1"/>
  <c r="BL153" i="2"/>
  <c r="BJ153" i="2"/>
  <c r="BI153" i="2"/>
  <c r="BJ142" i="2"/>
  <c r="H151" i="3" s="1"/>
  <c r="T151" i="3" s="1"/>
  <c r="BI142" i="2"/>
  <c r="G151" i="3" s="1"/>
  <c r="S151" i="3" s="1"/>
  <c r="BL142" i="2"/>
  <c r="J151" i="3" s="1"/>
  <c r="BL120" i="2"/>
  <c r="J127" i="3" s="1"/>
  <c r="BI120" i="2"/>
  <c r="BJ120" i="2"/>
  <c r="H127" i="3" s="1"/>
  <c r="T127" i="3" s="1"/>
  <c r="B179" i="67"/>
  <c r="A188" i="67"/>
  <c r="B188" i="67" s="1"/>
  <c r="B177" i="67"/>
  <c r="A187" i="67"/>
  <c r="B187" i="67" s="1"/>
  <c r="C153" i="67"/>
  <c r="C160" i="67" s="1"/>
  <c r="C136" i="67"/>
  <c r="C143" i="67" s="1"/>
  <c r="C102" i="67"/>
  <c r="C109" i="67" s="1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P67" i="67"/>
  <c r="Q67" i="67"/>
  <c r="R67" i="67"/>
  <c r="S67" i="67"/>
  <c r="T67" i="67"/>
  <c r="U67" i="67"/>
  <c r="V67" i="67"/>
  <c r="W67" i="67"/>
  <c r="X67" i="67"/>
  <c r="Y67" i="67"/>
  <c r="Z67" i="67"/>
  <c r="AA67" i="67"/>
  <c r="AB67" i="67"/>
  <c r="AC67" i="67"/>
  <c r="AD67" i="67"/>
  <c r="AE67" i="67"/>
  <c r="AF67" i="67"/>
  <c r="AG67" i="67"/>
  <c r="C68" i="67"/>
  <c r="C71" i="67"/>
  <c r="C76" i="67" s="1"/>
  <c r="C88" i="67"/>
  <c r="C105" i="67"/>
  <c r="C119" i="67"/>
  <c r="C126" i="67" s="1"/>
  <c r="C85" i="67"/>
  <c r="C92" i="67" s="1"/>
  <c r="B179" i="66"/>
  <c r="A188" i="66"/>
  <c r="B188" i="66" s="1"/>
  <c r="B177" i="66"/>
  <c r="A187" i="66"/>
  <c r="B187" i="66" s="1"/>
  <c r="C71" i="66"/>
  <c r="C76" i="66" s="1"/>
  <c r="C88" i="66"/>
  <c r="C105" i="66"/>
  <c r="C153" i="66"/>
  <c r="C160" i="66" s="1"/>
  <c r="C136" i="66"/>
  <c r="C143" i="66" s="1"/>
  <c r="C119" i="66"/>
  <c r="C126" i="66" s="1"/>
  <c r="C102" i="66"/>
  <c r="C109" i="66" s="1"/>
  <c r="C85" i="66"/>
  <c r="C92" i="66" s="1"/>
  <c r="C67" i="66"/>
  <c r="D67" i="66"/>
  <c r="E67" i="66"/>
  <c r="F67" i="66"/>
  <c r="G67" i="66"/>
  <c r="H67" i="66"/>
  <c r="I67" i="66"/>
  <c r="J67" i="66"/>
  <c r="K67" i="66"/>
  <c r="L67" i="66"/>
  <c r="M67" i="66"/>
  <c r="N67" i="66"/>
  <c r="O67" i="66"/>
  <c r="P67" i="66"/>
  <c r="Q67" i="66"/>
  <c r="R67" i="66"/>
  <c r="S67" i="66"/>
  <c r="T67" i="66"/>
  <c r="U67" i="66"/>
  <c r="V67" i="66"/>
  <c r="W67" i="66"/>
  <c r="X67" i="66"/>
  <c r="Y67" i="66"/>
  <c r="Z67" i="66"/>
  <c r="AA67" i="66"/>
  <c r="AB67" i="66"/>
  <c r="AC67" i="66"/>
  <c r="AD67" i="66"/>
  <c r="AE67" i="66"/>
  <c r="AF67" i="66"/>
  <c r="AG67" i="66"/>
  <c r="C68" i="66"/>
  <c r="B179" i="65"/>
  <c r="A188" i="65"/>
  <c r="B188" i="65" s="1"/>
  <c r="B177" i="65"/>
  <c r="A187" i="65"/>
  <c r="B187" i="65" s="1"/>
  <c r="C67" i="65"/>
  <c r="E67" i="65"/>
  <c r="G67" i="65"/>
  <c r="K67" i="65"/>
  <c r="M67" i="65"/>
  <c r="N67" i="65"/>
  <c r="R67" i="65"/>
  <c r="V67" i="65"/>
  <c r="Z67" i="65"/>
  <c r="AC67" i="65"/>
  <c r="AF67" i="65"/>
  <c r="D67" i="65"/>
  <c r="F67" i="65"/>
  <c r="H67" i="65"/>
  <c r="I67" i="65"/>
  <c r="J67" i="65"/>
  <c r="L67" i="65"/>
  <c r="O67" i="65"/>
  <c r="P67" i="65"/>
  <c r="Q67" i="65"/>
  <c r="S67" i="65"/>
  <c r="T67" i="65"/>
  <c r="U67" i="65"/>
  <c r="W67" i="65"/>
  <c r="X67" i="65"/>
  <c r="Y67" i="65"/>
  <c r="AA67" i="65"/>
  <c r="AB67" i="65"/>
  <c r="AD67" i="65"/>
  <c r="AE67" i="65"/>
  <c r="AG67" i="65"/>
  <c r="C68" i="65"/>
  <c r="C102" i="65"/>
  <c r="C109" i="65" s="1"/>
  <c r="C136" i="65"/>
  <c r="C143" i="65" s="1"/>
  <c r="C71" i="65"/>
  <c r="C76" i="65" s="1"/>
  <c r="C88" i="65"/>
  <c r="C105" i="65"/>
  <c r="C153" i="65"/>
  <c r="C119" i="65"/>
  <c r="C126" i="65" s="1"/>
  <c r="C85" i="65"/>
  <c r="C92" i="65" s="1"/>
  <c r="BJ17" i="2"/>
  <c r="BP156" i="2" l="1"/>
  <c r="CC156" i="2" s="1"/>
  <c r="CC145" i="2"/>
  <c r="BQ156" i="2"/>
  <c r="CD156" i="2" s="1"/>
  <c r="CD145" i="2"/>
  <c r="AA15" i="45"/>
  <c r="Z18" i="45"/>
  <c r="Z7" i="45"/>
  <c r="AF27" i="82"/>
  <c r="AF32" i="82"/>
  <c r="AF33" i="82" s="1"/>
  <c r="AG25" i="82"/>
  <c r="AG29" i="82" s="1"/>
  <c r="AG6" i="82" s="1"/>
  <c r="AG7" i="82" s="1"/>
  <c r="CI153" i="2"/>
  <c r="G150" i="4" s="1"/>
  <c r="P150" i="4" s="1"/>
  <c r="CI142" i="2"/>
  <c r="G139" i="4" s="1"/>
  <c r="P139" i="4" s="1"/>
  <c r="BY160" i="2"/>
  <c r="BZ160" i="2"/>
  <c r="BV160" i="2"/>
  <c r="AM135" i="2"/>
  <c r="K145" i="79" s="1"/>
  <c r="AZ135" i="2"/>
  <c r="K145" i="77" s="1"/>
  <c r="AJ135" i="2"/>
  <c r="H145" i="79" s="1"/>
  <c r="AW135" i="2"/>
  <c r="H145" i="77" s="1"/>
  <c r="AI135" i="2"/>
  <c r="G145" i="79" s="1"/>
  <c r="AV135" i="2"/>
  <c r="G145" i="77" s="1"/>
  <c r="AL135" i="2"/>
  <c r="J145" i="79" s="1"/>
  <c r="AY135" i="2"/>
  <c r="J145" i="77" s="1"/>
  <c r="AK135" i="2"/>
  <c r="I145" i="79" s="1"/>
  <c r="AX135" i="2"/>
  <c r="I145" i="77" s="1"/>
  <c r="J109" i="3"/>
  <c r="K109" i="3"/>
  <c r="G109" i="3"/>
  <c r="I109" i="3"/>
  <c r="J133" i="3"/>
  <c r="K133" i="3"/>
  <c r="H133" i="3"/>
  <c r="H109" i="3"/>
  <c r="I133" i="3"/>
  <c r="G133" i="3"/>
  <c r="BN77" i="2"/>
  <c r="BL66" i="2"/>
  <c r="J68" i="3" s="1"/>
  <c r="V68" i="3" s="1"/>
  <c r="BK66" i="2"/>
  <c r="I68" i="3" s="1"/>
  <c r="U68" i="3" s="1"/>
  <c r="BJ66" i="2"/>
  <c r="H68" i="3" s="1"/>
  <c r="T68" i="3" s="1"/>
  <c r="BI66" i="2"/>
  <c r="G68" i="3" s="1"/>
  <c r="S68" i="3" s="1"/>
  <c r="BH66" i="2"/>
  <c r="F68" i="3" s="1"/>
  <c r="R68" i="3" s="1"/>
  <c r="AM136" i="2"/>
  <c r="AZ136" i="2"/>
  <c r="AW136" i="2"/>
  <c r="AJ136" i="2"/>
  <c r="BN78" i="2"/>
  <c r="BJ67" i="2"/>
  <c r="H69" i="3" s="1"/>
  <c r="T69" i="3" s="1"/>
  <c r="BI67" i="2"/>
  <c r="G69" i="3" s="1"/>
  <c r="S69" i="3" s="1"/>
  <c r="BH67" i="2"/>
  <c r="F69" i="3" s="1"/>
  <c r="R69" i="3" s="1"/>
  <c r="BM67" i="2"/>
  <c r="K69" i="3" s="1"/>
  <c r="W69" i="3" s="1"/>
  <c r="BL67" i="2"/>
  <c r="J69" i="3" s="1"/>
  <c r="V69" i="3" s="1"/>
  <c r="BK67" i="2"/>
  <c r="I69" i="3" s="1"/>
  <c r="U69" i="3" s="1"/>
  <c r="AI136" i="2"/>
  <c r="AV136" i="2"/>
  <c r="AX136" i="2"/>
  <c r="AK136" i="2"/>
  <c r="AY136" i="2"/>
  <c r="AL136" i="2"/>
  <c r="G127" i="3"/>
  <c r="S127" i="3" s="1"/>
  <c r="BK135" i="2"/>
  <c r="BQ146" i="2"/>
  <c r="BR146" i="2"/>
  <c r="CE146" i="2" s="1"/>
  <c r="BY146" i="2" s="1"/>
  <c r="J156" i="78" s="1"/>
  <c r="BL135" i="2"/>
  <c r="BM135" i="2"/>
  <c r="BS146" i="2"/>
  <c r="CF146" i="2" s="1"/>
  <c r="BZ146" i="2" s="1"/>
  <c r="K156" i="78" s="1"/>
  <c r="BI135" i="2"/>
  <c r="BO146" i="2"/>
  <c r="BP146" i="2"/>
  <c r="BJ135" i="2"/>
  <c r="Y11" i="45"/>
  <c r="BJ160" i="2"/>
  <c r="BI160" i="2"/>
  <c r="BQ154" i="2"/>
  <c r="CK143" i="2"/>
  <c r="CH143" i="2" s="1"/>
  <c r="BS77" i="2"/>
  <c r="CM66" i="2"/>
  <c r="BM66" i="2"/>
  <c r="K68" i="3" s="1"/>
  <c r="W68" i="3" s="1"/>
  <c r="F74" i="4"/>
  <c r="O74" i="4" s="1"/>
  <c r="G74" i="4"/>
  <c r="P74" i="4" s="1"/>
  <c r="BR99" i="2"/>
  <c r="CL88" i="2"/>
  <c r="CI88" i="2" s="1"/>
  <c r="H163" i="3"/>
  <c r="T163" i="3" s="1"/>
  <c r="J163" i="3"/>
  <c r="G163" i="3"/>
  <c r="S163" i="3" s="1"/>
  <c r="V127" i="3"/>
  <c r="V151" i="3"/>
  <c r="C75" i="67"/>
  <c r="C78" i="67" s="1"/>
  <c r="C165" i="67" s="1"/>
  <c r="C75" i="66"/>
  <c r="C78" i="66" s="1"/>
  <c r="C165" i="66" s="1"/>
  <c r="C160" i="65"/>
  <c r="C75" i="65"/>
  <c r="C78" i="65" s="1"/>
  <c r="C165" i="65" s="1"/>
  <c r="U17" i="14"/>
  <c r="AB15" i="45" l="1"/>
  <c r="AA18" i="45"/>
  <c r="AA7" i="45"/>
  <c r="AG32" i="82"/>
  <c r="AG33" i="82" s="1"/>
  <c r="AG27" i="82"/>
  <c r="CJ66" i="2"/>
  <c r="H63" i="4" s="1"/>
  <c r="Q63" i="4" s="1"/>
  <c r="BW160" i="2"/>
  <c r="AY146" i="2"/>
  <c r="J157" i="77" s="1"/>
  <c r="AL146" i="2"/>
  <c r="J157" i="79" s="1"/>
  <c r="AX146" i="2"/>
  <c r="I157" i="77" s="1"/>
  <c r="AK146" i="2"/>
  <c r="I157" i="79" s="1"/>
  <c r="AW146" i="2"/>
  <c r="H157" i="77" s="1"/>
  <c r="AJ146" i="2"/>
  <c r="H157" i="79" s="1"/>
  <c r="AV146" i="2"/>
  <c r="G157" i="77" s="1"/>
  <c r="AI146" i="2"/>
  <c r="G157" i="79" s="1"/>
  <c r="AZ146" i="2"/>
  <c r="K157" i="77" s="1"/>
  <c r="AM146" i="2"/>
  <c r="K157" i="79" s="1"/>
  <c r="H145" i="3"/>
  <c r="G145" i="3"/>
  <c r="J145" i="3"/>
  <c r="K145" i="3"/>
  <c r="I145" i="3"/>
  <c r="BN89" i="2"/>
  <c r="BJ78" i="2"/>
  <c r="H81" i="3" s="1"/>
  <c r="T81" i="3" s="1"/>
  <c r="BL78" i="2"/>
  <c r="J81" i="3" s="1"/>
  <c r="V81" i="3" s="1"/>
  <c r="BK78" i="2"/>
  <c r="I81" i="3" s="1"/>
  <c r="U81" i="3" s="1"/>
  <c r="BH78" i="2"/>
  <c r="F81" i="3" s="1"/>
  <c r="R81" i="3" s="1"/>
  <c r="BI78" i="2"/>
  <c r="G81" i="3" s="1"/>
  <c r="S81" i="3" s="1"/>
  <c r="BM78" i="2"/>
  <c r="K81" i="3" s="1"/>
  <c r="W81" i="3" s="1"/>
  <c r="AJ147" i="2"/>
  <c r="AW147" i="2"/>
  <c r="AI147" i="2"/>
  <c r="AV147" i="2"/>
  <c r="AZ147" i="2"/>
  <c r="AM147" i="2"/>
  <c r="AY147" i="2"/>
  <c r="AL147" i="2"/>
  <c r="AK147" i="2"/>
  <c r="AX147" i="2"/>
  <c r="BN88" i="2"/>
  <c r="BJ77" i="2"/>
  <c r="H80" i="3" s="1"/>
  <c r="T80" i="3" s="1"/>
  <c r="BH77" i="2"/>
  <c r="F80" i="3" s="1"/>
  <c r="R80" i="3" s="1"/>
  <c r="BK77" i="2"/>
  <c r="I80" i="3" s="1"/>
  <c r="U80" i="3" s="1"/>
  <c r="BI77" i="2"/>
  <c r="G80" i="3" s="1"/>
  <c r="S80" i="3" s="1"/>
  <c r="BL77" i="2"/>
  <c r="J80" i="3" s="1"/>
  <c r="V80" i="3" s="1"/>
  <c r="BI146" i="2"/>
  <c r="BK146" i="2"/>
  <c r="BL146" i="2"/>
  <c r="BM146" i="2"/>
  <c r="BJ146" i="2"/>
  <c r="Z11" i="45"/>
  <c r="D105" i="74"/>
  <c r="AB54" i="75"/>
  <c r="CK154" i="2"/>
  <c r="CH154" i="2" s="1"/>
  <c r="BS88" i="2"/>
  <c r="CM77" i="2"/>
  <c r="BM77" i="2"/>
  <c r="K80" i="3" s="1"/>
  <c r="W80" i="3" s="1"/>
  <c r="G85" i="4"/>
  <c r="P85" i="4" s="1"/>
  <c r="F85" i="4"/>
  <c r="O85" i="4" s="1"/>
  <c r="BR110" i="2"/>
  <c r="CL99" i="2"/>
  <c r="CI99" i="2" s="1"/>
  <c r="V163" i="3"/>
  <c r="C171" i="67"/>
  <c r="C174" i="67"/>
  <c r="C180" i="67" s="1"/>
  <c r="C183" i="67"/>
  <c r="C189" i="67" s="1"/>
  <c r="C171" i="66"/>
  <c r="C174" i="66"/>
  <c r="C180" i="66" s="1"/>
  <c r="C183" i="66"/>
  <c r="C189" i="66" s="1"/>
  <c r="C171" i="65"/>
  <c r="C174" i="65"/>
  <c r="C180" i="65" s="1"/>
  <c r="C183" i="65"/>
  <c r="C189" i="65" s="1"/>
  <c r="C55" i="64"/>
  <c r="D36" i="64"/>
  <c r="E36" i="64"/>
  <c r="F36" i="64"/>
  <c r="G36" i="64"/>
  <c r="H36" i="64"/>
  <c r="C36" i="64"/>
  <c r="C24" i="64"/>
  <c r="C22" i="64"/>
  <c r="C21" i="64"/>
  <c r="C17" i="64"/>
  <c r="C16" i="64"/>
  <c r="C14" i="64"/>
  <c r="C12" i="64"/>
  <c r="C5" i="64"/>
  <c r="B3" i="64"/>
  <c r="B2" i="64"/>
  <c r="D191" i="64"/>
  <c r="E191" i="64" s="1"/>
  <c r="F191" i="64" s="1"/>
  <c r="G191" i="64" s="1"/>
  <c r="H191" i="64" s="1"/>
  <c r="I191" i="64" s="1"/>
  <c r="J191" i="64" s="1"/>
  <c r="K191" i="64" s="1"/>
  <c r="L191" i="64" s="1"/>
  <c r="M191" i="64" s="1"/>
  <c r="N191" i="64" s="1"/>
  <c r="O191" i="64" s="1"/>
  <c r="P191" i="64" s="1"/>
  <c r="Q191" i="64" s="1"/>
  <c r="R191" i="64" s="1"/>
  <c r="S191" i="64" s="1"/>
  <c r="T191" i="64" s="1"/>
  <c r="U191" i="64" s="1"/>
  <c r="V191" i="64" s="1"/>
  <c r="W191" i="64" s="1"/>
  <c r="X191" i="64" s="1"/>
  <c r="Y191" i="64" s="1"/>
  <c r="Z191" i="64" s="1"/>
  <c r="AA191" i="64" s="1"/>
  <c r="AB191" i="64" s="1"/>
  <c r="AC191" i="64" s="1"/>
  <c r="AD191" i="64" s="1"/>
  <c r="AE191" i="64" s="1"/>
  <c r="AF191" i="64" s="1"/>
  <c r="AG191" i="64" s="1"/>
  <c r="A187" i="64"/>
  <c r="B187" i="64" s="1"/>
  <c r="A185" i="64"/>
  <c r="B185" i="64" s="1"/>
  <c r="A184" i="64"/>
  <c r="B184" i="64" s="1"/>
  <c r="A183" i="64"/>
  <c r="B183" i="64" s="1"/>
  <c r="D182" i="64"/>
  <c r="E182" i="64" s="1"/>
  <c r="F182" i="64" s="1"/>
  <c r="G182" i="64" s="1"/>
  <c r="H182" i="64" s="1"/>
  <c r="I182" i="64" s="1"/>
  <c r="J182" i="64" s="1"/>
  <c r="K182" i="64" s="1"/>
  <c r="L182" i="64" s="1"/>
  <c r="M182" i="64" s="1"/>
  <c r="N182" i="64" s="1"/>
  <c r="O182" i="64" s="1"/>
  <c r="P182" i="64" s="1"/>
  <c r="Q182" i="64" s="1"/>
  <c r="R182" i="64" s="1"/>
  <c r="S182" i="64" s="1"/>
  <c r="T182" i="64" s="1"/>
  <c r="U182" i="64" s="1"/>
  <c r="V182" i="64" s="1"/>
  <c r="W182" i="64" s="1"/>
  <c r="X182" i="64" s="1"/>
  <c r="Y182" i="64" s="1"/>
  <c r="Z182" i="64" s="1"/>
  <c r="AA182" i="64" s="1"/>
  <c r="AB182" i="64" s="1"/>
  <c r="AC182" i="64" s="1"/>
  <c r="AD182" i="64" s="1"/>
  <c r="AE182" i="64" s="1"/>
  <c r="AF182" i="64" s="1"/>
  <c r="AG182" i="64" s="1"/>
  <c r="B178" i="64"/>
  <c r="B176" i="64"/>
  <c r="B175" i="64"/>
  <c r="B174" i="64"/>
  <c r="D173" i="64"/>
  <c r="E173" i="64" s="1"/>
  <c r="F173" i="64" s="1"/>
  <c r="G173" i="64" s="1"/>
  <c r="H173" i="64" s="1"/>
  <c r="I173" i="64" s="1"/>
  <c r="J173" i="64" s="1"/>
  <c r="K173" i="64" s="1"/>
  <c r="L173" i="64" s="1"/>
  <c r="M173" i="64" s="1"/>
  <c r="N173" i="64" s="1"/>
  <c r="O173" i="64" s="1"/>
  <c r="P173" i="64" s="1"/>
  <c r="Q173" i="64" s="1"/>
  <c r="R173" i="64" s="1"/>
  <c r="S173" i="64" s="1"/>
  <c r="T173" i="64" s="1"/>
  <c r="U173" i="64" s="1"/>
  <c r="V173" i="64" s="1"/>
  <c r="W173" i="64" s="1"/>
  <c r="X173" i="64" s="1"/>
  <c r="Y173" i="64" s="1"/>
  <c r="Z173" i="64" s="1"/>
  <c r="AA173" i="64" s="1"/>
  <c r="AB173" i="64" s="1"/>
  <c r="AC173" i="64" s="1"/>
  <c r="AD173" i="64" s="1"/>
  <c r="AE173" i="64" s="1"/>
  <c r="AF173" i="64" s="1"/>
  <c r="AG173" i="64" s="1"/>
  <c r="A170" i="64"/>
  <c r="A169" i="64"/>
  <c r="A168" i="64"/>
  <c r="A165" i="64"/>
  <c r="B165" i="64" s="1"/>
  <c r="D164" i="64"/>
  <c r="E164" i="64" s="1"/>
  <c r="F164" i="64" s="1"/>
  <c r="G164" i="64" s="1"/>
  <c r="H164" i="64" s="1"/>
  <c r="I164" i="64" s="1"/>
  <c r="J164" i="64" s="1"/>
  <c r="K164" i="64" s="1"/>
  <c r="L164" i="64" s="1"/>
  <c r="M164" i="64" s="1"/>
  <c r="N164" i="64" s="1"/>
  <c r="O164" i="64" s="1"/>
  <c r="P164" i="64" s="1"/>
  <c r="Q164" i="64" s="1"/>
  <c r="R164" i="64" s="1"/>
  <c r="S164" i="64" s="1"/>
  <c r="T164" i="64" s="1"/>
  <c r="U164" i="64" s="1"/>
  <c r="V164" i="64" s="1"/>
  <c r="W164" i="64" s="1"/>
  <c r="X164" i="64" s="1"/>
  <c r="Y164" i="64" s="1"/>
  <c r="Z164" i="64" s="1"/>
  <c r="AA164" i="64" s="1"/>
  <c r="AB164" i="64" s="1"/>
  <c r="AC164" i="64" s="1"/>
  <c r="AD164" i="64" s="1"/>
  <c r="AE164" i="64" s="1"/>
  <c r="AF164" i="64" s="1"/>
  <c r="AG164" i="64" s="1"/>
  <c r="C155" i="64"/>
  <c r="D148" i="64"/>
  <c r="E148" i="64" s="1"/>
  <c r="F148" i="64" s="1"/>
  <c r="G148" i="64" s="1"/>
  <c r="H148" i="64" s="1"/>
  <c r="I148" i="64" s="1"/>
  <c r="J148" i="64" s="1"/>
  <c r="K148" i="64" s="1"/>
  <c r="L148" i="64" s="1"/>
  <c r="M148" i="64" s="1"/>
  <c r="N148" i="64" s="1"/>
  <c r="O148" i="64" s="1"/>
  <c r="P148" i="64" s="1"/>
  <c r="Q148" i="64" s="1"/>
  <c r="R148" i="64" s="1"/>
  <c r="S148" i="64" s="1"/>
  <c r="T148" i="64" s="1"/>
  <c r="U148" i="64" s="1"/>
  <c r="V148" i="64" s="1"/>
  <c r="W148" i="64" s="1"/>
  <c r="X148" i="64" s="1"/>
  <c r="Y148" i="64" s="1"/>
  <c r="Z148" i="64" s="1"/>
  <c r="AA148" i="64" s="1"/>
  <c r="AB148" i="64" s="1"/>
  <c r="AC148" i="64" s="1"/>
  <c r="AD148" i="64" s="1"/>
  <c r="AE148" i="64" s="1"/>
  <c r="AF148" i="64" s="1"/>
  <c r="AG148" i="64" s="1"/>
  <c r="C138" i="64"/>
  <c r="D131" i="64"/>
  <c r="E131" i="64" s="1"/>
  <c r="F131" i="64" s="1"/>
  <c r="G131" i="64" s="1"/>
  <c r="H131" i="64" s="1"/>
  <c r="I131" i="64" s="1"/>
  <c r="J131" i="64" s="1"/>
  <c r="K131" i="64" s="1"/>
  <c r="L131" i="64" s="1"/>
  <c r="M131" i="64" s="1"/>
  <c r="N131" i="64" s="1"/>
  <c r="O131" i="64" s="1"/>
  <c r="P131" i="64" s="1"/>
  <c r="Q131" i="64" s="1"/>
  <c r="R131" i="64" s="1"/>
  <c r="S131" i="64" s="1"/>
  <c r="T131" i="64" s="1"/>
  <c r="U131" i="64" s="1"/>
  <c r="V131" i="64" s="1"/>
  <c r="W131" i="64" s="1"/>
  <c r="X131" i="64" s="1"/>
  <c r="Y131" i="64" s="1"/>
  <c r="Z131" i="64" s="1"/>
  <c r="AA131" i="64" s="1"/>
  <c r="AB131" i="64" s="1"/>
  <c r="AC131" i="64" s="1"/>
  <c r="AD131" i="64" s="1"/>
  <c r="AE131" i="64" s="1"/>
  <c r="AF131" i="64" s="1"/>
  <c r="AG131" i="64" s="1"/>
  <c r="C121" i="64"/>
  <c r="D114" i="64"/>
  <c r="E114" i="64" s="1"/>
  <c r="F114" i="64" s="1"/>
  <c r="G114" i="64" s="1"/>
  <c r="H114" i="64" s="1"/>
  <c r="I114" i="64" s="1"/>
  <c r="J114" i="64" s="1"/>
  <c r="K114" i="64" s="1"/>
  <c r="L114" i="64" s="1"/>
  <c r="M114" i="64" s="1"/>
  <c r="N114" i="64" s="1"/>
  <c r="O114" i="64" s="1"/>
  <c r="P114" i="64" s="1"/>
  <c r="Q114" i="64" s="1"/>
  <c r="R114" i="64" s="1"/>
  <c r="S114" i="64" s="1"/>
  <c r="T114" i="64" s="1"/>
  <c r="U114" i="64" s="1"/>
  <c r="V114" i="64" s="1"/>
  <c r="W114" i="64" s="1"/>
  <c r="X114" i="64" s="1"/>
  <c r="Y114" i="64" s="1"/>
  <c r="Z114" i="64" s="1"/>
  <c r="AA114" i="64" s="1"/>
  <c r="AB114" i="64" s="1"/>
  <c r="AC114" i="64" s="1"/>
  <c r="AD114" i="64" s="1"/>
  <c r="AE114" i="64" s="1"/>
  <c r="AF114" i="64" s="1"/>
  <c r="AG114" i="64" s="1"/>
  <c r="C104" i="64"/>
  <c r="D97" i="64"/>
  <c r="E97" i="64" s="1"/>
  <c r="F97" i="64" s="1"/>
  <c r="G97" i="64" s="1"/>
  <c r="H97" i="64" s="1"/>
  <c r="I97" i="64" s="1"/>
  <c r="J97" i="64" s="1"/>
  <c r="K97" i="64" s="1"/>
  <c r="L97" i="64" s="1"/>
  <c r="M97" i="64" s="1"/>
  <c r="N97" i="64" s="1"/>
  <c r="O97" i="64" s="1"/>
  <c r="P97" i="64" s="1"/>
  <c r="Q97" i="64" s="1"/>
  <c r="R97" i="64" s="1"/>
  <c r="S97" i="64" s="1"/>
  <c r="T97" i="64" s="1"/>
  <c r="U97" i="64" s="1"/>
  <c r="V97" i="64" s="1"/>
  <c r="W97" i="64" s="1"/>
  <c r="X97" i="64" s="1"/>
  <c r="Y97" i="64" s="1"/>
  <c r="Z97" i="64" s="1"/>
  <c r="AA97" i="64" s="1"/>
  <c r="AB97" i="64" s="1"/>
  <c r="AC97" i="64" s="1"/>
  <c r="AD97" i="64" s="1"/>
  <c r="AE97" i="64" s="1"/>
  <c r="AF97" i="64" s="1"/>
  <c r="AG97" i="64" s="1"/>
  <c r="C87" i="64"/>
  <c r="D80" i="64"/>
  <c r="E80" i="64" s="1"/>
  <c r="F80" i="64" s="1"/>
  <c r="G80" i="64" s="1"/>
  <c r="H80" i="64" s="1"/>
  <c r="I80" i="64" s="1"/>
  <c r="J80" i="64" s="1"/>
  <c r="K80" i="64" s="1"/>
  <c r="L80" i="64" s="1"/>
  <c r="M80" i="64" s="1"/>
  <c r="N80" i="64" s="1"/>
  <c r="O80" i="64" s="1"/>
  <c r="P80" i="64" s="1"/>
  <c r="Q80" i="64" s="1"/>
  <c r="R80" i="64" s="1"/>
  <c r="S80" i="64" s="1"/>
  <c r="T80" i="64" s="1"/>
  <c r="U80" i="64" s="1"/>
  <c r="V80" i="64" s="1"/>
  <c r="W80" i="64" s="1"/>
  <c r="X80" i="64" s="1"/>
  <c r="Y80" i="64" s="1"/>
  <c r="Z80" i="64" s="1"/>
  <c r="AA80" i="64" s="1"/>
  <c r="AB80" i="64" s="1"/>
  <c r="AC80" i="64" s="1"/>
  <c r="AD80" i="64" s="1"/>
  <c r="AE80" i="64" s="1"/>
  <c r="AF80" i="64" s="1"/>
  <c r="AG80" i="64" s="1"/>
  <c r="C70" i="64"/>
  <c r="AH68" i="64"/>
  <c r="C63" i="64"/>
  <c r="C64" i="64" s="1"/>
  <c r="D62" i="64"/>
  <c r="E62" i="64" s="1"/>
  <c r="F62" i="64" s="1"/>
  <c r="G62" i="64" s="1"/>
  <c r="H62" i="64" s="1"/>
  <c r="I62" i="64" s="1"/>
  <c r="J62" i="64" s="1"/>
  <c r="K62" i="64" s="1"/>
  <c r="L62" i="64" s="1"/>
  <c r="M62" i="64" s="1"/>
  <c r="N62" i="64" s="1"/>
  <c r="O62" i="64" s="1"/>
  <c r="P62" i="64" s="1"/>
  <c r="Q62" i="64" s="1"/>
  <c r="R62" i="64" s="1"/>
  <c r="S62" i="64" s="1"/>
  <c r="T62" i="64" s="1"/>
  <c r="U62" i="64" s="1"/>
  <c r="V62" i="64" s="1"/>
  <c r="W62" i="64" s="1"/>
  <c r="X62" i="64" s="1"/>
  <c r="Y62" i="64" s="1"/>
  <c r="Z62" i="64" s="1"/>
  <c r="AA62" i="64" s="1"/>
  <c r="AB62" i="64" s="1"/>
  <c r="AC62" i="64" s="1"/>
  <c r="AD62" i="64" s="1"/>
  <c r="AE62" i="64" s="1"/>
  <c r="AF62" i="64" s="1"/>
  <c r="AG62" i="64" s="1"/>
  <c r="C53" i="64"/>
  <c r="A53" i="64"/>
  <c r="C52" i="64"/>
  <c r="A52" i="64"/>
  <c r="C51" i="64"/>
  <c r="C49" i="64"/>
  <c r="A49" i="64"/>
  <c r="AG47" i="64"/>
  <c r="AF47" i="64"/>
  <c r="AE47" i="64"/>
  <c r="AD47" i="64"/>
  <c r="AC47" i="64"/>
  <c r="AB47" i="64"/>
  <c r="AA47" i="64"/>
  <c r="Z47" i="64"/>
  <c r="Y47" i="64"/>
  <c r="X47" i="64"/>
  <c r="W47" i="64"/>
  <c r="V47" i="64"/>
  <c r="U47" i="64"/>
  <c r="T47" i="64"/>
  <c r="S47" i="64"/>
  <c r="R47" i="64"/>
  <c r="Q47" i="64"/>
  <c r="P47" i="64"/>
  <c r="O47" i="64"/>
  <c r="N47" i="64"/>
  <c r="M47" i="64"/>
  <c r="L47" i="64"/>
  <c r="K47" i="64"/>
  <c r="J47" i="64"/>
  <c r="I47" i="64"/>
  <c r="H47" i="64"/>
  <c r="G47" i="64"/>
  <c r="F47" i="64"/>
  <c r="E47" i="64"/>
  <c r="D47" i="64"/>
  <c r="C47" i="64"/>
  <c r="C46" i="64"/>
  <c r="C45" i="64"/>
  <c r="C44" i="64"/>
  <c r="C43" i="64"/>
  <c r="C42" i="64"/>
  <c r="AG41" i="64"/>
  <c r="AF41" i="64"/>
  <c r="AE41" i="64"/>
  <c r="AD41" i="64"/>
  <c r="AC41" i="64"/>
  <c r="AB41" i="64"/>
  <c r="AA41" i="64"/>
  <c r="Z41" i="64"/>
  <c r="Y41" i="64"/>
  <c r="X41" i="64"/>
  <c r="W41" i="64"/>
  <c r="V41" i="64"/>
  <c r="U41" i="64"/>
  <c r="T41" i="64"/>
  <c r="S41" i="64"/>
  <c r="R41" i="64"/>
  <c r="Q41" i="64"/>
  <c r="P41" i="64"/>
  <c r="O41" i="64"/>
  <c r="N41" i="64"/>
  <c r="M41" i="64"/>
  <c r="L41" i="64"/>
  <c r="K41" i="64"/>
  <c r="J41" i="64"/>
  <c r="I41" i="64"/>
  <c r="H41" i="64"/>
  <c r="G41" i="64"/>
  <c r="F41" i="64"/>
  <c r="E41" i="64"/>
  <c r="D41" i="64"/>
  <c r="C41" i="64"/>
  <c r="D40" i="64"/>
  <c r="E40" i="64" s="1"/>
  <c r="F40" i="64" s="1"/>
  <c r="G40" i="64" s="1"/>
  <c r="H40" i="64" s="1"/>
  <c r="I40" i="64" s="1"/>
  <c r="J40" i="64" s="1"/>
  <c r="K40" i="64" s="1"/>
  <c r="L40" i="64" s="1"/>
  <c r="M40" i="64" s="1"/>
  <c r="N40" i="64" s="1"/>
  <c r="O40" i="64" s="1"/>
  <c r="P40" i="64" s="1"/>
  <c r="Q40" i="64" s="1"/>
  <c r="R40" i="64" s="1"/>
  <c r="S40" i="64" s="1"/>
  <c r="T40" i="64" s="1"/>
  <c r="U40" i="64" s="1"/>
  <c r="V40" i="64" s="1"/>
  <c r="W40" i="64" s="1"/>
  <c r="X40" i="64" s="1"/>
  <c r="Y40" i="64" s="1"/>
  <c r="Z40" i="64" s="1"/>
  <c r="AA40" i="64" s="1"/>
  <c r="AB40" i="64" s="1"/>
  <c r="AC40" i="64" s="1"/>
  <c r="AD40" i="64" s="1"/>
  <c r="AE40" i="64" s="1"/>
  <c r="AF40" i="64" s="1"/>
  <c r="AG40" i="64" s="1"/>
  <c r="E32" i="64"/>
  <c r="C32" i="64"/>
  <c r="E31" i="64"/>
  <c r="D31" i="64"/>
  <c r="C31" i="64"/>
  <c r="C29" i="64"/>
  <c r="C28" i="64"/>
  <c r="C27" i="64"/>
  <c r="C26" i="64"/>
  <c r="C25" i="64"/>
  <c r="C20" i="64"/>
  <c r="C15" i="64"/>
  <c r="C13" i="64"/>
  <c r="C6" i="64"/>
  <c r="I43" i="4"/>
  <c r="L46" i="3"/>
  <c r="C155" i="63"/>
  <c r="C138" i="63"/>
  <c r="C121" i="63"/>
  <c r="C104" i="63"/>
  <c r="C87" i="63"/>
  <c r="C70" i="63"/>
  <c r="C63" i="63"/>
  <c r="C64" i="63" s="1"/>
  <c r="C55" i="63"/>
  <c r="C20" i="63"/>
  <c r="C6" i="63"/>
  <c r="AH68" i="63"/>
  <c r="C53" i="63"/>
  <c r="A53" i="63"/>
  <c r="C52" i="63"/>
  <c r="A52" i="63"/>
  <c r="C51" i="63"/>
  <c r="C49" i="63"/>
  <c r="A49" i="63"/>
  <c r="AG47" i="63"/>
  <c r="AF47" i="63"/>
  <c r="AE47" i="63"/>
  <c r="AD47" i="63"/>
  <c r="AC47" i="63"/>
  <c r="AB47" i="63"/>
  <c r="AA47" i="63"/>
  <c r="Z47" i="63"/>
  <c r="Y47" i="63"/>
  <c r="X47" i="63"/>
  <c r="W47" i="63"/>
  <c r="V47" i="63"/>
  <c r="U47" i="63"/>
  <c r="T47" i="63"/>
  <c r="S47" i="63"/>
  <c r="R47" i="63"/>
  <c r="Q47" i="63"/>
  <c r="P47" i="63"/>
  <c r="O47" i="63"/>
  <c r="N47" i="63"/>
  <c r="M47" i="63"/>
  <c r="L47" i="63"/>
  <c r="K47" i="63"/>
  <c r="J47" i="63"/>
  <c r="I47" i="63"/>
  <c r="H47" i="63"/>
  <c r="G47" i="63"/>
  <c r="F47" i="63"/>
  <c r="E47" i="63"/>
  <c r="D47" i="63"/>
  <c r="C47" i="63"/>
  <c r="C46" i="63"/>
  <c r="C45" i="63"/>
  <c r="C44" i="63"/>
  <c r="C43" i="63"/>
  <c r="C42" i="63"/>
  <c r="AG41" i="63"/>
  <c r="AF41" i="63"/>
  <c r="AE41" i="63"/>
  <c r="AD41" i="63"/>
  <c r="AC41" i="63"/>
  <c r="AB41" i="63"/>
  <c r="AA41" i="63"/>
  <c r="Z41" i="63"/>
  <c r="Y41" i="63"/>
  <c r="X41" i="63"/>
  <c r="W41" i="63"/>
  <c r="V41" i="63"/>
  <c r="U41" i="63"/>
  <c r="T41" i="63"/>
  <c r="S41" i="63"/>
  <c r="R41" i="63"/>
  <c r="Q41" i="63"/>
  <c r="P41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H36" i="63"/>
  <c r="G36" i="63"/>
  <c r="F36" i="63"/>
  <c r="E36" i="63"/>
  <c r="D36" i="63"/>
  <c r="C36" i="63"/>
  <c r="E32" i="63"/>
  <c r="C32" i="63"/>
  <c r="E31" i="63"/>
  <c r="D31" i="63"/>
  <c r="C31" i="63"/>
  <c r="C29" i="63"/>
  <c r="C28" i="63"/>
  <c r="C27" i="63"/>
  <c r="C26" i="63"/>
  <c r="C25" i="63"/>
  <c r="C24" i="63"/>
  <c r="C22" i="63"/>
  <c r="C21" i="63"/>
  <c r="C17" i="63"/>
  <c r="C16" i="63"/>
  <c r="C15" i="63"/>
  <c r="C14" i="63"/>
  <c r="C13" i="63"/>
  <c r="C12" i="63"/>
  <c r="C5" i="63"/>
  <c r="B3" i="63"/>
  <c r="B2" i="63"/>
  <c r="D40" i="63"/>
  <c r="E40" i="63" s="1"/>
  <c r="F40" i="63" s="1"/>
  <c r="G40" i="63" s="1"/>
  <c r="H40" i="63" s="1"/>
  <c r="I40" i="63" s="1"/>
  <c r="J40" i="63" s="1"/>
  <c r="K40" i="63" s="1"/>
  <c r="L40" i="63" s="1"/>
  <c r="M40" i="63" s="1"/>
  <c r="N40" i="63" s="1"/>
  <c r="O40" i="63" s="1"/>
  <c r="P40" i="63" s="1"/>
  <c r="Q40" i="63" s="1"/>
  <c r="R40" i="63" s="1"/>
  <c r="S40" i="63" s="1"/>
  <c r="T40" i="63" s="1"/>
  <c r="U40" i="63" s="1"/>
  <c r="V40" i="63" s="1"/>
  <c r="W40" i="63" s="1"/>
  <c r="X40" i="63" s="1"/>
  <c r="Y40" i="63" s="1"/>
  <c r="Z40" i="63" s="1"/>
  <c r="AA40" i="63" s="1"/>
  <c r="AB40" i="63" s="1"/>
  <c r="AC40" i="63" s="1"/>
  <c r="AD40" i="63" s="1"/>
  <c r="AE40" i="63" s="1"/>
  <c r="AF40" i="63" s="1"/>
  <c r="AG40" i="63" s="1"/>
  <c r="AI57" i="63"/>
  <c r="D62" i="63"/>
  <c r="E62" i="63" s="1"/>
  <c r="F62" i="63" s="1"/>
  <c r="G62" i="63" s="1"/>
  <c r="H62" i="63" s="1"/>
  <c r="I62" i="63" s="1"/>
  <c r="J62" i="63" s="1"/>
  <c r="K62" i="63" s="1"/>
  <c r="L62" i="63" s="1"/>
  <c r="M62" i="63" s="1"/>
  <c r="N62" i="63" s="1"/>
  <c r="O62" i="63" s="1"/>
  <c r="P62" i="63" s="1"/>
  <c r="Q62" i="63" s="1"/>
  <c r="R62" i="63" s="1"/>
  <c r="S62" i="63" s="1"/>
  <c r="T62" i="63" s="1"/>
  <c r="U62" i="63" s="1"/>
  <c r="V62" i="63" s="1"/>
  <c r="W62" i="63" s="1"/>
  <c r="X62" i="63" s="1"/>
  <c r="Y62" i="63" s="1"/>
  <c r="Z62" i="63" s="1"/>
  <c r="AA62" i="63" s="1"/>
  <c r="AB62" i="63" s="1"/>
  <c r="AC62" i="63" s="1"/>
  <c r="AD62" i="63" s="1"/>
  <c r="AE62" i="63" s="1"/>
  <c r="AF62" i="63" s="1"/>
  <c r="AG62" i="63" s="1"/>
  <c r="D80" i="63"/>
  <c r="E80" i="63" s="1"/>
  <c r="F80" i="63" s="1"/>
  <c r="G80" i="63" s="1"/>
  <c r="H80" i="63" s="1"/>
  <c r="I80" i="63" s="1"/>
  <c r="J80" i="63" s="1"/>
  <c r="K80" i="63" s="1"/>
  <c r="L80" i="63" s="1"/>
  <c r="M80" i="63" s="1"/>
  <c r="N80" i="63" s="1"/>
  <c r="O80" i="63" s="1"/>
  <c r="P80" i="63" s="1"/>
  <c r="Q80" i="63" s="1"/>
  <c r="R80" i="63" s="1"/>
  <c r="S80" i="63" s="1"/>
  <c r="T80" i="63" s="1"/>
  <c r="U80" i="63" s="1"/>
  <c r="V80" i="63" s="1"/>
  <c r="W80" i="63" s="1"/>
  <c r="X80" i="63" s="1"/>
  <c r="Y80" i="63" s="1"/>
  <c r="Z80" i="63" s="1"/>
  <c r="AA80" i="63" s="1"/>
  <c r="AB80" i="63" s="1"/>
  <c r="AC80" i="63" s="1"/>
  <c r="AD80" i="63" s="1"/>
  <c r="AE80" i="63" s="1"/>
  <c r="AF80" i="63" s="1"/>
  <c r="AG80" i="63" s="1"/>
  <c r="D97" i="63"/>
  <c r="E97" i="63" s="1"/>
  <c r="F97" i="63" s="1"/>
  <c r="G97" i="63" s="1"/>
  <c r="H97" i="63" s="1"/>
  <c r="I97" i="63" s="1"/>
  <c r="J97" i="63" s="1"/>
  <c r="K97" i="63" s="1"/>
  <c r="L97" i="63" s="1"/>
  <c r="M97" i="63" s="1"/>
  <c r="N97" i="63" s="1"/>
  <c r="O97" i="63" s="1"/>
  <c r="P97" i="63" s="1"/>
  <c r="Q97" i="63" s="1"/>
  <c r="R97" i="63" s="1"/>
  <c r="S97" i="63" s="1"/>
  <c r="T97" i="63" s="1"/>
  <c r="U97" i="63" s="1"/>
  <c r="V97" i="63" s="1"/>
  <c r="W97" i="63" s="1"/>
  <c r="X97" i="63" s="1"/>
  <c r="Y97" i="63" s="1"/>
  <c r="Z97" i="63" s="1"/>
  <c r="AA97" i="63" s="1"/>
  <c r="AB97" i="63" s="1"/>
  <c r="AC97" i="63" s="1"/>
  <c r="AD97" i="63" s="1"/>
  <c r="AE97" i="63" s="1"/>
  <c r="AF97" i="63" s="1"/>
  <c r="AG97" i="63" s="1"/>
  <c r="D114" i="63"/>
  <c r="E114" i="63" s="1"/>
  <c r="F114" i="63" s="1"/>
  <c r="G114" i="63" s="1"/>
  <c r="H114" i="63" s="1"/>
  <c r="I114" i="63" s="1"/>
  <c r="J114" i="63" s="1"/>
  <c r="K114" i="63" s="1"/>
  <c r="L114" i="63" s="1"/>
  <c r="M114" i="63" s="1"/>
  <c r="N114" i="63" s="1"/>
  <c r="O114" i="63" s="1"/>
  <c r="P114" i="63" s="1"/>
  <c r="Q114" i="63" s="1"/>
  <c r="R114" i="63" s="1"/>
  <c r="S114" i="63" s="1"/>
  <c r="T114" i="63" s="1"/>
  <c r="U114" i="63" s="1"/>
  <c r="V114" i="63" s="1"/>
  <c r="W114" i="63" s="1"/>
  <c r="X114" i="63" s="1"/>
  <c r="Y114" i="63" s="1"/>
  <c r="Z114" i="63" s="1"/>
  <c r="AA114" i="63" s="1"/>
  <c r="AB114" i="63" s="1"/>
  <c r="AC114" i="63" s="1"/>
  <c r="AD114" i="63" s="1"/>
  <c r="AE114" i="63" s="1"/>
  <c r="AF114" i="63" s="1"/>
  <c r="AG114" i="63" s="1"/>
  <c r="D131" i="63"/>
  <c r="E131" i="63" s="1"/>
  <c r="F131" i="63" s="1"/>
  <c r="G131" i="63" s="1"/>
  <c r="H131" i="63" s="1"/>
  <c r="I131" i="63" s="1"/>
  <c r="J131" i="63" s="1"/>
  <c r="K131" i="63" s="1"/>
  <c r="L131" i="63" s="1"/>
  <c r="M131" i="63" s="1"/>
  <c r="N131" i="63" s="1"/>
  <c r="O131" i="63" s="1"/>
  <c r="P131" i="63" s="1"/>
  <c r="Q131" i="63" s="1"/>
  <c r="R131" i="63" s="1"/>
  <c r="S131" i="63" s="1"/>
  <c r="T131" i="63" s="1"/>
  <c r="U131" i="63" s="1"/>
  <c r="V131" i="63" s="1"/>
  <c r="W131" i="63" s="1"/>
  <c r="X131" i="63" s="1"/>
  <c r="Y131" i="63" s="1"/>
  <c r="Z131" i="63" s="1"/>
  <c r="AA131" i="63" s="1"/>
  <c r="AB131" i="63" s="1"/>
  <c r="AC131" i="63" s="1"/>
  <c r="AD131" i="63" s="1"/>
  <c r="AE131" i="63" s="1"/>
  <c r="AF131" i="63" s="1"/>
  <c r="AG131" i="63" s="1"/>
  <c r="D148" i="63"/>
  <c r="E148" i="63" s="1"/>
  <c r="F148" i="63" s="1"/>
  <c r="G148" i="63" s="1"/>
  <c r="H148" i="63" s="1"/>
  <c r="I148" i="63" s="1"/>
  <c r="J148" i="63" s="1"/>
  <c r="K148" i="63" s="1"/>
  <c r="L148" i="63" s="1"/>
  <c r="M148" i="63" s="1"/>
  <c r="N148" i="63" s="1"/>
  <c r="O148" i="63" s="1"/>
  <c r="P148" i="63" s="1"/>
  <c r="Q148" i="63" s="1"/>
  <c r="R148" i="63" s="1"/>
  <c r="S148" i="63" s="1"/>
  <c r="T148" i="63" s="1"/>
  <c r="U148" i="63" s="1"/>
  <c r="V148" i="63" s="1"/>
  <c r="W148" i="63" s="1"/>
  <c r="X148" i="63" s="1"/>
  <c r="Y148" i="63" s="1"/>
  <c r="Z148" i="63" s="1"/>
  <c r="AA148" i="63" s="1"/>
  <c r="AB148" i="63" s="1"/>
  <c r="AC148" i="63" s="1"/>
  <c r="AD148" i="63" s="1"/>
  <c r="AE148" i="63" s="1"/>
  <c r="AF148" i="63" s="1"/>
  <c r="AG148" i="63" s="1"/>
  <c r="D164" i="63"/>
  <c r="E164" i="63" s="1"/>
  <c r="F164" i="63" s="1"/>
  <c r="G164" i="63" s="1"/>
  <c r="H164" i="63" s="1"/>
  <c r="I164" i="63" s="1"/>
  <c r="J164" i="63" s="1"/>
  <c r="K164" i="63" s="1"/>
  <c r="L164" i="63" s="1"/>
  <c r="M164" i="63" s="1"/>
  <c r="N164" i="63" s="1"/>
  <c r="O164" i="63" s="1"/>
  <c r="P164" i="63" s="1"/>
  <c r="Q164" i="63" s="1"/>
  <c r="R164" i="63" s="1"/>
  <c r="S164" i="63" s="1"/>
  <c r="T164" i="63" s="1"/>
  <c r="U164" i="63" s="1"/>
  <c r="V164" i="63" s="1"/>
  <c r="W164" i="63" s="1"/>
  <c r="X164" i="63" s="1"/>
  <c r="Y164" i="63" s="1"/>
  <c r="Z164" i="63" s="1"/>
  <c r="AA164" i="63" s="1"/>
  <c r="AB164" i="63" s="1"/>
  <c r="AC164" i="63" s="1"/>
  <c r="AD164" i="63" s="1"/>
  <c r="AE164" i="63" s="1"/>
  <c r="AF164" i="63" s="1"/>
  <c r="AG164" i="63" s="1"/>
  <c r="A165" i="63"/>
  <c r="B165" i="63" s="1"/>
  <c r="A168" i="63"/>
  <c r="B168" i="63" s="1"/>
  <c r="A169" i="63"/>
  <c r="B169" i="63" s="1"/>
  <c r="A170" i="63"/>
  <c r="B170" i="63" s="1"/>
  <c r="D173" i="63"/>
  <c r="E173" i="63" s="1"/>
  <c r="F173" i="63" s="1"/>
  <c r="G173" i="63" s="1"/>
  <c r="H173" i="63" s="1"/>
  <c r="I173" i="63" s="1"/>
  <c r="J173" i="63" s="1"/>
  <c r="K173" i="63" s="1"/>
  <c r="L173" i="63" s="1"/>
  <c r="M173" i="63" s="1"/>
  <c r="N173" i="63" s="1"/>
  <c r="O173" i="63" s="1"/>
  <c r="P173" i="63" s="1"/>
  <c r="Q173" i="63" s="1"/>
  <c r="R173" i="63" s="1"/>
  <c r="S173" i="63" s="1"/>
  <c r="T173" i="63" s="1"/>
  <c r="U173" i="63" s="1"/>
  <c r="V173" i="63" s="1"/>
  <c r="W173" i="63" s="1"/>
  <c r="X173" i="63" s="1"/>
  <c r="Y173" i="63" s="1"/>
  <c r="Z173" i="63" s="1"/>
  <c r="AA173" i="63" s="1"/>
  <c r="AB173" i="63" s="1"/>
  <c r="AC173" i="63" s="1"/>
  <c r="AD173" i="63" s="1"/>
  <c r="AE173" i="63" s="1"/>
  <c r="AF173" i="63" s="1"/>
  <c r="AG173" i="63" s="1"/>
  <c r="B174" i="63"/>
  <c r="B175" i="63"/>
  <c r="B176" i="63"/>
  <c r="B178" i="63"/>
  <c r="D182" i="63"/>
  <c r="E182" i="63" s="1"/>
  <c r="F182" i="63" s="1"/>
  <c r="G182" i="63" s="1"/>
  <c r="H182" i="63" s="1"/>
  <c r="I182" i="63" s="1"/>
  <c r="J182" i="63" s="1"/>
  <c r="K182" i="63" s="1"/>
  <c r="L182" i="63" s="1"/>
  <c r="M182" i="63" s="1"/>
  <c r="N182" i="63" s="1"/>
  <c r="O182" i="63" s="1"/>
  <c r="P182" i="63" s="1"/>
  <c r="Q182" i="63" s="1"/>
  <c r="R182" i="63" s="1"/>
  <c r="S182" i="63" s="1"/>
  <c r="T182" i="63" s="1"/>
  <c r="U182" i="63" s="1"/>
  <c r="V182" i="63" s="1"/>
  <c r="W182" i="63" s="1"/>
  <c r="X182" i="63" s="1"/>
  <c r="Y182" i="63" s="1"/>
  <c r="Z182" i="63" s="1"/>
  <c r="AA182" i="63" s="1"/>
  <c r="AB182" i="63" s="1"/>
  <c r="AC182" i="63" s="1"/>
  <c r="AD182" i="63" s="1"/>
  <c r="AE182" i="63" s="1"/>
  <c r="AF182" i="63" s="1"/>
  <c r="AG182" i="63" s="1"/>
  <c r="A183" i="63"/>
  <c r="B183" i="63" s="1"/>
  <c r="A184" i="63"/>
  <c r="B184" i="63" s="1"/>
  <c r="A185" i="63"/>
  <c r="B185" i="63" s="1"/>
  <c r="A186" i="63"/>
  <c r="B186" i="63" s="1"/>
  <c r="D191" i="63"/>
  <c r="E191" i="63" s="1"/>
  <c r="F191" i="63" s="1"/>
  <c r="G191" i="63" s="1"/>
  <c r="H191" i="63" s="1"/>
  <c r="I191" i="63" s="1"/>
  <c r="J191" i="63" s="1"/>
  <c r="K191" i="63" s="1"/>
  <c r="L191" i="63" s="1"/>
  <c r="M191" i="63" s="1"/>
  <c r="N191" i="63" s="1"/>
  <c r="O191" i="63" s="1"/>
  <c r="P191" i="63" s="1"/>
  <c r="Q191" i="63" s="1"/>
  <c r="R191" i="63" s="1"/>
  <c r="S191" i="63" s="1"/>
  <c r="T191" i="63" s="1"/>
  <c r="U191" i="63" s="1"/>
  <c r="V191" i="63" s="1"/>
  <c r="W191" i="63" s="1"/>
  <c r="X191" i="63" s="1"/>
  <c r="Y191" i="63" s="1"/>
  <c r="Z191" i="63" s="1"/>
  <c r="AA191" i="63" s="1"/>
  <c r="AB191" i="63" s="1"/>
  <c r="AC191" i="63" s="1"/>
  <c r="AD191" i="63" s="1"/>
  <c r="AE191" i="63" s="1"/>
  <c r="AF191" i="63" s="1"/>
  <c r="AG191" i="63" s="1"/>
  <c r="A193" i="63"/>
  <c r="B118" i="45"/>
  <c r="B119" i="45"/>
  <c r="B120" i="45"/>
  <c r="B121" i="45"/>
  <c r="B122" i="45"/>
  <c r="B123" i="45"/>
  <c r="B124" i="45"/>
  <c r="B125" i="45"/>
  <c r="B117" i="45"/>
  <c r="B104" i="45"/>
  <c r="B103" i="45"/>
  <c r="B113" i="45"/>
  <c r="B112" i="45"/>
  <c r="B105" i="45"/>
  <c r="B106" i="45"/>
  <c r="B107" i="45"/>
  <c r="B108" i="45"/>
  <c r="B109" i="45"/>
  <c r="B110" i="45"/>
  <c r="B111" i="45"/>
  <c r="B94" i="45"/>
  <c r="B95" i="45"/>
  <c r="B96" i="45"/>
  <c r="B97" i="45"/>
  <c r="B98" i="45"/>
  <c r="B99" i="45"/>
  <c r="B100" i="45"/>
  <c r="B93" i="45"/>
  <c r="B92" i="45"/>
  <c r="C97" i="45"/>
  <c r="C98" i="45"/>
  <c r="C99" i="45"/>
  <c r="C100" i="45"/>
  <c r="C96" i="45"/>
  <c r="C95" i="45"/>
  <c r="C94" i="45"/>
  <c r="D42" i="74" s="1"/>
  <c r="C92" i="45"/>
  <c r="C93" i="45"/>
  <c r="C7" i="63" s="1"/>
  <c r="E40" i="46"/>
  <c r="D40" i="46"/>
  <c r="B3" i="62"/>
  <c r="B2" i="62"/>
  <c r="B78" i="45"/>
  <c r="C78" i="45" s="1"/>
  <c r="B77" i="45"/>
  <c r="C77" i="45" s="1"/>
  <c r="B76" i="45"/>
  <c r="C76" i="45" s="1"/>
  <c r="B75" i="45"/>
  <c r="C75" i="45" s="1"/>
  <c r="B74" i="45"/>
  <c r="C74" i="45" s="1"/>
  <c r="B73" i="45"/>
  <c r="C73" i="45" s="1"/>
  <c r="B72" i="45"/>
  <c r="C72" i="45" s="1"/>
  <c r="B70" i="45"/>
  <c r="C70" i="45" s="1"/>
  <c r="B71" i="45"/>
  <c r="C71" i="45" s="1"/>
  <c r="B67" i="45"/>
  <c r="B66" i="45"/>
  <c r="B65" i="45"/>
  <c r="B64" i="45"/>
  <c r="B63" i="45"/>
  <c r="B62" i="45"/>
  <c r="B61" i="45"/>
  <c r="B60" i="45"/>
  <c r="B59" i="45"/>
  <c r="BN54" i="2" l="1"/>
  <c r="BR54" i="2" s="1"/>
  <c r="BA54" i="2"/>
  <c r="AN54" i="2"/>
  <c r="CA54" i="2"/>
  <c r="CN54" i="2"/>
  <c r="A177" i="63"/>
  <c r="B177" i="63" s="1"/>
  <c r="BN43" i="2"/>
  <c r="AN43" i="2"/>
  <c r="CA43" i="2"/>
  <c r="BA43" i="2"/>
  <c r="CN43" i="2"/>
  <c r="AC15" i="45"/>
  <c r="AB18" i="45"/>
  <c r="AB7" i="45"/>
  <c r="CJ77" i="2"/>
  <c r="H74" i="4" s="1"/>
  <c r="Q74" i="4" s="1"/>
  <c r="G157" i="3"/>
  <c r="H157" i="3"/>
  <c r="K157" i="3"/>
  <c r="J157" i="3"/>
  <c r="I157" i="3"/>
  <c r="BN99" i="2"/>
  <c r="BK88" i="2"/>
  <c r="I92" i="3" s="1"/>
  <c r="U92" i="3" s="1"/>
  <c r="BJ88" i="2"/>
  <c r="H92" i="3" s="1"/>
  <c r="T92" i="3" s="1"/>
  <c r="BI88" i="2"/>
  <c r="G92" i="3" s="1"/>
  <c r="S92" i="3" s="1"/>
  <c r="BH88" i="2"/>
  <c r="F92" i="3" s="1"/>
  <c r="R92" i="3" s="1"/>
  <c r="BL88" i="2"/>
  <c r="J92" i="3" s="1"/>
  <c r="V92" i="3" s="1"/>
  <c r="BN100" i="2"/>
  <c r="BM89" i="2"/>
  <c r="K93" i="3" s="1"/>
  <c r="W93" i="3" s="1"/>
  <c r="BL89" i="2"/>
  <c r="J93" i="3" s="1"/>
  <c r="V93" i="3" s="1"/>
  <c r="BK89" i="2"/>
  <c r="I93" i="3" s="1"/>
  <c r="U93" i="3" s="1"/>
  <c r="BJ89" i="2"/>
  <c r="H93" i="3" s="1"/>
  <c r="T93" i="3" s="1"/>
  <c r="BI89" i="2"/>
  <c r="G93" i="3" s="1"/>
  <c r="S93" i="3" s="1"/>
  <c r="BH89" i="2"/>
  <c r="F93" i="3" s="1"/>
  <c r="R93" i="3" s="1"/>
  <c r="AA11" i="45"/>
  <c r="D111" i="74"/>
  <c r="AB60" i="75"/>
  <c r="A192" i="63"/>
  <c r="A192" i="64"/>
  <c r="A194" i="63"/>
  <c r="A179" i="63"/>
  <c r="A187" i="63"/>
  <c r="B187" i="63" s="1"/>
  <c r="C48" i="63"/>
  <c r="C50" i="63" s="1"/>
  <c r="F96" i="4"/>
  <c r="O96" i="4" s="1"/>
  <c r="G96" i="4"/>
  <c r="P96" i="4" s="1"/>
  <c r="BR121" i="2"/>
  <c r="CL110" i="2"/>
  <c r="CI110" i="2" s="1"/>
  <c r="BS99" i="2"/>
  <c r="CM88" i="2"/>
  <c r="BM88" i="2"/>
  <c r="K92" i="3" s="1"/>
  <c r="W92" i="3" s="1"/>
  <c r="C63" i="45"/>
  <c r="B146" i="45"/>
  <c r="C65" i="45"/>
  <c r="B148" i="45"/>
  <c r="C66" i="45"/>
  <c r="B149" i="45"/>
  <c r="C67" i="45"/>
  <c r="B150" i="45"/>
  <c r="C59" i="45"/>
  <c r="B142" i="45"/>
  <c r="C60" i="45"/>
  <c r="B143" i="45"/>
  <c r="C61" i="45"/>
  <c r="B144" i="45"/>
  <c r="C62" i="45"/>
  <c r="B145" i="45"/>
  <c r="C64" i="45"/>
  <c r="B147" i="45"/>
  <c r="C48" i="64"/>
  <c r="C50" i="64" s="1"/>
  <c r="C81" i="63"/>
  <c r="C84" i="63" s="1"/>
  <c r="C91" i="63" s="1"/>
  <c r="C66" i="63"/>
  <c r="C74" i="63" s="1"/>
  <c r="C60" i="63"/>
  <c r="C59" i="63"/>
  <c r="C105" i="63" s="1"/>
  <c r="C81" i="66"/>
  <c r="C7" i="66"/>
  <c r="C81" i="64"/>
  <c r="C82" i="64" s="1"/>
  <c r="C94" i="64" s="1"/>
  <c r="C7" i="64"/>
  <c r="F37" i="63"/>
  <c r="C72" i="63"/>
  <c r="D37" i="63"/>
  <c r="E37" i="63"/>
  <c r="C77" i="63"/>
  <c r="C81" i="65"/>
  <c r="C7" i="65"/>
  <c r="G37" i="63"/>
  <c r="C136" i="63" s="1"/>
  <c r="C143" i="63" s="1"/>
  <c r="C81" i="67"/>
  <c r="C7" i="67"/>
  <c r="H37" i="63"/>
  <c r="C37" i="63"/>
  <c r="Y67" i="63" s="1"/>
  <c r="BP54" i="2"/>
  <c r="BP43" i="2"/>
  <c r="BO43" i="2"/>
  <c r="BR43" i="2"/>
  <c r="A179" i="64"/>
  <c r="A194" i="64"/>
  <c r="B170" i="64"/>
  <c r="A193" i="64"/>
  <c r="B169" i="64"/>
  <c r="A177" i="64"/>
  <c r="B168" i="64"/>
  <c r="C77" i="64"/>
  <c r="C72" i="64"/>
  <c r="C66" i="64"/>
  <c r="C74" i="64" s="1"/>
  <c r="C69" i="64"/>
  <c r="C60" i="64"/>
  <c r="C59" i="64"/>
  <c r="H37" i="64"/>
  <c r="F37" i="64"/>
  <c r="D37" i="64"/>
  <c r="G37" i="64"/>
  <c r="C37" i="64"/>
  <c r="E37" i="64"/>
  <c r="C69" i="63"/>
  <c r="B56" i="45"/>
  <c r="B55" i="45"/>
  <c r="B54" i="45"/>
  <c r="B53" i="45"/>
  <c r="B52" i="45"/>
  <c r="B51" i="45"/>
  <c r="B50" i="45"/>
  <c r="B49" i="45"/>
  <c r="B48" i="45"/>
  <c r="BO54" i="2" l="1"/>
  <c r="CE54" i="2"/>
  <c r="CB54" i="2"/>
  <c r="CC54" i="2"/>
  <c r="AR54" i="2"/>
  <c r="AO54" i="2"/>
  <c r="AP54" i="2"/>
  <c r="BC54" i="2"/>
  <c r="BE54" i="2"/>
  <c r="BB54" i="2"/>
  <c r="BE43" i="2"/>
  <c r="BC43" i="2"/>
  <c r="BB43" i="2"/>
  <c r="CB43" i="2"/>
  <c r="CE43" i="2"/>
  <c r="CC43" i="2"/>
  <c r="AR43" i="2"/>
  <c r="AP43" i="2"/>
  <c r="AO43" i="2"/>
  <c r="AD15" i="45"/>
  <c r="AC18" i="45"/>
  <c r="AC7" i="45"/>
  <c r="CJ88" i="2"/>
  <c r="H85" i="4" s="1"/>
  <c r="Q85" i="4" s="1"/>
  <c r="CL43" i="2"/>
  <c r="CL54" i="2"/>
  <c r="BN111" i="2"/>
  <c r="BM100" i="2"/>
  <c r="K105" i="3" s="1"/>
  <c r="W105" i="3" s="1"/>
  <c r="BL100" i="2"/>
  <c r="J105" i="3" s="1"/>
  <c r="V105" i="3" s="1"/>
  <c r="BK100" i="2"/>
  <c r="I105" i="3" s="1"/>
  <c r="U105" i="3" s="1"/>
  <c r="BJ100" i="2"/>
  <c r="H105" i="3" s="1"/>
  <c r="T105" i="3" s="1"/>
  <c r="BI100" i="2"/>
  <c r="G105" i="3" s="1"/>
  <c r="S105" i="3" s="1"/>
  <c r="BH100" i="2"/>
  <c r="F105" i="3" s="1"/>
  <c r="R105" i="3" s="1"/>
  <c r="BN110" i="2"/>
  <c r="BK99" i="2"/>
  <c r="I104" i="3" s="1"/>
  <c r="U104" i="3" s="1"/>
  <c r="BJ99" i="2"/>
  <c r="H104" i="3" s="1"/>
  <c r="T104" i="3" s="1"/>
  <c r="BI99" i="2"/>
  <c r="G104" i="3" s="1"/>
  <c r="S104" i="3" s="1"/>
  <c r="BH99" i="2"/>
  <c r="F104" i="3" s="1"/>
  <c r="R104" i="3" s="1"/>
  <c r="BL99" i="2"/>
  <c r="J104" i="3" s="1"/>
  <c r="V104" i="3" s="1"/>
  <c r="AB11" i="45"/>
  <c r="C119" i="63"/>
  <c r="C126" i="63" s="1"/>
  <c r="B179" i="63"/>
  <c r="A188" i="63"/>
  <c r="B188" i="63" s="1"/>
  <c r="BS110" i="2"/>
  <c r="CM99" i="2"/>
  <c r="BM99" i="2"/>
  <c r="K104" i="3" s="1"/>
  <c r="W104" i="3" s="1"/>
  <c r="F107" i="4"/>
  <c r="O107" i="4" s="1"/>
  <c r="G107" i="4"/>
  <c r="P107" i="4" s="1"/>
  <c r="BR132" i="2"/>
  <c r="CL121" i="2"/>
  <c r="CI121" i="2" s="1"/>
  <c r="C156" i="64"/>
  <c r="C122" i="64"/>
  <c r="C139" i="64"/>
  <c r="C88" i="63"/>
  <c r="AH150" i="45"/>
  <c r="AI150" i="45"/>
  <c r="C51" i="45"/>
  <c r="B132" i="45"/>
  <c r="C52" i="45"/>
  <c r="B133" i="45"/>
  <c r="AH145" i="45"/>
  <c r="AI145" i="45"/>
  <c r="AH144" i="45"/>
  <c r="AI144" i="45"/>
  <c r="AH149" i="45"/>
  <c r="AI149" i="45"/>
  <c r="C53" i="45"/>
  <c r="B134" i="45"/>
  <c r="C55" i="45"/>
  <c r="B136" i="45"/>
  <c r="AH143" i="45"/>
  <c r="AI143" i="45"/>
  <c r="AH147" i="45"/>
  <c r="AI147" i="45"/>
  <c r="AH148" i="45"/>
  <c r="AI148" i="45"/>
  <c r="C49" i="45"/>
  <c r="B130" i="45"/>
  <c r="C54" i="45"/>
  <c r="B135" i="45"/>
  <c r="C56" i="45"/>
  <c r="B137" i="45"/>
  <c r="C84" i="64"/>
  <c r="C91" i="64" s="1"/>
  <c r="AH142" i="45"/>
  <c r="AI142" i="45"/>
  <c r="C50" i="45"/>
  <c r="B131" i="45"/>
  <c r="AH146" i="45"/>
  <c r="AI146" i="45"/>
  <c r="C48" i="45"/>
  <c r="B129" i="45"/>
  <c r="C102" i="63"/>
  <c r="C109" i="63" s="1"/>
  <c r="AD67" i="63"/>
  <c r="Q67" i="63"/>
  <c r="L67" i="63"/>
  <c r="C153" i="63"/>
  <c r="C160" i="63" s="1"/>
  <c r="C89" i="64"/>
  <c r="C89" i="63"/>
  <c r="C82" i="63"/>
  <c r="C94" i="63" s="1"/>
  <c r="K67" i="63"/>
  <c r="C71" i="63"/>
  <c r="C76" i="63" s="1"/>
  <c r="C85" i="63"/>
  <c r="C92" i="63" s="1"/>
  <c r="I67" i="63"/>
  <c r="U67" i="63"/>
  <c r="G67" i="63"/>
  <c r="E67" i="63"/>
  <c r="C67" i="63"/>
  <c r="Z67" i="63"/>
  <c r="X67" i="63"/>
  <c r="C68" i="63"/>
  <c r="AG67" i="63"/>
  <c r="AC67" i="63"/>
  <c r="M67" i="63"/>
  <c r="AF67" i="63"/>
  <c r="AB67" i="63"/>
  <c r="T67" i="63"/>
  <c r="P67" i="63"/>
  <c r="H67" i="63"/>
  <c r="D67" i="63"/>
  <c r="AE67" i="63"/>
  <c r="AA67" i="63"/>
  <c r="W67" i="63"/>
  <c r="S67" i="63"/>
  <c r="O67" i="63"/>
  <c r="C82" i="67"/>
  <c r="C94" i="67" s="1"/>
  <c r="C89" i="67"/>
  <c r="C84" i="67"/>
  <c r="C91" i="67" s="1"/>
  <c r="C82" i="65"/>
  <c r="C94" i="65" s="1"/>
  <c r="C89" i="65"/>
  <c r="C84" i="65"/>
  <c r="C91" i="65" s="1"/>
  <c r="C82" i="66"/>
  <c r="C94" i="66" s="1"/>
  <c r="C84" i="66"/>
  <c r="C91" i="66" s="1"/>
  <c r="C89" i="66"/>
  <c r="V67" i="63"/>
  <c r="R67" i="63"/>
  <c r="N67" i="63"/>
  <c r="J67" i="63"/>
  <c r="F67" i="63"/>
  <c r="B179" i="64"/>
  <c r="A188" i="64"/>
  <c r="B188" i="64" s="1"/>
  <c r="B177" i="64"/>
  <c r="A186" i="64"/>
  <c r="B186" i="64" s="1"/>
  <c r="C71" i="64"/>
  <c r="C76" i="64" s="1"/>
  <c r="C88" i="64"/>
  <c r="C105" i="64"/>
  <c r="C153" i="64"/>
  <c r="C160" i="64" s="1"/>
  <c r="C119" i="64"/>
  <c r="C126" i="64" s="1"/>
  <c r="C85" i="64"/>
  <c r="C92" i="64" s="1"/>
  <c r="C136" i="64"/>
  <c r="C143" i="64" s="1"/>
  <c r="C67" i="64"/>
  <c r="D67" i="64"/>
  <c r="E67" i="64"/>
  <c r="F67" i="64"/>
  <c r="G67" i="64"/>
  <c r="H67" i="64"/>
  <c r="I67" i="64"/>
  <c r="J67" i="64"/>
  <c r="K67" i="64"/>
  <c r="L67" i="64"/>
  <c r="M67" i="64"/>
  <c r="N67" i="64"/>
  <c r="O67" i="64"/>
  <c r="P67" i="64"/>
  <c r="Q67" i="64"/>
  <c r="R67" i="64"/>
  <c r="S67" i="64"/>
  <c r="T67" i="64"/>
  <c r="U67" i="64"/>
  <c r="V67" i="64"/>
  <c r="W67" i="64"/>
  <c r="X67" i="64"/>
  <c r="Y67" i="64"/>
  <c r="Z67" i="64"/>
  <c r="AA67" i="64"/>
  <c r="AB67" i="64"/>
  <c r="AC67" i="64"/>
  <c r="AD67" i="64"/>
  <c r="AE67" i="64"/>
  <c r="AF67" i="64"/>
  <c r="AG67" i="64"/>
  <c r="C68" i="64"/>
  <c r="C102" i="64"/>
  <c r="C109" i="64" s="1"/>
  <c r="C156" i="63"/>
  <c r="C139" i="63"/>
  <c r="C122" i="63"/>
  <c r="K61" i="3"/>
  <c r="J61" i="3"/>
  <c r="I61" i="3"/>
  <c r="H61" i="3"/>
  <c r="G61" i="3"/>
  <c r="D56" i="2"/>
  <c r="D55" i="2"/>
  <c r="D54" i="2"/>
  <c r="D53" i="2"/>
  <c r="D52" i="2"/>
  <c r="K49" i="3"/>
  <c r="J49" i="3"/>
  <c r="I49" i="3"/>
  <c r="H49" i="3"/>
  <c r="G49" i="3"/>
  <c r="D45" i="2"/>
  <c r="D44" i="2"/>
  <c r="D43" i="2"/>
  <c r="D42" i="2"/>
  <c r="D41" i="2"/>
  <c r="K37" i="3"/>
  <c r="J37" i="3"/>
  <c r="I37" i="3"/>
  <c r="H37" i="3"/>
  <c r="G37" i="3"/>
  <c r="D34" i="2"/>
  <c r="D33" i="2"/>
  <c r="D32" i="2"/>
  <c r="D31" i="2"/>
  <c r="D30" i="2"/>
  <c r="K25" i="3"/>
  <c r="J25" i="3"/>
  <c r="I25" i="3"/>
  <c r="H25" i="3"/>
  <c r="G25" i="3"/>
  <c r="D23" i="2"/>
  <c r="D22" i="2"/>
  <c r="D21" i="2"/>
  <c r="D20" i="2"/>
  <c r="D19" i="2"/>
  <c r="D12" i="2"/>
  <c r="D11" i="2"/>
  <c r="D10" i="2"/>
  <c r="D9" i="2"/>
  <c r="D8" i="2"/>
  <c r="BS1" i="2"/>
  <c r="C121" i="62"/>
  <c r="C104" i="62"/>
  <c r="C87" i="62"/>
  <c r="C70" i="62"/>
  <c r="C63" i="62"/>
  <c r="C64" i="62" s="1"/>
  <c r="C55" i="62"/>
  <c r="D36" i="62"/>
  <c r="G36" i="62"/>
  <c r="C36" i="62"/>
  <c r="C24" i="62"/>
  <c r="C22" i="62"/>
  <c r="C20" i="62"/>
  <c r="C17" i="62"/>
  <c r="C16" i="62"/>
  <c r="C14" i="62"/>
  <c r="C13" i="62"/>
  <c r="C6" i="62"/>
  <c r="C12" i="62"/>
  <c r="C5" i="62"/>
  <c r="D191" i="62"/>
  <c r="E191" i="62" s="1"/>
  <c r="F191" i="62" s="1"/>
  <c r="G191" i="62" s="1"/>
  <c r="H191" i="62" s="1"/>
  <c r="I191" i="62" s="1"/>
  <c r="J191" i="62" s="1"/>
  <c r="K191" i="62" s="1"/>
  <c r="L191" i="62" s="1"/>
  <c r="M191" i="62" s="1"/>
  <c r="N191" i="62" s="1"/>
  <c r="O191" i="62" s="1"/>
  <c r="P191" i="62" s="1"/>
  <c r="Q191" i="62" s="1"/>
  <c r="R191" i="62" s="1"/>
  <c r="S191" i="62" s="1"/>
  <c r="T191" i="62" s="1"/>
  <c r="U191" i="62" s="1"/>
  <c r="V191" i="62" s="1"/>
  <c r="W191" i="62" s="1"/>
  <c r="X191" i="62" s="1"/>
  <c r="Y191" i="62" s="1"/>
  <c r="Z191" i="62" s="1"/>
  <c r="AA191" i="62" s="1"/>
  <c r="AB191" i="62" s="1"/>
  <c r="AC191" i="62" s="1"/>
  <c r="AD191" i="62" s="1"/>
  <c r="AE191" i="62" s="1"/>
  <c r="AF191" i="62" s="1"/>
  <c r="AG191" i="62" s="1"/>
  <c r="A186" i="62"/>
  <c r="B186" i="62" s="1"/>
  <c r="A185" i="62"/>
  <c r="B185" i="62" s="1"/>
  <c r="A184" i="62"/>
  <c r="B184" i="62" s="1"/>
  <c r="A183" i="62"/>
  <c r="B183" i="62" s="1"/>
  <c r="D182" i="62"/>
  <c r="E182" i="62" s="1"/>
  <c r="F182" i="62" s="1"/>
  <c r="G182" i="62" s="1"/>
  <c r="H182" i="62" s="1"/>
  <c r="I182" i="62" s="1"/>
  <c r="J182" i="62" s="1"/>
  <c r="K182" i="62" s="1"/>
  <c r="L182" i="62" s="1"/>
  <c r="M182" i="62" s="1"/>
  <c r="N182" i="62" s="1"/>
  <c r="O182" i="62" s="1"/>
  <c r="P182" i="62" s="1"/>
  <c r="Q182" i="62" s="1"/>
  <c r="R182" i="62" s="1"/>
  <c r="S182" i="62" s="1"/>
  <c r="T182" i="62" s="1"/>
  <c r="U182" i="62" s="1"/>
  <c r="V182" i="62" s="1"/>
  <c r="W182" i="62" s="1"/>
  <c r="X182" i="62" s="1"/>
  <c r="Y182" i="62" s="1"/>
  <c r="Z182" i="62" s="1"/>
  <c r="AA182" i="62" s="1"/>
  <c r="AB182" i="62" s="1"/>
  <c r="AC182" i="62" s="1"/>
  <c r="AD182" i="62" s="1"/>
  <c r="AE182" i="62" s="1"/>
  <c r="AF182" i="62" s="1"/>
  <c r="AG182" i="62" s="1"/>
  <c r="B178" i="62"/>
  <c r="B176" i="62"/>
  <c r="B175" i="62"/>
  <c r="B174" i="62"/>
  <c r="D173" i="62"/>
  <c r="E173" i="62" s="1"/>
  <c r="F173" i="62" s="1"/>
  <c r="G173" i="62" s="1"/>
  <c r="H173" i="62" s="1"/>
  <c r="I173" i="62" s="1"/>
  <c r="J173" i="62" s="1"/>
  <c r="K173" i="62" s="1"/>
  <c r="L173" i="62" s="1"/>
  <c r="M173" i="62" s="1"/>
  <c r="N173" i="62" s="1"/>
  <c r="O173" i="62" s="1"/>
  <c r="P173" i="62" s="1"/>
  <c r="Q173" i="62" s="1"/>
  <c r="R173" i="62" s="1"/>
  <c r="S173" i="62" s="1"/>
  <c r="T173" i="62" s="1"/>
  <c r="U173" i="62" s="1"/>
  <c r="V173" i="62" s="1"/>
  <c r="W173" i="62" s="1"/>
  <c r="X173" i="62" s="1"/>
  <c r="Y173" i="62" s="1"/>
  <c r="Z173" i="62" s="1"/>
  <c r="AA173" i="62" s="1"/>
  <c r="AB173" i="62" s="1"/>
  <c r="AC173" i="62" s="1"/>
  <c r="AD173" i="62" s="1"/>
  <c r="AE173" i="62" s="1"/>
  <c r="AF173" i="62" s="1"/>
  <c r="AG173" i="62" s="1"/>
  <c r="A170" i="62"/>
  <c r="A169" i="62"/>
  <c r="A168" i="62"/>
  <c r="A165" i="62"/>
  <c r="D164" i="62"/>
  <c r="E164" i="62" s="1"/>
  <c r="F164" i="62" s="1"/>
  <c r="G164" i="62" s="1"/>
  <c r="H164" i="62" s="1"/>
  <c r="I164" i="62" s="1"/>
  <c r="J164" i="62" s="1"/>
  <c r="K164" i="62" s="1"/>
  <c r="L164" i="62" s="1"/>
  <c r="M164" i="62" s="1"/>
  <c r="N164" i="62" s="1"/>
  <c r="O164" i="62" s="1"/>
  <c r="P164" i="62" s="1"/>
  <c r="Q164" i="62" s="1"/>
  <c r="R164" i="62" s="1"/>
  <c r="S164" i="62" s="1"/>
  <c r="T164" i="62" s="1"/>
  <c r="U164" i="62" s="1"/>
  <c r="V164" i="62" s="1"/>
  <c r="W164" i="62" s="1"/>
  <c r="X164" i="62" s="1"/>
  <c r="Y164" i="62" s="1"/>
  <c r="Z164" i="62" s="1"/>
  <c r="AA164" i="62" s="1"/>
  <c r="AB164" i="62" s="1"/>
  <c r="AC164" i="62" s="1"/>
  <c r="AD164" i="62" s="1"/>
  <c r="AE164" i="62" s="1"/>
  <c r="AF164" i="62" s="1"/>
  <c r="AG164" i="62" s="1"/>
  <c r="D148" i="62"/>
  <c r="E148" i="62" s="1"/>
  <c r="F148" i="62" s="1"/>
  <c r="G148" i="62" s="1"/>
  <c r="H148" i="62" s="1"/>
  <c r="I148" i="62" s="1"/>
  <c r="J148" i="62" s="1"/>
  <c r="K148" i="62" s="1"/>
  <c r="L148" i="62" s="1"/>
  <c r="M148" i="62" s="1"/>
  <c r="N148" i="62" s="1"/>
  <c r="O148" i="62" s="1"/>
  <c r="P148" i="62" s="1"/>
  <c r="Q148" i="62" s="1"/>
  <c r="R148" i="62" s="1"/>
  <c r="S148" i="62" s="1"/>
  <c r="T148" i="62" s="1"/>
  <c r="U148" i="62" s="1"/>
  <c r="V148" i="62" s="1"/>
  <c r="W148" i="62" s="1"/>
  <c r="X148" i="62" s="1"/>
  <c r="Y148" i="62" s="1"/>
  <c r="Z148" i="62" s="1"/>
  <c r="AA148" i="62" s="1"/>
  <c r="AB148" i="62" s="1"/>
  <c r="AC148" i="62" s="1"/>
  <c r="AD148" i="62" s="1"/>
  <c r="AE148" i="62" s="1"/>
  <c r="AF148" i="62" s="1"/>
  <c r="AG148" i="62" s="1"/>
  <c r="D131" i="62"/>
  <c r="E131" i="62" s="1"/>
  <c r="F131" i="62" s="1"/>
  <c r="G131" i="62" s="1"/>
  <c r="H131" i="62" s="1"/>
  <c r="I131" i="62" s="1"/>
  <c r="J131" i="62" s="1"/>
  <c r="K131" i="62" s="1"/>
  <c r="L131" i="62" s="1"/>
  <c r="M131" i="62" s="1"/>
  <c r="N131" i="62" s="1"/>
  <c r="O131" i="62" s="1"/>
  <c r="P131" i="62" s="1"/>
  <c r="Q131" i="62" s="1"/>
  <c r="R131" i="62" s="1"/>
  <c r="S131" i="62" s="1"/>
  <c r="T131" i="62" s="1"/>
  <c r="U131" i="62" s="1"/>
  <c r="V131" i="62" s="1"/>
  <c r="W131" i="62" s="1"/>
  <c r="X131" i="62" s="1"/>
  <c r="Y131" i="62" s="1"/>
  <c r="Z131" i="62" s="1"/>
  <c r="AA131" i="62" s="1"/>
  <c r="AB131" i="62" s="1"/>
  <c r="AC131" i="62" s="1"/>
  <c r="AD131" i="62" s="1"/>
  <c r="AE131" i="62" s="1"/>
  <c r="AF131" i="62" s="1"/>
  <c r="AG131" i="62" s="1"/>
  <c r="D114" i="62"/>
  <c r="E114" i="62" s="1"/>
  <c r="F114" i="62" s="1"/>
  <c r="G114" i="62" s="1"/>
  <c r="H114" i="62" s="1"/>
  <c r="I114" i="62" s="1"/>
  <c r="J114" i="62" s="1"/>
  <c r="K114" i="62" s="1"/>
  <c r="L114" i="62" s="1"/>
  <c r="M114" i="62" s="1"/>
  <c r="N114" i="62" s="1"/>
  <c r="O114" i="62" s="1"/>
  <c r="P114" i="62" s="1"/>
  <c r="Q114" i="62" s="1"/>
  <c r="R114" i="62" s="1"/>
  <c r="S114" i="62" s="1"/>
  <c r="T114" i="62" s="1"/>
  <c r="U114" i="62" s="1"/>
  <c r="V114" i="62" s="1"/>
  <c r="W114" i="62" s="1"/>
  <c r="X114" i="62" s="1"/>
  <c r="Y114" i="62" s="1"/>
  <c r="Z114" i="62" s="1"/>
  <c r="AA114" i="62" s="1"/>
  <c r="AB114" i="62" s="1"/>
  <c r="AC114" i="62" s="1"/>
  <c r="AD114" i="62" s="1"/>
  <c r="AE114" i="62" s="1"/>
  <c r="AF114" i="62" s="1"/>
  <c r="AG114" i="62" s="1"/>
  <c r="D97" i="62"/>
  <c r="E97" i="62" s="1"/>
  <c r="F97" i="62" s="1"/>
  <c r="G97" i="62" s="1"/>
  <c r="H97" i="62" s="1"/>
  <c r="I97" i="62" s="1"/>
  <c r="J97" i="62" s="1"/>
  <c r="K97" i="62" s="1"/>
  <c r="L97" i="62" s="1"/>
  <c r="M97" i="62" s="1"/>
  <c r="N97" i="62" s="1"/>
  <c r="O97" i="62" s="1"/>
  <c r="P97" i="62" s="1"/>
  <c r="Q97" i="62" s="1"/>
  <c r="R97" i="62" s="1"/>
  <c r="S97" i="62" s="1"/>
  <c r="T97" i="62" s="1"/>
  <c r="U97" i="62" s="1"/>
  <c r="V97" i="62" s="1"/>
  <c r="W97" i="62" s="1"/>
  <c r="X97" i="62" s="1"/>
  <c r="Y97" i="62" s="1"/>
  <c r="Z97" i="62" s="1"/>
  <c r="AA97" i="62" s="1"/>
  <c r="AB97" i="62" s="1"/>
  <c r="AC97" i="62" s="1"/>
  <c r="AD97" i="62" s="1"/>
  <c r="AE97" i="62" s="1"/>
  <c r="AF97" i="62" s="1"/>
  <c r="AG97" i="62" s="1"/>
  <c r="D80" i="62"/>
  <c r="E80" i="62" s="1"/>
  <c r="F80" i="62" s="1"/>
  <c r="G80" i="62" s="1"/>
  <c r="H80" i="62" s="1"/>
  <c r="I80" i="62" s="1"/>
  <c r="J80" i="62" s="1"/>
  <c r="K80" i="62" s="1"/>
  <c r="L80" i="62" s="1"/>
  <c r="M80" i="62" s="1"/>
  <c r="N80" i="62" s="1"/>
  <c r="O80" i="62" s="1"/>
  <c r="P80" i="62" s="1"/>
  <c r="Q80" i="62" s="1"/>
  <c r="R80" i="62" s="1"/>
  <c r="S80" i="62" s="1"/>
  <c r="T80" i="62" s="1"/>
  <c r="U80" i="62" s="1"/>
  <c r="V80" i="62" s="1"/>
  <c r="W80" i="62" s="1"/>
  <c r="X80" i="62" s="1"/>
  <c r="Y80" i="62" s="1"/>
  <c r="Z80" i="62" s="1"/>
  <c r="AA80" i="62" s="1"/>
  <c r="AB80" i="62" s="1"/>
  <c r="AC80" i="62" s="1"/>
  <c r="AD80" i="62" s="1"/>
  <c r="AE80" i="62" s="1"/>
  <c r="AF80" i="62" s="1"/>
  <c r="AG80" i="62" s="1"/>
  <c r="AH68" i="62"/>
  <c r="D62" i="62"/>
  <c r="E62" i="62" s="1"/>
  <c r="F62" i="62" s="1"/>
  <c r="G62" i="62" s="1"/>
  <c r="H62" i="62" s="1"/>
  <c r="I62" i="62" s="1"/>
  <c r="J62" i="62" s="1"/>
  <c r="K62" i="62" s="1"/>
  <c r="L62" i="62" s="1"/>
  <c r="M62" i="62" s="1"/>
  <c r="N62" i="62" s="1"/>
  <c r="O62" i="62" s="1"/>
  <c r="P62" i="62" s="1"/>
  <c r="Q62" i="62" s="1"/>
  <c r="R62" i="62" s="1"/>
  <c r="S62" i="62" s="1"/>
  <c r="T62" i="62" s="1"/>
  <c r="U62" i="62" s="1"/>
  <c r="V62" i="62" s="1"/>
  <c r="W62" i="62" s="1"/>
  <c r="X62" i="62" s="1"/>
  <c r="Y62" i="62" s="1"/>
  <c r="Z62" i="62" s="1"/>
  <c r="AA62" i="62" s="1"/>
  <c r="AB62" i="62" s="1"/>
  <c r="AC62" i="62" s="1"/>
  <c r="AD62" i="62" s="1"/>
  <c r="AE62" i="62" s="1"/>
  <c r="AF62" i="62" s="1"/>
  <c r="AG62" i="62" s="1"/>
  <c r="C53" i="62"/>
  <c r="A53" i="62"/>
  <c r="C52" i="62"/>
  <c r="A52" i="62"/>
  <c r="C51" i="62"/>
  <c r="C49" i="62"/>
  <c r="A49" i="62"/>
  <c r="AG47" i="62"/>
  <c r="AF47" i="62"/>
  <c r="AE47" i="62"/>
  <c r="AD47" i="62"/>
  <c r="AC47" i="62"/>
  <c r="AB47" i="62"/>
  <c r="AA47" i="62"/>
  <c r="Z47" i="62"/>
  <c r="Y47" i="62"/>
  <c r="X47" i="62"/>
  <c r="W47" i="62"/>
  <c r="V47" i="62"/>
  <c r="U47" i="62"/>
  <c r="T47" i="62"/>
  <c r="S47" i="62"/>
  <c r="R47" i="62"/>
  <c r="Q47" i="62"/>
  <c r="P47" i="62"/>
  <c r="O47" i="62"/>
  <c r="N47" i="62"/>
  <c r="M47" i="62"/>
  <c r="L47" i="62"/>
  <c r="K47" i="62"/>
  <c r="J47" i="62"/>
  <c r="I47" i="62"/>
  <c r="H47" i="62"/>
  <c r="G47" i="62"/>
  <c r="F47" i="62"/>
  <c r="E47" i="62"/>
  <c r="D47" i="62"/>
  <c r="C47" i="62"/>
  <c r="C46" i="62"/>
  <c r="C45" i="62"/>
  <c r="C44" i="62"/>
  <c r="C43" i="62"/>
  <c r="C42" i="62"/>
  <c r="AG41" i="62"/>
  <c r="AF41" i="62"/>
  <c r="AE41" i="62"/>
  <c r="AD41" i="62"/>
  <c r="AC41" i="62"/>
  <c r="AB41" i="62"/>
  <c r="AA41" i="62"/>
  <c r="Z41" i="62"/>
  <c r="Y41" i="62"/>
  <c r="X41" i="62"/>
  <c r="W41" i="62"/>
  <c r="V41" i="62"/>
  <c r="U41" i="62"/>
  <c r="T41" i="62"/>
  <c r="S41" i="62"/>
  <c r="R41" i="62"/>
  <c r="Q41" i="62"/>
  <c r="P41" i="62"/>
  <c r="O41" i="62"/>
  <c r="N41" i="62"/>
  <c r="M41" i="62"/>
  <c r="L41" i="62"/>
  <c r="K41" i="62"/>
  <c r="J41" i="62"/>
  <c r="I41" i="62"/>
  <c r="H41" i="62"/>
  <c r="G41" i="62"/>
  <c r="F41" i="62"/>
  <c r="E41" i="62"/>
  <c r="D41" i="62"/>
  <c r="C41" i="62"/>
  <c r="D40" i="62"/>
  <c r="E40" i="62" s="1"/>
  <c r="F40" i="62" s="1"/>
  <c r="G40" i="62" s="1"/>
  <c r="H40" i="62" s="1"/>
  <c r="I40" i="62" s="1"/>
  <c r="J40" i="62" s="1"/>
  <c r="K40" i="62" s="1"/>
  <c r="L40" i="62" s="1"/>
  <c r="M40" i="62" s="1"/>
  <c r="N40" i="62" s="1"/>
  <c r="O40" i="62" s="1"/>
  <c r="P40" i="62" s="1"/>
  <c r="Q40" i="62" s="1"/>
  <c r="R40" i="62" s="1"/>
  <c r="S40" i="62" s="1"/>
  <c r="T40" i="62" s="1"/>
  <c r="U40" i="62" s="1"/>
  <c r="V40" i="62" s="1"/>
  <c r="W40" i="62" s="1"/>
  <c r="X40" i="62" s="1"/>
  <c r="Y40" i="62" s="1"/>
  <c r="Z40" i="62" s="1"/>
  <c r="AA40" i="62" s="1"/>
  <c r="AB40" i="62" s="1"/>
  <c r="AC40" i="62" s="1"/>
  <c r="AD40" i="62" s="1"/>
  <c r="AE40" i="62" s="1"/>
  <c r="AF40" i="62" s="1"/>
  <c r="AG40" i="62" s="1"/>
  <c r="E32" i="62"/>
  <c r="C32" i="62"/>
  <c r="E31" i="62"/>
  <c r="D31" i="62"/>
  <c r="C31" i="62"/>
  <c r="C29" i="62"/>
  <c r="C28" i="62"/>
  <c r="C27" i="62"/>
  <c r="C26" i="62"/>
  <c r="C25" i="62"/>
  <c r="C21" i="62"/>
  <c r="C15" i="62"/>
  <c r="AH68" i="38"/>
  <c r="AH68" i="61"/>
  <c r="C15" i="38"/>
  <c r="C15" i="61"/>
  <c r="C12" i="61"/>
  <c r="C121" i="61"/>
  <c r="C87" i="61"/>
  <c r="C70" i="61"/>
  <c r="C63" i="61"/>
  <c r="C64" i="61" s="1"/>
  <c r="C55" i="61"/>
  <c r="D36" i="61"/>
  <c r="G36" i="61"/>
  <c r="C36" i="61"/>
  <c r="C24" i="61"/>
  <c r="C22" i="61"/>
  <c r="C21" i="61"/>
  <c r="C20" i="61"/>
  <c r="C17" i="61"/>
  <c r="C16" i="61"/>
  <c r="C14" i="61"/>
  <c r="C6" i="61"/>
  <c r="C5" i="61"/>
  <c r="B3" i="61"/>
  <c r="B2" i="61"/>
  <c r="D191" i="61"/>
  <c r="E191" i="61" s="1"/>
  <c r="F191" i="61" s="1"/>
  <c r="G191" i="61" s="1"/>
  <c r="H191" i="61" s="1"/>
  <c r="I191" i="61" s="1"/>
  <c r="J191" i="61" s="1"/>
  <c r="K191" i="61" s="1"/>
  <c r="L191" i="61" s="1"/>
  <c r="M191" i="61" s="1"/>
  <c r="N191" i="61" s="1"/>
  <c r="O191" i="61" s="1"/>
  <c r="P191" i="61" s="1"/>
  <c r="Q191" i="61" s="1"/>
  <c r="R191" i="61" s="1"/>
  <c r="S191" i="61" s="1"/>
  <c r="T191" i="61" s="1"/>
  <c r="U191" i="61" s="1"/>
  <c r="V191" i="61" s="1"/>
  <c r="W191" i="61" s="1"/>
  <c r="X191" i="61" s="1"/>
  <c r="Y191" i="61" s="1"/>
  <c r="Z191" i="61" s="1"/>
  <c r="AA191" i="61" s="1"/>
  <c r="AB191" i="61" s="1"/>
  <c r="AC191" i="61" s="1"/>
  <c r="AD191" i="61" s="1"/>
  <c r="AE191" i="61" s="1"/>
  <c r="AF191" i="61" s="1"/>
  <c r="AG191" i="61" s="1"/>
  <c r="A187" i="61"/>
  <c r="B187" i="61" s="1"/>
  <c r="A185" i="61"/>
  <c r="B185" i="61" s="1"/>
  <c r="A184" i="61"/>
  <c r="B184" i="61" s="1"/>
  <c r="A183" i="61"/>
  <c r="B183" i="61" s="1"/>
  <c r="D182" i="61"/>
  <c r="E182" i="61" s="1"/>
  <c r="F182" i="61" s="1"/>
  <c r="G182" i="61" s="1"/>
  <c r="H182" i="61" s="1"/>
  <c r="I182" i="61" s="1"/>
  <c r="J182" i="61" s="1"/>
  <c r="K182" i="61" s="1"/>
  <c r="L182" i="61" s="1"/>
  <c r="M182" i="61" s="1"/>
  <c r="N182" i="61" s="1"/>
  <c r="O182" i="61" s="1"/>
  <c r="P182" i="61" s="1"/>
  <c r="Q182" i="61" s="1"/>
  <c r="R182" i="61" s="1"/>
  <c r="S182" i="61" s="1"/>
  <c r="T182" i="61" s="1"/>
  <c r="U182" i="61" s="1"/>
  <c r="V182" i="61" s="1"/>
  <c r="W182" i="61" s="1"/>
  <c r="X182" i="61" s="1"/>
  <c r="Y182" i="61" s="1"/>
  <c r="Z182" i="61" s="1"/>
  <c r="AA182" i="61" s="1"/>
  <c r="AB182" i="61" s="1"/>
  <c r="AC182" i="61" s="1"/>
  <c r="AD182" i="61" s="1"/>
  <c r="AE182" i="61" s="1"/>
  <c r="AF182" i="61" s="1"/>
  <c r="AG182" i="61" s="1"/>
  <c r="B178" i="61"/>
  <c r="B176" i="61"/>
  <c r="B175" i="61"/>
  <c r="B174" i="61"/>
  <c r="D173" i="61"/>
  <c r="E173" i="61" s="1"/>
  <c r="F173" i="61" s="1"/>
  <c r="G173" i="61" s="1"/>
  <c r="H173" i="61" s="1"/>
  <c r="I173" i="61" s="1"/>
  <c r="J173" i="61" s="1"/>
  <c r="K173" i="61" s="1"/>
  <c r="L173" i="61" s="1"/>
  <c r="M173" i="61" s="1"/>
  <c r="N173" i="61" s="1"/>
  <c r="O173" i="61" s="1"/>
  <c r="P173" i="61" s="1"/>
  <c r="Q173" i="61" s="1"/>
  <c r="R173" i="61" s="1"/>
  <c r="S173" i="61" s="1"/>
  <c r="T173" i="61" s="1"/>
  <c r="U173" i="61" s="1"/>
  <c r="V173" i="61" s="1"/>
  <c r="W173" i="61" s="1"/>
  <c r="X173" i="61" s="1"/>
  <c r="Y173" i="61" s="1"/>
  <c r="Z173" i="61" s="1"/>
  <c r="AA173" i="61" s="1"/>
  <c r="AB173" i="61" s="1"/>
  <c r="AC173" i="61" s="1"/>
  <c r="AD173" i="61" s="1"/>
  <c r="AE173" i="61" s="1"/>
  <c r="AF173" i="61" s="1"/>
  <c r="AG173" i="61" s="1"/>
  <c r="A170" i="61"/>
  <c r="A169" i="61"/>
  <c r="A168" i="61"/>
  <c r="A165" i="61"/>
  <c r="B165" i="61" s="1"/>
  <c r="D164" i="61"/>
  <c r="E164" i="61" s="1"/>
  <c r="F164" i="61" s="1"/>
  <c r="G164" i="61" s="1"/>
  <c r="H164" i="61" s="1"/>
  <c r="I164" i="61" s="1"/>
  <c r="J164" i="61" s="1"/>
  <c r="K164" i="61" s="1"/>
  <c r="L164" i="61" s="1"/>
  <c r="M164" i="61" s="1"/>
  <c r="N164" i="61" s="1"/>
  <c r="O164" i="61" s="1"/>
  <c r="P164" i="61" s="1"/>
  <c r="Q164" i="61" s="1"/>
  <c r="R164" i="61" s="1"/>
  <c r="S164" i="61" s="1"/>
  <c r="T164" i="61" s="1"/>
  <c r="U164" i="61" s="1"/>
  <c r="V164" i="61" s="1"/>
  <c r="W164" i="61" s="1"/>
  <c r="X164" i="61" s="1"/>
  <c r="Y164" i="61" s="1"/>
  <c r="Z164" i="61" s="1"/>
  <c r="AA164" i="61" s="1"/>
  <c r="AB164" i="61" s="1"/>
  <c r="AC164" i="61" s="1"/>
  <c r="AD164" i="61" s="1"/>
  <c r="AE164" i="61" s="1"/>
  <c r="AF164" i="61" s="1"/>
  <c r="AG164" i="61" s="1"/>
  <c r="D148" i="61"/>
  <c r="E148" i="61" s="1"/>
  <c r="F148" i="61" s="1"/>
  <c r="G148" i="61" s="1"/>
  <c r="H148" i="61" s="1"/>
  <c r="I148" i="61" s="1"/>
  <c r="J148" i="61" s="1"/>
  <c r="K148" i="61" s="1"/>
  <c r="L148" i="61" s="1"/>
  <c r="M148" i="61" s="1"/>
  <c r="N148" i="61" s="1"/>
  <c r="O148" i="61" s="1"/>
  <c r="P148" i="61" s="1"/>
  <c r="Q148" i="61" s="1"/>
  <c r="R148" i="61" s="1"/>
  <c r="S148" i="61" s="1"/>
  <c r="T148" i="61" s="1"/>
  <c r="U148" i="61" s="1"/>
  <c r="V148" i="61" s="1"/>
  <c r="W148" i="61" s="1"/>
  <c r="X148" i="61" s="1"/>
  <c r="Y148" i="61" s="1"/>
  <c r="Z148" i="61" s="1"/>
  <c r="AA148" i="61" s="1"/>
  <c r="AB148" i="61" s="1"/>
  <c r="AC148" i="61" s="1"/>
  <c r="AD148" i="61" s="1"/>
  <c r="AE148" i="61" s="1"/>
  <c r="AF148" i="61" s="1"/>
  <c r="AG148" i="61" s="1"/>
  <c r="D131" i="61"/>
  <c r="E131" i="61" s="1"/>
  <c r="F131" i="61" s="1"/>
  <c r="G131" i="61" s="1"/>
  <c r="H131" i="61" s="1"/>
  <c r="I131" i="61" s="1"/>
  <c r="J131" i="61" s="1"/>
  <c r="K131" i="61" s="1"/>
  <c r="L131" i="61" s="1"/>
  <c r="M131" i="61" s="1"/>
  <c r="N131" i="61" s="1"/>
  <c r="O131" i="61" s="1"/>
  <c r="P131" i="61" s="1"/>
  <c r="Q131" i="61" s="1"/>
  <c r="R131" i="61" s="1"/>
  <c r="S131" i="61" s="1"/>
  <c r="T131" i="61" s="1"/>
  <c r="U131" i="61" s="1"/>
  <c r="V131" i="61" s="1"/>
  <c r="W131" i="61" s="1"/>
  <c r="X131" i="61" s="1"/>
  <c r="Y131" i="61" s="1"/>
  <c r="Z131" i="61" s="1"/>
  <c r="AA131" i="61" s="1"/>
  <c r="AB131" i="61" s="1"/>
  <c r="AC131" i="61" s="1"/>
  <c r="AD131" i="61" s="1"/>
  <c r="AE131" i="61" s="1"/>
  <c r="AF131" i="61" s="1"/>
  <c r="AG131" i="61" s="1"/>
  <c r="D114" i="61"/>
  <c r="E114" i="61" s="1"/>
  <c r="F114" i="61" s="1"/>
  <c r="G114" i="61" s="1"/>
  <c r="H114" i="61" s="1"/>
  <c r="I114" i="61" s="1"/>
  <c r="J114" i="61" s="1"/>
  <c r="K114" i="61" s="1"/>
  <c r="L114" i="61" s="1"/>
  <c r="M114" i="61" s="1"/>
  <c r="N114" i="61" s="1"/>
  <c r="O114" i="61" s="1"/>
  <c r="P114" i="61" s="1"/>
  <c r="Q114" i="61" s="1"/>
  <c r="R114" i="61" s="1"/>
  <c r="S114" i="61" s="1"/>
  <c r="T114" i="61" s="1"/>
  <c r="U114" i="61" s="1"/>
  <c r="V114" i="61" s="1"/>
  <c r="W114" i="61" s="1"/>
  <c r="X114" i="61" s="1"/>
  <c r="Y114" i="61" s="1"/>
  <c r="Z114" i="61" s="1"/>
  <c r="AA114" i="61" s="1"/>
  <c r="AB114" i="61" s="1"/>
  <c r="AC114" i="61" s="1"/>
  <c r="AD114" i="61" s="1"/>
  <c r="AE114" i="61" s="1"/>
  <c r="AF114" i="61" s="1"/>
  <c r="AG114" i="61" s="1"/>
  <c r="D97" i="61"/>
  <c r="E97" i="61" s="1"/>
  <c r="F97" i="61" s="1"/>
  <c r="G97" i="61" s="1"/>
  <c r="H97" i="61" s="1"/>
  <c r="I97" i="61" s="1"/>
  <c r="J97" i="61" s="1"/>
  <c r="K97" i="61" s="1"/>
  <c r="L97" i="61" s="1"/>
  <c r="M97" i="61" s="1"/>
  <c r="N97" i="61" s="1"/>
  <c r="O97" i="61" s="1"/>
  <c r="P97" i="61" s="1"/>
  <c r="Q97" i="61" s="1"/>
  <c r="R97" i="61" s="1"/>
  <c r="S97" i="61" s="1"/>
  <c r="T97" i="61" s="1"/>
  <c r="U97" i="61" s="1"/>
  <c r="V97" i="61" s="1"/>
  <c r="W97" i="61" s="1"/>
  <c r="X97" i="61" s="1"/>
  <c r="Y97" i="61" s="1"/>
  <c r="Z97" i="61" s="1"/>
  <c r="AA97" i="61" s="1"/>
  <c r="AB97" i="61" s="1"/>
  <c r="AC97" i="61" s="1"/>
  <c r="AD97" i="61" s="1"/>
  <c r="AE97" i="61" s="1"/>
  <c r="AF97" i="61" s="1"/>
  <c r="AG97" i="61" s="1"/>
  <c r="D80" i="61"/>
  <c r="E80" i="61" s="1"/>
  <c r="F80" i="61" s="1"/>
  <c r="G80" i="61" s="1"/>
  <c r="H80" i="61" s="1"/>
  <c r="I80" i="61" s="1"/>
  <c r="J80" i="61" s="1"/>
  <c r="K80" i="61" s="1"/>
  <c r="L80" i="61" s="1"/>
  <c r="M80" i="61" s="1"/>
  <c r="N80" i="61" s="1"/>
  <c r="O80" i="61" s="1"/>
  <c r="P80" i="61" s="1"/>
  <c r="Q80" i="61" s="1"/>
  <c r="R80" i="61" s="1"/>
  <c r="S80" i="61" s="1"/>
  <c r="T80" i="61" s="1"/>
  <c r="U80" i="61" s="1"/>
  <c r="V80" i="61" s="1"/>
  <c r="W80" i="61" s="1"/>
  <c r="X80" i="61" s="1"/>
  <c r="Y80" i="61" s="1"/>
  <c r="Z80" i="61" s="1"/>
  <c r="AA80" i="61" s="1"/>
  <c r="AB80" i="61" s="1"/>
  <c r="AC80" i="61" s="1"/>
  <c r="AD80" i="61" s="1"/>
  <c r="AE80" i="61" s="1"/>
  <c r="AF80" i="61" s="1"/>
  <c r="AG80" i="61" s="1"/>
  <c r="D62" i="61"/>
  <c r="E62" i="61" s="1"/>
  <c r="F62" i="61" s="1"/>
  <c r="G62" i="61" s="1"/>
  <c r="H62" i="61" s="1"/>
  <c r="I62" i="61" s="1"/>
  <c r="J62" i="61" s="1"/>
  <c r="K62" i="61" s="1"/>
  <c r="L62" i="61" s="1"/>
  <c r="M62" i="61" s="1"/>
  <c r="N62" i="61" s="1"/>
  <c r="O62" i="61" s="1"/>
  <c r="P62" i="61" s="1"/>
  <c r="Q62" i="61" s="1"/>
  <c r="R62" i="61" s="1"/>
  <c r="S62" i="61" s="1"/>
  <c r="T62" i="61" s="1"/>
  <c r="U62" i="61" s="1"/>
  <c r="V62" i="61" s="1"/>
  <c r="W62" i="61" s="1"/>
  <c r="X62" i="61" s="1"/>
  <c r="Y62" i="61" s="1"/>
  <c r="Z62" i="61" s="1"/>
  <c r="AA62" i="61" s="1"/>
  <c r="AB62" i="61" s="1"/>
  <c r="AC62" i="61" s="1"/>
  <c r="AD62" i="61" s="1"/>
  <c r="AE62" i="61" s="1"/>
  <c r="AF62" i="61" s="1"/>
  <c r="AG62" i="61" s="1"/>
  <c r="AI57" i="61"/>
  <c r="C53" i="61"/>
  <c r="A53" i="61"/>
  <c r="C52" i="61"/>
  <c r="A52" i="61"/>
  <c r="C51" i="61"/>
  <c r="C49" i="61"/>
  <c r="A49" i="61"/>
  <c r="AG47" i="61"/>
  <c r="AF47" i="61"/>
  <c r="AE47" i="61"/>
  <c r="AD47" i="61"/>
  <c r="AC47" i="61"/>
  <c r="AB47" i="61"/>
  <c r="AA47" i="61"/>
  <c r="Z47" i="61"/>
  <c r="Y47" i="61"/>
  <c r="X47" i="61"/>
  <c r="W47" i="61"/>
  <c r="V47" i="61"/>
  <c r="U47" i="61"/>
  <c r="T47" i="61"/>
  <c r="S47" i="61"/>
  <c r="R47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D47" i="61"/>
  <c r="C47" i="61"/>
  <c r="C46" i="61"/>
  <c r="C45" i="61"/>
  <c r="C44" i="61"/>
  <c r="C43" i="61"/>
  <c r="C42" i="61"/>
  <c r="AC41" i="61"/>
  <c r="AB41" i="61"/>
  <c r="AA41" i="61"/>
  <c r="Z41" i="61"/>
  <c r="Y41" i="61"/>
  <c r="X41" i="61"/>
  <c r="W41" i="61"/>
  <c r="V41" i="61"/>
  <c r="U41" i="61"/>
  <c r="T41" i="61"/>
  <c r="S41" i="61"/>
  <c r="R41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D41" i="61"/>
  <c r="C41" i="61"/>
  <c r="D40" i="61"/>
  <c r="E40" i="61" s="1"/>
  <c r="F40" i="61" s="1"/>
  <c r="G40" i="61" s="1"/>
  <c r="H40" i="61" s="1"/>
  <c r="I40" i="61" s="1"/>
  <c r="J40" i="61" s="1"/>
  <c r="K40" i="61" s="1"/>
  <c r="L40" i="61" s="1"/>
  <c r="M40" i="61" s="1"/>
  <c r="N40" i="61" s="1"/>
  <c r="O40" i="61" s="1"/>
  <c r="P40" i="61" s="1"/>
  <c r="Q40" i="61" s="1"/>
  <c r="R40" i="61" s="1"/>
  <c r="S40" i="61" s="1"/>
  <c r="T40" i="61" s="1"/>
  <c r="U40" i="61" s="1"/>
  <c r="V40" i="61" s="1"/>
  <c r="W40" i="61" s="1"/>
  <c r="X40" i="61" s="1"/>
  <c r="Y40" i="61" s="1"/>
  <c r="Z40" i="61" s="1"/>
  <c r="AA40" i="61" s="1"/>
  <c r="AB40" i="61" s="1"/>
  <c r="AC40" i="61" s="1"/>
  <c r="AD40" i="61" s="1"/>
  <c r="AE40" i="61" s="1"/>
  <c r="AF40" i="61" s="1"/>
  <c r="AG40" i="61" s="1"/>
  <c r="E32" i="61"/>
  <c r="C32" i="61"/>
  <c r="E31" i="61"/>
  <c r="D31" i="61"/>
  <c r="C31" i="61"/>
  <c r="C29" i="61"/>
  <c r="C28" i="61"/>
  <c r="C27" i="61"/>
  <c r="C26" i="61"/>
  <c r="C25" i="61"/>
  <c r="C13" i="61"/>
  <c r="D41" i="38"/>
  <c r="E41" i="38"/>
  <c r="F41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W41" i="38"/>
  <c r="X41" i="38"/>
  <c r="Y41" i="38"/>
  <c r="Z41" i="38"/>
  <c r="AA41" i="38"/>
  <c r="AB41" i="38"/>
  <c r="C51" i="38"/>
  <c r="C49" i="38"/>
  <c r="C42" i="38"/>
  <c r="C43" i="38"/>
  <c r="C44" i="38"/>
  <c r="C45" i="38"/>
  <c r="C46" i="38"/>
  <c r="C41" i="38"/>
  <c r="C56" i="38"/>
  <c r="C56" i="62"/>
  <c r="C56" i="63"/>
  <c r="C56" i="64"/>
  <c r="C56" i="51"/>
  <c r="C57" i="52"/>
  <c r="C57" i="65"/>
  <c r="C57" i="55"/>
  <c r="C57" i="66"/>
  <c r="C57" i="67"/>
  <c r="C56" i="61"/>
  <c r="D161" i="45"/>
  <c r="D153" i="45"/>
  <c r="C19" i="61"/>
  <c r="C18" i="61"/>
  <c r="AQ5" i="46"/>
  <c r="H36" i="61"/>
  <c r="F36" i="61"/>
  <c r="E36" i="61"/>
  <c r="Q5" i="46"/>
  <c r="CF5" i="46" s="1"/>
  <c r="M5" i="46"/>
  <c r="BR5" i="46" s="1"/>
  <c r="BN32" i="2" l="1"/>
  <c r="BP32" i="2" s="1"/>
  <c r="CN32" i="2"/>
  <c r="AN32" i="2"/>
  <c r="CA32" i="2"/>
  <c r="BA32" i="2"/>
  <c r="BS10" i="2"/>
  <c r="CF10" i="2"/>
  <c r="BZ10" i="2" s="1"/>
  <c r="K7" i="78" s="1"/>
  <c r="W7" i="78" s="1"/>
  <c r="BF10" i="2"/>
  <c r="AS10" i="2"/>
  <c r="AM10" i="2" s="1"/>
  <c r="K7" i="79" s="1"/>
  <c r="W7" i="79" s="1"/>
  <c r="BN10" i="2"/>
  <c r="BH10" i="2" s="1"/>
  <c r="BA10" i="2"/>
  <c r="AU10" i="2" s="1"/>
  <c r="AN10" i="2"/>
  <c r="CN10" i="2"/>
  <c r="CA10" i="2"/>
  <c r="BQ10" i="2"/>
  <c r="BK10" i="2" s="1"/>
  <c r="I7" i="3" s="1"/>
  <c r="U7" i="3" s="1"/>
  <c r="AQ10" i="2"/>
  <c r="AK10" i="2" s="1"/>
  <c r="I7" i="79" s="1"/>
  <c r="U7" i="79" s="1"/>
  <c r="CD10" i="2"/>
  <c r="BX10" i="2" s="1"/>
  <c r="I7" i="78" s="1"/>
  <c r="U7" i="78" s="1"/>
  <c r="BD10" i="2"/>
  <c r="AE15" i="45"/>
  <c r="AD18" i="45"/>
  <c r="AD7" i="45"/>
  <c r="AU11" i="2"/>
  <c r="AK11" i="2"/>
  <c r="AY11" i="2"/>
  <c r="AH11" i="2"/>
  <c r="AI11" i="2"/>
  <c r="AW11" i="2"/>
  <c r="AJ11" i="2"/>
  <c r="AZ11" i="2"/>
  <c r="AL11" i="2"/>
  <c r="J8" i="79" s="1"/>
  <c r="V8" i="79" s="1"/>
  <c r="AX11" i="2"/>
  <c r="AV11" i="2"/>
  <c r="AM11" i="2"/>
  <c r="K8" i="79" s="1"/>
  <c r="W8" i="79" s="1"/>
  <c r="CJ11" i="2"/>
  <c r="CI11" i="2"/>
  <c r="CH11" i="2"/>
  <c r="AH43" i="2"/>
  <c r="AU43" i="2"/>
  <c r="AL43" i="2"/>
  <c r="J43" i="79" s="1"/>
  <c r="V43" i="79" s="1"/>
  <c r="AV43" i="2"/>
  <c r="AY43" i="2"/>
  <c r="AI43" i="2"/>
  <c r="G43" i="79" s="1"/>
  <c r="S43" i="79" s="1"/>
  <c r="AW43" i="2"/>
  <c r="AJ43" i="2"/>
  <c r="H43" i="79" s="1"/>
  <c r="T43" i="79" s="1"/>
  <c r="CI56" i="2"/>
  <c r="CH56" i="2"/>
  <c r="CJ56" i="2"/>
  <c r="H53" i="4" s="1"/>
  <c r="Q53" i="4" s="1"/>
  <c r="CJ12" i="2"/>
  <c r="CH12" i="2"/>
  <c r="F9" i="4" s="1"/>
  <c r="CI12" i="2"/>
  <c r="AU44" i="2"/>
  <c r="AK44" i="2"/>
  <c r="I44" i="79" s="1"/>
  <c r="U44" i="79" s="1"/>
  <c r="AL44" i="2"/>
  <c r="J44" i="79" s="1"/>
  <c r="V44" i="79" s="1"/>
  <c r="AZ44" i="2"/>
  <c r="AH44" i="2"/>
  <c r="AJ44" i="2"/>
  <c r="H44" i="79" s="1"/>
  <c r="T44" i="79" s="1"/>
  <c r="AM44" i="2"/>
  <c r="K44" i="79" s="1"/>
  <c r="W44" i="79" s="1"/>
  <c r="AI44" i="2"/>
  <c r="AV44" i="2"/>
  <c r="AW44" i="2"/>
  <c r="AX44" i="2"/>
  <c r="AY44" i="2"/>
  <c r="CI44" i="2"/>
  <c r="CH44" i="2"/>
  <c r="F41" i="4" s="1"/>
  <c r="O41" i="4" s="1"/>
  <c r="CJ44" i="2"/>
  <c r="H41" i="4" s="1"/>
  <c r="Q41" i="4" s="1"/>
  <c r="AU32" i="2"/>
  <c r="AH32" i="2"/>
  <c r="CI45" i="2"/>
  <c r="G42" i="4" s="1"/>
  <c r="P42" i="4" s="1"/>
  <c r="CH45" i="2"/>
  <c r="CJ45" i="2"/>
  <c r="H42" i="4" s="1"/>
  <c r="Q42" i="4" s="1"/>
  <c r="CJ99" i="2"/>
  <c r="H96" i="4" s="1"/>
  <c r="Q96" i="4" s="1"/>
  <c r="AH10" i="2"/>
  <c r="F7" i="79" s="1"/>
  <c r="R7" i="79" s="1"/>
  <c r="AY33" i="2"/>
  <c r="AI33" i="2"/>
  <c r="AZ33" i="2"/>
  <c r="AU33" i="2"/>
  <c r="AJ33" i="2"/>
  <c r="H32" i="79" s="1"/>
  <c r="T32" i="79" s="1"/>
  <c r="AM33" i="2"/>
  <c r="K32" i="79" s="1"/>
  <c r="W32" i="79" s="1"/>
  <c r="AK33" i="2"/>
  <c r="I32" i="79" s="1"/>
  <c r="U32" i="79" s="1"/>
  <c r="AW33" i="2"/>
  <c r="AV33" i="2"/>
  <c r="AH33" i="2"/>
  <c r="AL33" i="2"/>
  <c r="AX33" i="2"/>
  <c r="CH33" i="2"/>
  <c r="CI33" i="2"/>
  <c r="CJ33" i="2"/>
  <c r="CH34" i="2"/>
  <c r="F31" i="4" s="1"/>
  <c r="CI34" i="2"/>
  <c r="CJ34" i="2"/>
  <c r="AW22" i="2"/>
  <c r="AM22" i="2"/>
  <c r="K20" i="79" s="1"/>
  <c r="W20" i="79" s="1"/>
  <c r="AZ22" i="2"/>
  <c r="AJ22" i="2"/>
  <c r="AI22" i="2"/>
  <c r="AV22" i="2"/>
  <c r="AY22" i="2"/>
  <c r="AU22" i="2"/>
  <c r="AH22" i="2"/>
  <c r="F20" i="79" s="1"/>
  <c r="R20" i="79" s="1"/>
  <c r="AK22" i="2"/>
  <c r="I20" i="79" s="1"/>
  <c r="U20" i="79" s="1"/>
  <c r="AX22" i="2"/>
  <c r="AL22" i="2"/>
  <c r="CH22" i="2"/>
  <c r="CI22" i="2"/>
  <c r="CJ22" i="2"/>
  <c r="CI23" i="2"/>
  <c r="CH23" i="2"/>
  <c r="CJ23" i="2"/>
  <c r="CI54" i="2"/>
  <c r="CI43" i="2"/>
  <c r="G40" i="4" s="1"/>
  <c r="P40" i="4" s="1"/>
  <c r="AU55" i="2"/>
  <c r="AM55" i="2"/>
  <c r="K56" i="79" s="1"/>
  <c r="W56" i="79" s="1"/>
  <c r="AJ55" i="2"/>
  <c r="H56" i="79" s="1"/>
  <c r="T56" i="79" s="1"/>
  <c r="AK55" i="2"/>
  <c r="AZ55" i="2"/>
  <c r="AH55" i="2"/>
  <c r="F56" i="79" s="1"/>
  <c r="R56" i="79" s="1"/>
  <c r="AV55" i="2"/>
  <c r="AL55" i="2"/>
  <c r="AY55" i="2"/>
  <c r="AI55" i="2"/>
  <c r="G56" i="79" s="1"/>
  <c r="S56" i="79" s="1"/>
  <c r="AW55" i="2"/>
  <c r="AX55" i="2"/>
  <c r="CH55" i="2"/>
  <c r="CI55" i="2"/>
  <c r="G52" i="4" s="1"/>
  <c r="P52" i="4" s="1"/>
  <c r="CJ55" i="2"/>
  <c r="H52" i="4" s="1"/>
  <c r="Q52" i="4" s="1"/>
  <c r="AU54" i="2"/>
  <c r="AH54" i="2"/>
  <c r="F55" i="79" s="1"/>
  <c r="R55" i="79" s="1"/>
  <c r="AI54" i="2"/>
  <c r="G55" i="79" s="1"/>
  <c r="S55" i="79" s="1"/>
  <c r="AW54" i="2"/>
  <c r="AV54" i="2"/>
  <c r="AL54" i="2"/>
  <c r="J55" i="79" s="1"/>
  <c r="V55" i="79" s="1"/>
  <c r="AJ54" i="2"/>
  <c r="H55" i="79" s="1"/>
  <c r="T55" i="79" s="1"/>
  <c r="AY54" i="2"/>
  <c r="F8" i="4"/>
  <c r="BU55" i="2"/>
  <c r="F56" i="78" s="1"/>
  <c r="R56" i="78" s="1"/>
  <c r="BY55" i="2"/>
  <c r="J56" i="78" s="1"/>
  <c r="V56" i="78" s="1"/>
  <c r="BW55" i="2"/>
  <c r="H56" i="78" s="1"/>
  <c r="T56" i="78" s="1"/>
  <c r="BZ55" i="2"/>
  <c r="K56" i="78" s="1"/>
  <c r="W56" i="78" s="1"/>
  <c r="BV55" i="2"/>
  <c r="G56" i="78" s="1"/>
  <c r="S56" i="78" s="1"/>
  <c r="BX55" i="2"/>
  <c r="I56" i="78" s="1"/>
  <c r="U56" i="78" s="1"/>
  <c r="BZ56" i="2"/>
  <c r="K57" i="78" s="1"/>
  <c r="W57" i="78" s="1"/>
  <c r="BY56" i="2"/>
  <c r="J57" i="78" s="1"/>
  <c r="V57" i="78" s="1"/>
  <c r="BU56" i="2"/>
  <c r="F57" i="78" s="1"/>
  <c r="R57" i="78" s="1"/>
  <c r="BV56" i="2"/>
  <c r="G57" i="78" s="1"/>
  <c r="S57" i="78" s="1"/>
  <c r="BX56" i="2"/>
  <c r="I57" i="78" s="1"/>
  <c r="U57" i="78" s="1"/>
  <c r="BW56" i="2"/>
  <c r="H57" i="78" s="1"/>
  <c r="T57" i="78" s="1"/>
  <c r="BZ45" i="2"/>
  <c r="K45" i="78" s="1"/>
  <c r="W45" i="78" s="1"/>
  <c r="BV45" i="2"/>
  <c r="G45" i="78" s="1"/>
  <c r="S45" i="78" s="1"/>
  <c r="BY45" i="2"/>
  <c r="J45" i="78" s="1"/>
  <c r="V45" i="78" s="1"/>
  <c r="BU45" i="2"/>
  <c r="F45" i="78" s="1"/>
  <c r="R45" i="78" s="1"/>
  <c r="BW45" i="2"/>
  <c r="H45" i="78" s="1"/>
  <c r="T45" i="78" s="1"/>
  <c r="BX45" i="2"/>
  <c r="I45" i="78" s="1"/>
  <c r="U45" i="78" s="1"/>
  <c r="BV33" i="2"/>
  <c r="G32" i="78" s="1"/>
  <c r="S32" i="78" s="1"/>
  <c r="BX33" i="2"/>
  <c r="I32" i="78" s="1"/>
  <c r="U32" i="78" s="1"/>
  <c r="BU33" i="2"/>
  <c r="F32" i="78" s="1"/>
  <c r="R32" i="78" s="1"/>
  <c r="BY33" i="2"/>
  <c r="J32" i="78" s="1"/>
  <c r="V32" i="78" s="1"/>
  <c r="BZ33" i="2"/>
  <c r="K32" i="78" s="1"/>
  <c r="W32" i="78" s="1"/>
  <c r="BW33" i="2"/>
  <c r="H32" i="78" s="1"/>
  <c r="T32" i="78" s="1"/>
  <c r="BX34" i="2"/>
  <c r="I33" i="78" s="1"/>
  <c r="U33" i="78" s="1"/>
  <c r="BU34" i="2"/>
  <c r="F33" i="78" s="1"/>
  <c r="R33" i="78" s="1"/>
  <c r="BV34" i="2"/>
  <c r="G33" i="78" s="1"/>
  <c r="S33" i="78" s="1"/>
  <c r="BW34" i="2"/>
  <c r="H33" i="78" s="1"/>
  <c r="T33" i="78" s="1"/>
  <c r="BZ34" i="2"/>
  <c r="K33" i="78" s="1"/>
  <c r="W33" i="78" s="1"/>
  <c r="BY34" i="2"/>
  <c r="J33" i="78" s="1"/>
  <c r="V33" i="78" s="1"/>
  <c r="BZ12" i="2"/>
  <c r="K9" i="78" s="1"/>
  <c r="W9" i="78" s="1"/>
  <c r="BU12" i="2"/>
  <c r="F9" i="78" s="1"/>
  <c r="R9" i="78" s="1"/>
  <c r="BW12" i="2"/>
  <c r="H9" i="78" s="1"/>
  <c r="T9" i="78" s="1"/>
  <c r="BY12" i="2"/>
  <c r="J9" i="78" s="1"/>
  <c r="V9" i="78" s="1"/>
  <c r="BX12" i="2"/>
  <c r="I9" i="78" s="1"/>
  <c r="U9" i="78" s="1"/>
  <c r="BV12" i="2"/>
  <c r="G9" i="78" s="1"/>
  <c r="S9" i="78" s="1"/>
  <c r="BW23" i="2"/>
  <c r="H21" i="78" s="1"/>
  <c r="T21" i="78" s="1"/>
  <c r="BX23" i="2"/>
  <c r="I21" i="78" s="1"/>
  <c r="U21" i="78" s="1"/>
  <c r="BV23" i="2"/>
  <c r="G21" i="78" s="1"/>
  <c r="S21" i="78" s="1"/>
  <c r="BU23" i="2"/>
  <c r="F21" i="78" s="1"/>
  <c r="R21" i="78" s="1"/>
  <c r="BZ23" i="2"/>
  <c r="K21" i="78" s="1"/>
  <c r="W21" i="78" s="1"/>
  <c r="BY23" i="2"/>
  <c r="J21" i="78" s="1"/>
  <c r="V21" i="78" s="1"/>
  <c r="BV54" i="2"/>
  <c r="G55" i="78" s="1"/>
  <c r="S55" i="78" s="1"/>
  <c r="BY54" i="2"/>
  <c r="J55" i="78" s="1"/>
  <c r="V55" i="78" s="1"/>
  <c r="BU54" i="2"/>
  <c r="F55" i="78" s="1"/>
  <c r="R55" i="78" s="1"/>
  <c r="BW54" i="2"/>
  <c r="H55" i="78" s="1"/>
  <c r="T55" i="78" s="1"/>
  <c r="BW43" i="2"/>
  <c r="H43" i="78" s="1"/>
  <c r="T43" i="78" s="1"/>
  <c r="BV43" i="2"/>
  <c r="G43" i="78" s="1"/>
  <c r="S43" i="78" s="1"/>
  <c r="BU43" i="2"/>
  <c r="F43" i="78" s="1"/>
  <c r="R43" i="78" s="1"/>
  <c r="BY43" i="2"/>
  <c r="J43" i="78" s="1"/>
  <c r="V43" i="78" s="1"/>
  <c r="BV44" i="2"/>
  <c r="G44" i="78" s="1"/>
  <c r="S44" i="78" s="1"/>
  <c r="BU44" i="2"/>
  <c r="F44" i="78" s="1"/>
  <c r="R44" i="78" s="1"/>
  <c r="BW44" i="2"/>
  <c r="H44" i="78" s="1"/>
  <c r="T44" i="78" s="1"/>
  <c r="BY44" i="2"/>
  <c r="J44" i="78" s="1"/>
  <c r="V44" i="78" s="1"/>
  <c r="BZ44" i="2"/>
  <c r="K44" i="78" s="1"/>
  <c r="W44" i="78" s="1"/>
  <c r="BX44" i="2"/>
  <c r="I44" i="78" s="1"/>
  <c r="U44" i="78" s="1"/>
  <c r="BU32" i="2"/>
  <c r="F31" i="78" s="1"/>
  <c r="R31" i="78" s="1"/>
  <c r="BU11" i="2"/>
  <c r="F8" i="78" s="1"/>
  <c r="R8" i="78" s="1"/>
  <c r="BW11" i="2"/>
  <c r="H8" i="78" s="1"/>
  <c r="T8" i="78" s="1"/>
  <c r="BY11" i="2"/>
  <c r="J8" i="78" s="1"/>
  <c r="V8" i="78" s="1"/>
  <c r="BZ11" i="2"/>
  <c r="K8" i="78" s="1"/>
  <c r="W8" i="78" s="1"/>
  <c r="BX11" i="2"/>
  <c r="I8" i="78" s="1"/>
  <c r="U8" i="78" s="1"/>
  <c r="BV11" i="2"/>
  <c r="G8" i="78" s="1"/>
  <c r="S8" i="78" s="1"/>
  <c r="BV22" i="2"/>
  <c r="G20" i="78" s="1"/>
  <c r="S20" i="78" s="1"/>
  <c r="BU22" i="2"/>
  <c r="F20" i="78" s="1"/>
  <c r="R20" i="78" s="1"/>
  <c r="BX22" i="2"/>
  <c r="I20" i="78" s="1"/>
  <c r="U20" i="78" s="1"/>
  <c r="BW22" i="2"/>
  <c r="H20" i="78" s="1"/>
  <c r="T20" i="78" s="1"/>
  <c r="BZ22" i="2"/>
  <c r="K20" i="78" s="1"/>
  <c r="W20" i="78" s="1"/>
  <c r="BY22" i="2"/>
  <c r="J20" i="78" s="1"/>
  <c r="V20" i="78" s="1"/>
  <c r="F44" i="79"/>
  <c r="R44" i="79" s="1"/>
  <c r="G44" i="79"/>
  <c r="S44" i="79" s="1"/>
  <c r="H20" i="79"/>
  <c r="T20" i="79" s="1"/>
  <c r="J20" i="79"/>
  <c r="V20" i="79" s="1"/>
  <c r="G20" i="79"/>
  <c r="S20" i="79" s="1"/>
  <c r="F32" i="79"/>
  <c r="R32" i="79" s="1"/>
  <c r="J32" i="79"/>
  <c r="V32" i="79" s="1"/>
  <c r="G32" i="79"/>
  <c r="S32" i="79" s="1"/>
  <c r="AJ12" i="2"/>
  <c r="H9" i="79" s="1"/>
  <c r="T9" i="79" s="1"/>
  <c r="AK12" i="2"/>
  <c r="I9" i="79" s="1"/>
  <c r="U9" i="79" s="1"/>
  <c r="AM12" i="2"/>
  <c r="K9" i="79" s="1"/>
  <c r="W9" i="79" s="1"/>
  <c r="AH12" i="2"/>
  <c r="F9" i="79" s="1"/>
  <c r="R9" i="79" s="1"/>
  <c r="AL12" i="2"/>
  <c r="J9" i="79" s="1"/>
  <c r="V9" i="79" s="1"/>
  <c r="AI12" i="2"/>
  <c r="G9" i="79" s="1"/>
  <c r="S9" i="79" s="1"/>
  <c r="I56" i="79"/>
  <c r="U56" i="79" s="1"/>
  <c r="J56" i="79"/>
  <c r="V56" i="79" s="1"/>
  <c r="AX34" i="2"/>
  <c r="AY34" i="2"/>
  <c r="AK34" i="2"/>
  <c r="I33" i="79" s="1"/>
  <c r="U33" i="79" s="1"/>
  <c r="AZ34" i="2"/>
  <c r="AV34" i="2"/>
  <c r="AJ34" i="2"/>
  <c r="H33" i="79" s="1"/>
  <c r="T33" i="79" s="1"/>
  <c r="AW34" i="2"/>
  <c r="AL34" i="2"/>
  <c r="J33" i="79" s="1"/>
  <c r="V33" i="79" s="1"/>
  <c r="AI34" i="2"/>
  <c r="G33" i="79" s="1"/>
  <c r="S33" i="79" s="1"/>
  <c r="AM34" i="2"/>
  <c r="K33" i="79" s="1"/>
  <c r="W33" i="79" s="1"/>
  <c r="AU34" i="2"/>
  <c r="AH34" i="2"/>
  <c r="F33" i="79" s="1"/>
  <c r="R33" i="79" s="1"/>
  <c r="AU56" i="2"/>
  <c r="AX56" i="2"/>
  <c r="AW56" i="2"/>
  <c r="AI56" i="2"/>
  <c r="G57" i="79" s="1"/>
  <c r="S57" i="79" s="1"/>
  <c r="AM56" i="2"/>
  <c r="K57" i="79" s="1"/>
  <c r="W57" i="79" s="1"/>
  <c r="AV56" i="2"/>
  <c r="AL56" i="2"/>
  <c r="J57" i="79" s="1"/>
  <c r="V57" i="79" s="1"/>
  <c r="AH56" i="2"/>
  <c r="F57" i="79" s="1"/>
  <c r="R57" i="79" s="1"/>
  <c r="AK56" i="2"/>
  <c r="I57" i="79" s="1"/>
  <c r="U57" i="79" s="1"/>
  <c r="AY56" i="2"/>
  <c r="AJ56" i="2"/>
  <c r="H57" i="79" s="1"/>
  <c r="T57" i="79" s="1"/>
  <c r="AZ56" i="2"/>
  <c r="H8" i="79"/>
  <c r="T8" i="79" s="1"/>
  <c r="F8" i="79"/>
  <c r="R8" i="79" s="1"/>
  <c r="G8" i="79"/>
  <c r="S8" i="79" s="1"/>
  <c r="I8" i="79"/>
  <c r="U8" i="79" s="1"/>
  <c r="F31" i="79"/>
  <c r="R31" i="79" s="1"/>
  <c r="AX45" i="2"/>
  <c r="AY45" i="2"/>
  <c r="AK45" i="2"/>
  <c r="I45" i="79" s="1"/>
  <c r="U45" i="79" s="1"/>
  <c r="AL45" i="2"/>
  <c r="J45" i="79" s="1"/>
  <c r="V45" i="79" s="1"/>
  <c r="AH45" i="2"/>
  <c r="F45" i="79" s="1"/>
  <c r="R45" i="79" s="1"/>
  <c r="AW45" i="2"/>
  <c r="AV45" i="2"/>
  <c r="AJ45" i="2"/>
  <c r="H45" i="79" s="1"/>
  <c r="T45" i="79" s="1"/>
  <c r="AM45" i="2"/>
  <c r="K45" i="79" s="1"/>
  <c r="W45" i="79" s="1"/>
  <c r="AZ45" i="2"/>
  <c r="AI45" i="2"/>
  <c r="G45" i="79" s="1"/>
  <c r="S45" i="79" s="1"/>
  <c r="AU45" i="2"/>
  <c r="AH23" i="2"/>
  <c r="F21" i="79" s="1"/>
  <c r="R21" i="79" s="1"/>
  <c r="AM23" i="2"/>
  <c r="K21" i="79" s="1"/>
  <c r="W21" i="79" s="1"/>
  <c r="AV23" i="2"/>
  <c r="AW23" i="2"/>
  <c r="AK23" i="2"/>
  <c r="I21" i="79" s="1"/>
  <c r="U21" i="79" s="1"/>
  <c r="AX23" i="2"/>
  <c r="AL23" i="2"/>
  <c r="J21" i="79" s="1"/>
  <c r="V21" i="79" s="1"/>
  <c r="AZ23" i="2"/>
  <c r="AU23" i="2"/>
  <c r="AY23" i="2"/>
  <c r="AJ23" i="2"/>
  <c r="H21" i="79" s="1"/>
  <c r="T21" i="79" s="1"/>
  <c r="AI23" i="2"/>
  <c r="G21" i="79" s="1"/>
  <c r="S21" i="79" s="1"/>
  <c r="F43" i="79"/>
  <c r="R43" i="79" s="1"/>
  <c r="AU12" i="2"/>
  <c r="AX12" i="2"/>
  <c r="AZ12" i="2"/>
  <c r="AY12" i="2"/>
  <c r="AW12" i="2"/>
  <c r="AV12" i="2"/>
  <c r="BN121" i="2"/>
  <c r="BH110" i="2"/>
  <c r="F116" i="3" s="1"/>
  <c r="R116" i="3" s="1"/>
  <c r="BI110" i="2"/>
  <c r="G116" i="3" s="1"/>
  <c r="S116" i="3" s="1"/>
  <c r="BK110" i="2"/>
  <c r="I116" i="3" s="1"/>
  <c r="U116" i="3" s="1"/>
  <c r="BJ110" i="2"/>
  <c r="H116" i="3" s="1"/>
  <c r="T116" i="3" s="1"/>
  <c r="BL110" i="2"/>
  <c r="J116" i="3" s="1"/>
  <c r="V116" i="3" s="1"/>
  <c r="BN122" i="2"/>
  <c r="BM111" i="2"/>
  <c r="K117" i="3" s="1"/>
  <c r="W117" i="3" s="1"/>
  <c r="BL111" i="2"/>
  <c r="J117" i="3" s="1"/>
  <c r="V117" i="3" s="1"/>
  <c r="BK111" i="2"/>
  <c r="I117" i="3" s="1"/>
  <c r="U117" i="3" s="1"/>
  <c r="BJ111" i="2"/>
  <c r="H117" i="3" s="1"/>
  <c r="T117" i="3" s="1"/>
  <c r="BI111" i="2"/>
  <c r="G117" i="3" s="1"/>
  <c r="S117" i="3" s="1"/>
  <c r="BH111" i="2"/>
  <c r="F117" i="3" s="1"/>
  <c r="R117" i="3" s="1"/>
  <c r="AC11" i="45"/>
  <c r="BW5" i="46"/>
  <c r="BS5" i="46"/>
  <c r="BT5" i="46" s="1"/>
  <c r="BU5" i="46" s="1"/>
  <c r="G118" i="4"/>
  <c r="P118" i="4" s="1"/>
  <c r="F118" i="4"/>
  <c r="O118" i="4" s="1"/>
  <c r="BR143" i="2"/>
  <c r="CL132" i="2"/>
  <c r="CI132" i="2" s="1"/>
  <c r="BS121" i="2"/>
  <c r="CM110" i="2"/>
  <c r="BM110" i="2"/>
  <c r="K116" i="3" s="1"/>
  <c r="W116" i="3" s="1"/>
  <c r="AH131" i="45"/>
  <c r="AI131" i="45"/>
  <c r="AI135" i="45"/>
  <c r="AH135" i="45"/>
  <c r="AH130" i="45"/>
  <c r="AI130" i="45"/>
  <c r="AI134" i="45"/>
  <c r="AH134" i="45"/>
  <c r="AI133" i="45"/>
  <c r="AH133" i="45"/>
  <c r="AI136" i="45"/>
  <c r="AH136" i="45"/>
  <c r="AH129" i="45"/>
  <c r="AI129" i="45"/>
  <c r="AH132" i="45"/>
  <c r="AI132" i="45"/>
  <c r="AI137" i="45"/>
  <c r="AH137" i="45"/>
  <c r="C75" i="63"/>
  <c r="C78" i="63" s="1"/>
  <c r="C165" i="63" s="1"/>
  <c r="C60" i="62"/>
  <c r="C120" i="63"/>
  <c r="C86" i="63"/>
  <c r="C93" i="63" s="1"/>
  <c r="C95" i="63" s="1"/>
  <c r="C166" i="63" s="1"/>
  <c r="C103" i="63"/>
  <c r="C120" i="67"/>
  <c r="C103" i="67"/>
  <c r="C86" i="67"/>
  <c r="C93" i="67" s="1"/>
  <c r="C95" i="67" s="1"/>
  <c r="C166" i="67" s="1"/>
  <c r="C120" i="66"/>
  <c r="C86" i="66"/>
  <c r="C93" i="66" s="1"/>
  <c r="C95" i="66" s="1"/>
  <c r="C166" i="66" s="1"/>
  <c r="C103" i="66"/>
  <c r="E161" i="45"/>
  <c r="D56" i="57"/>
  <c r="C120" i="65"/>
  <c r="C86" i="65"/>
  <c r="C93" i="65" s="1"/>
  <c r="C95" i="65" s="1"/>
  <c r="C166" i="65" s="1"/>
  <c r="C103" i="65"/>
  <c r="C120" i="64"/>
  <c r="C86" i="64"/>
  <c r="C93" i="64" s="1"/>
  <c r="C95" i="64" s="1"/>
  <c r="C166" i="64" s="1"/>
  <c r="C103" i="64"/>
  <c r="C23" i="61"/>
  <c r="C59" i="62"/>
  <c r="CM10" i="2"/>
  <c r="CJ10" i="2" s="1"/>
  <c r="CK10" i="2"/>
  <c r="CH10" i="2" s="1"/>
  <c r="BJ43" i="2"/>
  <c r="H43" i="3" s="1"/>
  <c r="T43" i="3" s="1"/>
  <c r="BL43" i="2"/>
  <c r="J43" i="3" s="1"/>
  <c r="BH43" i="2"/>
  <c r="F43" i="3" s="1"/>
  <c r="R43" i="3" s="1"/>
  <c r="BI43" i="2"/>
  <c r="G43" i="3" s="1"/>
  <c r="S43" i="3" s="1"/>
  <c r="C75" i="64"/>
  <c r="C78" i="64" s="1"/>
  <c r="C165" i="64" s="1"/>
  <c r="BR32" i="2"/>
  <c r="C48" i="62"/>
  <c r="C50" i="62" s="1"/>
  <c r="BI56" i="2"/>
  <c r="G57" i="3" s="1"/>
  <c r="S57" i="3" s="1"/>
  <c r="BL56" i="2"/>
  <c r="J57" i="3" s="1"/>
  <c r="F53" i="4"/>
  <c r="O53" i="4" s="1"/>
  <c r="BM56" i="2"/>
  <c r="K57" i="3" s="1"/>
  <c r="G53" i="4"/>
  <c r="P53" i="4" s="1"/>
  <c r="BK56" i="2"/>
  <c r="I57" i="3" s="1"/>
  <c r="BJ56" i="2"/>
  <c r="H57" i="3" s="1"/>
  <c r="T57" i="3" s="1"/>
  <c r="BH56" i="2"/>
  <c r="F57" i="3" s="1"/>
  <c r="R57" i="3" s="1"/>
  <c r="BJ55" i="2"/>
  <c r="H56" i="3" s="1"/>
  <c r="T56" i="3" s="1"/>
  <c r="BH55" i="2"/>
  <c r="F56" i="3" s="1"/>
  <c r="R56" i="3" s="1"/>
  <c r="BL55" i="2"/>
  <c r="J56" i="3" s="1"/>
  <c r="F52" i="4"/>
  <c r="O52" i="4" s="1"/>
  <c r="BM55" i="2"/>
  <c r="K56" i="3" s="1"/>
  <c r="BK55" i="2"/>
  <c r="I56" i="3" s="1"/>
  <c r="BI55" i="2"/>
  <c r="G56" i="3" s="1"/>
  <c r="S56" i="3" s="1"/>
  <c r="BI54" i="2"/>
  <c r="G55" i="3" s="1"/>
  <c r="S55" i="3" s="1"/>
  <c r="G51" i="4"/>
  <c r="P51" i="4" s="1"/>
  <c r="BH54" i="2"/>
  <c r="F55" i="3" s="1"/>
  <c r="R55" i="3" s="1"/>
  <c r="BJ54" i="2"/>
  <c r="H55" i="3" s="1"/>
  <c r="T55" i="3" s="1"/>
  <c r="BL54" i="2"/>
  <c r="J55" i="3" s="1"/>
  <c r="BK45" i="2"/>
  <c r="I45" i="3" s="1"/>
  <c r="BL45" i="2"/>
  <c r="J45" i="3" s="1"/>
  <c r="F42" i="4"/>
  <c r="O42" i="4" s="1"/>
  <c r="BI45" i="2"/>
  <c r="G45" i="3" s="1"/>
  <c r="S45" i="3" s="1"/>
  <c r="BH45" i="2"/>
  <c r="F45" i="3" s="1"/>
  <c r="R45" i="3" s="1"/>
  <c r="BM45" i="2"/>
  <c r="K45" i="3" s="1"/>
  <c r="BJ45" i="2"/>
  <c r="H45" i="3" s="1"/>
  <c r="T45" i="3" s="1"/>
  <c r="G41" i="4"/>
  <c r="P41" i="4" s="1"/>
  <c r="BH44" i="2"/>
  <c r="F44" i="3" s="1"/>
  <c r="R44" i="3" s="1"/>
  <c r="BI44" i="2"/>
  <c r="G44" i="3" s="1"/>
  <c r="S44" i="3" s="1"/>
  <c r="BJ44" i="2"/>
  <c r="H44" i="3" s="1"/>
  <c r="T44" i="3" s="1"/>
  <c r="BK44" i="2"/>
  <c r="I44" i="3" s="1"/>
  <c r="BL44" i="2"/>
  <c r="J44" i="3" s="1"/>
  <c r="BM44" i="2"/>
  <c r="K44" i="3" s="1"/>
  <c r="BK34" i="2"/>
  <c r="I33" i="3" s="1"/>
  <c r="BM34" i="2"/>
  <c r="BH34" i="2"/>
  <c r="BL34" i="2"/>
  <c r="BJ34" i="2"/>
  <c r="H33" i="3" s="1"/>
  <c r="BI34" i="2"/>
  <c r="G33" i="3" s="1"/>
  <c r="BM33" i="2"/>
  <c r="BL33" i="2"/>
  <c r="BJ33" i="2"/>
  <c r="H32" i="3" s="1"/>
  <c r="BH33" i="2"/>
  <c r="F30" i="4"/>
  <c r="BK33" i="2"/>
  <c r="I32" i="3" s="1"/>
  <c r="BI33" i="2"/>
  <c r="G32" i="3" s="1"/>
  <c r="BH23" i="2"/>
  <c r="BM23" i="2"/>
  <c r="BL23" i="2"/>
  <c r="BK23" i="2"/>
  <c r="I21" i="3" s="1"/>
  <c r="BJ23" i="2"/>
  <c r="H21" i="3" s="1"/>
  <c r="G21" i="3"/>
  <c r="F20" i="4"/>
  <c r="BK22" i="2"/>
  <c r="I20" i="3" s="1"/>
  <c r="BJ22" i="2"/>
  <c r="H20" i="3" s="1"/>
  <c r="BI22" i="2"/>
  <c r="G20" i="3" s="1"/>
  <c r="BH22" i="2"/>
  <c r="BL22" i="2"/>
  <c r="BM22" i="2"/>
  <c r="F19" i="4"/>
  <c r="BI12" i="2"/>
  <c r="G9" i="3" s="1"/>
  <c r="S9" i="3" s="1"/>
  <c r="BH12" i="2"/>
  <c r="BM12" i="2"/>
  <c r="BL12" i="2"/>
  <c r="BK12" i="2"/>
  <c r="I9" i="3" s="1"/>
  <c r="U9" i="3" s="1"/>
  <c r="BJ12" i="2"/>
  <c r="H9" i="3" s="1"/>
  <c r="T9" i="3" s="1"/>
  <c r="BM11" i="2"/>
  <c r="BL11" i="2"/>
  <c r="BK11" i="2"/>
  <c r="I8" i="3" s="1"/>
  <c r="U8" i="3" s="1"/>
  <c r="BI11" i="2"/>
  <c r="G8" i="3" s="1"/>
  <c r="S8" i="3" s="1"/>
  <c r="BH11" i="2"/>
  <c r="BJ11" i="2"/>
  <c r="H8" i="3" s="1"/>
  <c r="T8" i="3" s="1"/>
  <c r="BR10" i="2"/>
  <c r="BP10" i="2"/>
  <c r="BO10" i="2"/>
  <c r="BK6" i="2"/>
  <c r="BK160" i="2" s="1"/>
  <c r="BL6" i="2"/>
  <c r="BL160" i="2" s="1"/>
  <c r="BM6" i="2"/>
  <c r="BM160" i="2" s="1"/>
  <c r="A194" i="62"/>
  <c r="A179" i="62"/>
  <c r="B170" i="62"/>
  <c r="A193" i="62"/>
  <c r="B169" i="62"/>
  <c r="A177" i="62"/>
  <c r="B168" i="62"/>
  <c r="A192" i="62"/>
  <c r="B165" i="62"/>
  <c r="C77" i="62"/>
  <c r="C72" i="62"/>
  <c r="C103" i="62"/>
  <c r="C86" i="62"/>
  <c r="C66" i="62"/>
  <c r="C74" i="62" s="1"/>
  <c r="C120" i="62"/>
  <c r="C69" i="62"/>
  <c r="G37" i="62"/>
  <c r="D37" i="62"/>
  <c r="C37" i="62"/>
  <c r="G37" i="61"/>
  <c r="E153" i="45"/>
  <c r="D55" i="61"/>
  <c r="D69" i="61" s="1"/>
  <c r="AE41" i="61"/>
  <c r="AD41" i="61"/>
  <c r="C59" i="61"/>
  <c r="C48" i="61"/>
  <c r="C50" i="61" s="1"/>
  <c r="A192" i="61"/>
  <c r="C60" i="61"/>
  <c r="A179" i="61"/>
  <c r="A194" i="61"/>
  <c r="B170" i="61"/>
  <c r="A193" i="61"/>
  <c r="B169" i="61"/>
  <c r="A177" i="61"/>
  <c r="B168" i="61"/>
  <c r="C72" i="61"/>
  <c r="C77" i="61"/>
  <c r="C103" i="61"/>
  <c r="C86" i="61"/>
  <c r="C66" i="61"/>
  <c r="C74" i="61" s="1"/>
  <c r="C69" i="61"/>
  <c r="C120" i="61"/>
  <c r="E37" i="61"/>
  <c r="H37" i="61"/>
  <c r="F37" i="61"/>
  <c r="D37" i="61"/>
  <c r="C37" i="61"/>
  <c r="BH32" i="2" l="1"/>
  <c r="BO32" i="2"/>
  <c r="BC32" i="2"/>
  <c r="AW32" i="2" s="1"/>
  <c r="H31" i="77" s="1"/>
  <c r="T31" i="77" s="1"/>
  <c r="BE32" i="2"/>
  <c r="AY32" i="2" s="1"/>
  <c r="BB32" i="2"/>
  <c r="AV32" i="2" s="1"/>
  <c r="G31" i="77" s="1"/>
  <c r="S31" i="77" s="1"/>
  <c r="CB32" i="2"/>
  <c r="BV32" i="2" s="1"/>
  <c r="G31" i="78" s="1"/>
  <c r="S31" i="78" s="1"/>
  <c r="CE32" i="2"/>
  <c r="BY32" i="2" s="1"/>
  <c r="J31" i="78" s="1"/>
  <c r="V31" i="78" s="1"/>
  <c r="CC32" i="2"/>
  <c r="BW32" i="2" s="1"/>
  <c r="H31" i="78" s="1"/>
  <c r="T31" i="78" s="1"/>
  <c r="AP32" i="2"/>
  <c r="AJ32" i="2" s="1"/>
  <c r="H31" i="79" s="1"/>
  <c r="T31" i="79" s="1"/>
  <c r="AR32" i="2"/>
  <c r="AL32" i="2" s="1"/>
  <c r="J31" i="79" s="1"/>
  <c r="V31" i="79" s="1"/>
  <c r="AO32" i="2"/>
  <c r="AI32" i="2" s="1"/>
  <c r="G31" i="79" s="1"/>
  <c r="S31" i="79" s="1"/>
  <c r="AX10" i="2"/>
  <c r="BM10" i="2"/>
  <c r="AZ10" i="2"/>
  <c r="CC10" i="2"/>
  <c r="BW10" i="2" s="1"/>
  <c r="H7" i="78" s="1"/>
  <c r="T7" i="78" s="1"/>
  <c r="CE10" i="2"/>
  <c r="BY10" i="2" s="1"/>
  <c r="J7" i="78" s="1"/>
  <c r="V7" i="78" s="1"/>
  <c r="CB10" i="2"/>
  <c r="BV10" i="2" s="1"/>
  <c r="G7" i="78" s="1"/>
  <c r="S7" i="78" s="1"/>
  <c r="AO10" i="2"/>
  <c r="AI10" i="2" s="1"/>
  <c r="G7" i="79" s="1"/>
  <c r="S7" i="79" s="1"/>
  <c r="AP10" i="2"/>
  <c r="AJ10" i="2" s="1"/>
  <c r="H7" i="79" s="1"/>
  <c r="T7" i="79" s="1"/>
  <c r="AR10" i="2"/>
  <c r="AL10" i="2" s="1"/>
  <c r="J7" i="79" s="1"/>
  <c r="V7" i="79" s="1"/>
  <c r="BC10" i="2"/>
  <c r="AW10" i="2" s="1"/>
  <c r="H7" i="77" s="1"/>
  <c r="T7" i="77" s="1"/>
  <c r="BE10" i="2"/>
  <c r="AY10" i="2" s="1"/>
  <c r="J7" i="77" s="1"/>
  <c r="V7" i="77" s="1"/>
  <c r="BB10" i="2"/>
  <c r="AV10" i="2" s="1"/>
  <c r="BU10" i="2"/>
  <c r="F7" i="78" s="1"/>
  <c r="R7" i="78" s="1"/>
  <c r="C171" i="63"/>
  <c r="AF15" i="45"/>
  <c r="AE18" i="45"/>
  <c r="AE7" i="45"/>
  <c r="CJ110" i="2"/>
  <c r="H107" i="4" s="1"/>
  <c r="Q107" i="4" s="1"/>
  <c r="I21" i="77"/>
  <c r="U21" i="77" s="1"/>
  <c r="H21" i="77"/>
  <c r="T21" i="77" s="1"/>
  <c r="H57" i="77"/>
  <c r="T57" i="77" s="1"/>
  <c r="I57" i="77"/>
  <c r="U57" i="77" s="1"/>
  <c r="J56" i="77"/>
  <c r="V56" i="77" s="1"/>
  <c r="F20" i="77"/>
  <c r="R20" i="77" s="1"/>
  <c r="F7" i="77"/>
  <c r="R7" i="77" s="1"/>
  <c r="H55" i="77"/>
  <c r="T55" i="77" s="1"/>
  <c r="F57" i="77"/>
  <c r="R57" i="77" s="1"/>
  <c r="K56" i="77"/>
  <c r="W56" i="77" s="1"/>
  <c r="G9" i="77"/>
  <c r="S9" i="77" s="1"/>
  <c r="F45" i="77"/>
  <c r="R45" i="77" s="1"/>
  <c r="G56" i="77"/>
  <c r="S56" i="77" s="1"/>
  <c r="K44" i="77"/>
  <c r="W44" i="77" s="1"/>
  <c r="H9" i="77"/>
  <c r="T9" i="77" s="1"/>
  <c r="F33" i="77"/>
  <c r="R33" i="77" s="1"/>
  <c r="F43" i="77"/>
  <c r="R43" i="77" s="1"/>
  <c r="F31" i="77"/>
  <c r="R31" i="77" s="1"/>
  <c r="I7" i="77"/>
  <c r="U7" i="77" s="1"/>
  <c r="G55" i="77"/>
  <c r="S55" i="77" s="1"/>
  <c r="H56" i="77"/>
  <c r="T56" i="77" s="1"/>
  <c r="G44" i="77"/>
  <c r="S44" i="77" s="1"/>
  <c r="F9" i="77"/>
  <c r="R9" i="77" s="1"/>
  <c r="F55" i="77"/>
  <c r="R55" i="77" s="1"/>
  <c r="H33" i="77"/>
  <c r="T33" i="77" s="1"/>
  <c r="J8" i="77"/>
  <c r="V8" i="77" s="1"/>
  <c r="H45" i="77"/>
  <c r="T45" i="77" s="1"/>
  <c r="J31" i="77"/>
  <c r="V31" i="77" s="1"/>
  <c r="K57" i="77"/>
  <c r="W57" i="77" s="1"/>
  <c r="H32" i="77"/>
  <c r="T32" i="77" s="1"/>
  <c r="J44" i="77"/>
  <c r="V44" i="77" s="1"/>
  <c r="F8" i="77"/>
  <c r="R8" i="77" s="1"/>
  <c r="J43" i="77"/>
  <c r="V43" i="77" s="1"/>
  <c r="G33" i="77"/>
  <c r="S33" i="77" s="1"/>
  <c r="K20" i="77"/>
  <c r="W20" i="77" s="1"/>
  <c r="G7" i="77"/>
  <c r="S7" i="77" s="1"/>
  <c r="G57" i="77"/>
  <c r="S57" i="77" s="1"/>
  <c r="G20" i="77"/>
  <c r="S20" i="77" s="1"/>
  <c r="J55" i="77"/>
  <c r="V55" i="77" s="1"/>
  <c r="K7" i="77"/>
  <c r="W7" i="77" s="1"/>
  <c r="G21" i="77"/>
  <c r="S21" i="77" s="1"/>
  <c r="I56" i="77"/>
  <c r="U56" i="77" s="1"/>
  <c r="J9" i="77"/>
  <c r="V9" i="77" s="1"/>
  <c r="K45" i="77"/>
  <c r="W45" i="77" s="1"/>
  <c r="K9" i="77"/>
  <c r="W9" i="77" s="1"/>
  <c r="J32" i="77"/>
  <c r="V32" i="77" s="1"/>
  <c r="I44" i="77"/>
  <c r="U44" i="77" s="1"/>
  <c r="I9" i="77"/>
  <c r="U9" i="77" s="1"/>
  <c r="G45" i="77"/>
  <c r="S45" i="77" s="1"/>
  <c r="F56" i="77"/>
  <c r="R56" i="77" s="1"/>
  <c r="G32" i="77"/>
  <c r="S32" i="77" s="1"/>
  <c r="F44" i="77"/>
  <c r="R44" i="77" s="1"/>
  <c r="I8" i="77"/>
  <c r="U8" i="77" s="1"/>
  <c r="J21" i="77"/>
  <c r="V21" i="77" s="1"/>
  <c r="J57" i="77"/>
  <c r="V57" i="77" s="1"/>
  <c r="K33" i="77"/>
  <c r="W33" i="77" s="1"/>
  <c r="I32" i="77"/>
  <c r="U32" i="77" s="1"/>
  <c r="I20" i="77"/>
  <c r="U20" i="77" s="1"/>
  <c r="K8" i="77"/>
  <c r="W8" i="77" s="1"/>
  <c r="F21" i="77"/>
  <c r="R21" i="77" s="1"/>
  <c r="K32" i="77"/>
  <c r="W32" i="77" s="1"/>
  <c r="H8" i="77"/>
  <c r="T8" i="77" s="1"/>
  <c r="G43" i="77"/>
  <c r="S43" i="77" s="1"/>
  <c r="K21" i="77"/>
  <c r="W21" i="77" s="1"/>
  <c r="J45" i="77"/>
  <c r="V45" i="77" s="1"/>
  <c r="J33" i="77"/>
  <c r="V33" i="77" s="1"/>
  <c r="F32" i="77"/>
  <c r="R32" i="77" s="1"/>
  <c r="J20" i="77"/>
  <c r="V20" i="77" s="1"/>
  <c r="G8" i="77"/>
  <c r="S8" i="77" s="1"/>
  <c r="H43" i="77"/>
  <c r="T43" i="77" s="1"/>
  <c r="I45" i="77"/>
  <c r="U45" i="77" s="1"/>
  <c r="I33" i="77"/>
  <c r="U33" i="77" s="1"/>
  <c r="H20" i="77"/>
  <c r="T20" i="77" s="1"/>
  <c r="H44" i="77"/>
  <c r="T44" i="77" s="1"/>
  <c r="BL32" i="2"/>
  <c r="J31" i="3" s="1"/>
  <c r="BN133" i="2"/>
  <c r="BK122" i="2"/>
  <c r="I129" i="3" s="1"/>
  <c r="U129" i="3" s="1"/>
  <c r="BH122" i="2"/>
  <c r="F129" i="3" s="1"/>
  <c r="R129" i="3" s="1"/>
  <c r="BL122" i="2"/>
  <c r="J129" i="3" s="1"/>
  <c r="V129" i="3" s="1"/>
  <c r="BI122" i="2"/>
  <c r="G129" i="3" s="1"/>
  <c r="S129" i="3" s="1"/>
  <c r="BJ122" i="2"/>
  <c r="H129" i="3" s="1"/>
  <c r="T129" i="3" s="1"/>
  <c r="BM122" i="2"/>
  <c r="K129" i="3" s="1"/>
  <c r="W129" i="3" s="1"/>
  <c r="BN132" i="2"/>
  <c r="BI121" i="2"/>
  <c r="G128" i="3" s="1"/>
  <c r="S128" i="3" s="1"/>
  <c r="BJ121" i="2"/>
  <c r="H128" i="3" s="1"/>
  <c r="T128" i="3" s="1"/>
  <c r="BK121" i="2"/>
  <c r="I128" i="3" s="1"/>
  <c r="U128" i="3" s="1"/>
  <c r="BH121" i="2"/>
  <c r="F128" i="3" s="1"/>
  <c r="R128" i="3" s="1"/>
  <c r="BL121" i="2"/>
  <c r="J128" i="3" s="1"/>
  <c r="V128" i="3" s="1"/>
  <c r="AD11" i="45"/>
  <c r="D106" i="74"/>
  <c r="AB55" i="75"/>
  <c r="AC55" i="75" s="1"/>
  <c r="D74" i="74"/>
  <c r="AB23" i="75"/>
  <c r="D73" i="74"/>
  <c r="AB22" i="75"/>
  <c r="W57" i="3"/>
  <c r="V56" i="3"/>
  <c r="BS132" i="2"/>
  <c r="CM121" i="2"/>
  <c r="BM121" i="2"/>
  <c r="K128" i="3" s="1"/>
  <c r="W128" i="3" s="1"/>
  <c r="F129" i="4"/>
  <c r="G129" i="4"/>
  <c r="BR154" i="2"/>
  <c r="CL143" i="2"/>
  <c r="CI143" i="2" s="1"/>
  <c r="V57" i="3"/>
  <c r="U57" i="3"/>
  <c r="U56" i="3"/>
  <c r="W56" i="3"/>
  <c r="C156" i="62"/>
  <c r="C122" i="62"/>
  <c r="C139" i="62"/>
  <c r="C183" i="63"/>
  <c r="C189" i="63" s="1"/>
  <c r="F161" i="45"/>
  <c r="E56" i="57"/>
  <c r="V55" i="3"/>
  <c r="C174" i="63"/>
  <c r="C180" i="63" s="1"/>
  <c r="W45" i="3"/>
  <c r="V45" i="3"/>
  <c r="CL10" i="2"/>
  <c r="CI10" i="2" s="1"/>
  <c r="V43" i="3"/>
  <c r="BJ32" i="2"/>
  <c r="H31" i="3" s="1"/>
  <c r="BI32" i="2"/>
  <c r="G31" i="3" s="1"/>
  <c r="U45" i="3"/>
  <c r="K33" i="3"/>
  <c r="G31" i="4"/>
  <c r="F33" i="3"/>
  <c r="H31" i="4"/>
  <c r="J33" i="3"/>
  <c r="K32" i="3"/>
  <c r="J32" i="3"/>
  <c r="F32" i="3"/>
  <c r="H30" i="4"/>
  <c r="G30" i="4"/>
  <c r="H20" i="4"/>
  <c r="G20" i="4"/>
  <c r="F21" i="3"/>
  <c r="K21" i="3"/>
  <c r="J21" i="3"/>
  <c r="F20" i="3"/>
  <c r="J20" i="3"/>
  <c r="K20" i="3"/>
  <c r="G19" i="4"/>
  <c r="H19" i="4"/>
  <c r="F9" i="3"/>
  <c r="R9" i="3" s="1"/>
  <c r="H9" i="4"/>
  <c r="G9" i="4"/>
  <c r="K9" i="3"/>
  <c r="W9" i="3" s="1"/>
  <c r="J9" i="3"/>
  <c r="V9" i="3" s="1"/>
  <c r="H8" i="4"/>
  <c r="G8" i="4"/>
  <c r="K8" i="3"/>
  <c r="W8" i="3" s="1"/>
  <c r="J8" i="3"/>
  <c r="V8" i="3" s="1"/>
  <c r="F8" i="3"/>
  <c r="R8" i="3" s="1"/>
  <c r="U44" i="3"/>
  <c r="W44" i="3"/>
  <c r="V44" i="3"/>
  <c r="C183" i="64"/>
  <c r="C189" i="64" s="1"/>
  <c r="C171" i="64"/>
  <c r="C174" i="64"/>
  <c r="C180" i="64" s="1"/>
  <c r="F31" i="3"/>
  <c r="F7" i="3"/>
  <c r="R7" i="3" s="1"/>
  <c r="K7" i="3"/>
  <c r="W7" i="3" s="1"/>
  <c r="CL32" i="2"/>
  <c r="CI32" i="2" s="1"/>
  <c r="BL10" i="2"/>
  <c r="BJ10" i="2"/>
  <c r="H7" i="3" s="1"/>
  <c r="T7" i="3" s="1"/>
  <c r="BI10" i="2"/>
  <c r="G7" i="3" s="1"/>
  <c r="S7" i="3" s="1"/>
  <c r="B179" i="62"/>
  <c r="A188" i="62"/>
  <c r="B188" i="62" s="1"/>
  <c r="B177" i="62"/>
  <c r="A187" i="62"/>
  <c r="B187" i="62" s="1"/>
  <c r="C71" i="62"/>
  <c r="C76" i="62" s="1"/>
  <c r="C88" i="62"/>
  <c r="C105" i="62"/>
  <c r="C136" i="62"/>
  <c r="C143" i="62" s="1"/>
  <c r="C85" i="62"/>
  <c r="C92" i="62" s="1"/>
  <c r="C67" i="62"/>
  <c r="D67" i="62"/>
  <c r="E67" i="62"/>
  <c r="F67" i="62"/>
  <c r="G67" i="62"/>
  <c r="H67" i="62"/>
  <c r="I67" i="62"/>
  <c r="J67" i="62"/>
  <c r="K67" i="62"/>
  <c r="L67" i="62"/>
  <c r="M67" i="62"/>
  <c r="N67" i="62"/>
  <c r="O67" i="62"/>
  <c r="P67" i="62"/>
  <c r="Q67" i="62"/>
  <c r="R67" i="62"/>
  <c r="S67" i="62"/>
  <c r="T67" i="62"/>
  <c r="U67" i="62"/>
  <c r="V67" i="62"/>
  <c r="W67" i="62"/>
  <c r="X67" i="62"/>
  <c r="Y67" i="62"/>
  <c r="Z67" i="62"/>
  <c r="AA67" i="62"/>
  <c r="AB67" i="62"/>
  <c r="AC67" i="62"/>
  <c r="AD67" i="62"/>
  <c r="AE67" i="62"/>
  <c r="AF67" i="62"/>
  <c r="AG67" i="62"/>
  <c r="C68" i="62"/>
  <c r="C71" i="61"/>
  <c r="C76" i="61" s="1"/>
  <c r="C88" i="61"/>
  <c r="C105" i="61"/>
  <c r="C139" i="61"/>
  <c r="C156" i="61"/>
  <c r="C122" i="61"/>
  <c r="F153" i="45"/>
  <c r="E55" i="61"/>
  <c r="E69" i="61" s="1"/>
  <c r="AG41" i="61"/>
  <c r="AG67" i="61" s="1"/>
  <c r="AF41" i="61"/>
  <c r="AF67" i="61" s="1"/>
  <c r="B179" i="61"/>
  <c r="A188" i="61"/>
  <c r="B188" i="61" s="1"/>
  <c r="B177" i="61"/>
  <c r="A186" i="61"/>
  <c r="B186" i="61" s="1"/>
  <c r="C102" i="61"/>
  <c r="C109" i="61" s="1"/>
  <c r="C153" i="61"/>
  <c r="C160" i="61" s="1"/>
  <c r="C136" i="61"/>
  <c r="C143" i="61" s="1"/>
  <c r="C119" i="61"/>
  <c r="C126" i="61" s="1"/>
  <c r="C85" i="61"/>
  <c r="C92" i="61" s="1"/>
  <c r="C67" i="61"/>
  <c r="D67" i="61"/>
  <c r="E67" i="61"/>
  <c r="F67" i="61"/>
  <c r="G67" i="61"/>
  <c r="H67" i="61"/>
  <c r="I67" i="61"/>
  <c r="J67" i="61"/>
  <c r="K67" i="61"/>
  <c r="L67" i="61"/>
  <c r="M67" i="61"/>
  <c r="N67" i="61"/>
  <c r="O67" i="61"/>
  <c r="P67" i="61"/>
  <c r="Q67" i="61"/>
  <c r="R67" i="61"/>
  <c r="S67" i="61"/>
  <c r="T67" i="61"/>
  <c r="U67" i="61"/>
  <c r="V67" i="61"/>
  <c r="W67" i="61"/>
  <c r="X67" i="61"/>
  <c r="Y67" i="61"/>
  <c r="Z67" i="61"/>
  <c r="AA67" i="61"/>
  <c r="AB67" i="61"/>
  <c r="AC67" i="61"/>
  <c r="AD67" i="61"/>
  <c r="AE67" i="61"/>
  <c r="C68" i="61"/>
  <c r="D58" i="46"/>
  <c r="D60" i="46" s="1"/>
  <c r="E58" i="46"/>
  <c r="E60" i="46" s="1"/>
  <c r="F58" i="46"/>
  <c r="G58" i="46"/>
  <c r="F59" i="46"/>
  <c r="G59" i="46"/>
  <c r="C28" i="38"/>
  <c r="C27" i="38"/>
  <c r="E47" i="38"/>
  <c r="F47" i="38"/>
  <c r="G47" i="38"/>
  <c r="H47" i="38"/>
  <c r="I47" i="38"/>
  <c r="J47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W47" i="38"/>
  <c r="X47" i="38"/>
  <c r="Y47" i="38"/>
  <c r="Z47" i="38"/>
  <c r="AA47" i="38"/>
  <c r="AB47" i="38"/>
  <c r="AC47" i="38"/>
  <c r="AD47" i="38"/>
  <c r="AE47" i="38"/>
  <c r="AF47" i="38"/>
  <c r="AG47" i="38"/>
  <c r="D47" i="38"/>
  <c r="C47" i="38"/>
  <c r="E18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AG15" i="45" l="1"/>
  <c r="AF18" i="45"/>
  <c r="AF7" i="45"/>
  <c r="CJ121" i="2"/>
  <c r="H118" i="4" s="1"/>
  <c r="Q118" i="4" s="1"/>
  <c r="BN143" i="2"/>
  <c r="BI132" i="2"/>
  <c r="G140" i="3" s="1"/>
  <c r="S140" i="3" s="1"/>
  <c r="BH132" i="2"/>
  <c r="F140" i="3" s="1"/>
  <c r="R140" i="3" s="1"/>
  <c r="BJ132" i="2"/>
  <c r="H140" i="3" s="1"/>
  <c r="T140" i="3" s="1"/>
  <c r="BK132" i="2"/>
  <c r="I140" i="3" s="1"/>
  <c r="U140" i="3" s="1"/>
  <c r="BL132" i="2"/>
  <c r="J140" i="3" s="1"/>
  <c r="V140" i="3" s="1"/>
  <c r="BN144" i="2"/>
  <c r="BM133" i="2"/>
  <c r="K141" i="3" s="1"/>
  <c r="W141" i="3" s="1"/>
  <c r="BL133" i="2"/>
  <c r="J141" i="3" s="1"/>
  <c r="V141" i="3" s="1"/>
  <c r="BK133" i="2"/>
  <c r="I141" i="3" s="1"/>
  <c r="U141" i="3" s="1"/>
  <c r="BH133" i="2"/>
  <c r="F141" i="3" s="1"/>
  <c r="R141" i="3" s="1"/>
  <c r="BI133" i="2"/>
  <c r="G141" i="3" s="1"/>
  <c r="S141" i="3" s="1"/>
  <c r="BJ133" i="2"/>
  <c r="H141" i="3" s="1"/>
  <c r="T141" i="3" s="1"/>
  <c r="F7" i="4"/>
  <c r="AE11" i="45"/>
  <c r="D79" i="74"/>
  <c r="AB28" i="75"/>
  <c r="AC23" i="75"/>
  <c r="G140" i="4"/>
  <c r="P140" i="4" s="1"/>
  <c r="F140" i="4"/>
  <c r="O140" i="4" s="1"/>
  <c r="CL154" i="2"/>
  <c r="CI154" i="2" s="1"/>
  <c r="BS143" i="2"/>
  <c r="CM132" i="2"/>
  <c r="BM132" i="2"/>
  <c r="K140" i="3" s="1"/>
  <c r="W140" i="3" s="1"/>
  <c r="F5" i="14"/>
  <c r="G161" i="45"/>
  <c r="F56" i="57"/>
  <c r="F6" i="14"/>
  <c r="F10" i="14"/>
  <c r="F4" i="14"/>
  <c r="F8" i="14"/>
  <c r="F9" i="14"/>
  <c r="F11" i="14"/>
  <c r="F12" i="14"/>
  <c r="F13" i="14"/>
  <c r="F7" i="14"/>
  <c r="F15" i="14"/>
  <c r="F14" i="14"/>
  <c r="F16" i="14"/>
  <c r="F3" i="14"/>
  <c r="G29" i="4"/>
  <c r="J7" i="3"/>
  <c r="V7" i="3" s="1"/>
  <c r="C75" i="62"/>
  <c r="C78" i="62" s="1"/>
  <c r="C165" i="62" s="1"/>
  <c r="G153" i="45"/>
  <c r="F55" i="61"/>
  <c r="F69" i="61" s="1"/>
  <c r="C75" i="61"/>
  <c r="C78" i="61" s="1"/>
  <c r="C165" i="61" s="1"/>
  <c r="G60" i="46"/>
  <c r="F60" i="46"/>
  <c r="E17" i="14"/>
  <c r="F17" i="14" s="1"/>
  <c r="AB6" i="75" l="1"/>
  <c r="AC6" i="75" s="1"/>
  <c r="AG7" i="45"/>
  <c r="AG18" i="45"/>
  <c r="CJ132" i="2"/>
  <c r="H129" i="4" s="1"/>
  <c r="BN155" i="2"/>
  <c r="BM144" i="2"/>
  <c r="K153" i="3" s="1"/>
  <c r="W153" i="3" s="1"/>
  <c r="BL144" i="2"/>
  <c r="J153" i="3" s="1"/>
  <c r="V153" i="3" s="1"/>
  <c r="BK144" i="2"/>
  <c r="I153" i="3" s="1"/>
  <c r="U153" i="3" s="1"/>
  <c r="BJ144" i="2"/>
  <c r="H153" i="3" s="1"/>
  <c r="T153" i="3" s="1"/>
  <c r="BI144" i="2"/>
  <c r="G153" i="3" s="1"/>
  <c r="S153" i="3" s="1"/>
  <c r="BH144" i="2"/>
  <c r="F153" i="3" s="1"/>
  <c r="R153" i="3" s="1"/>
  <c r="BN154" i="2"/>
  <c r="BJ143" i="2"/>
  <c r="H152" i="3" s="1"/>
  <c r="T152" i="3" s="1"/>
  <c r="BH143" i="2"/>
  <c r="F152" i="3" s="1"/>
  <c r="R152" i="3" s="1"/>
  <c r="BI143" i="2"/>
  <c r="G152" i="3" s="1"/>
  <c r="S152" i="3" s="1"/>
  <c r="BK143" i="2"/>
  <c r="I152" i="3" s="1"/>
  <c r="U152" i="3" s="1"/>
  <c r="BL143" i="2"/>
  <c r="J152" i="3" s="1"/>
  <c r="V152" i="3" s="1"/>
  <c r="AF11" i="45"/>
  <c r="D65" i="74"/>
  <c r="AB14" i="75"/>
  <c r="D57" i="74"/>
  <c r="D6" i="75"/>
  <c r="E6" i="75" s="1"/>
  <c r="BS154" i="2"/>
  <c r="CM143" i="2"/>
  <c r="BM143" i="2"/>
  <c r="F151" i="4"/>
  <c r="O151" i="4" s="1"/>
  <c r="G151" i="4"/>
  <c r="P151" i="4" s="1"/>
  <c r="H161" i="45"/>
  <c r="G56" i="57"/>
  <c r="H7" i="4"/>
  <c r="G7" i="4"/>
  <c r="C171" i="62"/>
  <c r="C174" i="62"/>
  <c r="C180" i="62" s="1"/>
  <c r="C183" i="62"/>
  <c r="C189" i="62" s="1"/>
  <c r="H153" i="45"/>
  <c r="G55" i="61"/>
  <c r="G69" i="61" s="1"/>
  <c r="C171" i="61"/>
  <c r="AB12" i="75" s="1"/>
  <c r="C174" i="61"/>
  <c r="C180" i="61" s="1"/>
  <c r="C183" i="61"/>
  <c r="C189" i="61" s="1"/>
  <c r="C121" i="58"/>
  <c r="C104" i="58"/>
  <c r="C87" i="58"/>
  <c r="C70" i="58"/>
  <c r="C63" i="58"/>
  <c r="C64" i="58" s="1"/>
  <c r="C56" i="55"/>
  <c r="C56" i="57"/>
  <c r="C56" i="58"/>
  <c r="G36" i="58"/>
  <c r="D36" i="58"/>
  <c r="C36" i="58"/>
  <c r="C24" i="58"/>
  <c r="C22" i="58"/>
  <c r="C21" i="58"/>
  <c r="C20" i="58"/>
  <c r="C17" i="58"/>
  <c r="C16" i="58"/>
  <c r="C14" i="58"/>
  <c r="C12" i="58"/>
  <c r="C6" i="58"/>
  <c r="C5" i="58"/>
  <c r="B3" i="58"/>
  <c r="B2" i="58"/>
  <c r="B3" i="57"/>
  <c r="B2" i="57"/>
  <c r="D191" i="58"/>
  <c r="E191" i="58" s="1"/>
  <c r="F191" i="58" s="1"/>
  <c r="G191" i="58" s="1"/>
  <c r="H191" i="58" s="1"/>
  <c r="I191" i="58" s="1"/>
  <c r="J191" i="58" s="1"/>
  <c r="K191" i="58" s="1"/>
  <c r="L191" i="58" s="1"/>
  <c r="M191" i="58" s="1"/>
  <c r="N191" i="58" s="1"/>
  <c r="O191" i="58" s="1"/>
  <c r="P191" i="58" s="1"/>
  <c r="Q191" i="58" s="1"/>
  <c r="R191" i="58" s="1"/>
  <c r="S191" i="58" s="1"/>
  <c r="T191" i="58" s="1"/>
  <c r="U191" i="58" s="1"/>
  <c r="V191" i="58" s="1"/>
  <c r="W191" i="58" s="1"/>
  <c r="X191" i="58" s="1"/>
  <c r="Y191" i="58" s="1"/>
  <c r="Z191" i="58" s="1"/>
  <c r="AA191" i="58" s="1"/>
  <c r="AB191" i="58" s="1"/>
  <c r="AC191" i="58" s="1"/>
  <c r="AD191" i="58" s="1"/>
  <c r="AE191" i="58" s="1"/>
  <c r="AF191" i="58" s="1"/>
  <c r="AG191" i="58" s="1"/>
  <c r="A186" i="58"/>
  <c r="B186" i="58" s="1"/>
  <c r="A185" i="58"/>
  <c r="B185" i="58" s="1"/>
  <c r="A184" i="58"/>
  <c r="B184" i="58" s="1"/>
  <c r="A183" i="58"/>
  <c r="B183" i="58" s="1"/>
  <c r="D182" i="58"/>
  <c r="E182" i="58" s="1"/>
  <c r="F182" i="58" s="1"/>
  <c r="G182" i="58" s="1"/>
  <c r="H182" i="58" s="1"/>
  <c r="I182" i="58" s="1"/>
  <c r="J182" i="58" s="1"/>
  <c r="K182" i="58" s="1"/>
  <c r="L182" i="58" s="1"/>
  <c r="M182" i="58" s="1"/>
  <c r="N182" i="58" s="1"/>
  <c r="O182" i="58" s="1"/>
  <c r="P182" i="58" s="1"/>
  <c r="Q182" i="58" s="1"/>
  <c r="R182" i="58" s="1"/>
  <c r="S182" i="58" s="1"/>
  <c r="T182" i="58" s="1"/>
  <c r="U182" i="58" s="1"/>
  <c r="V182" i="58" s="1"/>
  <c r="W182" i="58" s="1"/>
  <c r="X182" i="58" s="1"/>
  <c r="Y182" i="58" s="1"/>
  <c r="Z182" i="58" s="1"/>
  <c r="AA182" i="58" s="1"/>
  <c r="AB182" i="58" s="1"/>
  <c r="AC182" i="58" s="1"/>
  <c r="AD182" i="58" s="1"/>
  <c r="AE182" i="58" s="1"/>
  <c r="AF182" i="58" s="1"/>
  <c r="AG182" i="58" s="1"/>
  <c r="B178" i="58"/>
  <c r="B176" i="58"/>
  <c r="B175" i="58"/>
  <c r="B174" i="58"/>
  <c r="D173" i="58"/>
  <c r="E173" i="58" s="1"/>
  <c r="F173" i="58" s="1"/>
  <c r="G173" i="58" s="1"/>
  <c r="H173" i="58" s="1"/>
  <c r="I173" i="58" s="1"/>
  <c r="J173" i="58" s="1"/>
  <c r="K173" i="58" s="1"/>
  <c r="L173" i="58" s="1"/>
  <c r="M173" i="58" s="1"/>
  <c r="N173" i="58" s="1"/>
  <c r="O173" i="58" s="1"/>
  <c r="P173" i="58" s="1"/>
  <c r="Q173" i="58" s="1"/>
  <c r="R173" i="58" s="1"/>
  <c r="S173" i="58" s="1"/>
  <c r="T173" i="58" s="1"/>
  <c r="U173" i="58" s="1"/>
  <c r="V173" i="58" s="1"/>
  <c r="W173" i="58" s="1"/>
  <c r="X173" i="58" s="1"/>
  <c r="Y173" i="58" s="1"/>
  <c r="Z173" i="58" s="1"/>
  <c r="AA173" i="58" s="1"/>
  <c r="AB173" i="58" s="1"/>
  <c r="AC173" i="58" s="1"/>
  <c r="AD173" i="58" s="1"/>
  <c r="AE173" i="58" s="1"/>
  <c r="AF173" i="58" s="1"/>
  <c r="AG173" i="58" s="1"/>
  <c r="A170" i="58"/>
  <c r="A168" i="58"/>
  <c r="A169" i="58"/>
  <c r="A165" i="58"/>
  <c r="D164" i="58"/>
  <c r="E164" i="58" s="1"/>
  <c r="F164" i="58" s="1"/>
  <c r="G164" i="58" s="1"/>
  <c r="H164" i="58" s="1"/>
  <c r="I164" i="58" s="1"/>
  <c r="J164" i="58" s="1"/>
  <c r="K164" i="58" s="1"/>
  <c r="L164" i="58" s="1"/>
  <c r="M164" i="58" s="1"/>
  <c r="N164" i="58" s="1"/>
  <c r="O164" i="58" s="1"/>
  <c r="P164" i="58" s="1"/>
  <c r="Q164" i="58" s="1"/>
  <c r="R164" i="58" s="1"/>
  <c r="S164" i="58" s="1"/>
  <c r="T164" i="58" s="1"/>
  <c r="U164" i="58" s="1"/>
  <c r="V164" i="58" s="1"/>
  <c r="W164" i="58" s="1"/>
  <c r="X164" i="58" s="1"/>
  <c r="Y164" i="58" s="1"/>
  <c r="Z164" i="58" s="1"/>
  <c r="AA164" i="58" s="1"/>
  <c r="AB164" i="58" s="1"/>
  <c r="AC164" i="58" s="1"/>
  <c r="AD164" i="58" s="1"/>
  <c r="AE164" i="58" s="1"/>
  <c r="AF164" i="58" s="1"/>
  <c r="AG164" i="58" s="1"/>
  <c r="D148" i="58"/>
  <c r="E148" i="58" s="1"/>
  <c r="F148" i="58" s="1"/>
  <c r="G148" i="58" s="1"/>
  <c r="H148" i="58" s="1"/>
  <c r="I148" i="58" s="1"/>
  <c r="J148" i="58" s="1"/>
  <c r="K148" i="58" s="1"/>
  <c r="L148" i="58" s="1"/>
  <c r="M148" i="58" s="1"/>
  <c r="N148" i="58" s="1"/>
  <c r="O148" i="58" s="1"/>
  <c r="P148" i="58" s="1"/>
  <c r="Q148" i="58" s="1"/>
  <c r="R148" i="58" s="1"/>
  <c r="S148" i="58" s="1"/>
  <c r="T148" i="58" s="1"/>
  <c r="U148" i="58" s="1"/>
  <c r="V148" i="58" s="1"/>
  <c r="W148" i="58" s="1"/>
  <c r="X148" i="58" s="1"/>
  <c r="Y148" i="58" s="1"/>
  <c r="Z148" i="58" s="1"/>
  <c r="AA148" i="58" s="1"/>
  <c r="AB148" i="58" s="1"/>
  <c r="AC148" i="58" s="1"/>
  <c r="AD148" i="58" s="1"/>
  <c r="AE148" i="58" s="1"/>
  <c r="AF148" i="58" s="1"/>
  <c r="AG148" i="58" s="1"/>
  <c r="D131" i="58"/>
  <c r="E131" i="58" s="1"/>
  <c r="F131" i="58" s="1"/>
  <c r="G131" i="58" s="1"/>
  <c r="H131" i="58" s="1"/>
  <c r="I131" i="58" s="1"/>
  <c r="J131" i="58" s="1"/>
  <c r="K131" i="58" s="1"/>
  <c r="L131" i="58" s="1"/>
  <c r="M131" i="58" s="1"/>
  <c r="N131" i="58" s="1"/>
  <c r="O131" i="58" s="1"/>
  <c r="P131" i="58" s="1"/>
  <c r="Q131" i="58" s="1"/>
  <c r="R131" i="58" s="1"/>
  <c r="S131" i="58" s="1"/>
  <c r="T131" i="58" s="1"/>
  <c r="U131" i="58" s="1"/>
  <c r="V131" i="58" s="1"/>
  <c r="W131" i="58" s="1"/>
  <c r="X131" i="58" s="1"/>
  <c r="Y131" i="58" s="1"/>
  <c r="Z131" i="58" s="1"/>
  <c r="AA131" i="58" s="1"/>
  <c r="AB131" i="58" s="1"/>
  <c r="AC131" i="58" s="1"/>
  <c r="AD131" i="58" s="1"/>
  <c r="AE131" i="58" s="1"/>
  <c r="AF131" i="58" s="1"/>
  <c r="AG131" i="58" s="1"/>
  <c r="D114" i="58"/>
  <c r="E114" i="58" s="1"/>
  <c r="F114" i="58" s="1"/>
  <c r="G114" i="58" s="1"/>
  <c r="H114" i="58" s="1"/>
  <c r="I114" i="58" s="1"/>
  <c r="J114" i="58" s="1"/>
  <c r="K114" i="58" s="1"/>
  <c r="L114" i="58" s="1"/>
  <c r="M114" i="58" s="1"/>
  <c r="N114" i="58" s="1"/>
  <c r="O114" i="58" s="1"/>
  <c r="P114" i="58" s="1"/>
  <c r="Q114" i="58" s="1"/>
  <c r="R114" i="58" s="1"/>
  <c r="S114" i="58" s="1"/>
  <c r="T114" i="58" s="1"/>
  <c r="U114" i="58" s="1"/>
  <c r="V114" i="58" s="1"/>
  <c r="W114" i="58" s="1"/>
  <c r="X114" i="58" s="1"/>
  <c r="Y114" i="58" s="1"/>
  <c r="Z114" i="58" s="1"/>
  <c r="AA114" i="58" s="1"/>
  <c r="AB114" i="58" s="1"/>
  <c r="AC114" i="58" s="1"/>
  <c r="AD114" i="58" s="1"/>
  <c r="AE114" i="58" s="1"/>
  <c r="AF114" i="58" s="1"/>
  <c r="AG114" i="58" s="1"/>
  <c r="D97" i="58"/>
  <c r="E97" i="58" s="1"/>
  <c r="F97" i="58" s="1"/>
  <c r="G97" i="58" s="1"/>
  <c r="H97" i="58" s="1"/>
  <c r="I97" i="58" s="1"/>
  <c r="J97" i="58" s="1"/>
  <c r="K97" i="58" s="1"/>
  <c r="L97" i="58" s="1"/>
  <c r="M97" i="58" s="1"/>
  <c r="N97" i="58" s="1"/>
  <c r="O97" i="58" s="1"/>
  <c r="P97" i="58" s="1"/>
  <c r="Q97" i="58" s="1"/>
  <c r="R97" i="58" s="1"/>
  <c r="S97" i="58" s="1"/>
  <c r="T97" i="58" s="1"/>
  <c r="U97" i="58" s="1"/>
  <c r="V97" i="58" s="1"/>
  <c r="W97" i="58" s="1"/>
  <c r="X97" i="58" s="1"/>
  <c r="Y97" i="58" s="1"/>
  <c r="Z97" i="58" s="1"/>
  <c r="AA97" i="58" s="1"/>
  <c r="AB97" i="58" s="1"/>
  <c r="AC97" i="58" s="1"/>
  <c r="AD97" i="58" s="1"/>
  <c r="AE97" i="58" s="1"/>
  <c r="AF97" i="58" s="1"/>
  <c r="AG97" i="58" s="1"/>
  <c r="D80" i="58"/>
  <c r="E80" i="58" s="1"/>
  <c r="F80" i="58" s="1"/>
  <c r="G80" i="58" s="1"/>
  <c r="H80" i="58" s="1"/>
  <c r="I80" i="58" s="1"/>
  <c r="J80" i="58" s="1"/>
  <c r="K80" i="58" s="1"/>
  <c r="L80" i="58" s="1"/>
  <c r="M80" i="58" s="1"/>
  <c r="N80" i="58" s="1"/>
  <c r="O80" i="58" s="1"/>
  <c r="P80" i="58" s="1"/>
  <c r="Q80" i="58" s="1"/>
  <c r="R80" i="58" s="1"/>
  <c r="S80" i="58" s="1"/>
  <c r="T80" i="58" s="1"/>
  <c r="U80" i="58" s="1"/>
  <c r="V80" i="58" s="1"/>
  <c r="W80" i="58" s="1"/>
  <c r="X80" i="58" s="1"/>
  <c r="Y80" i="58" s="1"/>
  <c r="Z80" i="58" s="1"/>
  <c r="AA80" i="58" s="1"/>
  <c r="AB80" i="58" s="1"/>
  <c r="AC80" i="58" s="1"/>
  <c r="AD80" i="58" s="1"/>
  <c r="AE80" i="58" s="1"/>
  <c r="AF80" i="58" s="1"/>
  <c r="AG80" i="58" s="1"/>
  <c r="D62" i="58"/>
  <c r="E62" i="58" s="1"/>
  <c r="F62" i="58" s="1"/>
  <c r="G62" i="58" s="1"/>
  <c r="H62" i="58" s="1"/>
  <c r="I62" i="58" s="1"/>
  <c r="J62" i="58" s="1"/>
  <c r="K62" i="58" s="1"/>
  <c r="L62" i="58" s="1"/>
  <c r="M62" i="58" s="1"/>
  <c r="N62" i="58" s="1"/>
  <c r="O62" i="58" s="1"/>
  <c r="P62" i="58" s="1"/>
  <c r="Q62" i="58" s="1"/>
  <c r="R62" i="58" s="1"/>
  <c r="S62" i="58" s="1"/>
  <c r="T62" i="58" s="1"/>
  <c r="U62" i="58" s="1"/>
  <c r="V62" i="58" s="1"/>
  <c r="W62" i="58" s="1"/>
  <c r="X62" i="58" s="1"/>
  <c r="Y62" i="58" s="1"/>
  <c r="Z62" i="58" s="1"/>
  <c r="AA62" i="58" s="1"/>
  <c r="AB62" i="58" s="1"/>
  <c r="AC62" i="58" s="1"/>
  <c r="AD62" i="58" s="1"/>
  <c r="AE62" i="58" s="1"/>
  <c r="AF62" i="58" s="1"/>
  <c r="AG62" i="58" s="1"/>
  <c r="AI58" i="58"/>
  <c r="AI53" i="58"/>
  <c r="AH53" i="58"/>
  <c r="C53" i="58"/>
  <c r="A53" i="58"/>
  <c r="AK52" i="58"/>
  <c r="AJ52" i="58"/>
  <c r="AI52" i="58"/>
  <c r="AH52" i="58"/>
  <c r="C52" i="58"/>
  <c r="A52" i="58"/>
  <c r="AI51" i="58"/>
  <c r="AH51" i="58"/>
  <c r="C51" i="58"/>
  <c r="C46" i="58"/>
  <c r="C45" i="58"/>
  <c r="C44" i="58"/>
  <c r="C43" i="58"/>
  <c r="C42" i="58"/>
  <c r="C41" i="58"/>
  <c r="D40" i="58"/>
  <c r="E40" i="58" s="1"/>
  <c r="F40" i="58" s="1"/>
  <c r="G40" i="58" s="1"/>
  <c r="H40" i="58" s="1"/>
  <c r="I40" i="58" s="1"/>
  <c r="J40" i="58" s="1"/>
  <c r="K40" i="58" s="1"/>
  <c r="L40" i="58" s="1"/>
  <c r="M40" i="58" s="1"/>
  <c r="N40" i="58" s="1"/>
  <c r="O40" i="58" s="1"/>
  <c r="P40" i="58" s="1"/>
  <c r="Q40" i="58" s="1"/>
  <c r="R40" i="58" s="1"/>
  <c r="S40" i="58" s="1"/>
  <c r="T40" i="58" s="1"/>
  <c r="U40" i="58" s="1"/>
  <c r="V40" i="58" s="1"/>
  <c r="W40" i="58" s="1"/>
  <c r="X40" i="58" s="1"/>
  <c r="Y40" i="58" s="1"/>
  <c r="Z40" i="58" s="1"/>
  <c r="AA40" i="58" s="1"/>
  <c r="AB40" i="58" s="1"/>
  <c r="AC40" i="58" s="1"/>
  <c r="AD40" i="58" s="1"/>
  <c r="AE40" i="58" s="1"/>
  <c r="AF40" i="58" s="1"/>
  <c r="AG40" i="58" s="1"/>
  <c r="E31" i="58"/>
  <c r="C31" i="58"/>
  <c r="E30" i="58"/>
  <c r="D30" i="58"/>
  <c r="C30" i="58"/>
  <c r="C29" i="58"/>
  <c r="C26" i="58"/>
  <c r="C25" i="58"/>
  <c r="C15" i="58"/>
  <c r="C13" i="58"/>
  <c r="G37" i="57"/>
  <c r="D37" i="57"/>
  <c r="C37" i="57"/>
  <c r="C24" i="57"/>
  <c r="C22" i="57"/>
  <c r="C21" i="57"/>
  <c r="C17" i="57"/>
  <c r="C16" i="57"/>
  <c r="C14" i="57"/>
  <c r="C12" i="57"/>
  <c r="C5" i="57"/>
  <c r="D191" i="57"/>
  <c r="E191" i="57" s="1"/>
  <c r="F191" i="57" s="1"/>
  <c r="G191" i="57" s="1"/>
  <c r="H191" i="57" s="1"/>
  <c r="I191" i="57" s="1"/>
  <c r="J191" i="57" s="1"/>
  <c r="K191" i="57" s="1"/>
  <c r="L191" i="57" s="1"/>
  <c r="M191" i="57" s="1"/>
  <c r="N191" i="57" s="1"/>
  <c r="O191" i="57" s="1"/>
  <c r="P191" i="57" s="1"/>
  <c r="Q191" i="57" s="1"/>
  <c r="R191" i="57" s="1"/>
  <c r="S191" i="57" s="1"/>
  <c r="T191" i="57" s="1"/>
  <c r="U191" i="57" s="1"/>
  <c r="V191" i="57" s="1"/>
  <c r="W191" i="57" s="1"/>
  <c r="X191" i="57" s="1"/>
  <c r="Y191" i="57" s="1"/>
  <c r="Z191" i="57" s="1"/>
  <c r="AA191" i="57" s="1"/>
  <c r="AB191" i="57" s="1"/>
  <c r="AC191" i="57" s="1"/>
  <c r="AD191" i="57" s="1"/>
  <c r="AE191" i="57" s="1"/>
  <c r="AF191" i="57" s="1"/>
  <c r="AG191" i="57" s="1"/>
  <c r="A186" i="57"/>
  <c r="B186" i="57" s="1"/>
  <c r="A185" i="57"/>
  <c r="B185" i="57" s="1"/>
  <c r="A184" i="57"/>
  <c r="B184" i="57" s="1"/>
  <c r="A183" i="57"/>
  <c r="B183" i="57" s="1"/>
  <c r="D182" i="57"/>
  <c r="E182" i="57" s="1"/>
  <c r="F182" i="57" s="1"/>
  <c r="G182" i="57" s="1"/>
  <c r="H182" i="57" s="1"/>
  <c r="I182" i="57" s="1"/>
  <c r="J182" i="57" s="1"/>
  <c r="K182" i="57" s="1"/>
  <c r="L182" i="57" s="1"/>
  <c r="M182" i="57" s="1"/>
  <c r="N182" i="57" s="1"/>
  <c r="O182" i="57" s="1"/>
  <c r="P182" i="57" s="1"/>
  <c r="Q182" i="57" s="1"/>
  <c r="R182" i="57" s="1"/>
  <c r="S182" i="57" s="1"/>
  <c r="T182" i="57" s="1"/>
  <c r="U182" i="57" s="1"/>
  <c r="V182" i="57" s="1"/>
  <c r="W182" i="57" s="1"/>
  <c r="X182" i="57" s="1"/>
  <c r="Y182" i="57" s="1"/>
  <c r="Z182" i="57" s="1"/>
  <c r="AA182" i="57" s="1"/>
  <c r="AB182" i="57" s="1"/>
  <c r="AC182" i="57" s="1"/>
  <c r="AD182" i="57" s="1"/>
  <c r="AE182" i="57" s="1"/>
  <c r="AF182" i="57" s="1"/>
  <c r="AG182" i="57" s="1"/>
  <c r="B178" i="57"/>
  <c r="B176" i="57"/>
  <c r="B175" i="57"/>
  <c r="B174" i="57"/>
  <c r="D173" i="57"/>
  <c r="E173" i="57" s="1"/>
  <c r="F173" i="57" s="1"/>
  <c r="G173" i="57" s="1"/>
  <c r="H173" i="57" s="1"/>
  <c r="I173" i="57" s="1"/>
  <c r="J173" i="57" s="1"/>
  <c r="K173" i="57" s="1"/>
  <c r="L173" i="57" s="1"/>
  <c r="M173" i="57" s="1"/>
  <c r="N173" i="57" s="1"/>
  <c r="O173" i="57" s="1"/>
  <c r="P173" i="57" s="1"/>
  <c r="Q173" i="57" s="1"/>
  <c r="R173" i="57" s="1"/>
  <c r="S173" i="57" s="1"/>
  <c r="T173" i="57" s="1"/>
  <c r="U173" i="57" s="1"/>
  <c r="V173" i="57" s="1"/>
  <c r="W173" i="57" s="1"/>
  <c r="X173" i="57" s="1"/>
  <c r="Y173" i="57" s="1"/>
  <c r="Z173" i="57" s="1"/>
  <c r="AA173" i="57" s="1"/>
  <c r="AB173" i="57" s="1"/>
  <c r="AC173" i="57" s="1"/>
  <c r="AD173" i="57" s="1"/>
  <c r="AE173" i="57" s="1"/>
  <c r="AF173" i="57" s="1"/>
  <c r="AG173" i="57" s="1"/>
  <c r="A170" i="57"/>
  <c r="A168" i="57"/>
  <c r="A169" i="57"/>
  <c r="A165" i="57"/>
  <c r="D164" i="57"/>
  <c r="E164" i="57" s="1"/>
  <c r="F164" i="57" s="1"/>
  <c r="G164" i="57" s="1"/>
  <c r="H164" i="57" s="1"/>
  <c r="I164" i="57" s="1"/>
  <c r="J164" i="57" s="1"/>
  <c r="K164" i="57" s="1"/>
  <c r="L164" i="57" s="1"/>
  <c r="M164" i="57" s="1"/>
  <c r="N164" i="57" s="1"/>
  <c r="O164" i="57" s="1"/>
  <c r="P164" i="57" s="1"/>
  <c r="Q164" i="57" s="1"/>
  <c r="R164" i="57" s="1"/>
  <c r="S164" i="57" s="1"/>
  <c r="T164" i="57" s="1"/>
  <c r="U164" i="57" s="1"/>
  <c r="V164" i="57" s="1"/>
  <c r="W164" i="57" s="1"/>
  <c r="X164" i="57" s="1"/>
  <c r="Y164" i="57" s="1"/>
  <c r="Z164" i="57" s="1"/>
  <c r="AA164" i="57" s="1"/>
  <c r="AB164" i="57" s="1"/>
  <c r="AC164" i="57" s="1"/>
  <c r="AD164" i="57" s="1"/>
  <c r="AE164" i="57" s="1"/>
  <c r="AF164" i="57" s="1"/>
  <c r="AG164" i="57" s="1"/>
  <c r="D148" i="57"/>
  <c r="E148" i="57" s="1"/>
  <c r="F148" i="57" s="1"/>
  <c r="G148" i="57" s="1"/>
  <c r="H148" i="57" s="1"/>
  <c r="I148" i="57" s="1"/>
  <c r="J148" i="57" s="1"/>
  <c r="K148" i="57" s="1"/>
  <c r="L148" i="57" s="1"/>
  <c r="M148" i="57" s="1"/>
  <c r="N148" i="57" s="1"/>
  <c r="O148" i="57" s="1"/>
  <c r="P148" i="57" s="1"/>
  <c r="Q148" i="57" s="1"/>
  <c r="R148" i="57" s="1"/>
  <c r="S148" i="57" s="1"/>
  <c r="T148" i="57" s="1"/>
  <c r="U148" i="57" s="1"/>
  <c r="V148" i="57" s="1"/>
  <c r="W148" i="57" s="1"/>
  <c r="X148" i="57" s="1"/>
  <c r="Y148" i="57" s="1"/>
  <c r="Z148" i="57" s="1"/>
  <c r="AA148" i="57" s="1"/>
  <c r="AB148" i="57" s="1"/>
  <c r="AC148" i="57" s="1"/>
  <c r="AD148" i="57" s="1"/>
  <c r="AE148" i="57" s="1"/>
  <c r="AF148" i="57" s="1"/>
  <c r="AG148" i="57" s="1"/>
  <c r="D131" i="57"/>
  <c r="E131" i="57" s="1"/>
  <c r="F131" i="57" s="1"/>
  <c r="G131" i="57" s="1"/>
  <c r="H131" i="57" s="1"/>
  <c r="I131" i="57" s="1"/>
  <c r="J131" i="57" s="1"/>
  <c r="K131" i="57" s="1"/>
  <c r="L131" i="57" s="1"/>
  <c r="M131" i="57" s="1"/>
  <c r="N131" i="57" s="1"/>
  <c r="O131" i="57" s="1"/>
  <c r="P131" i="57" s="1"/>
  <c r="Q131" i="57" s="1"/>
  <c r="R131" i="57" s="1"/>
  <c r="S131" i="57" s="1"/>
  <c r="T131" i="57" s="1"/>
  <c r="U131" i="57" s="1"/>
  <c r="V131" i="57" s="1"/>
  <c r="W131" i="57" s="1"/>
  <c r="X131" i="57" s="1"/>
  <c r="Y131" i="57" s="1"/>
  <c r="Z131" i="57" s="1"/>
  <c r="AA131" i="57" s="1"/>
  <c r="AB131" i="57" s="1"/>
  <c r="AC131" i="57" s="1"/>
  <c r="AD131" i="57" s="1"/>
  <c r="AE131" i="57" s="1"/>
  <c r="AF131" i="57" s="1"/>
  <c r="AG131" i="57" s="1"/>
  <c r="C121" i="57"/>
  <c r="D114" i="57"/>
  <c r="E114" i="57" s="1"/>
  <c r="F114" i="57" s="1"/>
  <c r="G114" i="57" s="1"/>
  <c r="H114" i="57" s="1"/>
  <c r="I114" i="57" s="1"/>
  <c r="J114" i="57" s="1"/>
  <c r="K114" i="57" s="1"/>
  <c r="L114" i="57" s="1"/>
  <c r="M114" i="57" s="1"/>
  <c r="N114" i="57" s="1"/>
  <c r="O114" i="57" s="1"/>
  <c r="P114" i="57" s="1"/>
  <c r="Q114" i="57" s="1"/>
  <c r="R114" i="57" s="1"/>
  <c r="S114" i="57" s="1"/>
  <c r="T114" i="57" s="1"/>
  <c r="U114" i="57" s="1"/>
  <c r="V114" i="57" s="1"/>
  <c r="W114" i="57" s="1"/>
  <c r="X114" i="57" s="1"/>
  <c r="Y114" i="57" s="1"/>
  <c r="Z114" i="57" s="1"/>
  <c r="AA114" i="57" s="1"/>
  <c r="AB114" i="57" s="1"/>
  <c r="AC114" i="57" s="1"/>
  <c r="AD114" i="57" s="1"/>
  <c r="AE114" i="57" s="1"/>
  <c r="AF114" i="57" s="1"/>
  <c r="AG114" i="57" s="1"/>
  <c r="C104" i="57"/>
  <c r="D97" i="57"/>
  <c r="E97" i="57" s="1"/>
  <c r="F97" i="57" s="1"/>
  <c r="G97" i="57" s="1"/>
  <c r="H97" i="57" s="1"/>
  <c r="I97" i="57" s="1"/>
  <c r="J97" i="57" s="1"/>
  <c r="K97" i="57" s="1"/>
  <c r="L97" i="57" s="1"/>
  <c r="M97" i="57" s="1"/>
  <c r="N97" i="57" s="1"/>
  <c r="O97" i="57" s="1"/>
  <c r="P97" i="57" s="1"/>
  <c r="Q97" i="57" s="1"/>
  <c r="R97" i="57" s="1"/>
  <c r="S97" i="57" s="1"/>
  <c r="T97" i="57" s="1"/>
  <c r="U97" i="57" s="1"/>
  <c r="V97" i="57" s="1"/>
  <c r="W97" i="57" s="1"/>
  <c r="X97" i="57" s="1"/>
  <c r="Y97" i="57" s="1"/>
  <c r="Z97" i="57" s="1"/>
  <c r="AA97" i="57" s="1"/>
  <c r="AB97" i="57" s="1"/>
  <c r="AC97" i="57" s="1"/>
  <c r="AD97" i="57" s="1"/>
  <c r="AE97" i="57" s="1"/>
  <c r="AF97" i="57" s="1"/>
  <c r="AG97" i="57" s="1"/>
  <c r="C87" i="57"/>
  <c r="D80" i="57"/>
  <c r="E80" i="57" s="1"/>
  <c r="F80" i="57" s="1"/>
  <c r="G80" i="57" s="1"/>
  <c r="H80" i="57" s="1"/>
  <c r="I80" i="57" s="1"/>
  <c r="J80" i="57" s="1"/>
  <c r="K80" i="57" s="1"/>
  <c r="L80" i="57" s="1"/>
  <c r="M80" i="57" s="1"/>
  <c r="N80" i="57" s="1"/>
  <c r="O80" i="57" s="1"/>
  <c r="P80" i="57" s="1"/>
  <c r="Q80" i="57" s="1"/>
  <c r="R80" i="57" s="1"/>
  <c r="S80" i="57" s="1"/>
  <c r="T80" i="57" s="1"/>
  <c r="U80" i="57" s="1"/>
  <c r="V80" i="57" s="1"/>
  <c r="W80" i="57" s="1"/>
  <c r="X80" i="57" s="1"/>
  <c r="Y80" i="57" s="1"/>
  <c r="Z80" i="57" s="1"/>
  <c r="AA80" i="57" s="1"/>
  <c r="AB80" i="57" s="1"/>
  <c r="AC80" i="57" s="1"/>
  <c r="AD80" i="57" s="1"/>
  <c r="AE80" i="57" s="1"/>
  <c r="AF80" i="57" s="1"/>
  <c r="AG80" i="57" s="1"/>
  <c r="C70" i="57"/>
  <c r="C63" i="57"/>
  <c r="C64" i="57" s="1"/>
  <c r="D62" i="57"/>
  <c r="E62" i="57" s="1"/>
  <c r="F62" i="57" s="1"/>
  <c r="G62" i="57" s="1"/>
  <c r="H62" i="57" s="1"/>
  <c r="I62" i="57" s="1"/>
  <c r="J62" i="57" s="1"/>
  <c r="K62" i="57" s="1"/>
  <c r="L62" i="57" s="1"/>
  <c r="M62" i="57" s="1"/>
  <c r="N62" i="57" s="1"/>
  <c r="O62" i="57" s="1"/>
  <c r="P62" i="57" s="1"/>
  <c r="Q62" i="57" s="1"/>
  <c r="R62" i="57" s="1"/>
  <c r="S62" i="57" s="1"/>
  <c r="T62" i="57" s="1"/>
  <c r="U62" i="57" s="1"/>
  <c r="V62" i="57" s="1"/>
  <c r="W62" i="57" s="1"/>
  <c r="X62" i="57" s="1"/>
  <c r="Y62" i="57" s="1"/>
  <c r="Z62" i="57" s="1"/>
  <c r="AA62" i="57" s="1"/>
  <c r="AB62" i="57" s="1"/>
  <c r="AC62" i="57" s="1"/>
  <c r="AD62" i="57" s="1"/>
  <c r="AE62" i="57" s="1"/>
  <c r="AF62" i="57" s="1"/>
  <c r="AG62" i="57" s="1"/>
  <c r="AI58" i="57"/>
  <c r="C53" i="57"/>
  <c r="A53" i="57"/>
  <c r="C52" i="57"/>
  <c r="A52" i="57"/>
  <c r="C51" i="57"/>
  <c r="C46" i="57"/>
  <c r="C45" i="57"/>
  <c r="C44" i="57"/>
  <c r="C43" i="57"/>
  <c r="C42" i="57"/>
  <c r="C41" i="57"/>
  <c r="D40" i="57"/>
  <c r="E40" i="57" s="1"/>
  <c r="F40" i="57" s="1"/>
  <c r="G40" i="57" s="1"/>
  <c r="H40" i="57" s="1"/>
  <c r="I40" i="57" s="1"/>
  <c r="J40" i="57" s="1"/>
  <c r="K40" i="57" s="1"/>
  <c r="L40" i="57" s="1"/>
  <c r="M40" i="57" s="1"/>
  <c r="N40" i="57" s="1"/>
  <c r="O40" i="57" s="1"/>
  <c r="P40" i="57" s="1"/>
  <c r="Q40" i="57" s="1"/>
  <c r="R40" i="57" s="1"/>
  <c r="S40" i="57" s="1"/>
  <c r="T40" i="57" s="1"/>
  <c r="U40" i="57" s="1"/>
  <c r="V40" i="57" s="1"/>
  <c r="W40" i="57" s="1"/>
  <c r="X40" i="57" s="1"/>
  <c r="Y40" i="57" s="1"/>
  <c r="Z40" i="57" s="1"/>
  <c r="AA40" i="57" s="1"/>
  <c r="AB40" i="57" s="1"/>
  <c r="AC40" i="57" s="1"/>
  <c r="AD40" i="57" s="1"/>
  <c r="AE40" i="57" s="1"/>
  <c r="AF40" i="57" s="1"/>
  <c r="AG40" i="57" s="1"/>
  <c r="E32" i="57"/>
  <c r="C32" i="57"/>
  <c r="E31" i="57"/>
  <c r="D31" i="57"/>
  <c r="C31" i="57"/>
  <c r="C29" i="57"/>
  <c r="C26" i="57"/>
  <c r="C25" i="57"/>
  <c r="C20" i="57"/>
  <c r="C15" i="57"/>
  <c r="C13" i="57"/>
  <c r="C6" i="57"/>
  <c r="G35" i="55"/>
  <c r="D36" i="55"/>
  <c r="C36" i="55"/>
  <c r="C24" i="55"/>
  <c r="C22" i="55"/>
  <c r="C21" i="55"/>
  <c r="C17" i="55"/>
  <c r="C16" i="55"/>
  <c r="C14" i="55"/>
  <c r="C12" i="55"/>
  <c r="C6" i="55"/>
  <c r="C5" i="55"/>
  <c r="B3" i="55"/>
  <c r="B2" i="55"/>
  <c r="D191" i="55"/>
  <c r="E191" i="55" s="1"/>
  <c r="F191" i="55" s="1"/>
  <c r="G191" i="55" s="1"/>
  <c r="H191" i="55" s="1"/>
  <c r="I191" i="55" s="1"/>
  <c r="J191" i="55" s="1"/>
  <c r="K191" i="55" s="1"/>
  <c r="L191" i="55" s="1"/>
  <c r="M191" i="55" s="1"/>
  <c r="N191" i="55" s="1"/>
  <c r="O191" i="55" s="1"/>
  <c r="P191" i="55" s="1"/>
  <c r="Q191" i="55" s="1"/>
  <c r="R191" i="55" s="1"/>
  <c r="S191" i="55" s="1"/>
  <c r="T191" i="55" s="1"/>
  <c r="U191" i="55" s="1"/>
  <c r="V191" i="55" s="1"/>
  <c r="W191" i="55" s="1"/>
  <c r="X191" i="55" s="1"/>
  <c r="Y191" i="55" s="1"/>
  <c r="Z191" i="55" s="1"/>
  <c r="AA191" i="55" s="1"/>
  <c r="AB191" i="55" s="1"/>
  <c r="AC191" i="55" s="1"/>
  <c r="AD191" i="55" s="1"/>
  <c r="AE191" i="55" s="1"/>
  <c r="AF191" i="55" s="1"/>
  <c r="AG191" i="55" s="1"/>
  <c r="A186" i="55"/>
  <c r="B186" i="55" s="1"/>
  <c r="A185" i="55"/>
  <c r="B185" i="55" s="1"/>
  <c r="A184" i="55"/>
  <c r="B184" i="55" s="1"/>
  <c r="A183" i="55"/>
  <c r="B183" i="55" s="1"/>
  <c r="D182" i="55"/>
  <c r="E182" i="55" s="1"/>
  <c r="F182" i="55" s="1"/>
  <c r="G182" i="55" s="1"/>
  <c r="H182" i="55" s="1"/>
  <c r="I182" i="55" s="1"/>
  <c r="J182" i="55" s="1"/>
  <c r="K182" i="55" s="1"/>
  <c r="L182" i="55" s="1"/>
  <c r="M182" i="55" s="1"/>
  <c r="N182" i="55" s="1"/>
  <c r="O182" i="55" s="1"/>
  <c r="P182" i="55" s="1"/>
  <c r="Q182" i="55" s="1"/>
  <c r="R182" i="55" s="1"/>
  <c r="S182" i="55" s="1"/>
  <c r="T182" i="55" s="1"/>
  <c r="U182" i="55" s="1"/>
  <c r="V182" i="55" s="1"/>
  <c r="W182" i="55" s="1"/>
  <c r="X182" i="55" s="1"/>
  <c r="Y182" i="55" s="1"/>
  <c r="Z182" i="55" s="1"/>
  <c r="AA182" i="55" s="1"/>
  <c r="AB182" i="55" s="1"/>
  <c r="AC182" i="55" s="1"/>
  <c r="AD182" i="55" s="1"/>
  <c r="AE182" i="55" s="1"/>
  <c r="AF182" i="55" s="1"/>
  <c r="AG182" i="55" s="1"/>
  <c r="B178" i="55"/>
  <c r="B176" i="55"/>
  <c r="B175" i="55"/>
  <c r="B174" i="55"/>
  <c r="D173" i="55"/>
  <c r="E173" i="55" s="1"/>
  <c r="F173" i="55" s="1"/>
  <c r="G173" i="55" s="1"/>
  <c r="H173" i="55" s="1"/>
  <c r="I173" i="55" s="1"/>
  <c r="J173" i="55" s="1"/>
  <c r="K173" i="55" s="1"/>
  <c r="L173" i="55" s="1"/>
  <c r="M173" i="55" s="1"/>
  <c r="N173" i="55" s="1"/>
  <c r="O173" i="55" s="1"/>
  <c r="P173" i="55" s="1"/>
  <c r="Q173" i="55" s="1"/>
  <c r="R173" i="55" s="1"/>
  <c r="S173" i="55" s="1"/>
  <c r="T173" i="55" s="1"/>
  <c r="U173" i="55" s="1"/>
  <c r="V173" i="55" s="1"/>
  <c r="W173" i="55" s="1"/>
  <c r="X173" i="55" s="1"/>
  <c r="Y173" i="55" s="1"/>
  <c r="Z173" i="55" s="1"/>
  <c r="AA173" i="55" s="1"/>
  <c r="AB173" i="55" s="1"/>
  <c r="AC173" i="55" s="1"/>
  <c r="AD173" i="55" s="1"/>
  <c r="AE173" i="55" s="1"/>
  <c r="AF173" i="55" s="1"/>
  <c r="AG173" i="55" s="1"/>
  <c r="A170" i="55"/>
  <c r="A169" i="55"/>
  <c r="A168" i="55"/>
  <c r="A165" i="55"/>
  <c r="D164" i="55"/>
  <c r="E164" i="55" s="1"/>
  <c r="F164" i="55" s="1"/>
  <c r="G164" i="55" s="1"/>
  <c r="H164" i="55" s="1"/>
  <c r="I164" i="55" s="1"/>
  <c r="J164" i="55" s="1"/>
  <c r="K164" i="55" s="1"/>
  <c r="L164" i="55" s="1"/>
  <c r="M164" i="55" s="1"/>
  <c r="N164" i="55" s="1"/>
  <c r="O164" i="55" s="1"/>
  <c r="P164" i="55" s="1"/>
  <c r="Q164" i="55" s="1"/>
  <c r="R164" i="55" s="1"/>
  <c r="S164" i="55" s="1"/>
  <c r="T164" i="55" s="1"/>
  <c r="U164" i="55" s="1"/>
  <c r="V164" i="55" s="1"/>
  <c r="W164" i="55" s="1"/>
  <c r="X164" i="55" s="1"/>
  <c r="Y164" i="55" s="1"/>
  <c r="Z164" i="55" s="1"/>
  <c r="AA164" i="55" s="1"/>
  <c r="AB164" i="55" s="1"/>
  <c r="AC164" i="55" s="1"/>
  <c r="AD164" i="55" s="1"/>
  <c r="AE164" i="55" s="1"/>
  <c r="AF164" i="55" s="1"/>
  <c r="AG164" i="55" s="1"/>
  <c r="D148" i="55"/>
  <c r="E148" i="55" s="1"/>
  <c r="F148" i="55" s="1"/>
  <c r="G148" i="55" s="1"/>
  <c r="H148" i="55" s="1"/>
  <c r="I148" i="55" s="1"/>
  <c r="J148" i="55" s="1"/>
  <c r="K148" i="55" s="1"/>
  <c r="L148" i="55" s="1"/>
  <c r="M148" i="55" s="1"/>
  <c r="N148" i="55" s="1"/>
  <c r="O148" i="55" s="1"/>
  <c r="P148" i="55" s="1"/>
  <c r="Q148" i="55" s="1"/>
  <c r="R148" i="55" s="1"/>
  <c r="S148" i="55" s="1"/>
  <c r="T148" i="55" s="1"/>
  <c r="U148" i="55" s="1"/>
  <c r="V148" i="55" s="1"/>
  <c r="W148" i="55" s="1"/>
  <c r="X148" i="55" s="1"/>
  <c r="Y148" i="55" s="1"/>
  <c r="Z148" i="55" s="1"/>
  <c r="AA148" i="55" s="1"/>
  <c r="AB148" i="55" s="1"/>
  <c r="AC148" i="55" s="1"/>
  <c r="AD148" i="55" s="1"/>
  <c r="AE148" i="55" s="1"/>
  <c r="AF148" i="55" s="1"/>
  <c r="AG148" i="55" s="1"/>
  <c r="D131" i="55"/>
  <c r="E131" i="55" s="1"/>
  <c r="F131" i="55" s="1"/>
  <c r="G131" i="55" s="1"/>
  <c r="H131" i="55" s="1"/>
  <c r="I131" i="55" s="1"/>
  <c r="J131" i="55" s="1"/>
  <c r="K131" i="55" s="1"/>
  <c r="L131" i="55" s="1"/>
  <c r="M131" i="55" s="1"/>
  <c r="N131" i="55" s="1"/>
  <c r="O131" i="55" s="1"/>
  <c r="P131" i="55" s="1"/>
  <c r="Q131" i="55" s="1"/>
  <c r="R131" i="55" s="1"/>
  <c r="S131" i="55" s="1"/>
  <c r="T131" i="55" s="1"/>
  <c r="U131" i="55" s="1"/>
  <c r="V131" i="55" s="1"/>
  <c r="W131" i="55" s="1"/>
  <c r="X131" i="55" s="1"/>
  <c r="Y131" i="55" s="1"/>
  <c r="Z131" i="55" s="1"/>
  <c r="AA131" i="55" s="1"/>
  <c r="AB131" i="55" s="1"/>
  <c r="AC131" i="55" s="1"/>
  <c r="AD131" i="55" s="1"/>
  <c r="AE131" i="55" s="1"/>
  <c r="AF131" i="55" s="1"/>
  <c r="AG131" i="55" s="1"/>
  <c r="C121" i="55"/>
  <c r="D114" i="55"/>
  <c r="E114" i="55" s="1"/>
  <c r="F114" i="55" s="1"/>
  <c r="G114" i="55" s="1"/>
  <c r="H114" i="55" s="1"/>
  <c r="I114" i="55" s="1"/>
  <c r="J114" i="55" s="1"/>
  <c r="K114" i="55" s="1"/>
  <c r="L114" i="55" s="1"/>
  <c r="M114" i="55" s="1"/>
  <c r="N114" i="55" s="1"/>
  <c r="O114" i="55" s="1"/>
  <c r="P114" i="55" s="1"/>
  <c r="Q114" i="55" s="1"/>
  <c r="R114" i="55" s="1"/>
  <c r="S114" i="55" s="1"/>
  <c r="T114" i="55" s="1"/>
  <c r="U114" i="55" s="1"/>
  <c r="V114" i="55" s="1"/>
  <c r="W114" i="55" s="1"/>
  <c r="X114" i="55" s="1"/>
  <c r="Y114" i="55" s="1"/>
  <c r="Z114" i="55" s="1"/>
  <c r="AA114" i="55" s="1"/>
  <c r="AB114" i="55" s="1"/>
  <c r="AC114" i="55" s="1"/>
  <c r="AD114" i="55" s="1"/>
  <c r="AE114" i="55" s="1"/>
  <c r="AF114" i="55" s="1"/>
  <c r="AG114" i="55" s="1"/>
  <c r="C104" i="55"/>
  <c r="D97" i="55"/>
  <c r="E97" i="55" s="1"/>
  <c r="F97" i="55" s="1"/>
  <c r="G97" i="55" s="1"/>
  <c r="H97" i="55" s="1"/>
  <c r="I97" i="55" s="1"/>
  <c r="J97" i="55" s="1"/>
  <c r="K97" i="55" s="1"/>
  <c r="L97" i="55" s="1"/>
  <c r="M97" i="55" s="1"/>
  <c r="N97" i="55" s="1"/>
  <c r="O97" i="55" s="1"/>
  <c r="P97" i="55" s="1"/>
  <c r="Q97" i="55" s="1"/>
  <c r="R97" i="55" s="1"/>
  <c r="S97" i="55" s="1"/>
  <c r="T97" i="55" s="1"/>
  <c r="U97" i="55" s="1"/>
  <c r="V97" i="55" s="1"/>
  <c r="W97" i="55" s="1"/>
  <c r="X97" i="55" s="1"/>
  <c r="Y97" i="55" s="1"/>
  <c r="Z97" i="55" s="1"/>
  <c r="AA97" i="55" s="1"/>
  <c r="AB97" i="55" s="1"/>
  <c r="AC97" i="55" s="1"/>
  <c r="AD97" i="55" s="1"/>
  <c r="AE97" i="55" s="1"/>
  <c r="AF97" i="55" s="1"/>
  <c r="AG97" i="55" s="1"/>
  <c r="C87" i="55"/>
  <c r="D80" i="55"/>
  <c r="E80" i="55" s="1"/>
  <c r="F80" i="55" s="1"/>
  <c r="G80" i="55" s="1"/>
  <c r="H80" i="55" s="1"/>
  <c r="I80" i="55" s="1"/>
  <c r="J80" i="55" s="1"/>
  <c r="K80" i="55" s="1"/>
  <c r="L80" i="55" s="1"/>
  <c r="M80" i="55" s="1"/>
  <c r="N80" i="55" s="1"/>
  <c r="O80" i="55" s="1"/>
  <c r="P80" i="55" s="1"/>
  <c r="Q80" i="55" s="1"/>
  <c r="R80" i="55" s="1"/>
  <c r="S80" i="55" s="1"/>
  <c r="T80" i="55" s="1"/>
  <c r="U80" i="55" s="1"/>
  <c r="V80" i="55" s="1"/>
  <c r="W80" i="55" s="1"/>
  <c r="X80" i="55" s="1"/>
  <c r="Y80" i="55" s="1"/>
  <c r="Z80" i="55" s="1"/>
  <c r="AA80" i="55" s="1"/>
  <c r="AB80" i="55" s="1"/>
  <c r="AC80" i="55" s="1"/>
  <c r="AD80" i="55" s="1"/>
  <c r="AE80" i="55" s="1"/>
  <c r="AF80" i="55" s="1"/>
  <c r="AG80" i="55" s="1"/>
  <c r="C70" i="55"/>
  <c r="C63" i="55"/>
  <c r="C64" i="55" s="1"/>
  <c r="D62" i="55"/>
  <c r="E62" i="55" s="1"/>
  <c r="F62" i="55" s="1"/>
  <c r="G62" i="55" s="1"/>
  <c r="H62" i="55" s="1"/>
  <c r="I62" i="55" s="1"/>
  <c r="J62" i="55" s="1"/>
  <c r="K62" i="55" s="1"/>
  <c r="L62" i="55" s="1"/>
  <c r="M62" i="55" s="1"/>
  <c r="N62" i="55" s="1"/>
  <c r="O62" i="55" s="1"/>
  <c r="P62" i="55" s="1"/>
  <c r="Q62" i="55" s="1"/>
  <c r="R62" i="55" s="1"/>
  <c r="S62" i="55" s="1"/>
  <c r="T62" i="55" s="1"/>
  <c r="U62" i="55" s="1"/>
  <c r="V62" i="55" s="1"/>
  <c r="W62" i="55" s="1"/>
  <c r="X62" i="55" s="1"/>
  <c r="Y62" i="55" s="1"/>
  <c r="Z62" i="55" s="1"/>
  <c r="AA62" i="55" s="1"/>
  <c r="AB62" i="55" s="1"/>
  <c r="AC62" i="55" s="1"/>
  <c r="AD62" i="55" s="1"/>
  <c r="AE62" i="55" s="1"/>
  <c r="AF62" i="55" s="1"/>
  <c r="AG62" i="55" s="1"/>
  <c r="AI58" i="55"/>
  <c r="AI53" i="55"/>
  <c r="AH53" i="55"/>
  <c r="C53" i="55"/>
  <c r="A53" i="55"/>
  <c r="AK52" i="55"/>
  <c r="AJ52" i="55"/>
  <c r="AI52" i="55"/>
  <c r="AH52" i="55"/>
  <c r="C52" i="55"/>
  <c r="A52" i="55"/>
  <c r="AI51" i="55"/>
  <c r="AH51" i="55"/>
  <c r="C51" i="55"/>
  <c r="C46" i="55"/>
  <c r="C45" i="55"/>
  <c r="C44" i="55"/>
  <c r="C43" i="55"/>
  <c r="C42" i="55"/>
  <c r="C41" i="55"/>
  <c r="D40" i="55"/>
  <c r="E40" i="55" s="1"/>
  <c r="F40" i="55" s="1"/>
  <c r="G40" i="55" s="1"/>
  <c r="H40" i="55" s="1"/>
  <c r="I40" i="55" s="1"/>
  <c r="J40" i="55" s="1"/>
  <c r="K40" i="55" s="1"/>
  <c r="L40" i="55" s="1"/>
  <c r="M40" i="55" s="1"/>
  <c r="N40" i="55" s="1"/>
  <c r="O40" i="55" s="1"/>
  <c r="P40" i="55" s="1"/>
  <c r="Q40" i="55" s="1"/>
  <c r="R40" i="55" s="1"/>
  <c r="S40" i="55" s="1"/>
  <c r="T40" i="55" s="1"/>
  <c r="U40" i="55" s="1"/>
  <c r="V40" i="55" s="1"/>
  <c r="W40" i="55" s="1"/>
  <c r="X40" i="55" s="1"/>
  <c r="Y40" i="55" s="1"/>
  <c r="Z40" i="55" s="1"/>
  <c r="AA40" i="55" s="1"/>
  <c r="AB40" i="55" s="1"/>
  <c r="AC40" i="55" s="1"/>
  <c r="AD40" i="55" s="1"/>
  <c r="AE40" i="55" s="1"/>
  <c r="AF40" i="55" s="1"/>
  <c r="AG40" i="55" s="1"/>
  <c r="E31" i="55"/>
  <c r="C31" i="55"/>
  <c r="E30" i="55"/>
  <c r="D30" i="55"/>
  <c r="C30" i="55"/>
  <c r="C29" i="55"/>
  <c r="C26" i="55"/>
  <c r="C25" i="55"/>
  <c r="C20" i="55"/>
  <c r="C13" i="55"/>
  <c r="C121" i="53"/>
  <c r="C104" i="53"/>
  <c r="C87" i="53"/>
  <c r="C70" i="53"/>
  <c r="C63" i="53"/>
  <c r="C64" i="53" s="1"/>
  <c r="C55" i="53"/>
  <c r="G36" i="53"/>
  <c r="D36" i="53"/>
  <c r="C36" i="53"/>
  <c r="C24" i="53"/>
  <c r="C23" i="53"/>
  <c r="C22" i="53"/>
  <c r="C21" i="53"/>
  <c r="C20" i="53"/>
  <c r="C17" i="53"/>
  <c r="C16" i="53"/>
  <c r="C14" i="53"/>
  <c r="C13" i="53"/>
  <c r="C12" i="53"/>
  <c r="C6" i="53"/>
  <c r="C5" i="53"/>
  <c r="B3" i="53"/>
  <c r="B2" i="53"/>
  <c r="D191" i="53"/>
  <c r="E191" i="53" s="1"/>
  <c r="F191" i="53" s="1"/>
  <c r="G191" i="53" s="1"/>
  <c r="H191" i="53" s="1"/>
  <c r="I191" i="53" s="1"/>
  <c r="J191" i="53" s="1"/>
  <c r="K191" i="53" s="1"/>
  <c r="L191" i="53" s="1"/>
  <c r="M191" i="53" s="1"/>
  <c r="N191" i="53" s="1"/>
  <c r="O191" i="53" s="1"/>
  <c r="P191" i="53" s="1"/>
  <c r="Q191" i="53" s="1"/>
  <c r="R191" i="53" s="1"/>
  <c r="S191" i="53" s="1"/>
  <c r="T191" i="53" s="1"/>
  <c r="U191" i="53" s="1"/>
  <c r="V191" i="53" s="1"/>
  <c r="W191" i="53" s="1"/>
  <c r="X191" i="53" s="1"/>
  <c r="Y191" i="53" s="1"/>
  <c r="Z191" i="53" s="1"/>
  <c r="AA191" i="53" s="1"/>
  <c r="AB191" i="53" s="1"/>
  <c r="AC191" i="53" s="1"/>
  <c r="AD191" i="53" s="1"/>
  <c r="AE191" i="53" s="1"/>
  <c r="AF191" i="53" s="1"/>
  <c r="AG191" i="53" s="1"/>
  <c r="A186" i="53"/>
  <c r="B186" i="53" s="1"/>
  <c r="A185" i="53"/>
  <c r="B185" i="53" s="1"/>
  <c r="A184" i="53"/>
  <c r="B184" i="53" s="1"/>
  <c r="A183" i="53"/>
  <c r="B183" i="53" s="1"/>
  <c r="D182" i="53"/>
  <c r="E182" i="53" s="1"/>
  <c r="F182" i="53" s="1"/>
  <c r="G182" i="53" s="1"/>
  <c r="H182" i="53" s="1"/>
  <c r="I182" i="53" s="1"/>
  <c r="J182" i="53" s="1"/>
  <c r="K182" i="53" s="1"/>
  <c r="L182" i="53" s="1"/>
  <c r="M182" i="53" s="1"/>
  <c r="N182" i="53" s="1"/>
  <c r="O182" i="53" s="1"/>
  <c r="P182" i="53" s="1"/>
  <c r="Q182" i="53" s="1"/>
  <c r="R182" i="53" s="1"/>
  <c r="S182" i="53" s="1"/>
  <c r="T182" i="53" s="1"/>
  <c r="U182" i="53" s="1"/>
  <c r="V182" i="53" s="1"/>
  <c r="W182" i="53" s="1"/>
  <c r="X182" i="53" s="1"/>
  <c r="Y182" i="53" s="1"/>
  <c r="Z182" i="53" s="1"/>
  <c r="AA182" i="53" s="1"/>
  <c r="AB182" i="53" s="1"/>
  <c r="AC182" i="53" s="1"/>
  <c r="AD182" i="53" s="1"/>
  <c r="AE182" i="53" s="1"/>
  <c r="AF182" i="53" s="1"/>
  <c r="AG182" i="53" s="1"/>
  <c r="B178" i="53"/>
  <c r="B176" i="53"/>
  <c r="B175" i="53"/>
  <c r="B174" i="53"/>
  <c r="D173" i="53"/>
  <c r="E173" i="53" s="1"/>
  <c r="F173" i="53" s="1"/>
  <c r="G173" i="53" s="1"/>
  <c r="H173" i="53" s="1"/>
  <c r="I173" i="53" s="1"/>
  <c r="J173" i="53" s="1"/>
  <c r="K173" i="53" s="1"/>
  <c r="L173" i="53" s="1"/>
  <c r="M173" i="53" s="1"/>
  <c r="N173" i="53" s="1"/>
  <c r="O173" i="53" s="1"/>
  <c r="P173" i="53" s="1"/>
  <c r="Q173" i="53" s="1"/>
  <c r="R173" i="53" s="1"/>
  <c r="S173" i="53" s="1"/>
  <c r="T173" i="53" s="1"/>
  <c r="U173" i="53" s="1"/>
  <c r="V173" i="53" s="1"/>
  <c r="W173" i="53" s="1"/>
  <c r="X173" i="53" s="1"/>
  <c r="Y173" i="53" s="1"/>
  <c r="Z173" i="53" s="1"/>
  <c r="AA173" i="53" s="1"/>
  <c r="AB173" i="53" s="1"/>
  <c r="AC173" i="53" s="1"/>
  <c r="AD173" i="53" s="1"/>
  <c r="AE173" i="53" s="1"/>
  <c r="AF173" i="53" s="1"/>
  <c r="AG173" i="53" s="1"/>
  <c r="A170" i="53"/>
  <c r="A168" i="53"/>
  <c r="A169" i="53"/>
  <c r="A165" i="53"/>
  <c r="D164" i="53"/>
  <c r="E164" i="53" s="1"/>
  <c r="F164" i="53" s="1"/>
  <c r="G164" i="53" s="1"/>
  <c r="H164" i="53" s="1"/>
  <c r="I164" i="53" s="1"/>
  <c r="J164" i="53" s="1"/>
  <c r="K164" i="53" s="1"/>
  <c r="L164" i="53" s="1"/>
  <c r="M164" i="53" s="1"/>
  <c r="N164" i="53" s="1"/>
  <c r="O164" i="53" s="1"/>
  <c r="P164" i="53" s="1"/>
  <c r="Q164" i="53" s="1"/>
  <c r="R164" i="53" s="1"/>
  <c r="S164" i="53" s="1"/>
  <c r="T164" i="53" s="1"/>
  <c r="U164" i="53" s="1"/>
  <c r="V164" i="53" s="1"/>
  <c r="W164" i="53" s="1"/>
  <c r="X164" i="53" s="1"/>
  <c r="Y164" i="53" s="1"/>
  <c r="Z164" i="53" s="1"/>
  <c r="AA164" i="53" s="1"/>
  <c r="AB164" i="53" s="1"/>
  <c r="AC164" i="53" s="1"/>
  <c r="AD164" i="53" s="1"/>
  <c r="AE164" i="53" s="1"/>
  <c r="AF164" i="53" s="1"/>
  <c r="AG164" i="53" s="1"/>
  <c r="D148" i="53"/>
  <c r="E148" i="53" s="1"/>
  <c r="F148" i="53" s="1"/>
  <c r="G148" i="53" s="1"/>
  <c r="H148" i="53" s="1"/>
  <c r="I148" i="53" s="1"/>
  <c r="J148" i="53" s="1"/>
  <c r="K148" i="53" s="1"/>
  <c r="L148" i="53" s="1"/>
  <c r="M148" i="53" s="1"/>
  <c r="N148" i="53" s="1"/>
  <c r="O148" i="53" s="1"/>
  <c r="P148" i="53" s="1"/>
  <c r="Q148" i="53" s="1"/>
  <c r="R148" i="53" s="1"/>
  <c r="S148" i="53" s="1"/>
  <c r="T148" i="53" s="1"/>
  <c r="U148" i="53" s="1"/>
  <c r="V148" i="53" s="1"/>
  <c r="W148" i="53" s="1"/>
  <c r="X148" i="53" s="1"/>
  <c r="Y148" i="53" s="1"/>
  <c r="Z148" i="53" s="1"/>
  <c r="AA148" i="53" s="1"/>
  <c r="AB148" i="53" s="1"/>
  <c r="AC148" i="53" s="1"/>
  <c r="AD148" i="53" s="1"/>
  <c r="AE148" i="53" s="1"/>
  <c r="AF148" i="53" s="1"/>
  <c r="AG148" i="53" s="1"/>
  <c r="D131" i="53"/>
  <c r="E131" i="53" s="1"/>
  <c r="F131" i="53" s="1"/>
  <c r="G131" i="53" s="1"/>
  <c r="H131" i="53" s="1"/>
  <c r="I131" i="53" s="1"/>
  <c r="J131" i="53" s="1"/>
  <c r="K131" i="53" s="1"/>
  <c r="L131" i="53" s="1"/>
  <c r="M131" i="53" s="1"/>
  <c r="N131" i="53" s="1"/>
  <c r="O131" i="53" s="1"/>
  <c r="P131" i="53" s="1"/>
  <c r="Q131" i="53" s="1"/>
  <c r="R131" i="53" s="1"/>
  <c r="S131" i="53" s="1"/>
  <c r="T131" i="53" s="1"/>
  <c r="U131" i="53" s="1"/>
  <c r="V131" i="53" s="1"/>
  <c r="W131" i="53" s="1"/>
  <c r="X131" i="53" s="1"/>
  <c r="Y131" i="53" s="1"/>
  <c r="Z131" i="53" s="1"/>
  <c r="AA131" i="53" s="1"/>
  <c r="AB131" i="53" s="1"/>
  <c r="AC131" i="53" s="1"/>
  <c r="AD131" i="53" s="1"/>
  <c r="AE131" i="53" s="1"/>
  <c r="AF131" i="53" s="1"/>
  <c r="AG131" i="53" s="1"/>
  <c r="D114" i="53"/>
  <c r="E114" i="53" s="1"/>
  <c r="F114" i="53" s="1"/>
  <c r="G114" i="53" s="1"/>
  <c r="H114" i="53" s="1"/>
  <c r="I114" i="53" s="1"/>
  <c r="J114" i="53" s="1"/>
  <c r="K114" i="53" s="1"/>
  <c r="L114" i="53" s="1"/>
  <c r="M114" i="53" s="1"/>
  <c r="N114" i="53" s="1"/>
  <c r="O114" i="53" s="1"/>
  <c r="P114" i="53" s="1"/>
  <c r="Q114" i="53" s="1"/>
  <c r="R114" i="53" s="1"/>
  <c r="S114" i="53" s="1"/>
  <c r="T114" i="53" s="1"/>
  <c r="U114" i="53" s="1"/>
  <c r="V114" i="53" s="1"/>
  <c r="W114" i="53" s="1"/>
  <c r="X114" i="53" s="1"/>
  <c r="Y114" i="53" s="1"/>
  <c r="Z114" i="53" s="1"/>
  <c r="AA114" i="53" s="1"/>
  <c r="AB114" i="53" s="1"/>
  <c r="AC114" i="53" s="1"/>
  <c r="AD114" i="53" s="1"/>
  <c r="AE114" i="53" s="1"/>
  <c r="AF114" i="53" s="1"/>
  <c r="AG114" i="53" s="1"/>
  <c r="D97" i="53"/>
  <c r="E97" i="53" s="1"/>
  <c r="F97" i="53" s="1"/>
  <c r="G97" i="53" s="1"/>
  <c r="H97" i="53" s="1"/>
  <c r="I97" i="53" s="1"/>
  <c r="J97" i="53" s="1"/>
  <c r="K97" i="53" s="1"/>
  <c r="L97" i="53" s="1"/>
  <c r="M97" i="53" s="1"/>
  <c r="N97" i="53" s="1"/>
  <c r="O97" i="53" s="1"/>
  <c r="P97" i="53" s="1"/>
  <c r="Q97" i="53" s="1"/>
  <c r="R97" i="53" s="1"/>
  <c r="S97" i="53" s="1"/>
  <c r="T97" i="53" s="1"/>
  <c r="U97" i="53" s="1"/>
  <c r="V97" i="53" s="1"/>
  <c r="W97" i="53" s="1"/>
  <c r="X97" i="53" s="1"/>
  <c r="Y97" i="53" s="1"/>
  <c r="Z97" i="53" s="1"/>
  <c r="AA97" i="53" s="1"/>
  <c r="AB97" i="53" s="1"/>
  <c r="AC97" i="53" s="1"/>
  <c r="AD97" i="53" s="1"/>
  <c r="AE97" i="53" s="1"/>
  <c r="AF97" i="53" s="1"/>
  <c r="AG97" i="53" s="1"/>
  <c r="D80" i="53"/>
  <c r="E80" i="53" s="1"/>
  <c r="F80" i="53" s="1"/>
  <c r="G80" i="53" s="1"/>
  <c r="H80" i="53" s="1"/>
  <c r="I80" i="53" s="1"/>
  <c r="J80" i="53" s="1"/>
  <c r="K80" i="53" s="1"/>
  <c r="L80" i="53" s="1"/>
  <c r="M80" i="53" s="1"/>
  <c r="N80" i="53" s="1"/>
  <c r="O80" i="53" s="1"/>
  <c r="P80" i="53" s="1"/>
  <c r="Q80" i="53" s="1"/>
  <c r="R80" i="53" s="1"/>
  <c r="S80" i="53" s="1"/>
  <c r="T80" i="53" s="1"/>
  <c r="U80" i="53" s="1"/>
  <c r="V80" i="53" s="1"/>
  <c r="W80" i="53" s="1"/>
  <c r="X80" i="53" s="1"/>
  <c r="Y80" i="53" s="1"/>
  <c r="Z80" i="53" s="1"/>
  <c r="AA80" i="53" s="1"/>
  <c r="AB80" i="53" s="1"/>
  <c r="AC80" i="53" s="1"/>
  <c r="AD80" i="53" s="1"/>
  <c r="AE80" i="53" s="1"/>
  <c r="AF80" i="53" s="1"/>
  <c r="AG80" i="53" s="1"/>
  <c r="D62" i="53"/>
  <c r="E62" i="53" s="1"/>
  <c r="F62" i="53" s="1"/>
  <c r="G62" i="53" s="1"/>
  <c r="H62" i="53" s="1"/>
  <c r="I62" i="53" s="1"/>
  <c r="J62" i="53" s="1"/>
  <c r="K62" i="53" s="1"/>
  <c r="L62" i="53" s="1"/>
  <c r="M62" i="53" s="1"/>
  <c r="N62" i="53" s="1"/>
  <c r="O62" i="53" s="1"/>
  <c r="P62" i="53" s="1"/>
  <c r="Q62" i="53" s="1"/>
  <c r="R62" i="53" s="1"/>
  <c r="S62" i="53" s="1"/>
  <c r="T62" i="53" s="1"/>
  <c r="U62" i="53" s="1"/>
  <c r="V62" i="53" s="1"/>
  <c r="W62" i="53" s="1"/>
  <c r="X62" i="53" s="1"/>
  <c r="Y62" i="53" s="1"/>
  <c r="Z62" i="53" s="1"/>
  <c r="AA62" i="53" s="1"/>
  <c r="AB62" i="53" s="1"/>
  <c r="AC62" i="53" s="1"/>
  <c r="AD62" i="53" s="1"/>
  <c r="AE62" i="53" s="1"/>
  <c r="AF62" i="53" s="1"/>
  <c r="AG62" i="53" s="1"/>
  <c r="C53" i="53"/>
  <c r="C52" i="53"/>
  <c r="C51" i="53"/>
  <c r="C46" i="53"/>
  <c r="C45" i="53"/>
  <c r="C44" i="53"/>
  <c r="C43" i="53"/>
  <c r="C42" i="53"/>
  <c r="C41" i="53"/>
  <c r="D40" i="53"/>
  <c r="E40" i="53" s="1"/>
  <c r="F40" i="53" s="1"/>
  <c r="G40" i="53" s="1"/>
  <c r="H40" i="53" s="1"/>
  <c r="I40" i="53" s="1"/>
  <c r="J40" i="53" s="1"/>
  <c r="K40" i="53" s="1"/>
  <c r="L40" i="53" s="1"/>
  <c r="M40" i="53" s="1"/>
  <c r="N40" i="53" s="1"/>
  <c r="O40" i="53" s="1"/>
  <c r="P40" i="53" s="1"/>
  <c r="Q40" i="53" s="1"/>
  <c r="R40" i="53" s="1"/>
  <c r="S40" i="53" s="1"/>
  <c r="T40" i="53" s="1"/>
  <c r="U40" i="53" s="1"/>
  <c r="V40" i="53" s="1"/>
  <c r="W40" i="53" s="1"/>
  <c r="X40" i="53" s="1"/>
  <c r="Y40" i="53" s="1"/>
  <c r="Z40" i="53" s="1"/>
  <c r="AA40" i="53" s="1"/>
  <c r="AB40" i="53" s="1"/>
  <c r="AC40" i="53" s="1"/>
  <c r="AD40" i="53" s="1"/>
  <c r="AE40" i="53" s="1"/>
  <c r="AF40" i="53" s="1"/>
  <c r="AG40" i="53" s="1"/>
  <c r="E32" i="53"/>
  <c r="C32" i="53"/>
  <c r="E31" i="53"/>
  <c r="D31" i="53"/>
  <c r="C121" i="52"/>
  <c r="C104" i="52"/>
  <c r="C87" i="52"/>
  <c r="C70" i="52"/>
  <c r="C63" i="52"/>
  <c r="C64" i="52" s="1"/>
  <c r="C56" i="52"/>
  <c r="G37" i="52"/>
  <c r="D37" i="52"/>
  <c r="C37" i="52"/>
  <c r="C24" i="52"/>
  <c r="C23" i="52"/>
  <c r="C22" i="52"/>
  <c r="C21" i="52"/>
  <c r="C20" i="52"/>
  <c r="C17" i="52"/>
  <c r="C16" i="52"/>
  <c r="C14" i="52"/>
  <c r="C12" i="52"/>
  <c r="C6" i="52"/>
  <c r="C5" i="52"/>
  <c r="B3" i="52"/>
  <c r="B2" i="52"/>
  <c r="D191" i="52"/>
  <c r="E191" i="52" s="1"/>
  <c r="F191" i="52" s="1"/>
  <c r="G191" i="52" s="1"/>
  <c r="H191" i="52" s="1"/>
  <c r="I191" i="52" s="1"/>
  <c r="J191" i="52" s="1"/>
  <c r="K191" i="52" s="1"/>
  <c r="L191" i="52" s="1"/>
  <c r="M191" i="52" s="1"/>
  <c r="N191" i="52" s="1"/>
  <c r="O191" i="52" s="1"/>
  <c r="P191" i="52" s="1"/>
  <c r="Q191" i="52" s="1"/>
  <c r="R191" i="52" s="1"/>
  <c r="S191" i="52" s="1"/>
  <c r="T191" i="52" s="1"/>
  <c r="U191" i="52" s="1"/>
  <c r="V191" i="52" s="1"/>
  <c r="W191" i="52" s="1"/>
  <c r="X191" i="52" s="1"/>
  <c r="Y191" i="52" s="1"/>
  <c r="Z191" i="52" s="1"/>
  <c r="AA191" i="52" s="1"/>
  <c r="AB191" i="52" s="1"/>
  <c r="AC191" i="52" s="1"/>
  <c r="AD191" i="52" s="1"/>
  <c r="AE191" i="52" s="1"/>
  <c r="AF191" i="52" s="1"/>
  <c r="AG191" i="52" s="1"/>
  <c r="A187" i="52"/>
  <c r="B187" i="52" s="1"/>
  <c r="A185" i="52"/>
  <c r="B185" i="52" s="1"/>
  <c r="A184" i="52"/>
  <c r="B184" i="52" s="1"/>
  <c r="A183" i="52"/>
  <c r="B183" i="52" s="1"/>
  <c r="D182" i="52"/>
  <c r="E182" i="52" s="1"/>
  <c r="F182" i="52" s="1"/>
  <c r="G182" i="52" s="1"/>
  <c r="H182" i="52" s="1"/>
  <c r="I182" i="52" s="1"/>
  <c r="J182" i="52" s="1"/>
  <c r="K182" i="52" s="1"/>
  <c r="L182" i="52" s="1"/>
  <c r="M182" i="52" s="1"/>
  <c r="N182" i="52" s="1"/>
  <c r="O182" i="52" s="1"/>
  <c r="P182" i="52" s="1"/>
  <c r="Q182" i="52" s="1"/>
  <c r="R182" i="52" s="1"/>
  <c r="S182" i="52" s="1"/>
  <c r="T182" i="52" s="1"/>
  <c r="U182" i="52" s="1"/>
  <c r="V182" i="52" s="1"/>
  <c r="W182" i="52" s="1"/>
  <c r="X182" i="52" s="1"/>
  <c r="Y182" i="52" s="1"/>
  <c r="Z182" i="52" s="1"/>
  <c r="AA182" i="52" s="1"/>
  <c r="AB182" i="52" s="1"/>
  <c r="AC182" i="52" s="1"/>
  <c r="AD182" i="52" s="1"/>
  <c r="AE182" i="52" s="1"/>
  <c r="AF182" i="52" s="1"/>
  <c r="AG182" i="52" s="1"/>
  <c r="B178" i="52"/>
  <c r="B176" i="52"/>
  <c r="B175" i="52"/>
  <c r="B174" i="52"/>
  <c r="D173" i="52"/>
  <c r="E173" i="52" s="1"/>
  <c r="F173" i="52" s="1"/>
  <c r="G173" i="52" s="1"/>
  <c r="H173" i="52" s="1"/>
  <c r="I173" i="52" s="1"/>
  <c r="J173" i="52" s="1"/>
  <c r="K173" i="52" s="1"/>
  <c r="L173" i="52" s="1"/>
  <c r="M173" i="52" s="1"/>
  <c r="N173" i="52" s="1"/>
  <c r="O173" i="52" s="1"/>
  <c r="P173" i="52" s="1"/>
  <c r="Q173" i="52" s="1"/>
  <c r="R173" i="52" s="1"/>
  <c r="S173" i="52" s="1"/>
  <c r="T173" i="52" s="1"/>
  <c r="U173" i="52" s="1"/>
  <c r="V173" i="52" s="1"/>
  <c r="W173" i="52" s="1"/>
  <c r="X173" i="52" s="1"/>
  <c r="Y173" i="52" s="1"/>
  <c r="Z173" i="52" s="1"/>
  <c r="AA173" i="52" s="1"/>
  <c r="AB173" i="52" s="1"/>
  <c r="AC173" i="52" s="1"/>
  <c r="AD173" i="52" s="1"/>
  <c r="AE173" i="52" s="1"/>
  <c r="AF173" i="52" s="1"/>
  <c r="AG173" i="52" s="1"/>
  <c r="A170" i="52"/>
  <c r="A168" i="52"/>
  <c r="A169" i="52"/>
  <c r="A165" i="52"/>
  <c r="D164" i="52"/>
  <c r="E164" i="52" s="1"/>
  <c r="F164" i="52" s="1"/>
  <c r="G164" i="52" s="1"/>
  <c r="H164" i="52" s="1"/>
  <c r="I164" i="52" s="1"/>
  <c r="J164" i="52" s="1"/>
  <c r="K164" i="52" s="1"/>
  <c r="L164" i="52" s="1"/>
  <c r="M164" i="52" s="1"/>
  <c r="N164" i="52" s="1"/>
  <c r="O164" i="52" s="1"/>
  <c r="P164" i="52" s="1"/>
  <c r="Q164" i="52" s="1"/>
  <c r="R164" i="52" s="1"/>
  <c r="S164" i="52" s="1"/>
  <c r="T164" i="52" s="1"/>
  <c r="U164" i="52" s="1"/>
  <c r="V164" i="52" s="1"/>
  <c r="W164" i="52" s="1"/>
  <c r="D148" i="52"/>
  <c r="E148" i="52" s="1"/>
  <c r="F148" i="52" s="1"/>
  <c r="G148" i="52" s="1"/>
  <c r="H148" i="52" s="1"/>
  <c r="I148" i="52" s="1"/>
  <c r="J148" i="52" s="1"/>
  <c r="K148" i="52" s="1"/>
  <c r="L148" i="52" s="1"/>
  <c r="M148" i="52" s="1"/>
  <c r="N148" i="52" s="1"/>
  <c r="O148" i="52" s="1"/>
  <c r="P148" i="52" s="1"/>
  <c r="Q148" i="52" s="1"/>
  <c r="R148" i="52" s="1"/>
  <c r="S148" i="52" s="1"/>
  <c r="T148" i="52" s="1"/>
  <c r="U148" i="52" s="1"/>
  <c r="V148" i="52" s="1"/>
  <c r="W148" i="52" s="1"/>
  <c r="X148" i="52" s="1"/>
  <c r="Y148" i="52" s="1"/>
  <c r="Z148" i="52" s="1"/>
  <c r="AA148" i="52" s="1"/>
  <c r="AB148" i="52" s="1"/>
  <c r="AC148" i="52" s="1"/>
  <c r="AD148" i="52" s="1"/>
  <c r="AE148" i="52" s="1"/>
  <c r="AF148" i="52" s="1"/>
  <c r="AG148" i="52" s="1"/>
  <c r="D131" i="52"/>
  <c r="E131" i="52" s="1"/>
  <c r="F131" i="52" s="1"/>
  <c r="G131" i="52" s="1"/>
  <c r="H131" i="52" s="1"/>
  <c r="I131" i="52" s="1"/>
  <c r="J131" i="52" s="1"/>
  <c r="K131" i="52" s="1"/>
  <c r="L131" i="52" s="1"/>
  <c r="M131" i="52" s="1"/>
  <c r="N131" i="52" s="1"/>
  <c r="O131" i="52" s="1"/>
  <c r="P131" i="52" s="1"/>
  <c r="Q131" i="52" s="1"/>
  <c r="R131" i="52" s="1"/>
  <c r="S131" i="52" s="1"/>
  <c r="T131" i="52" s="1"/>
  <c r="U131" i="52" s="1"/>
  <c r="V131" i="52" s="1"/>
  <c r="W131" i="52" s="1"/>
  <c r="X131" i="52" s="1"/>
  <c r="Y131" i="52" s="1"/>
  <c r="Z131" i="52" s="1"/>
  <c r="AA131" i="52" s="1"/>
  <c r="AB131" i="52" s="1"/>
  <c r="AC131" i="52" s="1"/>
  <c r="AD131" i="52" s="1"/>
  <c r="AE131" i="52" s="1"/>
  <c r="AF131" i="52" s="1"/>
  <c r="AG131" i="52" s="1"/>
  <c r="D114" i="52"/>
  <c r="E114" i="52" s="1"/>
  <c r="F114" i="52" s="1"/>
  <c r="G114" i="52" s="1"/>
  <c r="H114" i="52" s="1"/>
  <c r="I114" i="52" s="1"/>
  <c r="J114" i="52" s="1"/>
  <c r="K114" i="52" s="1"/>
  <c r="L114" i="52" s="1"/>
  <c r="M114" i="52" s="1"/>
  <c r="N114" i="52" s="1"/>
  <c r="O114" i="52" s="1"/>
  <c r="P114" i="52" s="1"/>
  <c r="Q114" i="52" s="1"/>
  <c r="R114" i="52" s="1"/>
  <c r="S114" i="52" s="1"/>
  <c r="T114" i="52" s="1"/>
  <c r="U114" i="52" s="1"/>
  <c r="V114" i="52" s="1"/>
  <c r="W114" i="52" s="1"/>
  <c r="X114" i="52" s="1"/>
  <c r="Y114" i="52" s="1"/>
  <c r="Z114" i="52" s="1"/>
  <c r="AA114" i="52" s="1"/>
  <c r="AB114" i="52" s="1"/>
  <c r="AC114" i="52" s="1"/>
  <c r="AD114" i="52" s="1"/>
  <c r="AE114" i="52" s="1"/>
  <c r="AF114" i="52" s="1"/>
  <c r="AG114" i="52" s="1"/>
  <c r="D97" i="52"/>
  <c r="E97" i="52" s="1"/>
  <c r="F97" i="52" s="1"/>
  <c r="G97" i="52" s="1"/>
  <c r="H97" i="52" s="1"/>
  <c r="I97" i="52" s="1"/>
  <c r="J97" i="52" s="1"/>
  <c r="K97" i="52" s="1"/>
  <c r="L97" i="52" s="1"/>
  <c r="M97" i="52" s="1"/>
  <c r="N97" i="52" s="1"/>
  <c r="O97" i="52" s="1"/>
  <c r="P97" i="52" s="1"/>
  <c r="Q97" i="52" s="1"/>
  <c r="R97" i="52" s="1"/>
  <c r="S97" i="52" s="1"/>
  <c r="T97" i="52" s="1"/>
  <c r="U97" i="52" s="1"/>
  <c r="V97" i="52" s="1"/>
  <c r="W97" i="52" s="1"/>
  <c r="X97" i="52" s="1"/>
  <c r="Y97" i="52" s="1"/>
  <c r="Z97" i="52" s="1"/>
  <c r="AA97" i="52" s="1"/>
  <c r="AB97" i="52" s="1"/>
  <c r="AC97" i="52" s="1"/>
  <c r="AD97" i="52" s="1"/>
  <c r="AE97" i="52" s="1"/>
  <c r="AF97" i="52" s="1"/>
  <c r="AG97" i="52" s="1"/>
  <c r="D80" i="52"/>
  <c r="E80" i="52" s="1"/>
  <c r="F80" i="52" s="1"/>
  <c r="G80" i="52" s="1"/>
  <c r="H80" i="52" s="1"/>
  <c r="I80" i="52" s="1"/>
  <c r="J80" i="52" s="1"/>
  <c r="K80" i="52" s="1"/>
  <c r="L80" i="52" s="1"/>
  <c r="M80" i="52" s="1"/>
  <c r="N80" i="52" s="1"/>
  <c r="O80" i="52" s="1"/>
  <c r="P80" i="52" s="1"/>
  <c r="Q80" i="52" s="1"/>
  <c r="R80" i="52" s="1"/>
  <c r="S80" i="52" s="1"/>
  <c r="T80" i="52" s="1"/>
  <c r="U80" i="52" s="1"/>
  <c r="V80" i="52" s="1"/>
  <c r="W80" i="52" s="1"/>
  <c r="X80" i="52" s="1"/>
  <c r="Y80" i="52" s="1"/>
  <c r="Z80" i="52" s="1"/>
  <c r="AA80" i="52" s="1"/>
  <c r="AB80" i="52" s="1"/>
  <c r="AC80" i="52" s="1"/>
  <c r="AD80" i="52" s="1"/>
  <c r="AE80" i="52" s="1"/>
  <c r="AF80" i="52" s="1"/>
  <c r="AG80" i="52" s="1"/>
  <c r="D62" i="52"/>
  <c r="E62" i="52" s="1"/>
  <c r="F62" i="52" s="1"/>
  <c r="G62" i="52" s="1"/>
  <c r="H62" i="52" s="1"/>
  <c r="I62" i="52" s="1"/>
  <c r="J62" i="52" s="1"/>
  <c r="K62" i="52" s="1"/>
  <c r="L62" i="52" s="1"/>
  <c r="M62" i="52" s="1"/>
  <c r="N62" i="52" s="1"/>
  <c r="O62" i="52" s="1"/>
  <c r="P62" i="52" s="1"/>
  <c r="Q62" i="52" s="1"/>
  <c r="R62" i="52" s="1"/>
  <c r="S62" i="52" s="1"/>
  <c r="T62" i="52" s="1"/>
  <c r="U62" i="52" s="1"/>
  <c r="V62" i="52" s="1"/>
  <c r="W62" i="52" s="1"/>
  <c r="X62" i="52" s="1"/>
  <c r="Y62" i="52" s="1"/>
  <c r="Z62" i="52" s="1"/>
  <c r="AA62" i="52" s="1"/>
  <c r="AB62" i="52" s="1"/>
  <c r="AC62" i="52" s="1"/>
  <c r="AD62" i="52" s="1"/>
  <c r="AE62" i="52" s="1"/>
  <c r="AF62" i="52" s="1"/>
  <c r="AG62" i="52" s="1"/>
  <c r="AI58" i="52"/>
  <c r="AI53" i="52"/>
  <c r="AH53" i="52"/>
  <c r="C53" i="52"/>
  <c r="AK52" i="52"/>
  <c r="AJ52" i="52"/>
  <c r="AI52" i="52"/>
  <c r="AH52" i="52"/>
  <c r="C52" i="52"/>
  <c r="AI51" i="52"/>
  <c r="AH51" i="52"/>
  <c r="C51" i="52"/>
  <c r="C46" i="52"/>
  <c r="C45" i="52"/>
  <c r="C44" i="52"/>
  <c r="C43" i="52"/>
  <c r="C42" i="52"/>
  <c r="C41" i="52"/>
  <c r="D40" i="52"/>
  <c r="E40" i="52" s="1"/>
  <c r="F40" i="52" s="1"/>
  <c r="G40" i="52" s="1"/>
  <c r="H40" i="52" s="1"/>
  <c r="I40" i="52" s="1"/>
  <c r="J40" i="52" s="1"/>
  <c r="K40" i="52" s="1"/>
  <c r="L40" i="52" s="1"/>
  <c r="M40" i="52" s="1"/>
  <c r="N40" i="52" s="1"/>
  <c r="O40" i="52" s="1"/>
  <c r="P40" i="52" s="1"/>
  <c r="Q40" i="52" s="1"/>
  <c r="R40" i="52" s="1"/>
  <c r="S40" i="52" s="1"/>
  <c r="T40" i="52" s="1"/>
  <c r="U40" i="52" s="1"/>
  <c r="V40" i="52" s="1"/>
  <c r="W40" i="52" s="1"/>
  <c r="X40" i="52" s="1"/>
  <c r="Y40" i="52" s="1"/>
  <c r="Z40" i="52" s="1"/>
  <c r="AA40" i="52" s="1"/>
  <c r="AB40" i="52" s="1"/>
  <c r="AC40" i="52" s="1"/>
  <c r="AD40" i="52" s="1"/>
  <c r="AE40" i="52" s="1"/>
  <c r="AF40" i="52" s="1"/>
  <c r="AG40" i="52" s="1"/>
  <c r="E32" i="52"/>
  <c r="C32" i="52"/>
  <c r="E31" i="52"/>
  <c r="D31" i="52"/>
  <c r="C31" i="52"/>
  <c r="C29" i="52"/>
  <c r="C26" i="52"/>
  <c r="C25" i="52"/>
  <c r="C13" i="52"/>
  <c r="C121" i="51"/>
  <c r="C104" i="51"/>
  <c r="C87" i="51"/>
  <c r="C70" i="51"/>
  <c r="C63" i="51"/>
  <c r="C64" i="51" s="1"/>
  <c r="C55" i="51"/>
  <c r="C53" i="51"/>
  <c r="C52" i="51"/>
  <c r="C51" i="51"/>
  <c r="C42" i="51"/>
  <c r="C43" i="51"/>
  <c r="C44" i="51"/>
  <c r="C45" i="51"/>
  <c r="C46" i="51"/>
  <c r="C41" i="51"/>
  <c r="G37" i="51"/>
  <c r="D37" i="51"/>
  <c r="C37" i="51"/>
  <c r="E33" i="51"/>
  <c r="C33" i="51"/>
  <c r="C24" i="51"/>
  <c r="C22" i="51"/>
  <c r="C21" i="51"/>
  <c r="C20" i="51"/>
  <c r="C17" i="51"/>
  <c r="C16" i="51"/>
  <c r="C14" i="51"/>
  <c r="C13" i="51"/>
  <c r="C6" i="51"/>
  <c r="C5" i="51"/>
  <c r="B3" i="51"/>
  <c r="B2" i="51"/>
  <c r="D191" i="51"/>
  <c r="E191" i="51" s="1"/>
  <c r="F191" i="51" s="1"/>
  <c r="G191" i="51" s="1"/>
  <c r="H191" i="51" s="1"/>
  <c r="I191" i="51" s="1"/>
  <c r="J191" i="51" s="1"/>
  <c r="K191" i="51" s="1"/>
  <c r="L191" i="51" s="1"/>
  <c r="M191" i="51" s="1"/>
  <c r="N191" i="51" s="1"/>
  <c r="O191" i="51" s="1"/>
  <c r="P191" i="51" s="1"/>
  <c r="Q191" i="51" s="1"/>
  <c r="R191" i="51" s="1"/>
  <c r="S191" i="51" s="1"/>
  <c r="T191" i="51" s="1"/>
  <c r="U191" i="51" s="1"/>
  <c r="V191" i="51" s="1"/>
  <c r="W191" i="51" s="1"/>
  <c r="X191" i="51" s="1"/>
  <c r="Y191" i="51" s="1"/>
  <c r="Z191" i="51" s="1"/>
  <c r="AA191" i="51" s="1"/>
  <c r="AB191" i="51" s="1"/>
  <c r="AC191" i="51" s="1"/>
  <c r="AD191" i="51" s="1"/>
  <c r="AE191" i="51" s="1"/>
  <c r="AF191" i="51" s="1"/>
  <c r="AG191" i="51" s="1"/>
  <c r="A187" i="51"/>
  <c r="B187" i="51" s="1"/>
  <c r="A185" i="51"/>
  <c r="B185" i="51" s="1"/>
  <c r="A184" i="51"/>
  <c r="B184" i="51" s="1"/>
  <c r="A183" i="51"/>
  <c r="B183" i="51" s="1"/>
  <c r="D182" i="51"/>
  <c r="E182" i="51" s="1"/>
  <c r="F182" i="51" s="1"/>
  <c r="G182" i="51" s="1"/>
  <c r="H182" i="51" s="1"/>
  <c r="I182" i="51" s="1"/>
  <c r="J182" i="51" s="1"/>
  <c r="K182" i="51" s="1"/>
  <c r="L182" i="51" s="1"/>
  <c r="M182" i="51" s="1"/>
  <c r="N182" i="51" s="1"/>
  <c r="O182" i="51" s="1"/>
  <c r="P182" i="51" s="1"/>
  <c r="Q182" i="51" s="1"/>
  <c r="R182" i="51" s="1"/>
  <c r="S182" i="51" s="1"/>
  <c r="T182" i="51" s="1"/>
  <c r="U182" i="51" s="1"/>
  <c r="V182" i="51" s="1"/>
  <c r="W182" i="51" s="1"/>
  <c r="X182" i="51" s="1"/>
  <c r="Y182" i="51" s="1"/>
  <c r="Z182" i="51" s="1"/>
  <c r="AA182" i="51" s="1"/>
  <c r="AB182" i="51" s="1"/>
  <c r="AC182" i="51" s="1"/>
  <c r="AD182" i="51" s="1"/>
  <c r="AE182" i="51" s="1"/>
  <c r="AF182" i="51" s="1"/>
  <c r="AG182" i="51" s="1"/>
  <c r="B178" i="51"/>
  <c r="B176" i="51"/>
  <c r="B175" i="51"/>
  <c r="B174" i="51"/>
  <c r="D173" i="51"/>
  <c r="E173" i="51" s="1"/>
  <c r="F173" i="51" s="1"/>
  <c r="G173" i="51" s="1"/>
  <c r="H173" i="51" s="1"/>
  <c r="I173" i="51" s="1"/>
  <c r="J173" i="51" s="1"/>
  <c r="K173" i="51" s="1"/>
  <c r="L173" i="51" s="1"/>
  <c r="M173" i="51" s="1"/>
  <c r="N173" i="51" s="1"/>
  <c r="O173" i="51" s="1"/>
  <c r="P173" i="51" s="1"/>
  <c r="Q173" i="51" s="1"/>
  <c r="R173" i="51" s="1"/>
  <c r="S173" i="51" s="1"/>
  <c r="T173" i="51" s="1"/>
  <c r="U173" i="51" s="1"/>
  <c r="V173" i="51" s="1"/>
  <c r="W173" i="51" s="1"/>
  <c r="X173" i="51" s="1"/>
  <c r="Y173" i="51" s="1"/>
  <c r="Z173" i="51" s="1"/>
  <c r="AA173" i="51" s="1"/>
  <c r="AB173" i="51" s="1"/>
  <c r="AC173" i="51" s="1"/>
  <c r="AD173" i="51" s="1"/>
  <c r="AE173" i="51" s="1"/>
  <c r="AF173" i="51" s="1"/>
  <c r="AG173" i="51" s="1"/>
  <c r="A170" i="51"/>
  <c r="A168" i="51"/>
  <c r="A169" i="51"/>
  <c r="A165" i="51"/>
  <c r="D164" i="51"/>
  <c r="E164" i="51" s="1"/>
  <c r="F164" i="51" s="1"/>
  <c r="G164" i="51" s="1"/>
  <c r="H164" i="51" s="1"/>
  <c r="I164" i="51" s="1"/>
  <c r="J164" i="51" s="1"/>
  <c r="K164" i="51" s="1"/>
  <c r="L164" i="51" s="1"/>
  <c r="M164" i="51" s="1"/>
  <c r="N164" i="51" s="1"/>
  <c r="O164" i="51" s="1"/>
  <c r="P164" i="51" s="1"/>
  <c r="Q164" i="51" s="1"/>
  <c r="R164" i="51" s="1"/>
  <c r="S164" i="51" s="1"/>
  <c r="T164" i="51" s="1"/>
  <c r="U164" i="51" s="1"/>
  <c r="V164" i="51" s="1"/>
  <c r="W164" i="51" s="1"/>
  <c r="X164" i="51" s="1"/>
  <c r="Y164" i="51" s="1"/>
  <c r="Z164" i="51" s="1"/>
  <c r="AA164" i="51" s="1"/>
  <c r="AB164" i="51" s="1"/>
  <c r="AC164" i="51" s="1"/>
  <c r="AD164" i="51" s="1"/>
  <c r="AE164" i="51" s="1"/>
  <c r="AF164" i="51" s="1"/>
  <c r="AG164" i="51" s="1"/>
  <c r="D148" i="51"/>
  <c r="E148" i="51" s="1"/>
  <c r="F148" i="51" s="1"/>
  <c r="G148" i="51" s="1"/>
  <c r="H148" i="51" s="1"/>
  <c r="I148" i="51" s="1"/>
  <c r="J148" i="51" s="1"/>
  <c r="K148" i="51" s="1"/>
  <c r="L148" i="51" s="1"/>
  <c r="M148" i="51" s="1"/>
  <c r="N148" i="51" s="1"/>
  <c r="O148" i="51" s="1"/>
  <c r="P148" i="51" s="1"/>
  <c r="Q148" i="51" s="1"/>
  <c r="R148" i="51" s="1"/>
  <c r="S148" i="51" s="1"/>
  <c r="T148" i="51" s="1"/>
  <c r="U148" i="51" s="1"/>
  <c r="V148" i="51" s="1"/>
  <c r="W148" i="51" s="1"/>
  <c r="X148" i="51" s="1"/>
  <c r="Y148" i="51" s="1"/>
  <c r="Z148" i="51" s="1"/>
  <c r="AA148" i="51" s="1"/>
  <c r="AB148" i="51" s="1"/>
  <c r="AC148" i="51" s="1"/>
  <c r="AD148" i="51" s="1"/>
  <c r="AE148" i="51" s="1"/>
  <c r="AF148" i="51" s="1"/>
  <c r="AG148" i="51" s="1"/>
  <c r="D131" i="51"/>
  <c r="E131" i="51" s="1"/>
  <c r="F131" i="51" s="1"/>
  <c r="G131" i="51" s="1"/>
  <c r="H131" i="51" s="1"/>
  <c r="I131" i="51" s="1"/>
  <c r="J131" i="51" s="1"/>
  <c r="K131" i="51" s="1"/>
  <c r="L131" i="51" s="1"/>
  <c r="M131" i="51" s="1"/>
  <c r="N131" i="51" s="1"/>
  <c r="O131" i="51" s="1"/>
  <c r="P131" i="51" s="1"/>
  <c r="Q131" i="51" s="1"/>
  <c r="R131" i="51" s="1"/>
  <c r="S131" i="51" s="1"/>
  <c r="T131" i="51" s="1"/>
  <c r="U131" i="51" s="1"/>
  <c r="V131" i="51" s="1"/>
  <c r="W131" i="51" s="1"/>
  <c r="X131" i="51" s="1"/>
  <c r="Y131" i="51" s="1"/>
  <c r="Z131" i="51" s="1"/>
  <c r="AA131" i="51" s="1"/>
  <c r="AB131" i="51" s="1"/>
  <c r="AC131" i="51" s="1"/>
  <c r="AD131" i="51" s="1"/>
  <c r="AE131" i="51" s="1"/>
  <c r="AF131" i="51" s="1"/>
  <c r="AG131" i="51" s="1"/>
  <c r="D114" i="51"/>
  <c r="E114" i="51" s="1"/>
  <c r="F114" i="51" s="1"/>
  <c r="G114" i="51" s="1"/>
  <c r="H114" i="51" s="1"/>
  <c r="I114" i="51" s="1"/>
  <c r="J114" i="51" s="1"/>
  <c r="K114" i="51" s="1"/>
  <c r="L114" i="51" s="1"/>
  <c r="M114" i="51" s="1"/>
  <c r="N114" i="51" s="1"/>
  <c r="O114" i="51" s="1"/>
  <c r="P114" i="51" s="1"/>
  <c r="Q114" i="51" s="1"/>
  <c r="R114" i="51" s="1"/>
  <c r="S114" i="51" s="1"/>
  <c r="T114" i="51" s="1"/>
  <c r="U114" i="51" s="1"/>
  <c r="V114" i="51" s="1"/>
  <c r="W114" i="51" s="1"/>
  <c r="X114" i="51" s="1"/>
  <c r="Y114" i="51" s="1"/>
  <c r="Z114" i="51" s="1"/>
  <c r="AA114" i="51" s="1"/>
  <c r="AB114" i="51" s="1"/>
  <c r="AC114" i="51" s="1"/>
  <c r="AD114" i="51" s="1"/>
  <c r="AE114" i="51" s="1"/>
  <c r="AF114" i="51" s="1"/>
  <c r="AG114" i="51" s="1"/>
  <c r="D97" i="51"/>
  <c r="E97" i="51" s="1"/>
  <c r="F97" i="51" s="1"/>
  <c r="G97" i="51" s="1"/>
  <c r="H97" i="51" s="1"/>
  <c r="I97" i="51" s="1"/>
  <c r="J97" i="51" s="1"/>
  <c r="K97" i="51" s="1"/>
  <c r="L97" i="51" s="1"/>
  <c r="M97" i="51" s="1"/>
  <c r="N97" i="51" s="1"/>
  <c r="O97" i="51" s="1"/>
  <c r="P97" i="51" s="1"/>
  <c r="Q97" i="51" s="1"/>
  <c r="R97" i="51" s="1"/>
  <c r="S97" i="51" s="1"/>
  <c r="T97" i="51" s="1"/>
  <c r="U97" i="51" s="1"/>
  <c r="V97" i="51" s="1"/>
  <c r="W97" i="51" s="1"/>
  <c r="X97" i="51" s="1"/>
  <c r="Y97" i="51" s="1"/>
  <c r="Z97" i="51" s="1"/>
  <c r="AA97" i="51" s="1"/>
  <c r="AB97" i="51" s="1"/>
  <c r="AC97" i="51" s="1"/>
  <c r="AD97" i="51" s="1"/>
  <c r="AE97" i="51" s="1"/>
  <c r="AF97" i="51" s="1"/>
  <c r="AG97" i="51" s="1"/>
  <c r="D80" i="51"/>
  <c r="E80" i="51" s="1"/>
  <c r="F80" i="51" s="1"/>
  <c r="G80" i="51" s="1"/>
  <c r="H80" i="51" s="1"/>
  <c r="I80" i="51" s="1"/>
  <c r="J80" i="51" s="1"/>
  <c r="K80" i="51" s="1"/>
  <c r="L80" i="51" s="1"/>
  <c r="M80" i="51" s="1"/>
  <c r="N80" i="51" s="1"/>
  <c r="O80" i="51" s="1"/>
  <c r="P80" i="51" s="1"/>
  <c r="Q80" i="51" s="1"/>
  <c r="R80" i="51" s="1"/>
  <c r="S80" i="51" s="1"/>
  <c r="T80" i="51" s="1"/>
  <c r="U80" i="51" s="1"/>
  <c r="V80" i="51" s="1"/>
  <c r="W80" i="51" s="1"/>
  <c r="X80" i="51" s="1"/>
  <c r="Y80" i="51" s="1"/>
  <c r="Z80" i="51" s="1"/>
  <c r="AA80" i="51" s="1"/>
  <c r="AB80" i="51" s="1"/>
  <c r="AC80" i="51" s="1"/>
  <c r="AD80" i="51" s="1"/>
  <c r="AE80" i="51" s="1"/>
  <c r="AF80" i="51" s="1"/>
  <c r="AG80" i="51" s="1"/>
  <c r="D62" i="51"/>
  <c r="E62" i="51" s="1"/>
  <c r="F62" i="51" s="1"/>
  <c r="G62" i="51" s="1"/>
  <c r="H62" i="51" s="1"/>
  <c r="I62" i="51" s="1"/>
  <c r="J62" i="51" s="1"/>
  <c r="K62" i="51" s="1"/>
  <c r="L62" i="51" s="1"/>
  <c r="M62" i="51" s="1"/>
  <c r="N62" i="51" s="1"/>
  <c r="O62" i="51" s="1"/>
  <c r="P62" i="51" s="1"/>
  <c r="Q62" i="51" s="1"/>
  <c r="R62" i="51" s="1"/>
  <c r="S62" i="51" s="1"/>
  <c r="T62" i="51" s="1"/>
  <c r="U62" i="51" s="1"/>
  <c r="V62" i="51" s="1"/>
  <c r="W62" i="51" s="1"/>
  <c r="X62" i="51" s="1"/>
  <c r="Y62" i="51" s="1"/>
  <c r="Z62" i="51" s="1"/>
  <c r="AA62" i="51" s="1"/>
  <c r="AB62" i="51" s="1"/>
  <c r="AC62" i="51" s="1"/>
  <c r="AD62" i="51" s="1"/>
  <c r="AE62" i="51" s="1"/>
  <c r="AF62" i="51" s="1"/>
  <c r="AG62" i="51" s="1"/>
  <c r="AI57" i="51"/>
  <c r="AI53" i="51"/>
  <c r="AH53" i="51"/>
  <c r="AK52" i="51"/>
  <c r="AJ52" i="51"/>
  <c r="AI52" i="51"/>
  <c r="AH52" i="51"/>
  <c r="AI51" i="51"/>
  <c r="AH51" i="51"/>
  <c r="D40" i="51"/>
  <c r="E40" i="51" s="1"/>
  <c r="F40" i="51" s="1"/>
  <c r="G40" i="51" s="1"/>
  <c r="H40" i="51" s="1"/>
  <c r="I40" i="51" s="1"/>
  <c r="J40" i="51" s="1"/>
  <c r="K40" i="51" s="1"/>
  <c r="L40" i="51" s="1"/>
  <c r="M40" i="51" s="1"/>
  <c r="N40" i="51" s="1"/>
  <c r="O40" i="51" s="1"/>
  <c r="P40" i="51" s="1"/>
  <c r="Q40" i="51" s="1"/>
  <c r="R40" i="51" s="1"/>
  <c r="S40" i="51" s="1"/>
  <c r="T40" i="51" s="1"/>
  <c r="U40" i="51" s="1"/>
  <c r="V40" i="51" s="1"/>
  <c r="W40" i="51" s="1"/>
  <c r="X40" i="51" s="1"/>
  <c r="Y40" i="51" s="1"/>
  <c r="Z40" i="51" s="1"/>
  <c r="AA40" i="51" s="1"/>
  <c r="AB40" i="51" s="1"/>
  <c r="AC40" i="51" s="1"/>
  <c r="AD40" i="51" s="1"/>
  <c r="AE40" i="51" s="1"/>
  <c r="AF40" i="51" s="1"/>
  <c r="AG40" i="51" s="1"/>
  <c r="H36" i="62"/>
  <c r="H37" i="62" s="1"/>
  <c r="C153" i="62" s="1"/>
  <c r="C160" i="62" s="1"/>
  <c r="H37" i="51"/>
  <c r="H37" i="52"/>
  <c r="H36" i="53"/>
  <c r="H36" i="55"/>
  <c r="H37" i="57"/>
  <c r="H36" i="58"/>
  <c r="F36" i="58"/>
  <c r="F36" i="55"/>
  <c r="F37" i="57"/>
  <c r="F37" i="51"/>
  <c r="F37" i="52"/>
  <c r="F36" i="53"/>
  <c r="F36" i="62"/>
  <c r="F37" i="62" s="1"/>
  <c r="C119" i="62" s="1"/>
  <c r="C126" i="62" s="1"/>
  <c r="C6" i="38"/>
  <c r="A187" i="38"/>
  <c r="B187" i="38" s="1"/>
  <c r="A185" i="38"/>
  <c r="B185" i="38" s="1"/>
  <c r="B176" i="38"/>
  <c r="C141" i="45"/>
  <c r="D47" i="74" s="1"/>
  <c r="D26" i="45"/>
  <c r="E26" i="45" s="1"/>
  <c r="F26" i="45" s="1"/>
  <c r="G26" i="45" s="1"/>
  <c r="H26" i="45" s="1"/>
  <c r="I26" i="45" s="1"/>
  <c r="J26" i="45" s="1"/>
  <c r="K26" i="45" s="1"/>
  <c r="L26" i="45" s="1"/>
  <c r="M26" i="45" s="1"/>
  <c r="N26" i="45" s="1"/>
  <c r="O26" i="45" s="1"/>
  <c r="P26" i="45" s="1"/>
  <c r="Q26" i="45" s="1"/>
  <c r="R26" i="45" s="1"/>
  <c r="S26" i="45" s="1"/>
  <c r="T26" i="45" s="1"/>
  <c r="U26" i="45" s="1"/>
  <c r="V26" i="45" s="1"/>
  <c r="W26" i="45" s="1"/>
  <c r="X26" i="45" s="1"/>
  <c r="Y26" i="45" s="1"/>
  <c r="Z26" i="45" s="1"/>
  <c r="AA26" i="45" s="1"/>
  <c r="AB26" i="45" s="1"/>
  <c r="AC26" i="45" s="1"/>
  <c r="AD26" i="45" s="1"/>
  <c r="AE26" i="45" s="1"/>
  <c r="AF26" i="45" s="1"/>
  <c r="AG26" i="45" s="1"/>
  <c r="E23" i="74" s="1"/>
  <c r="C138" i="38"/>
  <c r="D301" i="45"/>
  <c r="E301" i="45" s="1"/>
  <c r="F301" i="45" s="1"/>
  <c r="G301" i="45" s="1"/>
  <c r="H301" i="45" s="1"/>
  <c r="I301" i="45" s="1"/>
  <c r="J301" i="45" s="1"/>
  <c r="K301" i="45" s="1"/>
  <c r="L301" i="45" s="1"/>
  <c r="M301" i="45" s="1"/>
  <c r="N301" i="45" s="1"/>
  <c r="O301" i="45" s="1"/>
  <c r="P301" i="45" s="1"/>
  <c r="Q301" i="45" s="1"/>
  <c r="R301" i="45" s="1"/>
  <c r="S301" i="45" s="1"/>
  <c r="T301" i="45" s="1"/>
  <c r="U301" i="45" s="1"/>
  <c r="V301" i="45" s="1"/>
  <c r="W301" i="45" s="1"/>
  <c r="X301" i="45" s="1"/>
  <c r="Y301" i="45" s="1"/>
  <c r="Z301" i="45" s="1"/>
  <c r="AA301" i="45" s="1"/>
  <c r="AB301" i="45" s="1"/>
  <c r="AC301" i="45" s="1"/>
  <c r="AD301" i="45" s="1"/>
  <c r="AE301" i="45" s="1"/>
  <c r="AF301" i="45" s="1"/>
  <c r="AG301" i="45" s="1"/>
  <c r="D304" i="45"/>
  <c r="D305" i="45"/>
  <c r="C121" i="38"/>
  <c r="C104" i="38"/>
  <c r="C87" i="38"/>
  <c r="C70" i="38"/>
  <c r="D295" i="45"/>
  <c r="D294" i="45"/>
  <c r="D293" i="45"/>
  <c r="D292" i="45"/>
  <c r="D70" i="53" s="1"/>
  <c r="D291" i="45"/>
  <c r="D290" i="45"/>
  <c r="E290" i="45" s="1"/>
  <c r="F290" i="45" s="1"/>
  <c r="G290" i="45" s="1"/>
  <c r="H290" i="45" s="1"/>
  <c r="I290" i="45" s="1"/>
  <c r="J290" i="45" s="1"/>
  <c r="K290" i="45" s="1"/>
  <c r="L290" i="45" s="1"/>
  <c r="M290" i="45" s="1"/>
  <c r="N290" i="45" s="1"/>
  <c r="O290" i="45" s="1"/>
  <c r="P290" i="45" s="1"/>
  <c r="Q290" i="45" s="1"/>
  <c r="R290" i="45" s="1"/>
  <c r="S290" i="45" s="1"/>
  <c r="T290" i="45" s="1"/>
  <c r="U290" i="45" s="1"/>
  <c r="V290" i="45" s="1"/>
  <c r="W290" i="45" s="1"/>
  <c r="X290" i="45" s="1"/>
  <c r="Y290" i="45" s="1"/>
  <c r="Z290" i="45" s="1"/>
  <c r="AA290" i="45" s="1"/>
  <c r="AB290" i="45" s="1"/>
  <c r="AC290" i="45" s="1"/>
  <c r="AD290" i="45" s="1"/>
  <c r="AE290" i="45" s="1"/>
  <c r="AF290" i="45" s="1"/>
  <c r="AG290" i="45" s="1"/>
  <c r="D289" i="45"/>
  <c r="D288" i="45"/>
  <c r="D287" i="45"/>
  <c r="J128" i="45"/>
  <c r="K128" i="45" s="1"/>
  <c r="L128" i="45" s="1"/>
  <c r="M128" i="45" s="1"/>
  <c r="N128" i="45" s="1"/>
  <c r="H45" i="74" s="1"/>
  <c r="C20" i="38"/>
  <c r="D266" i="45"/>
  <c r="D267" i="45"/>
  <c r="D268" i="45"/>
  <c r="D269" i="45"/>
  <c r="D280" i="45" s="1"/>
  <c r="D60" i="62" s="1"/>
  <c r="D139" i="62" s="1"/>
  <c r="D270" i="45"/>
  <c r="D271" i="45"/>
  <c r="D272" i="45"/>
  <c r="D273" i="45"/>
  <c r="D265" i="45"/>
  <c r="C55" i="38"/>
  <c r="D187" i="45"/>
  <c r="D195" i="45"/>
  <c r="D196" i="45"/>
  <c r="D185" i="45"/>
  <c r="D165" i="45"/>
  <c r="D163" i="45"/>
  <c r="D166" i="45"/>
  <c r="D162" i="45"/>
  <c r="D56" i="58" s="1"/>
  <c r="D164" i="45"/>
  <c r="D56" i="55" s="1"/>
  <c r="D159" i="45"/>
  <c r="D55" i="53" s="1"/>
  <c r="D160" i="45"/>
  <c r="D56" i="52" s="1"/>
  <c r="D158" i="45"/>
  <c r="D55" i="51" s="1"/>
  <c r="C14" i="38"/>
  <c r="C16" i="38"/>
  <c r="S141" i="45"/>
  <c r="I47" i="74" s="1"/>
  <c r="S128" i="45"/>
  <c r="I45" i="74" s="1"/>
  <c r="C128" i="45"/>
  <c r="D31" i="38"/>
  <c r="D41" i="45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D42" i="45"/>
  <c r="E42" i="45" s="1"/>
  <c r="F42" i="45" s="1"/>
  <c r="G42" i="45" s="1"/>
  <c r="H42" i="45" s="1"/>
  <c r="I42" i="45" s="1"/>
  <c r="J42" i="45" s="1"/>
  <c r="K42" i="45" s="1"/>
  <c r="L42" i="45" s="1"/>
  <c r="M42" i="45" s="1"/>
  <c r="N42" i="45" s="1"/>
  <c r="O42" i="45" s="1"/>
  <c r="P42" i="45" s="1"/>
  <c r="Q42" i="45" s="1"/>
  <c r="R42" i="45" s="1"/>
  <c r="S42" i="45" s="1"/>
  <c r="T42" i="45" s="1"/>
  <c r="U42" i="45" s="1"/>
  <c r="V42" i="45" s="1"/>
  <c r="W42" i="45" s="1"/>
  <c r="X42" i="45" s="1"/>
  <c r="Y42" i="45" s="1"/>
  <c r="Z42" i="45" s="1"/>
  <c r="AA42" i="45" s="1"/>
  <c r="AB42" i="45" s="1"/>
  <c r="AC42" i="45" s="1"/>
  <c r="AD42" i="45" s="1"/>
  <c r="AE42" i="45" s="1"/>
  <c r="AF42" i="45" s="1"/>
  <c r="AG42" i="45" s="1"/>
  <c r="D43" i="45"/>
  <c r="E43" i="45" s="1"/>
  <c r="F43" i="45" s="1"/>
  <c r="G43" i="45" s="1"/>
  <c r="H43" i="45" s="1"/>
  <c r="I43" i="45" s="1"/>
  <c r="J43" i="45" s="1"/>
  <c r="K43" i="45" s="1"/>
  <c r="L43" i="45" s="1"/>
  <c r="M43" i="45" s="1"/>
  <c r="N43" i="45" s="1"/>
  <c r="O43" i="45" s="1"/>
  <c r="P43" i="45" s="1"/>
  <c r="Q43" i="45" s="1"/>
  <c r="R43" i="45" s="1"/>
  <c r="S43" i="45" s="1"/>
  <c r="T43" i="45" s="1"/>
  <c r="U43" i="45" s="1"/>
  <c r="V43" i="45" s="1"/>
  <c r="W43" i="45" s="1"/>
  <c r="X43" i="45" s="1"/>
  <c r="Y43" i="45" s="1"/>
  <c r="Z43" i="45" s="1"/>
  <c r="AA43" i="45" s="1"/>
  <c r="AB43" i="45" s="1"/>
  <c r="AC43" i="45" s="1"/>
  <c r="AD43" i="45" s="1"/>
  <c r="AE43" i="45" s="1"/>
  <c r="AF43" i="45" s="1"/>
  <c r="AG43" i="45" s="1"/>
  <c r="D44" i="45"/>
  <c r="E44" i="45" s="1"/>
  <c r="F44" i="45" s="1"/>
  <c r="G44" i="45" s="1"/>
  <c r="H44" i="45" s="1"/>
  <c r="I44" i="45" s="1"/>
  <c r="J44" i="45" s="1"/>
  <c r="K44" i="45" s="1"/>
  <c r="L44" i="45" s="1"/>
  <c r="M44" i="45" s="1"/>
  <c r="N44" i="45" s="1"/>
  <c r="O44" i="45" s="1"/>
  <c r="P44" i="45" s="1"/>
  <c r="Q44" i="45" s="1"/>
  <c r="R44" i="45" s="1"/>
  <c r="S44" i="45" s="1"/>
  <c r="T44" i="45" s="1"/>
  <c r="U44" i="45" s="1"/>
  <c r="V44" i="45" s="1"/>
  <c r="W44" i="45" s="1"/>
  <c r="X44" i="45" s="1"/>
  <c r="Y44" i="45" s="1"/>
  <c r="Z44" i="45" s="1"/>
  <c r="AA44" i="45" s="1"/>
  <c r="AB44" i="45" s="1"/>
  <c r="AC44" i="45" s="1"/>
  <c r="AD44" i="45" s="1"/>
  <c r="AE44" i="45" s="1"/>
  <c r="AF44" i="45" s="1"/>
  <c r="AG44" i="45" s="1"/>
  <c r="D45" i="45"/>
  <c r="E45" i="45" s="1"/>
  <c r="F45" i="45" s="1"/>
  <c r="G45" i="45" s="1"/>
  <c r="H45" i="45" s="1"/>
  <c r="I45" i="45" s="1"/>
  <c r="J45" i="45" s="1"/>
  <c r="K45" i="45" s="1"/>
  <c r="L45" i="45" s="1"/>
  <c r="M45" i="45" s="1"/>
  <c r="N45" i="45" s="1"/>
  <c r="O45" i="45" s="1"/>
  <c r="P45" i="45" s="1"/>
  <c r="Q45" i="45" s="1"/>
  <c r="R45" i="45" s="1"/>
  <c r="S45" i="45" s="1"/>
  <c r="T45" i="45" s="1"/>
  <c r="U45" i="45" s="1"/>
  <c r="V45" i="45" s="1"/>
  <c r="W45" i="45" s="1"/>
  <c r="X45" i="45" s="1"/>
  <c r="Y45" i="45" s="1"/>
  <c r="Z45" i="45" s="1"/>
  <c r="AA45" i="45" s="1"/>
  <c r="AB45" i="45" s="1"/>
  <c r="AC45" i="45" s="1"/>
  <c r="AD45" i="45" s="1"/>
  <c r="AE45" i="45" s="1"/>
  <c r="AF45" i="45" s="1"/>
  <c r="AG45" i="45" s="1"/>
  <c r="D30" i="45"/>
  <c r="E30" i="45" s="1"/>
  <c r="F30" i="45" s="1"/>
  <c r="G30" i="45" s="1"/>
  <c r="H30" i="45" s="1"/>
  <c r="I30" i="45" s="1"/>
  <c r="J30" i="45" s="1"/>
  <c r="K30" i="45" s="1"/>
  <c r="L30" i="45" s="1"/>
  <c r="M30" i="45" s="1"/>
  <c r="N30" i="45" s="1"/>
  <c r="O30" i="45" s="1"/>
  <c r="P30" i="45" s="1"/>
  <c r="Q30" i="45" s="1"/>
  <c r="R30" i="45" s="1"/>
  <c r="S30" i="45" s="1"/>
  <c r="T30" i="45" s="1"/>
  <c r="U30" i="45" s="1"/>
  <c r="V30" i="45" s="1"/>
  <c r="W30" i="45" s="1"/>
  <c r="X30" i="45" s="1"/>
  <c r="Y30" i="45" s="1"/>
  <c r="Z30" i="45" s="1"/>
  <c r="AA30" i="45" s="1"/>
  <c r="AB30" i="45" s="1"/>
  <c r="AC30" i="45" s="1"/>
  <c r="AD30" i="45" s="1"/>
  <c r="AE30" i="45" s="1"/>
  <c r="AF30" i="45" s="1"/>
  <c r="AG30" i="45" s="1"/>
  <c r="E26" i="74" s="1"/>
  <c r="D31" i="45"/>
  <c r="E31" i="45" s="1"/>
  <c r="F31" i="45" s="1"/>
  <c r="G31" i="45" s="1"/>
  <c r="H31" i="45" s="1"/>
  <c r="I31" i="45" s="1"/>
  <c r="J31" i="45" s="1"/>
  <c r="K31" i="45" s="1"/>
  <c r="L31" i="45" s="1"/>
  <c r="M31" i="45" s="1"/>
  <c r="N31" i="45" s="1"/>
  <c r="O31" i="45" s="1"/>
  <c r="P31" i="45" s="1"/>
  <c r="Q31" i="45" s="1"/>
  <c r="R31" i="45" s="1"/>
  <c r="S31" i="45" s="1"/>
  <c r="T31" i="45" s="1"/>
  <c r="U31" i="45" s="1"/>
  <c r="V31" i="45" s="1"/>
  <c r="W31" i="45" s="1"/>
  <c r="X31" i="45" s="1"/>
  <c r="Y31" i="45" s="1"/>
  <c r="Z31" i="45" s="1"/>
  <c r="AA31" i="45" s="1"/>
  <c r="AB31" i="45" s="1"/>
  <c r="AC31" i="45" s="1"/>
  <c r="AD31" i="45" s="1"/>
  <c r="AE31" i="45" s="1"/>
  <c r="AF31" i="45" s="1"/>
  <c r="AG31" i="45" s="1"/>
  <c r="E27" i="74" s="1"/>
  <c r="D32" i="45"/>
  <c r="E32" i="45" s="1"/>
  <c r="F32" i="45" s="1"/>
  <c r="G32" i="45" s="1"/>
  <c r="H32" i="45" s="1"/>
  <c r="I32" i="45" s="1"/>
  <c r="J32" i="45" s="1"/>
  <c r="K32" i="45" s="1"/>
  <c r="L32" i="45" s="1"/>
  <c r="M32" i="45" s="1"/>
  <c r="N32" i="45" s="1"/>
  <c r="O32" i="45" s="1"/>
  <c r="P32" i="45" s="1"/>
  <c r="Q32" i="45" s="1"/>
  <c r="R32" i="45" s="1"/>
  <c r="S32" i="45" s="1"/>
  <c r="T32" i="45" s="1"/>
  <c r="U32" i="45" s="1"/>
  <c r="V32" i="45" s="1"/>
  <c r="W32" i="45" s="1"/>
  <c r="X32" i="45" s="1"/>
  <c r="Y32" i="45" s="1"/>
  <c r="Z32" i="45" s="1"/>
  <c r="AA32" i="45" s="1"/>
  <c r="AB32" i="45" s="1"/>
  <c r="AC32" i="45" s="1"/>
  <c r="AD32" i="45" s="1"/>
  <c r="AE32" i="45" s="1"/>
  <c r="AF32" i="45" s="1"/>
  <c r="AG32" i="45" s="1"/>
  <c r="E28" i="74" s="1"/>
  <c r="D33" i="45"/>
  <c r="E33" i="45" s="1"/>
  <c r="F33" i="45" s="1"/>
  <c r="G33" i="45" s="1"/>
  <c r="H33" i="45" s="1"/>
  <c r="I33" i="45" s="1"/>
  <c r="J33" i="45" s="1"/>
  <c r="K33" i="45" s="1"/>
  <c r="L33" i="45" s="1"/>
  <c r="M33" i="45" s="1"/>
  <c r="N33" i="45" s="1"/>
  <c r="O33" i="45" s="1"/>
  <c r="P33" i="45" s="1"/>
  <c r="Q33" i="45" s="1"/>
  <c r="R33" i="45" s="1"/>
  <c r="S33" i="45" s="1"/>
  <c r="T33" i="45" s="1"/>
  <c r="U33" i="45" s="1"/>
  <c r="V33" i="45" s="1"/>
  <c r="W33" i="45" s="1"/>
  <c r="X33" i="45" s="1"/>
  <c r="Y33" i="45" s="1"/>
  <c r="Z33" i="45" s="1"/>
  <c r="AA33" i="45" s="1"/>
  <c r="AB33" i="45" s="1"/>
  <c r="AC33" i="45" s="1"/>
  <c r="AD33" i="45" s="1"/>
  <c r="AE33" i="45" s="1"/>
  <c r="AF33" i="45" s="1"/>
  <c r="AG33" i="45" s="1"/>
  <c r="E29" i="74" s="1"/>
  <c r="D34" i="45"/>
  <c r="E34" i="45" s="1"/>
  <c r="F34" i="45" s="1"/>
  <c r="G34" i="45" s="1"/>
  <c r="H34" i="45" s="1"/>
  <c r="I34" i="45" s="1"/>
  <c r="J34" i="45" s="1"/>
  <c r="K34" i="45" s="1"/>
  <c r="L34" i="45" s="1"/>
  <c r="M34" i="45" s="1"/>
  <c r="N34" i="45" s="1"/>
  <c r="O34" i="45" s="1"/>
  <c r="P34" i="45" s="1"/>
  <c r="Q34" i="45" s="1"/>
  <c r="R34" i="45" s="1"/>
  <c r="S34" i="45" s="1"/>
  <c r="T34" i="45" s="1"/>
  <c r="U34" i="45" s="1"/>
  <c r="V34" i="45" s="1"/>
  <c r="W34" i="45" s="1"/>
  <c r="X34" i="45" s="1"/>
  <c r="Y34" i="45" s="1"/>
  <c r="Z34" i="45" s="1"/>
  <c r="AA34" i="45" s="1"/>
  <c r="AB34" i="45" s="1"/>
  <c r="AC34" i="45" s="1"/>
  <c r="AD34" i="45" s="1"/>
  <c r="AE34" i="45" s="1"/>
  <c r="AF34" i="45" s="1"/>
  <c r="AG34" i="45" s="1"/>
  <c r="E30" i="74" s="1"/>
  <c r="BN131" i="2" l="1"/>
  <c r="AN131" i="2"/>
  <c r="CA131" i="2"/>
  <c r="BA131" i="2"/>
  <c r="CN131" i="2"/>
  <c r="BN109" i="2"/>
  <c r="BH109" i="2" s="1"/>
  <c r="F115" i="3" s="1"/>
  <c r="R115" i="3" s="1"/>
  <c r="CN109" i="2"/>
  <c r="BA109" i="2"/>
  <c r="AN109" i="2"/>
  <c r="CA109" i="2"/>
  <c r="BN98" i="2"/>
  <c r="BA98" i="2"/>
  <c r="AN98" i="2"/>
  <c r="CN98" i="2"/>
  <c r="CA98" i="2"/>
  <c r="BN87" i="2"/>
  <c r="BR87" i="2" s="1"/>
  <c r="AN87" i="2"/>
  <c r="CN87" i="2"/>
  <c r="CA87" i="2"/>
  <c r="BA87" i="2"/>
  <c r="BN76" i="2"/>
  <c r="BR76" i="2" s="1"/>
  <c r="CA76" i="2"/>
  <c r="AN76" i="2"/>
  <c r="CN76" i="2"/>
  <c r="BA76" i="2"/>
  <c r="BN65" i="2"/>
  <c r="BR65" i="2" s="1"/>
  <c r="CA65" i="2"/>
  <c r="AN65" i="2"/>
  <c r="BA65" i="2"/>
  <c r="CN65" i="2"/>
  <c r="CJ143" i="2"/>
  <c r="H140" i="4" s="1"/>
  <c r="Q140" i="4" s="1"/>
  <c r="BI154" i="2"/>
  <c r="G164" i="3" s="1"/>
  <c r="S164" i="3" s="1"/>
  <c r="BH154" i="2"/>
  <c r="F164" i="3" s="1"/>
  <c r="R164" i="3" s="1"/>
  <c r="BJ154" i="2"/>
  <c r="H164" i="3" s="1"/>
  <c r="T164" i="3" s="1"/>
  <c r="BK154" i="2"/>
  <c r="I164" i="3" s="1"/>
  <c r="U164" i="3" s="1"/>
  <c r="BL154" i="2"/>
  <c r="J164" i="3" s="1"/>
  <c r="V164" i="3" s="1"/>
  <c r="BI155" i="2"/>
  <c r="G165" i="3" s="1"/>
  <c r="S165" i="3" s="1"/>
  <c r="BH155" i="2"/>
  <c r="F165" i="3" s="1"/>
  <c r="R165" i="3" s="1"/>
  <c r="BM155" i="2"/>
  <c r="K165" i="3" s="1"/>
  <c r="W165" i="3" s="1"/>
  <c r="BL155" i="2"/>
  <c r="J165" i="3" s="1"/>
  <c r="V165" i="3" s="1"/>
  <c r="BK155" i="2"/>
  <c r="I165" i="3" s="1"/>
  <c r="U165" i="3" s="1"/>
  <c r="BJ155" i="2"/>
  <c r="H165" i="3" s="1"/>
  <c r="T165" i="3" s="1"/>
  <c r="E13" i="74"/>
  <c r="L13" i="74" s="1"/>
  <c r="AG11" i="45"/>
  <c r="D71" i="74"/>
  <c r="AB20" i="75"/>
  <c r="D63" i="74"/>
  <c r="D12" i="75"/>
  <c r="D141" i="45"/>
  <c r="F47" i="74" s="1"/>
  <c r="T141" i="45"/>
  <c r="U141" i="45" s="1"/>
  <c r="V141" i="45" s="1"/>
  <c r="W141" i="45" s="1"/>
  <c r="O128" i="45"/>
  <c r="P128" i="45" s="1"/>
  <c r="Q128" i="45" s="1"/>
  <c r="R128" i="45" s="1"/>
  <c r="C48" i="53"/>
  <c r="C50" i="53" s="1"/>
  <c r="C48" i="55"/>
  <c r="C50" i="55" s="1"/>
  <c r="C48" i="57"/>
  <c r="C50" i="57" s="1"/>
  <c r="E270" i="45"/>
  <c r="D281" i="45"/>
  <c r="E268" i="45"/>
  <c r="D279" i="45"/>
  <c r="E294" i="45"/>
  <c r="D70" i="67"/>
  <c r="D121" i="67"/>
  <c r="D87" i="67"/>
  <c r="D104" i="67"/>
  <c r="D54" i="67"/>
  <c r="E267" i="45"/>
  <c r="D278" i="45"/>
  <c r="D61" i="55" s="1"/>
  <c r="D60" i="66"/>
  <c r="D59" i="64"/>
  <c r="D104" i="65"/>
  <c r="D121" i="65"/>
  <c r="D70" i="65"/>
  <c r="D87" i="65"/>
  <c r="D54" i="65"/>
  <c r="D277" i="45"/>
  <c r="D59" i="63"/>
  <c r="C48" i="52"/>
  <c r="C50" i="52" s="1"/>
  <c r="C48" i="51"/>
  <c r="C50" i="51" s="1"/>
  <c r="D122" i="62"/>
  <c r="E273" i="45"/>
  <c r="E60" i="58" s="1"/>
  <c r="D284" i="45"/>
  <c r="D61" i="65" s="1"/>
  <c r="D60" i="65"/>
  <c r="D87" i="66"/>
  <c r="D104" i="66"/>
  <c r="D70" i="66"/>
  <c r="D121" i="66"/>
  <c r="D54" i="66"/>
  <c r="D121" i="64"/>
  <c r="D87" i="64"/>
  <c r="D70" i="64"/>
  <c r="D104" i="64"/>
  <c r="D156" i="62"/>
  <c r="E265" i="45"/>
  <c r="E59" i="51" s="1"/>
  <c r="D276" i="45"/>
  <c r="D60" i="51" s="1"/>
  <c r="D104" i="61"/>
  <c r="D70" i="63"/>
  <c r="D121" i="63"/>
  <c r="D87" i="63"/>
  <c r="D104" i="63"/>
  <c r="E272" i="45"/>
  <c r="D283" i="45"/>
  <c r="D61" i="67" s="1"/>
  <c r="D60" i="67"/>
  <c r="E271" i="45"/>
  <c r="D282" i="45"/>
  <c r="D61" i="52" s="1"/>
  <c r="C48" i="58"/>
  <c r="C50" i="58" s="1"/>
  <c r="K152" i="3"/>
  <c r="W152" i="3" s="1"/>
  <c r="CM154" i="2"/>
  <c r="BM154" i="2"/>
  <c r="K164" i="3" s="1"/>
  <c r="W164" i="3" s="1"/>
  <c r="D61" i="57"/>
  <c r="C61" i="57"/>
  <c r="C61" i="55"/>
  <c r="C61" i="58"/>
  <c r="C61" i="52"/>
  <c r="D128" i="45"/>
  <c r="E128" i="45" s="1"/>
  <c r="C132" i="45"/>
  <c r="C131" i="45"/>
  <c r="D46" i="74" s="1"/>
  <c r="C134" i="45"/>
  <c r="C136" i="45"/>
  <c r="C137" i="45"/>
  <c r="C135" i="45"/>
  <c r="C132" i="52" s="1"/>
  <c r="C133" i="45"/>
  <c r="C129" i="45"/>
  <c r="C130" i="45"/>
  <c r="E305" i="45"/>
  <c r="D155" i="67"/>
  <c r="D55" i="67"/>
  <c r="E195" i="45"/>
  <c r="D57" i="65"/>
  <c r="E196" i="45"/>
  <c r="D57" i="55"/>
  <c r="E166" i="45"/>
  <c r="D56" i="67"/>
  <c r="D69" i="67" s="1"/>
  <c r="E163" i="45"/>
  <c r="D56" i="65"/>
  <c r="D69" i="65" s="1"/>
  <c r="E165" i="45"/>
  <c r="D56" i="66"/>
  <c r="D69" i="66" s="1"/>
  <c r="I161" i="45"/>
  <c r="H56" i="57"/>
  <c r="BH131" i="2"/>
  <c r="F139" i="3" s="1"/>
  <c r="R139" i="3" s="1"/>
  <c r="BR131" i="2"/>
  <c r="BP131" i="2"/>
  <c r="BO131" i="2"/>
  <c r="BO109" i="2"/>
  <c r="BI109" i="2" s="1"/>
  <c r="G115" i="3" s="1"/>
  <c r="S115" i="3" s="1"/>
  <c r="BR109" i="2"/>
  <c r="BP109" i="2"/>
  <c r="BJ109" i="2" s="1"/>
  <c r="H115" i="3" s="1"/>
  <c r="T115" i="3" s="1"/>
  <c r="BP65" i="2"/>
  <c r="BH76" i="2"/>
  <c r="F79" i="3" s="1"/>
  <c r="R79" i="3" s="1"/>
  <c r="BO76" i="2"/>
  <c r="BO98" i="2"/>
  <c r="BI98" i="2" s="1"/>
  <c r="G103" i="3" s="1"/>
  <c r="S103" i="3" s="1"/>
  <c r="BP98" i="2"/>
  <c r="BJ98" i="2" s="1"/>
  <c r="H103" i="3" s="1"/>
  <c r="T103" i="3" s="1"/>
  <c r="BH98" i="2"/>
  <c r="F103" i="3" s="1"/>
  <c r="R103" i="3" s="1"/>
  <c r="BR98" i="2"/>
  <c r="D54" i="55"/>
  <c r="D60" i="55"/>
  <c r="D60" i="58"/>
  <c r="C60" i="58"/>
  <c r="D54" i="58"/>
  <c r="BH87" i="2"/>
  <c r="F91" i="3" s="1"/>
  <c r="R91" i="3" s="1"/>
  <c r="X164" i="52"/>
  <c r="Y164" i="52" s="1"/>
  <c r="Z164" i="52" s="1"/>
  <c r="AA164" i="52" s="1"/>
  <c r="AB164" i="52" s="1"/>
  <c r="AC164" i="52" s="1"/>
  <c r="AD164" i="52" s="1"/>
  <c r="AE164" i="52" s="1"/>
  <c r="AF164" i="52" s="1"/>
  <c r="AG164" i="52" s="1"/>
  <c r="D54" i="57"/>
  <c r="D60" i="57"/>
  <c r="D60" i="52"/>
  <c r="D54" i="52"/>
  <c r="D55" i="52"/>
  <c r="C60" i="51"/>
  <c r="D59" i="51"/>
  <c r="C59" i="51"/>
  <c r="C81" i="62"/>
  <c r="C7" i="62"/>
  <c r="E269" i="45"/>
  <c r="E280" i="45" s="1"/>
  <c r="E60" i="62" s="1"/>
  <c r="E122" i="62" s="1"/>
  <c r="D59" i="62"/>
  <c r="C155" i="62"/>
  <c r="C138" i="62"/>
  <c r="D121" i="62"/>
  <c r="D70" i="62"/>
  <c r="D87" i="62"/>
  <c r="D104" i="62"/>
  <c r="E187" i="45"/>
  <c r="D56" i="62"/>
  <c r="E266" i="45"/>
  <c r="D59" i="61"/>
  <c r="D121" i="61"/>
  <c r="D70" i="61"/>
  <c r="D87" i="61"/>
  <c r="E185" i="45"/>
  <c r="D56" i="61"/>
  <c r="D299" i="45"/>
  <c r="E299" i="45" s="1"/>
  <c r="C155" i="61"/>
  <c r="C138" i="61"/>
  <c r="I153" i="45"/>
  <c r="H55" i="61"/>
  <c r="H69" i="61" s="1"/>
  <c r="E304" i="45"/>
  <c r="E55" i="52" s="1"/>
  <c r="D155" i="52"/>
  <c r="D138" i="52"/>
  <c r="E289" i="45"/>
  <c r="D121" i="55"/>
  <c r="D87" i="55"/>
  <c r="D70" i="55"/>
  <c r="D104" i="55"/>
  <c r="E288" i="45"/>
  <c r="E158" i="45"/>
  <c r="E55" i="51" s="1"/>
  <c r="D69" i="51"/>
  <c r="D302" i="45"/>
  <c r="D155" i="65" s="1"/>
  <c r="D300" i="45"/>
  <c r="C138" i="55"/>
  <c r="C155" i="55"/>
  <c r="E160" i="45"/>
  <c r="E56" i="52" s="1"/>
  <c r="D69" i="52"/>
  <c r="E159" i="45"/>
  <c r="E55" i="53" s="1"/>
  <c r="D69" i="53"/>
  <c r="D194" i="45"/>
  <c r="D57" i="58" s="1"/>
  <c r="C57" i="58"/>
  <c r="C103" i="58" s="1"/>
  <c r="D70" i="57"/>
  <c r="D104" i="57"/>
  <c r="D121" i="57"/>
  <c r="D87" i="57"/>
  <c r="D298" i="45"/>
  <c r="C155" i="51"/>
  <c r="C138" i="51"/>
  <c r="E164" i="45"/>
  <c r="E56" i="55" s="1"/>
  <c r="D69" i="55"/>
  <c r="D193" i="45"/>
  <c r="D57" i="57" s="1"/>
  <c r="C57" i="57"/>
  <c r="E292" i="45"/>
  <c r="E70" i="53" s="1"/>
  <c r="D104" i="53"/>
  <c r="D121" i="53"/>
  <c r="D306" i="45"/>
  <c r="C138" i="58"/>
  <c r="E293" i="45"/>
  <c r="E54" i="52" s="1"/>
  <c r="D87" i="53"/>
  <c r="D121" i="52"/>
  <c r="D87" i="52"/>
  <c r="D70" i="52"/>
  <c r="D104" i="52"/>
  <c r="C138" i="52"/>
  <c r="C155" i="52"/>
  <c r="C155" i="38"/>
  <c r="E162" i="45"/>
  <c r="E56" i="58" s="1"/>
  <c r="D69" i="58"/>
  <c r="D191" i="45"/>
  <c r="D56" i="53" s="1"/>
  <c r="C56" i="53"/>
  <c r="C103" i="53" s="1"/>
  <c r="D190" i="45"/>
  <c r="D56" i="51" s="1"/>
  <c r="C120" i="52"/>
  <c r="E295" i="45"/>
  <c r="E54" i="58" s="1"/>
  <c r="D104" i="58"/>
  <c r="D121" i="58"/>
  <c r="D87" i="58"/>
  <c r="D70" i="58"/>
  <c r="D303" i="45"/>
  <c r="C155" i="53"/>
  <c r="C138" i="53"/>
  <c r="D69" i="57"/>
  <c r="C120" i="55"/>
  <c r="C86" i="55"/>
  <c r="D189" i="45"/>
  <c r="D56" i="64" s="1"/>
  <c r="C155" i="58"/>
  <c r="C155" i="57"/>
  <c r="C138" i="57"/>
  <c r="C81" i="57"/>
  <c r="C89" i="57" s="1"/>
  <c r="C7" i="57"/>
  <c r="D192" i="45"/>
  <c r="D57" i="52" s="1"/>
  <c r="D188" i="45"/>
  <c r="D56" i="63" s="1"/>
  <c r="E287" i="45"/>
  <c r="D121" i="51"/>
  <c r="D87" i="51"/>
  <c r="D104" i="51"/>
  <c r="D70" i="51"/>
  <c r="C60" i="52"/>
  <c r="C54" i="52"/>
  <c r="C55" i="52"/>
  <c r="C54" i="58"/>
  <c r="C55" i="58"/>
  <c r="A194" i="58"/>
  <c r="A179" i="58"/>
  <c r="B170" i="58"/>
  <c r="A177" i="58"/>
  <c r="B168" i="58"/>
  <c r="A193" i="58"/>
  <c r="B169" i="58"/>
  <c r="A192" i="58"/>
  <c r="B165" i="58"/>
  <c r="C77" i="58"/>
  <c r="C72" i="58"/>
  <c r="C66" i="58"/>
  <c r="C74" i="58" s="1"/>
  <c r="C69" i="58"/>
  <c r="H37" i="58"/>
  <c r="G37" i="58"/>
  <c r="F37" i="58"/>
  <c r="D37" i="58"/>
  <c r="C37" i="58"/>
  <c r="A194" i="57"/>
  <c r="A179" i="57"/>
  <c r="B170" i="57"/>
  <c r="A177" i="57"/>
  <c r="B168" i="57"/>
  <c r="A193" i="57"/>
  <c r="B169" i="57"/>
  <c r="A192" i="57"/>
  <c r="B165" i="57"/>
  <c r="C77" i="57"/>
  <c r="C72" i="57"/>
  <c r="C66" i="57"/>
  <c r="C74" i="57" s="1"/>
  <c r="C69" i="57"/>
  <c r="C60" i="57"/>
  <c r="C55" i="57"/>
  <c r="C54" i="57"/>
  <c r="H38" i="57"/>
  <c r="G38" i="57"/>
  <c r="F38" i="57"/>
  <c r="D38" i="57"/>
  <c r="C38" i="57"/>
  <c r="B170" i="55"/>
  <c r="A179" i="55"/>
  <c r="A194" i="55"/>
  <c r="B169" i="55"/>
  <c r="A193" i="55"/>
  <c r="A177" i="55"/>
  <c r="B168" i="55"/>
  <c r="B165" i="55"/>
  <c r="A192" i="55"/>
  <c r="C72" i="55"/>
  <c r="C77" i="55"/>
  <c r="C66" i="55"/>
  <c r="C74" i="55" s="1"/>
  <c r="C69" i="55"/>
  <c r="C54" i="55"/>
  <c r="C103" i="55"/>
  <c r="C60" i="55"/>
  <c r="C55" i="55"/>
  <c r="H37" i="55"/>
  <c r="G37" i="55"/>
  <c r="F37" i="55"/>
  <c r="D37" i="55"/>
  <c r="C37" i="55"/>
  <c r="B170" i="53"/>
  <c r="A179" i="53"/>
  <c r="A194" i="53"/>
  <c r="A177" i="53"/>
  <c r="B168" i="53"/>
  <c r="A193" i="53"/>
  <c r="B169" i="53"/>
  <c r="A192" i="53"/>
  <c r="B165" i="53"/>
  <c r="C72" i="53"/>
  <c r="C77" i="53"/>
  <c r="C66" i="53"/>
  <c r="C74" i="53" s="1"/>
  <c r="C69" i="53"/>
  <c r="H37" i="53"/>
  <c r="G37" i="53"/>
  <c r="F37" i="53"/>
  <c r="D37" i="53"/>
  <c r="C37" i="53"/>
  <c r="C68" i="53" s="1"/>
  <c r="A194" i="52"/>
  <c r="A179" i="52"/>
  <c r="B170" i="52"/>
  <c r="A177" i="52"/>
  <c r="B168" i="52"/>
  <c r="A193" i="52"/>
  <c r="B169" i="52"/>
  <c r="A192" i="52"/>
  <c r="B165" i="52"/>
  <c r="C72" i="52"/>
  <c r="C77" i="52"/>
  <c r="C66" i="52"/>
  <c r="C74" i="52" s="1"/>
  <c r="C69" i="52"/>
  <c r="H38" i="52"/>
  <c r="G38" i="52"/>
  <c r="F38" i="52"/>
  <c r="D38" i="52"/>
  <c r="C38" i="52"/>
  <c r="F38" i="51"/>
  <c r="A194" i="51"/>
  <c r="A179" i="51"/>
  <c r="B170" i="51"/>
  <c r="A177" i="51"/>
  <c r="B168" i="51"/>
  <c r="A193" i="51"/>
  <c r="B169" i="51"/>
  <c r="A192" i="51"/>
  <c r="B165" i="51"/>
  <c r="C72" i="51"/>
  <c r="C77" i="51"/>
  <c r="C66" i="51"/>
  <c r="C74" i="51" s="1"/>
  <c r="C69" i="51"/>
  <c r="H38" i="51"/>
  <c r="G38" i="51"/>
  <c r="D38" i="51"/>
  <c r="C38" i="51"/>
  <c r="E291" i="45"/>
  <c r="E54" i="57" s="1"/>
  <c r="D70" i="38"/>
  <c r="D104" i="38"/>
  <c r="D87" i="38"/>
  <c r="D121" i="38"/>
  <c r="D186" i="45"/>
  <c r="D56" i="38" s="1"/>
  <c r="D197" i="45"/>
  <c r="D198" i="45"/>
  <c r="T128" i="45"/>
  <c r="U128" i="45" s="1"/>
  <c r="V128" i="45" s="1"/>
  <c r="W128" i="45" s="1"/>
  <c r="X128" i="45" s="1"/>
  <c r="J45" i="74" s="1"/>
  <c r="BC131" i="2" l="1"/>
  <c r="AW131" i="2" s="1"/>
  <c r="H139" i="77" s="1"/>
  <c r="T139" i="77" s="1"/>
  <c r="BB131" i="2"/>
  <c r="AV131" i="2" s="1"/>
  <c r="G139" i="77" s="1"/>
  <c r="S139" i="77" s="1"/>
  <c r="BE131" i="2"/>
  <c r="AY131" i="2" s="1"/>
  <c r="J139" i="77" s="1"/>
  <c r="V139" i="77" s="1"/>
  <c r="AU131" i="2"/>
  <c r="F139" i="77" s="1"/>
  <c r="R139" i="77" s="1"/>
  <c r="CB131" i="2"/>
  <c r="BV131" i="2" s="1"/>
  <c r="G139" i="78" s="1"/>
  <c r="S139" i="78" s="1"/>
  <c r="CC131" i="2"/>
  <c r="BW131" i="2" s="1"/>
  <c r="H139" i="78" s="1"/>
  <c r="T139" i="78" s="1"/>
  <c r="CE131" i="2"/>
  <c r="BY131" i="2" s="1"/>
  <c r="J139" i="78" s="1"/>
  <c r="V139" i="78" s="1"/>
  <c r="BU131" i="2"/>
  <c r="F139" i="78" s="1"/>
  <c r="R139" i="78" s="1"/>
  <c r="AR131" i="2"/>
  <c r="AL131" i="2" s="1"/>
  <c r="J139" i="79" s="1"/>
  <c r="V139" i="79" s="1"/>
  <c r="AO131" i="2"/>
  <c r="AI131" i="2" s="1"/>
  <c r="G139" i="79" s="1"/>
  <c r="S139" i="79" s="1"/>
  <c r="AP131" i="2"/>
  <c r="AJ131" i="2" s="1"/>
  <c r="H139" i="79" s="1"/>
  <c r="T139" i="79" s="1"/>
  <c r="AH131" i="2"/>
  <c r="F139" i="79" s="1"/>
  <c r="R139" i="79" s="1"/>
  <c r="CB109" i="2"/>
  <c r="BV109" i="2" s="1"/>
  <c r="G115" i="78" s="1"/>
  <c r="S115" i="78" s="1"/>
  <c r="CC109" i="2"/>
  <c r="BW109" i="2" s="1"/>
  <c r="H115" i="78" s="1"/>
  <c r="T115" i="78" s="1"/>
  <c r="CE109" i="2"/>
  <c r="BY109" i="2" s="1"/>
  <c r="J115" i="78" s="1"/>
  <c r="V115" i="78" s="1"/>
  <c r="BU109" i="2"/>
  <c r="F115" i="78" s="1"/>
  <c r="R115" i="78" s="1"/>
  <c r="AO109" i="2"/>
  <c r="AI109" i="2" s="1"/>
  <c r="G115" i="79" s="1"/>
  <c r="S115" i="79" s="1"/>
  <c r="AP109" i="2"/>
  <c r="AJ109" i="2" s="1"/>
  <c r="H115" i="79" s="1"/>
  <c r="T115" i="79" s="1"/>
  <c r="AR109" i="2"/>
  <c r="AL109" i="2" s="1"/>
  <c r="J115" i="79" s="1"/>
  <c r="V115" i="79" s="1"/>
  <c r="AH109" i="2"/>
  <c r="F115" i="79" s="1"/>
  <c r="R115" i="79" s="1"/>
  <c r="BE109" i="2"/>
  <c r="AY109" i="2" s="1"/>
  <c r="J115" i="77" s="1"/>
  <c r="V115" i="77" s="1"/>
  <c r="BB109" i="2"/>
  <c r="AV109" i="2" s="1"/>
  <c r="G115" i="77" s="1"/>
  <c r="S115" i="77" s="1"/>
  <c r="BC109" i="2"/>
  <c r="AW109" i="2" s="1"/>
  <c r="H115" i="77" s="1"/>
  <c r="T115" i="77" s="1"/>
  <c r="AU109" i="2"/>
  <c r="F115" i="77" s="1"/>
  <c r="R115" i="77" s="1"/>
  <c r="CB98" i="2"/>
  <c r="BV98" i="2" s="1"/>
  <c r="G103" i="78" s="1"/>
  <c r="S103" i="78" s="1"/>
  <c r="CE98" i="2"/>
  <c r="BY98" i="2" s="1"/>
  <c r="J103" i="78" s="1"/>
  <c r="V103" i="78" s="1"/>
  <c r="CC98" i="2"/>
  <c r="BW98" i="2" s="1"/>
  <c r="H103" i="78" s="1"/>
  <c r="T103" i="78" s="1"/>
  <c r="BU98" i="2"/>
  <c r="F103" i="78" s="1"/>
  <c r="R103" i="78" s="1"/>
  <c r="AP98" i="2"/>
  <c r="AJ98" i="2" s="1"/>
  <c r="H103" i="79" s="1"/>
  <c r="T103" i="79" s="1"/>
  <c r="AO98" i="2"/>
  <c r="AI98" i="2" s="1"/>
  <c r="G103" i="79" s="1"/>
  <c r="S103" i="79" s="1"/>
  <c r="AR98" i="2"/>
  <c r="AL98" i="2" s="1"/>
  <c r="J103" i="79" s="1"/>
  <c r="V103" i="79" s="1"/>
  <c r="AH98" i="2"/>
  <c r="F103" i="79" s="1"/>
  <c r="R103" i="79" s="1"/>
  <c r="BB98" i="2"/>
  <c r="AV98" i="2" s="1"/>
  <c r="G103" i="77" s="1"/>
  <c r="S103" i="77" s="1"/>
  <c r="BE98" i="2"/>
  <c r="AY98" i="2" s="1"/>
  <c r="J103" i="77" s="1"/>
  <c r="V103" i="77" s="1"/>
  <c r="BC98" i="2"/>
  <c r="AW98" i="2" s="1"/>
  <c r="H103" i="77" s="1"/>
  <c r="T103" i="77" s="1"/>
  <c r="AU98" i="2"/>
  <c r="F103" i="77" s="1"/>
  <c r="R103" i="77" s="1"/>
  <c r="BO87" i="2"/>
  <c r="BP87" i="2"/>
  <c r="AP87" i="2"/>
  <c r="AJ87" i="2" s="1"/>
  <c r="H91" i="79" s="1"/>
  <c r="T91" i="79" s="1"/>
  <c r="AR87" i="2"/>
  <c r="AL87" i="2" s="1"/>
  <c r="J91" i="79" s="1"/>
  <c r="V91" i="79" s="1"/>
  <c r="AO87" i="2"/>
  <c r="AI87" i="2" s="1"/>
  <c r="G91" i="79" s="1"/>
  <c r="S91" i="79" s="1"/>
  <c r="AH87" i="2"/>
  <c r="F91" i="79" s="1"/>
  <c r="R91" i="79" s="1"/>
  <c r="BB87" i="2"/>
  <c r="AV87" i="2" s="1"/>
  <c r="G91" i="77" s="1"/>
  <c r="S91" i="77" s="1"/>
  <c r="BC87" i="2"/>
  <c r="AW87" i="2" s="1"/>
  <c r="H91" i="77" s="1"/>
  <c r="T91" i="77" s="1"/>
  <c r="BE87" i="2"/>
  <c r="AY87" i="2" s="1"/>
  <c r="J91" i="77" s="1"/>
  <c r="V91" i="77" s="1"/>
  <c r="AU87" i="2"/>
  <c r="F91" i="77" s="1"/>
  <c r="R91" i="77" s="1"/>
  <c r="CC87" i="2"/>
  <c r="BW87" i="2" s="1"/>
  <c r="H91" i="78" s="1"/>
  <c r="T91" i="78" s="1"/>
  <c r="CB87" i="2"/>
  <c r="BV87" i="2" s="1"/>
  <c r="G91" i="78" s="1"/>
  <c r="S91" i="78" s="1"/>
  <c r="CE87" i="2"/>
  <c r="BY87" i="2" s="1"/>
  <c r="J91" i="78" s="1"/>
  <c r="V91" i="78" s="1"/>
  <c r="BU87" i="2"/>
  <c r="F91" i="78" s="1"/>
  <c r="R91" i="78" s="1"/>
  <c r="CC76" i="2"/>
  <c r="BW76" i="2" s="1"/>
  <c r="H79" i="78" s="1"/>
  <c r="T79" i="78" s="1"/>
  <c r="CE76" i="2"/>
  <c r="BY76" i="2" s="1"/>
  <c r="J79" i="78" s="1"/>
  <c r="V79" i="78" s="1"/>
  <c r="CB76" i="2"/>
  <c r="BV76" i="2" s="1"/>
  <c r="G79" i="78" s="1"/>
  <c r="S79" i="78" s="1"/>
  <c r="BU76" i="2"/>
  <c r="F79" i="78" s="1"/>
  <c r="R79" i="78" s="1"/>
  <c r="BP76" i="2"/>
  <c r="AR76" i="2"/>
  <c r="AL76" i="2" s="1"/>
  <c r="J79" i="79" s="1"/>
  <c r="V79" i="79" s="1"/>
  <c r="AP76" i="2"/>
  <c r="AJ76" i="2" s="1"/>
  <c r="H79" i="79" s="1"/>
  <c r="T79" i="79" s="1"/>
  <c r="AO76" i="2"/>
  <c r="AI76" i="2" s="1"/>
  <c r="G79" i="79" s="1"/>
  <c r="S79" i="79" s="1"/>
  <c r="AH76" i="2"/>
  <c r="F79" i="79" s="1"/>
  <c r="R79" i="79" s="1"/>
  <c r="BC76" i="2"/>
  <c r="AW76" i="2" s="1"/>
  <c r="H79" i="77" s="1"/>
  <c r="T79" i="77" s="1"/>
  <c r="BB76" i="2"/>
  <c r="AV76" i="2" s="1"/>
  <c r="G79" i="77" s="1"/>
  <c r="S79" i="77" s="1"/>
  <c r="BE76" i="2"/>
  <c r="AY76" i="2" s="1"/>
  <c r="J79" i="77" s="1"/>
  <c r="V79" i="77" s="1"/>
  <c r="AU76" i="2"/>
  <c r="F79" i="77" s="1"/>
  <c r="R79" i="77" s="1"/>
  <c r="BH65" i="2"/>
  <c r="F67" i="3" s="1"/>
  <c r="R67" i="3" s="1"/>
  <c r="BO65" i="2"/>
  <c r="BB65" i="2"/>
  <c r="AV65" i="2" s="1"/>
  <c r="G67" i="77" s="1"/>
  <c r="S67" i="77" s="1"/>
  <c r="BC65" i="2"/>
  <c r="AW65" i="2" s="1"/>
  <c r="H67" i="77" s="1"/>
  <c r="T67" i="77" s="1"/>
  <c r="BE65" i="2"/>
  <c r="AY65" i="2" s="1"/>
  <c r="J67" i="77" s="1"/>
  <c r="V67" i="77" s="1"/>
  <c r="AU65" i="2"/>
  <c r="F67" i="77" s="1"/>
  <c r="R67" i="77" s="1"/>
  <c r="AO65" i="2"/>
  <c r="AI65" i="2" s="1"/>
  <c r="G67" i="79" s="1"/>
  <c r="S67" i="79" s="1"/>
  <c r="AP65" i="2"/>
  <c r="AJ65" i="2" s="1"/>
  <c r="H67" i="79" s="1"/>
  <c r="T67" i="79" s="1"/>
  <c r="AR65" i="2"/>
  <c r="AL65" i="2" s="1"/>
  <c r="J67" i="79" s="1"/>
  <c r="V67" i="79" s="1"/>
  <c r="AH65" i="2"/>
  <c r="F67" i="79" s="1"/>
  <c r="R67" i="79" s="1"/>
  <c r="CE65" i="2"/>
  <c r="BY65" i="2" s="1"/>
  <c r="J67" i="78" s="1"/>
  <c r="V67" i="78" s="1"/>
  <c r="CC65" i="2"/>
  <c r="BW65" i="2" s="1"/>
  <c r="H67" i="78" s="1"/>
  <c r="T67" i="78" s="1"/>
  <c r="CB65" i="2"/>
  <c r="BV65" i="2" s="1"/>
  <c r="G67" i="78" s="1"/>
  <c r="S67" i="78" s="1"/>
  <c r="BU65" i="2"/>
  <c r="F67" i="78" s="1"/>
  <c r="R67" i="78" s="1"/>
  <c r="CJ154" i="2"/>
  <c r="H151" i="4" s="1"/>
  <c r="Q151" i="4" s="1"/>
  <c r="CL87" i="2"/>
  <c r="E8" i="74"/>
  <c r="L8" i="74" s="1"/>
  <c r="Y128" i="45"/>
  <c r="Z128" i="45" s="1"/>
  <c r="AA128" i="45" s="1"/>
  <c r="AB128" i="45" s="1"/>
  <c r="AC128" i="45" s="1"/>
  <c r="K45" i="74" s="1"/>
  <c r="Y141" i="45"/>
  <c r="Z141" i="45" s="1"/>
  <c r="AA141" i="45" s="1"/>
  <c r="AB141" i="45" s="1"/>
  <c r="E141" i="45"/>
  <c r="F141" i="45" s="1"/>
  <c r="G141" i="45" s="1"/>
  <c r="H141" i="45" s="1"/>
  <c r="I141" i="45" s="1"/>
  <c r="G47" i="74" s="1"/>
  <c r="E60" i="57"/>
  <c r="E88" i="57" s="1"/>
  <c r="D61" i="58"/>
  <c r="D122" i="58" s="1"/>
  <c r="E61" i="57"/>
  <c r="E156" i="57" s="1"/>
  <c r="E156" i="62"/>
  <c r="E139" i="62"/>
  <c r="D122" i="67"/>
  <c r="D139" i="67"/>
  <c r="D156" i="67"/>
  <c r="F271" i="45"/>
  <c r="E282" i="45"/>
  <c r="E61" i="52" s="1"/>
  <c r="E139" i="52" s="1"/>
  <c r="F267" i="45"/>
  <c r="E278" i="45"/>
  <c r="E60" i="66"/>
  <c r="E59" i="64"/>
  <c r="E87" i="66"/>
  <c r="E104" i="66"/>
  <c r="E70" i="66"/>
  <c r="E121" i="66"/>
  <c r="E54" i="66"/>
  <c r="E121" i="64"/>
  <c r="E87" i="64"/>
  <c r="E104" i="64"/>
  <c r="E70" i="64"/>
  <c r="E60" i="52"/>
  <c r="E88" i="52" s="1"/>
  <c r="E54" i="55"/>
  <c r="E104" i="61"/>
  <c r="E104" i="63"/>
  <c r="E70" i="63"/>
  <c r="E121" i="63"/>
  <c r="E87" i="63"/>
  <c r="E104" i="65"/>
  <c r="E121" i="65"/>
  <c r="E70" i="65"/>
  <c r="E87" i="65"/>
  <c r="E54" i="65"/>
  <c r="D71" i="65"/>
  <c r="D88" i="65"/>
  <c r="D105" i="65"/>
  <c r="F268" i="45"/>
  <c r="E279" i="45"/>
  <c r="D61" i="66"/>
  <c r="D60" i="64"/>
  <c r="D88" i="67"/>
  <c r="D105" i="67"/>
  <c r="D71" i="67"/>
  <c r="F272" i="45"/>
  <c r="E283" i="45"/>
  <c r="E61" i="67" s="1"/>
  <c r="E60" i="67"/>
  <c r="D60" i="63"/>
  <c r="D60" i="61"/>
  <c r="E277" i="45"/>
  <c r="E59" i="63"/>
  <c r="F294" i="45"/>
  <c r="E104" i="67"/>
  <c r="E70" i="67"/>
  <c r="E121" i="67"/>
  <c r="E87" i="67"/>
  <c r="E54" i="67"/>
  <c r="F265" i="45"/>
  <c r="E276" i="45"/>
  <c r="E60" i="51" s="1"/>
  <c r="E122" i="51" s="1"/>
  <c r="D156" i="65"/>
  <c r="D122" i="65"/>
  <c r="D139" i="65"/>
  <c r="D105" i="64"/>
  <c r="D71" i="64"/>
  <c r="D88" i="64"/>
  <c r="D88" i="63"/>
  <c r="D105" i="63"/>
  <c r="D71" i="63"/>
  <c r="E60" i="55"/>
  <c r="E71" i="55" s="1"/>
  <c r="F273" i="45"/>
  <c r="E284" i="45"/>
  <c r="E60" i="65"/>
  <c r="D105" i="66"/>
  <c r="D88" i="66"/>
  <c r="D71" i="66"/>
  <c r="F270" i="45"/>
  <c r="E281" i="45"/>
  <c r="C156" i="51"/>
  <c r="C122" i="51"/>
  <c r="C139" i="51"/>
  <c r="C139" i="57"/>
  <c r="C156" i="57"/>
  <c r="C122" i="57"/>
  <c r="D156" i="52"/>
  <c r="D122" i="52"/>
  <c r="D139" i="52"/>
  <c r="C122" i="55"/>
  <c r="C139" i="55"/>
  <c r="C156" i="55"/>
  <c r="C122" i="52"/>
  <c r="C139" i="52"/>
  <c r="C156" i="52"/>
  <c r="D156" i="55"/>
  <c r="D122" i="55"/>
  <c r="D139" i="55"/>
  <c r="D156" i="57"/>
  <c r="D122" i="57"/>
  <c r="D139" i="57"/>
  <c r="D122" i="51"/>
  <c r="D139" i="51"/>
  <c r="D156" i="51"/>
  <c r="C156" i="58"/>
  <c r="C122" i="58"/>
  <c r="C139" i="58"/>
  <c r="D55" i="57"/>
  <c r="D138" i="67"/>
  <c r="D138" i="65"/>
  <c r="D55" i="65"/>
  <c r="D55" i="58"/>
  <c r="F305" i="45"/>
  <c r="E155" i="67"/>
  <c r="E55" i="67"/>
  <c r="D138" i="66"/>
  <c r="D155" i="66"/>
  <c r="D55" i="66"/>
  <c r="D138" i="64"/>
  <c r="D155" i="64"/>
  <c r="D155" i="63"/>
  <c r="D138" i="63"/>
  <c r="D55" i="55"/>
  <c r="E138" i="63"/>
  <c r="E155" i="63"/>
  <c r="J161" i="45"/>
  <c r="I56" i="57"/>
  <c r="D103" i="64"/>
  <c r="D86" i="64"/>
  <c r="D120" i="64"/>
  <c r="F165" i="45"/>
  <c r="E56" i="66"/>
  <c r="E69" i="66" s="1"/>
  <c r="E198" i="45"/>
  <c r="D57" i="67"/>
  <c r="E197" i="45"/>
  <c r="D57" i="66"/>
  <c r="F163" i="45"/>
  <c r="E56" i="65"/>
  <c r="E69" i="65" s="1"/>
  <c r="D120" i="63"/>
  <c r="D86" i="63"/>
  <c r="D103" i="63"/>
  <c r="F166" i="45"/>
  <c r="E56" i="67"/>
  <c r="E69" i="67" s="1"/>
  <c r="F196" i="45"/>
  <c r="E57" i="55"/>
  <c r="D86" i="65"/>
  <c r="D103" i="65"/>
  <c r="D120" i="65"/>
  <c r="F195" i="45"/>
  <c r="E57" i="65"/>
  <c r="CL76" i="2"/>
  <c r="BL76" i="2"/>
  <c r="J79" i="3" s="1"/>
  <c r="V79" i="3" s="1"/>
  <c r="C132" i="66"/>
  <c r="C10" i="66"/>
  <c r="C132" i="64"/>
  <c r="C10" i="64"/>
  <c r="CL109" i="2"/>
  <c r="BL109" i="2"/>
  <c r="J115" i="3" s="1"/>
  <c r="V115" i="3" s="1"/>
  <c r="C10" i="67"/>
  <c r="C132" i="67"/>
  <c r="BI65" i="2"/>
  <c r="G67" i="3" s="1"/>
  <c r="S67" i="3" s="1"/>
  <c r="C132" i="53"/>
  <c r="C135" i="53" s="1"/>
  <c r="C142" i="53" s="1"/>
  <c r="C10" i="53"/>
  <c r="BL65" i="2"/>
  <c r="J67" i="3" s="1"/>
  <c r="CL65" i="2"/>
  <c r="BI131" i="2"/>
  <c r="G139" i="3" s="1"/>
  <c r="S139" i="3" s="1"/>
  <c r="BJ65" i="2"/>
  <c r="H67" i="3" s="1"/>
  <c r="T67" i="3" s="1"/>
  <c r="BJ131" i="2"/>
  <c r="H139" i="3" s="1"/>
  <c r="T139" i="3" s="1"/>
  <c r="C132" i="63"/>
  <c r="C10" i="63"/>
  <c r="BI76" i="2"/>
  <c r="G79" i="3" s="1"/>
  <c r="S79" i="3" s="1"/>
  <c r="CL131" i="2"/>
  <c r="CI131" i="2" s="1"/>
  <c r="BL131" i="2"/>
  <c r="J139" i="3" s="1"/>
  <c r="C10" i="65"/>
  <c r="C132" i="65"/>
  <c r="BL98" i="2"/>
  <c r="J103" i="3" s="1"/>
  <c r="V103" i="3" s="1"/>
  <c r="CL98" i="2"/>
  <c r="BJ76" i="2"/>
  <c r="H79" i="3" s="1"/>
  <c r="T79" i="3" s="1"/>
  <c r="BI87" i="2"/>
  <c r="G91" i="3" s="1"/>
  <c r="S91" i="3" s="1"/>
  <c r="BJ87" i="2"/>
  <c r="H91" i="3" s="1"/>
  <c r="T91" i="3" s="1"/>
  <c r="BL87" i="2"/>
  <c r="J91" i="3" s="1"/>
  <c r="V91" i="3" s="1"/>
  <c r="C133" i="52"/>
  <c r="C145" i="52" s="1"/>
  <c r="C135" i="52"/>
  <c r="C142" i="52" s="1"/>
  <c r="D138" i="62"/>
  <c r="D155" i="62"/>
  <c r="F187" i="45"/>
  <c r="E56" i="62"/>
  <c r="D86" i="62"/>
  <c r="D103" i="62"/>
  <c r="D120" i="62"/>
  <c r="E121" i="62"/>
  <c r="E70" i="62"/>
  <c r="E87" i="62"/>
  <c r="E104" i="62"/>
  <c r="D71" i="62"/>
  <c r="D88" i="62"/>
  <c r="D105" i="62"/>
  <c r="F269" i="45"/>
  <c r="E59" i="62"/>
  <c r="C82" i="62"/>
  <c r="C94" i="62" s="1"/>
  <c r="C84" i="62"/>
  <c r="C91" i="62" s="1"/>
  <c r="C89" i="62"/>
  <c r="C93" i="62" s="1"/>
  <c r="C132" i="62"/>
  <c r="C10" i="62"/>
  <c r="D105" i="61"/>
  <c r="D88" i="61"/>
  <c r="D71" i="61"/>
  <c r="E121" i="61"/>
  <c r="E70" i="61"/>
  <c r="E87" i="61"/>
  <c r="C132" i="61"/>
  <c r="C10" i="61"/>
  <c r="E155" i="61"/>
  <c r="E138" i="61"/>
  <c r="J153" i="45"/>
  <c r="I55" i="61"/>
  <c r="I69" i="61" s="1"/>
  <c r="F185" i="45"/>
  <c r="E56" i="61"/>
  <c r="D86" i="61"/>
  <c r="D103" i="61"/>
  <c r="D120" i="61"/>
  <c r="D155" i="61"/>
  <c r="D138" i="61"/>
  <c r="F266" i="45"/>
  <c r="E59" i="61"/>
  <c r="E70" i="38"/>
  <c r="C86" i="52"/>
  <c r="C103" i="52"/>
  <c r="C120" i="58"/>
  <c r="C86" i="58"/>
  <c r="C84" i="57"/>
  <c r="C91" i="57" s="1"/>
  <c r="E121" i="38"/>
  <c r="E87" i="38"/>
  <c r="E104" i="38"/>
  <c r="C120" i="53"/>
  <c r="C86" i="53"/>
  <c r="E186" i="45"/>
  <c r="E56" i="38" s="1"/>
  <c r="C120" i="57"/>
  <c r="C103" i="57"/>
  <c r="C86" i="57"/>
  <c r="C103" i="51"/>
  <c r="C86" i="51"/>
  <c r="C120" i="51"/>
  <c r="E298" i="45"/>
  <c r="D138" i="51"/>
  <c r="D155" i="51"/>
  <c r="E104" i="57"/>
  <c r="E121" i="57"/>
  <c r="E87" i="57"/>
  <c r="E70" i="57"/>
  <c r="E194" i="45"/>
  <c r="E57" i="58" s="1"/>
  <c r="F287" i="45"/>
  <c r="E121" i="51"/>
  <c r="E104" i="51"/>
  <c r="E70" i="51"/>
  <c r="E87" i="51"/>
  <c r="E189" i="45"/>
  <c r="E56" i="64" s="1"/>
  <c r="F295" i="45"/>
  <c r="E70" i="58"/>
  <c r="E104" i="58"/>
  <c r="E121" i="58"/>
  <c r="E87" i="58"/>
  <c r="E193" i="45"/>
  <c r="E57" i="57" s="1"/>
  <c r="F160" i="45"/>
  <c r="F56" i="52" s="1"/>
  <c r="E69" i="52"/>
  <c r="F158" i="45"/>
  <c r="F55" i="51" s="1"/>
  <c r="E69" i="51"/>
  <c r="E188" i="45"/>
  <c r="E56" i="63" s="1"/>
  <c r="E190" i="45"/>
  <c r="E56" i="51" s="1"/>
  <c r="E192" i="45"/>
  <c r="E57" i="52" s="1"/>
  <c r="F293" i="45"/>
  <c r="F54" i="52" s="1"/>
  <c r="E87" i="53"/>
  <c r="E104" i="52"/>
  <c r="E121" i="52"/>
  <c r="E87" i="52"/>
  <c r="E70" i="52"/>
  <c r="F289" i="45"/>
  <c r="E121" i="55"/>
  <c r="E87" i="55"/>
  <c r="E104" i="55"/>
  <c r="E70" i="55"/>
  <c r="E69" i="57"/>
  <c r="E191" i="45"/>
  <c r="E56" i="53" s="1"/>
  <c r="F164" i="45"/>
  <c r="F56" i="55" s="1"/>
  <c r="E69" i="55"/>
  <c r="E300" i="45"/>
  <c r="D138" i="55"/>
  <c r="D155" i="55"/>
  <c r="D138" i="38"/>
  <c r="D155" i="38"/>
  <c r="F162" i="45"/>
  <c r="F56" i="58" s="1"/>
  <c r="E69" i="58"/>
  <c r="E306" i="45"/>
  <c r="D138" i="58"/>
  <c r="E303" i="45"/>
  <c r="D138" i="53"/>
  <c r="D155" i="53"/>
  <c r="F288" i="45"/>
  <c r="F159" i="45"/>
  <c r="F55" i="53" s="1"/>
  <c r="E69" i="53"/>
  <c r="E302" i="45"/>
  <c r="D155" i="58"/>
  <c r="D155" i="57"/>
  <c r="D138" i="57"/>
  <c r="F292" i="45"/>
  <c r="F70" i="53" s="1"/>
  <c r="E121" i="53"/>
  <c r="E104" i="53"/>
  <c r="F304" i="45"/>
  <c r="F55" i="52" s="1"/>
  <c r="E155" i="52"/>
  <c r="E138" i="52"/>
  <c r="C10" i="52"/>
  <c r="C10" i="51"/>
  <c r="C132" i="51"/>
  <c r="C132" i="57"/>
  <c r="C135" i="57" s="1"/>
  <c r="C10" i="57"/>
  <c r="C10" i="58"/>
  <c r="C132" i="58"/>
  <c r="C135" i="58" s="1"/>
  <c r="C10" i="55"/>
  <c r="C132" i="55"/>
  <c r="C135" i="55" s="1"/>
  <c r="C140" i="52"/>
  <c r="B179" i="58"/>
  <c r="A188" i="58"/>
  <c r="B188" i="58" s="1"/>
  <c r="B177" i="58"/>
  <c r="A187" i="58"/>
  <c r="B187" i="58" s="1"/>
  <c r="E71" i="58"/>
  <c r="E88" i="58"/>
  <c r="E105" i="58"/>
  <c r="D71" i="58"/>
  <c r="D88" i="58"/>
  <c r="D105" i="58"/>
  <c r="C71" i="58"/>
  <c r="C76" i="58" s="1"/>
  <c r="C88" i="58"/>
  <c r="C105" i="58"/>
  <c r="C153" i="58"/>
  <c r="C160" i="58" s="1"/>
  <c r="C136" i="58"/>
  <c r="C143" i="58" s="1"/>
  <c r="C119" i="58"/>
  <c r="C126" i="58" s="1"/>
  <c r="C85" i="58"/>
  <c r="C92" i="58" s="1"/>
  <c r="C67" i="58"/>
  <c r="C68" i="58"/>
  <c r="B179" i="57"/>
  <c r="A188" i="57"/>
  <c r="B188" i="57" s="1"/>
  <c r="B177" i="57"/>
  <c r="A187" i="57"/>
  <c r="B187" i="57" s="1"/>
  <c r="D71" i="57"/>
  <c r="D88" i="57"/>
  <c r="D105" i="57"/>
  <c r="C71" i="57"/>
  <c r="C76" i="57" s="1"/>
  <c r="C88" i="57"/>
  <c r="C105" i="57"/>
  <c r="C153" i="57"/>
  <c r="C160" i="57" s="1"/>
  <c r="C136" i="57"/>
  <c r="C143" i="57" s="1"/>
  <c r="C119" i="57"/>
  <c r="C126" i="57" s="1"/>
  <c r="C85" i="57"/>
  <c r="C92" i="57" s="1"/>
  <c r="C67" i="57"/>
  <c r="C68" i="57"/>
  <c r="B179" i="55"/>
  <c r="A188" i="55"/>
  <c r="B188" i="55" s="1"/>
  <c r="A187" i="55"/>
  <c r="B187" i="55" s="1"/>
  <c r="B177" i="55"/>
  <c r="D71" i="55"/>
  <c r="D88" i="55"/>
  <c r="D105" i="55"/>
  <c r="C71" i="55"/>
  <c r="C76" i="55" s="1"/>
  <c r="C88" i="55"/>
  <c r="C105" i="55"/>
  <c r="C153" i="55"/>
  <c r="C160" i="55" s="1"/>
  <c r="C136" i="55"/>
  <c r="C143" i="55" s="1"/>
  <c r="C119" i="55"/>
  <c r="C126" i="55" s="1"/>
  <c r="C85" i="55"/>
  <c r="C92" i="55" s="1"/>
  <c r="C67" i="55"/>
  <c r="C68" i="55"/>
  <c r="B179" i="53"/>
  <c r="A188" i="53"/>
  <c r="B188" i="53" s="1"/>
  <c r="B177" i="53"/>
  <c r="A187" i="53"/>
  <c r="B187" i="53" s="1"/>
  <c r="C153" i="53"/>
  <c r="C160" i="53" s="1"/>
  <c r="C136" i="53"/>
  <c r="C143" i="53" s="1"/>
  <c r="C119" i="53"/>
  <c r="C126" i="53" s="1"/>
  <c r="C85" i="53"/>
  <c r="C92" i="53" s="1"/>
  <c r="C67" i="53"/>
  <c r="B179" i="52"/>
  <c r="A188" i="52"/>
  <c r="B188" i="52" s="1"/>
  <c r="B177" i="52"/>
  <c r="A186" i="52"/>
  <c r="B186" i="52" s="1"/>
  <c r="C153" i="52"/>
  <c r="C160" i="52" s="1"/>
  <c r="C136" i="52"/>
  <c r="C143" i="52" s="1"/>
  <c r="C119" i="52"/>
  <c r="C126" i="52" s="1"/>
  <c r="C85" i="52"/>
  <c r="C92" i="52" s="1"/>
  <c r="C67" i="52"/>
  <c r="C68" i="52"/>
  <c r="D71" i="52"/>
  <c r="D88" i="52"/>
  <c r="D105" i="52"/>
  <c r="C71" i="52"/>
  <c r="C76" i="52" s="1"/>
  <c r="C88" i="52"/>
  <c r="C105" i="52"/>
  <c r="C132" i="38"/>
  <c r="C135" i="38" s="1"/>
  <c r="C10" i="38"/>
  <c r="B179" i="51"/>
  <c r="A188" i="51"/>
  <c r="B188" i="51" s="1"/>
  <c r="B177" i="51"/>
  <c r="A186" i="51"/>
  <c r="B186" i="51" s="1"/>
  <c r="C153" i="51"/>
  <c r="C160" i="51" s="1"/>
  <c r="C136" i="51"/>
  <c r="C143" i="51" s="1"/>
  <c r="C119" i="51"/>
  <c r="C126" i="51" s="1"/>
  <c r="C85" i="51"/>
  <c r="C92" i="51" s="1"/>
  <c r="C67" i="51"/>
  <c r="C68" i="51"/>
  <c r="D71" i="51"/>
  <c r="D88" i="51"/>
  <c r="D105" i="51"/>
  <c r="E71" i="51"/>
  <c r="E88" i="51"/>
  <c r="E105" i="51"/>
  <c r="C71" i="51"/>
  <c r="C76" i="51" s="1"/>
  <c r="C88" i="51"/>
  <c r="C105" i="51"/>
  <c r="F299" i="45"/>
  <c r="F291" i="45"/>
  <c r="F54" i="57" s="1"/>
  <c r="CI109" i="2" l="1"/>
  <c r="G106" i="4" s="1"/>
  <c r="P106" i="4" s="1"/>
  <c r="CI87" i="2"/>
  <c r="G84" i="4" s="1"/>
  <c r="P84" i="4" s="1"/>
  <c r="CI98" i="2"/>
  <c r="G95" i="4" s="1"/>
  <c r="P95" i="4" s="1"/>
  <c r="CI65" i="2"/>
  <c r="G62" i="4" s="1"/>
  <c r="P62" i="4" s="1"/>
  <c r="CI76" i="2"/>
  <c r="G73" i="4" s="1"/>
  <c r="P73" i="4" s="1"/>
  <c r="E12" i="74"/>
  <c r="L12" i="74" s="1"/>
  <c r="E105" i="57"/>
  <c r="E71" i="57"/>
  <c r="J141" i="45"/>
  <c r="K141" i="45" s="1"/>
  <c r="L141" i="45" s="1"/>
  <c r="M141" i="45" s="1"/>
  <c r="N141" i="45" s="1"/>
  <c r="H47" i="74" s="1"/>
  <c r="AD141" i="45"/>
  <c r="AE141" i="45" s="1"/>
  <c r="AF141" i="45" s="1"/>
  <c r="AG141" i="45" s="1"/>
  <c r="AD128" i="45"/>
  <c r="AE128" i="45" s="1"/>
  <c r="AF128" i="45" s="1"/>
  <c r="AG128" i="45" s="1"/>
  <c r="D139" i="58"/>
  <c r="E139" i="57"/>
  <c r="D156" i="58"/>
  <c r="E122" i="57"/>
  <c r="E122" i="52"/>
  <c r="E156" i="52"/>
  <c r="E105" i="52"/>
  <c r="G268" i="45"/>
  <c r="F279" i="45"/>
  <c r="F104" i="61"/>
  <c r="F104" i="63"/>
  <c r="F70" i="63"/>
  <c r="F121" i="63"/>
  <c r="F87" i="63"/>
  <c r="E88" i="64"/>
  <c r="E105" i="64"/>
  <c r="E71" i="64"/>
  <c r="E71" i="66"/>
  <c r="E88" i="66"/>
  <c r="E105" i="66"/>
  <c r="G267" i="45"/>
  <c r="F278" i="45"/>
  <c r="F60" i="66"/>
  <c r="F59" i="64"/>
  <c r="F60" i="55"/>
  <c r="E71" i="52"/>
  <c r="E88" i="65"/>
  <c r="E105" i="65"/>
  <c r="E71" i="65"/>
  <c r="E71" i="67"/>
  <c r="E88" i="67"/>
  <c r="E105" i="67"/>
  <c r="E122" i="67"/>
  <c r="E156" i="67"/>
  <c r="E139" i="67"/>
  <c r="G272" i="45"/>
  <c r="F283" i="45"/>
  <c r="F61" i="67" s="1"/>
  <c r="F60" i="67"/>
  <c r="E156" i="51"/>
  <c r="G271" i="45"/>
  <c r="F282" i="45"/>
  <c r="F61" i="52" s="1"/>
  <c r="F60" i="52"/>
  <c r="G273" i="45"/>
  <c r="F284" i="45"/>
  <c r="F60" i="65"/>
  <c r="F60" i="58"/>
  <c r="E61" i="66"/>
  <c r="E60" i="64"/>
  <c r="E61" i="55"/>
  <c r="E105" i="55"/>
  <c r="E139" i="51"/>
  <c r="G270" i="45"/>
  <c r="F281" i="45"/>
  <c r="G294" i="45"/>
  <c r="F104" i="67"/>
  <c r="F121" i="67"/>
  <c r="F87" i="67"/>
  <c r="F70" i="67"/>
  <c r="F54" i="67"/>
  <c r="D122" i="64"/>
  <c r="D139" i="64"/>
  <c r="D156" i="64"/>
  <c r="D156" i="61"/>
  <c r="D122" i="61"/>
  <c r="D139" i="61"/>
  <c r="F104" i="65"/>
  <c r="F70" i="65"/>
  <c r="F121" i="65"/>
  <c r="F87" i="65"/>
  <c r="F54" i="65"/>
  <c r="F54" i="58"/>
  <c r="G265" i="45"/>
  <c r="F276" i="45"/>
  <c r="F60" i="51" s="1"/>
  <c r="F59" i="51"/>
  <c r="F277" i="45"/>
  <c r="F59" i="63"/>
  <c r="E88" i="55"/>
  <c r="E88" i="63"/>
  <c r="E105" i="63"/>
  <c r="E71" i="63"/>
  <c r="D139" i="66"/>
  <c r="D156" i="66"/>
  <c r="D122" i="66"/>
  <c r="F280" i="45"/>
  <c r="F60" i="57"/>
  <c r="E61" i="65"/>
  <c r="E61" i="58"/>
  <c r="D122" i="63"/>
  <c r="D156" i="63"/>
  <c r="D139" i="63"/>
  <c r="F104" i="66"/>
  <c r="F70" i="66"/>
  <c r="F121" i="66"/>
  <c r="F87" i="66"/>
  <c r="F54" i="66"/>
  <c r="F70" i="64"/>
  <c r="F87" i="64"/>
  <c r="F104" i="64"/>
  <c r="F121" i="64"/>
  <c r="F54" i="55"/>
  <c r="E60" i="63"/>
  <c r="E60" i="61"/>
  <c r="C133" i="53"/>
  <c r="C145" i="53" s="1"/>
  <c r="C140" i="53"/>
  <c r="E155" i="65"/>
  <c r="E55" i="57"/>
  <c r="E138" i="67"/>
  <c r="E138" i="65"/>
  <c r="E55" i="65"/>
  <c r="E55" i="58"/>
  <c r="G305" i="45"/>
  <c r="F155" i="67"/>
  <c r="F55" i="67"/>
  <c r="F138" i="63"/>
  <c r="F155" i="63"/>
  <c r="E138" i="66"/>
  <c r="E155" i="66"/>
  <c r="E55" i="66"/>
  <c r="E155" i="64"/>
  <c r="E138" i="64"/>
  <c r="E55" i="55"/>
  <c r="V139" i="3"/>
  <c r="D103" i="67"/>
  <c r="D86" i="67"/>
  <c r="D120" i="67"/>
  <c r="G166" i="45"/>
  <c r="F56" i="67"/>
  <c r="F69" i="67" s="1"/>
  <c r="F198" i="45"/>
  <c r="E57" i="67"/>
  <c r="E120" i="65"/>
  <c r="E86" i="65"/>
  <c r="E103" i="65"/>
  <c r="G195" i="45"/>
  <c r="F57" i="65"/>
  <c r="G165" i="45"/>
  <c r="F56" i="66"/>
  <c r="F69" i="66" s="1"/>
  <c r="E103" i="64"/>
  <c r="E86" i="64"/>
  <c r="E120" i="64"/>
  <c r="E86" i="63"/>
  <c r="E120" i="63"/>
  <c r="E103" i="63"/>
  <c r="G163" i="45"/>
  <c r="F56" i="65"/>
  <c r="F69" i="65" s="1"/>
  <c r="D120" i="66"/>
  <c r="D103" i="66"/>
  <c r="D86" i="66"/>
  <c r="G196" i="45"/>
  <c r="F57" i="55"/>
  <c r="F197" i="45"/>
  <c r="E57" i="66"/>
  <c r="K161" i="45"/>
  <c r="J56" i="57"/>
  <c r="C133" i="63"/>
  <c r="C145" i="63" s="1"/>
  <c r="C140" i="63"/>
  <c r="C135" i="63"/>
  <c r="C142" i="63" s="1"/>
  <c r="C133" i="65"/>
  <c r="C145" i="65" s="1"/>
  <c r="C140" i="65"/>
  <c r="C135" i="65"/>
  <c r="C142" i="65" s="1"/>
  <c r="C133" i="64"/>
  <c r="C145" i="64" s="1"/>
  <c r="C135" i="64"/>
  <c r="C142" i="64" s="1"/>
  <c r="C140" i="64"/>
  <c r="V67" i="3"/>
  <c r="C133" i="66"/>
  <c r="C145" i="66" s="1"/>
  <c r="C140" i="66"/>
  <c r="C135" i="66"/>
  <c r="C142" i="66" s="1"/>
  <c r="P129" i="4"/>
  <c r="G128" i="4"/>
  <c r="P128" i="4" s="1"/>
  <c r="C133" i="67"/>
  <c r="C145" i="67" s="1"/>
  <c r="C135" i="67"/>
  <c r="C142" i="67" s="1"/>
  <c r="C140" i="67"/>
  <c r="C133" i="51"/>
  <c r="C145" i="51" s="1"/>
  <c r="C135" i="51"/>
  <c r="C142" i="51" s="1"/>
  <c r="C95" i="62"/>
  <c r="C166" i="62" s="1"/>
  <c r="E88" i="62"/>
  <c r="E105" i="62"/>
  <c r="E71" i="62"/>
  <c r="G269" i="45"/>
  <c r="F59" i="62"/>
  <c r="E86" i="62"/>
  <c r="E103" i="62"/>
  <c r="E120" i="62"/>
  <c r="F121" i="62"/>
  <c r="F104" i="62"/>
  <c r="F70" i="62"/>
  <c r="F87" i="62"/>
  <c r="G187" i="45"/>
  <c r="F56" i="62"/>
  <c r="E155" i="62"/>
  <c r="E138" i="62"/>
  <c r="C133" i="62"/>
  <c r="C145" i="62" s="1"/>
  <c r="C140" i="62"/>
  <c r="C135" i="62"/>
  <c r="C142" i="62" s="1"/>
  <c r="E105" i="61"/>
  <c r="E71" i="61"/>
  <c r="E88" i="61"/>
  <c r="F121" i="61"/>
  <c r="F70" i="61"/>
  <c r="F87" i="61"/>
  <c r="C133" i="61"/>
  <c r="C145" i="61" s="1"/>
  <c r="C140" i="61"/>
  <c r="C135" i="61"/>
  <c r="C142" i="61" s="1"/>
  <c r="G266" i="45"/>
  <c r="F59" i="61"/>
  <c r="E120" i="61"/>
  <c r="E103" i="61"/>
  <c r="E86" i="61"/>
  <c r="G185" i="45"/>
  <c r="F56" i="61"/>
  <c r="K153" i="45"/>
  <c r="J55" i="61"/>
  <c r="J69" i="61" s="1"/>
  <c r="F155" i="61"/>
  <c r="F138" i="61"/>
  <c r="C93" i="57"/>
  <c r="G159" i="45"/>
  <c r="G55" i="53" s="1"/>
  <c r="F69" i="53"/>
  <c r="F306" i="45"/>
  <c r="E138" i="58"/>
  <c r="G288" i="45"/>
  <c r="D86" i="55"/>
  <c r="D120" i="55"/>
  <c r="D103" i="55"/>
  <c r="D120" i="57"/>
  <c r="D103" i="57"/>
  <c r="D86" i="57"/>
  <c r="F121" i="57"/>
  <c r="F87" i="57"/>
  <c r="F70" i="57"/>
  <c r="F104" i="57"/>
  <c r="F192" i="45"/>
  <c r="F57" i="52" s="1"/>
  <c r="F193" i="45"/>
  <c r="F57" i="57" s="1"/>
  <c r="G287" i="45"/>
  <c r="F121" i="51"/>
  <c r="F87" i="51"/>
  <c r="F104" i="51"/>
  <c r="F70" i="51"/>
  <c r="D86" i="58"/>
  <c r="D103" i="58"/>
  <c r="D120" i="58"/>
  <c r="G289" i="45"/>
  <c r="F87" i="55"/>
  <c r="F104" i="55"/>
  <c r="F70" i="55"/>
  <c r="F121" i="55"/>
  <c r="F70" i="38"/>
  <c r="F121" i="38"/>
  <c r="F87" i="38"/>
  <c r="F104" i="38"/>
  <c r="F194" i="45"/>
  <c r="F57" i="58" s="1"/>
  <c r="G304" i="45"/>
  <c r="G55" i="52" s="1"/>
  <c r="F155" i="52"/>
  <c r="F138" i="52"/>
  <c r="F300" i="45"/>
  <c r="E138" i="55"/>
  <c r="E155" i="55"/>
  <c r="E138" i="38"/>
  <c r="E155" i="38"/>
  <c r="D103" i="52"/>
  <c r="D86" i="52"/>
  <c r="D120" i="52"/>
  <c r="F302" i="45"/>
  <c r="E155" i="58"/>
  <c r="E155" i="57"/>
  <c r="E138" i="57"/>
  <c r="F190" i="45"/>
  <c r="F56" i="51" s="1"/>
  <c r="G164" i="45"/>
  <c r="G56" i="55" s="1"/>
  <c r="F69" i="55"/>
  <c r="G295" i="45"/>
  <c r="F70" i="58"/>
  <c r="F104" i="58"/>
  <c r="F121" i="58"/>
  <c r="F87" i="58"/>
  <c r="F298" i="45"/>
  <c r="E138" i="51"/>
  <c r="E155" i="51"/>
  <c r="D86" i="53"/>
  <c r="D103" i="53"/>
  <c r="D120" i="53"/>
  <c r="F188" i="45"/>
  <c r="F56" i="63" s="1"/>
  <c r="D103" i="51"/>
  <c r="D86" i="51"/>
  <c r="D120" i="51"/>
  <c r="F191" i="45"/>
  <c r="F56" i="53" s="1"/>
  <c r="F189" i="45"/>
  <c r="F56" i="64" s="1"/>
  <c r="G162" i="45"/>
  <c r="G56" i="58" s="1"/>
  <c r="F69" i="58"/>
  <c r="G158" i="45"/>
  <c r="G55" i="51" s="1"/>
  <c r="F69" i="51"/>
  <c r="G292" i="45"/>
  <c r="G70" i="53" s="1"/>
  <c r="F121" i="53"/>
  <c r="F104" i="53"/>
  <c r="F69" i="57"/>
  <c r="F303" i="45"/>
  <c r="E138" i="53"/>
  <c r="E155" i="53"/>
  <c r="G293" i="45"/>
  <c r="G54" i="52" s="1"/>
  <c r="F87" i="53"/>
  <c r="F104" i="52"/>
  <c r="F121" i="52"/>
  <c r="F87" i="52"/>
  <c r="F70" i="52"/>
  <c r="G160" i="45"/>
  <c r="G56" i="52" s="1"/>
  <c r="F69" i="52"/>
  <c r="F186" i="45"/>
  <c r="F56" i="38" s="1"/>
  <c r="C133" i="55"/>
  <c r="C145" i="55" s="1"/>
  <c r="C142" i="55"/>
  <c r="C140" i="55"/>
  <c r="C133" i="58"/>
  <c r="C145" i="58" s="1"/>
  <c r="C142" i="58"/>
  <c r="C140" i="58"/>
  <c r="C133" i="57"/>
  <c r="C145" i="57" s="1"/>
  <c r="C142" i="57"/>
  <c r="C140" i="57"/>
  <c r="C75" i="58"/>
  <c r="C78" i="58" s="1"/>
  <c r="C165" i="58" s="1"/>
  <c r="C75" i="57"/>
  <c r="C78" i="57" s="1"/>
  <c r="C165" i="57" s="1"/>
  <c r="C75" i="55"/>
  <c r="C78" i="55" s="1"/>
  <c r="C165" i="55" s="1"/>
  <c r="C75" i="53"/>
  <c r="C75" i="52"/>
  <c r="C78" i="52" s="1"/>
  <c r="C165" i="52" s="1"/>
  <c r="C140" i="51"/>
  <c r="C75" i="51"/>
  <c r="C78" i="51" s="1"/>
  <c r="C165" i="51" s="1"/>
  <c r="G299" i="45"/>
  <c r="G291" i="45"/>
  <c r="G54" i="57" s="1"/>
  <c r="E49" i="46"/>
  <c r="D49" i="46"/>
  <c r="F5" i="46" s="1"/>
  <c r="C63" i="38"/>
  <c r="E36" i="62"/>
  <c r="E37" i="62" s="1"/>
  <c r="C102" i="62" s="1"/>
  <c r="C109" i="62" s="1"/>
  <c r="E37" i="51"/>
  <c r="E37" i="52"/>
  <c r="E38" i="52" s="1"/>
  <c r="E36" i="53"/>
  <c r="E37" i="53" s="1"/>
  <c r="E36" i="55"/>
  <c r="E37" i="55" s="1"/>
  <c r="E37" i="57"/>
  <c r="E38" i="57" s="1"/>
  <c r="E36" i="58"/>
  <c r="E37" i="58" s="1"/>
  <c r="E45" i="46"/>
  <c r="E15" i="46" s="1"/>
  <c r="E33" i="65" s="1"/>
  <c r="D45" i="46"/>
  <c r="E5" i="46" s="1"/>
  <c r="E35" i="61" s="1"/>
  <c r="D22" i="45"/>
  <c r="E2" i="4"/>
  <c r="E2" i="3"/>
  <c r="D66" i="74" l="1"/>
  <c r="AB15" i="75"/>
  <c r="AC15" i="75" s="1"/>
  <c r="D97" i="74"/>
  <c r="AB46" i="75"/>
  <c r="D81" i="74"/>
  <c r="AB30" i="75"/>
  <c r="O141" i="45"/>
  <c r="P141" i="45" s="1"/>
  <c r="Q141" i="45" s="1"/>
  <c r="R141" i="45" s="1"/>
  <c r="E139" i="55"/>
  <c r="E156" i="55"/>
  <c r="E122" i="55"/>
  <c r="F60" i="62"/>
  <c r="F61" i="57"/>
  <c r="F71" i="65"/>
  <c r="F88" i="65"/>
  <c r="F105" i="65"/>
  <c r="F71" i="66"/>
  <c r="F88" i="66"/>
  <c r="F105" i="66"/>
  <c r="H270" i="45"/>
  <c r="G281" i="45"/>
  <c r="F105" i="67"/>
  <c r="F71" i="67"/>
  <c r="F88" i="67"/>
  <c r="G121" i="65"/>
  <c r="G70" i="65"/>
  <c r="G104" i="65"/>
  <c r="G87" i="65"/>
  <c r="G54" i="65"/>
  <c r="G54" i="58"/>
  <c r="F71" i="64"/>
  <c r="F105" i="64"/>
  <c r="F88" i="64"/>
  <c r="F61" i="65"/>
  <c r="F61" i="58"/>
  <c r="F61" i="66"/>
  <c r="F60" i="64"/>
  <c r="F61" i="55"/>
  <c r="E156" i="58"/>
  <c r="E122" i="58"/>
  <c r="E139" i="58"/>
  <c r="G104" i="61"/>
  <c r="G121" i="63"/>
  <c r="G104" i="63"/>
  <c r="G70" i="63"/>
  <c r="G87" i="63"/>
  <c r="E139" i="65"/>
  <c r="E156" i="65"/>
  <c r="E122" i="65"/>
  <c r="F122" i="51"/>
  <c r="F139" i="51"/>
  <c r="F156" i="51"/>
  <c r="H265" i="45"/>
  <c r="G276" i="45"/>
  <c r="G60" i="51" s="1"/>
  <c r="G59" i="51"/>
  <c r="F156" i="67"/>
  <c r="F139" i="67"/>
  <c r="F122" i="67"/>
  <c r="H272" i="45"/>
  <c r="G283" i="45"/>
  <c r="G61" i="67" s="1"/>
  <c r="G60" i="67"/>
  <c r="E139" i="61"/>
  <c r="E156" i="61"/>
  <c r="E122" i="61"/>
  <c r="H273" i="45"/>
  <c r="G284" i="45"/>
  <c r="G60" i="65"/>
  <c r="G60" i="58"/>
  <c r="H267" i="45"/>
  <c r="G278" i="45"/>
  <c r="G60" i="66"/>
  <c r="G59" i="64"/>
  <c r="G60" i="55"/>
  <c r="F71" i="63"/>
  <c r="F105" i="63"/>
  <c r="F88" i="63"/>
  <c r="H271" i="45"/>
  <c r="G282" i="45"/>
  <c r="G61" i="52" s="1"/>
  <c r="G60" i="52"/>
  <c r="G280" i="45"/>
  <c r="G60" i="57"/>
  <c r="F71" i="55"/>
  <c r="F88" i="55"/>
  <c r="F105" i="55"/>
  <c r="E122" i="63"/>
  <c r="E156" i="63"/>
  <c r="E139" i="63"/>
  <c r="H294" i="45"/>
  <c r="G104" i="67"/>
  <c r="G70" i="67"/>
  <c r="G121" i="67"/>
  <c r="G87" i="67"/>
  <c r="G54" i="67"/>
  <c r="F71" i="52"/>
  <c r="F88" i="52"/>
  <c r="F105" i="52"/>
  <c r="H268" i="45"/>
  <c r="G279" i="45"/>
  <c r="F60" i="63"/>
  <c r="F60" i="61"/>
  <c r="F105" i="51"/>
  <c r="F88" i="51"/>
  <c r="F71" i="51"/>
  <c r="G104" i="66"/>
  <c r="G70" i="66"/>
  <c r="G121" i="66"/>
  <c r="G87" i="66"/>
  <c r="G54" i="66"/>
  <c r="G70" i="64"/>
  <c r="G87" i="64"/>
  <c r="G104" i="64"/>
  <c r="G121" i="64"/>
  <c r="G54" i="55"/>
  <c r="E156" i="64"/>
  <c r="E139" i="64"/>
  <c r="E122" i="64"/>
  <c r="E156" i="66"/>
  <c r="E139" i="66"/>
  <c r="E122" i="66"/>
  <c r="G277" i="45"/>
  <c r="G59" i="63"/>
  <c r="F122" i="52"/>
  <c r="F139" i="52"/>
  <c r="F156" i="52"/>
  <c r="F138" i="65"/>
  <c r="F138" i="67"/>
  <c r="F55" i="65"/>
  <c r="F55" i="58"/>
  <c r="F155" i="65"/>
  <c r="F55" i="57"/>
  <c r="H305" i="45"/>
  <c r="G155" i="67"/>
  <c r="G55" i="67"/>
  <c r="G138" i="63"/>
  <c r="G155" i="63"/>
  <c r="F138" i="66"/>
  <c r="F155" i="66"/>
  <c r="F55" i="66"/>
  <c r="F155" i="64"/>
  <c r="F138" i="64"/>
  <c r="F55" i="55"/>
  <c r="E86" i="66"/>
  <c r="E120" i="66"/>
  <c r="E103" i="66"/>
  <c r="G197" i="45"/>
  <c r="F57" i="66"/>
  <c r="H196" i="45"/>
  <c r="G57" i="55"/>
  <c r="F86" i="63"/>
  <c r="F120" i="63"/>
  <c r="F103" i="63"/>
  <c r="L161" i="45"/>
  <c r="K56" i="57"/>
  <c r="H165" i="45"/>
  <c r="G56" i="66"/>
  <c r="G69" i="66" s="1"/>
  <c r="E86" i="67"/>
  <c r="E103" i="67"/>
  <c r="E120" i="67"/>
  <c r="H163" i="45"/>
  <c r="G56" i="65"/>
  <c r="G69" i="65" s="1"/>
  <c r="F86" i="65"/>
  <c r="F103" i="65"/>
  <c r="F120" i="65"/>
  <c r="G198" i="45"/>
  <c r="F57" i="67"/>
  <c r="F120" i="64"/>
  <c r="F103" i="64"/>
  <c r="F86" i="64"/>
  <c r="H195" i="45"/>
  <c r="G57" i="65"/>
  <c r="H166" i="45"/>
  <c r="G56" i="67"/>
  <c r="G69" i="67" s="1"/>
  <c r="F86" i="62"/>
  <c r="F103" i="62"/>
  <c r="F120" i="62"/>
  <c r="F71" i="62"/>
  <c r="F88" i="62"/>
  <c r="F105" i="62"/>
  <c r="H269" i="45"/>
  <c r="G59" i="62"/>
  <c r="F71" i="58"/>
  <c r="F88" i="58"/>
  <c r="F105" i="58"/>
  <c r="G104" i="62"/>
  <c r="G121" i="62"/>
  <c r="G70" i="62"/>
  <c r="G87" i="62"/>
  <c r="F155" i="62"/>
  <c r="F138" i="62"/>
  <c r="H187" i="45"/>
  <c r="G56" i="62"/>
  <c r="F105" i="57"/>
  <c r="F71" i="57"/>
  <c r="F88" i="57"/>
  <c r="F105" i="61"/>
  <c r="F88" i="61"/>
  <c r="F71" i="61"/>
  <c r="H5" i="46"/>
  <c r="H35" i="61" s="1"/>
  <c r="F35" i="61"/>
  <c r="G121" i="61"/>
  <c r="G70" i="61"/>
  <c r="G87" i="61"/>
  <c r="L153" i="45"/>
  <c r="K55" i="61"/>
  <c r="K69" i="61" s="1"/>
  <c r="H266" i="45"/>
  <c r="G59" i="61"/>
  <c r="C7" i="61"/>
  <c r="C81" i="61"/>
  <c r="G155" i="61"/>
  <c r="G138" i="61"/>
  <c r="F103" i="61"/>
  <c r="F86" i="61"/>
  <c r="F120" i="61"/>
  <c r="H185" i="45"/>
  <c r="G56" i="61"/>
  <c r="G186" i="45"/>
  <c r="G56" i="38" s="1"/>
  <c r="H292" i="45"/>
  <c r="H70" i="53" s="1"/>
  <c r="G121" i="53"/>
  <c r="G104" i="53"/>
  <c r="E86" i="53"/>
  <c r="E103" i="53"/>
  <c r="E120" i="53"/>
  <c r="H304" i="45"/>
  <c r="H55" i="52" s="1"/>
  <c r="G138" i="52"/>
  <c r="G155" i="52"/>
  <c r="C7" i="52"/>
  <c r="C81" i="52"/>
  <c r="H160" i="45"/>
  <c r="H56" i="52" s="1"/>
  <c r="G69" i="52"/>
  <c r="G191" i="45"/>
  <c r="G56" i="53" s="1"/>
  <c r="H287" i="45"/>
  <c r="G121" i="51"/>
  <c r="G87" i="51"/>
  <c r="G104" i="51"/>
  <c r="G70" i="51"/>
  <c r="E103" i="58"/>
  <c r="E86" i="58"/>
  <c r="E120" i="58"/>
  <c r="E120" i="57"/>
  <c r="E103" i="57"/>
  <c r="E86" i="57"/>
  <c r="G188" i="45"/>
  <c r="G56" i="63" s="1"/>
  <c r="H158" i="45"/>
  <c r="H55" i="51" s="1"/>
  <c r="G69" i="51"/>
  <c r="G194" i="45"/>
  <c r="G57" i="58" s="1"/>
  <c r="H289" i="45"/>
  <c r="G87" i="55"/>
  <c r="G121" i="55"/>
  <c r="G104" i="55"/>
  <c r="G70" i="55"/>
  <c r="G87" i="38"/>
  <c r="G121" i="38"/>
  <c r="G70" i="38"/>
  <c r="G104" i="38"/>
  <c r="G193" i="45"/>
  <c r="G57" i="57" s="1"/>
  <c r="H288" i="45"/>
  <c r="G121" i="57"/>
  <c r="G87" i="57"/>
  <c r="G70" i="57"/>
  <c r="G104" i="57"/>
  <c r="G189" i="45"/>
  <c r="G56" i="64" s="1"/>
  <c r="G69" i="57"/>
  <c r="E103" i="52"/>
  <c r="E86" i="52"/>
  <c r="E120" i="52"/>
  <c r="G300" i="45"/>
  <c r="F138" i="55"/>
  <c r="F155" i="55"/>
  <c r="F138" i="38"/>
  <c r="F155" i="38"/>
  <c r="E86" i="55"/>
  <c r="E120" i="55"/>
  <c r="E103" i="55"/>
  <c r="H162" i="45"/>
  <c r="H56" i="58" s="1"/>
  <c r="G69" i="58"/>
  <c r="H164" i="45"/>
  <c r="H56" i="55" s="1"/>
  <c r="G69" i="55"/>
  <c r="G190" i="45"/>
  <c r="G56" i="51" s="1"/>
  <c r="G302" i="45"/>
  <c r="F155" i="57"/>
  <c r="F155" i="58"/>
  <c r="F138" i="57"/>
  <c r="G192" i="45"/>
  <c r="G57" i="52" s="1"/>
  <c r="C7" i="53"/>
  <c r="C81" i="53"/>
  <c r="C7" i="58"/>
  <c r="C81" i="58"/>
  <c r="G306" i="45"/>
  <c r="F138" i="58"/>
  <c r="H295" i="45"/>
  <c r="G87" i="58"/>
  <c r="G70" i="58"/>
  <c r="G104" i="58"/>
  <c r="G121" i="58"/>
  <c r="H293" i="45"/>
  <c r="H54" i="52" s="1"/>
  <c r="G87" i="53"/>
  <c r="G104" i="52"/>
  <c r="G121" i="52"/>
  <c r="G87" i="52"/>
  <c r="G70" i="52"/>
  <c r="G303" i="45"/>
  <c r="F138" i="53"/>
  <c r="F155" i="53"/>
  <c r="C81" i="51"/>
  <c r="C7" i="51"/>
  <c r="G298" i="45"/>
  <c r="F155" i="51"/>
  <c r="F138" i="51"/>
  <c r="C81" i="55"/>
  <c r="C7" i="55"/>
  <c r="C7" i="38"/>
  <c r="E86" i="51"/>
  <c r="E103" i="51"/>
  <c r="E120" i="51"/>
  <c r="H159" i="45"/>
  <c r="H55" i="53" s="1"/>
  <c r="G69" i="53"/>
  <c r="E12" i="46"/>
  <c r="E35" i="52" s="1"/>
  <c r="E8" i="46"/>
  <c r="E35" i="63" s="1"/>
  <c r="C102" i="57"/>
  <c r="C109" i="57" s="1"/>
  <c r="C102" i="58"/>
  <c r="C109" i="58" s="1"/>
  <c r="C102" i="55"/>
  <c r="C109" i="55" s="1"/>
  <c r="C102" i="53"/>
  <c r="C109" i="53" s="1"/>
  <c r="C102" i="52"/>
  <c r="C109" i="52" s="1"/>
  <c r="AL140" i="45"/>
  <c r="C140" i="45" s="1"/>
  <c r="F8" i="46"/>
  <c r="F35" i="63" s="1"/>
  <c r="C171" i="58"/>
  <c r="C174" i="58"/>
  <c r="C180" i="58" s="1"/>
  <c r="C183" i="58"/>
  <c r="C189" i="58" s="1"/>
  <c r="C171" i="57"/>
  <c r="C174" i="57"/>
  <c r="C180" i="57" s="1"/>
  <c r="C183" i="57"/>
  <c r="C189" i="57" s="1"/>
  <c r="C183" i="55"/>
  <c r="C189" i="55" s="1"/>
  <c r="C171" i="55"/>
  <c r="C174" i="55"/>
  <c r="C180" i="55" s="1"/>
  <c r="C171" i="52"/>
  <c r="C174" i="52"/>
  <c r="C180" i="52" s="1"/>
  <c r="C183" i="52"/>
  <c r="C189" i="52" s="1"/>
  <c r="E38" i="51"/>
  <c r="C171" i="51"/>
  <c r="C174" i="51"/>
  <c r="C180" i="51" s="1"/>
  <c r="C183" i="51"/>
  <c r="C189" i="51" s="1"/>
  <c r="H299" i="45"/>
  <c r="H291" i="45"/>
  <c r="H54" i="57" s="1"/>
  <c r="AL104" i="45"/>
  <c r="C104" i="45" s="1"/>
  <c r="C113" i="45" s="1"/>
  <c r="D43" i="74" s="1"/>
  <c r="E6" i="46"/>
  <c r="E13" i="46"/>
  <c r="E35" i="57" s="1"/>
  <c r="E7" i="46"/>
  <c r="E35" i="62" s="1"/>
  <c r="E16" i="46"/>
  <c r="E34" i="55" s="1"/>
  <c r="E14" i="46"/>
  <c r="E34" i="58" s="1"/>
  <c r="E18" i="46"/>
  <c r="E35" i="67" s="1"/>
  <c r="E17" i="46"/>
  <c r="E35" i="66" s="1"/>
  <c r="AL103" i="45"/>
  <c r="C103" i="45" s="1"/>
  <c r="E9" i="46"/>
  <c r="E35" i="64" s="1"/>
  <c r="E11" i="46"/>
  <c r="E35" i="53" s="1"/>
  <c r="E10" i="46"/>
  <c r="E36" i="51" s="1"/>
  <c r="F12" i="46"/>
  <c r="F11" i="46"/>
  <c r="F15" i="46"/>
  <c r="F16" i="46"/>
  <c r="F13" i="46"/>
  <c r="F14" i="46"/>
  <c r="F18" i="46"/>
  <c r="F17" i="46"/>
  <c r="F9" i="46"/>
  <c r="F10" i="46"/>
  <c r="AL116" i="45"/>
  <c r="F7" i="46"/>
  <c r="F35" i="62" s="1"/>
  <c r="F6" i="46"/>
  <c r="H6" i="46" s="1"/>
  <c r="E22" i="45"/>
  <c r="C81" i="38"/>
  <c r="D87" i="74" l="1"/>
  <c r="AB36" i="75"/>
  <c r="D103" i="74"/>
  <c r="AB52" i="75"/>
  <c r="F122" i="66"/>
  <c r="F139" i="66"/>
  <c r="F156" i="66"/>
  <c r="G61" i="66"/>
  <c r="G60" i="64"/>
  <c r="G61" i="55"/>
  <c r="F139" i="62"/>
  <c r="F156" i="62"/>
  <c r="F122" i="62"/>
  <c r="G61" i="57"/>
  <c r="G60" i="62"/>
  <c r="H104" i="61"/>
  <c r="H70" i="63"/>
  <c r="H104" i="63"/>
  <c r="H87" i="63"/>
  <c r="H121" i="63"/>
  <c r="H104" i="66"/>
  <c r="H121" i="66"/>
  <c r="H70" i="66"/>
  <c r="H87" i="66"/>
  <c r="H54" i="66"/>
  <c r="H87" i="64"/>
  <c r="H70" i="64"/>
  <c r="H104" i="64"/>
  <c r="H121" i="64"/>
  <c r="H54" i="55"/>
  <c r="G105" i="52"/>
  <c r="G71" i="52"/>
  <c r="G88" i="52"/>
  <c r="G71" i="65"/>
  <c r="G105" i="65"/>
  <c r="G88" i="65"/>
  <c r="I270" i="45"/>
  <c r="H281" i="45"/>
  <c r="H277" i="45"/>
  <c r="H59" i="63"/>
  <c r="I268" i="45"/>
  <c r="H279" i="45"/>
  <c r="F139" i="55"/>
  <c r="F156" i="55"/>
  <c r="F122" i="55"/>
  <c r="G88" i="64"/>
  <c r="G105" i="64"/>
  <c r="G71" i="64"/>
  <c r="G122" i="67"/>
  <c r="G139" i="67"/>
  <c r="G156" i="67"/>
  <c r="I272" i="45"/>
  <c r="H283" i="45"/>
  <c r="H61" i="67" s="1"/>
  <c r="H60" i="67"/>
  <c r="F139" i="65"/>
  <c r="F156" i="65"/>
  <c r="F122" i="65"/>
  <c r="H280" i="45"/>
  <c r="H60" i="57"/>
  <c r="G139" i="52"/>
  <c r="G156" i="52"/>
  <c r="G122" i="52"/>
  <c r="G61" i="65"/>
  <c r="G61" i="58"/>
  <c r="G105" i="51"/>
  <c r="G88" i="51"/>
  <c r="G71" i="51"/>
  <c r="G105" i="63"/>
  <c r="G88" i="63"/>
  <c r="G71" i="63"/>
  <c r="F156" i="64"/>
  <c r="F122" i="64"/>
  <c r="F139" i="64"/>
  <c r="G71" i="66"/>
  <c r="G88" i="66"/>
  <c r="G105" i="66"/>
  <c r="H121" i="65"/>
  <c r="H70" i="65"/>
  <c r="H87" i="65"/>
  <c r="H104" i="65"/>
  <c r="H54" i="65"/>
  <c r="H54" i="58"/>
  <c r="I271" i="45"/>
  <c r="H282" i="45"/>
  <c r="H61" i="52" s="1"/>
  <c r="H60" i="52"/>
  <c r="I273" i="45"/>
  <c r="H284" i="45"/>
  <c r="H60" i="65"/>
  <c r="H60" i="58"/>
  <c r="G139" i="51"/>
  <c r="G156" i="51"/>
  <c r="G122" i="51"/>
  <c r="G71" i="55"/>
  <c r="G105" i="55"/>
  <c r="G88" i="55"/>
  <c r="F139" i="57"/>
  <c r="F156" i="57"/>
  <c r="F122" i="57"/>
  <c r="F156" i="61"/>
  <c r="F122" i="61"/>
  <c r="F139" i="61"/>
  <c r="I294" i="45"/>
  <c r="H70" i="67"/>
  <c r="H121" i="67"/>
  <c r="H87" i="67"/>
  <c r="H104" i="67"/>
  <c r="H54" i="67"/>
  <c r="I265" i="45"/>
  <c r="H276" i="45"/>
  <c r="H60" i="51" s="1"/>
  <c r="H59" i="51"/>
  <c r="G60" i="63"/>
  <c r="G60" i="61"/>
  <c r="G105" i="67"/>
  <c r="G71" i="67"/>
  <c r="G88" i="67"/>
  <c r="F122" i="58"/>
  <c r="F156" i="58"/>
  <c r="F139" i="58"/>
  <c r="I267" i="45"/>
  <c r="H278" i="45"/>
  <c r="H60" i="66"/>
  <c r="H59" i="64"/>
  <c r="H60" i="55"/>
  <c r="F156" i="63"/>
  <c r="F139" i="63"/>
  <c r="F122" i="63"/>
  <c r="C142" i="45"/>
  <c r="C11" i="51" s="1"/>
  <c r="C147" i="45"/>
  <c r="C11" i="53" s="1"/>
  <c r="C144" i="45"/>
  <c r="C146" i="45"/>
  <c r="C150" i="45"/>
  <c r="C149" i="45"/>
  <c r="C148" i="45"/>
  <c r="C149" i="52" s="1"/>
  <c r="C152" i="52" s="1"/>
  <c r="C145" i="45"/>
  <c r="C143" i="45"/>
  <c r="I305" i="45"/>
  <c r="H155" i="67"/>
  <c r="H55" i="67"/>
  <c r="G155" i="65"/>
  <c r="G55" i="57"/>
  <c r="G138" i="67"/>
  <c r="G138" i="65"/>
  <c r="G55" i="65"/>
  <c r="G55" i="58"/>
  <c r="H138" i="63"/>
  <c r="H155" i="63"/>
  <c r="G138" i="66"/>
  <c r="G155" i="66"/>
  <c r="G55" i="66"/>
  <c r="G155" i="64"/>
  <c r="G138" i="64"/>
  <c r="G55" i="55"/>
  <c r="G86" i="64"/>
  <c r="G103" i="64"/>
  <c r="G120" i="64"/>
  <c r="I163" i="45"/>
  <c r="H56" i="65"/>
  <c r="H69" i="65" s="1"/>
  <c r="G86" i="65"/>
  <c r="G103" i="65"/>
  <c r="G120" i="65"/>
  <c r="M161" i="45"/>
  <c r="L56" i="57"/>
  <c r="G103" i="63"/>
  <c r="G86" i="63"/>
  <c r="G120" i="63"/>
  <c r="I195" i="45"/>
  <c r="H57" i="65"/>
  <c r="I165" i="45"/>
  <c r="H56" i="66"/>
  <c r="H69" i="66" s="1"/>
  <c r="F86" i="67"/>
  <c r="F103" i="67"/>
  <c r="F120" i="67"/>
  <c r="I196" i="45"/>
  <c r="H57" i="55"/>
  <c r="F86" i="66"/>
  <c r="F103" i="66"/>
  <c r="F120" i="66"/>
  <c r="H197" i="45"/>
  <c r="G57" i="66"/>
  <c r="H198" i="45"/>
  <c r="G57" i="67"/>
  <c r="I166" i="45"/>
  <c r="H56" i="67"/>
  <c r="H69" i="67" s="1"/>
  <c r="H15" i="46"/>
  <c r="H33" i="65" s="1"/>
  <c r="F33" i="65"/>
  <c r="H9" i="46"/>
  <c r="H35" i="64" s="1"/>
  <c r="F35" i="64"/>
  <c r="H17" i="46"/>
  <c r="H35" i="66" s="1"/>
  <c r="F35" i="66"/>
  <c r="H18" i="46"/>
  <c r="H35" i="67" s="1"/>
  <c r="F35" i="67"/>
  <c r="C8" i="65"/>
  <c r="C98" i="65"/>
  <c r="G155" i="62"/>
  <c r="G138" i="62"/>
  <c r="I187" i="45"/>
  <c r="H56" i="62"/>
  <c r="G88" i="62"/>
  <c r="G105" i="62"/>
  <c r="G71" i="62"/>
  <c r="I269" i="45"/>
  <c r="H59" i="62"/>
  <c r="G103" i="62"/>
  <c r="G120" i="62"/>
  <c r="G86" i="62"/>
  <c r="H104" i="62"/>
  <c r="H121" i="62"/>
  <c r="H70" i="62"/>
  <c r="H87" i="62"/>
  <c r="G71" i="57"/>
  <c r="G88" i="57"/>
  <c r="G105" i="57"/>
  <c r="G105" i="58"/>
  <c r="G88" i="58"/>
  <c r="G71" i="58"/>
  <c r="G71" i="61"/>
  <c r="G105" i="61"/>
  <c r="G88" i="61"/>
  <c r="I266" i="45"/>
  <c r="H59" i="61"/>
  <c r="H121" i="61"/>
  <c r="H70" i="61"/>
  <c r="H87" i="61"/>
  <c r="G103" i="61"/>
  <c r="G120" i="61"/>
  <c r="G86" i="61"/>
  <c r="I185" i="45"/>
  <c r="H56" i="61"/>
  <c r="C82" i="61"/>
  <c r="C94" i="61" s="1"/>
  <c r="C84" i="61"/>
  <c r="C91" i="61" s="1"/>
  <c r="C89" i="61"/>
  <c r="C93" i="61" s="1"/>
  <c r="H155" i="61"/>
  <c r="H138" i="61"/>
  <c r="M153" i="45"/>
  <c r="L55" i="61"/>
  <c r="L69" i="61" s="1"/>
  <c r="I293" i="45"/>
  <c r="I54" i="52" s="1"/>
  <c r="H87" i="53"/>
  <c r="H70" i="52"/>
  <c r="H104" i="52"/>
  <c r="H121" i="52"/>
  <c r="H87" i="52"/>
  <c r="I162" i="45"/>
  <c r="I56" i="58" s="1"/>
  <c r="H69" i="58"/>
  <c r="I304" i="45"/>
  <c r="I55" i="52" s="1"/>
  <c r="H138" i="52"/>
  <c r="H155" i="52"/>
  <c r="H121" i="57"/>
  <c r="H87" i="57"/>
  <c r="H70" i="57"/>
  <c r="H104" i="57"/>
  <c r="H298" i="45"/>
  <c r="G155" i="51"/>
  <c r="G138" i="51"/>
  <c r="C89" i="53"/>
  <c r="C84" i="53"/>
  <c r="C91" i="53" s="1"/>
  <c r="I158" i="45"/>
  <c r="I55" i="51" s="1"/>
  <c r="H69" i="51"/>
  <c r="F120" i="53"/>
  <c r="F86" i="53"/>
  <c r="F103" i="53"/>
  <c r="C84" i="51"/>
  <c r="C91" i="51" s="1"/>
  <c r="C89" i="51"/>
  <c r="C93" i="51" s="1"/>
  <c r="H69" i="57"/>
  <c r="H191" i="45"/>
  <c r="H56" i="53" s="1"/>
  <c r="F120" i="55"/>
  <c r="F86" i="55"/>
  <c r="F103" i="55"/>
  <c r="F86" i="51"/>
  <c r="F103" i="51"/>
  <c r="F120" i="51"/>
  <c r="I160" i="45"/>
  <c r="I56" i="52" s="1"/>
  <c r="H69" i="52"/>
  <c r="I159" i="45"/>
  <c r="I55" i="53" s="1"/>
  <c r="H69" i="53"/>
  <c r="I295" i="45"/>
  <c r="H87" i="58"/>
  <c r="H70" i="58"/>
  <c r="H104" i="58"/>
  <c r="H121" i="58"/>
  <c r="H192" i="45"/>
  <c r="H57" i="52" s="1"/>
  <c r="H302" i="45"/>
  <c r="G155" i="58"/>
  <c r="G155" i="57"/>
  <c r="G138" i="57"/>
  <c r="H189" i="45"/>
  <c r="H56" i="64" s="1"/>
  <c r="I288" i="45"/>
  <c r="H188" i="45"/>
  <c r="H56" i="63" s="1"/>
  <c r="H303" i="45"/>
  <c r="G155" i="53"/>
  <c r="G138" i="53"/>
  <c r="F86" i="52"/>
  <c r="F103" i="52"/>
  <c r="F120" i="52"/>
  <c r="F86" i="57"/>
  <c r="F120" i="57"/>
  <c r="F103" i="57"/>
  <c r="C89" i="52"/>
  <c r="C93" i="52" s="1"/>
  <c r="C84" i="52"/>
  <c r="C91" i="52" s="1"/>
  <c r="H193" i="45"/>
  <c r="H57" i="57" s="1"/>
  <c r="I289" i="45"/>
  <c r="H87" i="55"/>
  <c r="H104" i="55"/>
  <c r="H70" i="55"/>
  <c r="H121" i="55"/>
  <c r="H87" i="38"/>
  <c r="H121" i="38"/>
  <c r="H70" i="38"/>
  <c r="H104" i="38"/>
  <c r="I292" i="45"/>
  <c r="I70" i="53" s="1"/>
  <c r="H121" i="53"/>
  <c r="H104" i="53"/>
  <c r="C84" i="55"/>
  <c r="C91" i="55" s="1"/>
  <c r="C89" i="55"/>
  <c r="C93" i="55" s="1"/>
  <c r="H306" i="45"/>
  <c r="G138" i="58"/>
  <c r="F86" i="58"/>
  <c r="F120" i="58"/>
  <c r="F103" i="58"/>
  <c r="C89" i="58"/>
  <c r="C93" i="58" s="1"/>
  <c r="C84" i="58"/>
  <c r="C91" i="58" s="1"/>
  <c r="I164" i="45"/>
  <c r="I56" i="55" s="1"/>
  <c r="H69" i="55"/>
  <c r="H300" i="45"/>
  <c r="G138" i="55"/>
  <c r="G155" i="55"/>
  <c r="G155" i="38"/>
  <c r="G138" i="38"/>
  <c r="H194" i="45"/>
  <c r="H57" i="58" s="1"/>
  <c r="H186" i="45"/>
  <c r="H56" i="38" s="1"/>
  <c r="H190" i="45"/>
  <c r="H56" i="51" s="1"/>
  <c r="I287" i="45"/>
  <c r="H70" i="51"/>
  <c r="H121" i="51"/>
  <c r="H87" i="51"/>
  <c r="H104" i="51"/>
  <c r="H13" i="46"/>
  <c r="H35" i="57" s="1"/>
  <c r="F35" i="57"/>
  <c r="H16" i="46"/>
  <c r="H34" i="55" s="1"/>
  <c r="F34" i="55"/>
  <c r="H11" i="46"/>
  <c r="H35" i="53" s="1"/>
  <c r="F35" i="53"/>
  <c r="H10" i="46"/>
  <c r="H36" i="51" s="1"/>
  <c r="F36" i="51"/>
  <c r="C111" i="45"/>
  <c r="C109" i="45"/>
  <c r="H14" i="46"/>
  <c r="H34" i="58" s="1"/>
  <c r="F34" i="58"/>
  <c r="H7" i="46"/>
  <c r="H35" i="62" s="1"/>
  <c r="H12" i="46"/>
  <c r="H35" i="52" s="1"/>
  <c r="F35" i="52"/>
  <c r="C98" i="58"/>
  <c r="C8" i="58"/>
  <c r="H8" i="46"/>
  <c r="H35" i="63" s="1"/>
  <c r="C102" i="51"/>
  <c r="C109" i="51" s="1"/>
  <c r="I299" i="45"/>
  <c r="I291" i="45"/>
  <c r="I54" i="57" s="1"/>
  <c r="C112" i="45"/>
  <c r="C116" i="45"/>
  <c r="C119" i="45" s="1"/>
  <c r="D44" i="74" s="1"/>
  <c r="C108" i="45"/>
  <c r="C106" i="45"/>
  <c r="C110" i="45"/>
  <c r="C107" i="45"/>
  <c r="C105" i="45"/>
  <c r="F22" i="45"/>
  <c r="G139" i="57" l="1"/>
  <c r="G156" i="57"/>
  <c r="G122" i="57"/>
  <c r="H122" i="52"/>
  <c r="H156" i="52"/>
  <c r="H139" i="52"/>
  <c r="J271" i="45"/>
  <c r="I282" i="45"/>
  <c r="I61" i="52" s="1"/>
  <c r="I60" i="52"/>
  <c r="G156" i="64"/>
  <c r="G139" i="64"/>
  <c r="G122" i="64"/>
  <c r="H105" i="67"/>
  <c r="H88" i="67"/>
  <c r="H71" i="67"/>
  <c r="G156" i="66"/>
  <c r="G122" i="66"/>
  <c r="G139" i="66"/>
  <c r="J267" i="45"/>
  <c r="I278" i="45"/>
  <c r="I60" i="66"/>
  <c r="I59" i="64"/>
  <c r="I60" i="55"/>
  <c r="H61" i="57"/>
  <c r="H60" i="62"/>
  <c r="G156" i="61"/>
  <c r="G139" i="61"/>
  <c r="G122" i="61"/>
  <c r="H122" i="67"/>
  <c r="H139" i="67"/>
  <c r="H156" i="67"/>
  <c r="I104" i="61"/>
  <c r="I104" i="63"/>
  <c r="I70" i="63"/>
  <c r="I87" i="63"/>
  <c r="I121" i="63"/>
  <c r="G156" i="55"/>
  <c r="G122" i="55"/>
  <c r="G139" i="55"/>
  <c r="J294" i="45"/>
  <c r="I104" i="67"/>
  <c r="I70" i="67"/>
  <c r="I121" i="67"/>
  <c r="I87" i="67"/>
  <c r="I54" i="67"/>
  <c r="I280" i="45"/>
  <c r="I60" i="57"/>
  <c r="H71" i="55"/>
  <c r="H88" i="55"/>
  <c r="H105" i="55"/>
  <c r="G122" i="63"/>
  <c r="G156" i="63"/>
  <c r="G139" i="63"/>
  <c r="H105" i="65"/>
  <c r="H71" i="65"/>
  <c r="H88" i="65"/>
  <c r="G139" i="58"/>
  <c r="G156" i="58"/>
  <c r="G122" i="58"/>
  <c r="J272" i="45"/>
  <c r="I283" i="45"/>
  <c r="I61" i="67" s="1"/>
  <c r="I60" i="67"/>
  <c r="J268" i="45"/>
  <c r="I279" i="45"/>
  <c r="H61" i="66"/>
  <c r="H60" i="64"/>
  <c r="H61" i="55"/>
  <c r="H105" i="52"/>
  <c r="H71" i="52"/>
  <c r="H88" i="52"/>
  <c r="J270" i="45"/>
  <c r="I281" i="45"/>
  <c r="I104" i="66"/>
  <c r="I121" i="66"/>
  <c r="I70" i="66"/>
  <c r="I87" i="66"/>
  <c r="I54" i="66"/>
  <c r="I87" i="64"/>
  <c r="I70" i="64"/>
  <c r="I104" i="64"/>
  <c r="I121" i="64"/>
  <c r="I54" i="55"/>
  <c r="I277" i="45"/>
  <c r="I59" i="63"/>
  <c r="H71" i="64"/>
  <c r="H88" i="64"/>
  <c r="H105" i="64"/>
  <c r="H88" i="51"/>
  <c r="H71" i="51"/>
  <c r="H105" i="51"/>
  <c r="H61" i="65"/>
  <c r="H61" i="58"/>
  <c r="G156" i="65"/>
  <c r="G122" i="65"/>
  <c r="G139" i="65"/>
  <c r="H105" i="63"/>
  <c r="H71" i="63"/>
  <c r="H88" i="63"/>
  <c r="J265" i="45"/>
  <c r="I276" i="45"/>
  <c r="I60" i="51" s="1"/>
  <c r="I59" i="51"/>
  <c r="I121" i="65"/>
  <c r="I70" i="65"/>
  <c r="I87" i="65"/>
  <c r="I104" i="65"/>
  <c r="I54" i="65"/>
  <c r="I54" i="58"/>
  <c r="H71" i="66"/>
  <c r="H88" i="66"/>
  <c r="H105" i="66"/>
  <c r="H156" i="51"/>
  <c r="H122" i="51"/>
  <c r="H139" i="51"/>
  <c r="J273" i="45"/>
  <c r="I284" i="45"/>
  <c r="I60" i="65"/>
  <c r="I60" i="58"/>
  <c r="H60" i="63"/>
  <c r="H60" i="61"/>
  <c r="G156" i="62"/>
  <c r="G122" i="62"/>
  <c r="G139" i="62"/>
  <c r="C11" i="52"/>
  <c r="J305" i="45"/>
  <c r="I155" i="67"/>
  <c r="I55" i="67"/>
  <c r="H138" i="67"/>
  <c r="H138" i="65"/>
  <c r="H55" i="65"/>
  <c r="H55" i="58"/>
  <c r="H155" i="65"/>
  <c r="H55" i="57"/>
  <c r="I138" i="63"/>
  <c r="I155" i="63"/>
  <c r="H138" i="66"/>
  <c r="H155" i="66"/>
  <c r="H55" i="66"/>
  <c r="H155" i="64"/>
  <c r="H138" i="64"/>
  <c r="H55" i="55"/>
  <c r="G86" i="67"/>
  <c r="G103" i="67"/>
  <c r="G120" i="67"/>
  <c r="G120" i="66"/>
  <c r="G86" i="66"/>
  <c r="G103" i="66"/>
  <c r="N161" i="45"/>
  <c r="M56" i="57"/>
  <c r="I197" i="45"/>
  <c r="H57" i="66"/>
  <c r="I198" i="45"/>
  <c r="H57" i="67"/>
  <c r="J163" i="45"/>
  <c r="I56" i="65"/>
  <c r="I69" i="65" s="1"/>
  <c r="H120" i="65"/>
  <c r="H86" i="65"/>
  <c r="H103" i="65"/>
  <c r="J196" i="45"/>
  <c r="I57" i="55"/>
  <c r="H86" i="63"/>
  <c r="H103" i="63"/>
  <c r="H120" i="63"/>
  <c r="J195" i="45"/>
  <c r="I57" i="65"/>
  <c r="H120" i="64"/>
  <c r="H86" i="64"/>
  <c r="H103" i="64"/>
  <c r="J166" i="45"/>
  <c r="I56" i="67"/>
  <c r="I69" i="67" s="1"/>
  <c r="J165" i="45"/>
  <c r="I56" i="66"/>
  <c r="I69" i="66" s="1"/>
  <c r="C149" i="58"/>
  <c r="C152" i="58" s="1"/>
  <c r="C159" i="58" s="1"/>
  <c r="C149" i="65"/>
  <c r="C11" i="65"/>
  <c r="C9" i="66"/>
  <c r="C115" i="66"/>
  <c r="C118" i="66" s="1"/>
  <c r="C9" i="64"/>
  <c r="C115" i="64"/>
  <c r="C118" i="64" s="1"/>
  <c r="C11" i="67"/>
  <c r="C149" i="67"/>
  <c r="C149" i="55"/>
  <c r="C152" i="55" s="1"/>
  <c r="C159" i="55" s="1"/>
  <c r="C149" i="66"/>
  <c r="C11" i="66"/>
  <c r="C149" i="64"/>
  <c r="C11" i="64"/>
  <c r="C11" i="63"/>
  <c r="C149" i="63"/>
  <c r="C98" i="63"/>
  <c r="C8" i="63"/>
  <c r="C98" i="66"/>
  <c r="C8" i="66"/>
  <c r="C8" i="64"/>
  <c r="C98" i="64"/>
  <c r="C8" i="67"/>
  <c r="C98" i="67"/>
  <c r="C99" i="65"/>
  <c r="C111" i="65" s="1"/>
  <c r="C106" i="65"/>
  <c r="C110" i="65" s="1"/>
  <c r="C101" i="65"/>
  <c r="C108" i="65" s="1"/>
  <c r="I104" i="62"/>
  <c r="I121" i="62"/>
  <c r="I70" i="62"/>
  <c r="I87" i="62"/>
  <c r="H155" i="62"/>
  <c r="H138" i="62"/>
  <c r="H71" i="58"/>
  <c r="H88" i="58"/>
  <c r="H105" i="58"/>
  <c r="H103" i="62"/>
  <c r="H86" i="62"/>
  <c r="H120" i="62"/>
  <c r="H105" i="57"/>
  <c r="H71" i="57"/>
  <c r="H88" i="57"/>
  <c r="J187" i="45"/>
  <c r="I56" i="62"/>
  <c r="H71" i="62"/>
  <c r="H88" i="62"/>
  <c r="H105" i="62"/>
  <c r="C98" i="62"/>
  <c r="C8" i="62"/>
  <c r="J269" i="45"/>
  <c r="I59" i="62"/>
  <c r="C149" i="62"/>
  <c r="C11" i="62"/>
  <c r="H71" i="61"/>
  <c r="H105" i="61"/>
  <c r="H88" i="61"/>
  <c r="C95" i="61"/>
  <c r="C166" i="61" s="1"/>
  <c r="AB7" i="75" s="1"/>
  <c r="AC7" i="75" s="1"/>
  <c r="I121" i="61"/>
  <c r="I70" i="61"/>
  <c r="I87" i="61"/>
  <c r="I155" i="61"/>
  <c r="I138" i="61"/>
  <c r="N153" i="45"/>
  <c r="M55" i="61"/>
  <c r="M69" i="61" s="1"/>
  <c r="C149" i="61"/>
  <c r="C11" i="61"/>
  <c r="J266" i="45"/>
  <c r="I59" i="61"/>
  <c r="C8" i="61"/>
  <c r="C98" i="61"/>
  <c r="H86" i="61"/>
  <c r="H103" i="61"/>
  <c r="H120" i="61"/>
  <c r="J185" i="45"/>
  <c r="I56" i="61"/>
  <c r="C149" i="38"/>
  <c r="C152" i="38" s="1"/>
  <c r="C11" i="55"/>
  <c r="C11" i="38"/>
  <c r="C149" i="51"/>
  <c r="C152" i="51" s="1"/>
  <c r="C159" i="51" s="1"/>
  <c r="C11" i="57"/>
  <c r="C149" i="57"/>
  <c r="C152" i="57" s="1"/>
  <c r="C159" i="57" s="1"/>
  <c r="C149" i="53"/>
  <c r="C11" i="58"/>
  <c r="I194" i="45"/>
  <c r="I57" i="58" s="1"/>
  <c r="J289" i="45"/>
  <c r="I87" i="55"/>
  <c r="I104" i="55"/>
  <c r="I70" i="55"/>
  <c r="I121" i="55"/>
  <c r="I87" i="38"/>
  <c r="I121" i="38"/>
  <c r="I70" i="38"/>
  <c r="I104" i="38"/>
  <c r="J288" i="45"/>
  <c r="I192" i="45"/>
  <c r="I57" i="52" s="1"/>
  <c r="I191" i="45"/>
  <c r="I56" i="53" s="1"/>
  <c r="J292" i="45"/>
  <c r="J70" i="53" s="1"/>
  <c r="I121" i="53"/>
  <c r="I104" i="53"/>
  <c r="G103" i="57"/>
  <c r="G86" i="57"/>
  <c r="G120" i="57"/>
  <c r="G103" i="51"/>
  <c r="G120" i="51"/>
  <c r="G86" i="51"/>
  <c r="J304" i="45"/>
  <c r="J55" i="52" s="1"/>
  <c r="I138" i="52"/>
  <c r="I155" i="52"/>
  <c r="I121" i="57"/>
  <c r="I87" i="57"/>
  <c r="I70" i="57"/>
  <c r="I104" i="57"/>
  <c r="I193" i="45"/>
  <c r="I57" i="57" s="1"/>
  <c r="I189" i="45"/>
  <c r="I56" i="64" s="1"/>
  <c r="J287" i="45"/>
  <c r="I70" i="51"/>
  <c r="I121" i="51"/>
  <c r="I104" i="51"/>
  <c r="I87" i="51"/>
  <c r="I298" i="45"/>
  <c r="H155" i="51"/>
  <c r="H138" i="51"/>
  <c r="J162" i="45"/>
  <c r="J56" i="58" s="1"/>
  <c r="I69" i="58"/>
  <c r="I306" i="45"/>
  <c r="H138" i="58"/>
  <c r="I303" i="45"/>
  <c r="H155" i="53"/>
  <c r="H138" i="53"/>
  <c r="I69" i="57"/>
  <c r="J158" i="45"/>
  <c r="J55" i="51" s="1"/>
  <c r="I69" i="51"/>
  <c r="I188" i="45"/>
  <c r="I56" i="63" s="1"/>
  <c r="J295" i="45"/>
  <c r="I121" i="58"/>
  <c r="I87" i="58"/>
  <c r="I70" i="58"/>
  <c r="I104" i="58"/>
  <c r="I190" i="45"/>
  <c r="I56" i="51" s="1"/>
  <c r="J159" i="45"/>
  <c r="J55" i="53" s="1"/>
  <c r="I69" i="53"/>
  <c r="G103" i="52"/>
  <c r="G86" i="52"/>
  <c r="G120" i="52"/>
  <c r="I186" i="45"/>
  <c r="I56" i="38" s="1"/>
  <c r="I302" i="45"/>
  <c r="H138" i="57"/>
  <c r="H155" i="58"/>
  <c r="H155" i="57"/>
  <c r="J160" i="45"/>
  <c r="J56" i="52" s="1"/>
  <c r="I69" i="52"/>
  <c r="J293" i="45"/>
  <c r="J54" i="52" s="1"/>
  <c r="I87" i="53"/>
  <c r="I70" i="52"/>
  <c r="I104" i="52"/>
  <c r="I121" i="52"/>
  <c r="I87" i="52"/>
  <c r="I300" i="45"/>
  <c r="H155" i="55"/>
  <c r="H138" i="55"/>
  <c r="H155" i="38"/>
  <c r="H138" i="38"/>
  <c r="G103" i="58"/>
  <c r="G86" i="58"/>
  <c r="G120" i="58"/>
  <c r="J164" i="45"/>
  <c r="J56" i="55" s="1"/>
  <c r="I69" i="55"/>
  <c r="G120" i="55"/>
  <c r="G86" i="55"/>
  <c r="G103" i="55"/>
  <c r="G86" i="53"/>
  <c r="G103" i="53"/>
  <c r="G120" i="53"/>
  <c r="C115" i="38"/>
  <c r="C115" i="55"/>
  <c r="C9" i="55"/>
  <c r="C9" i="38"/>
  <c r="C150" i="52"/>
  <c r="C162" i="52" s="1"/>
  <c r="C157" i="52"/>
  <c r="C159" i="52"/>
  <c r="C98" i="51"/>
  <c r="C8" i="51"/>
  <c r="C8" i="53"/>
  <c r="C98" i="53"/>
  <c r="C101" i="58"/>
  <c r="C108" i="58" s="1"/>
  <c r="C106" i="58"/>
  <c r="C110" i="58" s="1"/>
  <c r="C8" i="57"/>
  <c r="C98" i="57"/>
  <c r="C98" i="38"/>
  <c r="C98" i="55"/>
  <c r="C8" i="55"/>
  <c r="C8" i="38"/>
  <c r="C8" i="52"/>
  <c r="C98" i="52"/>
  <c r="J299" i="45"/>
  <c r="J291" i="45"/>
  <c r="J54" i="57" s="1"/>
  <c r="C124" i="45"/>
  <c r="C117" i="45"/>
  <c r="C120" i="45"/>
  <c r="C122" i="45"/>
  <c r="C118" i="45"/>
  <c r="C125" i="45"/>
  <c r="C121" i="45"/>
  <c r="C123" i="45"/>
  <c r="G22" i="45"/>
  <c r="D58" i="74" l="1"/>
  <c r="D7" i="75"/>
  <c r="E7" i="75" s="1"/>
  <c r="I61" i="65"/>
  <c r="I61" i="58"/>
  <c r="I105" i="52"/>
  <c r="I88" i="52"/>
  <c r="I71" i="52"/>
  <c r="I61" i="66"/>
  <c r="I60" i="64"/>
  <c r="I61" i="55"/>
  <c r="J277" i="45"/>
  <c r="J59" i="63"/>
  <c r="I71" i="51"/>
  <c r="I88" i="51"/>
  <c r="I105" i="51"/>
  <c r="J104" i="66"/>
  <c r="J70" i="66"/>
  <c r="J121" i="66"/>
  <c r="J87" i="66"/>
  <c r="J54" i="66"/>
  <c r="J104" i="64"/>
  <c r="J70" i="64"/>
  <c r="J121" i="64"/>
  <c r="J87" i="64"/>
  <c r="J54" i="55"/>
  <c r="K268" i="45"/>
  <c r="J279" i="45"/>
  <c r="J70" i="65"/>
  <c r="J87" i="65"/>
  <c r="J121" i="65"/>
  <c r="J104" i="65"/>
  <c r="J54" i="65"/>
  <c r="J54" i="58"/>
  <c r="I71" i="67"/>
  <c r="I88" i="67"/>
  <c r="I105" i="67"/>
  <c r="I88" i="66"/>
  <c r="I71" i="66"/>
  <c r="I105" i="66"/>
  <c r="J280" i="45"/>
  <c r="J60" i="57"/>
  <c r="I122" i="51"/>
  <c r="I156" i="51"/>
  <c r="I139" i="51"/>
  <c r="I139" i="67"/>
  <c r="I122" i="67"/>
  <c r="I156" i="67"/>
  <c r="K273" i="45"/>
  <c r="J284" i="45"/>
  <c r="J60" i="65"/>
  <c r="J60" i="58"/>
  <c r="H122" i="55"/>
  <c r="H139" i="55"/>
  <c r="H156" i="55"/>
  <c r="K294" i="45"/>
  <c r="J87" i="67"/>
  <c r="J104" i="67"/>
  <c r="J70" i="67"/>
  <c r="J121" i="67"/>
  <c r="J54" i="67"/>
  <c r="H122" i="61"/>
  <c r="H156" i="61"/>
  <c r="H139" i="61"/>
  <c r="I71" i="63"/>
  <c r="I105" i="63"/>
  <c r="I88" i="63"/>
  <c r="K272" i="45"/>
  <c r="J283" i="45"/>
  <c r="J61" i="67" s="1"/>
  <c r="J60" i="67"/>
  <c r="H139" i="62"/>
  <c r="H156" i="62"/>
  <c r="H122" i="62"/>
  <c r="I71" i="65"/>
  <c r="I88" i="65"/>
  <c r="I105" i="65"/>
  <c r="I71" i="64"/>
  <c r="I88" i="64"/>
  <c r="I105" i="64"/>
  <c r="H122" i="65"/>
  <c r="H139" i="65"/>
  <c r="H156" i="65"/>
  <c r="I122" i="52"/>
  <c r="I139" i="52"/>
  <c r="I156" i="52"/>
  <c r="K271" i="45"/>
  <c r="J282" i="45"/>
  <c r="J61" i="52" s="1"/>
  <c r="J60" i="52"/>
  <c r="H122" i="63"/>
  <c r="H156" i="63"/>
  <c r="H139" i="63"/>
  <c r="I60" i="63"/>
  <c r="I60" i="61"/>
  <c r="K270" i="45"/>
  <c r="J281" i="45"/>
  <c r="H139" i="57"/>
  <c r="H156" i="57"/>
  <c r="H122" i="57"/>
  <c r="H156" i="58"/>
  <c r="H122" i="58"/>
  <c r="H139" i="58"/>
  <c r="H156" i="64"/>
  <c r="H139" i="64"/>
  <c r="H122" i="64"/>
  <c r="K267" i="45"/>
  <c r="J278" i="45"/>
  <c r="J60" i="66"/>
  <c r="J59" i="64"/>
  <c r="J60" i="55"/>
  <c r="H122" i="66"/>
  <c r="H139" i="66"/>
  <c r="H156" i="66"/>
  <c r="K265" i="45"/>
  <c r="J276" i="45"/>
  <c r="J60" i="51" s="1"/>
  <c r="J59" i="51"/>
  <c r="J104" i="61"/>
  <c r="J87" i="63"/>
  <c r="J104" i="63"/>
  <c r="J70" i="63"/>
  <c r="J121" i="63"/>
  <c r="I61" i="57"/>
  <c r="I60" i="62"/>
  <c r="I71" i="55"/>
  <c r="I88" i="55"/>
  <c r="I105" i="55"/>
  <c r="C157" i="55"/>
  <c r="I138" i="67"/>
  <c r="I138" i="65"/>
  <c r="I55" i="65"/>
  <c r="I55" i="58"/>
  <c r="I155" i="65"/>
  <c r="I55" i="57"/>
  <c r="K305" i="45"/>
  <c r="J155" i="67"/>
  <c r="J55" i="67"/>
  <c r="I138" i="66"/>
  <c r="I155" i="66"/>
  <c r="I55" i="66"/>
  <c r="I138" i="64"/>
  <c r="I155" i="64"/>
  <c r="I55" i="55"/>
  <c r="J138" i="63"/>
  <c r="J155" i="63"/>
  <c r="C157" i="58"/>
  <c r="H86" i="67"/>
  <c r="H103" i="67"/>
  <c r="H120" i="67"/>
  <c r="K196" i="45"/>
  <c r="J57" i="55"/>
  <c r="J197" i="45"/>
  <c r="I57" i="66"/>
  <c r="J198" i="45"/>
  <c r="I57" i="67"/>
  <c r="O161" i="45"/>
  <c r="N56" i="57"/>
  <c r="I103" i="63"/>
  <c r="I86" i="63"/>
  <c r="I120" i="63"/>
  <c r="H120" i="66"/>
  <c r="H86" i="66"/>
  <c r="H103" i="66"/>
  <c r="I120" i="64"/>
  <c r="I86" i="64"/>
  <c r="I103" i="64"/>
  <c r="K163" i="45"/>
  <c r="J56" i="65"/>
  <c r="J69" i="65" s="1"/>
  <c r="K165" i="45"/>
  <c r="J56" i="66"/>
  <c r="J69" i="66" s="1"/>
  <c r="I120" i="65"/>
  <c r="I103" i="65"/>
  <c r="I86" i="65"/>
  <c r="K166" i="45"/>
  <c r="J56" i="67"/>
  <c r="J69" i="67" s="1"/>
  <c r="K195" i="45"/>
  <c r="J57" i="65"/>
  <c r="C116" i="64"/>
  <c r="C128" i="64" s="1"/>
  <c r="C123" i="64"/>
  <c r="C127" i="64" s="1"/>
  <c r="C125" i="64"/>
  <c r="C116" i="66"/>
  <c r="C128" i="66" s="1"/>
  <c r="C123" i="66"/>
  <c r="C127" i="66" s="1"/>
  <c r="C125" i="66"/>
  <c r="C150" i="63"/>
  <c r="C162" i="63" s="1"/>
  <c r="C157" i="63"/>
  <c r="C152" i="63"/>
  <c r="C159" i="63" s="1"/>
  <c r="C115" i="65"/>
  <c r="C9" i="65"/>
  <c r="C150" i="64"/>
  <c r="C162" i="64" s="1"/>
  <c r="C152" i="64"/>
  <c r="C159" i="64" s="1"/>
  <c r="C157" i="64"/>
  <c r="C150" i="65"/>
  <c r="C162" i="65" s="1"/>
  <c r="C152" i="65"/>
  <c r="C159" i="65" s="1"/>
  <c r="C157" i="65"/>
  <c r="C150" i="66"/>
  <c r="C162" i="66" s="1"/>
  <c r="C157" i="66"/>
  <c r="C152" i="66"/>
  <c r="C159" i="66" s="1"/>
  <c r="C9" i="67"/>
  <c r="C115" i="67"/>
  <c r="C118" i="67" s="1"/>
  <c r="C115" i="63"/>
  <c r="C118" i="63" s="1"/>
  <c r="C9" i="63"/>
  <c r="C150" i="67"/>
  <c r="C162" i="67" s="1"/>
  <c r="C157" i="67"/>
  <c r="C152" i="67"/>
  <c r="C159" i="67" s="1"/>
  <c r="C112" i="65"/>
  <c r="C167" i="65" s="1"/>
  <c r="C99" i="67"/>
  <c r="C111" i="67" s="1"/>
  <c r="C101" i="67"/>
  <c r="C108" i="67" s="1"/>
  <c r="C106" i="67"/>
  <c r="C110" i="67" s="1"/>
  <c r="C99" i="64"/>
  <c r="C111" i="64" s="1"/>
  <c r="C106" i="64"/>
  <c r="C110" i="64" s="1"/>
  <c r="C101" i="64"/>
  <c r="C108" i="64" s="1"/>
  <c r="C99" i="66"/>
  <c r="C111" i="66" s="1"/>
  <c r="C101" i="66"/>
  <c r="C108" i="66" s="1"/>
  <c r="C106" i="66"/>
  <c r="C110" i="66" s="1"/>
  <c r="C106" i="63"/>
  <c r="C110" i="63" s="1"/>
  <c r="C99" i="63"/>
  <c r="C111" i="63" s="1"/>
  <c r="C101" i="63"/>
  <c r="C108" i="63" s="1"/>
  <c r="C150" i="53"/>
  <c r="C162" i="53" s="1"/>
  <c r="C152" i="53"/>
  <c r="C159" i="53" s="1"/>
  <c r="I88" i="62"/>
  <c r="I105" i="62"/>
  <c r="I71" i="62"/>
  <c r="K269" i="45"/>
  <c r="J59" i="62"/>
  <c r="C99" i="62"/>
  <c r="C111" i="62" s="1"/>
  <c r="C101" i="62"/>
  <c r="C108" i="62" s="1"/>
  <c r="C106" i="62"/>
  <c r="C110" i="62" s="1"/>
  <c r="J87" i="62"/>
  <c r="J104" i="62"/>
  <c r="J121" i="62"/>
  <c r="J70" i="62"/>
  <c r="C9" i="62"/>
  <c r="C115" i="62"/>
  <c r="C118" i="62" s="1"/>
  <c r="I105" i="58"/>
  <c r="I88" i="58"/>
  <c r="I71" i="58"/>
  <c r="I86" i="62"/>
  <c r="I103" i="62"/>
  <c r="I120" i="62"/>
  <c r="I155" i="62"/>
  <c r="I138" i="62"/>
  <c r="I71" i="57"/>
  <c r="I88" i="57"/>
  <c r="I105" i="57"/>
  <c r="K187" i="45"/>
  <c r="J56" i="62"/>
  <c r="C157" i="62"/>
  <c r="C152" i="62"/>
  <c r="C159" i="62" s="1"/>
  <c r="I71" i="61"/>
  <c r="I88" i="61"/>
  <c r="I105" i="61"/>
  <c r="J155" i="61"/>
  <c r="J138" i="61"/>
  <c r="O153" i="45"/>
  <c r="N55" i="61"/>
  <c r="N69" i="61" s="1"/>
  <c r="C115" i="61"/>
  <c r="C118" i="61" s="1"/>
  <c r="C9" i="61"/>
  <c r="K266" i="45"/>
  <c r="J59" i="61"/>
  <c r="J87" i="61"/>
  <c r="J121" i="61"/>
  <c r="J70" i="61"/>
  <c r="I120" i="61"/>
  <c r="I86" i="61"/>
  <c r="I103" i="61"/>
  <c r="K185" i="45"/>
  <c r="J56" i="61"/>
  <c r="C150" i="61"/>
  <c r="C162" i="61" s="1"/>
  <c r="C152" i="61"/>
  <c r="C159" i="61" s="1"/>
  <c r="C157" i="61"/>
  <c r="C99" i="61"/>
  <c r="C111" i="61" s="1"/>
  <c r="C101" i="61"/>
  <c r="C108" i="61" s="1"/>
  <c r="C106" i="61"/>
  <c r="C110" i="61" s="1"/>
  <c r="C157" i="51"/>
  <c r="C157" i="57"/>
  <c r="C157" i="53"/>
  <c r="J192" i="45"/>
  <c r="J57" i="52" s="1"/>
  <c r="H120" i="51"/>
  <c r="H103" i="51"/>
  <c r="H86" i="51"/>
  <c r="H120" i="55"/>
  <c r="H86" i="55"/>
  <c r="H103" i="55"/>
  <c r="K159" i="45"/>
  <c r="K55" i="53" s="1"/>
  <c r="J69" i="53"/>
  <c r="J306" i="45"/>
  <c r="I138" i="58"/>
  <c r="H86" i="57"/>
  <c r="H103" i="57"/>
  <c r="H120" i="57"/>
  <c r="J193" i="45"/>
  <c r="J57" i="57" s="1"/>
  <c r="H103" i="52"/>
  <c r="H86" i="52"/>
  <c r="H120" i="52"/>
  <c r="J87" i="57"/>
  <c r="J70" i="57"/>
  <c r="J104" i="57"/>
  <c r="J121" i="57"/>
  <c r="J302" i="45"/>
  <c r="I155" i="58"/>
  <c r="I155" i="57"/>
  <c r="I138" i="57"/>
  <c r="J190" i="45"/>
  <c r="J56" i="51" s="1"/>
  <c r="K158" i="45"/>
  <c r="K55" i="51" s="1"/>
  <c r="J69" i="51"/>
  <c r="K292" i="45"/>
  <c r="K70" i="53" s="1"/>
  <c r="J104" i="53"/>
  <c r="J121" i="53"/>
  <c r="K289" i="45"/>
  <c r="J87" i="55"/>
  <c r="J104" i="55"/>
  <c r="J70" i="55"/>
  <c r="J121" i="55"/>
  <c r="J87" i="38"/>
  <c r="J70" i="38"/>
  <c r="J121" i="38"/>
  <c r="J104" i="38"/>
  <c r="K162" i="45"/>
  <c r="K56" i="58" s="1"/>
  <c r="J69" i="58"/>
  <c r="K293" i="45"/>
  <c r="K54" i="52" s="1"/>
  <c r="J87" i="53"/>
  <c r="J87" i="52"/>
  <c r="J70" i="52"/>
  <c r="J104" i="52"/>
  <c r="J121" i="52"/>
  <c r="J69" i="57"/>
  <c r="K287" i="45"/>
  <c r="J104" i="51"/>
  <c r="J121" i="51"/>
  <c r="J87" i="51"/>
  <c r="J70" i="51"/>
  <c r="K288" i="45"/>
  <c r="H120" i="53"/>
  <c r="H103" i="53"/>
  <c r="H86" i="53"/>
  <c r="H103" i="58"/>
  <c r="H120" i="58"/>
  <c r="H86" i="58"/>
  <c r="K164" i="45"/>
  <c r="K56" i="55" s="1"/>
  <c r="J69" i="55"/>
  <c r="J189" i="45"/>
  <c r="J56" i="64" s="1"/>
  <c r="J191" i="45"/>
  <c r="J56" i="53" s="1"/>
  <c r="J194" i="45"/>
  <c r="J57" i="58" s="1"/>
  <c r="J186" i="45"/>
  <c r="J56" i="38" s="1"/>
  <c r="K160" i="45"/>
  <c r="K56" i="52" s="1"/>
  <c r="J69" i="52"/>
  <c r="K295" i="45"/>
  <c r="J121" i="58"/>
  <c r="J87" i="58"/>
  <c r="J70" i="58"/>
  <c r="J104" i="58"/>
  <c r="J300" i="45"/>
  <c r="I155" i="55"/>
  <c r="I138" i="55"/>
  <c r="I155" i="38"/>
  <c r="I138" i="38"/>
  <c r="J298" i="45"/>
  <c r="I155" i="51"/>
  <c r="I138" i="51"/>
  <c r="K304" i="45"/>
  <c r="K55" i="52" s="1"/>
  <c r="J138" i="52"/>
  <c r="J155" i="52"/>
  <c r="J188" i="45"/>
  <c r="J56" i="63" s="1"/>
  <c r="J303" i="45"/>
  <c r="I155" i="53"/>
  <c r="I138" i="53"/>
  <c r="C101" i="55"/>
  <c r="C108" i="55" s="1"/>
  <c r="C106" i="55"/>
  <c r="C110" i="55" s="1"/>
  <c r="C101" i="51"/>
  <c r="C108" i="51" s="1"/>
  <c r="C106" i="51"/>
  <c r="C110" i="51" s="1"/>
  <c r="C115" i="53"/>
  <c r="C9" i="53"/>
  <c r="C106" i="57"/>
  <c r="C110" i="57" s="1"/>
  <c r="C101" i="57"/>
  <c r="C108" i="57" s="1"/>
  <c r="C9" i="51"/>
  <c r="C115" i="51"/>
  <c r="C9" i="58"/>
  <c r="C115" i="58"/>
  <c r="C106" i="52"/>
  <c r="C110" i="52" s="1"/>
  <c r="C101" i="52"/>
  <c r="C108" i="52" s="1"/>
  <c r="C101" i="53"/>
  <c r="C108" i="53" s="1"/>
  <c r="C106" i="53"/>
  <c r="C123" i="55"/>
  <c r="C127" i="55" s="1"/>
  <c r="C118" i="55"/>
  <c r="C125" i="55" s="1"/>
  <c r="C115" i="52"/>
  <c r="C9" i="52"/>
  <c r="C9" i="57"/>
  <c r="C115" i="57"/>
  <c r="K299" i="45"/>
  <c r="K291" i="45"/>
  <c r="K54" i="57" s="1"/>
  <c r="H22" i="45"/>
  <c r="J105" i="51" l="1"/>
  <c r="J88" i="51"/>
  <c r="J71" i="51"/>
  <c r="K280" i="45"/>
  <c r="K60" i="57"/>
  <c r="L294" i="45"/>
  <c r="K87" i="67"/>
  <c r="K70" i="67"/>
  <c r="K104" i="67"/>
  <c r="K121" i="67"/>
  <c r="K54" i="67"/>
  <c r="K87" i="65"/>
  <c r="K121" i="65"/>
  <c r="K104" i="65"/>
  <c r="K70" i="65"/>
  <c r="K54" i="65"/>
  <c r="K54" i="58"/>
  <c r="J71" i="52"/>
  <c r="J88" i="52"/>
  <c r="J105" i="52"/>
  <c r="J88" i="63"/>
  <c r="J105" i="63"/>
  <c r="J71" i="63"/>
  <c r="J156" i="67"/>
  <c r="J122" i="67"/>
  <c r="J139" i="67"/>
  <c r="I122" i="55"/>
  <c r="I139" i="55"/>
  <c r="I156" i="55"/>
  <c r="J122" i="51"/>
  <c r="J156" i="51"/>
  <c r="J139" i="51"/>
  <c r="I139" i="66"/>
  <c r="I156" i="66"/>
  <c r="I122" i="66"/>
  <c r="I122" i="62"/>
  <c r="I156" i="62"/>
  <c r="I139" i="62"/>
  <c r="J156" i="52"/>
  <c r="J139" i="52"/>
  <c r="J122" i="52"/>
  <c r="J61" i="57"/>
  <c r="J60" i="62"/>
  <c r="I139" i="58"/>
  <c r="I156" i="58"/>
  <c r="I122" i="58"/>
  <c r="I139" i="61"/>
  <c r="I122" i="61"/>
  <c r="I156" i="61"/>
  <c r="J88" i="67"/>
  <c r="J71" i="67"/>
  <c r="J105" i="67"/>
  <c r="I156" i="63"/>
  <c r="I139" i="63"/>
  <c r="I122" i="63"/>
  <c r="L265" i="45"/>
  <c r="K276" i="45"/>
  <c r="K60" i="51" s="1"/>
  <c r="K59" i="51"/>
  <c r="I139" i="57"/>
  <c r="I156" i="57"/>
  <c r="I122" i="57"/>
  <c r="J88" i="55"/>
  <c r="J105" i="55"/>
  <c r="J71" i="55"/>
  <c r="L271" i="45"/>
  <c r="K282" i="45"/>
  <c r="K61" i="52" s="1"/>
  <c r="K60" i="52"/>
  <c r="J105" i="65"/>
  <c r="J88" i="65"/>
  <c r="J71" i="65"/>
  <c r="I139" i="65"/>
  <c r="I122" i="65"/>
  <c r="I156" i="65"/>
  <c r="K277" i="45"/>
  <c r="K59" i="63"/>
  <c r="J61" i="66"/>
  <c r="J60" i="64"/>
  <c r="J61" i="55"/>
  <c r="L272" i="45"/>
  <c r="K283" i="45"/>
  <c r="K61" i="67" s="1"/>
  <c r="K60" i="67"/>
  <c r="I156" i="64"/>
  <c r="I122" i="64"/>
  <c r="I139" i="64"/>
  <c r="J105" i="64"/>
  <c r="J71" i="64"/>
  <c r="J88" i="64"/>
  <c r="J61" i="65"/>
  <c r="J61" i="58"/>
  <c r="L268" i="45"/>
  <c r="K279" i="45"/>
  <c r="L270" i="45"/>
  <c r="K281" i="45"/>
  <c r="L267" i="45"/>
  <c r="K278" i="45"/>
  <c r="K60" i="66"/>
  <c r="K59" i="64"/>
  <c r="K60" i="55"/>
  <c r="J60" i="63"/>
  <c r="J60" i="61"/>
  <c r="K104" i="61"/>
  <c r="K87" i="63"/>
  <c r="K104" i="63"/>
  <c r="K70" i="63"/>
  <c r="K121" i="63"/>
  <c r="K121" i="66"/>
  <c r="K70" i="66"/>
  <c r="K87" i="66"/>
  <c r="K104" i="66"/>
  <c r="K54" i="66"/>
  <c r="K70" i="64"/>
  <c r="K104" i="64"/>
  <c r="K121" i="64"/>
  <c r="K87" i="64"/>
  <c r="K54" i="55"/>
  <c r="J71" i="66"/>
  <c r="J88" i="66"/>
  <c r="J105" i="66"/>
  <c r="L273" i="45"/>
  <c r="K284" i="45"/>
  <c r="K60" i="65"/>
  <c r="K60" i="58"/>
  <c r="L305" i="45"/>
  <c r="K155" i="67"/>
  <c r="K55" i="67"/>
  <c r="J155" i="65"/>
  <c r="J55" i="57"/>
  <c r="J138" i="67"/>
  <c r="J138" i="65"/>
  <c r="J55" i="65"/>
  <c r="J55" i="58"/>
  <c r="J138" i="66"/>
  <c r="J155" i="66"/>
  <c r="J55" i="66"/>
  <c r="J138" i="64"/>
  <c r="J155" i="64"/>
  <c r="J55" i="55"/>
  <c r="K138" i="63"/>
  <c r="K155" i="63"/>
  <c r="C129" i="66"/>
  <c r="C169" i="66" s="1"/>
  <c r="P161" i="45"/>
  <c r="O56" i="57"/>
  <c r="I86" i="67"/>
  <c r="I120" i="67"/>
  <c r="I103" i="67"/>
  <c r="L165" i="45"/>
  <c r="K56" i="66"/>
  <c r="K69" i="66" s="1"/>
  <c r="K198" i="45"/>
  <c r="J57" i="67"/>
  <c r="C129" i="64"/>
  <c r="C169" i="64" s="1"/>
  <c r="I86" i="66"/>
  <c r="I120" i="66"/>
  <c r="I103" i="66"/>
  <c r="J86" i="64"/>
  <c r="J103" i="64"/>
  <c r="J120" i="64"/>
  <c r="K197" i="45"/>
  <c r="J57" i="66"/>
  <c r="J120" i="63"/>
  <c r="J86" i="63"/>
  <c r="J103" i="63"/>
  <c r="J103" i="65"/>
  <c r="J86" i="65"/>
  <c r="J120" i="65"/>
  <c r="L196" i="45"/>
  <c r="K57" i="55"/>
  <c r="L195" i="45"/>
  <c r="K57" i="65"/>
  <c r="L163" i="45"/>
  <c r="K56" i="65"/>
  <c r="K69" i="65" s="1"/>
  <c r="L166" i="45"/>
  <c r="K56" i="67"/>
  <c r="K69" i="67" s="1"/>
  <c r="C112" i="66"/>
  <c r="C167" i="66" s="1"/>
  <c r="C185" i="66" s="1"/>
  <c r="C125" i="63"/>
  <c r="C116" i="63"/>
  <c r="C128" i="63" s="1"/>
  <c r="C123" i="63"/>
  <c r="C127" i="63" s="1"/>
  <c r="C116" i="67"/>
  <c r="C128" i="67" s="1"/>
  <c r="C125" i="67"/>
  <c r="C123" i="67"/>
  <c r="C127" i="67" s="1"/>
  <c r="C112" i="67"/>
  <c r="C167" i="67" s="1"/>
  <c r="AB56" i="75" s="1"/>
  <c r="AC56" i="75" s="1"/>
  <c r="C116" i="65"/>
  <c r="C128" i="65" s="1"/>
  <c r="C123" i="65"/>
  <c r="C127" i="65" s="1"/>
  <c r="C118" i="65"/>
  <c r="C125" i="65" s="1"/>
  <c r="C112" i="63"/>
  <c r="C167" i="63" s="1"/>
  <c r="C112" i="64"/>
  <c r="C167" i="64" s="1"/>
  <c r="C176" i="65"/>
  <c r="C185" i="65"/>
  <c r="C112" i="62"/>
  <c r="C167" i="62" s="1"/>
  <c r="C116" i="62"/>
  <c r="C128" i="62" s="1"/>
  <c r="C125" i="62"/>
  <c r="C123" i="62"/>
  <c r="C127" i="62" s="1"/>
  <c r="J71" i="58"/>
  <c r="J88" i="58"/>
  <c r="J105" i="58"/>
  <c r="J105" i="57"/>
  <c r="J71" i="57"/>
  <c r="J88" i="57"/>
  <c r="J120" i="62"/>
  <c r="J86" i="62"/>
  <c r="J103" i="62"/>
  <c r="J71" i="62"/>
  <c r="J88" i="62"/>
  <c r="J105" i="62"/>
  <c r="L269" i="45"/>
  <c r="K59" i="62"/>
  <c r="L187" i="45"/>
  <c r="K56" i="62"/>
  <c r="K87" i="62"/>
  <c r="K104" i="62"/>
  <c r="K121" i="62"/>
  <c r="K70" i="62"/>
  <c r="J155" i="62"/>
  <c r="J138" i="62"/>
  <c r="J88" i="61"/>
  <c r="J71" i="61"/>
  <c r="J105" i="61"/>
  <c r="L266" i="45"/>
  <c r="K59" i="61"/>
  <c r="K87" i="61"/>
  <c r="K70" i="61"/>
  <c r="K121" i="61"/>
  <c r="K155" i="61"/>
  <c r="K138" i="61"/>
  <c r="C116" i="61"/>
  <c r="C128" i="61" s="1"/>
  <c r="C123" i="61"/>
  <c r="C127" i="61" s="1"/>
  <c r="C125" i="61"/>
  <c r="J103" i="61"/>
  <c r="J86" i="61"/>
  <c r="J120" i="61"/>
  <c r="P153" i="45"/>
  <c r="O55" i="61"/>
  <c r="O69" i="61" s="1"/>
  <c r="L185" i="45"/>
  <c r="K56" i="61"/>
  <c r="C112" i="61"/>
  <c r="C167" i="61" s="1"/>
  <c r="AB8" i="75" s="1"/>
  <c r="AC8" i="75" s="1"/>
  <c r="I103" i="53"/>
  <c r="I86" i="53"/>
  <c r="I120" i="53"/>
  <c r="I86" i="52"/>
  <c r="I103" i="52"/>
  <c r="I120" i="52"/>
  <c r="K87" i="57"/>
  <c r="K70" i="57"/>
  <c r="K104" i="57"/>
  <c r="K121" i="57"/>
  <c r="K188" i="45"/>
  <c r="K56" i="63" s="1"/>
  <c r="I103" i="58"/>
  <c r="I120" i="58"/>
  <c r="I86" i="58"/>
  <c r="L162" i="45"/>
  <c r="L56" i="58" s="1"/>
  <c r="K69" i="58"/>
  <c r="K190" i="45"/>
  <c r="K56" i="51" s="1"/>
  <c r="K298" i="45"/>
  <c r="J155" i="51"/>
  <c r="J138" i="51"/>
  <c r="K194" i="45"/>
  <c r="K57" i="58" s="1"/>
  <c r="L289" i="45"/>
  <c r="K104" i="55"/>
  <c r="K70" i="55"/>
  <c r="K121" i="55"/>
  <c r="K87" i="55"/>
  <c r="K121" i="38"/>
  <c r="K87" i="38"/>
  <c r="K70" i="38"/>
  <c r="K104" i="38"/>
  <c r="I86" i="57"/>
  <c r="I103" i="57"/>
  <c r="I120" i="57"/>
  <c r="K193" i="45"/>
  <c r="K57" i="57" s="1"/>
  <c r="K306" i="45"/>
  <c r="J138" i="58"/>
  <c r="L295" i="45"/>
  <c r="K121" i="58"/>
  <c r="K87" i="58"/>
  <c r="K70" i="58"/>
  <c r="K104" i="58"/>
  <c r="I120" i="51"/>
  <c r="I86" i="51"/>
  <c r="I103" i="51"/>
  <c r="L159" i="45"/>
  <c r="L55" i="53" s="1"/>
  <c r="K69" i="53"/>
  <c r="I120" i="55"/>
  <c r="I86" i="55"/>
  <c r="I103" i="55"/>
  <c r="K192" i="45"/>
  <c r="K57" i="52" s="1"/>
  <c r="L304" i="45"/>
  <c r="L55" i="52" s="1"/>
  <c r="K138" i="52"/>
  <c r="K155" i="52"/>
  <c r="L160" i="45"/>
  <c r="L56" i="52" s="1"/>
  <c r="K69" i="52"/>
  <c r="L287" i="45"/>
  <c r="K104" i="51"/>
  <c r="K70" i="51"/>
  <c r="K121" i="51"/>
  <c r="K87" i="51"/>
  <c r="L292" i="45"/>
  <c r="L70" i="53" s="1"/>
  <c r="K104" i="53"/>
  <c r="K121" i="53"/>
  <c r="K191" i="45"/>
  <c r="K56" i="53" s="1"/>
  <c r="K189" i="45"/>
  <c r="K56" i="64" s="1"/>
  <c r="L293" i="45"/>
  <c r="L54" i="52" s="1"/>
  <c r="K87" i="53"/>
  <c r="K87" i="52"/>
  <c r="K70" i="52"/>
  <c r="K104" i="52"/>
  <c r="K121" i="52"/>
  <c r="K186" i="45"/>
  <c r="K56" i="38" s="1"/>
  <c r="L164" i="45"/>
  <c r="L56" i="55" s="1"/>
  <c r="K69" i="55"/>
  <c r="L288" i="45"/>
  <c r="K69" i="57"/>
  <c r="K302" i="45"/>
  <c r="J138" i="57"/>
  <c r="J155" i="57"/>
  <c r="J155" i="58"/>
  <c r="K303" i="45"/>
  <c r="J155" i="53"/>
  <c r="J138" i="53"/>
  <c r="K300" i="45"/>
  <c r="J155" i="55"/>
  <c r="J138" i="55"/>
  <c r="J155" i="38"/>
  <c r="J138" i="38"/>
  <c r="L158" i="45"/>
  <c r="L55" i="51" s="1"/>
  <c r="K69" i="51"/>
  <c r="C123" i="53"/>
  <c r="C118" i="53"/>
  <c r="C125" i="53" s="1"/>
  <c r="C123" i="58"/>
  <c r="C127" i="58" s="1"/>
  <c r="C118" i="58"/>
  <c r="C125" i="58" s="1"/>
  <c r="C123" i="51"/>
  <c r="C127" i="51" s="1"/>
  <c r="C118" i="51"/>
  <c r="C125" i="51" s="1"/>
  <c r="C118" i="57"/>
  <c r="C125" i="57" s="1"/>
  <c r="C123" i="57"/>
  <c r="C127" i="57" s="1"/>
  <c r="C123" i="52"/>
  <c r="C127" i="52" s="1"/>
  <c r="C118" i="52"/>
  <c r="C125" i="52" s="1"/>
  <c r="L299" i="45"/>
  <c r="L291" i="45"/>
  <c r="L54" i="57" s="1"/>
  <c r="I22" i="45"/>
  <c r="C175" i="66" l="1"/>
  <c r="AB26" i="75"/>
  <c r="AC26" i="75" s="1"/>
  <c r="D67" i="74"/>
  <c r="AB16" i="75"/>
  <c r="AC16" i="75" s="1"/>
  <c r="D75" i="74"/>
  <c r="AB24" i="75"/>
  <c r="AC24" i="75" s="1"/>
  <c r="D59" i="74"/>
  <c r="D8" i="75"/>
  <c r="E8" i="75" s="1"/>
  <c r="C175" i="64"/>
  <c r="D77" i="74"/>
  <c r="C185" i="67"/>
  <c r="D107" i="74"/>
  <c r="M272" i="45"/>
  <c r="L283" i="45"/>
  <c r="L61" i="67" s="1"/>
  <c r="L60" i="67"/>
  <c r="J122" i="58"/>
  <c r="J139" i="58"/>
  <c r="J156" i="58"/>
  <c r="J122" i="64"/>
  <c r="J156" i="64"/>
  <c r="J139" i="64"/>
  <c r="K88" i="55"/>
  <c r="K71" i="55"/>
  <c r="K105" i="55"/>
  <c r="K71" i="65"/>
  <c r="K88" i="65"/>
  <c r="K105" i="65"/>
  <c r="K71" i="64"/>
  <c r="K88" i="64"/>
  <c r="K105" i="64"/>
  <c r="K60" i="63"/>
  <c r="K60" i="61"/>
  <c r="K61" i="57"/>
  <c r="K60" i="62"/>
  <c r="M270" i="45"/>
  <c r="L281" i="45"/>
  <c r="J122" i="62"/>
  <c r="J156" i="62"/>
  <c r="J139" i="62"/>
  <c r="K156" i="52"/>
  <c r="K122" i="52"/>
  <c r="K139" i="52"/>
  <c r="L280" i="45"/>
  <c r="L60" i="57"/>
  <c r="K105" i="63"/>
  <c r="K71" i="63"/>
  <c r="K88" i="63"/>
  <c r="K61" i="65"/>
  <c r="K61" i="58"/>
  <c r="K71" i="66"/>
  <c r="K88" i="66"/>
  <c r="K105" i="66"/>
  <c r="K139" i="51"/>
  <c r="K156" i="51"/>
  <c r="K122" i="51"/>
  <c r="M268" i="45"/>
  <c r="L279" i="45"/>
  <c r="J156" i="65"/>
  <c r="J122" i="65"/>
  <c r="J139" i="65"/>
  <c r="M273" i="45"/>
  <c r="L284" i="45"/>
  <c r="L60" i="65"/>
  <c r="L60" i="58"/>
  <c r="K61" i="66"/>
  <c r="K60" i="64"/>
  <c r="K61" i="55"/>
  <c r="K88" i="67"/>
  <c r="K71" i="67"/>
  <c r="K105" i="67"/>
  <c r="L121" i="66"/>
  <c r="L70" i="66"/>
  <c r="L87" i="66"/>
  <c r="L104" i="66"/>
  <c r="L54" i="66"/>
  <c r="L104" i="64"/>
  <c r="L121" i="64"/>
  <c r="L70" i="64"/>
  <c r="L87" i="64"/>
  <c r="L54" i="55"/>
  <c r="L277" i="45"/>
  <c r="L59" i="63"/>
  <c r="M265" i="45"/>
  <c r="L276" i="45"/>
  <c r="L60" i="51" s="1"/>
  <c r="L59" i="51"/>
  <c r="J156" i="55"/>
  <c r="J122" i="55"/>
  <c r="J139" i="55"/>
  <c r="M271" i="45"/>
  <c r="L282" i="45"/>
  <c r="L61" i="52" s="1"/>
  <c r="L60" i="52"/>
  <c r="M294" i="45"/>
  <c r="L87" i="67"/>
  <c r="L104" i="67"/>
  <c r="L70" i="67"/>
  <c r="L121" i="67"/>
  <c r="L54" i="67"/>
  <c r="L104" i="61"/>
  <c r="L121" i="63"/>
  <c r="L87" i="63"/>
  <c r="L104" i="63"/>
  <c r="L70" i="63"/>
  <c r="L87" i="65"/>
  <c r="L104" i="65"/>
  <c r="L121" i="65"/>
  <c r="L70" i="65"/>
  <c r="L54" i="65"/>
  <c r="L54" i="58"/>
  <c r="M267" i="45"/>
  <c r="L278" i="45"/>
  <c r="L60" i="66"/>
  <c r="L59" i="64"/>
  <c r="L60" i="55"/>
  <c r="K122" i="67"/>
  <c r="K156" i="67"/>
  <c r="K139" i="67"/>
  <c r="K105" i="52"/>
  <c r="K71" i="52"/>
  <c r="K88" i="52"/>
  <c r="J139" i="57"/>
  <c r="J156" i="57"/>
  <c r="J122" i="57"/>
  <c r="J139" i="61"/>
  <c r="J156" i="61"/>
  <c r="J122" i="61"/>
  <c r="J156" i="63"/>
  <c r="J139" i="63"/>
  <c r="J122" i="63"/>
  <c r="J139" i="66"/>
  <c r="J122" i="66"/>
  <c r="J156" i="66"/>
  <c r="K71" i="51"/>
  <c r="K88" i="51"/>
  <c r="K105" i="51"/>
  <c r="K138" i="67"/>
  <c r="K138" i="65"/>
  <c r="K55" i="65"/>
  <c r="K55" i="58"/>
  <c r="K155" i="65"/>
  <c r="K55" i="57"/>
  <c r="M305" i="45"/>
  <c r="L155" i="67"/>
  <c r="L55" i="67"/>
  <c r="K155" i="66"/>
  <c r="K138" i="66"/>
  <c r="K55" i="66"/>
  <c r="K138" i="64"/>
  <c r="K155" i="64"/>
  <c r="K55" i="55"/>
  <c r="L155" i="63"/>
  <c r="L138" i="63"/>
  <c r="C184" i="64"/>
  <c r="C176" i="66"/>
  <c r="C129" i="65"/>
  <c r="C169" i="65" s="1"/>
  <c r="C184" i="66"/>
  <c r="L197" i="45"/>
  <c r="K57" i="66"/>
  <c r="M196" i="45"/>
  <c r="L57" i="55"/>
  <c r="M195" i="45"/>
  <c r="L57" i="65"/>
  <c r="K103" i="64"/>
  <c r="K86" i="64"/>
  <c r="K120" i="64"/>
  <c r="K120" i="63"/>
  <c r="K103" i="63"/>
  <c r="K86" i="63"/>
  <c r="M166" i="45"/>
  <c r="L56" i="67"/>
  <c r="L69" i="67" s="1"/>
  <c r="Q161" i="45"/>
  <c r="P56" i="57"/>
  <c r="J86" i="67"/>
  <c r="J120" i="67"/>
  <c r="J103" i="67"/>
  <c r="C176" i="67"/>
  <c r="M163" i="45"/>
  <c r="L56" i="65"/>
  <c r="L69" i="65" s="1"/>
  <c r="L198" i="45"/>
  <c r="K57" i="67"/>
  <c r="K86" i="65"/>
  <c r="K103" i="65"/>
  <c r="K120" i="65"/>
  <c r="J86" i="66"/>
  <c r="J103" i="66"/>
  <c r="J120" i="66"/>
  <c r="M165" i="45"/>
  <c r="L56" i="66"/>
  <c r="L69" i="66" s="1"/>
  <c r="C129" i="63"/>
  <c r="C169" i="63" s="1"/>
  <c r="C129" i="67"/>
  <c r="C169" i="67" s="1"/>
  <c r="C185" i="64"/>
  <c r="C176" i="64"/>
  <c r="C185" i="63"/>
  <c r="C176" i="63"/>
  <c r="L87" i="62"/>
  <c r="L104" i="62"/>
  <c r="L121" i="62"/>
  <c r="L70" i="62"/>
  <c r="K138" i="62"/>
  <c r="K155" i="62"/>
  <c r="K120" i="62"/>
  <c r="K103" i="62"/>
  <c r="K86" i="62"/>
  <c r="M187" i="45"/>
  <c r="L56" i="62"/>
  <c r="K71" i="57"/>
  <c r="K88" i="57"/>
  <c r="K105" i="57"/>
  <c r="K88" i="62"/>
  <c r="K105" i="62"/>
  <c r="K71" i="62"/>
  <c r="M269" i="45"/>
  <c r="L59" i="62"/>
  <c r="K105" i="58"/>
  <c r="K88" i="58"/>
  <c r="K71" i="58"/>
  <c r="C129" i="62"/>
  <c r="C169" i="62" s="1"/>
  <c r="C176" i="62"/>
  <c r="C185" i="62"/>
  <c r="K88" i="61"/>
  <c r="K71" i="61"/>
  <c r="K105" i="61"/>
  <c r="L70" i="61"/>
  <c r="L87" i="61"/>
  <c r="L121" i="61"/>
  <c r="Q153" i="45"/>
  <c r="P55" i="61"/>
  <c r="P69" i="61" s="1"/>
  <c r="L138" i="61"/>
  <c r="L155" i="61"/>
  <c r="C185" i="61"/>
  <c r="C176" i="61"/>
  <c r="M266" i="45"/>
  <c r="L59" i="61"/>
  <c r="C129" i="61"/>
  <c r="C169" i="61" s="1"/>
  <c r="K103" i="61"/>
  <c r="K86" i="61"/>
  <c r="K120" i="61"/>
  <c r="M185" i="45"/>
  <c r="L56" i="61"/>
  <c r="L186" i="45"/>
  <c r="L56" i="38" s="1"/>
  <c r="J120" i="55"/>
  <c r="J86" i="55"/>
  <c r="J103" i="55"/>
  <c r="L188" i="45"/>
  <c r="L56" i="63" s="1"/>
  <c r="L303" i="45"/>
  <c r="K155" i="53"/>
  <c r="K138" i="53"/>
  <c r="M292" i="45"/>
  <c r="M70" i="53" s="1"/>
  <c r="L104" i="53"/>
  <c r="L121" i="53"/>
  <c r="M158" i="45"/>
  <c r="M55" i="51" s="1"/>
  <c r="L69" i="51"/>
  <c r="M164" i="45"/>
  <c r="M56" i="55" s="1"/>
  <c r="L69" i="55"/>
  <c r="J103" i="58"/>
  <c r="J120" i="58"/>
  <c r="J86" i="58"/>
  <c r="L87" i="57"/>
  <c r="L70" i="57"/>
  <c r="L104" i="57"/>
  <c r="L121" i="57"/>
  <c r="J120" i="51"/>
  <c r="J86" i="51"/>
  <c r="J103" i="51"/>
  <c r="L300" i="45"/>
  <c r="K155" i="55"/>
  <c r="K138" i="55"/>
  <c r="K155" i="38"/>
  <c r="K138" i="38"/>
  <c r="M288" i="45"/>
  <c r="L189" i="45"/>
  <c r="L56" i="64" s="1"/>
  <c r="M304" i="45"/>
  <c r="M55" i="52" s="1"/>
  <c r="L138" i="52"/>
  <c r="L155" i="52"/>
  <c r="M159" i="45"/>
  <c r="M55" i="53" s="1"/>
  <c r="L69" i="53"/>
  <c r="M289" i="45"/>
  <c r="L104" i="55"/>
  <c r="L70" i="55"/>
  <c r="L121" i="55"/>
  <c r="L87" i="55"/>
  <c r="L104" i="38"/>
  <c r="L121" i="38"/>
  <c r="L87" i="38"/>
  <c r="L70" i="38"/>
  <c r="J86" i="52"/>
  <c r="J103" i="52"/>
  <c r="J120" i="52"/>
  <c r="M295" i="45"/>
  <c r="L121" i="58"/>
  <c r="L87" i="58"/>
  <c r="L70" i="58"/>
  <c r="L104" i="58"/>
  <c r="L190" i="45"/>
  <c r="L56" i="51" s="1"/>
  <c r="J86" i="53"/>
  <c r="J103" i="53"/>
  <c r="J120" i="53"/>
  <c r="L194" i="45"/>
  <c r="L57" i="58" s="1"/>
  <c r="M162" i="45"/>
  <c r="M56" i="58" s="1"/>
  <c r="L69" i="58"/>
  <c r="L191" i="45"/>
  <c r="L56" i="53" s="1"/>
  <c r="M293" i="45"/>
  <c r="M54" i="52" s="1"/>
  <c r="L87" i="53"/>
  <c r="L87" i="52"/>
  <c r="L70" i="52"/>
  <c r="L104" i="52"/>
  <c r="L121" i="52"/>
  <c r="M287" i="45"/>
  <c r="L70" i="51"/>
  <c r="L121" i="51"/>
  <c r="L87" i="51"/>
  <c r="L104" i="51"/>
  <c r="L192" i="45"/>
  <c r="L57" i="52" s="1"/>
  <c r="L69" i="57"/>
  <c r="L306" i="45"/>
  <c r="K138" i="58"/>
  <c r="J86" i="57"/>
  <c r="J103" i="57"/>
  <c r="J120" i="57"/>
  <c r="L302" i="45"/>
  <c r="K155" i="58"/>
  <c r="K155" i="57"/>
  <c r="K138" i="57"/>
  <c r="M160" i="45"/>
  <c r="M56" i="52" s="1"/>
  <c r="L69" i="52"/>
  <c r="L193" i="45"/>
  <c r="L57" i="57" s="1"/>
  <c r="L298" i="45"/>
  <c r="K138" i="51"/>
  <c r="K155" i="51"/>
  <c r="M299" i="45"/>
  <c r="M291" i="45"/>
  <c r="M54" i="57" s="1"/>
  <c r="J22" i="45"/>
  <c r="C184" i="65" l="1"/>
  <c r="AB10" i="75"/>
  <c r="AC10" i="75" s="1"/>
  <c r="D69" i="74"/>
  <c r="AB18" i="75"/>
  <c r="AC18" i="75" s="1"/>
  <c r="D109" i="74"/>
  <c r="AB58" i="75"/>
  <c r="AC58" i="75" s="1"/>
  <c r="D61" i="74"/>
  <c r="D10" i="75"/>
  <c r="E10" i="75" s="1"/>
  <c r="K156" i="55"/>
  <c r="K122" i="55"/>
  <c r="K139" i="55"/>
  <c r="L61" i="65"/>
  <c r="L61" i="58"/>
  <c r="L88" i="51"/>
  <c r="L105" i="51"/>
  <c r="L71" i="51"/>
  <c r="M280" i="45"/>
  <c r="M60" i="57"/>
  <c r="L139" i="51"/>
  <c r="L156" i="51"/>
  <c r="L122" i="51"/>
  <c r="L122" i="67"/>
  <c r="L156" i="67"/>
  <c r="L139" i="67"/>
  <c r="N268" i="45"/>
  <c r="M279" i="45"/>
  <c r="M121" i="66"/>
  <c r="M70" i="66"/>
  <c r="M87" i="66"/>
  <c r="M104" i="66"/>
  <c r="M54" i="66"/>
  <c r="M104" i="64"/>
  <c r="M121" i="64"/>
  <c r="M70" i="64"/>
  <c r="M87" i="64"/>
  <c r="M54" i="55"/>
  <c r="K139" i="63"/>
  <c r="K122" i="63"/>
  <c r="K156" i="63"/>
  <c r="L105" i="66"/>
  <c r="L88" i="66"/>
  <c r="L71" i="66"/>
  <c r="N267" i="45"/>
  <c r="M278" i="45"/>
  <c r="M60" i="66"/>
  <c r="M59" i="64"/>
  <c r="M60" i="55"/>
  <c r="N265" i="45"/>
  <c r="M276" i="45"/>
  <c r="M60" i="51" s="1"/>
  <c r="M59" i="51"/>
  <c r="K139" i="58"/>
  <c r="K156" i="58"/>
  <c r="K122" i="58"/>
  <c r="N272" i="45"/>
  <c r="M283" i="45"/>
  <c r="M61" i="67" s="1"/>
  <c r="M60" i="67"/>
  <c r="K122" i="64"/>
  <c r="K139" i="64"/>
  <c r="K156" i="64"/>
  <c r="L61" i="57"/>
  <c r="L60" i="62"/>
  <c r="M277" i="45"/>
  <c r="M59" i="63"/>
  <c r="M104" i="61"/>
  <c r="M121" i="63"/>
  <c r="M87" i="63"/>
  <c r="M104" i="63"/>
  <c r="M70" i="63"/>
  <c r="L105" i="63"/>
  <c r="L71" i="63"/>
  <c r="L88" i="63"/>
  <c r="K156" i="65"/>
  <c r="K122" i="65"/>
  <c r="K139" i="65"/>
  <c r="K139" i="66"/>
  <c r="K156" i="66"/>
  <c r="K122" i="66"/>
  <c r="N273" i="45"/>
  <c r="M284" i="45"/>
  <c r="M60" i="65"/>
  <c r="M60" i="58"/>
  <c r="L60" i="63"/>
  <c r="L60" i="61"/>
  <c r="N270" i="45"/>
  <c r="M281" i="45"/>
  <c r="L71" i="52"/>
  <c r="L88" i="52"/>
  <c r="L105" i="52"/>
  <c r="K156" i="57"/>
  <c r="K122" i="57"/>
  <c r="K139" i="57"/>
  <c r="L139" i="52"/>
  <c r="L156" i="52"/>
  <c r="L122" i="52"/>
  <c r="K122" i="61"/>
  <c r="K139" i="61"/>
  <c r="K156" i="61"/>
  <c r="M87" i="65"/>
  <c r="M104" i="65"/>
  <c r="M121" i="65"/>
  <c r="M70" i="65"/>
  <c r="M54" i="65"/>
  <c r="M54" i="58"/>
  <c r="L105" i="55"/>
  <c r="L71" i="55"/>
  <c r="L88" i="55"/>
  <c r="N271" i="45"/>
  <c r="M282" i="45"/>
  <c r="M61" i="52" s="1"/>
  <c r="M60" i="52"/>
  <c r="L71" i="64"/>
  <c r="L105" i="64"/>
  <c r="L88" i="64"/>
  <c r="L71" i="65"/>
  <c r="L105" i="65"/>
  <c r="L88" i="65"/>
  <c r="L61" i="66"/>
  <c r="L60" i="64"/>
  <c r="L61" i="55"/>
  <c r="L71" i="67"/>
  <c r="L105" i="67"/>
  <c r="L88" i="67"/>
  <c r="N294" i="45"/>
  <c r="M104" i="67"/>
  <c r="M70" i="67"/>
  <c r="M87" i="67"/>
  <c r="M121" i="67"/>
  <c r="M54" i="67"/>
  <c r="K139" i="62"/>
  <c r="K156" i="62"/>
  <c r="K122" i="62"/>
  <c r="N305" i="45"/>
  <c r="M155" i="67"/>
  <c r="M55" i="67"/>
  <c r="L155" i="65"/>
  <c r="L55" i="57"/>
  <c r="L138" i="65"/>
  <c r="L138" i="67"/>
  <c r="L55" i="65"/>
  <c r="L55" i="58"/>
  <c r="L155" i="66"/>
  <c r="L138" i="66"/>
  <c r="L55" i="66"/>
  <c r="L138" i="64"/>
  <c r="L155" i="64"/>
  <c r="L55" i="55"/>
  <c r="M155" i="63"/>
  <c r="M138" i="63"/>
  <c r="C175" i="65"/>
  <c r="N165" i="45"/>
  <c r="M56" i="66"/>
  <c r="M69" i="66" s="1"/>
  <c r="N163" i="45"/>
  <c r="M56" i="65"/>
  <c r="M69" i="65" s="1"/>
  <c r="L86" i="64"/>
  <c r="L120" i="64"/>
  <c r="L103" i="64"/>
  <c r="L120" i="63"/>
  <c r="L103" i="63"/>
  <c r="L86" i="63"/>
  <c r="K86" i="67"/>
  <c r="K103" i="67"/>
  <c r="K120" i="67"/>
  <c r="R161" i="45"/>
  <c r="Q56" i="57"/>
  <c r="L103" i="65"/>
  <c r="L86" i="65"/>
  <c r="L120" i="65"/>
  <c r="M198" i="45"/>
  <c r="L57" i="67"/>
  <c r="N195" i="45"/>
  <c r="M57" i="65"/>
  <c r="N166" i="45"/>
  <c r="M56" i="67"/>
  <c r="M69" i="67" s="1"/>
  <c r="K86" i="66"/>
  <c r="K103" i="66"/>
  <c r="K120" i="66"/>
  <c r="M197" i="45"/>
  <c r="L57" i="66"/>
  <c r="N196" i="45"/>
  <c r="M57" i="55"/>
  <c r="C184" i="63"/>
  <c r="C175" i="63"/>
  <c r="C184" i="67"/>
  <c r="C175" i="67"/>
  <c r="L71" i="58"/>
  <c r="L88" i="58"/>
  <c r="L105" i="58"/>
  <c r="L105" i="57"/>
  <c r="L71" i="57"/>
  <c r="L88" i="57"/>
  <c r="L71" i="62"/>
  <c r="L88" i="62"/>
  <c r="L105" i="62"/>
  <c r="N269" i="45"/>
  <c r="M59" i="62"/>
  <c r="L138" i="62"/>
  <c r="L155" i="62"/>
  <c r="C175" i="62"/>
  <c r="C184" i="62"/>
  <c r="M70" i="62"/>
  <c r="M87" i="62"/>
  <c r="M104" i="62"/>
  <c r="M121" i="62"/>
  <c r="L103" i="62"/>
  <c r="L86" i="62"/>
  <c r="L120" i="62"/>
  <c r="N187" i="45"/>
  <c r="M56" i="62"/>
  <c r="L88" i="61"/>
  <c r="L71" i="61"/>
  <c r="L105" i="61"/>
  <c r="C184" i="61"/>
  <c r="C175" i="61"/>
  <c r="M121" i="61"/>
  <c r="M70" i="61"/>
  <c r="M87" i="61"/>
  <c r="M155" i="61"/>
  <c r="M138" i="61"/>
  <c r="L86" i="61"/>
  <c r="L103" i="61"/>
  <c r="L120" i="61"/>
  <c r="R153" i="45"/>
  <c r="Q55" i="61"/>
  <c r="Q69" i="61" s="1"/>
  <c r="N185" i="45"/>
  <c r="M56" i="61"/>
  <c r="N266" i="45"/>
  <c r="M59" i="61"/>
  <c r="N293" i="45"/>
  <c r="N54" i="52" s="1"/>
  <c r="M87" i="53"/>
  <c r="M87" i="52"/>
  <c r="M121" i="52"/>
  <c r="M70" i="52"/>
  <c r="M104" i="52"/>
  <c r="M190" i="45"/>
  <c r="M56" i="51" s="1"/>
  <c r="M193" i="45"/>
  <c r="M57" i="57" s="1"/>
  <c r="N304" i="45"/>
  <c r="N55" i="52" s="1"/>
  <c r="M138" i="52"/>
  <c r="M155" i="52"/>
  <c r="K120" i="51"/>
  <c r="K86" i="51"/>
  <c r="K103" i="51"/>
  <c r="N160" i="45"/>
  <c r="N56" i="52" s="1"/>
  <c r="M69" i="52"/>
  <c r="M306" i="45"/>
  <c r="L138" i="58"/>
  <c r="N287" i="45"/>
  <c r="M104" i="51"/>
  <c r="M70" i="51"/>
  <c r="M87" i="51"/>
  <c r="M121" i="51"/>
  <c r="K120" i="53"/>
  <c r="K86" i="53"/>
  <c r="K103" i="53"/>
  <c r="M189" i="45"/>
  <c r="M56" i="64" s="1"/>
  <c r="M300" i="45"/>
  <c r="L138" i="55"/>
  <c r="L155" i="55"/>
  <c r="L138" i="38"/>
  <c r="L155" i="38"/>
  <c r="N292" i="45"/>
  <c r="N70" i="53" s="1"/>
  <c r="M104" i="53"/>
  <c r="M121" i="53"/>
  <c r="M188" i="45"/>
  <c r="M56" i="63" s="1"/>
  <c r="M302" i="45"/>
  <c r="L155" i="57"/>
  <c r="L155" i="58"/>
  <c r="L138" i="57"/>
  <c r="M191" i="45"/>
  <c r="M56" i="53" s="1"/>
  <c r="N295" i="45"/>
  <c r="M121" i="58"/>
  <c r="M87" i="58"/>
  <c r="M70" i="58"/>
  <c r="M104" i="58"/>
  <c r="M87" i="57"/>
  <c r="M70" i="57"/>
  <c r="M104" i="57"/>
  <c r="M121" i="57"/>
  <c r="M69" i="57"/>
  <c r="N289" i="45"/>
  <c r="M104" i="55"/>
  <c r="M70" i="55"/>
  <c r="M121" i="55"/>
  <c r="M87" i="55"/>
  <c r="M70" i="38"/>
  <c r="M104" i="38"/>
  <c r="M121" i="38"/>
  <c r="M87" i="38"/>
  <c r="N158" i="45"/>
  <c r="N55" i="51" s="1"/>
  <c r="M69" i="51"/>
  <c r="K120" i="55"/>
  <c r="K86" i="55"/>
  <c r="K103" i="55"/>
  <c r="N164" i="45"/>
  <c r="N56" i="55" s="1"/>
  <c r="M69" i="55"/>
  <c r="M192" i="45"/>
  <c r="M57" i="52" s="1"/>
  <c r="K103" i="52"/>
  <c r="K86" i="52"/>
  <c r="K120" i="52"/>
  <c r="N159" i="45"/>
  <c r="N55" i="53" s="1"/>
  <c r="M69" i="53"/>
  <c r="N288" i="45"/>
  <c r="M303" i="45"/>
  <c r="L138" i="53"/>
  <c r="L155" i="53"/>
  <c r="M298" i="45"/>
  <c r="L138" i="51"/>
  <c r="L155" i="51"/>
  <c r="N162" i="45"/>
  <c r="N56" i="58" s="1"/>
  <c r="M69" i="58"/>
  <c r="K86" i="58"/>
  <c r="K120" i="58"/>
  <c r="K103" i="58"/>
  <c r="K86" i="57"/>
  <c r="K120" i="57"/>
  <c r="K103" i="57"/>
  <c r="M194" i="45"/>
  <c r="M57" i="58" s="1"/>
  <c r="M186" i="45"/>
  <c r="M56" i="38" s="1"/>
  <c r="N299" i="45"/>
  <c r="N291" i="45"/>
  <c r="N54" i="57" s="1"/>
  <c r="K22" i="45"/>
  <c r="O273" i="45" l="1"/>
  <c r="N284" i="45"/>
  <c r="N60" i="65"/>
  <c r="N60" i="58"/>
  <c r="O267" i="45"/>
  <c r="N278" i="45"/>
  <c r="N60" i="66"/>
  <c r="N59" i="64"/>
  <c r="N60" i="55"/>
  <c r="O272" i="45"/>
  <c r="N283" i="45"/>
  <c r="N61" i="67" s="1"/>
  <c r="N60" i="67"/>
  <c r="M122" i="51"/>
  <c r="M156" i="51"/>
  <c r="M139" i="51"/>
  <c r="L122" i="55"/>
  <c r="L139" i="55"/>
  <c r="L156" i="55"/>
  <c r="L139" i="61"/>
  <c r="L156" i="61"/>
  <c r="L122" i="61"/>
  <c r="L139" i="57"/>
  <c r="L156" i="57"/>
  <c r="L122" i="57"/>
  <c r="O265" i="45"/>
  <c r="N276" i="45"/>
  <c r="N60" i="51" s="1"/>
  <c r="N59" i="51"/>
  <c r="L139" i="65"/>
  <c r="L122" i="65"/>
  <c r="L156" i="65"/>
  <c r="M88" i="52"/>
  <c r="M105" i="52"/>
  <c r="M71" i="52"/>
  <c r="M139" i="52"/>
  <c r="M122" i="52"/>
  <c r="M156" i="52"/>
  <c r="O271" i="45"/>
  <c r="N282" i="45"/>
  <c r="N61" i="52" s="1"/>
  <c r="N60" i="52"/>
  <c r="O268" i="45"/>
  <c r="N279" i="45"/>
  <c r="N277" i="45"/>
  <c r="N59" i="63"/>
  <c r="L139" i="64"/>
  <c r="L122" i="64"/>
  <c r="L156" i="64"/>
  <c r="L156" i="63"/>
  <c r="L139" i="63"/>
  <c r="L122" i="63"/>
  <c r="M71" i="55"/>
  <c r="M88" i="55"/>
  <c r="M105" i="55"/>
  <c r="M122" i="67"/>
  <c r="M139" i="67"/>
  <c r="M156" i="67"/>
  <c r="M61" i="57"/>
  <c r="M60" i="62"/>
  <c r="M71" i="51"/>
  <c r="M88" i="51"/>
  <c r="M105" i="51"/>
  <c r="O270" i="45"/>
  <c r="N281" i="45"/>
  <c r="N87" i="65"/>
  <c r="N70" i="65"/>
  <c r="N121" i="65"/>
  <c r="N104" i="65"/>
  <c r="N54" i="65"/>
  <c r="N54" i="58"/>
  <c r="L122" i="66"/>
  <c r="L156" i="66"/>
  <c r="L139" i="66"/>
  <c r="M88" i="64"/>
  <c r="M71" i="64"/>
  <c r="M105" i="64"/>
  <c r="N280" i="45"/>
  <c r="N60" i="57"/>
  <c r="O294" i="45"/>
  <c r="N121" i="67"/>
  <c r="N87" i="67"/>
  <c r="N104" i="67"/>
  <c r="N70" i="67"/>
  <c r="N54" i="67"/>
  <c r="N70" i="66"/>
  <c r="N121" i="66"/>
  <c r="N87" i="66"/>
  <c r="N104" i="66"/>
  <c r="N54" i="66"/>
  <c r="N121" i="64"/>
  <c r="N87" i="64"/>
  <c r="N70" i="64"/>
  <c r="N104" i="64"/>
  <c r="N54" i="55"/>
  <c r="L122" i="62"/>
  <c r="L156" i="62"/>
  <c r="L139" i="62"/>
  <c r="M105" i="65"/>
  <c r="M71" i="65"/>
  <c r="M88" i="65"/>
  <c r="M71" i="66"/>
  <c r="M88" i="66"/>
  <c r="M105" i="66"/>
  <c r="M71" i="63"/>
  <c r="M88" i="63"/>
  <c r="M105" i="63"/>
  <c r="N104" i="61"/>
  <c r="N121" i="63"/>
  <c r="N87" i="63"/>
  <c r="N70" i="63"/>
  <c r="N104" i="63"/>
  <c r="M60" i="63"/>
  <c r="M60" i="61"/>
  <c r="L156" i="58"/>
  <c r="L122" i="58"/>
  <c r="L139" i="58"/>
  <c r="M61" i="65"/>
  <c r="M61" i="58"/>
  <c r="M88" i="67"/>
  <c r="M71" i="67"/>
  <c r="M105" i="67"/>
  <c r="M61" i="66"/>
  <c r="M60" i="64"/>
  <c r="M61" i="55"/>
  <c r="M155" i="65"/>
  <c r="M55" i="57"/>
  <c r="M138" i="65"/>
  <c r="M138" i="67"/>
  <c r="M55" i="65"/>
  <c r="M55" i="58"/>
  <c r="O305" i="45"/>
  <c r="N155" i="67"/>
  <c r="N55" i="67"/>
  <c r="M155" i="66"/>
  <c r="M138" i="66"/>
  <c r="M55" i="66"/>
  <c r="M138" i="64"/>
  <c r="M155" i="64"/>
  <c r="M55" i="55"/>
  <c r="N155" i="63"/>
  <c r="N138" i="63"/>
  <c r="M103" i="64"/>
  <c r="M120" i="64"/>
  <c r="M86" i="64"/>
  <c r="O166" i="45"/>
  <c r="N56" i="67"/>
  <c r="N69" i="67" s="1"/>
  <c r="M103" i="65"/>
  <c r="M120" i="65"/>
  <c r="M86" i="65"/>
  <c r="O195" i="45"/>
  <c r="N57" i="65"/>
  <c r="S161" i="45"/>
  <c r="R56" i="57"/>
  <c r="O196" i="45"/>
  <c r="N57" i="55"/>
  <c r="O163" i="45"/>
  <c r="N56" i="65"/>
  <c r="N69" i="65" s="1"/>
  <c r="L103" i="66"/>
  <c r="L86" i="66"/>
  <c r="L120" i="66"/>
  <c r="L103" i="67"/>
  <c r="L86" i="67"/>
  <c r="L120" i="67"/>
  <c r="M120" i="63"/>
  <c r="M86" i="63"/>
  <c r="M103" i="63"/>
  <c r="N197" i="45"/>
  <c r="M57" i="66"/>
  <c r="N198" i="45"/>
  <c r="M57" i="67"/>
  <c r="O165" i="45"/>
  <c r="N56" i="66"/>
  <c r="N69" i="66" s="1"/>
  <c r="M105" i="58"/>
  <c r="M88" i="58"/>
  <c r="M71" i="58"/>
  <c r="M88" i="62"/>
  <c r="M105" i="62"/>
  <c r="M71" i="62"/>
  <c r="M71" i="57"/>
  <c r="M88" i="57"/>
  <c r="M105" i="57"/>
  <c r="O269" i="45"/>
  <c r="N59" i="62"/>
  <c r="M120" i="62"/>
  <c r="M103" i="62"/>
  <c r="M86" i="62"/>
  <c r="O187" i="45"/>
  <c r="N56" i="62"/>
  <c r="M138" i="62"/>
  <c r="M155" i="62"/>
  <c r="N70" i="62"/>
  <c r="N87" i="62"/>
  <c r="N104" i="62"/>
  <c r="N121" i="62"/>
  <c r="M88" i="61"/>
  <c r="M71" i="61"/>
  <c r="M105" i="61"/>
  <c r="O266" i="45"/>
  <c r="N59" i="61"/>
  <c r="N155" i="61"/>
  <c r="N138" i="61"/>
  <c r="M103" i="61"/>
  <c r="M86" i="61"/>
  <c r="M120" i="61"/>
  <c r="O185" i="45"/>
  <c r="N56" i="61"/>
  <c r="N121" i="61"/>
  <c r="N70" i="61"/>
  <c r="N87" i="61"/>
  <c r="S153" i="45"/>
  <c r="R55" i="61"/>
  <c r="R69" i="61" s="1"/>
  <c r="N298" i="45"/>
  <c r="M138" i="51"/>
  <c r="M155" i="51"/>
  <c r="N306" i="45"/>
  <c r="M138" i="58"/>
  <c r="N193" i="45"/>
  <c r="N57" i="57" s="1"/>
  <c r="L86" i="55"/>
  <c r="L120" i="55"/>
  <c r="L103" i="55"/>
  <c r="L86" i="52"/>
  <c r="L103" i="52"/>
  <c r="L120" i="52"/>
  <c r="N190" i="45"/>
  <c r="N56" i="51" s="1"/>
  <c r="O288" i="45"/>
  <c r="N186" i="45"/>
  <c r="N56" i="38" s="1"/>
  <c r="O164" i="45"/>
  <c r="O56" i="55" s="1"/>
  <c r="N69" i="55"/>
  <c r="O158" i="45"/>
  <c r="O55" i="51" s="1"/>
  <c r="N69" i="51"/>
  <c r="N302" i="45"/>
  <c r="M155" i="58"/>
  <c r="M155" i="57"/>
  <c r="M138" i="57"/>
  <c r="O289" i="45"/>
  <c r="N104" i="55"/>
  <c r="N70" i="55"/>
  <c r="N121" i="55"/>
  <c r="N87" i="55"/>
  <c r="N70" i="38"/>
  <c r="N104" i="38"/>
  <c r="N121" i="38"/>
  <c r="N87" i="38"/>
  <c r="N192" i="45"/>
  <c r="N57" i="52" s="1"/>
  <c r="O295" i="45"/>
  <c r="N104" i="58"/>
  <c r="N121" i="58"/>
  <c r="N87" i="58"/>
  <c r="N70" i="58"/>
  <c r="O162" i="45"/>
  <c r="O56" i="58" s="1"/>
  <c r="N69" i="58"/>
  <c r="N69" i="57"/>
  <c r="L120" i="53"/>
  <c r="L86" i="53"/>
  <c r="L103" i="53"/>
  <c r="L103" i="58"/>
  <c r="L86" i="58"/>
  <c r="L120" i="58"/>
  <c r="O159" i="45"/>
  <c r="O55" i="53" s="1"/>
  <c r="N69" i="53"/>
  <c r="N70" i="57"/>
  <c r="N104" i="57"/>
  <c r="N121" i="57"/>
  <c r="N87" i="57"/>
  <c r="N194" i="45"/>
  <c r="N57" i="58" s="1"/>
  <c r="N303" i="45"/>
  <c r="M138" i="53"/>
  <c r="M155" i="53"/>
  <c r="N191" i="45"/>
  <c r="N56" i="53" s="1"/>
  <c r="N188" i="45"/>
  <c r="N56" i="63" s="1"/>
  <c r="N300" i="45"/>
  <c r="M138" i="55"/>
  <c r="M155" i="55"/>
  <c r="M138" i="38"/>
  <c r="M155" i="38"/>
  <c r="O287" i="45"/>
  <c r="N104" i="51"/>
  <c r="N121" i="51"/>
  <c r="N87" i="51"/>
  <c r="N70" i="51"/>
  <c r="O293" i="45"/>
  <c r="O54" i="52" s="1"/>
  <c r="N87" i="52"/>
  <c r="N121" i="52"/>
  <c r="N70" i="52"/>
  <c r="N104" i="52"/>
  <c r="N87" i="53"/>
  <c r="O292" i="45"/>
  <c r="O70" i="53" s="1"/>
  <c r="N104" i="53"/>
  <c r="N121" i="53"/>
  <c r="L120" i="51"/>
  <c r="L86" i="51"/>
  <c r="L103" i="51"/>
  <c r="O304" i="45"/>
  <c r="O55" i="52" s="1"/>
  <c r="N155" i="52"/>
  <c r="N138" i="52"/>
  <c r="O160" i="45"/>
  <c r="O56" i="52" s="1"/>
  <c r="N69" i="52"/>
  <c r="N189" i="45"/>
  <c r="N56" i="64" s="1"/>
  <c r="L103" i="57"/>
  <c r="L120" i="57"/>
  <c r="L86" i="57"/>
  <c r="O299" i="45"/>
  <c r="O291" i="45"/>
  <c r="O54" i="57" s="1"/>
  <c r="L22" i="45"/>
  <c r="M139" i="57" l="1"/>
  <c r="M122" i="57"/>
  <c r="M156" i="57"/>
  <c r="N71" i="66"/>
  <c r="N88" i="66"/>
  <c r="N105" i="66"/>
  <c r="P267" i="45"/>
  <c r="O278" i="45"/>
  <c r="O60" i="66"/>
  <c r="O59" i="64"/>
  <c r="O60" i="55"/>
  <c r="O280" i="45"/>
  <c r="O60" i="57"/>
  <c r="M122" i="63"/>
  <c r="M156" i="63"/>
  <c r="M139" i="63"/>
  <c r="N61" i="57"/>
  <c r="N60" i="62"/>
  <c r="M156" i="66"/>
  <c r="M122" i="66"/>
  <c r="M139" i="66"/>
  <c r="N71" i="52"/>
  <c r="N88" i="52"/>
  <c r="N105" i="52"/>
  <c r="N105" i="51"/>
  <c r="N71" i="51"/>
  <c r="N88" i="51"/>
  <c r="N71" i="65"/>
  <c r="N105" i="65"/>
  <c r="N88" i="65"/>
  <c r="O104" i="61"/>
  <c r="O70" i="63"/>
  <c r="O87" i="63"/>
  <c r="O121" i="63"/>
  <c r="O104" i="63"/>
  <c r="P270" i="45"/>
  <c r="O281" i="45"/>
  <c r="N122" i="52"/>
  <c r="N156" i="52"/>
  <c r="N139" i="52"/>
  <c r="N139" i="51"/>
  <c r="N156" i="51"/>
  <c r="N122" i="51"/>
  <c r="N61" i="65"/>
  <c r="N61" i="58"/>
  <c r="N105" i="64"/>
  <c r="N88" i="64"/>
  <c r="N71" i="64"/>
  <c r="N88" i="63"/>
  <c r="N71" i="63"/>
  <c r="N105" i="63"/>
  <c r="N61" i="66"/>
  <c r="N60" i="64"/>
  <c r="N61" i="55"/>
  <c r="M139" i="55"/>
  <c r="M156" i="55"/>
  <c r="M122" i="55"/>
  <c r="O277" i="45"/>
  <c r="O59" i="63"/>
  <c r="P265" i="45"/>
  <c r="O276" i="45"/>
  <c r="O60" i="51" s="1"/>
  <c r="O59" i="51"/>
  <c r="N105" i="67"/>
  <c r="N71" i="67"/>
  <c r="N88" i="67"/>
  <c r="N105" i="55"/>
  <c r="N71" i="55"/>
  <c r="N88" i="55"/>
  <c r="P294" i="45"/>
  <c r="O70" i="67"/>
  <c r="O121" i="67"/>
  <c r="O87" i="67"/>
  <c r="O104" i="67"/>
  <c r="O54" i="67"/>
  <c r="N60" i="63"/>
  <c r="N60" i="61"/>
  <c r="M122" i="61"/>
  <c r="M139" i="61"/>
  <c r="M156" i="61"/>
  <c r="O104" i="65"/>
  <c r="O87" i="65"/>
  <c r="O121" i="65"/>
  <c r="O70" i="65"/>
  <c r="O54" i="65"/>
  <c r="O54" i="58"/>
  <c r="M122" i="64"/>
  <c r="M139" i="64"/>
  <c r="M156" i="64"/>
  <c r="P271" i="45"/>
  <c r="O282" i="45"/>
  <c r="O61" i="52" s="1"/>
  <c r="O60" i="52"/>
  <c r="M139" i="58"/>
  <c r="M156" i="58"/>
  <c r="M122" i="58"/>
  <c r="N139" i="67"/>
  <c r="N156" i="67"/>
  <c r="N122" i="67"/>
  <c r="O87" i="66"/>
  <c r="O121" i="66"/>
  <c r="O70" i="66"/>
  <c r="O104" i="66"/>
  <c r="O54" i="66"/>
  <c r="O121" i="64"/>
  <c r="O87" i="64"/>
  <c r="O70" i="64"/>
  <c r="O104" i="64"/>
  <c r="O54" i="55"/>
  <c r="P268" i="45"/>
  <c r="O279" i="45"/>
  <c r="P273" i="45"/>
  <c r="O284" i="45"/>
  <c r="O60" i="65"/>
  <c r="O60" i="58"/>
  <c r="M139" i="65"/>
  <c r="M122" i="65"/>
  <c r="M156" i="65"/>
  <c r="M122" i="62"/>
  <c r="M156" i="62"/>
  <c r="M139" i="62"/>
  <c r="P272" i="45"/>
  <c r="O283" i="45"/>
  <c r="O61" i="67" s="1"/>
  <c r="O60" i="67"/>
  <c r="N138" i="65"/>
  <c r="N138" i="67"/>
  <c r="N55" i="65"/>
  <c r="N55" i="58"/>
  <c r="P305" i="45"/>
  <c r="O155" i="67"/>
  <c r="O55" i="67"/>
  <c r="N155" i="65"/>
  <c r="N55" i="57"/>
  <c r="N155" i="66"/>
  <c r="N138" i="66"/>
  <c r="N55" i="66"/>
  <c r="N138" i="64"/>
  <c r="N155" i="64"/>
  <c r="N55" i="55"/>
  <c r="O155" i="63"/>
  <c r="O138" i="63"/>
  <c r="P195" i="45"/>
  <c r="O57" i="65"/>
  <c r="M120" i="67"/>
  <c r="M103" i="67"/>
  <c r="M86" i="67"/>
  <c r="O197" i="45"/>
  <c r="N57" i="66"/>
  <c r="P165" i="45"/>
  <c r="O56" i="66"/>
  <c r="O69" i="66" s="1"/>
  <c r="P166" i="45"/>
  <c r="O56" i="67"/>
  <c r="O69" i="67" s="1"/>
  <c r="O198" i="45"/>
  <c r="N57" i="67"/>
  <c r="M120" i="66"/>
  <c r="M86" i="66"/>
  <c r="M103" i="66"/>
  <c r="N120" i="64"/>
  <c r="N86" i="64"/>
  <c r="N103" i="64"/>
  <c r="P163" i="45"/>
  <c r="O56" i="65"/>
  <c r="O69" i="65" s="1"/>
  <c r="P196" i="45"/>
  <c r="O57" i="55"/>
  <c r="T161" i="45"/>
  <c r="S56" i="57"/>
  <c r="N103" i="65"/>
  <c r="N86" i="65"/>
  <c r="N120" i="65"/>
  <c r="N120" i="63"/>
  <c r="N103" i="63"/>
  <c r="N86" i="63"/>
  <c r="N71" i="57"/>
  <c r="N88" i="57"/>
  <c r="N105" i="57"/>
  <c r="N71" i="58"/>
  <c r="N88" i="58"/>
  <c r="N105" i="58"/>
  <c r="N71" i="62"/>
  <c r="N88" i="62"/>
  <c r="N105" i="62"/>
  <c r="P269" i="45"/>
  <c r="O59" i="62"/>
  <c r="O70" i="62"/>
  <c r="O121" i="62"/>
  <c r="O87" i="62"/>
  <c r="O104" i="62"/>
  <c r="N103" i="62"/>
  <c r="N120" i="62"/>
  <c r="N86" i="62"/>
  <c r="P187" i="45"/>
  <c r="O56" i="62"/>
  <c r="N138" i="62"/>
  <c r="N155" i="62"/>
  <c r="N105" i="61"/>
  <c r="N88" i="61"/>
  <c r="N71" i="61"/>
  <c r="O155" i="61"/>
  <c r="O138" i="61"/>
  <c r="P266" i="45"/>
  <c r="O59" i="61"/>
  <c r="N120" i="61"/>
  <c r="N103" i="61"/>
  <c r="N86" i="61"/>
  <c r="P185" i="45"/>
  <c r="O56" i="61"/>
  <c r="O121" i="61"/>
  <c r="O70" i="61"/>
  <c r="O87" i="61"/>
  <c r="T153" i="45"/>
  <c r="S55" i="61"/>
  <c r="S69" i="61" s="1"/>
  <c r="P304" i="45"/>
  <c r="P55" i="52" s="1"/>
  <c r="O155" i="52"/>
  <c r="O138" i="52"/>
  <c r="O188" i="45"/>
  <c r="O56" i="63" s="1"/>
  <c r="P160" i="45"/>
  <c r="P56" i="52" s="1"/>
  <c r="O69" i="52"/>
  <c r="M86" i="53"/>
  <c r="M103" i="53"/>
  <c r="M120" i="53"/>
  <c r="P295" i="45"/>
  <c r="O104" i="58"/>
  <c r="O121" i="58"/>
  <c r="O87" i="58"/>
  <c r="O70" i="58"/>
  <c r="P164" i="45"/>
  <c r="P56" i="55" s="1"/>
  <c r="O69" i="55"/>
  <c r="P288" i="45"/>
  <c r="O306" i="45"/>
  <c r="N138" i="58"/>
  <c r="O300" i="45"/>
  <c r="N138" i="55"/>
  <c r="N155" i="55"/>
  <c r="N138" i="38"/>
  <c r="N155" i="38"/>
  <c r="O191" i="45"/>
  <c r="O56" i="53" s="1"/>
  <c r="P159" i="45"/>
  <c r="P55" i="53" s="1"/>
  <c r="O69" i="53"/>
  <c r="M86" i="55"/>
  <c r="M120" i="55"/>
  <c r="M103" i="55"/>
  <c r="P292" i="45"/>
  <c r="P70" i="53" s="1"/>
  <c r="O104" i="53"/>
  <c r="O121" i="53"/>
  <c r="O303" i="45"/>
  <c r="N138" i="53"/>
  <c r="N155" i="53"/>
  <c r="O192" i="45"/>
  <c r="O57" i="52" s="1"/>
  <c r="O186" i="45"/>
  <c r="O56" i="38" s="1"/>
  <c r="M120" i="58"/>
  <c r="M86" i="58"/>
  <c r="M103" i="58"/>
  <c r="P289" i="45"/>
  <c r="O121" i="55"/>
  <c r="O87" i="55"/>
  <c r="O104" i="55"/>
  <c r="O70" i="55"/>
  <c r="O104" i="38"/>
  <c r="O87" i="38"/>
  <c r="O121" i="38"/>
  <c r="O70" i="38"/>
  <c r="O194" i="45"/>
  <c r="O57" i="58" s="1"/>
  <c r="P162" i="45"/>
  <c r="P56" i="58" s="1"/>
  <c r="O69" i="58"/>
  <c r="P287" i="45"/>
  <c r="O87" i="51"/>
  <c r="O104" i="51"/>
  <c r="O70" i="51"/>
  <c r="O121" i="51"/>
  <c r="O69" i="57"/>
  <c r="O70" i="57"/>
  <c r="O104" i="57"/>
  <c r="O121" i="57"/>
  <c r="O87" i="57"/>
  <c r="M86" i="51"/>
  <c r="M120" i="51"/>
  <c r="M103" i="51"/>
  <c r="O302" i="45"/>
  <c r="N155" i="57"/>
  <c r="N155" i="58"/>
  <c r="N138" i="57"/>
  <c r="M86" i="52"/>
  <c r="M120" i="52"/>
  <c r="M103" i="52"/>
  <c r="M120" i="57"/>
  <c r="M86" i="57"/>
  <c r="M103" i="57"/>
  <c r="O298" i="45"/>
  <c r="N138" i="51"/>
  <c r="N155" i="51"/>
  <c r="O189" i="45"/>
  <c r="O56" i="64" s="1"/>
  <c r="P293" i="45"/>
  <c r="P54" i="52" s="1"/>
  <c r="O87" i="53"/>
  <c r="O87" i="52"/>
  <c r="O121" i="52"/>
  <c r="O70" i="52"/>
  <c r="O104" i="52"/>
  <c r="O190" i="45"/>
  <c r="O56" i="51" s="1"/>
  <c r="O193" i="45"/>
  <c r="O57" i="57" s="1"/>
  <c r="P158" i="45"/>
  <c r="P55" i="51" s="1"/>
  <c r="O69" i="51"/>
  <c r="P299" i="45"/>
  <c r="P291" i="45"/>
  <c r="P54" i="57" s="1"/>
  <c r="M22" i="45"/>
  <c r="Q271" i="45" l="1"/>
  <c r="P282" i="45"/>
  <c r="P61" i="52" s="1"/>
  <c r="P60" i="52"/>
  <c r="N139" i="62"/>
  <c r="N122" i="62"/>
  <c r="N156" i="62"/>
  <c r="O61" i="65"/>
  <c r="O61" i="58"/>
  <c r="N156" i="66"/>
  <c r="N139" i="66"/>
  <c r="N122" i="66"/>
  <c r="P280" i="45"/>
  <c r="P60" i="57"/>
  <c r="Q273" i="45"/>
  <c r="P284" i="45"/>
  <c r="P60" i="65"/>
  <c r="P60" i="58"/>
  <c r="O122" i="67"/>
  <c r="O156" i="67"/>
  <c r="O139" i="67"/>
  <c r="O105" i="51"/>
  <c r="O71" i="51"/>
  <c r="O88" i="51"/>
  <c r="P104" i="61"/>
  <c r="P70" i="63"/>
  <c r="P121" i="63"/>
  <c r="P87" i="63"/>
  <c r="P104" i="63"/>
  <c r="O139" i="52"/>
  <c r="O122" i="52"/>
  <c r="O156" i="52"/>
  <c r="N139" i="65"/>
  <c r="N156" i="65"/>
  <c r="N122" i="65"/>
  <c r="N122" i="57"/>
  <c r="N139" i="57"/>
  <c r="N156" i="57"/>
  <c r="O71" i="67"/>
  <c r="O105" i="67"/>
  <c r="O88" i="67"/>
  <c r="Q272" i="45"/>
  <c r="P283" i="45"/>
  <c r="P61" i="67" s="1"/>
  <c r="P60" i="67"/>
  <c r="Q268" i="45"/>
  <c r="P279" i="45"/>
  <c r="O156" i="51"/>
  <c r="O122" i="51"/>
  <c r="O139" i="51"/>
  <c r="O105" i="52"/>
  <c r="O71" i="52"/>
  <c r="O88" i="52"/>
  <c r="N122" i="64"/>
  <c r="N139" i="64"/>
  <c r="N156" i="64"/>
  <c r="P104" i="65"/>
  <c r="P121" i="65"/>
  <c r="P70" i="65"/>
  <c r="P87" i="65"/>
  <c r="P54" i="65"/>
  <c r="P54" i="58"/>
  <c r="P277" i="45"/>
  <c r="P59" i="63"/>
  <c r="Q265" i="45"/>
  <c r="P276" i="45"/>
  <c r="P60" i="51" s="1"/>
  <c r="P59" i="51"/>
  <c r="O88" i="64"/>
  <c r="O71" i="64"/>
  <c r="O105" i="64"/>
  <c r="N156" i="58"/>
  <c r="N122" i="58"/>
  <c r="N139" i="58"/>
  <c r="Q267" i="45"/>
  <c r="P278" i="45"/>
  <c r="P60" i="66"/>
  <c r="P59" i="64"/>
  <c r="P60" i="55"/>
  <c r="O105" i="65"/>
  <c r="O71" i="65"/>
  <c r="O88" i="65"/>
  <c r="N156" i="63"/>
  <c r="N139" i="63"/>
  <c r="N122" i="63"/>
  <c r="O88" i="63"/>
  <c r="O105" i="63"/>
  <c r="O71" i="63"/>
  <c r="Q270" i="45"/>
  <c r="P281" i="45"/>
  <c r="O61" i="57"/>
  <c r="O60" i="62"/>
  <c r="O71" i="66"/>
  <c r="O88" i="66"/>
  <c r="O105" i="66"/>
  <c r="O61" i="66"/>
  <c r="O60" i="64"/>
  <c r="O61" i="55"/>
  <c r="N156" i="55"/>
  <c r="N139" i="55"/>
  <c r="N122" i="55"/>
  <c r="N156" i="61"/>
  <c r="N122" i="61"/>
  <c r="N139" i="61"/>
  <c r="P87" i="66"/>
  <c r="P104" i="66"/>
  <c r="P121" i="66"/>
  <c r="P70" i="66"/>
  <c r="P54" i="66"/>
  <c r="P121" i="64"/>
  <c r="P87" i="64"/>
  <c r="P70" i="64"/>
  <c r="P104" i="64"/>
  <c r="P54" i="55"/>
  <c r="Q294" i="45"/>
  <c r="P70" i="67"/>
  <c r="P121" i="67"/>
  <c r="P104" i="67"/>
  <c r="P87" i="67"/>
  <c r="P54" i="67"/>
  <c r="O60" i="63"/>
  <c r="O60" i="61"/>
  <c r="O105" i="55"/>
  <c r="O71" i="55"/>
  <c r="O88" i="55"/>
  <c r="O138" i="65"/>
  <c r="O138" i="67"/>
  <c r="O55" i="65"/>
  <c r="O55" i="58"/>
  <c r="Q305" i="45"/>
  <c r="P155" i="67"/>
  <c r="P55" i="67"/>
  <c r="O155" i="65"/>
  <c r="O55" i="57"/>
  <c r="P155" i="63"/>
  <c r="P138" i="63"/>
  <c r="O138" i="66"/>
  <c r="O155" i="66"/>
  <c r="O55" i="66"/>
  <c r="O138" i="64"/>
  <c r="O155" i="64"/>
  <c r="O55" i="55"/>
  <c r="Q165" i="45"/>
  <c r="P56" i="66"/>
  <c r="P69" i="66" s="1"/>
  <c r="N103" i="67"/>
  <c r="N86" i="67"/>
  <c r="N120" i="67"/>
  <c r="O120" i="65"/>
  <c r="O103" i="65"/>
  <c r="O86" i="65"/>
  <c r="O86" i="64"/>
  <c r="O103" i="64"/>
  <c r="O120" i="64"/>
  <c r="O120" i="63"/>
  <c r="O86" i="63"/>
  <c r="O103" i="63"/>
  <c r="U161" i="45"/>
  <c r="T56" i="57"/>
  <c r="P198" i="45"/>
  <c r="O57" i="67"/>
  <c r="Q196" i="45"/>
  <c r="P57" i="55"/>
  <c r="Q166" i="45"/>
  <c r="P56" i="67"/>
  <c r="P69" i="67" s="1"/>
  <c r="N120" i="66"/>
  <c r="N86" i="66"/>
  <c r="N103" i="66"/>
  <c r="P197" i="45"/>
  <c r="O57" i="66"/>
  <c r="Q163" i="45"/>
  <c r="P56" i="65"/>
  <c r="P69" i="65" s="1"/>
  <c r="Q195" i="45"/>
  <c r="P57" i="65"/>
  <c r="Q187" i="45"/>
  <c r="P56" i="62"/>
  <c r="Q269" i="45"/>
  <c r="P59" i="62"/>
  <c r="P121" i="62"/>
  <c r="P70" i="62"/>
  <c r="P87" i="62"/>
  <c r="P104" i="62"/>
  <c r="O138" i="62"/>
  <c r="O155" i="62"/>
  <c r="O71" i="57"/>
  <c r="O88" i="57"/>
  <c r="O105" i="57"/>
  <c r="O105" i="58"/>
  <c r="O88" i="58"/>
  <c r="O71" i="58"/>
  <c r="O120" i="62"/>
  <c r="O103" i="62"/>
  <c r="O86" i="62"/>
  <c r="O88" i="62"/>
  <c r="O105" i="62"/>
  <c r="O71" i="62"/>
  <c r="O88" i="61"/>
  <c r="O71" i="61"/>
  <c r="O105" i="61"/>
  <c r="P155" i="61"/>
  <c r="P138" i="61"/>
  <c r="O86" i="61"/>
  <c r="O103" i="61"/>
  <c r="O120" i="61"/>
  <c r="Q185" i="45"/>
  <c r="P56" i="61"/>
  <c r="P121" i="61"/>
  <c r="P70" i="61"/>
  <c r="P87" i="61"/>
  <c r="Q266" i="45"/>
  <c r="P59" i="61"/>
  <c r="U153" i="45"/>
  <c r="T55" i="61"/>
  <c r="T69" i="61" s="1"/>
  <c r="P302" i="45"/>
  <c r="O155" i="58"/>
  <c r="O138" i="57"/>
  <c r="O155" i="57"/>
  <c r="Q159" i="45"/>
  <c r="Q55" i="53" s="1"/>
  <c r="P69" i="53"/>
  <c r="Q164" i="45"/>
  <c r="Q56" i="55" s="1"/>
  <c r="P69" i="55"/>
  <c r="N103" i="57"/>
  <c r="N86" i="57"/>
  <c r="N120" i="57"/>
  <c r="Q293" i="45"/>
  <c r="Q54" i="52" s="1"/>
  <c r="P87" i="53"/>
  <c r="P87" i="52"/>
  <c r="P121" i="52"/>
  <c r="P70" i="52"/>
  <c r="P104" i="52"/>
  <c r="P193" i="45"/>
  <c r="P57" i="57" s="1"/>
  <c r="P191" i="45"/>
  <c r="P56" i="53" s="1"/>
  <c r="P190" i="45"/>
  <c r="P56" i="51" s="1"/>
  <c r="N103" i="52"/>
  <c r="N86" i="52"/>
  <c r="N120" i="52"/>
  <c r="Q292" i="45"/>
  <c r="Q70" i="53" s="1"/>
  <c r="P104" i="53"/>
  <c r="P121" i="53"/>
  <c r="P306" i="45"/>
  <c r="O138" i="58"/>
  <c r="Q160" i="45"/>
  <c r="Q56" i="52" s="1"/>
  <c r="P69" i="52"/>
  <c r="N103" i="51"/>
  <c r="N86" i="51"/>
  <c r="N120" i="51"/>
  <c r="N120" i="55"/>
  <c r="N86" i="55"/>
  <c r="N103" i="55"/>
  <c r="P189" i="45"/>
  <c r="P56" i="64" s="1"/>
  <c r="P69" i="57"/>
  <c r="P192" i="45"/>
  <c r="P57" i="52" s="1"/>
  <c r="Q295" i="45"/>
  <c r="P104" i="58"/>
  <c r="P121" i="58"/>
  <c r="P87" i="58"/>
  <c r="P70" i="58"/>
  <c r="Q162" i="45"/>
  <c r="Q56" i="58" s="1"/>
  <c r="P69" i="58"/>
  <c r="Q158" i="45"/>
  <c r="Q55" i="51" s="1"/>
  <c r="P69" i="51"/>
  <c r="N86" i="58"/>
  <c r="N103" i="58"/>
  <c r="N120" i="58"/>
  <c r="P186" i="45"/>
  <c r="P56" i="38" s="1"/>
  <c r="P188" i="45"/>
  <c r="P56" i="63" s="1"/>
  <c r="P194" i="45"/>
  <c r="P57" i="58" s="1"/>
  <c r="P70" i="57"/>
  <c r="P104" i="57"/>
  <c r="P121" i="57"/>
  <c r="P87" i="57"/>
  <c r="P298" i="45"/>
  <c r="O138" i="51"/>
  <c r="O155" i="51"/>
  <c r="Q289" i="45"/>
  <c r="P121" i="55"/>
  <c r="P87" i="55"/>
  <c r="P104" i="55"/>
  <c r="P70" i="55"/>
  <c r="P70" i="38"/>
  <c r="P104" i="38"/>
  <c r="P87" i="38"/>
  <c r="P121" i="38"/>
  <c r="P303" i="45"/>
  <c r="O138" i="53"/>
  <c r="O155" i="53"/>
  <c r="P300" i="45"/>
  <c r="O138" i="55"/>
  <c r="O155" i="55"/>
  <c r="O138" i="38"/>
  <c r="O155" i="38"/>
  <c r="Q288" i="45"/>
  <c r="Q287" i="45"/>
  <c r="P121" i="51"/>
  <c r="P87" i="51"/>
  <c r="P104" i="51"/>
  <c r="P70" i="51"/>
  <c r="N86" i="53"/>
  <c r="N103" i="53"/>
  <c r="N120" i="53"/>
  <c r="Q304" i="45"/>
  <c r="Q55" i="52" s="1"/>
  <c r="P155" i="52"/>
  <c r="P138" i="52"/>
  <c r="Q299" i="45"/>
  <c r="Q291" i="45"/>
  <c r="Q54" i="57" s="1"/>
  <c r="N22" i="45"/>
  <c r="O156" i="62" l="1"/>
  <c r="O122" i="62"/>
  <c r="O139" i="62"/>
  <c r="P88" i="64"/>
  <c r="P105" i="64"/>
  <c r="P71" i="64"/>
  <c r="R272" i="45"/>
  <c r="Q283" i="45"/>
  <c r="Q61" i="67" s="1"/>
  <c r="Q60" i="67"/>
  <c r="P61" i="66"/>
  <c r="P60" i="64"/>
  <c r="P61" i="55"/>
  <c r="P71" i="63"/>
  <c r="P88" i="63"/>
  <c r="P105" i="63"/>
  <c r="P71" i="65"/>
  <c r="P105" i="65"/>
  <c r="P88" i="65"/>
  <c r="Q87" i="66"/>
  <c r="Q104" i="66"/>
  <c r="Q121" i="66"/>
  <c r="Q70" i="66"/>
  <c r="Q54" i="66"/>
  <c r="Q121" i="64"/>
  <c r="Q87" i="64"/>
  <c r="Q70" i="64"/>
  <c r="Q104" i="64"/>
  <c r="Q54" i="55"/>
  <c r="R268" i="45"/>
  <c r="Q279" i="45"/>
  <c r="O122" i="58"/>
  <c r="O156" i="58"/>
  <c r="O139" i="58"/>
  <c r="P139" i="67"/>
  <c r="P156" i="67"/>
  <c r="P122" i="67"/>
  <c r="R265" i="45"/>
  <c r="Q276" i="45"/>
  <c r="Q60" i="51" s="1"/>
  <c r="Q59" i="51"/>
  <c r="R267" i="45"/>
  <c r="Q278" i="45"/>
  <c r="Q60" i="66"/>
  <c r="Q59" i="64"/>
  <c r="Q60" i="55"/>
  <c r="P60" i="63"/>
  <c r="P60" i="61"/>
  <c r="P61" i="65"/>
  <c r="P61" i="58"/>
  <c r="P88" i="52"/>
  <c r="P71" i="52"/>
  <c r="P105" i="52"/>
  <c r="P88" i="51"/>
  <c r="P71" i="51"/>
  <c r="P105" i="51"/>
  <c r="Q104" i="65"/>
  <c r="Q121" i="65"/>
  <c r="Q70" i="65"/>
  <c r="Q87" i="65"/>
  <c r="Q54" i="65"/>
  <c r="Q54" i="58"/>
  <c r="O122" i="57"/>
  <c r="O139" i="57"/>
  <c r="O156" i="57"/>
  <c r="P88" i="66"/>
  <c r="P105" i="66"/>
  <c r="P71" i="66"/>
  <c r="R273" i="45"/>
  <c r="Q284" i="45"/>
  <c r="Q60" i="65"/>
  <c r="Q60" i="58"/>
  <c r="P156" i="52"/>
  <c r="P122" i="52"/>
  <c r="P139" i="52"/>
  <c r="Q280" i="45"/>
  <c r="Q60" i="57"/>
  <c r="P122" i="51"/>
  <c r="P139" i="51"/>
  <c r="P156" i="51"/>
  <c r="R270" i="45"/>
  <c r="Q281" i="45"/>
  <c r="O122" i="61"/>
  <c r="O139" i="61"/>
  <c r="O156" i="61"/>
  <c r="O156" i="63"/>
  <c r="O139" i="63"/>
  <c r="O122" i="63"/>
  <c r="O139" i="64"/>
  <c r="O122" i="64"/>
  <c r="O156" i="64"/>
  <c r="R271" i="45"/>
  <c r="Q282" i="45"/>
  <c r="Q61" i="52" s="1"/>
  <c r="Q60" i="52"/>
  <c r="P71" i="67"/>
  <c r="P105" i="67"/>
  <c r="P88" i="67"/>
  <c r="R294" i="45"/>
  <c r="Q104" i="67"/>
  <c r="Q70" i="67"/>
  <c r="Q121" i="67"/>
  <c r="Q87" i="67"/>
  <c r="Q54" i="67"/>
  <c r="P105" i="55"/>
  <c r="P71" i="55"/>
  <c r="P88" i="55"/>
  <c r="O156" i="65"/>
  <c r="O122" i="65"/>
  <c r="O139" i="65"/>
  <c r="Q104" i="61"/>
  <c r="Q104" i="63"/>
  <c r="Q87" i="63"/>
  <c r="Q121" i="63"/>
  <c r="Q70" i="63"/>
  <c r="O156" i="55"/>
  <c r="O122" i="55"/>
  <c r="O139" i="55"/>
  <c r="Q277" i="45"/>
  <c r="Q59" i="63"/>
  <c r="O156" i="66"/>
  <c r="O139" i="66"/>
  <c r="O122" i="66"/>
  <c r="P61" i="57"/>
  <c r="P60" i="62"/>
  <c r="P138" i="67"/>
  <c r="P138" i="65"/>
  <c r="P55" i="65"/>
  <c r="P55" i="58"/>
  <c r="R305" i="45"/>
  <c r="Q155" i="67"/>
  <c r="Q55" i="67"/>
  <c r="P155" i="65"/>
  <c r="P55" i="57"/>
  <c r="P138" i="66"/>
  <c r="P155" i="66"/>
  <c r="P55" i="66"/>
  <c r="P138" i="64"/>
  <c r="P155" i="64"/>
  <c r="P55" i="55"/>
  <c r="Q138" i="63"/>
  <c r="Q155" i="63"/>
  <c r="O86" i="66"/>
  <c r="O103" i="66"/>
  <c r="O120" i="66"/>
  <c r="Q197" i="45"/>
  <c r="P57" i="66"/>
  <c r="P86" i="65"/>
  <c r="P103" i="65"/>
  <c r="P120" i="65"/>
  <c r="O120" i="67"/>
  <c r="O86" i="67"/>
  <c r="O103" i="67"/>
  <c r="V161" i="45"/>
  <c r="U56" i="57"/>
  <c r="Q198" i="45"/>
  <c r="P57" i="67"/>
  <c r="P120" i="64"/>
  <c r="P86" i="64"/>
  <c r="P103" i="64"/>
  <c r="P120" i="63"/>
  <c r="P103" i="63"/>
  <c r="P86" i="63"/>
  <c r="R195" i="45"/>
  <c r="Q57" i="65"/>
  <c r="R166" i="45"/>
  <c r="Q56" i="67"/>
  <c r="Q69" i="67" s="1"/>
  <c r="R163" i="45"/>
  <c r="Q56" i="65"/>
  <c r="Q69" i="65" s="1"/>
  <c r="R196" i="45"/>
  <c r="Q57" i="55"/>
  <c r="R165" i="45"/>
  <c r="Q56" i="66"/>
  <c r="Q69" i="66" s="1"/>
  <c r="P105" i="57"/>
  <c r="P71" i="57"/>
  <c r="P88" i="57"/>
  <c r="P71" i="58"/>
  <c r="P88" i="58"/>
  <c r="P105" i="58"/>
  <c r="Q121" i="62"/>
  <c r="Q70" i="62"/>
  <c r="Q87" i="62"/>
  <c r="Q104" i="62"/>
  <c r="P71" i="62"/>
  <c r="P88" i="62"/>
  <c r="P105" i="62"/>
  <c r="P138" i="62"/>
  <c r="P155" i="62"/>
  <c r="R269" i="45"/>
  <c r="Q59" i="62"/>
  <c r="P103" i="62"/>
  <c r="P86" i="62"/>
  <c r="P120" i="62"/>
  <c r="R187" i="45"/>
  <c r="Q56" i="62"/>
  <c r="P105" i="61"/>
  <c r="P88" i="61"/>
  <c r="P71" i="61"/>
  <c r="Q121" i="61"/>
  <c r="Q70" i="61"/>
  <c r="Q87" i="61"/>
  <c r="V153" i="45"/>
  <c r="U55" i="61"/>
  <c r="U69" i="61" s="1"/>
  <c r="P103" i="61"/>
  <c r="P86" i="61"/>
  <c r="P120" i="61"/>
  <c r="Q155" i="61"/>
  <c r="Q138" i="61"/>
  <c r="R266" i="45"/>
  <c r="Q59" i="61"/>
  <c r="R185" i="45"/>
  <c r="Q56" i="61"/>
  <c r="Q186" i="45"/>
  <c r="Q56" i="38" s="1"/>
  <c r="O120" i="58"/>
  <c r="O86" i="58"/>
  <c r="O103" i="58"/>
  <c r="R158" i="45"/>
  <c r="R55" i="51" s="1"/>
  <c r="Q69" i="51"/>
  <c r="R293" i="45"/>
  <c r="R54" i="52" s="1"/>
  <c r="Q87" i="53"/>
  <c r="Q104" i="52"/>
  <c r="Q87" i="52"/>
  <c r="Q121" i="52"/>
  <c r="Q70" i="52"/>
  <c r="Q194" i="45"/>
  <c r="Q57" i="58" s="1"/>
  <c r="R295" i="45"/>
  <c r="Q70" i="58"/>
  <c r="Q104" i="58"/>
  <c r="Q121" i="58"/>
  <c r="Q87" i="58"/>
  <c r="O86" i="53"/>
  <c r="O103" i="53"/>
  <c r="O120" i="53"/>
  <c r="Q300" i="45"/>
  <c r="P138" i="55"/>
  <c r="P155" i="55"/>
  <c r="P138" i="38"/>
  <c r="P155" i="38"/>
  <c r="R162" i="45"/>
  <c r="R56" i="58" s="1"/>
  <c r="Q69" i="58"/>
  <c r="Q69" i="57"/>
  <c r="R292" i="45"/>
  <c r="R70" i="53" s="1"/>
  <c r="Q121" i="53"/>
  <c r="Q104" i="53"/>
  <c r="Q191" i="45"/>
  <c r="Q56" i="53" s="1"/>
  <c r="Q298" i="45"/>
  <c r="P138" i="51"/>
  <c r="P155" i="51"/>
  <c r="Q188" i="45"/>
  <c r="Q56" i="63" s="1"/>
  <c r="O86" i="51"/>
  <c r="O103" i="51"/>
  <c r="O120" i="51"/>
  <c r="Q189" i="45"/>
  <c r="Q56" i="64" s="1"/>
  <c r="O120" i="57"/>
  <c r="O103" i="57"/>
  <c r="O86" i="57"/>
  <c r="Q193" i="45"/>
  <c r="Q57" i="57" s="1"/>
  <c r="R287" i="45"/>
  <c r="Q121" i="51"/>
  <c r="Q104" i="51"/>
  <c r="Q70" i="51"/>
  <c r="Q87" i="51"/>
  <c r="R160" i="45"/>
  <c r="R56" i="52" s="1"/>
  <c r="Q69" i="52"/>
  <c r="R164" i="45"/>
  <c r="R56" i="55" s="1"/>
  <c r="Q69" i="55"/>
  <c r="Q104" i="57"/>
  <c r="Q121" i="57"/>
  <c r="Q87" i="57"/>
  <c r="Q70" i="57"/>
  <c r="R304" i="45"/>
  <c r="R55" i="52" s="1"/>
  <c r="Q155" i="52"/>
  <c r="Q138" i="52"/>
  <c r="O86" i="55"/>
  <c r="O120" i="55"/>
  <c r="O103" i="55"/>
  <c r="Q306" i="45"/>
  <c r="P138" i="58"/>
  <c r="Q302" i="45"/>
  <c r="P155" i="58"/>
  <c r="P155" i="57"/>
  <c r="P138" i="57"/>
  <c r="Q192" i="45"/>
  <c r="Q57" i="52" s="1"/>
  <c r="O86" i="52"/>
  <c r="O103" i="52"/>
  <c r="O120" i="52"/>
  <c r="Q303" i="45"/>
  <c r="P138" i="53"/>
  <c r="P155" i="53"/>
  <c r="R289" i="45"/>
  <c r="Q121" i="55"/>
  <c r="Q87" i="55"/>
  <c r="Q104" i="55"/>
  <c r="Q70" i="55"/>
  <c r="Q104" i="38"/>
  <c r="Q70" i="38"/>
  <c r="Q87" i="38"/>
  <c r="Q121" i="38"/>
  <c r="R159" i="45"/>
  <c r="R55" i="53" s="1"/>
  <c r="Q69" i="53"/>
  <c r="R288" i="45"/>
  <c r="Q190" i="45"/>
  <c r="Q56" i="51" s="1"/>
  <c r="R299" i="45"/>
  <c r="R291" i="45"/>
  <c r="R54" i="57" s="1"/>
  <c r="O22" i="45"/>
  <c r="R280" i="45" l="1"/>
  <c r="R60" i="57"/>
  <c r="S272" i="45"/>
  <c r="R283" i="45"/>
  <c r="R60" i="67"/>
  <c r="Q71" i="66"/>
  <c r="Q88" i="66"/>
  <c r="Q105" i="66"/>
  <c r="P139" i="62"/>
  <c r="P122" i="62"/>
  <c r="P156" i="62"/>
  <c r="S268" i="45"/>
  <c r="T268" i="45" s="1"/>
  <c r="U268" i="45" s="1"/>
  <c r="V268" i="45" s="1"/>
  <c r="W268" i="45" s="1"/>
  <c r="X268" i="45" s="1"/>
  <c r="Y268" i="45" s="1"/>
  <c r="Z268" i="45" s="1"/>
  <c r="AA268" i="45" s="1"/>
  <c r="AB268" i="45" s="1"/>
  <c r="AC268" i="45" s="1"/>
  <c r="AD268" i="45" s="1"/>
  <c r="AE268" i="45" s="1"/>
  <c r="AF268" i="45" s="1"/>
  <c r="AG268" i="45" s="1"/>
  <c r="E55" i="74" s="1"/>
  <c r="R279" i="45"/>
  <c r="S279" i="45" s="1"/>
  <c r="T279" i="45" s="1"/>
  <c r="U279" i="45" s="1"/>
  <c r="V279" i="45" s="1"/>
  <c r="W279" i="45" s="1"/>
  <c r="X279" i="45" s="1"/>
  <c r="Y279" i="45" s="1"/>
  <c r="Z279" i="45" s="1"/>
  <c r="AA279" i="45" s="1"/>
  <c r="AB279" i="45" s="1"/>
  <c r="AC279" i="45" s="1"/>
  <c r="AD279" i="45" s="1"/>
  <c r="AE279" i="45" s="1"/>
  <c r="AF279" i="45" s="1"/>
  <c r="AG279" i="45" s="1"/>
  <c r="S294" i="45"/>
  <c r="R104" i="67"/>
  <c r="R121" i="67"/>
  <c r="R70" i="67"/>
  <c r="R87" i="67"/>
  <c r="R54" i="67"/>
  <c r="Q71" i="51"/>
  <c r="Q88" i="51"/>
  <c r="Q105" i="51"/>
  <c r="P122" i="61"/>
  <c r="P139" i="61"/>
  <c r="P156" i="61"/>
  <c r="S271" i="45"/>
  <c r="R282" i="45"/>
  <c r="R60" i="52"/>
  <c r="Q61" i="66"/>
  <c r="Q60" i="64"/>
  <c r="Q61" i="55"/>
  <c r="P139" i="57"/>
  <c r="P156" i="57"/>
  <c r="P122" i="57"/>
  <c r="Q61" i="57"/>
  <c r="Q60" i="62"/>
  <c r="R87" i="66"/>
  <c r="R121" i="66"/>
  <c r="R104" i="66"/>
  <c r="R70" i="66"/>
  <c r="R54" i="66"/>
  <c r="R70" i="64"/>
  <c r="R87" i="64"/>
  <c r="R104" i="64"/>
  <c r="R121" i="64"/>
  <c r="R54" i="55"/>
  <c r="Q156" i="51"/>
  <c r="Q122" i="51"/>
  <c r="Q139" i="51"/>
  <c r="P139" i="66"/>
  <c r="P156" i="66"/>
  <c r="P122" i="66"/>
  <c r="P122" i="63"/>
  <c r="P156" i="63"/>
  <c r="P139" i="63"/>
  <c r="Q88" i="64"/>
  <c r="Q105" i="64"/>
  <c r="Q71" i="64"/>
  <c r="R277" i="45"/>
  <c r="R59" i="63"/>
  <c r="S265" i="45"/>
  <c r="R276" i="45"/>
  <c r="R59" i="51"/>
  <c r="Q88" i="65"/>
  <c r="Q105" i="65"/>
  <c r="Q71" i="65"/>
  <c r="Q61" i="65"/>
  <c r="Q61" i="58"/>
  <c r="Q88" i="67"/>
  <c r="Q105" i="67"/>
  <c r="Q71" i="67"/>
  <c r="S273" i="45"/>
  <c r="R284" i="45"/>
  <c r="R60" i="65"/>
  <c r="R60" i="58"/>
  <c r="Q71" i="55"/>
  <c r="Q88" i="55"/>
  <c r="Q105" i="55"/>
  <c r="S267" i="45"/>
  <c r="R278" i="45"/>
  <c r="R60" i="66"/>
  <c r="R59" i="64"/>
  <c r="R60" i="55"/>
  <c r="R104" i="61"/>
  <c r="R104" i="63"/>
  <c r="R70" i="63"/>
  <c r="R121" i="63"/>
  <c r="R87" i="63"/>
  <c r="R87" i="65"/>
  <c r="R104" i="65"/>
  <c r="R70" i="65"/>
  <c r="R121" i="65"/>
  <c r="R54" i="65"/>
  <c r="R54" i="58"/>
  <c r="Q71" i="63"/>
  <c r="Q105" i="63"/>
  <c r="Q88" i="63"/>
  <c r="P139" i="58"/>
  <c r="P156" i="58"/>
  <c r="P122" i="58"/>
  <c r="P139" i="55"/>
  <c r="P156" i="55"/>
  <c r="P122" i="55"/>
  <c r="Q139" i="52"/>
  <c r="Q122" i="52"/>
  <c r="Q156" i="52"/>
  <c r="S270" i="45"/>
  <c r="T270" i="45" s="1"/>
  <c r="U270" i="45" s="1"/>
  <c r="V270" i="45" s="1"/>
  <c r="W270" i="45" s="1"/>
  <c r="X270" i="45" s="1"/>
  <c r="Y270" i="45" s="1"/>
  <c r="Z270" i="45" s="1"/>
  <c r="AA270" i="45" s="1"/>
  <c r="AB270" i="45" s="1"/>
  <c r="AC270" i="45" s="1"/>
  <c r="AD270" i="45" s="1"/>
  <c r="AE270" i="45" s="1"/>
  <c r="AF270" i="45" s="1"/>
  <c r="AG270" i="45" s="1"/>
  <c r="R281" i="45"/>
  <c r="S281" i="45" s="1"/>
  <c r="T281" i="45" s="1"/>
  <c r="U281" i="45" s="1"/>
  <c r="V281" i="45" s="1"/>
  <c r="W281" i="45" s="1"/>
  <c r="X281" i="45" s="1"/>
  <c r="Y281" i="45" s="1"/>
  <c r="Z281" i="45" s="1"/>
  <c r="AA281" i="45" s="1"/>
  <c r="AB281" i="45" s="1"/>
  <c r="AC281" i="45" s="1"/>
  <c r="AD281" i="45" s="1"/>
  <c r="AE281" i="45" s="1"/>
  <c r="AF281" i="45" s="1"/>
  <c r="AG281" i="45" s="1"/>
  <c r="Q122" i="67"/>
  <c r="Q139" i="67"/>
  <c r="Q156" i="67"/>
  <c r="Q60" i="63"/>
  <c r="Q60" i="61"/>
  <c r="Q88" i="52"/>
  <c r="Q71" i="52"/>
  <c r="Q105" i="52"/>
  <c r="P122" i="65"/>
  <c r="P139" i="65"/>
  <c r="P156" i="65"/>
  <c r="P156" i="64"/>
  <c r="P139" i="64"/>
  <c r="P122" i="64"/>
  <c r="Q138" i="67"/>
  <c r="Q138" i="65"/>
  <c r="Q55" i="65"/>
  <c r="Q55" i="58"/>
  <c r="S305" i="45"/>
  <c r="R155" i="67"/>
  <c r="R55" i="67"/>
  <c r="Q155" i="65"/>
  <c r="Q55" i="57"/>
  <c r="Q138" i="66"/>
  <c r="Q155" i="66"/>
  <c r="Q55" i="66"/>
  <c r="Q155" i="64"/>
  <c r="Q138" i="64"/>
  <c r="Q55" i="55"/>
  <c r="R138" i="63"/>
  <c r="R155" i="63"/>
  <c r="S163" i="45"/>
  <c r="R56" i="65"/>
  <c r="R69" i="65" s="1"/>
  <c r="Q103" i="64"/>
  <c r="Q86" i="64"/>
  <c r="Q120" i="64"/>
  <c r="W161" i="45"/>
  <c r="V56" i="57"/>
  <c r="P86" i="66"/>
  <c r="P103" i="66"/>
  <c r="P120" i="66"/>
  <c r="P120" i="67"/>
  <c r="P103" i="67"/>
  <c r="P86" i="67"/>
  <c r="Q86" i="63"/>
  <c r="Q120" i="63"/>
  <c r="Q103" i="63"/>
  <c r="Q86" i="65"/>
  <c r="Q120" i="65"/>
  <c r="Q103" i="65"/>
  <c r="R198" i="45"/>
  <c r="Q57" i="67"/>
  <c r="R197" i="45"/>
  <c r="Q57" i="66"/>
  <c r="S165" i="45"/>
  <c r="R56" i="66"/>
  <c r="R69" i="66" s="1"/>
  <c r="S166" i="45"/>
  <c r="R56" i="67"/>
  <c r="R69" i="67" s="1"/>
  <c r="S196" i="45"/>
  <c r="R57" i="55"/>
  <c r="S195" i="45"/>
  <c r="R57" i="65"/>
  <c r="Q71" i="57"/>
  <c r="Q88" i="57"/>
  <c r="Q105" i="57"/>
  <c r="Q105" i="58"/>
  <c r="Q71" i="58"/>
  <c r="Q88" i="58"/>
  <c r="Q155" i="62"/>
  <c r="Q138" i="62"/>
  <c r="Q88" i="62"/>
  <c r="Q105" i="62"/>
  <c r="Q71" i="62"/>
  <c r="S269" i="45"/>
  <c r="S60" i="57" s="1"/>
  <c r="R59" i="62"/>
  <c r="R121" i="62"/>
  <c r="R70" i="62"/>
  <c r="R104" i="62"/>
  <c r="R87" i="62"/>
  <c r="Q103" i="62"/>
  <c r="Q86" i="62"/>
  <c r="Q120" i="62"/>
  <c r="S187" i="45"/>
  <c r="R56" i="62"/>
  <c r="Q105" i="61"/>
  <c r="Q88" i="61"/>
  <c r="Q71" i="61"/>
  <c r="R121" i="61"/>
  <c r="R70" i="61"/>
  <c r="R87" i="61"/>
  <c r="R155" i="61"/>
  <c r="R138" i="61"/>
  <c r="S266" i="45"/>
  <c r="S59" i="63" s="1"/>
  <c r="R59" i="61"/>
  <c r="W153" i="45"/>
  <c r="V55" i="61"/>
  <c r="V69" i="61" s="1"/>
  <c r="Q103" i="61"/>
  <c r="Q86" i="61"/>
  <c r="Q120" i="61"/>
  <c r="S185" i="45"/>
  <c r="R56" i="61"/>
  <c r="R298" i="45"/>
  <c r="Q138" i="51"/>
  <c r="Q155" i="51"/>
  <c r="P86" i="58"/>
  <c r="P120" i="58"/>
  <c r="P103" i="58"/>
  <c r="S162" i="45"/>
  <c r="S56" i="58" s="1"/>
  <c r="R69" i="58"/>
  <c r="R194" i="45"/>
  <c r="R57" i="58" s="1"/>
  <c r="S288" i="45"/>
  <c r="R192" i="45"/>
  <c r="R57" i="52" s="1"/>
  <c r="P86" i="53"/>
  <c r="P103" i="53"/>
  <c r="P120" i="53"/>
  <c r="P86" i="55"/>
  <c r="P120" i="55"/>
  <c r="P103" i="55"/>
  <c r="R306" i="45"/>
  <c r="Q138" i="58"/>
  <c r="R191" i="45"/>
  <c r="R56" i="53" s="1"/>
  <c r="S158" i="45"/>
  <c r="S55" i="51" s="1"/>
  <c r="R69" i="51"/>
  <c r="S160" i="45"/>
  <c r="S56" i="52" s="1"/>
  <c r="R69" i="52"/>
  <c r="S289" i="45"/>
  <c r="R87" i="55"/>
  <c r="R104" i="55"/>
  <c r="R70" i="55"/>
  <c r="R121" i="55"/>
  <c r="R121" i="38"/>
  <c r="R104" i="38"/>
  <c r="R70" i="38"/>
  <c r="R87" i="38"/>
  <c r="S164" i="45"/>
  <c r="S56" i="55" s="1"/>
  <c r="R69" i="55"/>
  <c r="P103" i="51"/>
  <c r="P86" i="51"/>
  <c r="P120" i="51"/>
  <c r="S159" i="45"/>
  <c r="S55" i="53" s="1"/>
  <c r="R69" i="53"/>
  <c r="P103" i="52"/>
  <c r="P86" i="52"/>
  <c r="P120" i="52"/>
  <c r="R190" i="45"/>
  <c r="R56" i="51" s="1"/>
  <c r="R189" i="45"/>
  <c r="R56" i="64" s="1"/>
  <c r="R121" i="57"/>
  <c r="R87" i="57"/>
  <c r="R70" i="57"/>
  <c r="R104" i="57"/>
  <c r="R303" i="45"/>
  <c r="Q138" i="53"/>
  <c r="Q155" i="53"/>
  <c r="S287" i="45"/>
  <c r="R121" i="51"/>
  <c r="R87" i="51"/>
  <c r="R104" i="51"/>
  <c r="R70" i="51"/>
  <c r="R188" i="45"/>
  <c r="R56" i="63" s="1"/>
  <c r="S292" i="45"/>
  <c r="S70" i="53" s="1"/>
  <c r="R121" i="53"/>
  <c r="R104" i="53"/>
  <c r="S304" i="45"/>
  <c r="S55" i="52" s="1"/>
  <c r="R155" i="52"/>
  <c r="R138" i="52"/>
  <c r="P103" i="57"/>
  <c r="P86" i="57"/>
  <c r="P120" i="57"/>
  <c r="S295" i="45"/>
  <c r="R70" i="58"/>
  <c r="R104" i="58"/>
  <c r="R121" i="58"/>
  <c r="R87" i="58"/>
  <c r="S293" i="45"/>
  <c r="S54" i="52" s="1"/>
  <c r="R87" i="53"/>
  <c r="R104" i="52"/>
  <c r="R87" i="52"/>
  <c r="R121" i="52"/>
  <c r="R70" i="52"/>
  <c r="R302" i="45"/>
  <c r="Q155" i="58"/>
  <c r="Q138" i="57"/>
  <c r="Q155" i="57"/>
  <c r="R193" i="45"/>
  <c r="R57" i="57" s="1"/>
  <c r="R69" i="57"/>
  <c r="R300" i="45"/>
  <c r="Q138" i="55"/>
  <c r="Q155" i="55"/>
  <c r="Q138" i="38"/>
  <c r="Q155" i="38"/>
  <c r="R186" i="45"/>
  <c r="R56" i="38" s="1"/>
  <c r="S299" i="45"/>
  <c r="S291" i="45"/>
  <c r="S54" i="57" s="1"/>
  <c r="P22" i="45"/>
  <c r="Q122" i="64" l="1"/>
  <c r="Q156" i="64"/>
  <c r="Q139" i="64"/>
  <c r="Q122" i="66"/>
  <c r="Q139" i="66"/>
  <c r="Q156" i="66"/>
  <c r="S88" i="63"/>
  <c r="S105" i="63"/>
  <c r="S71" i="63"/>
  <c r="R71" i="65"/>
  <c r="R88" i="65"/>
  <c r="R105" i="65"/>
  <c r="S276" i="45"/>
  <c r="R60" i="51"/>
  <c r="R61" i="67"/>
  <c r="S283" i="45"/>
  <c r="R61" i="65"/>
  <c r="S284" i="45"/>
  <c r="R61" i="58"/>
  <c r="T265" i="45"/>
  <c r="S59" i="51"/>
  <c r="T271" i="45"/>
  <c r="S60" i="52"/>
  <c r="T272" i="45"/>
  <c r="S60" i="67"/>
  <c r="Q122" i="58"/>
  <c r="Q139" i="58"/>
  <c r="Q156" i="58"/>
  <c r="Q139" i="65"/>
  <c r="Q156" i="65"/>
  <c r="Q122" i="65"/>
  <c r="R71" i="55"/>
  <c r="R105" i="55"/>
  <c r="R88" i="55"/>
  <c r="R71" i="63"/>
  <c r="R88" i="63"/>
  <c r="R105" i="63"/>
  <c r="T294" i="45"/>
  <c r="S104" i="67"/>
  <c r="S70" i="67"/>
  <c r="S121" i="67"/>
  <c r="S87" i="67"/>
  <c r="S54" i="67"/>
  <c r="Q156" i="63"/>
  <c r="Q122" i="63"/>
  <c r="Q139" i="63"/>
  <c r="R71" i="67"/>
  <c r="R105" i="67"/>
  <c r="R88" i="67"/>
  <c r="S282" i="45"/>
  <c r="R61" i="52"/>
  <c r="T273" i="45"/>
  <c r="S60" i="65"/>
  <c r="S60" i="58"/>
  <c r="R71" i="64"/>
  <c r="R105" i="64"/>
  <c r="R88" i="64"/>
  <c r="R60" i="63"/>
  <c r="S277" i="45"/>
  <c r="R60" i="61"/>
  <c r="Q139" i="62"/>
  <c r="Q156" i="62"/>
  <c r="Q122" i="62"/>
  <c r="R61" i="57"/>
  <c r="R60" i="62"/>
  <c r="S280" i="45"/>
  <c r="Q122" i="61"/>
  <c r="Q156" i="61"/>
  <c r="Q139" i="61"/>
  <c r="Q122" i="55"/>
  <c r="Q156" i="55"/>
  <c r="Q139" i="55"/>
  <c r="R71" i="52"/>
  <c r="R88" i="52"/>
  <c r="R105" i="52"/>
  <c r="S104" i="61"/>
  <c r="S104" i="63"/>
  <c r="S70" i="63"/>
  <c r="S121" i="63"/>
  <c r="S87" i="63"/>
  <c r="S121" i="65"/>
  <c r="S70" i="65"/>
  <c r="S104" i="65"/>
  <c r="S87" i="65"/>
  <c r="S54" i="65"/>
  <c r="S54" i="58"/>
  <c r="R71" i="66"/>
  <c r="R88" i="66"/>
  <c r="R105" i="66"/>
  <c r="Q156" i="57"/>
  <c r="Q122" i="57"/>
  <c r="Q139" i="57"/>
  <c r="T267" i="45"/>
  <c r="S60" i="66"/>
  <c r="S59" i="64"/>
  <c r="S60" i="55"/>
  <c r="R105" i="51"/>
  <c r="R88" i="51"/>
  <c r="R71" i="51"/>
  <c r="S104" i="66"/>
  <c r="S87" i="66"/>
  <c r="S121" i="66"/>
  <c r="S70" i="66"/>
  <c r="S54" i="66"/>
  <c r="S70" i="64"/>
  <c r="S87" i="64"/>
  <c r="S104" i="64"/>
  <c r="S121" i="64"/>
  <c r="S54" i="55"/>
  <c r="R61" i="66"/>
  <c r="R60" i="64"/>
  <c r="S278" i="45"/>
  <c r="R61" i="55"/>
  <c r="R155" i="65"/>
  <c r="R55" i="57"/>
  <c r="R138" i="65"/>
  <c r="R138" i="67"/>
  <c r="R55" i="65"/>
  <c r="R55" i="58"/>
  <c r="T305" i="45"/>
  <c r="S155" i="67"/>
  <c r="S55" i="67"/>
  <c r="R138" i="66"/>
  <c r="R155" i="66"/>
  <c r="R55" i="66"/>
  <c r="R155" i="64"/>
  <c r="R138" i="64"/>
  <c r="R55" i="55"/>
  <c r="S138" i="63"/>
  <c r="S155" i="63"/>
  <c r="T166" i="45"/>
  <c r="S56" i="67"/>
  <c r="S69" i="67" s="1"/>
  <c r="S198" i="45"/>
  <c r="R57" i="67"/>
  <c r="R86" i="64"/>
  <c r="R120" i="64"/>
  <c r="R103" i="64"/>
  <c r="R86" i="65"/>
  <c r="R120" i="65"/>
  <c r="R103" i="65"/>
  <c r="Q120" i="67"/>
  <c r="Q86" i="67"/>
  <c r="Q103" i="67"/>
  <c r="T165" i="45"/>
  <c r="S56" i="66"/>
  <c r="S69" i="66" s="1"/>
  <c r="X161" i="45"/>
  <c r="W56" i="57"/>
  <c r="R103" i="63"/>
  <c r="R86" i="63"/>
  <c r="R120" i="63"/>
  <c r="Q86" i="66"/>
  <c r="Q103" i="66"/>
  <c r="Q120" i="66"/>
  <c r="S197" i="45"/>
  <c r="R57" i="66"/>
  <c r="T195" i="45"/>
  <c r="S57" i="65"/>
  <c r="T196" i="45"/>
  <c r="S57" i="55"/>
  <c r="T163" i="45"/>
  <c r="S56" i="65"/>
  <c r="S69" i="65" s="1"/>
  <c r="R155" i="62"/>
  <c r="R138" i="62"/>
  <c r="S104" i="62"/>
  <c r="S121" i="62"/>
  <c r="S70" i="62"/>
  <c r="S87" i="62"/>
  <c r="R105" i="57"/>
  <c r="R71" i="57"/>
  <c r="R88" i="57"/>
  <c r="R71" i="58"/>
  <c r="R88" i="58"/>
  <c r="R105" i="58"/>
  <c r="R71" i="62"/>
  <c r="R88" i="62"/>
  <c r="R105" i="62"/>
  <c r="R103" i="62"/>
  <c r="R86" i="62"/>
  <c r="R120" i="62"/>
  <c r="T269" i="45"/>
  <c r="T60" i="57" s="1"/>
  <c r="S59" i="62"/>
  <c r="T187" i="45"/>
  <c r="S56" i="62"/>
  <c r="R105" i="61"/>
  <c r="R71" i="61"/>
  <c r="R88" i="61"/>
  <c r="S121" i="61"/>
  <c r="S70" i="61"/>
  <c r="S87" i="61"/>
  <c r="R103" i="61"/>
  <c r="R86" i="61"/>
  <c r="R120" i="61"/>
  <c r="X153" i="45"/>
  <c r="W55" i="61"/>
  <c r="W69" i="61" s="1"/>
  <c r="S155" i="61"/>
  <c r="S138" i="61"/>
  <c r="T185" i="45"/>
  <c r="S56" i="61"/>
  <c r="T266" i="45"/>
  <c r="T59" i="63" s="1"/>
  <c r="S59" i="61"/>
  <c r="T164" i="45"/>
  <c r="T56" i="55" s="1"/>
  <c r="S69" i="55"/>
  <c r="T289" i="45"/>
  <c r="S87" i="55"/>
  <c r="S121" i="55"/>
  <c r="S104" i="55"/>
  <c r="S70" i="55"/>
  <c r="S87" i="38"/>
  <c r="S121" i="38"/>
  <c r="S70" i="38"/>
  <c r="S104" i="38"/>
  <c r="Q86" i="53"/>
  <c r="Q103" i="53"/>
  <c r="Q120" i="53"/>
  <c r="T293" i="45"/>
  <c r="T54" i="52" s="1"/>
  <c r="S87" i="53"/>
  <c r="S104" i="52"/>
  <c r="S87" i="52"/>
  <c r="S121" i="52"/>
  <c r="S70" i="52"/>
  <c r="T287" i="45"/>
  <c r="S121" i="51"/>
  <c r="S87" i="51"/>
  <c r="S104" i="51"/>
  <c r="S70" i="51"/>
  <c r="S191" i="45"/>
  <c r="S56" i="53" s="1"/>
  <c r="S300" i="45"/>
  <c r="R138" i="55"/>
  <c r="R155" i="55"/>
  <c r="R138" i="38"/>
  <c r="R155" i="38"/>
  <c r="T160" i="45"/>
  <c r="T56" i="52" s="1"/>
  <c r="S69" i="52"/>
  <c r="S302" i="45"/>
  <c r="R155" i="57"/>
  <c r="R155" i="58"/>
  <c r="R138" i="57"/>
  <c r="S69" i="57"/>
  <c r="T159" i="45"/>
  <c r="T55" i="53" s="1"/>
  <c r="S69" i="53"/>
  <c r="T288" i="45"/>
  <c r="T292" i="45"/>
  <c r="T70" i="53" s="1"/>
  <c r="S121" i="53"/>
  <c r="S104" i="53"/>
  <c r="S186" i="45"/>
  <c r="S56" i="38" s="1"/>
  <c r="Q120" i="57"/>
  <c r="Q103" i="57"/>
  <c r="Q86" i="57"/>
  <c r="Q103" i="51"/>
  <c r="Q86" i="51"/>
  <c r="Q120" i="51"/>
  <c r="Q86" i="52"/>
  <c r="Q103" i="52"/>
  <c r="Q120" i="52"/>
  <c r="S306" i="45"/>
  <c r="R138" i="58"/>
  <c r="Q103" i="58"/>
  <c r="Q120" i="58"/>
  <c r="Q86" i="58"/>
  <c r="T304" i="45"/>
  <c r="T55" i="52" s="1"/>
  <c r="S138" i="52"/>
  <c r="S155" i="52"/>
  <c r="T158" i="45"/>
  <c r="T55" i="51" s="1"/>
  <c r="S69" i="51"/>
  <c r="S193" i="45"/>
  <c r="S57" i="57" s="1"/>
  <c r="T295" i="45"/>
  <c r="S87" i="58"/>
  <c r="S70" i="58"/>
  <c r="S104" i="58"/>
  <c r="S121" i="58"/>
  <c r="S188" i="45"/>
  <c r="S56" i="63" s="1"/>
  <c r="S303" i="45"/>
  <c r="R138" i="53"/>
  <c r="R155" i="53"/>
  <c r="S189" i="45"/>
  <c r="S56" i="64" s="1"/>
  <c r="S121" i="57"/>
  <c r="S87" i="57"/>
  <c r="S70" i="57"/>
  <c r="S104" i="57"/>
  <c r="S190" i="45"/>
  <c r="S56" i="51" s="1"/>
  <c r="Q86" i="55"/>
  <c r="Q120" i="55"/>
  <c r="Q103" i="55"/>
  <c r="S194" i="45"/>
  <c r="S57" i="58" s="1"/>
  <c r="S298" i="45"/>
  <c r="R155" i="51"/>
  <c r="R138" i="51"/>
  <c r="S192" i="45"/>
  <c r="S57" i="52" s="1"/>
  <c r="T162" i="45"/>
  <c r="T56" i="58" s="1"/>
  <c r="S69" i="58"/>
  <c r="T299" i="45"/>
  <c r="T291" i="45"/>
  <c r="T54" i="57" s="1"/>
  <c r="Q22" i="45"/>
  <c r="T104" i="66" l="1"/>
  <c r="T121" i="66"/>
  <c r="T70" i="66"/>
  <c r="T87" i="66"/>
  <c r="T54" i="66"/>
  <c r="T104" i="64"/>
  <c r="T87" i="64"/>
  <c r="T70" i="64"/>
  <c r="T121" i="64"/>
  <c r="T54" i="55"/>
  <c r="U265" i="45"/>
  <c r="T59" i="51"/>
  <c r="R156" i="57"/>
  <c r="R122" i="57"/>
  <c r="R139" i="57"/>
  <c r="U273" i="45"/>
  <c r="T60" i="65"/>
  <c r="T60" i="58"/>
  <c r="R139" i="58"/>
  <c r="R156" i="58"/>
  <c r="R122" i="58"/>
  <c r="T104" i="61"/>
  <c r="T70" i="63"/>
  <c r="T104" i="63"/>
  <c r="T87" i="63"/>
  <c r="T121" i="63"/>
  <c r="R139" i="64"/>
  <c r="R122" i="64"/>
  <c r="R156" i="64"/>
  <c r="R139" i="52"/>
  <c r="R156" i="52"/>
  <c r="R122" i="52"/>
  <c r="T284" i="45"/>
  <c r="S61" i="65"/>
  <c r="S61" i="58"/>
  <c r="S105" i="52"/>
  <c r="S71" i="52"/>
  <c r="S88" i="52"/>
  <c r="S61" i="66"/>
  <c r="S60" i="64"/>
  <c r="T278" i="45"/>
  <c r="S61" i="55"/>
  <c r="R122" i="66"/>
  <c r="R139" i="66"/>
  <c r="R156" i="66"/>
  <c r="T282" i="45"/>
  <c r="S61" i="52"/>
  <c r="U294" i="45"/>
  <c r="T70" i="67"/>
  <c r="T87" i="67"/>
  <c r="T104" i="67"/>
  <c r="T121" i="67"/>
  <c r="T54" i="67"/>
  <c r="T283" i="45"/>
  <c r="S61" i="67"/>
  <c r="U271" i="45"/>
  <c r="T60" i="52"/>
  <c r="S61" i="57"/>
  <c r="S60" i="62"/>
  <c r="T280" i="45"/>
  <c r="S88" i="51"/>
  <c r="S105" i="51"/>
  <c r="S71" i="51"/>
  <c r="R139" i="65"/>
  <c r="R156" i="65"/>
  <c r="R122" i="65"/>
  <c r="R139" i="61"/>
  <c r="R156" i="61"/>
  <c r="R122" i="61"/>
  <c r="R139" i="67"/>
  <c r="R156" i="67"/>
  <c r="R122" i="67"/>
  <c r="T105" i="63"/>
  <c r="T88" i="63"/>
  <c r="T71" i="63"/>
  <c r="S71" i="64"/>
  <c r="S88" i="64"/>
  <c r="S105" i="64"/>
  <c r="S60" i="63"/>
  <c r="T277" i="45"/>
  <c r="S60" i="61"/>
  <c r="R122" i="51"/>
  <c r="R139" i="51"/>
  <c r="R156" i="51"/>
  <c r="R122" i="55"/>
  <c r="R156" i="55"/>
  <c r="R139" i="55"/>
  <c r="S88" i="65"/>
  <c r="S105" i="65"/>
  <c r="S71" i="65"/>
  <c r="T121" i="65"/>
  <c r="T70" i="65"/>
  <c r="T87" i="65"/>
  <c r="T104" i="65"/>
  <c r="T54" i="65"/>
  <c r="T54" i="58"/>
  <c r="S71" i="66"/>
  <c r="S88" i="66"/>
  <c r="S105" i="66"/>
  <c r="R156" i="63"/>
  <c r="R139" i="63"/>
  <c r="R122" i="63"/>
  <c r="S105" i="67"/>
  <c r="S71" i="67"/>
  <c r="S88" i="67"/>
  <c r="T276" i="45"/>
  <c r="S60" i="51"/>
  <c r="R122" i="62"/>
  <c r="R139" i="62"/>
  <c r="R156" i="62"/>
  <c r="S71" i="55"/>
  <c r="S105" i="55"/>
  <c r="S88" i="55"/>
  <c r="U267" i="45"/>
  <c r="T60" i="66"/>
  <c r="T59" i="64"/>
  <c r="T60" i="55"/>
  <c r="U272" i="45"/>
  <c r="T60" i="67"/>
  <c r="U305" i="45"/>
  <c r="T155" i="67"/>
  <c r="T55" i="67"/>
  <c r="S155" i="65"/>
  <c r="S55" i="57"/>
  <c r="S138" i="65"/>
  <c r="S138" i="67"/>
  <c r="S55" i="65"/>
  <c r="S55" i="58"/>
  <c r="S138" i="66"/>
  <c r="S155" i="66"/>
  <c r="S55" i="66"/>
  <c r="S155" i="64"/>
  <c r="S138" i="64"/>
  <c r="S55" i="55"/>
  <c r="T138" i="63"/>
  <c r="T155" i="63"/>
  <c r="S86" i="64"/>
  <c r="S120" i="64"/>
  <c r="S103" i="64"/>
  <c r="R86" i="67"/>
  <c r="R103" i="67"/>
  <c r="R120" i="67"/>
  <c r="U196" i="45"/>
  <c r="T57" i="55"/>
  <c r="S103" i="63"/>
  <c r="S120" i="63"/>
  <c r="S86" i="63"/>
  <c r="T198" i="45"/>
  <c r="S57" i="67"/>
  <c r="U165" i="45"/>
  <c r="T56" i="66"/>
  <c r="T69" i="66" s="1"/>
  <c r="S120" i="65"/>
  <c r="S103" i="65"/>
  <c r="S86" i="65"/>
  <c r="Y161" i="45"/>
  <c r="X56" i="57"/>
  <c r="U163" i="45"/>
  <c r="T56" i="65"/>
  <c r="T69" i="65" s="1"/>
  <c r="U195" i="45"/>
  <c r="T57" i="65"/>
  <c r="R86" i="66"/>
  <c r="R103" i="66"/>
  <c r="R120" i="66"/>
  <c r="T197" i="45"/>
  <c r="S57" i="66"/>
  <c r="U166" i="45"/>
  <c r="T56" i="67"/>
  <c r="T69" i="67" s="1"/>
  <c r="S105" i="58"/>
  <c r="S88" i="58"/>
  <c r="S71" i="58"/>
  <c r="S88" i="62"/>
  <c r="S105" i="62"/>
  <c r="S71" i="62"/>
  <c r="S71" i="57"/>
  <c r="S88" i="57"/>
  <c r="S105" i="57"/>
  <c r="U269" i="45"/>
  <c r="U60" i="57" s="1"/>
  <c r="T59" i="62"/>
  <c r="T104" i="62"/>
  <c r="T121" i="62"/>
  <c r="T70" i="62"/>
  <c r="T87" i="62"/>
  <c r="S120" i="62"/>
  <c r="S103" i="62"/>
  <c r="S86" i="62"/>
  <c r="S155" i="62"/>
  <c r="S138" i="62"/>
  <c r="U187" i="45"/>
  <c r="T56" i="62"/>
  <c r="S71" i="61"/>
  <c r="S105" i="61"/>
  <c r="S88" i="61"/>
  <c r="U266" i="45"/>
  <c r="U59" i="63" s="1"/>
  <c r="T59" i="61"/>
  <c r="T121" i="61"/>
  <c r="T70" i="61"/>
  <c r="T87" i="61"/>
  <c r="S120" i="61"/>
  <c r="S103" i="61"/>
  <c r="S86" i="61"/>
  <c r="U185" i="45"/>
  <c r="T56" i="61"/>
  <c r="Y153" i="45"/>
  <c r="X55" i="61"/>
  <c r="X69" i="61" s="1"/>
  <c r="T155" i="61"/>
  <c r="T138" i="61"/>
  <c r="T194" i="45"/>
  <c r="T57" i="58" s="1"/>
  <c r="U159" i="45"/>
  <c r="U55" i="53" s="1"/>
  <c r="T69" i="53"/>
  <c r="U293" i="45"/>
  <c r="U54" i="52" s="1"/>
  <c r="T87" i="53"/>
  <c r="T70" i="52"/>
  <c r="T104" i="52"/>
  <c r="T87" i="52"/>
  <c r="T121" i="52"/>
  <c r="R103" i="58"/>
  <c r="R120" i="58"/>
  <c r="R86" i="58"/>
  <c r="R86" i="55"/>
  <c r="R120" i="55"/>
  <c r="R103" i="55"/>
  <c r="T306" i="45"/>
  <c r="S138" i="58"/>
  <c r="U292" i="45"/>
  <c r="U70" i="53" s="1"/>
  <c r="T121" i="53"/>
  <c r="T104" i="53"/>
  <c r="U158" i="45"/>
  <c r="U55" i="51" s="1"/>
  <c r="T69" i="51"/>
  <c r="T192" i="45"/>
  <c r="T57" i="52" s="1"/>
  <c r="T302" i="45"/>
  <c r="S155" i="58"/>
  <c r="S138" i="57"/>
  <c r="S155" i="57"/>
  <c r="R103" i="51"/>
  <c r="R86" i="51"/>
  <c r="R120" i="51"/>
  <c r="T69" i="57"/>
  <c r="U304" i="45"/>
  <c r="U55" i="52" s="1"/>
  <c r="T138" i="52"/>
  <c r="T155" i="52"/>
  <c r="U287" i="45"/>
  <c r="T70" i="51"/>
  <c r="T121" i="51"/>
  <c r="T87" i="51"/>
  <c r="T104" i="51"/>
  <c r="R103" i="52"/>
  <c r="R86" i="52"/>
  <c r="R120" i="52"/>
  <c r="T190" i="45"/>
  <c r="T56" i="51" s="1"/>
  <c r="U295" i="45"/>
  <c r="T87" i="58"/>
  <c r="T70" i="58"/>
  <c r="T104" i="58"/>
  <c r="T121" i="58"/>
  <c r="T186" i="45"/>
  <c r="T56" i="38" s="1"/>
  <c r="U160" i="45"/>
  <c r="U56" i="52" s="1"/>
  <c r="T69" i="52"/>
  <c r="U289" i="45"/>
  <c r="T87" i="55"/>
  <c r="T104" i="55"/>
  <c r="T70" i="55"/>
  <c r="T121" i="55"/>
  <c r="T104" i="38"/>
  <c r="T87" i="38"/>
  <c r="T121" i="38"/>
  <c r="T70" i="38"/>
  <c r="T189" i="45"/>
  <c r="T56" i="64" s="1"/>
  <c r="T121" i="57"/>
  <c r="T87" i="57"/>
  <c r="T70" i="57"/>
  <c r="T104" i="57"/>
  <c r="U162" i="45"/>
  <c r="U56" i="58" s="1"/>
  <c r="T69" i="58"/>
  <c r="R103" i="57"/>
  <c r="R120" i="57"/>
  <c r="R86" i="57"/>
  <c r="U288" i="45"/>
  <c r="T300" i="45"/>
  <c r="S138" i="55"/>
  <c r="S155" i="55"/>
  <c r="S155" i="38"/>
  <c r="S138" i="38"/>
  <c r="T303" i="45"/>
  <c r="S155" i="53"/>
  <c r="S138" i="53"/>
  <c r="T193" i="45"/>
  <c r="T57" i="57" s="1"/>
  <c r="R120" i="53"/>
  <c r="R86" i="53"/>
  <c r="R103" i="53"/>
  <c r="U164" i="45"/>
  <c r="U56" i="55" s="1"/>
  <c r="T69" i="55"/>
  <c r="T191" i="45"/>
  <c r="T56" i="53" s="1"/>
  <c r="T298" i="45"/>
  <c r="S155" i="51"/>
  <c r="S138" i="51"/>
  <c r="T188" i="45"/>
  <c r="T56" i="63" s="1"/>
  <c r="U299" i="45"/>
  <c r="U291" i="45"/>
  <c r="U54" i="57" s="1"/>
  <c r="R22" i="45"/>
  <c r="S122" i="65" l="1"/>
  <c r="S139" i="65"/>
  <c r="S156" i="65"/>
  <c r="T60" i="63"/>
  <c r="U277" i="45"/>
  <c r="T60" i="61"/>
  <c r="T61" i="66"/>
  <c r="U278" i="45"/>
  <c r="T60" i="64"/>
  <c r="T61" i="55"/>
  <c r="T88" i="65"/>
  <c r="T105" i="65"/>
  <c r="T71" i="65"/>
  <c r="T105" i="52"/>
  <c r="T71" i="52"/>
  <c r="T88" i="52"/>
  <c r="S139" i="64"/>
  <c r="S156" i="64"/>
  <c r="S122" i="64"/>
  <c r="V273" i="45"/>
  <c r="U60" i="65"/>
  <c r="U60" i="58"/>
  <c r="U282" i="45"/>
  <c r="T61" i="52"/>
  <c r="U104" i="61"/>
  <c r="U104" i="63"/>
  <c r="U70" i="63"/>
  <c r="U87" i="63"/>
  <c r="U121" i="63"/>
  <c r="U88" i="63"/>
  <c r="U105" i="63"/>
  <c r="U71" i="63"/>
  <c r="S156" i="66"/>
  <c r="S122" i="66"/>
  <c r="S139" i="66"/>
  <c r="S122" i="63"/>
  <c r="S156" i="63"/>
  <c r="S139" i="63"/>
  <c r="T71" i="67"/>
  <c r="T88" i="67"/>
  <c r="T105" i="67"/>
  <c r="T71" i="66"/>
  <c r="T88" i="66"/>
  <c r="T105" i="66"/>
  <c r="V267" i="45"/>
  <c r="U60" i="66"/>
  <c r="U59" i="64"/>
  <c r="U60" i="55"/>
  <c r="S139" i="55"/>
  <c r="S156" i="55"/>
  <c r="S122" i="55"/>
  <c r="U121" i="65"/>
  <c r="U70" i="65"/>
  <c r="U87" i="65"/>
  <c r="U104" i="65"/>
  <c r="U54" i="65"/>
  <c r="U54" i="58"/>
  <c r="U104" i="66"/>
  <c r="U121" i="66"/>
  <c r="U70" i="66"/>
  <c r="U87" i="66"/>
  <c r="U54" i="66"/>
  <c r="U87" i="64"/>
  <c r="U70" i="64"/>
  <c r="U104" i="64"/>
  <c r="U121" i="64"/>
  <c r="U54" i="55"/>
  <c r="V272" i="45"/>
  <c r="U60" i="67"/>
  <c r="U283" i="45"/>
  <c r="T61" i="67"/>
  <c r="T105" i="55"/>
  <c r="T71" i="55"/>
  <c r="T88" i="55"/>
  <c r="S122" i="51"/>
  <c r="S139" i="51"/>
  <c r="S156" i="51"/>
  <c r="T61" i="57"/>
  <c r="U280" i="45"/>
  <c r="T60" i="62"/>
  <c r="V294" i="45"/>
  <c r="U104" i="67"/>
  <c r="U87" i="67"/>
  <c r="U70" i="67"/>
  <c r="U121" i="67"/>
  <c r="U54" i="67"/>
  <c r="T105" i="51"/>
  <c r="T88" i="51"/>
  <c r="T71" i="51"/>
  <c r="S122" i="57"/>
  <c r="S156" i="57"/>
  <c r="S139" i="57"/>
  <c r="S122" i="61"/>
  <c r="S139" i="61"/>
  <c r="S156" i="61"/>
  <c r="U284" i="45"/>
  <c r="T61" i="65"/>
  <c r="T61" i="58"/>
  <c r="V271" i="45"/>
  <c r="U60" i="52"/>
  <c r="S122" i="67"/>
  <c r="S156" i="67"/>
  <c r="S139" i="67"/>
  <c r="T71" i="64"/>
  <c r="T105" i="64"/>
  <c r="T88" i="64"/>
  <c r="U276" i="45"/>
  <c r="T60" i="51"/>
  <c r="S122" i="62"/>
  <c r="S139" i="62"/>
  <c r="S156" i="62"/>
  <c r="S156" i="52"/>
  <c r="S122" i="52"/>
  <c r="S139" i="52"/>
  <c r="S156" i="58"/>
  <c r="S122" i="58"/>
  <c r="S139" i="58"/>
  <c r="V265" i="45"/>
  <c r="U59" i="51"/>
  <c r="T155" i="65"/>
  <c r="T55" i="57"/>
  <c r="T138" i="67"/>
  <c r="T138" i="65"/>
  <c r="T55" i="65"/>
  <c r="T55" i="58"/>
  <c r="V305" i="45"/>
  <c r="U155" i="67"/>
  <c r="U55" i="67"/>
  <c r="U138" i="63"/>
  <c r="U155" i="63"/>
  <c r="T138" i="66"/>
  <c r="T155" i="66"/>
  <c r="T55" i="66"/>
  <c r="T155" i="64"/>
  <c r="T138" i="64"/>
  <c r="T55" i="55"/>
  <c r="U198" i="45"/>
  <c r="T57" i="67"/>
  <c r="V196" i="45"/>
  <c r="U57" i="55"/>
  <c r="S120" i="66"/>
  <c r="S86" i="66"/>
  <c r="S103" i="66"/>
  <c r="T120" i="63"/>
  <c r="T86" i="63"/>
  <c r="T103" i="63"/>
  <c r="U197" i="45"/>
  <c r="T57" i="66"/>
  <c r="Z161" i="45"/>
  <c r="Y56" i="57"/>
  <c r="V165" i="45"/>
  <c r="U56" i="66"/>
  <c r="U69" i="66" s="1"/>
  <c r="T86" i="64"/>
  <c r="T120" i="64"/>
  <c r="T103" i="64"/>
  <c r="S103" i="67"/>
  <c r="S86" i="67"/>
  <c r="S120" i="67"/>
  <c r="T103" i="65"/>
  <c r="T120" i="65"/>
  <c r="T86" i="65"/>
  <c r="V195" i="45"/>
  <c r="U57" i="65"/>
  <c r="V166" i="45"/>
  <c r="U56" i="67"/>
  <c r="U69" i="67" s="1"/>
  <c r="V163" i="45"/>
  <c r="U56" i="65"/>
  <c r="U69" i="65" s="1"/>
  <c r="T71" i="58"/>
  <c r="T88" i="58"/>
  <c r="T105" i="58"/>
  <c r="T71" i="57"/>
  <c r="T105" i="57"/>
  <c r="T88" i="57"/>
  <c r="T71" i="62"/>
  <c r="T88" i="62"/>
  <c r="T105" i="62"/>
  <c r="V269" i="45"/>
  <c r="V60" i="57" s="1"/>
  <c r="U59" i="62"/>
  <c r="U104" i="62"/>
  <c r="U121" i="62"/>
  <c r="U70" i="62"/>
  <c r="U87" i="62"/>
  <c r="T155" i="62"/>
  <c r="T138" i="62"/>
  <c r="T86" i="62"/>
  <c r="T103" i="62"/>
  <c r="T120" i="62"/>
  <c r="V187" i="45"/>
  <c r="U56" i="62"/>
  <c r="T71" i="61"/>
  <c r="T105" i="61"/>
  <c r="T88" i="61"/>
  <c r="U155" i="61"/>
  <c r="U138" i="61"/>
  <c r="U121" i="61"/>
  <c r="U70" i="61"/>
  <c r="U87" i="61"/>
  <c r="T120" i="61"/>
  <c r="T103" i="61"/>
  <c r="T86" i="61"/>
  <c r="V266" i="45"/>
  <c r="V59" i="63" s="1"/>
  <c r="U59" i="61"/>
  <c r="V185" i="45"/>
  <c r="U56" i="61"/>
  <c r="Z153" i="45"/>
  <c r="Y55" i="61"/>
  <c r="Y69" i="61" s="1"/>
  <c r="U69" i="57"/>
  <c r="V158" i="45"/>
  <c r="V55" i="51" s="1"/>
  <c r="U69" i="51"/>
  <c r="V293" i="45"/>
  <c r="V54" i="52" s="1"/>
  <c r="U87" i="53"/>
  <c r="U121" i="52"/>
  <c r="U70" i="52"/>
  <c r="U104" i="52"/>
  <c r="U87" i="52"/>
  <c r="U298" i="45"/>
  <c r="T155" i="51"/>
  <c r="T138" i="51"/>
  <c r="V288" i="45"/>
  <c r="S86" i="52"/>
  <c r="S120" i="52"/>
  <c r="S103" i="52"/>
  <c r="U303" i="45"/>
  <c r="T155" i="53"/>
  <c r="T138" i="53"/>
  <c r="U190" i="45"/>
  <c r="U56" i="51" s="1"/>
  <c r="U121" i="57"/>
  <c r="U87" i="57"/>
  <c r="U70" i="57"/>
  <c r="U104" i="57"/>
  <c r="U188" i="45"/>
  <c r="U56" i="63" s="1"/>
  <c r="U300" i="45"/>
  <c r="T155" i="55"/>
  <c r="T138" i="55"/>
  <c r="T155" i="38"/>
  <c r="T138" i="38"/>
  <c r="V164" i="45"/>
  <c r="V56" i="55" s="1"/>
  <c r="U69" i="55"/>
  <c r="V304" i="45"/>
  <c r="V55" i="52" s="1"/>
  <c r="U138" i="52"/>
  <c r="U155" i="52"/>
  <c r="V160" i="45"/>
  <c r="V56" i="52" s="1"/>
  <c r="U69" i="52"/>
  <c r="U186" i="45"/>
  <c r="U56" i="38" s="1"/>
  <c r="V159" i="45"/>
  <c r="V55" i="53" s="1"/>
  <c r="U69" i="53"/>
  <c r="V287" i="45"/>
  <c r="U70" i="51"/>
  <c r="U121" i="51"/>
  <c r="U104" i="51"/>
  <c r="U87" i="51"/>
  <c r="U302" i="45"/>
  <c r="T138" i="57"/>
  <c r="T155" i="58"/>
  <c r="T155" i="57"/>
  <c r="S86" i="58"/>
  <c r="S120" i="58"/>
  <c r="S103" i="58"/>
  <c r="U194" i="45"/>
  <c r="U57" i="58" s="1"/>
  <c r="S120" i="57"/>
  <c r="S103" i="57"/>
  <c r="S86" i="57"/>
  <c r="S86" i="51"/>
  <c r="S120" i="51"/>
  <c r="S103" i="51"/>
  <c r="S120" i="55"/>
  <c r="S86" i="55"/>
  <c r="S103" i="55"/>
  <c r="V292" i="45"/>
  <c r="V70" i="53" s="1"/>
  <c r="U121" i="53"/>
  <c r="U104" i="53"/>
  <c r="U192" i="45"/>
  <c r="U57" i="52" s="1"/>
  <c r="S120" i="53"/>
  <c r="S103" i="53"/>
  <c r="S86" i="53"/>
  <c r="U193" i="45"/>
  <c r="U57" i="57" s="1"/>
  <c r="U189" i="45"/>
  <c r="U56" i="64" s="1"/>
  <c r="U191" i="45"/>
  <c r="U56" i="53" s="1"/>
  <c r="V289" i="45"/>
  <c r="U87" i="55"/>
  <c r="U104" i="55"/>
  <c r="U70" i="55"/>
  <c r="U121" i="55"/>
  <c r="U87" i="38"/>
  <c r="U121" i="38"/>
  <c r="U70" i="38"/>
  <c r="U104" i="38"/>
  <c r="V162" i="45"/>
  <c r="V56" i="58" s="1"/>
  <c r="U69" i="58"/>
  <c r="V295" i="45"/>
  <c r="U121" i="58"/>
  <c r="U87" i="58"/>
  <c r="U70" i="58"/>
  <c r="U104" i="58"/>
  <c r="U306" i="45"/>
  <c r="T138" i="58"/>
  <c r="V299" i="45"/>
  <c r="V291" i="45"/>
  <c r="V54" i="57" s="1"/>
  <c r="S22" i="45"/>
  <c r="U61" i="66" l="1"/>
  <c r="V278" i="45"/>
  <c r="U60" i="64"/>
  <c r="U61" i="55"/>
  <c r="V104" i="65"/>
  <c r="V70" i="65"/>
  <c r="V121" i="65"/>
  <c r="V87" i="65"/>
  <c r="V54" i="65"/>
  <c r="V54" i="58"/>
  <c r="U60" i="63"/>
  <c r="V277" i="45"/>
  <c r="U60" i="61"/>
  <c r="U71" i="67"/>
  <c r="U88" i="67"/>
  <c r="U105" i="67"/>
  <c r="T156" i="64"/>
  <c r="T122" i="64"/>
  <c r="T139" i="64"/>
  <c r="V70" i="66"/>
  <c r="V104" i="66"/>
  <c r="V121" i="66"/>
  <c r="V87" i="66"/>
  <c r="V54" i="66"/>
  <c r="V104" i="64"/>
  <c r="V70" i="64"/>
  <c r="V121" i="64"/>
  <c r="V87" i="64"/>
  <c r="V54" i="55"/>
  <c r="U88" i="52"/>
  <c r="U105" i="52"/>
  <c r="U71" i="52"/>
  <c r="W271" i="45"/>
  <c r="V60" i="52"/>
  <c r="V104" i="61"/>
  <c r="V87" i="63"/>
  <c r="V104" i="63"/>
  <c r="V70" i="63"/>
  <c r="V121" i="63"/>
  <c r="T122" i="58"/>
  <c r="T139" i="58"/>
  <c r="T156" i="58"/>
  <c r="T122" i="63"/>
  <c r="T139" i="63"/>
  <c r="T156" i="63"/>
  <c r="T139" i="51"/>
  <c r="T156" i="51"/>
  <c r="T122" i="51"/>
  <c r="T139" i="65"/>
  <c r="T156" i="65"/>
  <c r="T122" i="65"/>
  <c r="W267" i="45"/>
  <c r="V60" i="66"/>
  <c r="V59" i="64"/>
  <c r="V60" i="55"/>
  <c r="U61" i="57"/>
  <c r="U60" i="62"/>
  <c r="V280" i="45"/>
  <c r="W273" i="45"/>
  <c r="V60" i="65"/>
  <c r="V60" i="58"/>
  <c r="V105" i="63"/>
  <c r="V88" i="63"/>
  <c r="V71" i="63"/>
  <c r="T122" i="57"/>
  <c r="T139" i="57"/>
  <c r="T156" i="57"/>
  <c r="T156" i="66"/>
  <c r="T122" i="66"/>
  <c r="T139" i="66"/>
  <c r="W265" i="45"/>
  <c r="V59" i="51"/>
  <c r="U71" i="55"/>
  <c r="U88" i="55"/>
  <c r="U105" i="55"/>
  <c r="T139" i="52"/>
  <c r="T122" i="52"/>
  <c r="T156" i="52"/>
  <c r="T122" i="62"/>
  <c r="T139" i="62"/>
  <c r="T156" i="62"/>
  <c r="U71" i="65"/>
  <c r="U88" i="65"/>
  <c r="U105" i="65"/>
  <c r="W272" i="45"/>
  <c r="V60" i="67"/>
  <c r="T139" i="61"/>
  <c r="T122" i="61"/>
  <c r="T156" i="61"/>
  <c r="U71" i="51"/>
  <c r="U88" i="51"/>
  <c r="U105" i="51"/>
  <c r="V276" i="45"/>
  <c r="U60" i="51"/>
  <c r="T139" i="67"/>
  <c r="T156" i="67"/>
  <c r="T122" i="67"/>
  <c r="U71" i="64"/>
  <c r="U88" i="64"/>
  <c r="U105" i="64"/>
  <c r="V282" i="45"/>
  <c r="U61" i="52"/>
  <c r="V284" i="45"/>
  <c r="U61" i="65"/>
  <c r="U61" i="58"/>
  <c r="W294" i="45"/>
  <c r="V87" i="67"/>
  <c r="V104" i="67"/>
  <c r="V70" i="67"/>
  <c r="V121" i="67"/>
  <c r="V54" i="67"/>
  <c r="V283" i="45"/>
  <c r="U61" i="67"/>
  <c r="U88" i="66"/>
  <c r="U71" i="66"/>
  <c r="U105" i="66"/>
  <c r="T122" i="55"/>
  <c r="T156" i="55"/>
  <c r="T139" i="55"/>
  <c r="W305" i="45"/>
  <c r="V155" i="67"/>
  <c r="V55" i="67"/>
  <c r="U155" i="65"/>
  <c r="U55" i="57"/>
  <c r="U138" i="67"/>
  <c r="U138" i="65"/>
  <c r="U55" i="65"/>
  <c r="U55" i="58"/>
  <c r="U138" i="66"/>
  <c r="U155" i="66"/>
  <c r="U55" i="66"/>
  <c r="U138" i="64"/>
  <c r="U155" i="64"/>
  <c r="U55" i="55"/>
  <c r="V138" i="63"/>
  <c r="V155" i="63"/>
  <c r="V197" i="45"/>
  <c r="U57" i="66"/>
  <c r="W166" i="45"/>
  <c r="V56" i="67"/>
  <c r="V69" i="67" s="1"/>
  <c r="U103" i="64"/>
  <c r="U86" i="64"/>
  <c r="U120" i="64"/>
  <c r="U120" i="63"/>
  <c r="U86" i="63"/>
  <c r="U103" i="63"/>
  <c r="W195" i="45"/>
  <c r="V57" i="65"/>
  <c r="T120" i="66"/>
  <c r="T86" i="66"/>
  <c r="T103" i="66"/>
  <c r="U103" i="65"/>
  <c r="U120" i="65"/>
  <c r="U86" i="65"/>
  <c r="W165" i="45"/>
  <c r="V56" i="66"/>
  <c r="V69" i="66" s="1"/>
  <c r="W163" i="45"/>
  <c r="V56" i="65"/>
  <c r="V69" i="65" s="1"/>
  <c r="W196" i="45"/>
  <c r="V57" i="55"/>
  <c r="T86" i="67"/>
  <c r="T103" i="67"/>
  <c r="T120" i="67"/>
  <c r="AA161" i="45"/>
  <c r="Z56" i="57"/>
  <c r="V198" i="45"/>
  <c r="U57" i="67"/>
  <c r="U105" i="58"/>
  <c r="U88" i="58"/>
  <c r="U71" i="58"/>
  <c r="U71" i="57"/>
  <c r="U88" i="57"/>
  <c r="U105" i="57"/>
  <c r="U88" i="62"/>
  <c r="U105" i="62"/>
  <c r="U71" i="62"/>
  <c r="W269" i="45"/>
  <c r="W60" i="57" s="1"/>
  <c r="V59" i="62"/>
  <c r="U155" i="62"/>
  <c r="U138" i="62"/>
  <c r="V87" i="62"/>
  <c r="V104" i="62"/>
  <c r="V121" i="62"/>
  <c r="V70" i="62"/>
  <c r="U86" i="62"/>
  <c r="U103" i="62"/>
  <c r="U120" i="62"/>
  <c r="W187" i="45"/>
  <c r="V56" i="62"/>
  <c r="U71" i="61"/>
  <c r="U88" i="61"/>
  <c r="U105" i="61"/>
  <c r="AA153" i="45"/>
  <c r="Z55" i="61"/>
  <c r="Z69" i="61" s="1"/>
  <c r="U103" i="61"/>
  <c r="U86" i="61"/>
  <c r="U120" i="61"/>
  <c r="V155" i="61"/>
  <c r="V138" i="61"/>
  <c r="W185" i="45"/>
  <c r="V56" i="61"/>
  <c r="V87" i="61"/>
  <c r="V121" i="61"/>
  <c r="V70" i="61"/>
  <c r="W266" i="45"/>
  <c r="W59" i="63" s="1"/>
  <c r="V59" i="61"/>
  <c r="W292" i="45"/>
  <c r="W70" i="53" s="1"/>
  <c r="V104" i="53"/>
  <c r="V121" i="53"/>
  <c r="W287" i="45"/>
  <c r="V104" i="51"/>
  <c r="V121" i="51"/>
  <c r="V87" i="51"/>
  <c r="V70" i="51"/>
  <c r="T120" i="53"/>
  <c r="T103" i="53"/>
  <c r="T86" i="53"/>
  <c r="W295" i="45"/>
  <c r="V121" i="58"/>
  <c r="V87" i="58"/>
  <c r="V70" i="58"/>
  <c r="V104" i="58"/>
  <c r="T86" i="55"/>
  <c r="T120" i="55"/>
  <c r="T103" i="55"/>
  <c r="T86" i="52"/>
  <c r="T103" i="52"/>
  <c r="T120" i="52"/>
  <c r="V300" i="45"/>
  <c r="U155" i="55"/>
  <c r="U138" i="55"/>
  <c r="U155" i="38"/>
  <c r="U138" i="38"/>
  <c r="V190" i="45"/>
  <c r="V56" i="51" s="1"/>
  <c r="W293" i="45"/>
  <c r="W54" i="52" s="1"/>
  <c r="V87" i="53"/>
  <c r="V87" i="52"/>
  <c r="V121" i="52"/>
  <c r="V70" i="52"/>
  <c r="V104" i="52"/>
  <c r="T120" i="51"/>
  <c r="T86" i="51"/>
  <c r="T103" i="51"/>
  <c r="T103" i="58"/>
  <c r="T120" i="58"/>
  <c r="T86" i="58"/>
  <c r="W288" i="45"/>
  <c r="V189" i="45"/>
  <c r="V56" i="64" s="1"/>
  <c r="V194" i="45"/>
  <c r="V57" i="58" s="1"/>
  <c r="V302" i="45"/>
  <c r="U155" i="58"/>
  <c r="U138" i="57"/>
  <c r="U155" i="57"/>
  <c r="V188" i="45"/>
  <c r="V56" i="63" s="1"/>
  <c r="W158" i="45"/>
  <c r="W55" i="51" s="1"/>
  <c r="V69" i="51"/>
  <c r="T86" i="57"/>
  <c r="T120" i="57"/>
  <c r="T103" i="57"/>
  <c r="W159" i="45"/>
  <c r="W55" i="53" s="1"/>
  <c r="V69" i="53"/>
  <c r="W160" i="45"/>
  <c r="W56" i="52" s="1"/>
  <c r="V69" i="52"/>
  <c r="V186" i="45"/>
  <c r="V56" i="38" s="1"/>
  <c r="V87" i="57"/>
  <c r="V70" i="57"/>
  <c r="V104" i="57"/>
  <c r="V121" i="57"/>
  <c r="V306" i="45"/>
  <c r="U138" i="58"/>
  <c r="W162" i="45"/>
  <c r="W56" i="58" s="1"/>
  <c r="V69" i="58"/>
  <c r="V193" i="45"/>
  <c r="V57" i="57" s="1"/>
  <c r="W304" i="45"/>
  <c r="W55" i="52" s="1"/>
  <c r="V138" i="52"/>
  <c r="V155" i="52"/>
  <c r="V303" i="45"/>
  <c r="U155" i="53"/>
  <c r="U138" i="53"/>
  <c r="V192" i="45"/>
  <c r="V57" i="52" s="1"/>
  <c r="V298" i="45"/>
  <c r="U155" i="51"/>
  <c r="U138" i="51"/>
  <c r="V191" i="45"/>
  <c r="V56" i="53" s="1"/>
  <c r="W164" i="45"/>
  <c r="W56" i="55" s="1"/>
  <c r="V69" i="55"/>
  <c r="W289" i="45"/>
  <c r="V87" i="55"/>
  <c r="V104" i="55"/>
  <c r="V70" i="55"/>
  <c r="V121" i="55"/>
  <c r="V70" i="38"/>
  <c r="V121" i="38"/>
  <c r="V104" i="38"/>
  <c r="V87" i="38"/>
  <c r="V69" i="57"/>
  <c r="W299" i="45"/>
  <c r="W291" i="45"/>
  <c r="W54" i="57" s="1"/>
  <c r="T22" i="45"/>
  <c r="V61" i="57" l="1"/>
  <c r="V60" i="62"/>
  <c r="W280" i="45"/>
  <c r="X271" i="45"/>
  <c r="W60" i="52"/>
  <c r="U122" i="67"/>
  <c r="U156" i="67"/>
  <c r="U139" i="67"/>
  <c r="V71" i="66"/>
  <c r="V88" i="66"/>
  <c r="V105" i="66"/>
  <c r="X267" i="45"/>
  <c r="W60" i="66"/>
  <c r="W59" i="64"/>
  <c r="W60" i="55"/>
  <c r="U139" i="52"/>
  <c r="U156" i="52"/>
  <c r="U122" i="52"/>
  <c r="V71" i="67"/>
  <c r="V105" i="67"/>
  <c r="V88" i="67"/>
  <c r="U122" i="55"/>
  <c r="U139" i="55"/>
  <c r="U156" i="55"/>
  <c r="W284" i="45"/>
  <c r="V61" i="65"/>
  <c r="V61" i="58"/>
  <c r="X272" i="45"/>
  <c r="W60" i="67"/>
  <c r="U156" i="64"/>
  <c r="U139" i="64"/>
  <c r="U122" i="64"/>
  <c r="U139" i="63"/>
  <c r="U122" i="63"/>
  <c r="U156" i="63"/>
  <c r="U156" i="62"/>
  <c r="U122" i="62"/>
  <c r="U139" i="62"/>
  <c r="V71" i="55"/>
  <c r="V88" i="55"/>
  <c r="V105" i="55"/>
  <c r="V71" i="64"/>
  <c r="V105" i="64"/>
  <c r="V88" i="64"/>
  <c r="W121" i="66"/>
  <c r="W70" i="66"/>
  <c r="W104" i="66"/>
  <c r="W87" i="66"/>
  <c r="W54" i="66"/>
  <c r="W104" i="64"/>
  <c r="W70" i="64"/>
  <c r="W121" i="64"/>
  <c r="W87" i="64"/>
  <c r="W54" i="55"/>
  <c r="V105" i="51"/>
  <c r="V88" i="51"/>
  <c r="V71" i="51"/>
  <c r="V61" i="66"/>
  <c r="V61" i="55"/>
  <c r="V60" i="64"/>
  <c r="W278" i="45"/>
  <c r="V71" i="52"/>
  <c r="V88" i="52"/>
  <c r="V105" i="52"/>
  <c r="U139" i="57"/>
  <c r="U156" i="57"/>
  <c r="U122" i="57"/>
  <c r="W87" i="65"/>
  <c r="W104" i="65"/>
  <c r="W70" i="65"/>
  <c r="W121" i="65"/>
  <c r="W54" i="65"/>
  <c r="W54" i="58"/>
  <c r="X294" i="45"/>
  <c r="W87" i="67"/>
  <c r="W121" i="67"/>
  <c r="W104" i="67"/>
  <c r="W70" i="67"/>
  <c r="W54" i="67"/>
  <c r="U156" i="51"/>
  <c r="U122" i="51"/>
  <c r="U139" i="51"/>
  <c r="X265" i="45"/>
  <c r="W59" i="51"/>
  <c r="V71" i="65"/>
  <c r="V105" i="65"/>
  <c r="V88" i="65"/>
  <c r="U156" i="61"/>
  <c r="U122" i="61"/>
  <c r="U139" i="61"/>
  <c r="U122" i="66"/>
  <c r="U139" i="66"/>
  <c r="U156" i="66"/>
  <c r="U122" i="65"/>
  <c r="U156" i="65"/>
  <c r="U139" i="65"/>
  <c r="W282" i="45"/>
  <c r="V61" i="52"/>
  <c r="W283" i="45"/>
  <c r="V61" i="67"/>
  <c r="W104" i="61"/>
  <c r="W87" i="63"/>
  <c r="W104" i="63"/>
  <c r="W70" i="63"/>
  <c r="W121" i="63"/>
  <c r="W105" i="63"/>
  <c r="W88" i="63"/>
  <c r="W71" i="63"/>
  <c r="U139" i="58"/>
  <c r="U122" i="58"/>
  <c r="U156" i="58"/>
  <c r="W276" i="45"/>
  <c r="V60" i="51"/>
  <c r="X273" i="45"/>
  <c r="W60" i="65"/>
  <c r="W60" i="58"/>
  <c r="V60" i="63"/>
  <c r="W277" i="45"/>
  <c r="V60" i="61"/>
  <c r="V138" i="67"/>
  <c r="V138" i="65"/>
  <c r="V55" i="65"/>
  <c r="V55" i="58"/>
  <c r="V155" i="65"/>
  <c r="V55" i="57"/>
  <c r="X305" i="45"/>
  <c r="W155" i="67"/>
  <c r="W55" i="67"/>
  <c r="V155" i="66"/>
  <c r="V138" i="66"/>
  <c r="V55" i="66"/>
  <c r="V138" i="64"/>
  <c r="V155" i="64"/>
  <c r="V55" i="55"/>
  <c r="W138" i="63"/>
  <c r="W155" i="63"/>
  <c r="X165" i="45"/>
  <c r="W56" i="66"/>
  <c r="W69" i="66" s="1"/>
  <c r="V120" i="63"/>
  <c r="V103" i="63"/>
  <c r="V86" i="63"/>
  <c r="U120" i="67"/>
  <c r="U103" i="67"/>
  <c r="U86" i="67"/>
  <c r="X196" i="45"/>
  <c r="W57" i="55"/>
  <c r="AB161" i="45"/>
  <c r="AA56" i="57"/>
  <c r="V120" i="64"/>
  <c r="V103" i="64"/>
  <c r="V86" i="64"/>
  <c r="X166" i="45"/>
  <c r="W56" i="67"/>
  <c r="W69" i="67" s="1"/>
  <c r="X163" i="45"/>
  <c r="W56" i="65"/>
  <c r="W69" i="65" s="1"/>
  <c r="W198" i="45"/>
  <c r="V57" i="67"/>
  <c r="V120" i="65"/>
  <c r="V103" i="65"/>
  <c r="V86" i="65"/>
  <c r="U120" i="66"/>
  <c r="U86" i="66"/>
  <c r="U103" i="66"/>
  <c r="W197" i="45"/>
  <c r="V57" i="66"/>
  <c r="X195" i="45"/>
  <c r="W57" i="65"/>
  <c r="V105" i="57"/>
  <c r="V71" i="57"/>
  <c r="V88" i="57"/>
  <c r="V71" i="58"/>
  <c r="V88" i="58"/>
  <c r="V105" i="58"/>
  <c r="V71" i="62"/>
  <c r="V88" i="62"/>
  <c r="V105" i="62"/>
  <c r="X269" i="45"/>
  <c r="X60" i="57" s="1"/>
  <c r="W59" i="62"/>
  <c r="V155" i="62"/>
  <c r="V138" i="62"/>
  <c r="W87" i="62"/>
  <c r="W104" i="62"/>
  <c r="W121" i="62"/>
  <c r="W70" i="62"/>
  <c r="V120" i="62"/>
  <c r="V86" i="62"/>
  <c r="V103" i="62"/>
  <c r="X187" i="45"/>
  <c r="W56" i="62"/>
  <c r="V71" i="61"/>
  <c r="V88" i="61"/>
  <c r="V105" i="61"/>
  <c r="W87" i="61"/>
  <c r="W70" i="61"/>
  <c r="W121" i="61"/>
  <c r="V103" i="61"/>
  <c r="V86" i="61"/>
  <c r="V120" i="61"/>
  <c r="X185" i="45"/>
  <c r="W56" i="61"/>
  <c r="AB153" i="45"/>
  <c r="AA55" i="61"/>
  <c r="AA69" i="61" s="1"/>
  <c r="W155" i="61"/>
  <c r="W138" i="61"/>
  <c r="X266" i="45"/>
  <c r="X59" i="63" s="1"/>
  <c r="W59" i="61"/>
  <c r="W298" i="45"/>
  <c r="V155" i="51"/>
  <c r="V138" i="51"/>
  <c r="U103" i="52"/>
  <c r="U86" i="52"/>
  <c r="U120" i="52"/>
  <c r="X295" i="45"/>
  <c r="W121" i="58"/>
  <c r="W87" i="58"/>
  <c r="W70" i="58"/>
  <c r="W104" i="58"/>
  <c r="X164" i="45"/>
  <c r="X56" i="55" s="1"/>
  <c r="W69" i="55"/>
  <c r="W186" i="45"/>
  <c r="W56" i="38" s="1"/>
  <c r="X288" i="45"/>
  <c r="W190" i="45"/>
  <c r="W56" i="51" s="1"/>
  <c r="W306" i="45"/>
  <c r="V138" i="58"/>
  <c r="X158" i="45"/>
  <c r="X55" i="51" s="1"/>
  <c r="W69" i="51"/>
  <c r="W302" i="45"/>
  <c r="V138" i="57"/>
  <c r="V155" i="57"/>
  <c r="V155" i="58"/>
  <c r="X160" i="45"/>
  <c r="X56" i="52" s="1"/>
  <c r="W69" i="52"/>
  <c r="U86" i="58"/>
  <c r="U103" i="58"/>
  <c r="U120" i="58"/>
  <c r="U86" i="53"/>
  <c r="U103" i="53"/>
  <c r="U120" i="53"/>
  <c r="X304" i="45"/>
  <c r="X55" i="52" s="1"/>
  <c r="W138" i="52"/>
  <c r="W155" i="52"/>
  <c r="X159" i="45"/>
  <c r="X55" i="53" s="1"/>
  <c r="W69" i="53"/>
  <c r="U120" i="51"/>
  <c r="U103" i="51"/>
  <c r="U86" i="51"/>
  <c r="W194" i="45"/>
  <c r="W57" i="58" s="1"/>
  <c r="W69" i="57"/>
  <c r="X289" i="45"/>
  <c r="W104" i="55"/>
  <c r="W70" i="55"/>
  <c r="W121" i="55"/>
  <c r="W87" i="55"/>
  <c r="W87" i="38"/>
  <c r="W70" i="38"/>
  <c r="W121" i="38"/>
  <c r="W104" i="38"/>
  <c r="W191" i="45"/>
  <c r="W56" i="53" s="1"/>
  <c r="U86" i="55"/>
  <c r="U120" i="55"/>
  <c r="U103" i="55"/>
  <c r="W189" i="45"/>
  <c r="W56" i="64" s="1"/>
  <c r="X287" i="45"/>
  <c r="W104" i="51"/>
  <c r="W70" i="51"/>
  <c r="W121" i="51"/>
  <c r="W87" i="51"/>
  <c r="W300" i="45"/>
  <c r="V155" i="55"/>
  <c r="V138" i="55"/>
  <c r="V155" i="38"/>
  <c r="V138" i="38"/>
  <c r="W192" i="45"/>
  <c r="W57" i="52" s="1"/>
  <c r="W87" i="57"/>
  <c r="W70" i="57"/>
  <c r="W104" i="57"/>
  <c r="W121" i="57"/>
  <c r="U86" i="57"/>
  <c r="U103" i="57"/>
  <c r="U120" i="57"/>
  <c r="W193" i="45"/>
  <c r="W57" i="57" s="1"/>
  <c r="W188" i="45"/>
  <c r="W56" i="63" s="1"/>
  <c r="W303" i="45"/>
  <c r="V155" i="53"/>
  <c r="V138" i="53"/>
  <c r="X162" i="45"/>
  <c r="X56" i="58" s="1"/>
  <c r="W69" i="58"/>
  <c r="X293" i="45"/>
  <c r="X54" i="52" s="1"/>
  <c r="W87" i="53"/>
  <c r="W87" i="52"/>
  <c r="W121" i="52"/>
  <c r="W70" i="52"/>
  <c r="W104" i="52"/>
  <c r="X292" i="45"/>
  <c r="X70" i="53" s="1"/>
  <c r="W104" i="53"/>
  <c r="W121" i="53"/>
  <c r="X299" i="45"/>
  <c r="X291" i="45"/>
  <c r="X54" i="57" s="1"/>
  <c r="U22" i="45"/>
  <c r="X283" i="45" l="1"/>
  <c r="W61" i="67"/>
  <c r="Y272" i="45"/>
  <c r="X60" i="67"/>
  <c r="Y271" i="45"/>
  <c r="X60" i="52"/>
  <c r="X105" i="63"/>
  <c r="X88" i="63"/>
  <c r="X71" i="63"/>
  <c r="V156" i="51"/>
  <c r="V122" i="51"/>
  <c r="V139" i="51"/>
  <c r="W88" i="67"/>
  <c r="W105" i="67"/>
  <c r="W71" i="67"/>
  <c r="V156" i="52"/>
  <c r="V122" i="52"/>
  <c r="V139" i="52"/>
  <c r="V122" i="58"/>
  <c r="V139" i="58"/>
  <c r="V156" i="58"/>
  <c r="W105" i="55"/>
  <c r="W71" i="55"/>
  <c r="W88" i="55"/>
  <c r="X282" i="45"/>
  <c r="W61" i="52"/>
  <c r="Y294" i="45"/>
  <c r="X87" i="67"/>
  <c r="X121" i="67"/>
  <c r="X70" i="67"/>
  <c r="X104" i="67"/>
  <c r="X54" i="67"/>
  <c r="V156" i="65"/>
  <c r="V122" i="65"/>
  <c r="V139" i="65"/>
  <c r="W71" i="64"/>
  <c r="W88" i="64"/>
  <c r="W105" i="64"/>
  <c r="W61" i="57"/>
  <c r="W60" i="62"/>
  <c r="X280" i="45"/>
  <c r="X121" i="66"/>
  <c r="X70" i="66"/>
  <c r="X87" i="66"/>
  <c r="X104" i="66"/>
  <c r="X54" i="66"/>
  <c r="X121" i="64"/>
  <c r="X104" i="64"/>
  <c r="X70" i="64"/>
  <c r="X87" i="64"/>
  <c r="X54" i="55"/>
  <c r="V156" i="61"/>
  <c r="V139" i="61"/>
  <c r="V122" i="61"/>
  <c r="W61" i="66"/>
  <c r="W61" i="55"/>
  <c r="W60" i="64"/>
  <c r="X278" i="45"/>
  <c r="X284" i="45"/>
  <c r="W61" i="65"/>
  <c r="W61" i="58"/>
  <c r="W71" i="66"/>
  <c r="W88" i="66"/>
  <c r="W105" i="66"/>
  <c r="V156" i="62"/>
  <c r="V122" i="62"/>
  <c r="V139" i="62"/>
  <c r="X104" i="61"/>
  <c r="X121" i="63"/>
  <c r="X87" i="63"/>
  <c r="X104" i="63"/>
  <c r="X70" i="63"/>
  <c r="Y273" i="45"/>
  <c r="X60" i="65"/>
  <c r="X60" i="58"/>
  <c r="W105" i="52"/>
  <c r="W88" i="52"/>
  <c r="W71" i="52"/>
  <c r="W60" i="63"/>
  <c r="W60" i="61"/>
  <c r="X277" i="45"/>
  <c r="W105" i="51"/>
  <c r="W71" i="51"/>
  <c r="W88" i="51"/>
  <c r="V122" i="64"/>
  <c r="V156" i="64"/>
  <c r="V139" i="64"/>
  <c r="Y267" i="45"/>
  <c r="X60" i="66"/>
  <c r="X59" i="64"/>
  <c r="X60" i="55"/>
  <c r="V139" i="57"/>
  <c r="V156" i="57"/>
  <c r="V122" i="57"/>
  <c r="X87" i="65"/>
  <c r="X104" i="65"/>
  <c r="X70" i="65"/>
  <c r="X121" i="65"/>
  <c r="X54" i="65"/>
  <c r="X54" i="58"/>
  <c r="V156" i="63"/>
  <c r="V139" i="63"/>
  <c r="V122" i="63"/>
  <c r="Y265" i="45"/>
  <c r="X59" i="51"/>
  <c r="V139" i="55"/>
  <c r="V156" i="55"/>
  <c r="V122" i="55"/>
  <c r="W71" i="65"/>
  <c r="W88" i="65"/>
  <c r="W105" i="65"/>
  <c r="X276" i="45"/>
  <c r="W60" i="51"/>
  <c r="V139" i="67"/>
  <c r="V156" i="67"/>
  <c r="V122" i="67"/>
  <c r="V139" i="66"/>
  <c r="V122" i="66"/>
  <c r="V156" i="66"/>
  <c r="Y305" i="45"/>
  <c r="X155" i="67"/>
  <c r="X55" i="67"/>
  <c r="W155" i="65"/>
  <c r="W55" i="57"/>
  <c r="W138" i="67"/>
  <c r="W138" i="65"/>
  <c r="W55" i="65"/>
  <c r="W55" i="58"/>
  <c r="W155" i="66"/>
  <c r="W138" i="66"/>
  <c r="W55" i="66"/>
  <c r="W138" i="64"/>
  <c r="W155" i="64"/>
  <c r="W55" i="55"/>
  <c r="X155" i="63"/>
  <c r="X138" i="63"/>
  <c r="V120" i="66"/>
  <c r="V86" i="66"/>
  <c r="V103" i="66"/>
  <c r="AC161" i="45"/>
  <c r="AB56" i="57"/>
  <c r="Y196" i="45"/>
  <c r="X57" i="55"/>
  <c r="Y163" i="45"/>
  <c r="X56" i="65"/>
  <c r="X69" i="65" s="1"/>
  <c r="X197" i="45"/>
  <c r="W57" i="66"/>
  <c r="Y166" i="45"/>
  <c r="X56" i="67"/>
  <c r="X69" i="67" s="1"/>
  <c r="W120" i="63"/>
  <c r="W86" i="63"/>
  <c r="W103" i="63"/>
  <c r="W120" i="64"/>
  <c r="W103" i="64"/>
  <c r="W86" i="64"/>
  <c r="W103" i="65"/>
  <c r="W86" i="65"/>
  <c r="W120" i="65"/>
  <c r="Y195" i="45"/>
  <c r="X57" i="65"/>
  <c r="V120" i="67"/>
  <c r="V86" i="67"/>
  <c r="V103" i="67"/>
  <c r="X198" i="45"/>
  <c r="W57" i="67"/>
  <c r="Y165" i="45"/>
  <c r="X56" i="66"/>
  <c r="X69" i="66" s="1"/>
  <c r="W71" i="57"/>
  <c r="W88" i="57"/>
  <c r="W105" i="57"/>
  <c r="W105" i="58"/>
  <c r="W71" i="58"/>
  <c r="W88" i="58"/>
  <c r="W88" i="62"/>
  <c r="W105" i="62"/>
  <c r="W71" i="62"/>
  <c r="Y269" i="45"/>
  <c r="Y60" i="57" s="1"/>
  <c r="X59" i="62"/>
  <c r="W138" i="62"/>
  <c r="W155" i="62"/>
  <c r="X87" i="62"/>
  <c r="X104" i="62"/>
  <c r="X121" i="62"/>
  <c r="X70" i="62"/>
  <c r="W120" i="62"/>
  <c r="W103" i="62"/>
  <c r="W86" i="62"/>
  <c r="Y187" i="45"/>
  <c r="X56" i="62"/>
  <c r="W88" i="61"/>
  <c r="W71" i="61"/>
  <c r="W105" i="61"/>
  <c r="X70" i="61"/>
  <c r="X87" i="61"/>
  <c r="X121" i="61"/>
  <c r="W86" i="61"/>
  <c r="W103" i="61"/>
  <c r="W120" i="61"/>
  <c r="Y185" i="45"/>
  <c r="X56" i="61"/>
  <c r="AC153" i="45"/>
  <c r="AB55" i="61"/>
  <c r="AB69" i="61" s="1"/>
  <c r="X138" i="61"/>
  <c r="X155" i="61"/>
  <c r="Y266" i="45"/>
  <c r="Y59" i="63" s="1"/>
  <c r="X59" i="61"/>
  <c r="X306" i="45"/>
  <c r="W138" i="58"/>
  <c r="V103" i="53"/>
  <c r="V86" i="53"/>
  <c r="V120" i="53"/>
  <c r="X303" i="45"/>
  <c r="W155" i="53"/>
  <c r="W138" i="53"/>
  <c r="V120" i="55"/>
  <c r="V103" i="55"/>
  <c r="V86" i="55"/>
  <c r="X191" i="45"/>
  <c r="X56" i="53" s="1"/>
  <c r="X69" i="57"/>
  <c r="V103" i="52"/>
  <c r="V86" i="52"/>
  <c r="V120" i="52"/>
  <c r="X186" i="45"/>
  <c r="X56" i="38" s="1"/>
  <c r="X192" i="45"/>
  <c r="X57" i="52" s="1"/>
  <c r="Y304" i="45"/>
  <c r="Y55" i="52" s="1"/>
  <c r="X138" i="52"/>
  <c r="X155" i="52"/>
  <c r="X190" i="45"/>
  <c r="X56" i="51" s="1"/>
  <c r="Y287" i="45"/>
  <c r="X70" i="51"/>
  <c r="X121" i="51"/>
  <c r="X87" i="51"/>
  <c r="X104" i="51"/>
  <c r="V103" i="58"/>
  <c r="V86" i="58"/>
  <c r="V120" i="58"/>
  <c r="Y295" i="45"/>
  <c r="X121" i="58"/>
  <c r="X87" i="58"/>
  <c r="X70" i="58"/>
  <c r="X104" i="58"/>
  <c r="X188" i="45"/>
  <c r="X56" i="63" s="1"/>
  <c r="Y164" i="45"/>
  <c r="Y56" i="55" s="1"/>
  <c r="X69" i="55"/>
  <c r="X298" i="45"/>
  <c r="W138" i="51"/>
  <c r="W155" i="51"/>
  <c r="X302" i="45"/>
  <c r="W155" i="58"/>
  <c r="W138" i="57"/>
  <c r="W155" i="57"/>
  <c r="Y293" i="45"/>
  <c r="Y54" i="52" s="1"/>
  <c r="X87" i="53"/>
  <c r="X87" i="52"/>
  <c r="X121" i="52"/>
  <c r="X70" i="52"/>
  <c r="X104" i="52"/>
  <c r="X194" i="45"/>
  <c r="X57" i="58" s="1"/>
  <c r="Y160" i="45"/>
  <c r="Y56" i="52" s="1"/>
  <c r="X69" i="52"/>
  <c r="V120" i="51"/>
  <c r="V103" i="51"/>
  <c r="V86" i="51"/>
  <c r="X87" i="57"/>
  <c r="X70" i="57"/>
  <c r="X104" i="57"/>
  <c r="X121" i="57"/>
  <c r="X300" i="45"/>
  <c r="W155" i="55"/>
  <c r="W138" i="55"/>
  <c r="W138" i="38"/>
  <c r="W155" i="38"/>
  <c r="X189" i="45"/>
  <c r="X56" i="64" s="1"/>
  <c r="Y158" i="45"/>
  <c r="Y55" i="51" s="1"/>
  <c r="X69" i="51"/>
  <c r="Y292" i="45"/>
  <c r="Y70" i="53" s="1"/>
  <c r="X104" i="53"/>
  <c r="X121" i="53"/>
  <c r="Y162" i="45"/>
  <c r="Y56" i="58" s="1"/>
  <c r="X69" i="58"/>
  <c r="V86" i="57"/>
  <c r="V103" i="57"/>
  <c r="V120" i="57"/>
  <c r="X193" i="45"/>
  <c r="X57" i="57" s="1"/>
  <c r="Y159" i="45"/>
  <c r="Y55" i="53" s="1"/>
  <c r="X69" i="53"/>
  <c r="Y288" i="45"/>
  <c r="Y289" i="45"/>
  <c r="X104" i="55"/>
  <c r="X70" i="55"/>
  <c r="X121" i="55"/>
  <c r="X87" i="55"/>
  <c r="X121" i="38"/>
  <c r="X104" i="38"/>
  <c r="X70" i="38"/>
  <c r="X87" i="38"/>
  <c r="Y299" i="45"/>
  <c r="Y291" i="45"/>
  <c r="Y54" i="57" s="1"/>
  <c r="V22" i="45"/>
  <c r="X88" i="64" l="1"/>
  <c r="X105" i="64"/>
  <c r="X71" i="64"/>
  <c r="W122" i="51"/>
  <c r="W139" i="51"/>
  <c r="W156" i="51"/>
  <c r="X105" i="66"/>
  <c r="X88" i="66"/>
  <c r="X71" i="66"/>
  <c r="Y276" i="45"/>
  <c r="X60" i="51"/>
  <c r="Z267" i="45"/>
  <c r="Y60" i="66"/>
  <c r="Y59" i="64"/>
  <c r="Y60" i="55"/>
  <c r="X61" i="57"/>
  <c r="X60" i="62"/>
  <c r="Y280" i="45"/>
  <c r="X71" i="52"/>
  <c r="X105" i="52"/>
  <c r="X88" i="52"/>
  <c r="X88" i="65"/>
  <c r="X71" i="65"/>
  <c r="X105" i="65"/>
  <c r="W122" i="57"/>
  <c r="W139" i="57"/>
  <c r="W156" i="57"/>
  <c r="Z294" i="45"/>
  <c r="Y121" i="67"/>
  <c r="Y87" i="67"/>
  <c r="Y104" i="67"/>
  <c r="Y70" i="67"/>
  <c r="Y54" i="67"/>
  <c r="X88" i="67"/>
  <c r="X71" i="67"/>
  <c r="X105" i="67"/>
  <c r="Y104" i="61"/>
  <c r="Y121" i="63"/>
  <c r="Y87" i="63"/>
  <c r="Y104" i="63"/>
  <c r="Y70" i="63"/>
  <c r="Z273" i="45"/>
  <c r="Y60" i="65"/>
  <c r="Y60" i="58"/>
  <c r="W122" i="58"/>
  <c r="W156" i="58"/>
  <c r="W139" i="58"/>
  <c r="W122" i="52"/>
  <c r="W139" i="52"/>
  <c r="W156" i="52"/>
  <c r="Z272" i="45"/>
  <c r="Y60" i="67"/>
  <c r="W156" i="62"/>
  <c r="W139" i="62"/>
  <c r="W122" i="62"/>
  <c r="Y121" i="66"/>
  <c r="Y70" i="66"/>
  <c r="Y87" i="66"/>
  <c r="Y104" i="66"/>
  <c r="Y54" i="66"/>
  <c r="Y104" i="64"/>
  <c r="Y121" i="64"/>
  <c r="Y70" i="64"/>
  <c r="Y87" i="64"/>
  <c r="Y54" i="55"/>
  <c r="Y71" i="63"/>
  <c r="Y88" i="63"/>
  <c r="Y105" i="63"/>
  <c r="Y284" i="45"/>
  <c r="X61" i="65"/>
  <c r="X61" i="58"/>
  <c r="Y283" i="45"/>
  <c r="X61" i="67"/>
  <c r="W122" i="65"/>
  <c r="W139" i="65"/>
  <c r="W156" i="65"/>
  <c r="W122" i="67"/>
  <c r="W156" i="67"/>
  <c r="W139" i="67"/>
  <c r="X61" i="66"/>
  <c r="X61" i="55"/>
  <c r="Y278" i="45"/>
  <c r="X60" i="64"/>
  <c r="Z271" i="45"/>
  <c r="Y60" i="52"/>
  <c r="Y282" i="45"/>
  <c r="X61" i="52"/>
  <c r="Y87" i="65"/>
  <c r="Y104" i="65"/>
  <c r="Y70" i="65"/>
  <c r="Y121" i="65"/>
  <c r="Y54" i="65"/>
  <c r="Y54" i="58"/>
  <c r="X88" i="51"/>
  <c r="X71" i="51"/>
  <c r="X105" i="51"/>
  <c r="X60" i="63"/>
  <c r="Y277" i="45"/>
  <c r="X60" i="61"/>
  <c r="W122" i="64"/>
  <c r="W156" i="64"/>
  <c r="W139" i="64"/>
  <c r="Z265" i="45"/>
  <c r="Y59" i="51"/>
  <c r="W122" i="61"/>
  <c r="W139" i="61"/>
  <c r="W156" i="61"/>
  <c r="W139" i="55"/>
  <c r="W156" i="55"/>
  <c r="W122" i="55"/>
  <c r="X105" i="55"/>
  <c r="X71" i="55"/>
  <c r="X88" i="55"/>
  <c r="W156" i="63"/>
  <c r="W139" i="63"/>
  <c r="W122" i="63"/>
  <c r="W139" i="66"/>
  <c r="W122" i="66"/>
  <c r="W156" i="66"/>
  <c r="X138" i="65"/>
  <c r="X138" i="67"/>
  <c r="X55" i="65"/>
  <c r="X55" i="58"/>
  <c r="X155" i="65"/>
  <c r="X55" i="57"/>
  <c r="Z305" i="45"/>
  <c r="Y155" i="67"/>
  <c r="Y55" i="67"/>
  <c r="Y155" i="63"/>
  <c r="Y138" i="63"/>
  <c r="X155" i="66"/>
  <c r="X138" i="66"/>
  <c r="X55" i="66"/>
  <c r="X138" i="64"/>
  <c r="X155" i="64"/>
  <c r="X55" i="55"/>
  <c r="Z196" i="45"/>
  <c r="Y57" i="55"/>
  <c r="Z163" i="45"/>
  <c r="Y56" i="65"/>
  <c r="Y69" i="65" s="1"/>
  <c r="W103" i="67"/>
  <c r="W120" i="67"/>
  <c r="W86" i="67"/>
  <c r="Y198" i="45"/>
  <c r="X57" i="67"/>
  <c r="AD161" i="45"/>
  <c r="AC56" i="57"/>
  <c r="Z165" i="45"/>
  <c r="Y56" i="66"/>
  <c r="Y69" i="66" s="1"/>
  <c r="X103" i="65"/>
  <c r="X86" i="65"/>
  <c r="X120" i="65"/>
  <c r="Z166" i="45"/>
  <c r="Y56" i="67"/>
  <c r="Y69" i="67" s="1"/>
  <c r="Z195" i="45"/>
  <c r="Y57" i="65"/>
  <c r="W103" i="66"/>
  <c r="W86" i="66"/>
  <c r="W120" i="66"/>
  <c r="X120" i="63"/>
  <c r="X86" i="63"/>
  <c r="X103" i="63"/>
  <c r="Y197" i="45"/>
  <c r="X57" i="66"/>
  <c r="X103" i="64"/>
  <c r="X120" i="64"/>
  <c r="X86" i="64"/>
  <c r="X71" i="57"/>
  <c r="X105" i="57"/>
  <c r="X88" i="57"/>
  <c r="Z187" i="45"/>
  <c r="Y56" i="62"/>
  <c r="X71" i="58"/>
  <c r="X88" i="58"/>
  <c r="X105" i="58"/>
  <c r="X71" i="62"/>
  <c r="X88" i="62"/>
  <c r="X105" i="62"/>
  <c r="X138" i="62"/>
  <c r="X155" i="62"/>
  <c r="Z269" i="45"/>
  <c r="Z60" i="57" s="1"/>
  <c r="Y59" i="62"/>
  <c r="Y70" i="62"/>
  <c r="Y87" i="62"/>
  <c r="Y104" i="62"/>
  <c r="Y121" i="62"/>
  <c r="X86" i="62"/>
  <c r="X103" i="62"/>
  <c r="X120" i="62"/>
  <c r="X88" i="61"/>
  <c r="X71" i="61"/>
  <c r="X105" i="61"/>
  <c r="Z266" i="45"/>
  <c r="Z59" i="63" s="1"/>
  <c r="Y59" i="61"/>
  <c r="X86" i="61"/>
  <c r="X103" i="61"/>
  <c r="X120" i="61"/>
  <c r="AD153" i="45"/>
  <c r="AC55" i="61"/>
  <c r="AC69" i="61" s="1"/>
  <c r="Y121" i="61"/>
  <c r="Y70" i="61"/>
  <c r="Y87" i="61"/>
  <c r="Z185" i="45"/>
  <c r="Y56" i="61"/>
  <c r="Y155" i="61"/>
  <c r="Y138" i="61"/>
  <c r="W86" i="58"/>
  <c r="W120" i="58"/>
  <c r="W103" i="58"/>
  <c r="Z288" i="45"/>
  <c r="Z292" i="45"/>
  <c r="Z70" i="53" s="1"/>
  <c r="Y104" i="53"/>
  <c r="Y121" i="53"/>
  <c r="Y194" i="45"/>
  <c r="Y57" i="58" s="1"/>
  <c r="Z164" i="45"/>
  <c r="Z56" i="55" s="1"/>
  <c r="Y69" i="55"/>
  <c r="Y69" i="57"/>
  <c r="Z289" i="45"/>
  <c r="Y104" i="55"/>
  <c r="Y70" i="55"/>
  <c r="Y121" i="55"/>
  <c r="Y87" i="55"/>
  <c r="Y70" i="38"/>
  <c r="Y104" i="38"/>
  <c r="Y121" i="38"/>
  <c r="Y87" i="38"/>
  <c r="Z304" i="45"/>
  <c r="Z55" i="52" s="1"/>
  <c r="Y138" i="52"/>
  <c r="Y155" i="52"/>
  <c r="W120" i="53"/>
  <c r="W103" i="53"/>
  <c r="W86" i="53"/>
  <c r="Y191" i="45"/>
  <c r="Y56" i="53" s="1"/>
  <c r="Y302" i="45"/>
  <c r="X155" i="57"/>
  <c r="X155" i="58"/>
  <c r="X138" i="57"/>
  <c r="Z295" i="45"/>
  <c r="Y121" i="58"/>
  <c r="Y87" i="58"/>
  <c r="Y70" i="58"/>
  <c r="Y104" i="58"/>
  <c r="Z287" i="45"/>
  <c r="Y104" i="51"/>
  <c r="Y70" i="51"/>
  <c r="Y121" i="51"/>
  <c r="Y87" i="51"/>
  <c r="Y192" i="45"/>
  <c r="Y57" i="52" s="1"/>
  <c r="Z159" i="45"/>
  <c r="Z55" i="53" s="1"/>
  <c r="Y69" i="53"/>
  <c r="Y188" i="45"/>
  <c r="Y56" i="63" s="1"/>
  <c r="W86" i="57"/>
  <c r="W103" i="57"/>
  <c r="W120" i="57"/>
  <c r="Y193" i="45"/>
  <c r="Y57" i="57" s="1"/>
  <c r="Y300" i="45"/>
  <c r="X138" i="55"/>
  <c r="X155" i="55"/>
  <c r="X138" i="38"/>
  <c r="X155" i="38"/>
  <c r="W86" i="55"/>
  <c r="W120" i="55"/>
  <c r="W103" i="55"/>
  <c r="Y87" i="57"/>
  <c r="Y70" i="57"/>
  <c r="Y104" i="57"/>
  <c r="Y121" i="57"/>
  <c r="Z162" i="45"/>
  <c r="Z56" i="58" s="1"/>
  <c r="Y69" i="58"/>
  <c r="Z158" i="45"/>
  <c r="Z55" i="51" s="1"/>
  <c r="Y69" i="51"/>
  <c r="Z160" i="45"/>
  <c r="Z56" i="52" s="1"/>
  <c r="Y69" i="52"/>
  <c r="Z293" i="45"/>
  <c r="Z54" i="52" s="1"/>
  <c r="Y87" i="53"/>
  <c r="Y87" i="52"/>
  <c r="Y121" i="52"/>
  <c r="Y70" i="52"/>
  <c r="Y104" i="52"/>
  <c r="W120" i="51"/>
  <c r="W103" i="51"/>
  <c r="W86" i="51"/>
  <c r="W86" i="52"/>
  <c r="W120" i="52"/>
  <c r="W103" i="52"/>
  <c r="Y186" i="45"/>
  <c r="Y56" i="38" s="1"/>
  <c r="Y190" i="45"/>
  <c r="Y56" i="51" s="1"/>
  <c r="Y306" i="45"/>
  <c r="X138" i="58"/>
  <c r="Y189" i="45"/>
  <c r="Y56" i="64" s="1"/>
  <c r="Y298" i="45"/>
  <c r="X138" i="51"/>
  <c r="X155" i="51"/>
  <c r="Y303" i="45"/>
  <c r="X138" i="53"/>
  <c r="X155" i="53"/>
  <c r="Z299" i="45"/>
  <c r="Z291" i="45"/>
  <c r="Z54" i="57" s="1"/>
  <c r="W22" i="45"/>
  <c r="Z70" i="65" l="1"/>
  <c r="Z121" i="65"/>
  <c r="Z104" i="65"/>
  <c r="Z87" i="65"/>
  <c r="Z54" i="65"/>
  <c r="Z54" i="58"/>
  <c r="X122" i="61"/>
  <c r="X139" i="61"/>
  <c r="X156" i="61"/>
  <c r="X139" i="52"/>
  <c r="X122" i="52"/>
  <c r="X156" i="52"/>
  <c r="AA272" i="45"/>
  <c r="Z60" i="67"/>
  <c r="AA294" i="45"/>
  <c r="Z121" i="67"/>
  <c r="Z87" i="67"/>
  <c r="Z70" i="67"/>
  <c r="Z104" i="67"/>
  <c r="Z54" i="67"/>
  <c r="X156" i="62"/>
  <c r="X122" i="62"/>
  <c r="X139" i="62"/>
  <c r="Y60" i="63"/>
  <c r="Z277" i="45"/>
  <c r="Y60" i="61"/>
  <c r="Z282" i="45"/>
  <c r="Y61" i="52"/>
  <c r="X122" i="57"/>
  <c r="X139" i="57"/>
  <c r="X156" i="57"/>
  <c r="AA265" i="45"/>
  <c r="Z59" i="51"/>
  <c r="Y105" i="67"/>
  <c r="Y71" i="67"/>
  <c r="Y88" i="67"/>
  <c r="X139" i="63"/>
  <c r="X122" i="63"/>
  <c r="X156" i="63"/>
  <c r="Y88" i="52"/>
  <c r="Y105" i="52"/>
  <c r="Y71" i="52"/>
  <c r="X122" i="67"/>
  <c r="X139" i="67"/>
  <c r="X156" i="67"/>
  <c r="Y71" i="55"/>
  <c r="Y88" i="55"/>
  <c r="Y105" i="55"/>
  <c r="Z276" i="45"/>
  <c r="Y60" i="51"/>
  <c r="Y71" i="65"/>
  <c r="Y88" i="65"/>
  <c r="Y105" i="65"/>
  <c r="Z104" i="66"/>
  <c r="Z70" i="66"/>
  <c r="Z87" i="66"/>
  <c r="Z121" i="66"/>
  <c r="Z54" i="66"/>
  <c r="Z121" i="64"/>
  <c r="Z87" i="64"/>
  <c r="Z104" i="64"/>
  <c r="Z70" i="64"/>
  <c r="Z54" i="55"/>
  <c r="AA271" i="45"/>
  <c r="Z60" i="52"/>
  <c r="Z283" i="45"/>
  <c r="Y61" i="67"/>
  <c r="Y88" i="64"/>
  <c r="Y105" i="64"/>
  <c r="Y71" i="64"/>
  <c r="AA273" i="45"/>
  <c r="Z60" i="65"/>
  <c r="Z60" i="58"/>
  <c r="Y61" i="57"/>
  <c r="Z280" i="45"/>
  <c r="Y60" i="62"/>
  <c r="Y88" i="66"/>
  <c r="Y71" i="66"/>
  <c r="Y105" i="66"/>
  <c r="Y71" i="51"/>
  <c r="Y88" i="51"/>
  <c r="Y105" i="51"/>
  <c r="X139" i="66"/>
  <c r="X156" i="66"/>
  <c r="X122" i="66"/>
  <c r="Z104" i="61"/>
  <c r="Z121" i="63"/>
  <c r="Z87" i="63"/>
  <c r="Z104" i="63"/>
  <c r="Z70" i="63"/>
  <c r="X122" i="64"/>
  <c r="X139" i="64"/>
  <c r="X156" i="64"/>
  <c r="X122" i="58"/>
  <c r="X139" i="58"/>
  <c r="X156" i="58"/>
  <c r="Y61" i="66"/>
  <c r="Y61" i="55"/>
  <c r="Z278" i="45"/>
  <c r="Y60" i="64"/>
  <c r="X139" i="65"/>
  <c r="X156" i="65"/>
  <c r="X122" i="65"/>
  <c r="AA267" i="45"/>
  <c r="Z60" i="66"/>
  <c r="Z59" i="64"/>
  <c r="Z60" i="55"/>
  <c r="Z88" i="63"/>
  <c r="Z105" i="63"/>
  <c r="Z71" i="63"/>
  <c r="X156" i="55"/>
  <c r="X139" i="55"/>
  <c r="X122" i="55"/>
  <c r="Z284" i="45"/>
  <c r="Y61" i="65"/>
  <c r="Y61" i="58"/>
  <c r="X122" i="51"/>
  <c r="X139" i="51"/>
  <c r="X156" i="51"/>
  <c r="AA305" i="45"/>
  <c r="Z155" i="67"/>
  <c r="Z55" i="67"/>
  <c r="Y155" i="65"/>
  <c r="Y55" i="57"/>
  <c r="Y138" i="65"/>
  <c r="Y138" i="67"/>
  <c r="Y55" i="65"/>
  <c r="Y55" i="58"/>
  <c r="Y155" i="66"/>
  <c r="Y138" i="66"/>
  <c r="Y55" i="66"/>
  <c r="Y138" i="64"/>
  <c r="Y155" i="64"/>
  <c r="Y55" i="55"/>
  <c r="Z155" i="63"/>
  <c r="Z138" i="63"/>
  <c r="AA166" i="45"/>
  <c r="Z56" i="67"/>
  <c r="Z69" i="67" s="1"/>
  <c r="X86" i="66"/>
  <c r="X103" i="66"/>
  <c r="X120" i="66"/>
  <c r="AE161" i="45"/>
  <c r="AD56" i="57"/>
  <c r="Z197" i="45"/>
  <c r="Y57" i="66"/>
  <c r="X103" i="67"/>
  <c r="X86" i="67"/>
  <c r="X120" i="67"/>
  <c r="Z198" i="45"/>
  <c r="Y57" i="67"/>
  <c r="Y103" i="64"/>
  <c r="Y120" i="64"/>
  <c r="Y86" i="64"/>
  <c r="AA165" i="45"/>
  <c r="Z56" i="66"/>
  <c r="Z69" i="66" s="1"/>
  <c r="AA163" i="45"/>
  <c r="Z56" i="65"/>
  <c r="Z69" i="65" s="1"/>
  <c r="Y86" i="63"/>
  <c r="Y103" i="63"/>
  <c r="Y120" i="63"/>
  <c r="Y120" i="65"/>
  <c r="Y103" i="65"/>
  <c r="Y86" i="65"/>
  <c r="AA195" i="45"/>
  <c r="Z57" i="65"/>
  <c r="AA196" i="45"/>
  <c r="Z57" i="55"/>
  <c r="AA269" i="45"/>
  <c r="AA60" i="57" s="1"/>
  <c r="Z59" i="62"/>
  <c r="Y120" i="62"/>
  <c r="Y103" i="62"/>
  <c r="Y86" i="62"/>
  <c r="AA187" i="45"/>
  <c r="Z56" i="62"/>
  <c r="Y138" i="62"/>
  <c r="Y155" i="62"/>
  <c r="Z70" i="62"/>
  <c r="Z87" i="62"/>
  <c r="Z104" i="62"/>
  <c r="Z121" i="62"/>
  <c r="Y71" i="57"/>
  <c r="Y88" i="57"/>
  <c r="Y105" i="57"/>
  <c r="Y105" i="58"/>
  <c r="Y88" i="58"/>
  <c r="Y71" i="58"/>
  <c r="Y88" i="62"/>
  <c r="Y105" i="62"/>
  <c r="Y71" i="62"/>
  <c r="Y88" i="61"/>
  <c r="Y71" i="61"/>
  <c r="Y105" i="61"/>
  <c r="Y86" i="61"/>
  <c r="Y103" i="61"/>
  <c r="Y120" i="61"/>
  <c r="AA185" i="45"/>
  <c r="Z56" i="61"/>
  <c r="AA266" i="45"/>
  <c r="AA59" i="63" s="1"/>
  <c r="Z59" i="61"/>
  <c r="Z121" i="61"/>
  <c r="Z70" i="61"/>
  <c r="Z87" i="61"/>
  <c r="AE153" i="45"/>
  <c r="AD55" i="61"/>
  <c r="AD69" i="61" s="1"/>
  <c r="Z155" i="61"/>
  <c r="Z138" i="61"/>
  <c r="X103" i="52"/>
  <c r="X86" i="52"/>
  <c r="X120" i="52"/>
  <c r="AA159" i="45"/>
  <c r="AA55" i="53" s="1"/>
  <c r="Z69" i="53"/>
  <c r="Z298" i="45"/>
  <c r="Y138" i="51"/>
  <c r="Y155" i="51"/>
  <c r="X120" i="55"/>
  <c r="X86" i="55"/>
  <c r="X103" i="55"/>
  <c r="AA164" i="45"/>
  <c r="AA56" i="55" s="1"/>
  <c r="Z69" i="55"/>
  <c r="AA158" i="45"/>
  <c r="AA55" i="51" s="1"/>
  <c r="Z69" i="51"/>
  <c r="Z192" i="45"/>
  <c r="Z57" i="52" s="1"/>
  <c r="AA295" i="45"/>
  <c r="Z104" i="58"/>
  <c r="Z121" i="58"/>
  <c r="Z87" i="58"/>
  <c r="Z70" i="58"/>
  <c r="X120" i="53"/>
  <c r="X86" i="53"/>
  <c r="X103" i="53"/>
  <c r="X86" i="58"/>
  <c r="X103" i="58"/>
  <c r="X120" i="58"/>
  <c r="AA288" i="45"/>
  <c r="Z186" i="45"/>
  <c r="Z56" i="38" s="1"/>
  <c r="Z191" i="45"/>
  <c r="Z56" i="53" s="1"/>
  <c r="Z194" i="45"/>
  <c r="Z57" i="58" s="1"/>
  <c r="Z190" i="45"/>
  <c r="Z56" i="51" s="1"/>
  <c r="AA160" i="45"/>
  <c r="AA56" i="52" s="1"/>
  <c r="Z69" i="52"/>
  <c r="AA162" i="45"/>
  <c r="AA56" i="58" s="1"/>
  <c r="Z69" i="58"/>
  <c r="Z188" i="45"/>
  <c r="Z56" i="63" s="1"/>
  <c r="AA289" i="45"/>
  <c r="Z104" i="55"/>
  <c r="Z70" i="55"/>
  <c r="Z121" i="55"/>
  <c r="Z87" i="55"/>
  <c r="Z70" i="38"/>
  <c r="Z104" i="38"/>
  <c r="Z87" i="38"/>
  <c r="Z121" i="38"/>
  <c r="Z70" i="57"/>
  <c r="Z104" i="57"/>
  <c r="Z121" i="57"/>
  <c r="Z87" i="57"/>
  <c r="Z303" i="45"/>
  <c r="Y138" i="53"/>
  <c r="Y155" i="53"/>
  <c r="Z300" i="45"/>
  <c r="Y138" i="55"/>
  <c r="Y155" i="55"/>
  <c r="Y138" i="38"/>
  <c r="Y155" i="38"/>
  <c r="X120" i="51"/>
  <c r="X103" i="51"/>
  <c r="X86" i="51"/>
  <c r="Z189" i="45"/>
  <c r="Z56" i="64" s="1"/>
  <c r="X86" i="57"/>
  <c r="X120" i="57"/>
  <c r="X103" i="57"/>
  <c r="AA287" i="45"/>
  <c r="Z104" i="51"/>
  <c r="Z121" i="51"/>
  <c r="Z70" i="51"/>
  <c r="Z87" i="51"/>
  <c r="AA292" i="45"/>
  <c r="AA70" i="53" s="1"/>
  <c r="Z104" i="53"/>
  <c r="Z121" i="53"/>
  <c r="Z193" i="45"/>
  <c r="Z57" i="57" s="1"/>
  <c r="Z69" i="57"/>
  <c r="Z306" i="45"/>
  <c r="Y138" i="58"/>
  <c r="AA293" i="45"/>
  <c r="AA54" i="52" s="1"/>
  <c r="Z87" i="52"/>
  <c r="Z121" i="52"/>
  <c r="Z70" i="52"/>
  <c r="Z87" i="53"/>
  <c r="Z104" i="52"/>
  <c r="Z302" i="45"/>
  <c r="Y155" i="58"/>
  <c r="Y138" i="57"/>
  <c r="Y155" i="57"/>
  <c r="AA304" i="45"/>
  <c r="AA55" i="52" s="1"/>
  <c r="Z155" i="52"/>
  <c r="Z138" i="52"/>
  <c r="AA299" i="45"/>
  <c r="AA291" i="45"/>
  <c r="AA54" i="57" s="1"/>
  <c r="X22" i="45"/>
  <c r="Z71" i="66" l="1"/>
  <c r="Z88" i="66"/>
  <c r="Z105" i="66"/>
  <c r="Y139" i="63"/>
  <c r="Y156" i="63"/>
  <c r="Y122" i="63"/>
  <c r="AA87" i="66"/>
  <c r="AA104" i="66"/>
  <c r="AA70" i="66"/>
  <c r="AA121" i="66"/>
  <c r="AA54" i="66"/>
  <c r="AA121" i="64"/>
  <c r="AA87" i="64"/>
  <c r="AA104" i="64"/>
  <c r="AA70" i="64"/>
  <c r="AA54" i="55"/>
  <c r="Y139" i="58"/>
  <c r="Y122" i="58"/>
  <c r="Y156" i="58"/>
  <c r="AB267" i="45"/>
  <c r="AA60" i="66"/>
  <c r="AA59" i="64"/>
  <c r="AA60" i="55"/>
  <c r="AA104" i="65"/>
  <c r="AA70" i="65"/>
  <c r="AA121" i="65"/>
  <c r="AA87" i="65"/>
  <c r="AA54" i="65"/>
  <c r="AA54" i="58"/>
  <c r="Y156" i="65"/>
  <c r="Y122" i="65"/>
  <c r="Y139" i="65"/>
  <c r="AA283" i="45"/>
  <c r="Z61" i="67"/>
  <c r="AB265" i="45"/>
  <c r="AA59" i="51"/>
  <c r="Y122" i="64"/>
  <c r="Y139" i="64"/>
  <c r="Y156" i="64"/>
  <c r="Z71" i="52"/>
  <c r="Z88" i="52"/>
  <c r="Z105" i="52"/>
  <c r="Z105" i="51"/>
  <c r="Z88" i="51"/>
  <c r="Z71" i="51"/>
  <c r="Y139" i="55"/>
  <c r="Y156" i="55"/>
  <c r="Y122" i="55"/>
  <c r="Z61" i="57"/>
  <c r="Z60" i="62"/>
  <c r="AA280" i="45"/>
  <c r="Y122" i="66"/>
  <c r="Y139" i="66"/>
  <c r="Y156" i="66"/>
  <c r="Y139" i="57"/>
  <c r="Y156" i="57"/>
  <c r="Y122" i="57"/>
  <c r="Y139" i="52"/>
  <c r="Y156" i="52"/>
  <c r="Y122" i="52"/>
  <c r="AA105" i="63"/>
  <c r="AA88" i="63"/>
  <c r="AA71" i="63"/>
  <c r="AA104" i="61"/>
  <c r="AA70" i="63"/>
  <c r="AA87" i="63"/>
  <c r="AA121" i="63"/>
  <c r="AA104" i="63"/>
  <c r="AA284" i="45"/>
  <c r="Z61" i="65"/>
  <c r="Z61" i="58"/>
  <c r="Y122" i="67"/>
  <c r="Y156" i="67"/>
  <c r="Y139" i="67"/>
  <c r="Z61" i="66"/>
  <c r="Z61" i="55"/>
  <c r="AA278" i="45"/>
  <c r="Z60" i="64"/>
  <c r="AB271" i="45"/>
  <c r="AA60" i="52"/>
  <c r="Y156" i="51"/>
  <c r="Y122" i="51"/>
  <c r="Y139" i="51"/>
  <c r="AA282" i="45"/>
  <c r="Z61" i="52"/>
  <c r="AB294" i="45"/>
  <c r="AA70" i="67"/>
  <c r="AA121" i="67"/>
  <c r="AA87" i="67"/>
  <c r="AA104" i="67"/>
  <c r="AA54" i="67"/>
  <c r="Y139" i="62"/>
  <c r="Y156" i="62"/>
  <c r="Y122" i="62"/>
  <c r="Z88" i="55"/>
  <c r="Z105" i="55"/>
  <c r="Z71" i="55"/>
  <c r="Z105" i="65"/>
  <c r="Z88" i="65"/>
  <c r="Z71" i="65"/>
  <c r="AA276" i="45"/>
  <c r="Z60" i="51"/>
  <c r="Y122" i="61"/>
  <c r="Y139" i="61"/>
  <c r="Y156" i="61"/>
  <c r="Z71" i="67"/>
  <c r="Z88" i="67"/>
  <c r="Z105" i="67"/>
  <c r="Z88" i="64"/>
  <c r="Z71" i="64"/>
  <c r="Z105" i="64"/>
  <c r="AB273" i="45"/>
  <c r="AA60" i="65"/>
  <c r="AA60" i="58"/>
  <c r="Z60" i="63"/>
  <c r="AA277" i="45"/>
  <c r="Z60" i="61"/>
  <c r="AB272" i="45"/>
  <c r="AA60" i="67"/>
  <c r="Z155" i="65"/>
  <c r="Z55" i="57"/>
  <c r="Z138" i="65"/>
  <c r="Z138" i="67"/>
  <c r="Z55" i="65"/>
  <c r="Z55" i="58"/>
  <c r="AB305" i="45"/>
  <c r="AA155" i="67"/>
  <c r="AA55" i="67"/>
  <c r="Z138" i="66"/>
  <c r="Z155" i="66"/>
  <c r="Z55" i="66"/>
  <c r="Z138" i="64"/>
  <c r="Z155" i="64"/>
  <c r="Z55" i="55"/>
  <c r="AA155" i="63"/>
  <c r="AA138" i="63"/>
  <c r="AB165" i="45"/>
  <c r="AA56" i="66"/>
  <c r="AA69" i="66" s="1"/>
  <c r="Y120" i="66"/>
  <c r="Y86" i="66"/>
  <c r="Y103" i="66"/>
  <c r="AA197" i="45"/>
  <c r="Z57" i="66"/>
  <c r="Z103" i="64"/>
  <c r="Z86" i="64"/>
  <c r="Z120" i="64"/>
  <c r="Z86" i="63"/>
  <c r="Z103" i="63"/>
  <c r="Z120" i="63"/>
  <c r="AF161" i="45"/>
  <c r="AE56" i="57"/>
  <c r="Y103" i="67"/>
  <c r="Y120" i="67"/>
  <c r="Y86" i="67"/>
  <c r="AA198" i="45"/>
  <c r="Z57" i="67"/>
  <c r="Z120" i="65"/>
  <c r="Z103" i="65"/>
  <c r="Z86" i="65"/>
  <c r="AB163" i="45"/>
  <c r="AA56" i="65"/>
  <c r="AA69" i="65" s="1"/>
  <c r="AB196" i="45"/>
  <c r="AA57" i="55"/>
  <c r="AB195" i="45"/>
  <c r="AA57" i="65"/>
  <c r="AB166" i="45"/>
  <c r="AA56" i="67"/>
  <c r="AA69" i="67" s="1"/>
  <c r="Z120" i="62"/>
  <c r="Z103" i="62"/>
  <c r="Z86" i="62"/>
  <c r="AB187" i="45"/>
  <c r="AA56" i="62"/>
  <c r="AA70" i="62"/>
  <c r="AA87" i="62"/>
  <c r="AA104" i="62"/>
  <c r="AA121" i="62"/>
  <c r="Z138" i="62"/>
  <c r="Z155" i="62"/>
  <c r="Z71" i="58"/>
  <c r="Z88" i="58"/>
  <c r="Z105" i="58"/>
  <c r="Z105" i="57"/>
  <c r="Z71" i="57"/>
  <c r="Z88" i="57"/>
  <c r="Z71" i="62"/>
  <c r="Z88" i="62"/>
  <c r="Z105" i="62"/>
  <c r="AB269" i="45"/>
  <c r="AB60" i="57" s="1"/>
  <c r="AA59" i="62"/>
  <c r="Z88" i="61"/>
  <c r="Z105" i="61"/>
  <c r="Z71" i="61"/>
  <c r="AF153" i="45"/>
  <c r="AE55" i="61"/>
  <c r="AE69" i="61" s="1"/>
  <c r="AA121" i="61"/>
  <c r="AA70" i="61"/>
  <c r="AA87" i="61"/>
  <c r="AB266" i="45"/>
  <c r="AB59" i="63" s="1"/>
  <c r="AA59" i="61"/>
  <c r="Z120" i="61"/>
  <c r="Z86" i="61"/>
  <c r="Z103" i="61"/>
  <c r="AB185" i="45"/>
  <c r="AA56" i="61"/>
  <c r="AA155" i="61"/>
  <c r="AA138" i="61"/>
  <c r="AA190" i="45"/>
  <c r="AA56" i="51" s="1"/>
  <c r="AB295" i="45"/>
  <c r="AA104" i="58"/>
  <c r="AA121" i="58"/>
  <c r="AA87" i="58"/>
  <c r="AA70" i="58"/>
  <c r="AA300" i="45"/>
  <c r="Z138" i="55"/>
  <c r="Z155" i="55"/>
  <c r="Z138" i="38"/>
  <c r="Z155" i="38"/>
  <c r="Y120" i="58"/>
  <c r="Y103" i="58"/>
  <c r="Y86" i="58"/>
  <c r="AA186" i="45"/>
  <c r="AA56" i="38" s="1"/>
  <c r="Y86" i="55"/>
  <c r="Y120" i="55"/>
  <c r="Y103" i="55"/>
  <c r="AA298" i="45"/>
  <c r="Z138" i="51"/>
  <c r="Z155" i="51"/>
  <c r="Y103" i="57"/>
  <c r="Y86" i="57"/>
  <c r="Y120" i="57"/>
  <c r="Y86" i="51"/>
  <c r="Y103" i="51"/>
  <c r="Y120" i="51"/>
  <c r="AA194" i="45"/>
  <c r="AA57" i="58" s="1"/>
  <c r="AA192" i="45"/>
  <c r="AA57" i="52" s="1"/>
  <c r="Y86" i="53"/>
  <c r="Y103" i="53"/>
  <c r="Y120" i="53"/>
  <c r="AB159" i="45"/>
  <c r="AB55" i="53" s="1"/>
  <c r="AA69" i="53"/>
  <c r="AB293" i="45"/>
  <c r="AB54" i="52" s="1"/>
  <c r="AA87" i="53"/>
  <c r="AA87" i="52"/>
  <c r="AA121" i="52"/>
  <c r="AA70" i="52"/>
  <c r="AA104" i="52"/>
  <c r="AA306" i="45"/>
  <c r="Z138" i="58"/>
  <c r="AA193" i="45"/>
  <c r="AA57" i="57" s="1"/>
  <c r="AA189" i="45"/>
  <c r="AA56" i="64" s="1"/>
  <c r="AA302" i="45"/>
  <c r="Z155" i="57"/>
  <c r="Z155" i="58"/>
  <c r="Z138" i="57"/>
  <c r="AA303" i="45"/>
  <c r="Z138" i="53"/>
  <c r="Z155" i="53"/>
  <c r="AA191" i="45"/>
  <c r="AA56" i="53" s="1"/>
  <c r="AB158" i="45"/>
  <c r="AB55" i="51" s="1"/>
  <c r="AA69" i="51"/>
  <c r="AA188" i="45"/>
  <c r="AA56" i="63" s="1"/>
  <c r="AA70" i="57"/>
  <c r="AA104" i="57"/>
  <c r="AA121" i="57"/>
  <c r="AA87" i="57"/>
  <c r="AB304" i="45"/>
  <c r="AB55" i="52" s="1"/>
  <c r="AA155" i="52"/>
  <c r="AA138" i="52"/>
  <c r="AB287" i="45"/>
  <c r="AA87" i="51"/>
  <c r="AA104" i="51"/>
  <c r="AA70" i="51"/>
  <c r="AA121" i="51"/>
  <c r="AB289" i="45"/>
  <c r="AA121" i="55"/>
  <c r="AA87" i="55"/>
  <c r="AA104" i="55"/>
  <c r="AA70" i="55"/>
  <c r="AA121" i="38"/>
  <c r="AA104" i="38"/>
  <c r="AA87" i="38"/>
  <c r="AA70" i="38"/>
  <c r="AB162" i="45"/>
  <c r="AB56" i="58" s="1"/>
  <c r="AA69" i="58"/>
  <c r="AB164" i="45"/>
  <c r="AB56" i="55" s="1"/>
  <c r="AA69" i="55"/>
  <c r="AB160" i="45"/>
  <c r="AB56" i="52" s="1"/>
  <c r="AA69" i="52"/>
  <c r="AA69" i="57"/>
  <c r="AB292" i="45"/>
  <c r="AB70" i="53" s="1"/>
  <c r="AA104" i="53"/>
  <c r="AA121" i="53"/>
  <c r="Y86" i="52"/>
  <c r="Y120" i="52"/>
  <c r="Y103" i="52"/>
  <c r="AB288" i="45"/>
  <c r="AB299" i="45"/>
  <c r="AB291" i="45"/>
  <c r="AB54" i="57" s="1"/>
  <c r="Y22" i="45"/>
  <c r="Z122" i="64" l="1"/>
  <c r="Z156" i="64"/>
  <c r="Z139" i="64"/>
  <c r="AA71" i="66"/>
  <c r="AA88" i="66"/>
  <c r="AA105" i="66"/>
  <c r="AA61" i="66"/>
  <c r="AA61" i="55"/>
  <c r="AB278" i="45"/>
  <c r="AA60" i="64"/>
  <c r="AC273" i="45"/>
  <c r="AB60" i="65"/>
  <c r="AB60" i="58"/>
  <c r="Z122" i="55"/>
  <c r="Z139" i="55"/>
  <c r="Z156" i="55"/>
  <c r="Z122" i="66"/>
  <c r="Z156" i="66"/>
  <c r="Z139" i="66"/>
  <c r="AC294" i="45"/>
  <c r="AB70" i="67"/>
  <c r="AB121" i="67"/>
  <c r="AB87" i="67"/>
  <c r="AB104" i="67"/>
  <c r="AB54" i="67"/>
  <c r="Z139" i="52"/>
  <c r="Z156" i="52"/>
  <c r="Z122" i="52"/>
  <c r="AA61" i="57"/>
  <c r="AB280" i="45"/>
  <c r="AA60" i="62"/>
  <c r="Z156" i="63"/>
  <c r="Z139" i="63"/>
  <c r="Z122" i="63"/>
  <c r="AB282" i="45"/>
  <c r="AA61" i="52"/>
  <c r="Z139" i="62"/>
  <c r="Z122" i="62"/>
  <c r="Z156" i="62"/>
  <c r="AC271" i="45"/>
  <c r="AB60" i="52"/>
  <c r="AA71" i="65"/>
  <c r="AA105" i="65"/>
  <c r="AA88" i="65"/>
  <c r="AB276" i="45"/>
  <c r="AA60" i="51"/>
  <c r="AC267" i="45"/>
  <c r="AB60" i="66"/>
  <c r="AB59" i="64"/>
  <c r="AB60" i="55"/>
  <c r="AB104" i="65"/>
  <c r="AB121" i="65"/>
  <c r="AB70" i="65"/>
  <c r="AB87" i="65"/>
  <c r="AB54" i="65"/>
  <c r="AB54" i="58"/>
  <c r="AA105" i="67"/>
  <c r="AA71" i="67"/>
  <c r="AA88" i="67"/>
  <c r="Z122" i="57"/>
  <c r="Z139" i="57"/>
  <c r="Z156" i="57"/>
  <c r="AC272" i="45"/>
  <c r="AB60" i="67"/>
  <c r="Z139" i="58"/>
  <c r="Z156" i="58"/>
  <c r="Z122" i="58"/>
  <c r="AA88" i="64"/>
  <c r="AA105" i="64"/>
  <c r="AA71" i="64"/>
  <c r="AB71" i="63"/>
  <c r="AB88" i="63"/>
  <c r="AB105" i="63"/>
  <c r="Z156" i="61"/>
  <c r="Z122" i="61"/>
  <c r="Z139" i="61"/>
  <c r="Z156" i="65"/>
  <c r="Z122" i="65"/>
  <c r="Z139" i="65"/>
  <c r="AA71" i="51"/>
  <c r="AA105" i="51"/>
  <c r="AA88" i="51"/>
  <c r="Z122" i="67"/>
  <c r="Z156" i="67"/>
  <c r="Z139" i="67"/>
  <c r="Z122" i="51"/>
  <c r="Z139" i="51"/>
  <c r="Z156" i="51"/>
  <c r="AB283" i="45"/>
  <c r="AA61" i="67"/>
  <c r="AB87" i="66"/>
  <c r="AB104" i="66"/>
  <c r="AB70" i="66"/>
  <c r="AB121" i="66"/>
  <c r="AB54" i="66"/>
  <c r="AB87" i="64"/>
  <c r="AB121" i="64"/>
  <c r="AB104" i="64"/>
  <c r="AB70" i="64"/>
  <c r="AB54" i="55"/>
  <c r="AB104" i="61"/>
  <c r="AB70" i="63"/>
  <c r="AB121" i="63"/>
  <c r="AB87" i="63"/>
  <c r="AB104" i="63"/>
  <c r="AA60" i="63"/>
  <c r="AB277" i="45"/>
  <c r="AA60" i="61"/>
  <c r="AA105" i="52"/>
  <c r="AA71" i="52"/>
  <c r="AA88" i="52"/>
  <c r="AB284" i="45"/>
  <c r="AA61" i="65"/>
  <c r="AA61" i="58"/>
  <c r="AC265" i="45"/>
  <c r="AB59" i="51"/>
  <c r="AA105" i="55"/>
  <c r="AA88" i="55"/>
  <c r="AA71" i="55"/>
  <c r="AC305" i="45"/>
  <c r="AB155" i="67"/>
  <c r="AB55" i="67"/>
  <c r="AA155" i="65"/>
  <c r="AA55" i="57"/>
  <c r="AA138" i="65"/>
  <c r="AA138" i="67"/>
  <c r="AA55" i="65"/>
  <c r="AA55" i="58"/>
  <c r="AA138" i="66"/>
  <c r="AA155" i="66"/>
  <c r="AA55" i="66"/>
  <c r="AA138" i="64"/>
  <c r="AA155" i="64"/>
  <c r="AA55" i="55"/>
  <c r="AB155" i="63"/>
  <c r="AB138" i="63"/>
  <c r="AA120" i="65"/>
  <c r="AA86" i="65"/>
  <c r="AA103" i="65"/>
  <c r="AC196" i="45"/>
  <c r="AB57" i="55"/>
  <c r="AB198" i="45"/>
  <c r="AA57" i="67"/>
  <c r="AB197" i="45"/>
  <c r="AA57" i="66"/>
  <c r="AA120" i="63"/>
  <c r="AA86" i="63"/>
  <c r="AA103" i="63"/>
  <c r="AC195" i="45"/>
  <c r="AB57" i="65"/>
  <c r="AC166" i="45"/>
  <c r="AB56" i="67"/>
  <c r="AB69" i="67" s="1"/>
  <c r="AC163" i="45"/>
  <c r="AB56" i="65"/>
  <c r="AB69" i="65" s="1"/>
  <c r="AG161" i="45"/>
  <c r="AG56" i="57" s="1"/>
  <c r="AF56" i="57"/>
  <c r="AA103" i="64"/>
  <c r="AA86" i="64"/>
  <c r="AA120" i="64"/>
  <c r="Z86" i="67"/>
  <c r="Z103" i="67"/>
  <c r="Z120" i="67"/>
  <c r="Z120" i="66"/>
  <c r="Z103" i="66"/>
  <c r="Z86" i="66"/>
  <c r="AC165" i="45"/>
  <c r="AB56" i="66"/>
  <c r="AB69" i="66" s="1"/>
  <c r="AC269" i="45"/>
  <c r="AC60" i="57" s="1"/>
  <c r="AB59" i="62"/>
  <c r="AA120" i="62"/>
  <c r="AA86" i="62"/>
  <c r="AA103" i="62"/>
  <c r="AA138" i="62"/>
  <c r="AA155" i="62"/>
  <c r="AC187" i="45"/>
  <c r="AB56" i="62"/>
  <c r="AB121" i="62"/>
  <c r="AB70" i="62"/>
  <c r="AB87" i="62"/>
  <c r="AB104" i="62"/>
  <c r="AA71" i="58"/>
  <c r="AA88" i="58"/>
  <c r="AA105" i="58"/>
  <c r="AA105" i="57"/>
  <c r="AA71" i="57"/>
  <c r="AA88" i="57"/>
  <c r="AA88" i="62"/>
  <c r="AA105" i="62"/>
  <c r="AA71" i="62"/>
  <c r="AA88" i="61"/>
  <c r="AA71" i="61"/>
  <c r="AA105" i="61"/>
  <c r="AA103" i="61"/>
  <c r="AA86" i="61"/>
  <c r="AA120" i="61"/>
  <c r="AC185" i="45"/>
  <c r="AB56" i="61"/>
  <c r="AG153" i="45"/>
  <c r="AG55" i="61" s="1"/>
  <c r="AG69" i="61" s="1"/>
  <c r="AF55" i="61"/>
  <c r="AF69" i="61" s="1"/>
  <c r="AB121" i="61"/>
  <c r="AB70" i="61"/>
  <c r="AB87" i="61"/>
  <c r="AB155" i="61"/>
  <c r="AB138" i="61"/>
  <c r="AC266" i="45"/>
  <c r="AC59" i="63" s="1"/>
  <c r="AB59" i="61"/>
  <c r="AB192" i="45"/>
  <c r="AB57" i="52" s="1"/>
  <c r="AB186" i="45"/>
  <c r="AB56" i="38" s="1"/>
  <c r="AB303" i="45"/>
  <c r="AA138" i="53"/>
  <c r="AA155" i="53"/>
  <c r="AB189" i="45"/>
  <c r="AB56" i="64" s="1"/>
  <c r="AC293" i="45"/>
  <c r="AC54" i="52" s="1"/>
  <c r="AB87" i="53"/>
  <c r="AB87" i="52"/>
  <c r="AB121" i="52"/>
  <c r="AB70" i="52"/>
  <c r="AB104" i="52"/>
  <c r="AC292" i="45"/>
  <c r="AC70" i="53" s="1"/>
  <c r="AB104" i="53"/>
  <c r="AB121" i="53"/>
  <c r="AC160" i="45"/>
  <c r="AC56" i="52" s="1"/>
  <c r="AB69" i="52"/>
  <c r="Z86" i="57"/>
  <c r="Z103" i="57"/>
  <c r="Z120" i="57"/>
  <c r="Z103" i="58"/>
  <c r="Z120" i="58"/>
  <c r="Z86" i="58"/>
  <c r="Z103" i="51"/>
  <c r="Z86" i="51"/>
  <c r="Z120" i="51"/>
  <c r="AC304" i="45"/>
  <c r="AC55" i="52" s="1"/>
  <c r="AB155" i="52"/>
  <c r="AB138" i="52"/>
  <c r="AB193" i="45"/>
  <c r="AB57" i="57" s="1"/>
  <c r="AC159" i="45"/>
  <c r="AC55" i="53" s="1"/>
  <c r="AB69" i="53"/>
  <c r="AB194" i="45"/>
  <c r="AB57" i="58" s="1"/>
  <c r="AC289" i="45"/>
  <c r="AB121" i="55"/>
  <c r="AB87" i="55"/>
  <c r="AB104" i="55"/>
  <c r="AB70" i="55"/>
  <c r="AB70" i="38"/>
  <c r="AB104" i="38"/>
  <c r="AB87" i="38"/>
  <c r="AB121" i="38"/>
  <c r="AC162" i="45"/>
  <c r="AC56" i="58" s="1"/>
  <c r="AB69" i="58"/>
  <c r="AC158" i="45"/>
  <c r="AC55" i="51" s="1"/>
  <c r="AB69" i="51"/>
  <c r="AB306" i="45"/>
  <c r="AA138" i="58"/>
  <c r="AC295" i="45"/>
  <c r="AB104" i="58"/>
  <c r="AB121" i="58"/>
  <c r="AB87" i="58"/>
  <c r="AB70" i="58"/>
  <c r="AB188" i="45"/>
  <c r="AB56" i="63" s="1"/>
  <c r="AB298" i="45"/>
  <c r="AA138" i="51"/>
  <c r="AA155" i="51"/>
  <c r="Z103" i="53"/>
  <c r="Z86" i="53"/>
  <c r="Z120" i="53"/>
  <c r="AB70" i="57"/>
  <c r="AB104" i="57"/>
  <c r="AB121" i="57"/>
  <c r="AB87" i="57"/>
  <c r="AB191" i="45"/>
  <c r="AB56" i="53" s="1"/>
  <c r="AB69" i="57"/>
  <c r="AC288" i="45"/>
  <c r="AC287" i="45"/>
  <c r="AB121" i="51"/>
  <c r="AB87" i="51"/>
  <c r="AB70" i="51"/>
  <c r="AB104" i="51"/>
  <c r="Z103" i="52"/>
  <c r="Z86" i="52"/>
  <c r="Z120" i="52"/>
  <c r="AC164" i="45"/>
  <c r="AC56" i="55" s="1"/>
  <c r="AB69" i="55"/>
  <c r="AB302" i="45"/>
  <c r="AA155" i="58"/>
  <c r="AA138" i="57"/>
  <c r="AA155" i="57"/>
  <c r="Z86" i="55"/>
  <c r="Z120" i="55"/>
  <c r="Z103" i="55"/>
  <c r="AB300" i="45"/>
  <c r="AA138" i="55"/>
  <c r="AA155" i="55"/>
  <c r="AA138" i="38"/>
  <c r="AA155" i="38"/>
  <c r="AB190" i="45"/>
  <c r="AB56" i="51" s="1"/>
  <c r="AC299" i="45"/>
  <c r="AC291" i="45"/>
  <c r="AC54" i="57" s="1"/>
  <c r="Z22" i="45"/>
  <c r="AA122" i="58" l="1"/>
  <c r="AA139" i="58"/>
  <c r="AA156" i="58"/>
  <c r="AA139" i="67"/>
  <c r="AA122" i="67"/>
  <c r="AA156" i="67"/>
  <c r="AD294" i="45"/>
  <c r="AC104" i="67"/>
  <c r="AC70" i="67"/>
  <c r="AC121" i="67"/>
  <c r="AC87" i="67"/>
  <c r="AC54" i="67"/>
  <c r="AB61" i="66"/>
  <c r="AB61" i="55"/>
  <c r="AC278" i="45"/>
  <c r="AB60" i="64"/>
  <c r="AC104" i="61"/>
  <c r="AC104" i="63"/>
  <c r="AC87" i="63"/>
  <c r="AC70" i="63"/>
  <c r="AC121" i="63"/>
  <c r="AA139" i="65"/>
  <c r="AA156" i="65"/>
  <c r="AA122" i="65"/>
  <c r="AC283" i="45"/>
  <c r="AB61" i="67"/>
  <c r="AA139" i="62"/>
  <c r="AA156" i="62"/>
  <c r="AA122" i="62"/>
  <c r="AA156" i="55"/>
  <c r="AA122" i="55"/>
  <c r="AA139" i="55"/>
  <c r="AC276" i="45"/>
  <c r="AB60" i="51"/>
  <c r="AB105" i="67"/>
  <c r="AB71" i="67"/>
  <c r="AB88" i="67"/>
  <c r="AA139" i="66"/>
  <c r="AA156" i="66"/>
  <c r="AA122" i="66"/>
  <c r="AD272" i="45"/>
  <c r="AC60" i="67"/>
  <c r="AD271" i="45"/>
  <c r="AC60" i="52"/>
  <c r="AA139" i="57"/>
  <c r="AA156" i="57"/>
  <c r="AA122" i="57"/>
  <c r="AB88" i="51"/>
  <c r="AB105" i="51"/>
  <c r="AB71" i="51"/>
  <c r="AD265" i="45"/>
  <c r="AC59" i="51"/>
  <c r="AA122" i="64"/>
  <c r="AA139" i="64"/>
  <c r="AA156" i="64"/>
  <c r="AC284" i="45"/>
  <c r="AB61" i="65"/>
  <c r="AB61" i="58"/>
  <c r="AB71" i="55"/>
  <c r="AB88" i="55"/>
  <c r="AB105" i="55"/>
  <c r="AC88" i="63"/>
  <c r="AC105" i="63"/>
  <c r="AC71" i="63"/>
  <c r="AB61" i="57"/>
  <c r="AC280" i="45"/>
  <c r="AB60" i="62"/>
  <c r="AC87" i="66"/>
  <c r="AC104" i="66"/>
  <c r="AC70" i="66"/>
  <c r="AC121" i="66"/>
  <c r="AC54" i="66"/>
  <c r="AC121" i="64"/>
  <c r="AC87" i="64"/>
  <c r="AC104" i="64"/>
  <c r="AC70" i="64"/>
  <c r="AC54" i="55"/>
  <c r="AB88" i="64"/>
  <c r="AB105" i="64"/>
  <c r="AB71" i="64"/>
  <c r="AB60" i="63"/>
  <c r="AB60" i="61"/>
  <c r="AC277" i="45"/>
  <c r="AB105" i="66"/>
  <c r="AB88" i="66"/>
  <c r="AB71" i="66"/>
  <c r="AA139" i="52"/>
  <c r="AA156" i="52"/>
  <c r="AA122" i="52"/>
  <c r="AB88" i="52"/>
  <c r="AB71" i="52"/>
  <c r="AB105" i="52"/>
  <c r="AA122" i="61"/>
  <c r="AA156" i="61"/>
  <c r="AA139" i="61"/>
  <c r="AC104" i="65"/>
  <c r="AC121" i="65"/>
  <c r="AC70" i="65"/>
  <c r="AC87" i="65"/>
  <c r="AC54" i="65"/>
  <c r="AC54" i="58"/>
  <c r="AA122" i="63"/>
  <c r="AA156" i="63"/>
  <c r="AA139" i="63"/>
  <c r="AD267" i="45"/>
  <c r="AC60" i="66"/>
  <c r="AC59" i="64"/>
  <c r="AC60" i="55"/>
  <c r="AC282" i="45"/>
  <c r="AB61" i="52"/>
  <c r="AB71" i="65"/>
  <c r="AB88" i="65"/>
  <c r="AB105" i="65"/>
  <c r="AA156" i="51"/>
  <c r="AA122" i="51"/>
  <c r="AA139" i="51"/>
  <c r="AD273" i="45"/>
  <c r="AC60" i="65"/>
  <c r="AC60" i="58"/>
  <c r="AB155" i="65"/>
  <c r="AB55" i="57"/>
  <c r="AB138" i="67"/>
  <c r="AB138" i="65"/>
  <c r="AB55" i="65"/>
  <c r="AB55" i="58"/>
  <c r="AD305" i="45"/>
  <c r="AC155" i="67"/>
  <c r="AC55" i="67"/>
  <c r="AB138" i="66"/>
  <c r="AB155" i="66"/>
  <c r="AB55" i="66"/>
  <c r="AB138" i="64"/>
  <c r="AB155" i="64"/>
  <c r="AB55" i="55"/>
  <c r="AC138" i="63"/>
  <c r="AC155" i="63"/>
  <c r="AB103" i="64"/>
  <c r="AB86" i="64"/>
  <c r="AB120" i="64"/>
  <c r="AA86" i="66"/>
  <c r="AA103" i="66"/>
  <c r="AA120" i="66"/>
  <c r="AD163" i="45"/>
  <c r="AC56" i="65"/>
  <c r="AC69" i="65" s="1"/>
  <c r="AC197" i="45"/>
  <c r="AB57" i="66"/>
  <c r="AA120" i="67"/>
  <c r="AA86" i="67"/>
  <c r="AA103" i="67"/>
  <c r="AD166" i="45"/>
  <c r="AC56" i="67"/>
  <c r="AC69" i="67" s="1"/>
  <c r="AC198" i="45"/>
  <c r="AB57" i="67"/>
  <c r="AD165" i="45"/>
  <c r="AC56" i="66"/>
  <c r="AC69" i="66" s="1"/>
  <c r="AB120" i="63"/>
  <c r="AB86" i="63"/>
  <c r="AB103" i="63"/>
  <c r="AB103" i="65"/>
  <c r="AB86" i="65"/>
  <c r="AB120" i="65"/>
  <c r="AD196" i="45"/>
  <c r="AC57" i="55"/>
  <c r="AD195" i="45"/>
  <c r="AC57" i="65"/>
  <c r="AB138" i="62"/>
  <c r="AB155" i="62"/>
  <c r="AC121" i="62"/>
  <c r="AC70" i="62"/>
  <c r="AC87" i="62"/>
  <c r="AC104" i="62"/>
  <c r="AB71" i="58"/>
  <c r="AB88" i="58"/>
  <c r="AB105" i="58"/>
  <c r="AB105" i="57"/>
  <c r="AB71" i="57"/>
  <c r="AB88" i="57"/>
  <c r="AB86" i="62"/>
  <c r="AB103" i="62"/>
  <c r="AB120" i="62"/>
  <c r="AB71" i="62"/>
  <c r="AB88" i="62"/>
  <c r="AB105" i="62"/>
  <c r="AD187" i="45"/>
  <c r="AC56" i="62"/>
  <c r="AD269" i="45"/>
  <c r="AD60" i="57" s="1"/>
  <c r="AC59" i="62"/>
  <c r="AB105" i="61"/>
  <c r="AB88" i="61"/>
  <c r="AB71" i="61"/>
  <c r="AC155" i="61"/>
  <c r="AC138" i="61"/>
  <c r="AD266" i="45"/>
  <c r="AD59" i="63" s="1"/>
  <c r="AC59" i="61"/>
  <c r="AC121" i="61"/>
  <c r="AC70" i="61"/>
  <c r="AC87" i="61"/>
  <c r="AB86" i="61"/>
  <c r="AB103" i="61"/>
  <c r="AB120" i="61"/>
  <c r="AD185" i="45"/>
  <c r="AC56" i="61"/>
  <c r="AC104" i="57"/>
  <c r="AC121" i="57"/>
  <c r="AC87" i="57"/>
  <c r="AC70" i="57"/>
  <c r="AC300" i="45"/>
  <c r="AB138" i="55"/>
  <c r="AB155" i="55"/>
  <c r="AB138" i="38"/>
  <c r="AB155" i="38"/>
  <c r="AD295" i="45"/>
  <c r="AC70" i="58"/>
  <c r="AC104" i="58"/>
  <c r="AC121" i="58"/>
  <c r="AC87" i="58"/>
  <c r="AD162" i="45"/>
  <c r="AD56" i="58" s="1"/>
  <c r="AC69" i="58"/>
  <c r="AA103" i="53"/>
  <c r="AA86" i="53"/>
  <c r="AA120" i="53"/>
  <c r="AC191" i="45"/>
  <c r="AC56" i="53" s="1"/>
  <c r="AA86" i="58"/>
  <c r="AA103" i="58"/>
  <c r="AA120" i="58"/>
  <c r="AC303" i="45"/>
  <c r="AB138" i="53"/>
  <c r="AB155" i="53"/>
  <c r="AC306" i="45"/>
  <c r="AB138" i="58"/>
  <c r="AC194" i="45"/>
  <c r="AC57" i="58" s="1"/>
  <c r="AC302" i="45"/>
  <c r="AB155" i="58"/>
  <c r="AB138" i="57"/>
  <c r="AB155" i="57"/>
  <c r="AC298" i="45"/>
  <c r="AB138" i="51"/>
  <c r="AB155" i="51"/>
  <c r="AD159" i="45"/>
  <c r="AD55" i="53" s="1"/>
  <c r="AC69" i="53"/>
  <c r="AD160" i="45"/>
  <c r="AD56" i="52" s="1"/>
  <c r="AC69" i="52"/>
  <c r="AA103" i="52"/>
  <c r="AA86" i="52"/>
  <c r="AA120" i="52"/>
  <c r="AC190" i="45"/>
  <c r="AC56" i="51" s="1"/>
  <c r="AD288" i="45"/>
  <c r="AC188" i="45"/>
  <c r="AC56" i="63" s="1"/>
  <c r="AA120" i="57"/>
  <c r="AA86" i="57"/>
  <c r="AA103" i="57"/>
  <c r="AC186" i="45"/>
  <c r="AC56" i="38" s="1"/>
  <c r="AC193" i="45"/>
  <c r="AC57" i="57" s="1"/>
  <c r="AD164" i="45"/>
  <c r="AD56" i="55" s="1"/>
  <c r="AC69" i="55"/>
  <c r="AD293" i="45"/>
  <c r="AD54" i="52" s="1"/>
  <c r="AC87" i="53"/>
  <c r="AC104" i="52"/>
  <c r="AC87" i="52"/>
  <c r="AC121" i="52"/>
  <c r="AC70" i="52"/>
  <c r="AA86" i="55"/>
  <c r="AA120" i="55"/>
  <c r="AA103" i="55"/>
  <c r="AC69" i="57"/>
  <c r="AA103" i="51"/>
  <c r="AA86" i="51"/>
  <c r="AA120" i="51"/>
  <c r="AC192" i="45"/>
  <c r="AC57" i="52" s="1"/>
  <c r="AD158" i="45"/>
  <c r="AD55" i="51" s="1"/>
  <c r="AC69" i="51"/>
  <c r="AD289" i="45"/>
  <c r="AC121" i="55"/>
  <c r="AC87" i="55"/>
  <c r="AC104" i="55"/>
  <c r="AC70" i="55"/>
  <c r="AC70" i="38"/>
  <c r="AC87" i="38"/>
  <c r="AC104" i="38"/>
  <c r="AC121" i="38"/>
  <c r="AC189" i="45"/>
  <c r="AC56" i="64" s="1"/>
  <c r="AD287" i="45"/>
  <c r="AC121" i="51"/>
  <c r="AC104" i="51"/>
  <c r="AC70" i="51"/>
  <c r="AC87" i="51"/>
  <c r="AD304" i="45"/>
  <c r="AD55" i="52" s="1"/>
  <c r="AC155" i="52"/>
  <c r="AC138" i="52"/>
  <c r="AD292" i="45"/>
  <c r="AD70" i="53" s="1"/>
  <c r="AC121" i="53"/>
  <c r="AC104" i="53"/>
  <c r="AD299" i="45"/>
  <c r="AD291" i="45"/>
  <c r="AD54" i="57" s="1"/>
  <c r="AA22" i="45"/>
  <c r="AE267" i="45" l="1"/>
  <c r="AD60" i="66"/>
  <c r="AD59" i="64"/>
  <c r="AD60" i="55"/>
  <c r="AB122" i="51"/>
  <c r="AB139" i="51"/>
  <c r="AB156" i="51"/>
  <c r="AE271" i="45"/>
  <c r="AD60" i="52"/>
  <c r="AB122" i="57"/>
  <c r="AB156" i="57"/>
  <c r="AB139" i="57"/>
  <c r="AE272" i="45"/>
  <c r="AD60" i="67"/>
  <c r="AB156" i="65"/>
  <c r="AB122" i="65"/>
  <c r="AB139" i="65"/>
  <c r="AD276" i="45"/>
  <c r="AC60" i="51"/>
  <c r="AC71" i="67"/>
  <c r="AC88" i="67"/>
  <c r="AC105" i="67"/>
  <c r="AC71" i="51"/>
  <c r="AC88" i="51"/>
  <c r="AC105" i="51"/>
  <c r="AD70" i="66"/>
  <c r="AD121" i="66"/>
  <c r="AD104" i="66"/>
  <c r="AD87" i="66"/>
  <c r="AD54" i="66"/>
  <c r="AD70" i="64"/>
  <c r="AD87" i="64"/>
  <c r="AD104" i="64"/>
  <c r="AD121" i="64"/>
  <c r="AD54" i="55"/>
  <c r="AE294" i="45"/>
  <c r="AD104" i="67"/>
  <c r="AD121" i="67"/>
  <c r="AD70" i="67"/>
  <c r="AD87" i="67"/>
  <c r="AD54" i="67"/>
  <c r="AD121" i="65"/>
  <c r="AD87" i="65"/>
  <c r="AD104" i="65"/>
  <c r="AD70" i="65"/>
  <c r="AD54" i="65"/>
  <c r="AD54" i="58"/>
  <c r="AB139" i="52"/>
  <c r="AB156" i="52"/>
  <c r="AB122" i="52"/>
  <c r="AE265" i="45"/>
  <c r="AD59" i="51"/>
  <c r="AB139" i="64"/>
  <c r="AB156" i="64"/>
  <c r="AB122" i="64"/>
  <c r="AD282" i="45"/>
  <c r="AC61" i="52"/>
  <c r="AC61" i="66"/>
  <c r="AC61" i="55"/>
  <c r="AD278" i="45"/>
  <c r="AC60" i="64"/>
  <c r="AB139" i="55"/>
  <c r="AB156" i="55"/>
  <c r="AB122" i="55"/>
  <c r="AB122" i="62"/>
  <c r="AB156" i="62"/>
  <c r="AB139" i="62"/>
  <c r="AD105" i="63"/>
  <c r="AD71" i="63"/>
  <c r="AD88" i="63"/>
  <c r="AC71" i="55"/>
  <c r="AC88" i="55"/>
  <c r="AC105" i="55"/>
  <c r="AC71" i="64"/>
  <c r="AC88" i="64"/>
  <c r="AC105" i="64"/>
  <c r="AC60" i="63"/>
  <c r="AC60" i="61"/>
  <c r="AD277" i="45"/>
  <c r="AD283" i="45"/>
  <c r="AC61" i="67"/>
  <c r="AB122" i="66"/>
  <c r="AB139" i="66"/>
  <c r="AB156" i="66"/>
  <c r="AE273" i="45"/>
  <c r="AD60" i="65"/>
  <c r="AD60" i="58"/>
  <c r="AB156" i="63"/>
  <c r="AB139" i="63"/>
  <c r="AB122" i="63"/>
  <c r="AD284" i="45"/>
  <c r="AC61" i="65"/>
  <c r="AC61" i="58"/>
  <c r="AC88" i="52"/>
  <c r="AC105" i="52"/>
  <c r="AC71" i="52"/>
  <c r="AC61" i="57"/>
  <c r="AC60" i="62"/>
  <c r="AD280" i="45"/>
  <c r="AB122" i="67"/>
  <c r="AB156" i="67"/>
  <c r="AB139" i="67"/>
  <c r="AD104" i="61"/>
  <c r="AD104" i="63"/>
  <c r="AD70" i="63"/>
  <c r="AD121" i="63"/>
  <c r="AD87" i="63"/>
  <c r="AC71" i="65"/>
  <c r="AC88" i="65"/>
  <c r="AC105" i="65"/>
  <c r="AC71" i="66"/>
  <c r="AC88" i="66"/>
  <c r="AC105" i="66"/>
  <c r="AB122" i="61"/>
  <c r="AB139" i="61"/>
  <c r="AB156" i="61"/>
  <c r="AB139" i="58"/>
  <c r="AB122" i="58"/>
  <c r="AB156" i="58"/>
  <c r="AE305" i="45"/>
  <c r="AD155" i="67"/>
  <c r="AD55" i="67"/>
  <c r="AC155" i="65"/>
  <c r="AC55" i="57"/>
  <c r="AC138" i="67"/>
  <c r="AC138" i="65"/>
  <c r="AC55" i="65"/>
  <c r="AC55" i="58"/>
  <c r="AC138" i="66"/>
  <c r="AC155" i="66"/>
  <c r="AC55" i="66"/>
  <c r="AC155" i="64"/>
  <c r="AC138" i="64"/>
  <c r="AC55" i="55"/>
  <c r="AD138" i="63"/>
  <c r="AD155" i="63"/>
  <c r="AE196" i="45"/>
  <c r="AD57" i="55"/>
  <c r="AB86" i="66"/>
  <c r="AB103" i="66"/>
  <c r="AB120" i="66"/>
  <c r="AD197" i="45"/>
  <c r="AC57" i="66"/>
  <c r="AB120" i="67"/>
  <c r="AB86" i="67"/>
  <c r="AB103" i="67"/>
  <c r="AD198" i="45"/>
  <c r="AC57" i="67"/>
  <c r="AE163" i="45"/>
  <c r="AD56" i="65"/>
  <c r="AD69" i="65" s="1"/>
  <c r="AC103" i="64"/>
  <c r="AC86" i="64"/>
  <c r="AC120" i="64"/>
  <c r="AE166" i="45"/>
  <c r="AD56" i="67"/>
  <c r="AD69" i="67" s="1"/>
  <c r="AE165" i="45"/>
  <c r="AD56" i="66"/>
  <c r="AD69" i="66" s="1"/>
  <c r="AC86" i="63"/>
  <c r="AC120" i="63"/>
  <c r="AC103" i="63"/>
  <c r="AC103" i="65"/>
  <c r="AC86" i="65"/>
  <c r="AC120" i="65"/>
  <c r="AE195" i="45"/>
  <c r="AD57" i="65"/>
  <c r="AC155" i="62"/>
  <c r="AC138" i="62"/>
  <c r="AC103" i="62"/>
  <c r="AC86" i="62"/>
  <c r="AC120" i="62"/>
  <c r="AE187" i="45"/>
  <c r="AD56" i="62"/>
  <c r="AD121" i="62"/>
  <c r="AD70" i="62"/>
  <c r="AD87" i="62"/>
  <c r="AD104" i="62"/>
  <c r="AE269" i="45"/>
  <c r="AE60" i="57" s="1"/>
  <c r="AD59" i="62"/>
  <c r="AC105" i="58"/>
  <c r="AC71" i="58"/>
  <c r="AC88" i="58"/>
  <c r="AC71" i="57"/>
  <c r="AC88" i="57"/>
  <c r="AC105" i="57"/>
  <c r="AC88" i="62"/>
  <c r="AC105" i="62"/>
  <c r="AC71" i="62"/>
  <c r="AC105" i="61"/>
  <c r="AC88" i="61"/>
  <c r="AC71" i="61"/>
  <c r="AE266" i="45"/>
  <c r="AE59" i="63" s="1"/>
  <c r="AD59" i="61"/>
  <c r="AD155" i="61"/>
  <c r="AD138" i="61"/>
  <c r="AD121" i="61"/>
  <c r="AD70" i="61"/>
  <c r="AD87" i="61"/>
  <c r="AC103" i="61"/>
  <c r="AC86" i="61"/>
  <c r="AC120" i="61"/>
  <c r="AE185" i="45"/>
  <c r="AD56" i="61"/>
  <c r="AD189" i="45"/>
  <c r="AD56" i="64" s="1"/>
  <c r="AE158" i="45"/>
  <c r="AE55" i="51" s="1"/>
  <c r="AD69" i="51"/>
  <c r="AD194" i="45"/>
  <c r="AD57" i="58" s="1"/>
  <c r="AE304" i="45"/>
  <c r="AE55" i="52" s="1"/>
  <c r="AD155" i="52"/>
  <c r="AD138" i="52"/>
  <c r="AD186" i="45"/>
  <c r="AD56" i="38" s="1"/>
  <c r="AE162" i="45"/>
  <c r="AE56" i="58" s="1"/>
  <c r="AD69" i="58"/>
  <c r="AB103" i="53"/>
  <c r="AB86" i="53"/>
  <c r="AB120" i="53"/>
  <c r="AB86" i="55"/>
  <c r="AB120" i="55"/>
  <c r="AB103" i="55"/>
  <c r="AE288" i="45"/>
  <c r="AD191" i="45"/>
  <c r="AD56" i="53" s="1"/>
  <c r="AD192" i="45"/>
  <c r="AD57" i="52" s="1"/>
  <c r="AE160" i="45"/>
  <c r="AE56" i="52" s="1"/>
  <c r="AD69" i="52"/>
  <c r="AD300" i="45"/>
  <c r="AC138" i="55"/>
  <c r="AC155" i="55"/>
  <c r="AC138" i="38"/>
  <c r="AC155" i="38"/>
  <c r="AE159" i="45"/>
  <c r="AE55" i="53" s="1"/>
  <c r="AD69" i="53"/>
  <c r="AD302" i="45"/>
  <c r="AC138" i="57"/>
  <c r="AC155" i="58"/>
  <c r="AC155" i="57"/>
  <c r="AB120" i="57"/>
  <c r="AB86" i="57"/>
  <c r="AB103" i="57"/>
  <c r="AB103" i="52"/>
  <c r="AB86" i="52"/>
  <c r="AB120" i="52"/>
  <c r="AD121" i="57"/>
  <c r="AD87" i="57"/>
  <c r="AD70" i="57"/>
  <c r="AD104" i="57"/>
  <c r="AD193" i="45"/>
  <c r="AD57" i="57" s="1"/>
  <c r="AD190" i="45"/>
  <c r="AD56" i="51" s="1"/>
  <c r="AD298" i="45"/>
  <c r="AC138" i="51"/>
  <c r="AC155" i="51"/>
  <c r="AE164" i="45"/>
  <c r="AE56" i="55" s="1"/>
  <c r="AD69" i="55"/>
  <c r="AD303" i="45"/>
  <c r="AC138" i="53"/>
  <c r="AC155" i="53"/>
  <c r="AE295" i="45"/>
  <c r="AD70" i="58"/>
  <c r="AD104" i="58"/>
  <c r="AD121" i="58"/>
  <c r="AD87" i="58"/>
  <c r="AD188" i="45"/>
  <c r="AD56" i="63" s="1"/>
  <c r="AE289" i="45"/>
  <c r="AD87" i="55"/>
  <c r="AD104" i="55"/>
  <c r="AD70" i="55"/>
  <c r="AD121" i="55"/>
  <c r="AD70" i="38"/>
  <c r="AD121" i="38"/>
  <c r="AD104" i="38"/>
  <c r="AD87" i="38"/>
  <c r="AD306" i="45"/>
  <c r="AC138" i="58"/>
  <c r="AE292" i="45"/>
  <c r="AE70" i="53" s="1"/>
  <c r="AD121" i="53"/>
  <c r="AD104" i="53"/>
  <c r="AE287" i="45"/>
  <c r="AD121" i="51"/>
  <c r="AD87" i="51"/>
  <c r="AD70" i="51"/>
  <c r="AD104" i="51"/>
  <c r="AE293" i="45"/>
  <c r="AE54" i="52" s="1"/>
  <c r="AD87" i="53"/>
  <c r="AD104" i="52"/>
  <c r="AD87" i="52"/>
  <c r="AD121" i="52"/>
  <c r="AD70" i="52"/>
  <c r="AB103" i="51"/>
  <c r="AB86" i="51"/>
  <c r="AB120" i="51"/>
  <c r="AD69" i="57"/>
  <c r="AB120" i="58"/>
  <c r="AB103" i="58"/>
  <c r="AB86" i="58"/>
  <c r="AE299" i="45"/>
  <c r="AE291" i="45"/>
  <c r="AE54" i="57" s="1"/>
  <c r="AB22" i="45"/>
  <c r="AD61" i="57" l="1"/>
  <c r="AE280" i="45"/>
  <c r="AD60" i="62"/>
  <c r="AD105" i="51"/>
  <c r="AD71" i="51"/>
  <c r="AD88" i="51"/>
  <c r="AE282" i="45"/>
  <c r="AD61" i="52"/>
  <c r="AD60" i="63"/>
  <c r="AE277" i="45"/>
  <c r="AD60" i="61"/>
  <c r="AC139" i="61"/>
  <c r="AC156" i="61"/>
  <c r="AC122" i="61"/>
  <c r="AC122" i="63"/>
  <c r="AC139" i="63"/>
  <c r="AC156" i="63"/>
  <c r="AC122" i="51"/>
  <c r="AC139" i="51"/>
  <c r="AC156" i="51"/>
  <c r="AE104" i="66"/>
  <c r="AE70" i="66"/>
  <c r="AE121" i="66"/>
  <c r="AE87" i="66"/>
  <c r="AE54" i="66"/>
  <c r="AE70" i="64"/>
  <c r="AE87" i="64"/>
  <c r="AE104" i="64"/>
  <c r="AE121" i="64"/>
  <c r="AE54" i="55"/>
  <c r="AE105" i="63"/>
  <c r="AE88" i="63"/>
  <c r="AE71" i="63"/>
  <c r="AC139" i="62"/>
  <c r="AC156" i="62"/>
  <c r="AC122" i="62"/>
  <c r="AD71" i="65"/>
  <c r="AD88" i="65"/>
  <c r="AD105" i="65"/>
  <c r="AF265" i="45"/>
  <c r="AE59" i="51"/>
  <c r="AD71" i="52"/>
  <c r="AD88" i="52"/>
  <c r="AD105" i="52"/>
  <c r="AC139" i="57"/>
  <c r="AC122" i="57"/>
  <c r="AC156" i="57"/>
  <c r="AF273" i="45"/>
  <c r="AE60" i="65"/>
  <c r="AE60" i="58"/>
  <c r="AC139" i="64"/>
  <c r="AC122" i="64"/>
  <c r="AC156" i="64"/>
  <c r="AD71" i="55"/>
  <c r="AD105" i="55"/>
  <c r="AD88" i="55"/>
  <c r="AE283" i="45"/>
  <c r="AD61" i="67"/>
  <c r="AD61" i="66"/>
  <c r="AD61" i="55"/>
  <c r="AD60" i="64"/>
  <c r="AE278" i="45"/>
  <c r="AD88" i="67"/>
  <c r="AD105" i="67"/>
  <c r="AD71" i="67"/>
  <c r="AD105" i="64"/>
  <c r="AD88" i="64"/>
  <c r="AD71" i="64"/>
  <c r="AC156" i="65"/>
  <c r="AC122" i="65"/>
  <c r="AC139" i="65"/>
  <c r="AF271" i="45"/>
  <c r="AE60" i="52"/>
  <c r="AC122" i="55"/>
  <c r="AC139" i="55"/>
  <c r="AC156" i="55"/>
  <c r="AF294" i="45"/>
  <c r="AE104" i="67"/>
  <c r="AE70" i="67"/>
  <c r="AE121" i="67"/>
  <c r="AE87" i="67"/>
  <c r="AE54" i="67"/>
  <c r="AF272" i="45"/>
  <c r="AE60" i="67"/>
  <c r="AD71" i="66"/>
  <c r="AD88" i="66"/>
  <c r="AD105" i="66"/>
  <c r="AE284" i="45"/>
  <c r="AD61" i="65"/>
  <c r="AD61" i="58"/>
  <c r="AE276" i="45"/>
  <c r="AD60" i="51"/>
  <c r="AE104" i="61"/>
  <c r="AE121" i="63"/>
  <c r="AE104" i="63"/>
  <c r="AE70" i="63"/>
  <c r="AE87" i="63"/>
  <c r="AC139" i="66"/>
  <c r="AC156" i="66"/>
  <c r="AC122" i="66"/>
  <c r="AF267" i="45"/>
  <c r="AE60" i="66"/>
  <c r="AE59" i="64"/>
  <c r="AE60" i="55"/>
  <c r="AE121" i="65"/>
  <c r="AE70" i="65"/>
  <c r="AE87" i="65"/>
  <c r="AE104" i="65"/>
  <c r="AE54" i="65"/>
  <c r="AE54" i="58"/>
  <c r="AC156" i="58"/>
  <c r="AC122" i="58"/>
  <c r="AC139" i="58"/>
  <c r="AC139" i="67"/>
  <c r="AC156" i="67"/>
  <c r="AC122" i="67"/>
  <c r="AC156" i="52"/>
  <c r="AC122" i="52"/>
  <c r="AC139" i="52"/>
  <c r="AD138" i="65"/>
  <c r="AD138" i="67"/>
  <c r="AD55" i="65"/>
  <c r="AD55" i="58"/>
  <c r="AD155" i="65"/>
  <c r="AD55" i="57"/>
  <c r="AF305" i="45"/>
  <c r="AE155" i="67"/>
  <c r="AE55" i="67"/>
  <c r="AE138" i="63"/>
  <c r="AE155" i="63"/>
  <c r="AD138" i="66"/>
  <c r="AD155" i="66"/>
  <c r="AD55" i="66"/>
  <c r="AD155" i="64"/>
  <c r="AD138" i="64"/>
  <c r="AD55" i="55"/>
  <c r="AD103" i="65"/>
  <c r="AD86" i="65"/>
  <c r="AD120" i="65"/>
  <c r="AF195" i="45"/>
  <c r="AE57" i="65"/>
  <c r="AD120" i="63"/>
  <c r="AD86" i="63"/>
  <c r="AD103" i="63"/>
  <c r="AC86" i="66"/>
  <c r="AC103" i="66"/>
  <c r="AC120" i="66"/>
  <c r="AE197" i="45"/>
  <c r="AD57" i="66"/>
  <c r="AD103" i="64"/>
  <c r="AD86" i="64"/>
  <c r="AD120" i="64"/>
  <c r="AF166" i="45"/>
  <c r="AE56" i="67"/>
  <c r="AE69" i="67" s="1"/>
  <c r="AC120" i="67"/>
  <c r="AC103" i="67"/>
  <c r="AC86" i="67"/>
  <c r="AF165" i="45"/>
  <c r="AE56" i="66"/>
  <c r="AE69" i="66" s="1"/>
  <c r="AE198" i="45"/>
  <c r="AD57" i="67"/>
  <c r="AF163" i="45"/>
  <c r="AE56" i="65"/>
  <c r="AE69" i="65" s="1"/>
  <c r="AF196" i="45"/>
  <c r="AE57" i="55"/>
  <c r="AD155" i="62"/>
  <c r="AD138" i="62"/>
  <c r="AE104" i="62"/>
  <c r="AE121" i="62"/>
  <c r="AE70" i="62"/>
  <c r="AE87" i="62"/>
  <c r="AD71" i="58"/>
  <c r="AD88" i="58"/>
  <c r="AD105" i="58"/>
  <c r="AD103" i="62"/>
  <c r="AD86" i="62"/>
  <c r="AD120" i="62"/>
  <c r="AD71" i="57"/>
  <c r="AD105" i="57"/>
  <c r="AD88" i="57"/>
  <c r="AF187" i="45"/>
  <c r="AE56" i="62"/>
  <c r="AD71" i="62"/>
  <c r="AD88" i="62"/>
  <c r="AD105" i="62"/>
  <c r="AF269" i="45"/>
  <c r="AF60" i="57" s="1"/>
  <c r="AE59" i="62"/>
  <c r="AD105" i="61"/>
  <c r="AD88" i="61"/>
  <c r="AD71" i="61"/>
  <c r="AE155" i="61"/>
  <c r="AE138" i="61"/>
  <c r="AD103" i="61"/>
  <c r="AD86" i="61"/>
  <c r="AD120" i="61"/>
  <c r="AE121" i="61"/>
  <c r="AE70" i="61"/>
  <c r="AE87" i="61"/>
  <c r="AF185" i="45"/>
  <c r="AE56" i="61"/>
  <c r="AF266" i="45"/>
  <c r="AF59" i="63" s="1"/>
  <c r="AE59" i="61"/>
  <c r="AE192" i="45"/>
  <c r="AE57" i="52" s="1"/>
  <c r="AE188" i="45"/>
  <c r="AE56" i="63" s="1"/>
  <c r="AE303" i="45"/>
  <c r="AD138" i="53"/>
  <c r="AD155" i="53"/>
  <c r="AC86" i="52"/>
  <c r="AC103" i="52"/>
  <c r="AC120" i="52"/>
  <c r="AE190" i="45"/>
  <c r="AE56" i="51" s="1"/>
  <c r="AF304" i="45"/>
  <c r="AF55" i="52" s="1"/>
  <c r="AE138" i="52"/>
  <c r="AE155" i="52"/>
  <c r="AE306" i="45"/>
  <c r="AD138" i="58"/>
  <c r="AC86" i="53"/>
  <c r="AC103" i="53"/>
  <c r="AC120" i="53"/>
  <c r="AC86" i="58"/>
  <c r="AC103" i="58"/>
  <c r="AC120" i="58"/>
  <c r="AE191" i="45"/>
  <c r="AE56" i="53" s="1"/>
  <c r="AF162" i="45"/>
  <c r="AF56" i="58" s="1"/>
  <c r="AE69" i="58"/>
  <c r="AE194" i="45"/>
  <c r="AE57" i="58" s="1"/>
  <c r="AC120" i="57"/>
  <c r="AC86" i="57"/>
  <c r="AC103" i="57"/>
  <c r="AF287" i="45"/>
  <c r="AE121" i="51"/>
  <c r="AE87" i="51"/>
  <c r="AE104" i="51"/>
  <c r="AE70" i="51"/>
  <c r="AE193" i="45"/>
  <c r="AE57" i="57" s="1"/>
  <c r="AE300" i="45"/>
  <c r="AD138" i="55"/>
  <c r="AD155" i="55"/>
  <c r="AD155" i="38"/>
  <c r="AD138" i="38"/>
  <c r="AE186" i="45"/>
  <c r="AE56" i="38" s="1"/>
  <c r="AF293" i="45"/>
  <c r="AF54" i="52" s="1"/>
  <c r="AE87" i="53"/>
  <c r="AE104" i="52"/>
  <c r="AE87" i="52"/>
  <c r="AE121" i="52"/>
  <c r="AE70" i="52"/>
  <c r="AF164" i="45"/>
  <c r="AF56" i="55" s="1"/>
  <c r="AE69" i="55"/>
  <c r="AE302" i="45"/>
  <c r="AD138" i="57"/>
  <c r="AD155" i="57"/>
  <c r="AD155" i="58"/>
  <c r="AE121" i="57"/>
  <c r="AE87" i="57"/>
  <c r="AE70" i="57"/>
  <c r="AE104" i="57"/>
  <c r="AF295" i="45"/>
  <c r="AE87" i="58"/>
  <c r="AE70" i="58"/>
  <c r="AE104" i="58"/>
  <c r="AE121" i="58"/>
  <c r="AF289" i="45"/>
  <c r="AE87" i="55"/>
  <c r="AE121" i="55"/>
  <c r="AE104" i="55"/>
  <c r="AE70" i="55"/>
  <c r="AE104" i="38"/>
  <c r="AE121" i="38"/>
  <c r="AE70" i="38"/>
  <c r="AE87" i="38"/>
  <c r="AF159" i="45"/>
  <c r="AF55" i="53" s="1"/>
  <c r="AE69" i="53"/>
  <c r="AF160" i="45"/>
  <c r="AF56" i="52" s="1"/>
  <c r="AE69" i="52"/>
  <c r="AF158" i="45"/>
  <c r="AF55" i="51" s="1"/>
  <c r="AE69" i="51"/>
  <c r="AC103" i="51"/>
  <c r="AC86" i="51"/>
  <c r="AC120" i="51"/>
  <c r="AE69" i="57"/>
  <c r="AF292" i="45"/>
  <c r="AF70" i="53" s="1"/>
  <c r="AE121" i="53"/>
  <c r="AE104" i="53"/>
  <c r="AE298" i="45"/>
  <c r="AD155" i="51"/>
  <c r="AD138" i="51"/>
  <c r="AC86" i="55"/>
  <c r="AC120" i="55"/>
  <c r="AC103" i="55"/>
  <c r="AF288" i="45"/>
  <c r="AE189" i="45"/>
  <c r="AE56" i="64" s="1"/>
  <c r="AF299" i="45"/>
  <c r="AF291" i="45"/>
  <c r="AF54" i="57" s="1"/>
  <c r="AC22" i="45"/>
  <c r="AE105" i="64" l="1"/>
  <c r="AE71" i="64"/>
  <c r="AE88" i="64"/>
  <c r="AF284" i="45"/>
  <c r="AE61" i="65"/>
  <c r="AE61" i="58"/>
  <c r="AE71" i="51"/>
  <c r="AE88" i="51"/>
  <c r="AE105" i="51"/>
  <c r="AE60" i="63"/>
  <c r="AF277" i="45"/>
  <c r="AE60" i="61"/>
  <c r="AG265" i="45"/>
  <c r="AG59" i="51" s="1"/>
  <c r="AF59" i="51"/>
  <c r="AD156" i="52"/>
  <c r="AD139" i="52"/>
  <c r="AD122" i="52"/>
  <c r="AE61" i="66"/>
  <c r="AE61" i="55"/>
  <c r="AF278" i="45"/>
  <c r="AE60" i="64"/>
  <c r="AF88" i="63"/>
  <c r="AF105" i="63"/>
  <c r="AF71" i="63"/>
  <c r="AE105" i="52"/>
  <c r="AE88" i="52"/>
  <c r="AE71" i="52"/>
  <c r="AD156" i="64"/>
  <c r="AD122" i="64"/>
  <c r="AD139" i="64"/>
  <c r="AE71" i="65"/>
  <c r="AE88" i="65"/>
  <c r="AE105" i="65"/>
  <c r="AD122" i="62"/>
  <c r="AD139" i="62"/>
  <c r="AD156" i="62"/>
  <c r="AE71" i="66"/>
  <c r="AE88" i="66"/>
  <c r="AE105" i="66"/>
  <c r="AF282" i="45"/>
  <c r="AE61" i="52"/>
  <c r="AF276" i="45"/>
  <c r="AE60" i="51"/>
  <c r="AD156" i="58"/>
  <c r="AD139" i="58"/>
  <c r="AD122" i="58"/>
  <c r="AD156" i="65"/>
  <c r="AD122" i="65"/>
  <c r="AD139" i="65"/>
  <c r="AE105" i="67"/>
  <c r="AE88" i="67"/>
  <c r="AE71" i="67"/>
  <c r="AG271" i="45"/>
  <c r="AG60" i="52" s="1"/>
  <c r="AF60" i="52"/>
  <c r="AG273" i="45"/>
  <c r="AF60" i="65"/>
  <c r="AF60" i="58"/>
  <c r="AE61" i="57"/>
  <c r="AE60" i="62"/>
  <c r="AF280" i="45"/>
  <c r="AG272" i="45"/>
  <c r="AG60" i="67" s="1"/>
  <c r="AF60" i="67"/>
  <c r="AD122" i="67"/>
  <c r="AD139" i="67"/>
  <c r="AD156" i="67"/>
  <c r="AD139" i="63"/>
  <c r="AD156" i="63"/>
  <c r="AD122" i="63"/>
  <c r="AF121" i="65"/>
  <c r="AF70" i="65"/>
  <c r="AF87" i="65"/>
  <c r="AF104" i="65"/>
  <c r="AF54" i="65"/>
  <c r="AF54" i="58"/>
  <c r="AG267" i="45"/>
  <c r="AF60" i="66"/>
  <c r="AF59" i="64"/>
  <c r="AF60" i="55"/>
  <c r="AG294" i="45"/>
  <c r="AF70" i="67"/>
  <c r="AF104" i="67"/>
  <c r="AF121" i="67"/>
  <c r="AF87" i="67"/>
  <c r="AF54" i="67"/>
  <c r="AD139" i="55"/>
  <c r="AD156" i="55"/>
  <c r="AD122" i="55"/>
  <c r="AF104" i="61"/>
  <c r="AF104" i="63"/>
  <c r="AF70" i="63"/>
  <c r="AF87" i="63"/>
  <c r="AF121" i="63"/>
  <c r="AF104" i="66"/>
  <c r="AF121" i="66"/>
  <c r="AF70" i="66"/>
  <c r="AF87" i="66"/>
  <c r="AF54" i="66"/>
  <c r="AF87" i="64"/>
  <c r="AF70" i="64"/>
  <c r="AF104" i="64"/>
  <c r="AF121" i="64"/>
  <c r="AF54" i="55"/>
  <c r="AD139" i="66"/>
  <c r="AD122" i="66"/>
  <c r="AD156" i="66"/>
  <c r="AD156" i="57"/>
  <c r="AD122" i="57"/>
  <c r="AD139" i="57"/>
  <c r="AE88" i="55"/>
  <c r="AE71" i="55"/>
  <c r="AE105" i="55"/>
  <c r="AD156" i="51"/>
  <c r="AD122" i="51"/>
  <c r="AD139" i="51"/>
  <c r="AF283" i="45"/>
  <c r="AE61" i="67"/>
  <c r="AD122" i="61"/>
  <c r="AD139" i="61"/>
  <c r="AD156" i="61"/>
  <c r="AG305" i="45"/>
  <c r="AF155" i="67"/>
  <c r="AF55" i="67"/>
  <c r="AE138" i="67"/>
  <c r="AE138" i="65"/>
  <c r="AE55" i="65"/>
  <c r="AE55" i="58"/>
  <c r="AE155" i="65"/>
  <c r="AE55" i="57"/>
  <c r="AF138" i="63"/>
  <c r="AF155" i="63"/>
  <c r="AE138" i="66"/>
  <c r="AE155" i="66"/>
  <c r="AE55" i="66"/>
  <c r="AE155" i="64"/>
  <c r="AE138" i="64"/>
  <c r="AE55" i="55"/>
  <c r="AG163" i="45"/>
  <c r="AG56" i="65" s="1"/>
  <c r="AG69" i="65" s="1"/>
  <c r="AF56" i="65"/>
  <c r="AF69" i="65" s="1"/>
  <c r="AG166" i="45"/>
  <c r="AG56" i="67" s="1"/>
  <c r="AG69" i="67" s="1"/>
  <c r="AF56" i="67"/>
  <c r="AF69" i="67" s="1"/>
  <c r="AD103" i="67"/>
  <c r="AD86" i="67"/>
  <c r="AD120" i="67"/>
  <c r="AE103" i="63"/>
  <c r="AE120" i="63"/>
  <c r="AE86" i="63"/>
  <c r="AF198" i="45"/>
  <c r="AE57" i="67"/>
  <c r="AE120" i="65"/>
  <c r="AE103" i="65"/>
  <c r="AE86" i="65"/>
  <c r="AF197" i="45"/>
  <c r="AE57" i="66"/>
  <c r="AG165" i="45"/>
  <c r="AG56" i="66" s="1"/>
  <c r="AG69" i="66" s="1"/>
  <c r="AF56" i="66"/>
  <c r="AF69" i="66" s="1"/>
  <c r="AE86" i="64"/>
  <c r="AE103" i="64"/>
  <c r="AE120" i="64"/>
  <c r="AG195" i="45"/>
  <c r="AG57" i="65" s="1"/>
  <c r="AF57" i="65"/>
  <c r="AG196" i="45"/>
  <c r="AG57" i="55" s="1"/>
  <c r="AF57" i="55"/>
  <c r="AD86" i="66"/>
  <c r="AD103" i="66"/>
  <c r="AD120" i="66"/>
  <c r="AE105" i="58"/>
  <c r="AE88" i="58"/>
  <c r="AE71" i="58"/>
  <c r="AE71" i="57"/>
  <c r="AE88" i="57"/>
  <c r="AE105" i="57"/>
  <c r="AE88" i="62"/>
  <c r="AE105" i="62"/>
  <c r="AE71" i="62"/>
  <c r="AE155" i="62"/>
  <c r="AE138" i="62"/>
  <c r="AG269" i="45"/>
  <c r="AG60" i="57" s="1"/>
  <c r="AF59" i="62"/>
  <c r="AF104" i="62"/>
  <c r="AF121" i="62"/>
  <c r="AF70" i="62"/>
  <c r="AF87" i="62"/>
  <c r="AE103" i="62"/>
  <c r="AE120" i="62"/>
  <c r="AE86" i="62"/>
  <c r="AG187" i="45"/>
  <c r="AG56" i="62" s="1"/>
  <c r="AF56" i="62"/>
  <c r="AE71" i="61"/>
  <c r="AE105" i="61"/>
  <c r="AE88" i="61"/>
  <c r="AG266" i="45"/>
  <c r="AG59" i="63" s="1"/>
  <c r="AF59" i="61"/>
  <c r="AE120" i="61"/>
  <c r="AE86" i="61"/>
  <c r="AE103" i="61"/>
  <c r="AF121" i="61"/>
  <c r="AF70" i="61"/>
  <c r="AF87" i="61"/>
  <c r="AF155" i="61"/>
  <c r="AF138" i="61"/>
  <c r="AG185" i="45"/>
  <c r="AG56" i="61" s="1"/>
  <c r="AF56" i="61"/>
  <c r="AG288" i="45"/>
  <c r="AF191" i="45"/>
  <c r="AF56" i="53" s="1"/>
  <c r="AF186" i="45"/>
  <c r="AF56" i="38" s="1"/>
  <c r="AF300" i="45"/>
  <c r="AE138" i="55"/>
  <c r="AE155" i="55"/>
  <c r="AE155" i="38"/>
  <c r="AE138" i="38"/>
  <c r="AD86" i="57"/>
  <c r="AD103" i="57"/>
  <c r="AD120" i="57"/>
  <c r="AG160" i="45"/>
  <c r="AF69" i="52"/>
  <c r="AG289" i="45"/>
  <c r="AF87" i="55"/>
  <c r="AF104" i="55"/>
  <c r="AF70" i="55"/>
  <c r="AF121" i="55"/>
  <c r="AF87" i="38"/>
  <c r="AF121" i="38"/>
  <c r="AF70" i="38"/>
  <c r="AF104" i="38"/>
  <c r="AG164" i="45"/>
  <c r="AF69" i="55"/>
  <c r="AD86" i="51"/>
  <c r="AD103" i="51"/>
  <c r="AD120" i="51"/>
  <c r="AG159" i="45"/>
  <c r="AF69" i="53"/>
  <c r="AG295" i="45"/>
  <c r="AF87" i="58"/>
  <c r="AF70" i="58"/>
  <c r="AF104" i="58"/>
  <c r="AF121" i="58"/>
  <c r="AD86" i="58"/>
  <c r="AD120" i="58"/>
  <c r="AD103" i="58"/>
  <c r="AF194" i="45"/>
  <c r="AF57" i="58" s="1"/>
  <c r="AF303" i="45"/>
  <c r="AE155" i="53"/>
  <c r="AE138" i="53"/>
  <c r="AF189" i="45"/>
  <c r="AF56" i="64" s="1"/>
  <c r="AG292" i="45"/>
  <c r="AG70" i="53" s="1"/>
  <c r="AF121" i="53"/>
  <c r="AF104" i="53"/>
  <c r="AF121" i="57"/>
  <c r="AF87" i="57"/>
  <c r="AF70" i="57"/>
  <c r="AF104" i="57"/>
  <c r="AG304" i="45"/>
  <c r="AG55" i="52" s="1"/>
  <c r="AF138" i="52"/>
  <c r="AF155" i="52"/>
  <c r="AG162" i="45"/>
  <c r="AF69" i="58"/>
  <c r="AD86" i="52"/>
  <c r="AD103" i="52"/>
  <c r="AD120" i="52"/>
  <c r="AF188" i="45"/>
  <c r="AF56" i="63" s="1"/>
  <c r="AF193" i="45"/>
  <c r="AF57" i="57" s="1"/>
  <c r="AG69" i="57"/>
  <c r="AF69" i="57"/>
  <c r="AG158" i="45"/>
  <c r="AF69" i="51"/>
  <c r="AF190" i="45"/>
  <c r="AF56" i="51" s="1"/>
  <c r="AD120" i="55"/>
  <c r="AD103" i="55"/>
  <c r="AD86" i="55"/>
  <c r="AF298" i="45"/>
  <c r="AE155" i="51"/>
  <c r="AE138" i="51"/>
  <c r="AF302" i="45"/>
  <c r="AE155" i="58"/>
  <c r="AE138" i="57"/>
  <c r="AE155" i="57"/>
  <c r="AG293" i="45"/>
  <c r="AG54" i="52" s="1"/>
  <c r="AF87" i="53"/>
  <c r="AF70" i="52"/>
  <c r="AF104" i="52"/>
  <c r="AF87" i="52"/>
  <c r="AF121" i="52"/>
  <c r="AG287" i="45"/>
  <c r="AF70" i="51"/>
  <c r="AF121" i="51"/>
  <c r="AF87" i="51"/>
  <c r="AF104" i="51"/>
  <c r="AD120" i="53"/>
  <c r="AD86" i="53"/>
  <c r="AD103" i="53"/>
  <c r="AF306" i="45"/>
  <c r="AE138" i="58"/>
  <c r="AF192" i="45"/>
  <c r="AF57" i="52" s="1"/>
  <c r="AG299" i="45"/>
  <c r="AG291" i="45"/>
  <c r="AG54" i="57" s="1"/>
  <c r="AD22" i="45"/>
  <c r="AE122" i="62" l="1"/>
  <c r="AE139" i="62"/>
  <c r="AE156" i="62"/>
  <c r="AE139" i="61"/>
  <c r="AE156" i="61"/>
  <c r="AE122" i="61"/>
  <c r="AE139" i="67"/>
  <c r="AE122" i="67"/>
  <c r="AE156" i="67"/>
  <c r="AE122" i="57"/>
  <c r="AE139" i="57"/>
  <c r="AE156" i="57"/>
  <c r="AF60" i="63"/>
  <c r="AG277" i="45"/>
  <c r="AF60" i="61"/>
  <c r="AG104" i="61"/>
  <c r="AG104" i="63"/>
  <c r="AG70" i="63"/>
  <c r="AG87" i="63"/>
  <c r="AG121" i="63"/>
  <c r="AG71" i="63"/>
  <c r="AG88" i="63"/>
  <c r="AG105" i="63"/>
  <c r="AG283" i="45"/>
  <c r="AG61" i="67" s="1"/>
  <c r="AF61" i="67"/>
  <c r="AG104" i="67"/>
  <c r="AG70" i="67"/>
  <c r="AG87" i="67"/>
  <c r="AG121" i="67"/>
  <c r="AG54" i="67"/>
  <c r="AE122" i="64"/>
  <c r="AE139" i="64"/>
  <c r="AE156" i="64"/>
  <c r="AE122" i="63"/>
  <c r="AE156" i="63"/>
  <c r="AE139" i="63"/>
  <c r="AE156" i="55"/>
  <c r="AE139" i="55"/>
  <c r="AE122" i="55"/>
  <c r="AG104" i="66"/>
  <c r="AG121" i="66"/>
  <c r="AG70" i="66"/>
  <c r="AG87" i="66"/>
  <c r="AG54" i="66"/>
  <c r="AG87" i="64"/>
  <c r="AG70" i="64"/>
  <c r="AG104" i="64"/>
  <c r="AG121" i="64"/>
  <c r="AG54" i="55"/>
  <c r="AF71" i="66"/>
  <c r="AF88" i="66"/>
  <c r="AF105" i="66"/>
  <c r="AF88" i="52"/>
  <c r="AF71" i="52"/>
  <c r="AF105" i="52"/>
  <c r="AG276" i="45"/>
  <c r="AG60" i="51" s="1"/>
  <c r="AF60" i="51"/>
  <c r="AE139" i="66"/>
  <c r="AE122" i="66"/>
  <c r="AE156" i="66"/>
  <c r="AF105" i="65"/>
  <c r="AF71" i="65"/>
  <c r="AF88" i="65"/>
  <c r="AG60" i="66"/>
  <c r="AG59" i="64"/>
  <c r="AG60" i="55"/>
  <c r="AG105" i="52"/>
  <c r="AG71" i="52"/>
  <c r="AG88" i="52"/>
  <c r="AE156" i="52"/>
  <c r="AE139" i="52"/>
  <c r="AE122" i="52"/>
  <c r="AE156" i="58"/>
  <c r="AE122" i="58"/>
  <c r="AE139" i="58"/>
  <c r="AE122" i="51"/>
  <c r="AE139" i="51"/>
  <c r="AE156" i="51"/>
  <c r="AG282" i="45"/>
  <c r="AG61" i="52" s="1"/>
  <c r="AF61" i="52"/>
  <c r="AE139" i="65"/>
  <c r="AE156" i="65"/>
  <c r="AE122" i="65"/>
  <c r="AG60" i="65"/>
  <c r="AG60" i="58"/>
  <c r="AG284" i="45"/>
  <c r="AF61" i="65"/>
  <c r="AF61" i="58"/>
  <c r="AG121" i="65"/>
  <c r="AG70" i="65"/>
  <c r="AG87" i="65"/>
  <c r="AG104" i="65"/>
  <c r="AG54" i="65"/>
  <c r="AG54" i="58"/>
  <c r="AF105" i="67"/>
  <c r="AF88" i="67"/>
  <c r="AF71" i="67"/>
  <c r="AF105" i="55"/>
  <c r="AF71" i="55"/>
  <c r="AF88" i="55"/>
  <c r="AF61" i="66"/>
  <c r="AF61" i="55"/>
  <c r="AG278" i="45"/>
  <c r="AF60" i="64"/>
  <c r="AF105" i="64"/>
  <c r="AF88" i="64"/>
  <c r="AF71" i="64"/>
  <c r="AG88" i="67"/>
  <c r="AG105" i="67"/>
  <c r="AG71" i="67"/>
  <c r="AF88" i="51"/>
  <c r="AF105" i="51"/>
  <c r="AF71" i="51"/>
  <c r="AF61" i="57"/>
  <c r="AF60" i="62"/>
  <c r="AG280" i="45"/>
  <c r="AG71" i="51"/>
  <c r="AG88" i="51"/>
  <c r="AG105" i="51"/>
  <c r="AF138" i="67"/>
  <c r="AF138" i="65"/>
  <c r="AF55" i="65"/>
  <c r="AF55" i="58"/>
  <c r="AF155" i="65"/>
  <c r="AF55" i="57"/>
  <c r="AG155" i="67"/>
  <c r="AG55" i="67"/>
  <c r="AF138" i="66"/>
  <c r="AF155" i="66"/>
  <c r="AF55" i="66"/>
  <c r="AF155" i="64"/>
  <c r="AF138" i="64"/>
  <c r="AF55" i="55"/>
  <c r="AG138" i="63"/>
  <c r="AG155" i="63"/>
  <c r="AG55" i="51"/>
  <c r="AG69" i="51" s="1"/>
  <c r="AF86" i="65"/>
  <c r="AF120" i="65"/>
  <c r="AF103" i="65"/>
  <c r="AG56" i="55"/>
  <c r="AG69" i="55" s="1"/>
  <c r="AG120" i="65"/>
  <c r="AG103" i="65"/>
  <c r="AG86" i="65"/>
  <c r="AF120" i="64"/>
  <c r="AF86" i="64"/>
  <c r="AF103" i="64"/>
  <c r="AF120" i="63"/>
  <c r="AF86" i="63"/>
  <c r="AF103" i="63"/>
  <c r="AG55" i="53"/>
  <c r="AG69" i="53" s="1"/>
  <c r="AE103" i="67"/>
  <c r="AE86" i="67"/>
  <c r="AE120" i="67"/>
  <c r="AG198" i="45"/>
  <c r="AG57" i="67" s="1"/>
  <c r="AF57" i="67"/>
  <c r="AG56" i="52"/>
  <c r="AG69" i="52" s="1"/>
  <c r="AG56" i="58"/>
  <c r="AG69" i="58" s="1"/>
  <c r="AE120" i="66"/>
  <c r="AE103" i="66"/>
  <c r="AE86" i="66"/>
  <c r="AG197" i="45"/>
  <c r="AG57" i="66" s="1"/>
  <c r="AF57" i="66"/>
  <c r="AG120" i="62"/>
  <c r="AG103" i="62"/>
  <c r="AG86" i="62"/>
  <c r="AF71" i="57"/>
  <c r="AF88" i="57"/>
  <c r="AF105" i="57"/>
  <c r="AF71" i="58"/>
  <c r="AF88" i="58"/>
  <c r="AF105" i="58"/>
  <c r="AF71" i="62"/>
  <c r="AF88" i="62"/>
  <c r="AF105" i="62"/>
  <c r="AG59" i="62"/>
  <c r="AG104" i="62"/>
  <c r="AG121" i="62"/>
  <c r="AG70" i="62"/>
  <c r="AG87" i="62"/>
  <c r="AF155" i="62"/>
  <c r="AF138" i="62"/>
  <c r="AF86" i="62"/>
  <c r="AF103" i="62"/>
  <c r="AF120" i="62"/>
  <c r="AF71" i="61"/>
  <c r="AF105" i="61"/>
  <c r="AF88" i="61"/>
  <c r="AG155" i="61"/>
  <c r="AG138" i="61"/>
  <c r="AG121" i="61"/>
  <c r="AG70" i="61"/>
  <c r="AG87" i="61"/>
  <c r="AF120" i="61"/>
  <c r="AF86" i="61"/>
  <c r="AF103" i="61"/>
  <c r="AG86" i="61"/>
  <c r="AG103" i="61"/>
  <c r="AG120" i="61"/>
  <c r="AG59" i="61"/>
  <c r="AG302" i="45"/>
  <c r="AF138" i="57"/>
  <c r="AF155" i="58"/>
  <c r="AF155" i="57"/>
  <c r="AG138" i="52"/>
  <c r="AG155" i="52"/>
  <c r="AG121" i="58"/>
  <c r="AG87" i="58"/>
  <c r="AG70" i="58"/>
  <c r="AG104" i="58"/>
  <c r="AG104" i="38"/>
  <c r="AG87" i="55"/>
  <c r="AG104" i="55"/>
  <c r="AG70" i="55"/>
  <c r="AG121" i="55"/>
  <c r="AG87" i="38"/>
  <c r="AG121" i="38"/>
  <c r="AG70" i="38"/>
  <c r="AG298" i="45"/>
  <c r="AF155" i="51"/>
  <c r="AF138" i="51"/>
  <c r="AE103" i="58"/>
  <c r="AE120" i="58"/>
  <c r="AE86" i="58"/>
  <c r="AG193" i="45"/>
  <c r="AG57" i="57" s="1"/>
  <c r="AG194" i="45"/>
  <c r="AG57" i="58" s="1"/>
  <c r="AG300" i="45"/>
  <c r="AF155" i="55"/>
  <c r="AF138" i="55"/>
  <c r="AF155" i="38"/>
  <c r="AF138" i="38"/>
  <c r="AE86" i="57"/>
  <c r="AE120" i="57"/>
  <c r="AE103" i="57"/>
  <c r="AG188" i="45"/>
  <c r="AG56" i="63" s="1"/>
  <c r="AG186" i="45"/>
  <c r="E50" i="74" s="1"/>
  <c r="AG306" i="45"/>
  <c r="AF138" i="58"/>
  <c r="AE120" i="55"/>
  <c r="AE103" i="55"/>
  <c r="AE86" i="55"/>
  <c r="AG192" i="45"/>
  <c r="AG57" i="52" s="1"/>
  <c r="AG70" i="51"/>
  <c r="AG121" i="51"/>
  <c r="AG104" i="51"/>
  <c r="AG87" i="51"/>
  <c r="AG121" i="53"/>
  <c r="AG104" i="53"/>
  <c r="AG121" i="57"/>
  <c r="AG87" i="57"/>
  <c r="AG70" i="57"/>
  <c r="AG104" i="57"/>
  <c r="AE103" i="52"/>
  <c r="AE120" i="52"/>
  <c r="AE86" i="52"/>
  <c r="AE103" i="51"/>
  <c r="AE120" i="51"/>
  <c r="AE86" i="51"/>
  <c r="AG189" i="45"/>
  <c r="AG56" i="64" s="1"/>
  <c r="AE120" i="53"/>
  <c r="AE86" i="53"/>
  <c r="AE103" i="53"/>
  <c r="AG190" i="45"/>
  <c r="AG56" i="51" s="1"/>
  <c r="AG191" i="45"/>
  <c r="AG56" i="53" s="1"/>
  <c r="AG87" i="53"/>
  <c r="AG121" i="52"/>
  <c r="AG70" i="52"/>
  <c r="AG104" i="52"/>
  <c r="AG87" i="52"/>
  <c r="AG303" i="45"/>
  <c r="AF155" i="53"/>
  <c r="AF138" i="53"/>
  <c r="AE22" i="45"/>
  <c r="AF122" i="66" l="1"/>
  <c r="AF156" i="66"/>
  <c r="AF139" i="66"/>
  <c r="AF139" i="52"/>
  <c r="AF156" i="52"/>
  <c r="AF122" i="52"/>
  <c r="AG156" i="52"/>
  <c r="AG122" i="52"/>
  <c r="AG139" i="52"/>
  <c r="AF139" i="51"/>
  <c r="AF156" i="51"/>
  <c r="AF122" i="51"/>
  <c r="AG139" i="51"/>
  <c r="AG122" i="51"/>
  <c r="AG156" i="51"/>
  <c r="AF139" i="65"/>
  <c r="AF156" i="65"/>
  <c r="AF122" i="65"/>
  <c r="AG88" i="64"/>
  <c r="AG105" i="64"/>
  <c r="AG71" i="64"/>
  <c r="AG71" i="55"/>
  <c r="AG105" i="55"/>
  <c r="AG88" i="55"/>
  <c r="AG61" i="65"/>
  <c r="AG61" i="58"/>
  <c r="AF139" i="58"/>
  <c r="AF156" i="58"/>
  <c r="AF122" i="58"/>
  <c r="AF156" i="61"/>
  <c r="AF139" i="61"/>
  <c r="AF122" i="61"/>
  <c r="AG60" i="61"/>
  <c r="AG60" i="63"/>
  <c r="AF122" i="55"/>
  <c r="AF139" i="55"/>
  <c r="AF156" i="55"/>
  <c r="AG71" i="66"/>
  <c r="AG88" i="66"/>
  <c r="AG105" i="66"/>
  <c r="AG60" i="62"/>
  <c r="AG61" i="57"/>
  <c r="AG71" i="65"/>
  <c r="AG88" i="65"/>
  <c r="AG105" i="65"/>
  <c r="AF156" i="62"/>
  <c r="AF122" i="62"/>
  <c r="AF139" i="62"/>
  <c r="AF156" i="64"/>
  <c r="AF122" i="64"/>
  <c r="AF139" i="64"/>
  <c r="AF122" i="67"/>
  <c r="AF156" i="67"/>
  <c r="AF139" i="67"/>
  <c r="AF139" i="63"/>
  <c r="AF122" i="63"/>
  <c r="AF156" i="63"/>
  <c r="AF122" i="57"/>
  <c r="AF156" i="57"/>
  <c r="AF139" i="57"/>
  <c r="AG60" i="64"/>
  <c r="AG61" i="66"/>
  <c r="AG61" i="55"/>
  <c r="AG156" i="67"/>
  <c r="AG122" i="67"/>
  <c r="AG139" i="67"/>
  <c r="AG138" i="67"/>
  <c r="AG138" i="65"/>
  <c r="AG55" i="65"/>
  <c r="AG55" i="58"/>
  <c r="AG155" i="65"/>
  <c r="AG55" i="57"/>
  <c r="AG138" i="66"/>
  <c r="AG155" i="66"/>
  <c r="AG55" i="66"/>
  <c r="AG138" i="64"/>
  <c r="AG155" i="64"/>
  <c r="AG55" i="55"/>
  <c r="AF86" i="67"/>
  <c r="AF103" i="67"/>
  <c r="AF120" i="67"/>
  <c r="AG120" i="67"/>
  <c r="AG103" i="67"/>
  <c r="AG86" i="67"/>
  <c r="AG120" i="64"/>
  <c r="AG86" i="64"/>
  <c r="AG103" i="64"/>
  <c r="AG120" i="63"/>
  <c r="AG86" i="63"/>
  <c r="AG103" i="63"/>
  <c r="AF120" i="66"/>
  <c r="AF103" i="66"/>
  <c r="AF86" i="66"/>
  <c r="AG120" i="66"/>
  <c r="AG86" i="66"/>
  <c r="AG103" i="66"/>
  <c r="AG71" i="57"/>
  <c r="AG88" i="57"/>
  <c r="AG105" i="57"/>
  <c r="AG71" i="62"/>
  <c r="AG88" i="62"/>
  <c r="AG105" i="62"/>
  <c r="AG105" i="58"/>
  <c r="AG88" i="58"/>
  <c r="AG71" i="58"/>
  <c r="AG155" i="62"/>
  <c r="AG138" i="62"/>
  <c r="AG71" i="61"/>
  <c r="AG105" i="61"/>
  <c r="AG88" i="61"/>
  <c r="AG56" i="38"/>
  <c r="AG86" i="55"/>
  <c r="AG120" i="55"/>
  <c r="AG103" i="55"/>
  <c r="AG155" i="53"/>
  <c r="AG138" i="53"/>
  <c r="AF86" i="52"/>
  <c r="AF103" i="52"/>
  <c r="AF120" i="52"/>
  <c r="AG155" i="55"/>
  <c r="AG138" i="55"/>
  <c r="AG155" i="38"/>
  <c r="AG138" i="38"/>
  <c r="AG86" i="52"/>
  <c r="AG103" i="52"/>
  <c r="AG120" i="52"/>
  <c r="AG155" i="51"/>
  <c r="AG138" i="51"/>
  <c r="AG86" i="53"/>
  <c r="AG103" i="53"/>
  <c r="AG120" i="53"/>
  <c r="AF86" i="58"/>
  <c r="AF120" i="58"/>
  <c r="AF103" i="58"/>
  <c r="AG103" i="58"/>
  <c r="AG120" i="58"/>
  <c r="AG86" i="58"/>
  <c r="AF120" i="51"/>
  <c r="AF86" i="51"/>
  <c r="AF103" i="51"/>
  <c r="AF103" i="57"/>
  <c r="AF120" i="57"/>
  <c r="AF86" i="57"/>
  <c r="AF120" i="53"/>
  <c r="AF86" i="53"/>
  <c r="AF103" i="53"/>
  <c r="AG138" i="58"/>
  <c r="AG120" i="51"/>
  <c r="AG86" i="51"/>
  <c r="AG103" i="51"/>
  <c r="AF86" i="55"/>
  <c r="AF120" i="55"/>
  <c r="AF103" i="55"/>
  <c r="AG103" i="57"/>
  <c r="AG86" i="57"/>
  <c r="AG120" i="57"/>
  <c r="AG155" i="57"/>
  <c r="AG155" i="58"/>
  <c r="AG138" i="57"/>
  <c r="AF22" i="45"/>
  <c r="AG122" i="57" l="1"/>
  <c r="AG156" i="57"/>
  <c r="AG139" i="57"/>
  <c r="AG122" i="62"/>
  <c r="AG156" i="62"/>
  <c r="AG139" i="62"/>
  <c r="AG122" i="55"/>
  <c r="AG156" i="55"/>
  <c r="AG139" i="55"/>
  <c r="AG122" i="58"/>
  <c r="AG156" i="58"/>
  <c r="AG139" i="58"/>
  <c r="AG139" i="66"/>
  <c r="AG122" i="66"/>
  <c r="AG156" i="66"/>
  <c r="AG156" i="64"/>
  <c r="AG139" i="64"/>
  <c r="AG122" i="64"/>
  <c r="AG156" i="65"/>
  <c r="AG139" i="65"/>
  <c r="AG122" i="65"/>
  <c r="AG139" i="63"/>
  <c r="AG122" i="63"/>
  <c r="AG156" i="63"/>
  <c r="AG139" i="61"/>
  <c r="AG122" i="61"/>
  <c r="AG156" i="61"/>
  <c r="AG22" i="45"/>
  <c r="E21" i="74" s="1"/>
  <c r="G84" i="47" l="1"/>
  <c r="H84" i="47"/>
  <c r="I84" i="47"/>
  <c r="J84" i="47"/>
  <c r="K84" i="47"/>
  <c r="L84" i="47"/>
  <c r="M84" i="47"/>
  <c r="N84" i="47"/>
  <c r="O84" i="47"/>
  <c r="P84" i="47"/>
  <c r="Q84" i="47"/>
  <c r="R84" i="47"/>
  <c r="S84" i="47"/>
  <c r="T84" i="47"/>
  <c r="U84" i="47"/>
  <c r="V84" i="47"/>
  <c r="W84" i="47"/>
  <c r="X84" i="47"/>
  <c r="Y84" i="47"/>
  <c r="Z84" i="47"/>
  <c r="AA84" i="47"/>
  <c r="AB84" i="47"/>
  <c r="AC84" i="47"/>
  <c r="AD84" i="47"/>
  <c r="AE84" i="47"/>
  <c r="AF84" i="47"/>
  <c r="AG84" i="47"/>
  <c r="AH84" i="47"/>
  <c r="AI84" i="47"/>
  <c r="G85" i="47"/>
  <c r="H85" i="47"/>
  <c r="I85" i="47"/>
  <c r="J85" i="47"/>
  <c r="K85" i="47"/>
  <c r="L85" i="47"/>
  <c r="M85" i="47"/>
  <c r="N85" i="47"/>
  <c r="O85" i="47"/>
  <c r="P85" i="47"/>
  <c r="Q85" i="47"/>
  <c r="R85" i="47"/>
  <c r="S85" i="47"/>
  <c r="T85" i="47"/>
  <c r="U85" i="47"/>
  <c r="V85" i="47"/>
  <c r="W85" i="47"/>
  <c r="X85" i="47"/>
  <c r="Y85" i="47"/>
  <c r="Z85" i="47"/>
  <c r="AA85" i="47"/>
  <c r="AB85" i="47"/>
  <c r="AC85" i="47"/>
  <c r="AD85" i="47"/>
  <c r="AE85" i="47"/>
  <c r="AF85" i="47"/>
  <c r="AG85" i="47"/>
  <c r="AH85" i="47"/>
  <c r="AI85" i="47"/>
  <c r="G86" i="47"/>
  <c r="H86" i="47"/>
  <c r="I86" i="47"/>
  <c r="J86" i="47"/>
  <c r="K86" i="47"/>
  <c r="L86" i="47"/>
  <c r="M86" i="47"/>
  <c r="N86" i="47"/>
  <c r="O86" i="47"/>
  <c r="P86" i="47"/>
  <c r="Q86" i="47"/>
  <c r="R86" i="47"/>
  <c r="S86" i="47"/>
  <c r="T86" i="47"/>
  <c r="U86" i="47"/>
  <c r="V86" i="47"/>
  <c r="W86" i="47"/>
  <c r="X86" i="47"/>
  <c r="Y86" i="47"/>
  <c r="Z86" i="47"/>
  <c r="AA86" i="47"/>
  <c r="AB86" i="47"/>
  <c r="AC86" i="47"/>
  <c r="AD86" i="47"/>
  <c r="AE86" i="47"/>
  <c r="AF86" i="47"/>
  <c r="AG86" i="47"/>
  <c r="AH86" i="47"/>
  <c r="AI86" i="47"/>
  <c r="G87" i="47"/>
  <c r="H87" i="47"/>
  <c r="I87" i="47"/>
  <c r="J87" i="47"/>
  <c r="K87" i="47"/>
  <c r="L87" i="47"/>
  <c r="M87" i="47"/>
  <c r="N87" i="47"/>
  <c r="O87" i="47"/>
  <c r="P87" i="47"/>
  <c r="Q87" i="47"/>
  <c r="R87" i="47"/>
  <c r="S87" i="47"/>
  <c r="T87" i="47"/>
  <c r="U87" i="47"/>
  <c r="V87" i="47"/>
  <c r="W87" i="47"/>
  <c r="X87" i="47"/>
  <c r="Y87" i="47"/>
  <c r="Z87" i="47"/>
  <c r="AA87" i="47"/>
  <c r="AB87" i="47"/>
  <c r="AC87" i="47"/>
  <c r="AD87" i="47"/>
  <c r="AE87" i="47"/>
  <c r="AF87" i="47"/>
  <c r="AG87" i="47"/>
  <c r="AH87" i="47"/>
  <c r="AI87" i="47"/>
  <c r="G88" i="47"/>
  <c r="H88" i="47"/>
  <c r="I88" i="47"/>
  <c r="J88" i="47"/>
  <c r="K88" i="47"/>
  <c r="L88" i="47"/>
  <c r="M88" i="47"/>
  <c r="N88" i="47"/>
  <c r="O88" i="47"/>
  <c r="P88" i="47"/>
  <c r="Q88" i="47"/>
  <c r="R88" i="47"/>
  <c r="S88" i="47"/>
  <c r="T88" i="47"/>
  <c r="U88" i="47"/>
  <c r="V88" i="47"/>
  <c r="W88" i="47"/>
  <c r="X88" i="47"/>
  <c r="Y88" i="47"/>
  <c r="Z88" i="47"/>
  <c r="AA88" i="47"/>
  <c r="AB88" i="47"/>
  <c r="AC88" i="47"/>
  <c r="AD88" i="47"/>
  <c r="AE88" i="47"/>
  <c r="AF88" i="47"/>
  <c r="AG88" i="47"/>
  <c r="AH88" i="47"/>
  <c r="AI88" i="47"/>
  <c r="G89" i="47"/>
  <c r="H89" i="47"/>
  <c r="I89" i="47"/>
  <c r="J89" i="47"/>
  <c r="K89" i="47"/>
  <c r="L89" i="47"/>
  <c r="M89" i="47"/>
  <c r="N89" i="47"/>
  <c r="O89" i="47"/>
  <c r="P89" i="47"/>
  <c r="Q89" i="47"/>
  <c r="R89" i="47"/>
  <c r="S89" i="47"/>
  <c r="T89" i="47"/>
  <c r="U89" i="47"/>
  <c r="V89" i="47"/>
  <c r="W89" i="47"/>
  <c r="X89" i="47"/>
  <c r="Y89" i="47"/>
  <c r="Z89" i="47"/>
  <c r="AA89" i="47"/>
  <c r="AB89" i="47"/>
  <c r="AC89" i="47"/>
  <c r="AD89" i="47"/>
  <c r="AE89" i="47"/>
  <c r="AF89" i="47"/>
  <c r="AG89" i="47"/>
  <c r="AH89" i="47"/>
  <c r="AI89" i="47"/>
  <c r="G90" i="47"/>
  <c r="H90" i="47"/>
  <c r="I90" i="47"/>
  <c r="J90" i="47"/>
  <c r="K90" i="47"/>
  <c r="L90" i="47"/>
  <c r="M90" i="47"/>
  <c r="N90" i="47"/>
  <c r="O90" i="47"/>
  <c r="P90" i="47"/>
  <c r="Q90" i="47"/>
  <c r="R90" i="47"/>
  <c r="S90" i="47"/>
  <c r="T90" i="47"/>
  <c r="U90" i="47"/>
  <c r="V90" i="47"/>
  <c r="W90" i="47"/>
  <c r="X90" i="47"/>
  <c r="Y90" i="47"/>
  <c r="Z90" i="47"/>
  <c r="AA90" i="47"/>
  <c r="AB90" i="47"/>
  <c r="AC90" i="47"/>
  <c r="AD90" i="47"/>
  <c r="AE90" i="47"/>
  <c r="AF90" i="47"/>
  <c r="AG90" i="47"/>
  <c r="AH90" i="47"/>
  <c r="AI90" i="47"/>
  <c r="E85" i="47"/>
  <c r="E86" i="47"/>
  <c r="E87" i="47"/>
  <c r="E88" i="47"/>
  <c r="E89" i="47"/>
  <c r="E90" i="47"/>
  <c r="C102" i="47"/>
  <c r="B100" i="47"/>
  <c r="B99" i="47"/>
  <c r="B98" i="47"/>
  <c r="B97" i="47"/>
  <c r="B96" i="47"/>
  <c r="B95" i="47"/>
  <c r="B94" i="47"/>
  <c r="B93" i="47"/>
  <c r="B92" i="47"/>
  <c r="AD82" i="47"/>
  <c r="AC82" i="47"/>
  <c r="AB82" i="47"/>
  <c r="AA82" i="47"/>
  <c r="Z82" i="47"/>
  <c r="Y82" i="47"/>
  <c r="X82" i="47"/>
  <c r="W82" i="47"/>
  <c r="V82" i="47"/>
  <c r="U82" i="47"/>
  <c r="T82" i="47"/>
  <c r="S82" i="47"/>
  <c r="R82" i="47"/>
  <c r="Q82" i="47"/>
  <c r="P82" i="47"/>
  <c r="O82" i="47"/>
  <c r="N82" i="47"/>
  <c r="M82" i="47"/>
  <c r="L82" i="47"/>
  <c r="K82" i="47"/>
  <c r="J82" i="47"/>
  <c r="I82" i="47"/>
  <c r="H82" i="47"/>
  <c r="G82" i="47"/>
  <c r="E82" i="47"/>
  <c r="D82" i="47"/>
  <c r="AD81" i="47"/>
  <c r="AC81" i="47"/>
  <c r="AB81" i="47"/>
  <c r="AA81" i="47"/>
  <c r="Z81" i="47"/>
  <c r="Y81" i="47"/>
  <c r="X81" i="47"/>
  <c r="W81" i="47"/>
  <c r="V81" i="47"/>
  <c r="U81" i="47"/>
  <c r="T81" i="47"/>
  <c r="S81" i="47"/>
  <c r="R81" i="47"/>
  <c r="Q81" i="47"/>
  <c r="P81" i="47"/>
  <c r="O81" i="47"/>
  <c r="N81" i="47"/>
  <c r="M81" i="47"/>
  <c r="L81" i="47"/>
  <c r="K81" i="47"/>
  <c r="J81" i="47"/>
  <c r="I81" i="47"/>
  <c r="H81" i="47"/>
  <c r="G81" i="47"/>
  <c r="E81" i="47"/>
  <c r="D81" i="47"/>
  <c r="AD80" i="47"/>
  <c r="AC80" i="47"/>
  <c r="AB80" i="47"/>
  <c r="AA80" i="47"/>
  <c r="Z80" i="47"/>
  <c r="Y80" i="47"/>
  <c r="X80" i="47"/>
  <c r="W80" i="47"/>
  <c r="V80" i="47"/>
  <c r="U80" i="47"/>
  <c r="T80" i="47"/>
  <c r="S80" i="47"/>
  <c r="R80" i="47"/>
  <c r="Q80" i="47"/>
  <c r="P80" i="47"/>
  <c r="O80" i="47"/>
  <c r="N80" i="47"/>
  <c r="M80" i="47"/>
  <c r="L80" i="47"/>
  <c r="K80" i="47"/>
  <c r="J80" i="47"/>
  <c r="I80" i="47"/>
  <c r="H80" i="47"/>
  <c r="G80" i="47"/>
  <c r="E80" i="47"/>
  <c r="D80" i="47"/>
  <c r="AD79" i="47"/>
  <c r="AC79" i="47"/>
  <c r="AB79" i="47"/>
  <c r="AA79" i="47"/>
  <c r="Z79" i="47"/>
  <c r="Y79" i="47"/>
  <c r="X79" i="47"/>
  <c r="W79" i="47"/>
  <c r="V79" i="47"/>
  <c r="U79" i="47"/>
  <c r="T79" i="47"/>
  <c r="S79" i="47"/>
  <c r="R79" i="47"/>
  <c r="Q79" i="47"/>
  <c r="P79" i="47"/>
  <c r="O79" i="47"/>
  <c r="N79" i="47"/>
  <c r="M79" i="47"/>
  <c r="L79" i="47"/>
  <c r="K79" i="47"/>
  <c r="J79" i="47"/>
  <c r="I79" i="47"/>
  <c r="H79" i="47"/>
  <c r="G79" i="47"/>
  <c r="E79" i="47"/>
  <c r="D79" i="47"/>
  <c r="AD78" i="47"/>
  <c r="AC78" i="47"/>
  <c r="AB78" i="47"/>
  <c r="AA78" i="47"/>
  <c r="Z78" i="47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E78" i="47"/>
  <c r="D78" i="47"/>
  <c r="AD77" i="47"/>
  <c r="AC77" i="47"/>
  <c r="AB77" i="47"/>
  <c r="AA77" i="47"/>
  <c r="Z77" i="47"/>
  <c r="Y77" i="47"/>
  <c r="X77" i="47"/>
  <c r="W77" i="47"/>
  <c r="V77" i="47"/>
  <c r="U77" i="47"/>
  <c r="T77" i="47"/>
  <c r="S77" i="47"/>
  <c r="R77" i="47"/>
  <c r="Q77" i="47"/>
  <c r="P77" i="47"/>
  <c r="O77" i="47"/>
  <c r="N77" i="47"/>
  <c r="M77" i="47"/>
  <c r="L77" i="47"/>
  <c r="K77" i="47"/>
  <c r="J77" i="47"/>
  <c r="I77" i="47"/>
  <c r="H77" i="47"/>
  <c r="G77" i="47"/>
  <c r="E77" i="47"/>
  <c r="D77" i="47"/>
  <c r="AD76" i="47"/>
  <c r="AC76" i="47"/>
  <c r="AB76" i="47"/>
  <c r="AA76" i="47"/>
  <c r="Z76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E76" i="47"/>
  <c r="D76" i="47"/>
  <c r="AE81" i="47"/>
  <c r="AD67" i="47"/>
  <c r="AC67" i="47"/>
  <c r="AB67" i="47"/>
  <c r="AA67" i="47"/>
  <c r="Z67" i="47"/>
  <c r="Y67" i="47"/>
  <c r="X67" i="47"/>
  <c r="W67" i="47"/>
  <c r="V67" i="47"/>
  <c r="U67" i="47"/>
  <c r="T67" i="47"/>
  <c r="S67" i="47"/>
  <c r="R67" i="47"/>
  <c r="Q67" i="47"/>
  <c r="P67" i="47"/>
  <c r="O67" i="47"/>
  <c r="N67" i="47"/>
  <c r="M67" i="47"/>
  <c r="L67" i="47"/>
  <c r="K67" i="47"/>
  <c r="J67" i="47"/>
  <c r="I67" i="47"/>
  <c r="H67" i="47"/>
  <c r="G67" i="47"/>
  <c r="E67" i="47"/>
  <c r="D67" i="47"/>
  <c r="AE59" i="47"/>
  <c r="AD59" i="47"/>
  <c r="AC59" i="47"/>
  <c r="AB59" i="47"/>
  <c r="AA59" i="47"/>
  <c r="Z59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E59" i="47"/>
  <c r="D59" i="47"/>
  <c r="AE51" i="47"/>
  <c r="AD51" i="47"/>
  <c r="AC51" i="47"/>
  <c r="AB51" i="47"/>
  <c r="AA51" i="47"/>
  <c r="Z51" i="47"/>
  <c r="Y51" i="47"/>
  <c r="X51" i="47"/>
  <c r="W51" i="47"/>
  <c r="V51" i="47"/>
  <c r="U51" i="47"/>
  <c r="T51" i="47"/>
  <c r="S51" i="47"/>
  <c r="R51" i="47"/>
  <c r="Q51" i="47"/>
  <c r="P51" i="47"/>
  <c r="O51" i="47"/>
  <c r="N51" i="47"/>
  <c r="M51" i="47"/>
  <c r="L51" i="47"/>
  <c r="K51" i="47"/>
  <c r="J51" i="47"/>
  <c r="I51" i="47"/>
  <c r="H51" i="47"/>
  <c r="G51" i="47"/>
  <c r="E51" i="47"/>
  <c r="D51" i="47"/>
  <c r="AF43" i="47"/>
  <c r="AE43" i="47"/>
  <c r="AD43" i="47"/>
  <c r="AC43" i="47"/>
  <c r="AB43" i="47"/>
  <c r="AA43" i="47"/>
  <c r="Z43" i="47"/>
  <c r="Y43" i="47"/>
  <c r="X43" i="47"/>
  <c r="W43" i="47"/>
  <c r="V43" i="47"/>
  <c r="U43" i="47"/>
  <c r="T43" i="47"/>
  <c r="S43" i="47"/>
  <c r="R43" i="47"/>
  <c r="Q43" i="47"/>
  <c r="P43" i="47"/>
  <c r="O43" i="47"/>
  <c r="N43" i="47"/>
  <c r="M43" i="47"/>
  <c r="L43" i="47"/>
  <c r="K43" i="47"/>
  <c r="J43" i="47"/>
  <c r="I43" i="47"/>
  <c r="H43" i="47"/>
  <c r="G43" i="47"/>
  <c r="E43" i="47"/>
  <c r="D43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E35" i="47"/>
  <c r="D35" i="47"/>
  <c r="AD27" i="47"/>
  <c r="AC27" i="47"/>
  <c r="AB27" i="47"/>
  <c r="AA27" i="47"/>
  <c r="Z27" i="47"/>
  <c r="Y27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J27" i="47"/>
  <c r="I27" i="47"/>
  <c r="H27" i="47"/>
  <c r="G27" i="47"/>
  <c r="E27" i="47"/>
  <c r="D27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E19" i="47"/>
  <c r="D19" i="47"/>
  <c r="AD11" i="47"/>
  <c r="AC11" i="47"/>
  <c r="AB11" i="47"/>
  <c r="AA11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E11" i="47"/>
  <c r="D11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E3" i="47"/>
  <c r="D3" i="47"/>
  <c r="D89" i="45"/>
  <c r="D88" i="45"/>
  <c r="D63" i="67" s="1"/>
  <c r="D87" i="45"/>
  <c r="D63" i="52" s="1"/>
  <c r="D86" i="45"/>
  <c r="D63" i="53" s="1"/>
  <c r="D85" i="45"/>
  <c r="D63" i="62" s="1"/>
  <c r="D84" i="45"/>
  <c r="D83" i="45"/>
  <c r="D82" i="45"/>
  <c r="D63" i="63" s="1"/>
  <c r="D81" i="45"/>
  <c r="D63" i="51" s="1"/>
  <c r="D96" i="45"/>
  <c r="D81" i="62" s="1"/>
  <c r="D97" i="45"/>
  <c r="D81" i="53" s="1"/>
  <c r="D98" i="45"/>
  <c r="D81" i="52" s="1"/>
  <c r="D99" i="45"/>
  <c r="D81" i="67" s="1"/>
  <c r="D93" i="45"/>
  <c r="D81" i="63" s="1"/>
  <c r="D92" i="45"/>
  <c r="D81" i="51" s="1"/>
  <c r="D100" i="45"/>
  <c r="D81" i="65" s="1"/>
  <c r="D95" i="45"/>
  <c r="D94" i="45"/>
  <c r="C52" i="38"/>
  <c r="C53" i="38"/>
  <c r="A53" i="38"/>
  <c r="A52" i="38"/>
  <c r="A49" i="38"/>
  <c r="C150" i="62"/>
  <c r="C162" i="62" s="1"/>
  <c r="C150" i="51"/>
  <c r="C150" i="55"/>
  <c r="C162" i="55" s="1"/>
  <c r="C150" i="57"/>
  <c r="C162" i="57" s="1"/>
  <c r="C150" i="58"/>
  <c r="C162" i="58" s="1"/>
  <c r="C116" i="51"/>
  <c r="C116" i="52"/>
  <c r="C128" i="52" s="1"/>
  <c r="C129" i="52" s="1"/>
  <c r="C169" i="52" s="1"/>
  <c r="C116" i="53"/>
  <c r="C128" i="53" s="1"/>
  <c r="C116" i="55"/>
  <c r="C128" i="55" s="1"/>
  <c r="C129" i="55" s="1"/>
  <c r="C169" i="55" s="1"/>
  <c r="C116" i="57"/>
  <c r="C128" i="57" s="1"/>
  <c r="C129" i="57" s="1"/>
  <c r="C169" i="57" s="1"/>
  <c r="C116" i="58"/>
  <c r="C128" i="58" s="1"/>
  <c r="C129" i="58" s="1"/>
  <c r="C169" i="58" s="1"/>
  <c r="D101" i="74" l="1"/>
  <c r="AB50" i="75"/>
  <c r="AC50" i="75" s="1"/>
  <c r="D64" i="63"/>
  <c r="D77" i="63" s="1"/>
  <c r="D66" i="63"/>
  <c r="D74" i="63" s="1"/>
  <c r="D72" i="63"/>
  <c r="D63" i="55"/>
  <c r="D63" i="66"/>
  <c r="D63" i="64"/>
  <c r="D64" i="67"/>
  <c r="D77" i="67" s="1"/>
  <c r="D66" i="67"/>
  <c r="D74" i="67" s="1"/>
  <c r="D72" i="67"/>
  <c r="D76" i="67" s="1"/>
  <c r="D63" i="58"/>
  <c r="D66" i="58" s="1"/>
  <c r="D74" i="58" s="1"/>
  <c r="D63" i="65"/>
  <c r="D81" i="55"/>
  <c r="D89" i="55" s="1"/>
  <c r="D93" i="55" s="1"/>
  <c r="D81" i="66"/>
  <c r="D81" i="64"/>
  <c r="D82" i="63"/>
  <c r="D94" i="63" s="1"/>
  <c r="D84" i="63"/>
  <c r="D91" i="63" s="1"/>
  <c r="D89" i="63"/>
  <c r="D93" i="63" s="1"/>
  <c r="D82" i="65"/>
  <c r="D94" i="65" s="1"/>
  <c r="D89" i="65"/>
  <c r="D93" i="65" s="1"/>
  <c r="D84" i="65"/>
  <c r="D91" i="65" s="1"/>
  <c r="D82" i="67"/>
  <c r="D94" i="67" s="1"/>
  <c r="D84" i="67"/>
  <c r="D91" i="67" s="1"/>
  <c r="D89" i="67"/>
  <c r="D93" i="67" s="1"/>
  <c r="D64" i="62"/>
  <c r="D77" i="62" s="1"/>
  <c r="D66" i="62"/>
  <c r="D74" i="62" s="1"/>
  <c r="D72" i="62"/>
  <c r="D82" i="62"/>
  <c r="D94" i="62" s="1"/>
  <c r="D89" i="62"/>
  <c r="D93" i="62" s="1"/>
  <c r="D84" i="62"/>
  <c r="D91" i="62" s="1"/>
  <c r="D81" i="61"/>
  <c r="D63" i="61"/>
  <c r="D63" i="57"/>
  <c r="D64" i="53"/>
  <c r="D77" i="53" s="1"/>
  <c r="D72" i="53"/>
  <c r="D66" i="53"/>
  <c r="D74" i="53" s="1"/>
  <c r="D89" i="51"/>
  <c r="D93" i="51" s="1"/>
  <c r="D84" i="51"/>
  <c r="D91" i="51" s="1"/>
  <c r="D64" i="52"/>
  <c r="D77" i="52" s="1"/>
  <c r="D72" i="52"/>
  <c r="D76" i="52" s="1"/>
  <c r="D66" i="52"/>
  <c r="D74" i="52" s="1"/>
  <c r="E100" i="45"/>
  <c r="E81" i="65" s="1"/>
  <c r="D81" i="58"/>
  <c r="D89" i="52"/>
  <c r="D93" i="52" s="1"/>
  <c r="D84" i="52"/>
  <c r="D91" i="52" s="1"/>
  <c r="D89" i="53"/>
  <c r="D84" i="53"/>
  <c r="D91" i="53" s="1"/>
  <c r="D81" i="57"/>
  <c r="D64" i="51"/>
  <c r="D77" i="51" s="1"/>
  <c r="D72" i="51"/>
  <c r="D76" i="51" s="1"/>
  <c r="D66" i="51"/>
  <c r="D74" i="51" s="1"/>
  <c r="C184" i="58"/>
  <c r="C175" i="58"/>
  <c r="C175" i="57"/>
  <c r="C184" i="57"/>
  <c r="C175" i="52"/>
  <c r="C184" i="52"/>
  <c r="C184" i="55"/>
  <c r="C175" i="55"/>
  <c r="C162" i="51"/>
  <c r="C128" i="51"/>
  <c r="C129" i="51" s="1"/>
  <c r="C169" i="51" s="1"/>
  <c r="E98" i="45"/>
  <c r="E81" i="52" s="1"/>
  <c r="E97" i="45"/>
  <c r="E81" i="53" s="1"/>
  <c r="E99" i="45"/>
  <c r="E81" i="67" s="1"/>
  <c r="E84" i="45"/>
  <c r="E96" i="45"/>
  <c r="E81" i="62" s="1"/>
  <c r="E81" i="45"/>
  <c r="E63" i="51" s="1"/>
  <c r="E82" i="45"/>
  <c r="E63" i="63" s="1"/>
  <c r="E85" i="45"/>
  <c r="E63" i="62" s="1"/>
  <c r="E83" i="45"/>
  <c r="D63" i="38"/>
  <c r="E86" i="45"/>
  <c r="E63" i="53" s="1"/>
  <c r="E92" i="45"/>
  <c r="E81" i="51" s="1"/>
  <c r="E87" i="45"/>
  <c r="E63" i="52" s="1"/>
  <c r="E95" i="45"/>
  <c r="E93" i="45"/>
  <c r="E81" i="63" s="1"/>
  <c r="E88" i="45"/>
  <c r="E63" i="67" s="1"/>
  <c r="E94" i="45"/>
  <c r="D81" i="38"/>
  <c r="E89" i="45"/>
  <c r="E84" i="47"/>
  <c r="V75" i="47"/>
  <c r="V102" i="47" s="1"/>
  <c r="S75" i="47"/>
  <c r="S102" i="47" s="1"/>
  <c r="K75" i="47"/>
  <c r="K102" i="47" s="1"/>
  <c r="G75" i="47"/>
  <c r="G102" i="47" s="1"/>
  <c r="M75" i="47"/>
  <c r="M102" i="47" s="1"/>
  <c r="Y75" i="47"/>
  <c r="AL27" i="47" s="1"/>
  <c r="M93" i="47"/>
  <c r="W75" i="47"/>
  <c r="W102" i="47" s="1"/>
  <c r="N75" i="47"/>
  <c r="N102" i="47" s="1"/>
  <c r="Z75" i="47"/>
  <c r="Z102" i="47" s="1"/>
  <c r="I75" i="47"/>
  <c r="I98" i="47" s="1"/>
  <c r="U75" i="47"/>
  <c r="U93" i="47" s="1"/>
  <c r="Q75" i="47"/>
  <c r="Q102" i="47" s="1"/>
  <c r="AC75" i="47"/>
  <c r="AC102" i="47" s="1"/>
  <c r="H75" i="47"/>
  <c r="H102" i="47" s="1"/>
  <c r="T75" i="47"/>
  <c r="T102" i="47" s="1"/>
  <c r="L75" i="47"/>
  <c r="L94" i="47" s="1"/>
  <c r="X75" i="47"/>
  <c r="X94" i="47" s="1"/>
  <c r="V97" i="47"/>
  <c r="J75" i="47"/>
  <c r="O75" i="47"/>
  <c r="O100" i="47" s="1"/>
  <c r="AA75" i="47"/>
  <c r="AA96" i="47" s="1"/>
  <c r="AE77" i="47"/>
  <c r="AF78" i="47"/>
  <c r="AE3" i="47"/>
  <c r="AF11" i="47"/>
  <c r="R75" i="47"/>
  <c r="R99" i="47" s="1"/>
  <c r="AD75" i="47"/>
  <c r="AD98" i="47" s="1"/>
  <c r="M100" i="47"/>
  <c r="P75" i="47"/>
  <c r="P102" i="47" s="1"/>
  <c r="AB75" i="47"/>
  <c r="AB102" i="47" s="1"/>
  <c r="AE80" i="47"/>
  <c r="AE79" i="47"/>
  <c r="AE27" i="47"/>
  <c r="D75" i="47"/>
  <c r="D93" i="47" s="1"/>
  <c r="AE78" i="47"/>
  <c r="AE11" i="47"/>
  <c r="AE35" i="47"/>
  <c r="AF59" i="47"/>
  <c r="AE76" i="47"/>
  <c r="AE19" i="47"/>
  <c r="AE67" i="47"/>
  <c r="AE82" i="47"/>
  <c r="D85" i="74" l="1"/>
  <c r="AB33" i="75"/>
  <c r="AC33" i="75" s="1"/>
  <c r="D64" i="55"/>
  <c r="D77" i="55" s="1"/>
  <c r="D66" i="55"/>
  <c r="D74" i="55" s="1"/>
  <c r="D72" i="55"/>
  <c r="D76" i="55" s="1"/>
  <c r="D64" i="58"/>
  <c r="D77" i="58" s="1"/>
  <c r="D72" i="58"/>
  <c r="D76" i="58" s="1"/>
  <c r="D64" i="65"/>
  <c r="D77" i="65" s="1"/>
  <c r="D66" i="65"/>
  <c r="D74" i="65" s="1"/>
  <c r="D72" i="65"/>
  <c r="D76" i="65" s="1"/>
  <c r="D64" i="64"/>
  <c r="D77" i="64" s="1"/>
  <c r="D66" i="64"/>
  <c r="D74" i="64" s="1"/>
  <c r="D72" i="64"/>
  <c r="E63" i="55"/>
  <c r="E64" i="55" s="1"/>
  <c r="E77" i="55" s="1"/>
  <c r="E63" i="66"/>
  <c r="E63" i="64"/>
  <c r="E63" i="58"/>
  <c r="E64" i="58" s="1"/>
  <c r="E77" i="58" s="1"/>
  <c r="E63" i="65"/>
  <c r="E64" i="63"/>
  <c r="E77" i="63" s="1"/>
  <c r="E72" i="63"/>
  <c r="E66" i="63"/>
  <c r="E74" i="63" s="1"/>
  <c r="D64" i="66"/>
  <c r="D77" i="66" s="1"/>
  <c r="D72" i="66"/>
  <c r="D76" i="66" s="1"/>
  <c r="D66" i="66"/>
  <c r="D74" i="66" s="1"/>
  <c r="E64" i="67"/>
  <c r="E77" i="67" s="1"/>
  <c r="E72" i="67"/>
  <c r="E76" i="67" s="1"/>
  <c r="E66" i="67"/>
  <c r="E74" i="67" s="1"/>
  <c r="D84" i="55"/>
  <c r="D91" i="55" s="1"/>
  <c r="D82" i="64"/>
  <c r="D94" i="64" s="1"/>
  <c r="D89" i="64"/>
  <c r="D93" i="64" s="1"/>
  <c r="D84" i="64"/>
  <c r="D91" i="64" s="1"/>
  <c r="E82" i="65"/>
  <c r="E94" i="65" s="1"/>
  <c r="E89" i="65"/>
  <c r="E93" i="65" s="1"/>
  <c r="E84" i="65"/>
  <c r="E91" i="65" s="1"/>
  <c r="E81" i="55"/>
  <c r="E89" i="55" s="1"/>
  <c r="E93" i="55" s="1"/>
  <c r="E81" i="66"/>
  <c r="E81" i="64"/>
  <c r="E82" i="63"/>
  <c r="E94" i="63" s="1"/>
  <c r="E84" i="63"/>
  <c r="E91" i="63" s="1"/>
  <c r="E89" i="63"/>
  <c r="E93" i="63" s="1"/>
  <c r="E82" i="67"/>
  <c r="E94" i="67" s="1"/>
  <c r="E84" i="67"/>
  <c r="E91" i="67" s="1"/>
  <c r="E89" i="67"/>
  <c r="E93" i="67" s="1"/>
  <c r="D82" i="66"/>
  <c r="D94" i="66" s="1"/>
  <c r="D84" i="66"/>
  <c r="D91" i="66" s="1"/>
  <c r="D89" i="66"/>
  <c r="D93" i="66" s="1"/>
  <c r="E64" i="62"/>
  <c r="E77" i="62" s="1"/>
  <c r="E72" i="62"/>
  <c r="E66" i="62"/>
  <c r="E74" i="62" s="1"/>
  <c r="E82" i="62"/>
  <c r="E94" i="62" s="1"/>
  <c r="E89" i="62"/>
  <c r="E93" i="62" s="1"/>
  <c r="E84" i="62"/>
  <c r="E91" i="62" s="1"/>
  <c r="E81" i="61"/>
  <c r="D64" i="61"/>
  <c r="D77" i="61" s="1"/>
  <c r="D72" i="61"/>
  <c r="D76" i="61" s="1"/>
  <c r="D66" i="61"/>
  <c r="D74" i="61" s="1"/>
  <c r="E63" i="61"/>
  <c r="D82" i="61"/>
  <c r="D94" i="61" s="1"/>
  <c r="D89" i="61"/>
  <c r="D93" i="61" s="1"/>
  <c r="D84" i="61"/>
  <c r="D91" i="61" s="1"/>
  <c r="D84" i="57"/>
  <c r="D91" i="57" s="1"/>
  <c r="D89" i="57"/>
  <c r="D93" i="57" s="1"/>
  <c r="E64" i="51"/>
  <c r="E77" i="51" s="1"/>
  <c r="E72" i="51"/>
  <c r="E76" i="51" s="1"/>
  <c r="E66" i="51"/>
  <c r="E74" i="51" s="1"/>
  <c r="E63" i="57"/>
  <c r="E81" i="57"/>
  <c r="E64" i="52"/>
  <c r="E77" i="52" s="1"/>
  <c r="E72" i="52"/>
  <c r="E76" i="52" s="1"/>
  <c r="E66" i="52"/>
  <c r="E74" i="52" s="1"/>
  <c r="E89" i="52"/>
  <c r="E93" i="52" s="1"/>
  <c r="E84" i="52"/>
  <c r="E91" i="52" s="1"/>
  <c r="D64" i="57"/>
  <c r="D77" i="57" s="1"/>
  <c r="D66" i="57"/>
  <c r="D74" i="57" s="1"/>
  <c r="D72" i="57"/>
  <c r="D76" i="57" s="1"/>
  <c r="E84" i="51"/>
  <c r="E91" i="51" s="1"/>
  <c r="E89" i="51"/>
  <c r="E93" i="51" s="1"/>
  <c r="E64" i="53"/>
  <c r="E77" i="53" s="1"/>
  <c r="E72" i="53"/>
  <c r="E66" i="53"/>
  <c r="E74" i="53" s="1"/>
  <c r="D89" i="58"/>
  <c r="D93" i="58" s="1"/>
  <c r="D84" i="58"/>
  <c r="D91" i="58" s="1"/>
  <c r="E89" i="53"/>
  <c r="E84" i="53"/>
  <c r="E91" i="53" s="1"/>
  <c r="F100" i="45"/>
  <c r="F81" i="65" s="1"/>
  <c r="E81" i="58"/>
  <c r="C175" i="51"/>
  <c r="C184" i="51"/>
  <c r="F99" i="45"/>
  <c r="F81" i="67" s="1"/>
  <c r="F97" i="45"/>
  <c r="F81" i="53" s="1"/>
  <c r="F98" i="45"/>
  <c r="F81" i="52" s="1"/>
  <c r="F88" i="45"/>
  <c r="F63" i="67" s="1"/>
  <c r="F83" i="45"/>
  <c r="E63" i="38"/>
  <c r="F85" i="45"/>
  <c r="F63" i="62" s="1"/>
  <c r="F95" i="45"/>
  <c r="F93" i="45"/>
  <c r="F81" i="63" s="1"/>
  <c r="F82" i="45"/>
  <c r="F63" i="63" s="1"/>
  <c r="F96" i="45"/>
  <c r="F81" i="62" s="1"/>
  <c r="F87" i="45"/>
  <c r="F63" i="52" s="1"/>
  <c r="F81" i="45"/>
  <c r="F63" i="51" s="1"/>
  <c r="F92" i="45"/>
  <c r="F81" i="51" s="1"/>
  <c r="F94" i="45"/>
  <c r="E81" i="38"/>
  <c r="F86" i="45"/>
  <c r="F63" i="53" s="1"/>
  <c r="F89" i="45"/>
  <c r="F84" i="45"/>
  <c r="V99" i="47"/>
  <c r="V98" i="47"/>
  <c r="V93" i="47"/>
  <c r="V92" i="47"/>
  <c r="V94" i="47"/>
  <c r="V96" i="47"/>
  <c r="V100" i="47"/>
  <c r="V95" i="47"/>
  <c r="AL56" i="47"/>
  <c r="AL52" i="47"/>
  <c r="AL53" i="47"/>
  <c r="AL57" i="47"/>
  <c r="AL54" i="47"/>
  <c r="AL55" i="47"/>
  <c r="J102" i="47"/>
  <c r="K99" i="47"/>
  <c r="K92" i="47"/>
  <c r="S100" i="47"/>
  <c r="AL38" i="47"/>
  <c r="E102" i="47"/>
  <c r="U95" i="47"/>
  <c r="Y100" i="47"/>
  <c r="AL64" i="47"/>
  <c r="G99" i="47"/>
  <c r="AL8" i="47"/>
  <c r="G96" i="47"/>
  <c r="U96" i="47"/>
  <c r="U92" i="47"/>
  <c r="U100" i="47"/>
  <c r="X98" i="47"/>
  <c r="G94" i="47"/>
  <c r="I100" i="47"/>
  <c r="G93" i="47"/>
  <c r="I96" i="47"/>
  <c r="K98" i="47"/>
  <c r="W100" i="47"/>
  <c r="W92" i="47"/>
  <c r="S94" i="47"/>
  <c r="Q100" i="47"/>
  <c r="K100" i="47"/>
  <c r="M92" i="47"/>
  <c r="S96" i="47"/>
  <c r="S99" i="47"/>
  <c r="U99" i="47"/>
  <c r="Q98" i="47"/>
  <c r="S93" i="47"/>
  <c r="S97" i="47"/>
  <c r="Y92" i="47"/>
  <c r="AL7" i="47"/>
  <c r="AL25" i="47"/>
  <c r="Y96" i="47"/>
  <c r="AC97" i="47"/>
  <c r="AL10" i="47"/>
  <c r="AL35" i="47"/>
  <c r="AL79" i="47"/>
  <c r="AL14" i="47"/>
  <c r="M95" i="47"/>
  <c r="AL15" i="47"/>
  <c r="Y93" i="47"/>
  <c r="AL4" i="47"/>
  <c r="K96" i="47"/>
  <c r="Y99" i="47"/>
  <c r="M94" i="47"/>
  <c r="G100" i="47"/>
  <c r="AL68" i="47"/>
  <c r="AL40" i="47"/>
  <c r="AL18" i="47"/>
  <c r="K95" i="47"/>
  <c r="S98" i="47"/>
  <c r="AL62" i="47"/>
  <c r="AL45" i="47"/>
  <c r="AL26" i="47"/>
  <c r="Q95" i="47"/>
  <c r="AL20" i="47"/>
  <c r="AL12" i="47"/>
  <c r="AL67" i="47"/>
  <c r="Y94" i="47"/>
  <c r="AL37" i="47"/>
  <c r="AL41" i="47"/>
  <c r="G97" i="47"/>
  <c r="P99" i="47"/>
  <c r="N95" i="47"/>
  <c r="M99" i="47"/>
  <c r="AL65" i="47"/>
  <c r="K94" i="47"/>
  <c r="K97" i="47"/>
  <c r="AL74" i="47"/>
  <c r="AL46" i="47"/>
  <c r="G98" i="47"/>
  <c r="AL36" i="47"/>
  <c r="AL59" i="47"/>
  <c r="AL39" i="47"/>
  <c r="Z100" i="47"/>
  <c r="AL80" i="47"/>
  <c r="AL29" i="47"/>
  <c r="AL42" i="47"/>
  <c r="Z92" i="47"/>
  <c r="AL19" i="47"/>
  <c r="AL77" i="47"/>
  <c r="AL17" i="47"/>
  <c r="AL48" i="47"/>
  <c r="AL51" i="47"/>
  <c r="S95" i="47"/>
  <c r="AL13" i="47"/>
  <c r="AL60" i="47"/>
  <c r="AL49" i="47"/>
  <c r="AL58" i="47"/>
  <c r="H93" i="47"/>
  <c r="M98" i="47"/>
  <c r="AL31" i="47"/>
  <c r="Y95" i="47"/>
  <c r="AL32" i="47"/>
  <c r="AL73" i="47"/>
  <c r="AL3" i="47"/>
  <c r="AL16" i="47"/>
  <c r="AL76" i="47"/>
  <c r="AL82" i="47"/>
  <c r="AL81" i="47"/>
  <c r="S92" i="47"/>
  <c r="Q92" i="47"/>
  <c r="P98" i="47"/>
  <c r="N98" i="47"/>
  <c r="AL44" i="47"/>
  <c r="AL50" i="47"/>
  <c r="AL66" i="47"/>
  <c r="AL30" i="47"/>
  <c r="AL75" i="47"/>
  <c r="AL43" i="47"/>
  <c r="Y97" i="47"/>
  <c r="AL70" i="47"/>
  <c r="AL6" i="47"/>
  <c r="AL9" i="47"/>
  <c r="P95" i="47"/>
  <c r="K93" i="47"/>
  <c r="M97" i="47"/>
  <c r="G95" i="47"/>
  <c r="AL24" i="47"/>
  <c r="AL63" i="47"/>
  <c r="AL21" i="47"/>
  <c r="AL34" i="47"/>
  <c r="X102" i="47"/>
  <c r="AL78" i="47"/>
  <c r="G92" i="47"/>
  <c r="AL11" i="47"/>
  <c r="AL23" i="47"/>
  <c r="AL47" i="47"/>
  <c r="AL22" i="47"/>
  <c r="AL71" i="47"/>
  <c r="AL33" i="47"/>
  <c r="Y102" i="47"/>
  <c r="Y98" i="47"/>
  <c r="M96" i="47"/>
  <c r="AL72" i="47"/>
  <c r="AL61" i="47"/>
  <c r="AL28" i="47"/>
  <c r="AL5" i="47"/>
  <c r="AL69" i="47"/>
  <c r="N100" i="47"/>
  <c r="I93" i="47"/>
  <c r="W96" i="47"/>
  <c r="J92" i="47"/>
  <c r="J99" i="47"/>
  <c r="H99" i="47"/>
  <c r="AC100" i="47"/>
  <c r="W93" i="47"/>
  <c r="AB92" i="47"/>
  <c r="N96" i="47"/>
  <c r="P92" i="47"/>
  <c r="N92" i="47"/>
  <c r="J94" i="47"/>
  <c r="U102" i="47"/>
  <c r="J93" i="47"/>
  <c r="U97" i="47"/>
  <c r="P97" i="47"/>
  <c r="W94" i="47"/>
  <c r="H92" i="47"/>
  <c r="W99" i="47"/>
  <c r="N93" i="47"/>
  <c r="P100" i="47"/>
  <c r="P94" i="47"/>
  <c r="N97" i="47"/>
  <c r="J100" i="47"/>
  <c r="I102" i="47"/>
  <c r="O95" i="47"/>
  <c r="O92" i="47"/>
  <c r="P96" i="47"/>
  <c r="W98" i="47"/>
  <c r="T94" i="47"/>
  <c r="Z96" i="47"/>
  <c r="Z94" i="47"/>
  <c r="AA99" i="47"/>
  <c r="W97" i="47"/>
  <c r="X99" i="47"/>
  <c r="W95" i="47"/>
  <c r="H96" i="47"/>
  <c r="T95" i="47"/>
  <c r="O94" i="47"/>
  <c r="O96" i="47"/>
  <c r="AC95" i="47"/>
  <c r="O98" i="47"/>
  <c r="Z98" i="47"/>
  <c r="T92" i="47"/>
  <c r="I99" i="47"/>
  <c r="O102" i="47"/>
  <c r="T98" i="47"/>
  <c r="X93" i="47"/>
  <c r="AC99" i="47"/>
  <c r="O99" i="47"/>
  <c r="H98" i="47"/>
  <c r="T93" i="47"/>
  <c r="X92" i="47"/>
  <c r="X97" i="47"/>
  <c r="Z95" i="47"/>
  <c r="AC96" i="47"/>
  <c r="H97" i="47"/>
  <c r="I94" i="47"/>
  <c r="O93" i="47"/>
  <c r="X95" i="47"/>
  <c r="E98" i="47"/>
  <c r="I92" i="47"/>
  <c r="AD94" i="47"/>
  <c r="AD93" i="47"/>
  <c r="L99" i="47"/>
  <c r="L95" i="47"/>
  <c r="R94" i="47"/>
  <c r="H94" i="47"/>
  <c r="AA95" i="47"/>
  <c r="X100" i="47"/>
  <c r="U94" i="47"/>
  <c r="T96" i="47"/>
  <c r="AB95" i="47"/>
  <c r="Z97" i="47"/>
  <c r="AA92" i="47"/>
  <c r="L100" i="47"/>
  <c r="Z93" i="47"/>
  <c r="AD97" i="47"/>
  <c r="AA100" i="47"/>
  <c r="L97" i="47"/>
  <c r="Q99" i="47"/>
  <c r="AB99" i="47"/>
  <c r="Q97" i="47"/>
  <c r="N94" i="47"/>
  <c r="O97" i="47"/>
  <c r="AA94" i="47"/>
  <c r="AC93" i="47"/>
  <c r="AD99" i="47"/>
  <c r="L92" i="47"/>
  <c r="T100" i="47"/>
  <c r="AC92" i="47"/>
  <c r="I95" i="47"/>
  <c r="H95" i="47"/>
  <c r="R93" i="47"/>
  <c r="D92" i="47"/>
  <c r="L102" i="47"/>
  <c r="Z99" i="47"/>
  <c r="J96" i="47"/>
  <c r="AA98" i="47"/>
  <c r="Q93" i="47"/>
  <c r="AC94" i="47"/>
  <c r="J97" i="47"/>
  <c r="H100" i="47"/>
  <c r="J98" i="47"/>
  <c r="U98" i="47"/>
  <c r="L93" i="47"/>
  <c r="AA97" i="47"/>
  <c r="L98" i="47"/>
  <c r="AA93" i="47"/>
  <c r="I97" i="47"/>
  <c r="N99" i="47"/>
  <c r="AB97" i="47"/>
  <c r="AC98" i="47"/>
  <c r="AA102" i="47"/>
  <c r="AB96" i="47"/>
  <c r="Q94" i="47"/>
  <c r="T97" i="47"/>
  <c r="J95" i="47"/>
  <c r="T99" i="47"/>
  <c r="AB94" i="47"/>
  <c r="L96" i="47"/>
  <c r="AB98" i="47"/>
  <c r="Q96" i="47"/>
  <c r="X96" i="47"/>
  <c r="AG11" i="47"/>
  <c r="AF82" i="47"/>
  <c r="D97" i="47"/>
  <c r="AG43" i="47"/>
  <c r="D98" i="47"/>
  <c r="AF67" i="47"/>
  <c r="AF76" i="47"/>
  <c r="E95" i="47"/>
  <c r="D95" i="47"/>
  <c r="AH43" i="47"/>
  <c r="AG78" i="47"/>
  <c r="D99" i="47"/>
  <c r="D94" i="47"/>
  <c r="E97" i="47"/>
  <c r="AF80" i="47"/>
  <c r="D102" i="47"/>
  <c r="AG80" i="47"/>
  <c r="AG27" i="47"/>
  <c r="AF81" i="47"/>
  <c r="E92" i="47"/>
  <c r="AG3" i="47"/>
  <c r="AF3" i="47"/>
  <c r="E100" i="47"/>
  <c r="E96" i="47"/>
  <c r="D96" i="47"/>
  <c r="AF79" i="47"/>
  <c r="AF19" i="47"/>
  <c r="AE75" i="47"/>
  <c r="AG59" i="47"/>
  <c r="E94" i="47"/>
  <c r="P93" i="47"/>
  <c r="AF77" i="47"/>
  <c r="E99" i="47"/>
  <c r="D100" i="47"/>
  <c r="AB100" i="47"/>
  <c r="R97" i="47"/>
  <c r="AF27" i="47"/>
  <c r="AD100" i="47"/>
  <c r="AD96" i="47"/>
  <c r="AD102" i="47"/>
  <c r="AD95" i="47"/>
  <c r="AD92" i="47"/>
  <c r="R98" i="47"/>
  <c r="AB93" i="47"/>
  <c r="E93" i="47"/>
  <c r="AF35" i="47"/>
  <c r="AF51" i="47"/>
  <c r="R96" i="47"/>
  <c r="R100" i="47"/>
  <c r="R102" i="47"/>
  <c r="R95" i="47"/>
  <c r="R92" i="47"/>
  <c r="E72" i="58" l="1"/>
  <c r="E76" i="58" s="1"/>
  <c r="F64" i="63"/>
  <c r="F77" i="63" s="1"/>
  <c r="F66" i="63"/>
  <c r="F74" i="63" s="1"/>
  <c r="F72" i="63"/>
  <c r="E72" i="55"/>
  <c r="E76" i="55" s="1"/>
  <c r="E64" i="65"/>
  <c r="E77" i="65" s="1"/>
  <c r="E66" i="65"/>
  <c r="E74" i="65" s="1"/>
  <c r="E72" i="65"/>
  <c r="E76" i="65" s="1"/>
  <c r="E66" i="58"/>
  <c r="E74" i="58" s="1"/>
  <c r="E64" i="64"/>
  <c r="E77" i="64" s="1"/>
  <c r="E72" i="64"/>
  <c r="E66" i="64"/>
  <c r="E74" i="64" s="1"/>
  <c r="E66" i="55"/>
  <c r="E74" i="55" s="1"/>
  <c r="F64" i="67"/>
  <c r="F77" i="67" s="1"/>
  <c r="F66" i="67"/>
  <c r="F74" i="67" s="1"/>
  <c r="F72" i="67"/>
  <c r="F76" i="67" s="1"/>
  <c r="E64" i="66"/>
  <c r="E77" i="66" s="1"/>
  <c r="E66" i="66"/>
  <c r="E74" i="66" s="1"/>
  <c r="E72" i="66"/>
  <c r="E76" i="66" s="1"/>
  <c r="F63" i="58"/>
  <c r="F64" i="58" s="1"/>
  <c r="F77" i="58" s="1"/>
  <c r="F63" i="65"/>
  <c r="F63" i="55"/>
  <c r="F72" i="55" s="1"/>
  <c r="F76" i="55" s="1"/>
  <c r="F63" i="66"/>
  <c r="F63" i="64"/>
  <c r="E84" i="55"/>
  <c r="E91" i="55" s="1"/>
  <c r="E82" i="64"/>
  <c r="E94" i="64" s="1"/>
  <c r="E84" i="64"/>
  <c r="E91" i="64" s="1"/>
  <c r="E89" i="64"/>
  <c r="E93" i="64" s="1"/>
  <c r="E82" i="66"/>
  <c r="E94" i="66" s="1"/>
  <c r="E89" i="66"/>
  <c r="E93" i="66" s="1"/>
  <c r="E84" i="66"/>
  <c r="E91" i="66" s="1"/>
  <c r="F82" i="67"/>
  <c r="F94" i="67" s="1"/>
  <c r="F89" i="67"/>
  <c r="F93" i="67" s="1"/>
  <c r="F84" i="67"/>
  <c r="F91" i="67" s="1"/>
  <c r="F82" i="63"/>
  <c r="F94" i="63" s="1"/>
  <c r="F89" i="63"/>
  <c r="F93" i="63" s="1"/>
  <c r="F84" i="63"/>
  <c r="F91" i="63" s="1"/>
  <c r="F82" i="65"/>
  <c r="F94" i="65" s="1"/>
  <c r="F89" i="65"/>
  <c r="F93" i="65" s="1"/>
  <c r="F84" i="65"/>
  <c r="F91" i="65" s="1"/>
  <c r="F81" i="55"/>
  <c r="F84" i="55" s="1"/>
  <c r="F91" i="55" s="1"/>
  <c r="F81" i="66"/>
  <c r="F81" i="64"/>
  <c r="F82" i="62"/>
  <c r="F94" i="62" s="1"/>
  <c r="F89" i="62"/>
  <c r="F93" i="62" s="1"/>
  <c r="F84" i="62"/>
  <c r="F91" i="62" s="1"/>
  <c r="F64" i="62"/>
  <c r="F77" i="62" s="1"/>
  <c r="F72" i="62"/>
  <c r="F66" i="62"/>
  <c r="F74" i="62" s="1"/>
  <c r="E64" i="61"/>
  <c r="E77" i="61" s="1"/>
  <c r="E72" i="61"/>
  <c r="E76" i="61" s="1"/>
  <c r="E66" i="61"/>
  <c r="E74" i="61" s="1"/>
  <c r="F63" i="61"/>
  <c r="F81" i="61"/>
  <c r="E82" i="61"/>
  <c r="E94" i="61" s="1"/>
  <c r="E89" i="61"/>
  <c r="E93" i="61" s="1"/>
  <c r="E84" i="61"/>
  <c r="E91" i="61" s="1"/>
  <c r="F64" i="51"/>
  <c r="F77" i="51" s="1"/>
  <c r="F66" i="51"/>
  <c r="F74" i="51" s="1"/>
  <c r="F72" i="51"/>
  <c r="F76" i="51" s="1"/>
  <c r="F81" i="57"/>
  <c r="F63" i="57"/>
  <c r="E84" i="58"/>
  <c r="E91" i="58" s="1"/>
  <c r="E89" i="58"/>
  <c r="E93" i="58" s="1"/>
  <c r="G100" i="45"/>
  <c r="G81" i="65" s="1"/>
  <c r="F81" i="58"/>
  <c r="E64" i="57"/>
  <c r="E77" i="57" s="1"/>
  <c r="E72" i="57"/>
  <c r="E76" i="57" s="1"/>
  <c r="E66" i="57"/>
  <c r="E74" i="57" s="1"/>
  <c r="E84" i="57"/>
  <c r="E91" i="57" s="1"/>
  <c r="E89" i="57"/>
  <c r="E93" i="57" s="1"/>
  <c r="F89" i="52"/>
  <c r="F93" i="52" s="1"/>
  <c r="F84" i="52"/>
  <c r="F91" i="52" s="1"/>
  <c r="F64" i="53"/>
  <c r="F77" i="53" s="1"/>
  <c r="F72" i="53"/>
  <c r="F66" i="53"/>
  <c r="F74" i="53" s="1"/>
  <c r="F84" i="51"/>
  <c r="F91" i="51" s="1"/>
  <c r="F89" i="51"/>
  <c r="F93" i="51" s="1"/>
  <c r="F89" i="53"/>
  <c r="F84" i="53"/>
  <c r="F91" i="53" s="1"/>
  <c r="F64" i="52"/>
  <c r="F77" i="52" s="1"/>
  <c r="F66" i="52"/>
  <c r="F74" i="52" s="1"/>
  <c r="F72" i="52"/>
  <c r="F76" i="52" s="1"/>
  <c r="G97" i="45"/>
  <c r="G81" i="53" s="1"/>
  <c r="G98" i="45"/>
  <c r="G81" i="52" s="1"/>
  <c r="G99" i="45"/>
  <c r="G81" i="67" s="1"/>
  <c r="G82" i="45"/>
  <c r="G63" i="63" s="1"/>
  <c r="G94" i="45"/>
  <c r="F81" i="38"/>
  <c r="G93" i="45"/>
  <c r="G81" i="63" s="1"/>
  <c r="G92" i="45"/>
  <c r="G81" i="51" s="1"/>
  <c r="G95" i="45"/>
  <c r="G85" i="45"/>
  <c r="G63" i="62" s="1"/>
  <c r="G87" i="45"/>
  <c r="G63" i="52" s="1"/>
  <c r="G81" i="45"/>
  <c r="G63" i="51" s="1"/>
  <c r="G89" i="45"/>
  <c r="G83" i="45"/>
  <c r="F63" i="38"/>
  <c r="G96" i="45"/>
  <c r="G81" i="62" s="1"/>
  <c r="G84" i="45"/>
  <c r="G86" i="45"/>
  <c r="G63" i="53" s="1"/>
  <c r="G88" i="45"/>
  <c r="G63" i="67" s="1"/>
  <c r="AN4" i="47"/>
  <c r="AN3" i="47"/>
  <c r="AG51" i="47"/>
  <c r="AH59" i="47"/>
  <c r="AE95" i="47"/>
  <c r="AH78" i="47"/>
  <c r="AE98" i="47"/>
  <c r="AE102" i="47"/>
  <c r="AE100" i="47"/>
  <c r="AE96" i="47"/>
  <c r="AE97" i="47"/>
  <c r="AE93" i="47"/>
  <c r="AH80" i="47"/>
  <c r="AF75" i="47"/>
  <c r="AG19" i="47"/>
  <c r="AG76" i="47"/>
  <c r="AG67" i="47"/>
  <c r="AG82" i="47"/>
  <c r="AG35" i="47"/>
  <c r="AE92" i="47"/>
  <c r="AE99" i="47"/>
  <c r="AH3" i="47"/>
  <c r="AI43" i="47"/>
  <c r="AG77" i="47"/>
  <c r="AG79" i="47"/>
  <c r="AH11" i="47"/>
  <c r="AG81" i="47"/>
  <c r="AH27" i="47"/>
  <c r="AE94" i="47"/>
  <c r="F64" i="55" l="1"/>
  <c r="F77" i="55" s="1"/>
  <c r="F66" i="55"/>
  <c r="F74" i="55" s="1"/>
  <c r="F64" i="65"/>
  <c r="F77" i="65" s="1"/>
  <c r="F72" i="65"/>
  <c r="F76" i="65" s="1"/>
  <c r="F66" i="65"/>
  <c r="F74" i="65" s="1"/>
  <c r="G64" i="67"/>
  <c r="G77" i="67" s="1"/>
  <c r="G72" i="67"/>
  <c r="G76" i="67" s="1"/>
  <c r="G66" i="67"/>
  <c r="G74" i="67" s="1"/>
  <c r="G63" i="55"/>
  <c r="G64" i="55" s="1"/>
  <c r="G77" i="55" s="1"/>
  <c r="G63" i="66"/>
  <c r="G63" i="64"/>
  <c r="F64" i="64"/>
  <c r="F77" i="64" s="1"/>
  <c r="F72" i="64"/>
  <c r="F66" i="64"/>
  <c r="F74" i="64" s="1"/>
  <c r="G64" i="63"/>
  <c r="G77" i="63" s="1"/>
  <c r="G66" i="63"/>
  <c r="G74" i="63" s="1"/>
  <c r="G72" i="63"/>
  <c r="F72" i="58"/>
  <c r="F76" i="58" s="1"/>
  <c r="G63" i="58"/>
  <c r="G64" i="58" s="1"/>
  <c r="G77" i="58" s="1"/>
  <c r="G63" i="65"/>
  <c r="F66" i="58"/>
  <c r="F74" i="58" s="1"/>
  <c r="F64" i="66"/>
  <c r="F77" i="66" s="1"/>
  <c r="F66" i="66"/>
  <c r="F74" i="66" s="1"/>
  <c r="F72" i="66"/>
  <c r="F76" i="66" s="1"/>
  <c r="F89" i="55"/>
  <c r="F93" i="55" s="1"/>
  <c r="G82" i="65"/>
  <c r="G94" i="65" s="1"/>
  <c r="G89" i="65"/>
  <c r="G93" i="65" s="1"/>
  <c r="G84" i="65"/>
  <c r="G91" i="65" s="1"/>
  <c r="F82" i="64"/>
  <c r="F94" i="64" s="1"/>
  <c r="F84" i="64"/>
  <c r="F91" i="64" s="1"/>
  <c r="F89" i="64"/>
  <c r="F93" i="64" s="1"/>
  <c r="F82" i="66"/>
  <c r="F94" i="66" s="1"/>
  <c r="F89" i="66"/>
  <c r="F93" i="66" s="1"/>
  <c r="F84" i="66"/>
  <c r="F91" i="66" s="1"/>
  <c r="G89" i="63"/>
  <c r="G93" i="63" s="1"/>
  <c r="G84" i="63"/>
  <c r="G91" i="63" s="1"/>
  <c r="G82" i="63"/>
  <c r="G94" i="63" s="1"/>
  <c r="G81" i="55"/>
  <c r="G84" i="55" s="1"/>
  <c r="G91" i="55" s="1"/>
  <c r="G81" i="66"/>
  <c r="G81" i="64"/>
  <c r="G82" i="67"/>
  <c r="G94" i="67" s="1"/>
  <c r="G89" i="67"/>
  <c r="G93" i="67" s="1"/>
  <c r="G84" i="67"/>
  <c r="G91" i="67" s="1"/>
  <c r="G82" i="62"/>
  <c r="G94" i="62" s="1"/>
  <c r="G84" i="62"/>
  <c r="G91" i="62" s="1"/>
  <c r="G89" i="62"/>
  <c r="G93" i="62" s="1"/>
  <c r="G64" i="62"/>
  <c r="G77" i="62" s="1"/>
  <c r="G66" i="62"/>
  <c r="G74" i="62" s="1"/>
  <c r="G72" i="62"/>
  <c r="F82" i="61"/>
  <c r="F94" i="61" s="1"/>
  <c r="F89" i="61"/>
  <c r="F93" i="61" s="1"/>
  <c r="F84" i="61"/>
  <c r="F91" i="61" s="1"/>
  <c r="G63" i="61"/>
  <c r="F64" i="61"/>
  <c r="F77" i="61" s="1"/>
  <c r="F72" i="61"/>
  <c r="F76" i="61" s="1"/>
  <c r="F66" i="61"/>
  <c r="F74" i="61" s="1"/>
  <c r="G81" i="61"/>
  <c r="G63" i="57"/>
  <c r="F84" i="58"/>
  <c r="F91" i="58" s="1"/>
  <c r="F89" i="58"/>
  <c r="F93" i="58" s="1"/>
  <c r="H100" i="45"/>
  <c r="H81" i="65" s="1"/>
  <c r="G81" i="58"/>
  <c r="G84" i="51"/>
  <c r="G91" i="51" s="1"/>
  <c r="G89" i="51"/>
  <c r="G93" i="51" s="1"/>
  <c r="F64" i="57"/>
  <c r="F77" i="57" s="1"/>
  <c r="F72" i="57"/>
  <c r="F76" i="57" s="1"/>
  <c r="F66" i="57"/>
  <c r="F74" i="57" s="1"/>
  <c r="G89" i="52"/>
  <c r="G93" i="52" s="1"/>
  <c r="G84" i="52"/>
  <c r="G91" i="52" s="1"/>
  <c r="F84" i="57"/>
  <c r="F91" i="57" s="1"/>
  <c r="F89" i="57"/>
  <c r="F93" i="57" s="1"/>
  <c r="G89" i="53"/>
  <c r="G84" i="53"/>
  <c r="G91" i="53" s="1"/>
  <c r="G64" i="53"/>
  <c r="G77" i="53" s="1"/>
  <c r="G72" i="53"/>
  <c r="G66" i="53"/>
  <c r="G74" i="53" s="1"/>
  <c r="G81" i="57"/>
  <c r="G64" i="51"/>
  <c r="G77" i="51" s="1"/>
  <c r="G66" i="51"/>
  <c r="G74" i="51" s="1"/>
  <c r="G72" i="51"/>
  <c r="G76" i="51" s="1"/>
  <c r="G64" i="52"/>
  <c r="G77" i="52" s="1"/>
  <c r="G72" i="52"/>
  <c r="G76" i="52" s="1"/>
  <c r="G66" i="52"/>
  <c r="G74" i="52" s="1"/>
  <c r="H99" i="45"/>
  <c r="H81" i="67" s="1"/>
  <c r="H98" i="45"/>
  <c r="H81" i="52" s="1"/>
  <c r="H97" i="45"/>
  <c r="H81" i="53" s="1"/>
  <c r="H92" i="45"/>
  <c r="H81" i="51" s="1"/>
  <c r="H85" i="45"/>
  <c r="H63" i="62" s="1"/>
  <c r="H96" i="45"/>
  <c r="H81" i="62" s="1"/>
  <c r="H95" i="45"/>
  <c r="H93" i="45"/>
  <c r="H81" i="63" s="1"/>
  <c r="H86" i="45"/>
  <c r="H94" i="45"/>
  <c r="G81" i="38"/>
  <c r="H83" i="45"/>
  <c r="G63" i="38"/>
  <c r="H89" i="45"/>
  <c r="H63" i="65" s="1"/>
  <c r="H88" i="45"/>
  <c r="H63" i="67" s="1"/>
  <c r="H81" i="45"/>
  <c r="H87" i="45"/>
  <c r="H84" i="45"/>
  <c r="H82" i="45"/>
  <c r="H63" i="63" s="1"/>
  <c r="AF95" i="47"/>
  <c r="AF94" i="47"/>
  <c r="AF97" i="47"/>
  <c r="AF92" i="47"/>
  <c r="AF99" i="47"/>
  <c r="AH81" i="47"/>
  <c r="AH35" i="47"/>
  <c r="AH51" i="47"/>
  <c r="AH77" i="47"/>
  <c r="AH82" i="47"/>
  <c r="AI78" i="47"/>
  <c r="AI80" i="47"/>
  <c r="AH19" i="47"/>
  <c r="AH76" i="47"/>
  <c r="AH67" i="47"/>
  <c r="AI3" i="47"/>
  <c r="AI11" i="47"/>
  <c r="AI27" i="47"/>
  <c r="AF98" i="47"/>
  <c r="AG75" i="47"/>
  <c r="AI59" i="47"/>
  <c r="AF102" i="47"/>
  <c r="AF96" i="47"/>
  <c r="AF100" i="47"/>
  <c r="AF93" i="47"/>
  <c r="AH79" i="47"/>
  <c r="G72" i="58" l="1"/>
  <c r="G76" i="58" s="1"/>
  <c r="G66" i="55"/>
  <c r="G74" i="55" s="1"/>
  <c r="G64" i="64"/>
  <c r="G77" i="64" s="1"/>
  <c r="G66" i="64"/>
  <c r="G74" i="64" s="1"/>
  <c r="G72" i="64"/>
  <c r="G64" i="65"/>
  <c r="G77" i="65" s="1"/>
  <c r="G66" i="65"/>
  <c r="G74" i="65" s="1"/>
  <c r="G72" i="65"/>
  <c r="G76" i="65" s="1"/>
  <c r="H64" i="63"/>
  <c r="H77" i="63" s="1"/>
  <c r="H72" i="63"/>
  <c r="H66" i="63"/>
  <c r="H74" i="63" s="1"/>
  <c r="G66" i="58"/>
  <c r="G74" i="58" s="1"/>
  <c r="H63" i="55"/>
  <c r="H66" i="55" s="1"/>
  <c r="H74" i="55" s="1"/>
  <c r="H63" i="66"/>
  <c r="H63" i="64"/>
  <c r="G64" i="66"/>
  <c r="G77" i="66" s="1"/>
  <c r="G66" i="66"/>
  <c r="G74" i="66" s="1"/>
  <c r="G72" i="66"/>
  <c r="G76" i="66" s="1"/>
  <c r="G72" i="55"/>
  <c r="G76" i="55" s="1"/>
  <c r="H64" i="67"/>
  <c r="H77" i="67" s="1"/>
  <c r="H72" i="67"/>
  <c r="H76" i="67" s="1"/>
  <c r="H66" i="67"/>
  <c r="H74" i="67" s="1"/>
  <c r="H64" i="65"/>
  <c r="H77" i="65" s="1"/>
  <c r="H66" i="65"/>
  <c r="H74" i="65" s="1"/>
  <c r="H72" i="65"/>
  <c r="H76" i="65" s="1"/>
  <c r="G89" i="55"/>
  <c r="G93" i="55" s="1"/>
  <c r="H82" i="67"/>
  <c r="H94" i="67" s="1"/>
  <c r="H89" i="67"/>
  <c r="H93" i="67" s="1"/>
  <c r="H84" i="67"/>
  <c r="H91" i="67" s="1"/>
  <c r="G82" i="64"/>
  <c r="G94" i="64" s="1"/>
  <c r="G84" i="64"/>
  <c r="G91" i="64" s="1"/>
  <c r="G89" i="64"/>
  <c r="G93" i="64" s="1"/>
  <c r="H81" i="55"/>
  <c r="H81" i="66"/>
  <c r="H81" i="64"/>
  <c r="H84" i="63"/>
  <c r="H91" i="63" s="1"/>
  <c r="H82" i="63"/>
  <c r="H94" i="63" s="1"/>
  <c r="H89" i="63"/>
  <c r="H93" i="63" s="1"/>
  <c r="G82" i="66"/>
  <c r="G94" i="66" s="1"/>
  <c r="G84" i="66"/>
  <c r="G91" i="66" s="1"/>
  <c r="G89" i="66"/>
  <c r="G93" i="66" s="1"/>
  <c r="H82" i="65"/>
  <c r="H94" i="65" s="1"/>
  <c r="H84" i="65"/>
  <c r="H91" i="65" s="1"/>
  <c r="H89" i="65"/>
  <c r="H93" i="65" s="1"/>
  <c r="H82" i="62"/>
  <c r="H94" i="62" s="1"/>
  <c r="H89" i="62"/>
  <c r="H93" i="62" s="1"/>
  <c r="H84" i="62"/>
  <c r="H91" i="62" s="1"/>
  <c r="H64" i="62"/>
  <c r="H77" i="62" s="1"/>
  <c r="H66" i="62"/>
  <c r="H74" i="62" s="1"/>
  <c r="H72" i="62"/>
  <c r="G82" i="61"/>
  <c r="G94" i="61" s="1"/>
  <c r="G84" i="61"/>
  <c r="G91" i="61" s="1"/>
  <c r="G89" i="61"/>
  <c r="G93" i="61" s="1"/>
  <c r="G64" i="61"/>
  <c r="G77" i="61" s="1"/>
  <c r="G72" i="61"/>
  <c r="G76" i="61" s="1"/>
  <c r="G66" i="61"/>
  <c r="G74" i="61" s="1"/>
  <c r="H81" i="61"/>
  <c r="H63" i="61"/>
  <c r="H63" i="53"/>
  <c r="H81" i="57"/>
  <c r="H63" i="52"/>
  <c r="H63" i="57"/>
  <c r="G84" i="58"/>
  <c r="G91" i="58" s="1"/>
  <c r="G89" i="58"/>
  <c r="G93" i="58" s="1"/>
  <c r="I100" i="45"/>
  <c r="I81" i="65" s="1"/>
  <c r="H81" i="58"/>
  <c r="H89" i="53"/>
  <c r="H84" i="53"/>
  <c r="H91" i="53" s="1"/>
  <c r="H84" i="51"/>
  <c r="H91" i="51" s="1"/>
  <c r="H89" i="51"/>
  <c r="H93" i="51" s="1"/>
  <c r="H63" i="58"/>
  <c r="H63" i="51"/>
  <c r="H89" i="52"/>
  <c r="H93" i="52" s="1"/>
  <c r="H84" i="52"/>
  <c r="H91" i="52" s="1"/>
  <c r="G84" i="57"/>
  <c r="G91" i="57" s="1"/>
  <c r="G89" i="57"/>
  <c r="G93" i="57" s="1"/>
  <c r="G64" i="57"/>
  <c r="G77" i="57" s="1"/>
  <c r="G72" i="57"/>
  <c r="G76" i="57" s="1"/>
  <c r="G66" i="57"/>
  <c r="G74" i="57" s="1"/>
  <c r="I98" i="45"/>
  <c r="I81" i="52" s="1"/>
  <c r="I99" i="45"/>
  <c r="I81" i="67" s="1"/>
  <c r="I97" i="45"/>
  <c r="I81" i="53" s="1"/>
  <c r="I88" i="45"/>
  <c r="I63" i="67" s="1"/>
  <c r="I93" i="45"/>
  <c r="I81" i="63" s="1"/>
  <c r="I81" i="45"/>
  <c r="I63" i="51" s="1"/>
  <c r="I89" i="45"/>
  <c r="I95" i="45"/>
  <c r="I96" i="45"/>
  <c r="I81" i="62" s="1"/>
  <c r="I84" i="45"/>
  <c r="I85" i="45"/>
  <c r="I63" i="62" s="1"/>
  <c r="I86" i="45"/>
  <c r="I63" i="53" s="1"/>
  <c r="I82" i="45"/>
  <c r="I63" i="63" s="1"/>
  <c r="I83" i="45"/>
  <c r="H63" i="38"/>
  <c r="I87" i="45"/>
  <c r="I63" i="52" s="1"/>
  <c r="I94" i="45"/>
  <c r="H81" i="38"/>
  <c r="I92" i="45"/>
  <c r="I81" i="51" s="1"/>
  <c r="AG97" i="47"/>
  <c r="AG99" i="47"/>
  <c r="AG95" i="47"/>
  <c r="AI19" i="47"/>
  <c r="AI51" i="47"/>
  <c r="AI79" i="47"/>
  <c r="AG102" i="47"/>
  <c r="AG100" i="47"/>
  <c r="AG92" i="47"/>
  <c r="AG98" i="47"/>
  <c r="AG93" i="47"/>
  <c r="AG96" i="47"/>
  <c r="AI77" i="47"/>
  <c r="AG94" i="47"/>
  <c r="AI35" i="47"/>
  <c r="AI81" i="47"/>
  <c r="AH75" i="47"/>
  <c r="AI76" i="47"/>
  <c r="AI67" i="47"/>
  <c r="AI82" i="47"/>
  <c r="H64" i="55" l="1"/>
  <c r="H77" i="55" s="1"/>
  <c r="I63" i="55"/>
  <c r="I64" i="55" s="1"/>
  <c r="I77" i="55" s="1"/>
  <c r="I63" i="66"/>
  <c r="I63" i="64"/>
  <c r="I64" i="63"/>
  <c r="I77" i="63" s="1"/>
  <c r="I72" i="63"/>
  <c r="I66" i="63"/>
  <c r="I74" i="63" s="1"/>
  <c r="H72" i="55"/>
  <c r="H76" i="55" s="1"/>
  <c r="I64" i="67"/>
  <c r="I77" i="67" s="1"/>
  <c r="I66" i="67"/>
  <c r="I74" i="67" s="1"/>
  <c r="I72" i="67"/>
  <c r="I76" i="67" s="1"/>
  <c r="H64" i="64"/>
  <c r="H77" i="64" s="1"/>
  <c r="H66" i="64"/>
  <c r="H74" i="64" s="1"/>
  <c r="H72" i="64"/>
  <c r="I63" i="58"/>
  <c r="I72" i="58" s="1"/>
  <c r="I76" i="58" s="1"/>
  <c r="I63" i="65"/>
  <c r="H64" i="66"/>
  <c r="H77" i="66" s="1"/>
  <c r="H72" i="66"/>
  <c r="H76" i="66" s="1"/>
  <c r="H66" i="66"/>
  <c r="H74" i="66" s="1"/>
  <c r="I82" i="67"/>
  <c r="I94" i="67" s="1"/>
  <c r="I84" i="67"/>
  <c r="I91" i="67" s="1"/>
  <c r="I89" i="67"/>
  <c r="I93" i="67" s="1"/>
  <c r="H82" i="66"/>
  <c r="H94" i="66" s="1"/>
  <c r="H89" i="66"/>
  <c r="H93" i="66" s="1"/>
  <c r="H84" i="66"/>
  <c r="H91" i="66" s="1"/>
  <c r="H82" i="64"/>
  <c r="H94" i="64" s="1"/>
  <c r="H84" i="64"/>
  <c r="H91" i="64" s="1"/>
  <c r="H89" i="64"/>
  <c r="H93" i="64" s="1"/>
  <c r="I82" i="65"/>
  <c r="I94" i="65" s="1"/>
  <c r="I89" i="65"/>
  <c r="I93" i="65" s="1"/>
  <c r="I84" i="65"/>
  <c r="I91" i="65" s="1"/>
  <c r="H89" i="55"/>
  <c r="H93" i="55" s="1"/>
  <c r="H84" i="55"/>
  <c r="H91" i="55" s="1"/>
  <c r="I81" i="55"/>
  <c r="I89" i="55" s="1"/>
  <c r="I93" i="55" s="1"/>
  <c r="I81" i="66"/>
  <c r="I81" i="64"/>
  <c r="I84" i="63"/>
  <c r="I91" i="63" s="1"/>
  <c r="I82" i="63"/>
  <c r="I94" i="63" s="1"/>
  <c r="I89" i="63"/>
  <c r="I93" i="63" s="1"/>
  <c r="I64" i="62"/>
  <c r="I77" i="62" s="1"/>
  <c r="I72" i="62"/>
  <c r="I66" i="62"/>
  <c r="I74" i="62" s="1"/>
  <c r="I82" i="62"/>
  <c r="I94" i="62" s="1"/>
  <c r="I84" i="62"/>
  <c r="I91" i="62" s="1"/>
  <c r="I89" i="62"/>
  <c r="I93" i="62" s="1"/>
  <c r="H64" i="61"/>
  <c r="H77" i="61" s="1"/>
  <c r="H66" i="61"/>
  <c r="H74" i="61" s="1"/>
  <c r="H72" i="61"/>
  <c r="H76" i="61" s="1"/>
  <c r="I81" i="61"/>
  <c r="I63" i="61"/>
  <c r="H82" i="61"/>
  <c r="H94" i="61" s="1"/>
  <c r="H84" i="61"/>
  <c r="H91" i="61" s="1"/>
  <c r="H89" i="61"/>
  <c r="H93" i="61" s="1"/>
  <c r="I64" i="52"/>
  <c r="I77" i="52" s="1"/>
  <c r="I72" i="52"/>
  <c r="I76" i="52" s="1"/>
  <c r="I66" i="52"/>
  <c r="I74" i="52" s="1"/>
  <c r="H64" i="52"/>
  <c r="H77" i="52" s="1"/>
  <c r="H72" i="52"/>
  <c r="H76" i="52" s="1"/>
  <c r="H66" i="52"/>
  <c r="H74" i="52" s="1"/>
  <c r="I84" i="51"/>
  <c r="I91" i="51" s="1"/>
  <c r="I89" i="51"/>
  <c r="I93" i="51" s="1"/>
  <c r="H64" i="57"/>
  <c r="H77" i="57" s="1"/>
  <c r="H66" i="57"/>
  <c r="H74" i="57" s="1"/>
  <c r="H72" i="57"/>
  <c r="H76" i="57" s="1"/>
  <c r="H84" i="57"/>
  <c r="H91" i="57" s="1"/>
  <c r="H89" i="57"/>
  <c r="H93" i="57" s="1"/>
  <c r="I64" i="53"/>
  <c r="I77" i="53" s="1"/>
  <c r="I72" i="53"/>
  <c r="I66" i="53"/>
  <c r="I74" i="53" s="1"/>
  <c r="H84" i="58"/>
  <c r="H91" i="58" s="1"/>
  <c r="H89" i="58"/>
  <c r="H93" i="58" s="1"/>
  <c r="H64" i="53"/>
  <c r="H77" i="53" s="1"/>
  <c r="H72" i="53"/>
  <c r="H66" i="53"/>
  <c r="H74" i="53" s="1"/>
  <c r="H64" i="58"/>
  <c r="H77" i="58" s="1"/>
  <c r="H72" i="58"/>
  <c r="H76" i="58" s="1"/>
  <c r="H66" i="58"/>
  <c r="H74" i="58" s="1"/>
  <c r="J100" i="45"/>
  <c r="J81" i="65" s="1"/>
  <c r="I81" i="58"/>
  <c r="I89" i="53"/>
  <c r="I84" i="53"/>
  <c r="I91" i="53" s="1"/>
  <c r="H64" i="51"/>
  <c r="H77" i="51" s="1"/>
  <c r="H66" i="51"/>
  <c r="H74" i="51" s="1"/>
  <c r="H72" i="51"/>
  <c r="H76" i="51" s="1"/>
  <c r="I84" i="52"/>
  <c r="I91" i="52" s="1"/>
  <c r="I89" i="52"/>
  <c r="I93" i="52" s="1"/>
  <c r="I63" i="57"/>
  <c r="I64" i="51"/>
  <c r="I77" i="51" s="1"/>
  <c r="I66" i="51"/>
  <c r="I74" i="51" s="1"/>
  <c r="I72" i="51"/>
  <c r="I76" i="51" s="1"/>
  <c r="I81" i="57"/>
  <c r="J99" i="45"/>
  <c r="J81" i="67" s="1"/>
  <c r="J98" i="45"/>
  <c r="J81" i="52" s="1"/>
  <c r="J97" i="45"/>
  <c r="J81" i="53" s="1"/>
  <c r="J83" i="45"/>
  <c r="I63" i="38"/>
  <c r="J87" i="45"/>
  <c r="J63" i="52" s="1"/>
  <c r="J82" i="45"/>
  <c r="J63" i="63" s="1"/>
  <c r="J92" i="45"/>
  <c r="J81" i="51" s="1"/>
  <c r="J89" i="45"/>
  <c r="J86" i="45"/>
  <c r="J63" i="53" s="1"/>
  <c r="J85" i="45"/>
  <c r="J63" i="62" s="1"/>
  <c r="J93" i="45"/>
  <c r="J81" i="63" s="1"/>
  <c r="J96" i="45"/>
  <c r="J81" i="62" s="1"/>
  <c r="J95" i="45"/>
  <c r="J81" i="45"/>
  <c r="J63" i="51" s="1"/>
  <c r="J94" i="45"/>
  <c r="I81" i="38"/>
  <c r="J84" i="45"/>
  <c r="J88" i="45"/>
  <c r="J63" i="67" s="1"/>
  <c r="AH97" i="47"/>
  <c r="AH99" i="47"/>
  <c r="AH95" i="47"/>
  <c r="AI75" i="47"/>
  <c r="AH102" i="47"/>
  <c r="AH96" i="47"/>
  <c r="AH98" i="47"/>
  <c r="AH100" i="47"/>
  <c r="AH92" i="47"/>
  <c r="AH93" i="47"/>
  <c r="AH94" i="47"/>
  <c r="I64" i="58" l="1"/>
  <c r="I77" i="58" s="1"/>
  <c r="I66" i="58"/>
  <c r="I74" i="58" s="1"/>
  <c r="I72" i="55"/>
  <c r="I76" i="55" s="1"/>
  <c r="I66" i="55"/>
  <c r="I74" i="55" s="1"/>
  <c r="I64" i="65"/>
  <c r="I77" i="65" s="1"/>
  <c r="I72" i="65"/>
  <c r="I76" i="65" s="1"/>
  <c r="I66" i="65"/>
  <c r="I74" i="65" s="1"/>
  <c r="J63" i="58"/>
  <c r="J66" i="58" s="1"/>
  <c r="J74" i="58" s="1"/>
  <c r="J63" i="65"/>
  <c r="J64" i="63"/>
  <c r="J77" i="63" s="1"/>
  <c r="J72" i="63"/>
  <c r="J66" i="63"/>
  <c r="J74" i="63" s="1"/>
  <c r="J64" i="67"/>
  <c r="J77" i="67" s="1"/>
  <c r="J72" i="67"/>
  <c r="J76" i="67" s="1"/>
  <c r="J66" i="67"/>
  <c r="J74" i="67" s="1"/>
  <c r="I64" i="64"/>
  <c r="I77" i="64" s="1"/>
  <c r="I66" i="64"/>
  <c r="I74" i="64" s="1"/>
  <c r="I72" i="64"/>
  <c r="J63" i="55"/>
  <c r="J64" i="55" s="1"/>
  <c r="J77" i="55" s="1"/>
  <c r="J63" i="66"/>
  <c r="J63" i="64"/>
  <c r="I64" i="66"/>
  <c r="I77" i="66" s="1"/>
  <c r="I72" i="66"/>
  <c r="I76" i="66" s="1"/>
  <c r="I66" i="66"/>
  <c r="I74" i="66" s="1"/>
  <c r="I84" i="55"/>
  <c r="I91" i="55" s="1"/>
  <c r="I82" i="64"/>
  <c r="I94" i="64" s="1"/>
  <c r="I84" i="64"/>
  <c r="I91" i="64" s="1"/>
  <c r="I89" i="64"/>
  <c r="I93" i="64" s="1"/>
  <c r="J82" i="63"/>
  <c r="J94" i="63" s="1"/>
  <c r="J84" i="63"/>
  <c r="J91" i="63" s="1"/>
  <c r="J89" i="63"/>
  <c r="J93" i="63" s="1"/>
  <c r="I82" i="66"/>
  <c r="I94" i="66" s="1"/>
  <c r="I89" i="66"/>
  <c r="I93" i="66" s="1"/>
  <c r="I84" i="66"/>
  <c r="I91" i="66" s="1"/>
  <c r="J82" i="65"/>
  <c r="J94" i="65" s="1"/>
  <c r="J84" i="65"/>
  <c r="J91" i="65" s="1"/>
  <c r="J89" i="65"/>
  <c r="J93" i="65" s="1"/>
  <c r="J81" i="55"/>
  <c r="J84" i="55" s="1"/>
  <c r="J91" i="55" s="1"/>
  <c r="J81" i="66"/>
  <c r="J81" i="64"/>
  <c r="J82" i="67"/>
  <c r="J94" i="67" s="1"/>
  <c r="J84" i="67"/>
  <c r="J91" i="67" s="1"/>
  <c r="J89" i="67"/>
  <c r="J93" i="67" s="1"/>
  <c r="J82" i="62"/>
  <c r="J94" i="62" s="1"/>
  <c r="J89" i="62"/>
  <c r="J93" i="62" s="1"/>
  <c r="J84" i="62"/>
  <c r="J91" i="62" s="1"/>
  <c r="J64" i="62"/>
  <c r="J77" i="62" s="1"/>
  <c r="J72" i="62"/>
  <c r="J66" i="62"/>
  <c r="J74" i="62" s="1"/>
  <c r="I64" i="61"/>
  <c r="I77" i="61" s="1"/>
  <c r="I72" i="61"/>
  <c r="I76" i="61" s="1"/>
  <c r="I66" i="61"/>
  <c r="I74" i="61" s="1"/>
  <c r="I82" i="61"/>
  <c r="I94" i="61" s="1"/>
  <c r="I89" i="61"/>
  <c r="I93" i="61" s="1"/>
  <c r="I84" i="61"/>
  <c r="I91" i="61" s="1"/>
  <c r="J63" i="61"/>
  <c r="J81" i="61"/>
  <c r="J63" i="57"/>
  <c r="I89" i="58"/>
  <c r="I93" i="58" s="1"/>
  <c r="I84" i="58"/>
  <c r="I91" i="58" s="1"/>
  <c r="J89" i="52"/>
  <c r="J93" i="52" s="1"/>
  <c r="J84" i="52"/>
  <c r="J91" i="52" s="1"/>
  <c r="K100" i="45"/>
  <c r="K81" i="65" s="1"/>
  <c r="J81" i="58"/>
  <c r="J89" i="51"/>
  <c r="J93" i="51" s="1"/>
  <c r="J84" i="51"/>
  <c r="J91" i="51" s="1"/>
  <c r="I84" i="57"/>
  <c r="I91" i="57" s="1"/>
  <c r="I89" i="57"/>
  <c r="I93" i="57" s="1"/>
  <c r="I64" i="57"/>
  <c r="I77" i="57" s="1"/>
  <c r="I66" i="57"/>
  <c r="I74" i="57" s="1"/>
  <c r="I72" i="57"/>
  <c r="I76" i="57" s="1"/>
  <c r="J64" i="51"/>
  <c r="J77" i="51" s="1"/>
  <c r="J72" i="51"/>
  <c r="J76" i="51" s="1"/>
  <c r="J66" i="51"/>
  <c r="J74" i="51" s="1"/>
  <c r="J64" i="52"/>
  <c r="J77" i="52" s="1"/>
  <c r="J72" i="52"/>
  <c r="J76" i="52" s="1"/>
  <c r="J66" i="52"/>
  <c r="J74" i="52" s="1"/>
  <c r="J81" i="57"/>
  <c r="J64" i="53"/>
  <c r="J77" i="53" s="1"/>
  <c r="J66" i="53"/>
  <c r="J74" i="53" s="1"/>
  <c r="J72" i="53"/>
  <c r="J84" i="53"/>
  <c r="J91" i="53" s="1"/>
  <c r="J89" i="53"/>
  <c r="K98" i="45"/>
  <c r="K81" i="52" s="1"/>
  <c r="K99" i="45"/>
  <c r="K81" i="67" s="1"/>
  <c r="K97" i="45"/>
  <c r="K81" i="53" s="1"/>
  <c r="K86" i="45"/>
  <c r="K63" i="53" s="1"/>
  <c r="K92" i="45"/>
  <c r="K81" i="51" s="1"/>
  <c r="K81" i="45"/>
  <c r="K63" i="51" s="1"/>
  <c r="K87" i="45"/>
  <c r="K63" i="52" s="1"/>
  <c r="K89" i="45"/>
  <c r="K82" i="45"/>
  <c r="K63" i="63" s="1"/>
  <c r="K94" i="45"/>
  <c r="J81" i="38"/>
  <c r="K95" i="45"/>
  <c r="K96" i="45"/>
  <c r="K81" i="62" s="1"/>
  <c r="K93" i="45"/>
  <c r="K81" i="63" s="1"/>
  <c r="K85" i="45"/>
  <c r="K63" i="62" s="1"/>
  <c r="K88" i="45"/>
  <c r="K63" i="67" s="1"/>
  <c r="K84" i="45"/>
  <c r="K83" i="45"/>
  <c r="J63" i="38"/>
  <c r="AM52" i="47"/>
  <c r="AM56" i="47"/>
  <c r="AM53" i="47"/>
  <c r="AM57" i="47"/>
  <c r="AM54" i="47"/>
  <c r="AM55" i="47"/>
  <c r="AM35" i="47"/>
  <c r="AI99" i="47"/>
  <c r="AI97" i="47"/>
  <c r="AM19" i="47"/>
  <c r="AM51" i="47"/>
  <c r="AM79" i="47"/>
  <c r="AM77" i="47"/>
  <c r="AM82" i="47"/>
  <c r="AM76" i="47"/>
  <c r="AM67" i="47"/>
  <c r="AI102" i="47"/>
  <c r="AM26" i="47"/>
  <c r="AM25" i="47"/>
  <c r="AM34" i="47"/>
  <c r="AM50" i="47"/>
  <c r="AM24" i="47"/>
  <c r="AM49" i="47"/>
  <c r="AM75" i="47"/>
  <c r="AM31" i="47"/>
  <c r="AM6" i="47"/>
  <c r="AM37" i="47"/>
  <c r="AM40" i="47"/>
  <c r="AM41" i="47"/>
  <c r="AM22" i="47"/>
  <c r="AM38" i="47"/>
  <c r="AM58" i="47"/>
  <c r="AM9" i="47"/>
  <c r="AM7" i="47"/>
  <c r="AM10" i="47"/>
  <c r="AM8" i="47"/>
  <c r="AM66" i="47"/>
  <c r="AM39" i="47"/>
  <c r="AM61" i="47"/>
  <c r="AM13" i="47"/>
  <c r="AM23" i="47"/>
  <c r="AM62" i="47"/>
  <c r="AM16" i="47"/>
  <c r="AM64" i="47"/>
  <c r="AM29" i="47"/>
  <c r="AM14" i="47"/>
  <c r="AM65" i="47"/>
  <c r="AM17" i="47"/>
  <c r="AM32" i="47"/>
  <c r="AM45" i="47"/>
  <c r="AM46" i="47"/>
  <c r="AM30" i="47"/>
  <c r="AM63" i="47"/>
  <c r="AM21" i="47"/>
  <c r="AM47" i="47"/>
  <c r="AM42" i="47"/>
  <c r="AM33" i="47"/>
  <c r="AM48" i="47"/>
  <c r="AM18" i="47"/>
  <c r="AM15" i="47"/>
  <c r="AM5" i="47"/>
  <c r="AM44" i="47"/>
  <c r="AM43" i="47"/>
  <c r="AI96" i="47"/>
  <c r="AM60" i="47"/>
  <c r="AM70" i="47"/>
  <c r="AM4" i="47"/>
  <c r="AM28" i="47"/>
  <c r="AM72" i="47"/>
  <c r="AM12" i="47"/>
  <c r="AI100" i="47"/>
  <c r="AI98" i="47"/>
  <c r="AI92" i="47"/>
  <c r="AM69" i="47"/>
  <c r="AM20" i="47"/>
  <c r="AM27" i="47"/>
  <c r="AM3" i="47"/>
  <c r="AM78" i="47"/>
  <c r="AM59" i="47"/>
  <c r="AM80" i="47"/>
  <c r="AM73" i="47"/>
  <c r="AM36" i="47"/>
  <c r="AM68" i="47"/>
  <c r="AM74" i="47"/>
  <c r="AM11" i="47"/>
  <c r="AI93" i="47"/>
  <c r="AM71" i="47"/>
  <c r="AI95" i="47"/>
  <c r="AM81" i="47"/>
  <c r="AI94" i="47"/>
  <c r="J72" i="58" l="1"/>
  <c r="J76" i="58" s="1"/>
  <c r="J72" i="55"/>
  <c r="J76" i="55" s="1"/>
  <c r="J64" i="58"/>
  <c r="J77" i="58" s="1"/>
  <c r="J66" i="55"/>
  <c r="J74" i="55" s="1"/>
  <c r="J64" i="64"/>
  <c r="J77" i="64" s="1"/>
  <c r="J72" i="64"/>
  <c r="J66" i="64"/>
  <c r="J74" i="64" s="1"/>
  <c r="J64" i="65"/>
  <c r="J77" i="65" s="1"/>
  <c r="J66" i="65"/>
  <c r="J74" i="65" s="1"/>
  <c r="J72" i="65"/>
  <c r="J76" i="65" s="1"/>
  <c r="J64" i="66"/>
  <c r="J77" i="66" s="1"/>
  <c r="J72" i="66"/>
  <c r="J76" i="66" s="1"/>
  <c r="J66" i="66"/>
  <c r="J74" i="66" s="1"/>
  <c r="K64" i="67"/>
  <c r="K77" i="67" s="1"/>
  <c r="K72" i="67"/>
  <c r="K76" i="67" s="1"/>
  <c r="K66" i="67"/>
  <c r="K74" i="67" s="1"/>
  <c r="K64" i="63"/>
  <c r="K77" i="63" s="1"/>
  <c r="K72" i="63"/>
  <c r="K66" i="63"/>
  <c r="K74" i="63" s="1"/>
  <c r="K63" i="58"/>
  <c r="K64" i="58" s="1"/>
  <c r="K77" i="58" s="1"/>
  <c r="K63" i="65"/>
  <c r="K63" i="55"/>
  <c r="K66" i="55" s="1"/>
  <c r="K74" i="55" s="1"/>
  <c r="K63" i="66"/>
  <c r="K63" i="64"/>
  <c r="J89" i="55"/>
  <c r="J93" i="55" s="1"/>
  <c r="K89" i="63"/>
  <c r="K93" i="63" s="1"/>
  <c r="K82" i="63"/>
  <c r="K94" i="63" s="1"/>
  <c r="K84" i="63"/>
  <c r="K91" i="63" s="1"/>
  <c r="K82" i="65"/>
  <c r="K94" i="65" s="1"/>
  <c r="K89" i="65"/>
  <c r="K93" i="65" s="1"/>
  <c r="K84" i="65"/>
  <c r="K91" i="65" s="1"/>
  <c r="K82" i="67"/>
  <c r="K94" i="67" s="1"/>
  <c r="K84" i="67"/>
  <c r="K91" i="67" s="1"/>
  <c r="K89" i="67"/>
  <c r="K93" i="67" s="1"/>
  <c r="K81" i="55"/>
  <c r="K84" i="55" s="1"/>
  <c r="K91" i="55" s="1"/>
  <c r="K81" i="66"/>
  <c r="K81" i="64"/>
  <c r="J82" i="64"/>
  <c r="J94" i="64" s="1"/>
  <c r="J89" i="64"/>
  <c r="J93" i="64" s="1"/>
  <c r="J84" i="64"/>
  <c r="J91" i="64" s="1"/>
  <c r="J82" i="66"/>
  <c r="J94" i="66" s="1"/>
  <c r="J89" i="66"/>
  <c r="J93" i="66" s="1"/>
  <c r="J84" i="66"/>
  <c r="J91" i="66" s="1"/>
  <c r="K64" i="62"/>
  <c r="K77" i="62" s="1"/>
  <c r="K66" i="62"/>
  <c r="K74" i="62" s="1"/>
  <c r="K72" i="62"/>
  <c r="K82" i="62"/>
  <c r="K94" i="62" s="1"/>
  <c r="K89" i="62"/>
  <c r="K93" i="62" s="1"/>
  <c r="K84" i="62"/>
  <c r="K91" i="62" s="1"/>
  <c r="K81" i="61"/>
  <c r="J82" i="61"/>
  <c r="J94" i="61" s="1"/>
  <c r="J89" i="61"/>
  <c r="J93" i="61" s="1"/>
  <c r="J84" i="61"/>
  <c r="J91" i="61" s="1"/>
  <c r="J64" i="61"/>
  <c r="J77" i="61" s="1"/>
  <c r="J66" i="61"/>
  <c r="J74" i="61" s="1"/>
  <c r="J72" i="61"/>
  <c r="J76" i="61" s="1"/>
  <c r="K63" i="61"/>
  <c r="K81" i="57"/>
  <c r="K63" i="57"/>
  <c r="K84" i="52"/>
  <c r="K91" i="52" s="1"/>
  <c r="K89" i="52"/>
  <c r="K93" i="52" s="1"/>
  <c r="K89" i="53"/>
  <c r="K84" i="53"/>
  <c r="K91" i="53" s="1"/>
  <c r="J89" i="57"/>
  <c r="J93" i="57" s="1"/>
  <c r="J84" i="57"/>
  <c r="J91" i="57" s="1"/>
  <c r="J64" i="57"/>
  <c r="J77" i="57" s="1"/>
  <c r="J66" i="57"/>
  <c r="J74" i="57" s="1"/>
  <c r="J72" i="57"/>
  <c r="J76" i="57" s="1"/>
  <c r="K64" i="51"/>
  <c r="K77" i="51" s="1"/>
  <c r="K72" i="51"/>
  <c r="K76" i="51" s="1"/>
  <c r="K66" i="51"/>
  <c r="K74" i="51" s="1"/>
  <c r="J84" i="58"/>
  <c r="J91" i="58" s="1"/>
  <c r="J89" i="58"/>
  <c r="J93" i="58" s="1"/>
  <c r="K89" i="51"/>
  <c r="K93" i="51" s="1"/>
  <c r="K84" i="51"/>
  <c r="K91" i="51" s="1"/>
  <c r="L100" i="45"/>
  <c r="L81" i="65" s="1"/>
  <c r="K81" i="58"/>
  <c r="K64" i="52"/>
  <c r="K77" i="52" s="1"/>
  <c r="K72" i="52"/>
  <c r="K76" i="52" s="1"/>
  <c r="K66" i="52"/>
  <c r="K74" i="52" s="1"/>
  <c r="K64" i="53"/>
  <c r="K77" i="53" s="1"/>
  <c r="K66" i="53"/>
  <c r="K74" i="53" s="1"/>
  <c r="K72" i="53"/>
  <c r="L99" i="45"/>
  <c r="L81" i="67" s="1"/>
  <c r="L97" i="45"/>
  <c r="L81" i="53" s="1"/>
  <c r="L98" i="45"/>
  <c r="L81" i="52" s="1"/>
  <c r="L89" i="45"/>
  <c r="L82" i="45"/>
  <c r="L63" i="63" s="1"/>
  <c r="L93" i="45"/>
  <c r="L81" i="63" s="1"/>
  <c r="L87" i="45"/>
  <c r="L63" i="52" s="1"/>
  <c r="L96" i="45"/>
  <c r="L81" i="62" s="1"/>
  <c r="L83" i="45"/>
  <c r="K63" i="38"/>
  <c r="L95" i="45"/>
  <c r="L92" i="45"/>
  <c r="L81" i="51" s="1"/>
  <c r="L88" i="45"/>
  <c r="L63" i="67" s="1"/>
  <c r="L84" i="45"/>
  <c r="L85" i="45"/>
  <c r="L63" i="62" s="1"/>
  <c r="L81" i="45"/>
  <c r="L63" i="51" s="1"/>
  <c r="L94" i="45"/>
  <c r="K81" i="38"/>
  <c r="L86" i="45"/>
  <c r="L63" i="53" s="1"/>
  <c r="K72" i="58" l="1"/>
  <c r="K76" i="58" s="1"/>
  <c r="K66" i="58"/>
  <c r="K74" i="58" s="1"/>
  <c r="K64" i="65"/>
  <c r="K77" i="65" s="1"/>
  <c r="K66" i="65"/>
  <c r="K74" i="65" s="1"/>
  <c r="K72" i="65"/>
  <c r="K76" i="65" s="1"/>
  <c r="L64" i="67"/>
  <c r="L77" i="67" s="1"/>
  <c r="L66" i="67"/>
  <c r="L74" i="67" s="1"/>
  <c r="L72" i="67"/>
  <c r="L76" i="67" s="1"/>
  <c r="K64" i="64"/>
  <c r="K77" i="64" s="1"/>
  <c r="K66" i="64"/>
  <c r="K74" i="64" s="1"/>
  <c r="K72" i="64"/>
  <c r="L63" i="55"/>
  <c r="L64" i="55" s="1"/>
  <c r="L77" i="55" s="1"/>
  <c r="L63" i="66"/>
  <c r="L63" i="64"/>
  <c r="K72" i="55"/>
  <c r="K76" i="55" s="1"/>
  <c r="K64" i="66"/>
  <c r="K77" i="66" s="1"/>
  <c r="K66" i="66"/>
  <c r="K74" i="66" s="1"/>
  <c r="K72" i="66"/>
  <c r="K76" i="66" s="1"/>
  <c r="K64" i="55"/>
  <c r="K77" i="55" s="1"/>
  <c r="L64" i="63"/>
  <c r="L77" i="63" s="1"/>
  <c r="L72" i="63"/>
  <c r="L66" i="63"/>
  <c r="L74" i="63" s="1"/>
  <c r="L63" i="58"/>
  <c r="L64" i="58" s="1"/>
  <c r="L77" i="58" s="1"/>
  <c r="L63" i="65"/>
  <c r="K89" i="55"/>
  <c r="K93" i="55" s="1"/>
  <c r="L82" i="67"/>
  <c r="L94" i="67" s="1"/>
  <c r="L84" i="67"/>
  <c r="L91" i="67" s="1"/>
  <c r="L89" i="67"/>
  <c r="L93" i="67" s="1"/>
  <c r="L82" i="65"/>
  <c r="L94" i="65" s="1"/>
  <c r="L84" i="65"/>
  <c r="L91" i="65" s="1"/>
  <c r="L89" i="65"/>
  <c r="L93" i="65" s="1"/>
  <c r="K82" i="66"/>
  <c r="K94" i="66" s="1"/>
  <c r="K84" i="66"/>
  <c r="K91" i="66" s="1"/>
  <c r="K89" i="66"/>
  <c r="K93" i="66" s="1"/>
  <c r="L82" i="63"/>
  <c r="L94" i="63" s="1"/>
  <c r="L84" i="63"/>
  <c r="L91" i="63" s="1"/>
  <c r="L89" i="63"/>
  <c r="L93" i="63" s="1"/>
  <c r="L81" i="55"/>
  <c r="L84" i="55" s="1"/>
  <c r="L91" i="55" s="1"/>
  <c r="L81" i="66"/>
  <c r="L81" i="64"/>
  <c r="K82" i="64"/>
  <c r="K94" i="64" s="1"/>
  <c r="K89" i="64"/>
  <c r="K93" i="64" s="1"/>
  <c r="K84" i="64"/>
  <c r="K91" i="64" s="1"/>
  <c r="L82" i="62"/>
  <c r="L94" i="62" s="1"/>
  <c r="L89" i="62"/>
  <c r="L93" i="62" s="1"/>
  <c r="L84" i="62"/>
  <c r="L91" i="62" s="1"/>
  <c r="L64" i="62"/>
  <c r="L77" i="62" s="1"/>
  <c r="L66" i="62"/>
  <c r="L74" i="62" s="1"/>
  <c r="L72" i="62"/>
  <c r="L63" i="61"/>
  <c r="K64" i="61"/>
  <c r="K77" i="61" s="1"/>
  <c r="K66" i="61"/>
  <c r="K74" i="61" s="1"/>
  <c r="K72" i="61"/>
  <c r="K76" i="61" s="1"/>
  <c r="K82" i="61"/>
  <c r="K94" i="61" s="1"/>
  <c r="K89" i="61"/>
  <c r="K93" i="61" s="1"/>
  <c r="K84" i="61"/>
  <c r="K91" i="61" s="1"/>
  <c r="L81" i="61"/>
  <c r="L81" i="57"/>
  <c r="L64" i="52"/>
  <c r="L77" i="52" s="1"/>
  <c r="L72" i="52"/>
  <c r="L76" i="52" s="1"/>
  <c r="L66" i="52"/>
  <c r="L74" i="52" s="1"/>
  <c r="L64" i="53"/>
  <c r="L77" i="53" s="1"/>
  <c r="L66" i="53"/>
  <c r="L74" i="53" s="1"/>
  <c r="L72" i="53"/>
  <c r="L64" i="51"/>
  <c r="L77" i="51" s="1"/>
  <c r="L72" i="51"/>
  <c r="L76" i="51" s="1"/>
  <c r="L66" i="51"/>
  <c r="L74" i="51" s="1"/>
  <c r="L84" i="52"/>
  <c r="L91" i="52" s="1"/>
  <c r="L89" i="52"/>
  <c r="L93" i="52" s="1"/>
  <c r="L89" i="53"/>
  <c r="L84" i="53"/>
  <c r="L91" i="53" s="1"/>
  <c r="L63" i="57"/>
  <c r="K64" i="57"/>
  <c r="K77" i="57" s="1"/>
  <c r="K66" i="57"/>
  <c r="K74" i="57" s="1"/>
  <c r="K72" i="57"/>
  <c r="K76" i="57" s="1"/>
  <c r="L89" i="51"/>
  <c r="L93" i="51" s="1"/>
  <c r="L84" i="51"/>
  <c r="L91" i="51" s="1"/>
  <c r="K89" i="58"/>
  <c r="K93" i="58" s="1"/>
  <c r="K84" i="58"/>
  <c r="K91" i="58" s="1"/>
  <c r="M100" i="45"/>
  <c r="M81" i="65" s="1"/>
  <c r="AO119" i="2" s="1"/>
  <c r="L81" i="58"/>
  <c r="K89" i="57"/>
  <c r="K93" i="57" s="1"/>
  <c r="K84" i="57"/>
  <c r="K91" i="57" s="1"/>
  <c r="M98" i="45"/>
  <c r="M81" i="52" s="1"/>
  <c r="AO86" i="2" s="1"/>
  <c r="M97" i="45"/>
  <c r="M81" i="53" s="1"/>
  <c r="AO75" i="2" s="1"/>
  <c r="M99" i="45"/>
  <c r="M81" i="67" s="1"/>
  <c r="AO152" i="2" s="1"/>
  <c r="M83" i="45"/>
  <c r="L63" i="38"/>
  <c r="M87" i="45"/>
  <c r="M63" i="52" s="1"/>
  <c r="AN86" i="2" s="1"/>
  <c r="AH86" i="2" s="1"/>
  <c r="F90" i="79" s="1"/>
  <c r="R90" i="79" s="1"/>
  <c r="M92" i="45"/>
  <c r="M81" i="51" s="1"/>
  <c r="AO64" i="2" s="1"/>
  <c r="M81" i="45"/>
  <c r="M63" i="51" s="1"/>
  <c r="AN64" i="2" s="1"/>
  <c r="AH64" i="2" s="1"/>
  <c r="F66" i="79" s="1"/>
  <c r="R66" i="79" s="1"/>
  <c r="M85" i="45"/>
  <c r="M63" i="62" s="1"/>
  <c r="AN31" i="2" s="1"/>
  <c r="AH31" i="2" s="1"/>
  <c r="F30" i="79" s="1"/>
  <c r="R30" i="79" s="1"/>
  <c r="M96" i="45"/>
  <c r="M81" i="62" s="1"/>
  <c r="AO31" i="2" s="1"/>
  <c r="M88" i="45"/>
  <c r="M63" i="67" s="1"/>
  <c r="AN152" i="2" s="1"/>
  <c r="AH152" i="2" s="1"/>
  <c r="F162" i="79" s="1"/>
  <c r="R162" i="79" s="1"/>
  <c r="M86" i="45"/>
  <c r="M63" i="53" s="1"/>
  <c r="AN75" i="2" s="1"/>
  <c r="AH75" i="2" s="1"/>
  <c r="F78" i="79" s="1"/>
  <c r="R78" i="79" s="1"/>
  <c r="M82" i="45"/>
  <c r="M63" i="63" s="1"/>
  <c r="AN42" i="2" s="1"/>
  <c r="AH42" i="2" s="1"/>
  <c r="F42" i="79" s="1"/>
  <c r="R42" i="79" s="1"/>
  <c r="M95" i="45"/>
  <c r="M84" i="45"/>
  <c r="M93" i="45"/>
  <c r="M81" i="63" s="1"/>
  <c r="AO42" i="2" s="1"/>
  <c r="M94" i="45"/>
  <c r="L81" i="38"/>
  <c r="M89" i="45"/>
  <c r="AI86" i="2" l="1"/>
  <c r="G90" i="79" s="1"/>
  <c r="S90" i="79" s="1"/>
  <c r="AI31" i="2"/>
  <c r="G30" i="79" s="1"/>
  <c r="S30" i="79" s="1"/>
  <c r="AI42" i="2"/>
  <c r="G42" i="79" s="1"/>
  <c r="S42" i="79" s="1"/>
  <c r="AI152" i="2"/>
  <c r="G162" i="79" s="1"/>
  <c r="S162" i="79" s="1"/>
  <c r="AI75" i="2"/>
  <c r="G78" i="79" s="1"/>
  <c r="S78" i="79" s="1"/>
  <c r="AI64" i="2"/>
  <c r="G66" i="79" s="1"/>
  <c r="S66" i="79" s="1"/>
  <c r="M64" i="63"/>
  <c r="M77" i="63" s="1"/>
  <c r="M72" i="63"/>
  <c r="M66" i="63"/>
  <c r="M74" i="63" s="1"/>
  <c r="L66" i="58"/>
  <c r="L74" i="58" s="1"/>
  <c r="L72" i="58"/>
  <c r="L76" i="58" s="1"/>
  <c r="L66" i="55"/>
  <c r="L74" i="55" s="1"/>
  <c r="L72" i="55"/>
  <c r="L76" i="55" s="1"/>
  <c r="M64" i="67"/>
  <c r="M77" i="67" s="1"/>
  <c r="M72" i="67"/>
  <c r="M76" i="67" s="1"/>
  <c r="M66" i="67"/>
  <c r="M74" i="67" s="1"/>
  <c r="M63" i="55"/>
  <c r="M63" i="66"/>
  <c r="AN141" i="2" s="1"/>
  <c r="AH141" i="2" s="1"/>
  <c r="F150" i="79" s="1"/>
  <c r="R150" i="79" s="1"/>
  <c r="M63" i="64"/>
  <c r="AN53" i="2" s="1"/>
  <c r="AH53" i="2" s="1"/>
  <c r="F54" i="79" s="1"/>
  <c r="R54" i="79" s="1"/>
  <c r="L64" i="64"/>
  <c r="L77" i="64" s="1"/>
  <c r="L72" i="64"/>
  <c r="L66" i="64"/>
  <c r="L74" i="64" s="1"/>
  <c r="M63" i="58"/>
  <c r="M63" i="65"/>
  <c r="AN119" i="2" s="1"/>
  <c r="AH119" i="2" s="1"/>
  <c r="F126" i="79" s="1"/>
  <c r="R126" i="79" s="1"/>
  <c r="L64" i="65"/>
  <c r="L77" i="65" s="1"/>
  <c r="L66" i="65"/>
  <c r="L74" i="65" s="1"/>
  <c r="L72" i="65"/>
  <c r="L76" i="65" s="1"/>
  <c r="L64" i="66"/>
  <c r="L77" i="66" s="1"/>
  <c r="L66" i="66"/>
  <c r="L74" i="66" s="1"/>
  <c r="L72" i="66"/>
  <c r="L76" i="66" s="1"/>
  <c r="L89" i="55"/>
  <c r="L93" i="55" s="1"/>
  <c r="M82" i="63"/>
  <c r="M94" i="63" s="1"/>
  <c r="M89" i="63"/>
  <c r="M93" i="63" s="1"/>
  <c r="M84" i="63"/>
  <c r="M91" i="63" s="1"/>
  <c r="M82" i="67"/>
  <c r="M94" i="67" s="1"/>
  <c r="M89" i="67"/>
  <c r="M93" i="67" s="1"/>
  <c r="M84" i="67"/>
  <c r="M91" i="67" s="1"/>
  <c r="M81" i="55"/>
  <c r="M81" i="66"/>
  <c r="AO141" i="2" s="1"/>
  <c r="M81" i="64"/>
  <c r="AO53" i="2" s="1"/>
  <c r="L82" i="64"/>
  <c r="L94" i="64" s="1"/>
  <c r="L89" i="64"/>
  <c r="L93" i="64" s="1"/>
  <c r="L84" i="64"/>
  <c r="L91" i="64" s="1"/>
  <c r="L82" i="66"/>
  <c r="L94" i="66" s="1"/>
  <c r="L89" i="66"/>
  <c r="L93" i="66" s="1"/>
  <c r="L84" i="66"/>
  <c r="L91" i="66" s="1"/>
  <c r="M82" i="65"/>
  <c r="M94" i="65" s="1"/>
  <c r="M84" i="65"/>
  <c r="M91" i="65" s="1"/>
  <c r="M89" i="65"/>
  <c r="M93" i="65" s="1"/>
  <c r="M82" i="62"/>
  <c r="M94" i="62" s="1"/>
  <c r="M89" i="62"/>
  <c r="M93" i="62" s="1"/>
  <c r="M84" i="62"/>
  <c r="M91" i="62" s="1"/>
  <c r="M64" i="62"/>
  <c r="M77" i="62" s="1"/>
  <c r="M72" i="62"/>
  <c r="M66" i="62"/>
  <c r="M74" i="62" s="1"/>
  <c r="L82" i="61"/>
  <c r="L94" i="61" s="1"/>
  <c r="L89" i="61"/>
  <c r="L93" i="61" s="1"/>
  <c r="L84" i="61"/>
  <c r="L91" i="61" s="1"/>
  <c r="M81" i="61"/>
  <c r="AO9" i="2" s="1"/>
  <c r="L64" i="61"/>
  <c r="L77" i="61" s="1"/>
  <c r="L72" i="61"/>
  <c r="L76" i="61" s="1"/>
  <c r="L66" i="61"/>
  <c r="L74" i="61" s="1"/>
  <c r="M63" i="61"/>
  <c r="AN9" i="2" s="1"/>
  <c r="AH9" i="2" s="1"/>
  <c r="F6" i="79" s="1"/>
  <c r="R6" i="79" s="1"/>
  <c r="M64" i="52"/>
  <c r="M77" i="52" s="1"/>
  <c r="M72" i="52"/>
  <c r="M76" i="52" s="1"/>
  <c r="M66" i="52"/>
  <c r="M74" i="52" s="1"/>
  <c r="L84" i="58"/>
  <c r="L91" i="58" s="1"/>
  <c r="L89" i="58"/>
  <c r="L93" i="58" s="1"/>
  <c r="N100" i="45"/>
  <c r="N81" i="65" s="1"/>
  <c r="M81" i="58"/>
  <c r="AO108" i="2" s="1"/>
  <c r="M89" i="53"/>
  <c r="M84" i="53"/>
  <c r="M91" i="53" s="1"/>
  <c r="M64" i="51"/>
  <c r="M77" i="51" s="1"/>
  <c r="M66" i="51"/>
  <c r="M74" i="51" s="1"/>
  <c r="M72" i="51"/>
  <c r="M76" i="51" s="1"/>
  <c r="M84" i="52"/>
  <c r="M91" i="52" s="1"/>
  <c r="M89" i="52"/>
  <c r="M93" i="52" s="1"/>
  <c r="L64" i="57"/>
  <c r="L77" i="57" s="1"/>
  <c r="L66" i="57"/>
  <c r="L74" i="57" s="1"/>
  <c r="L72" i="57"/>
  <c r="L76" i="57" s="1"/>
  <c r="M64" i="53"/>
  <c r="M77" i="53" s="1"/>
  <c r="M66" i="53"/>
  <c r="M74" i="53" s="1"/>
  <c r="M72" i="53"/>
  <c r="L89" i="57"/>
  <c r="L93" i="57" s="1"/>
  <c r="L84" i="57"/>
  <c r="L91" i="57" s="1"/>
  <c r="M81" i="57"/>
  <c r="AO97" i="2" s="1"/>
  <c r="M63" i="57"/>
  <c r="AN97" i="2" s="1"/>
  <c r="AH97" i="2" s="1"/>
  <c r="F102" i="79" s="1"/>
  <c r="R102" i="79" s="1"/>
  <c r="M89" i="51"/>
  <c r="M93" i="51" s="1"/>
  <c r="M84" i="51"/>
  <c r="M91" i="51" s="1"/>
  <c r="N97" i="45"/>
  <c r="N81" i="53" s="1"/>
  <c r="N99" i="45"/>
  <c r="N81" i="67" s="1"/>
  <c r="N98" i="45"/>
  <c r="N81" i="52" s="1"/>
  <c r="N93" i="45"/>
  <c r="N81" i="63" s="1"/>
  <c r="N92" i="45"/>
  <c r="N81" i="51" s="1"/>
  <c r="N87" i="45"/>
  <c r="N63" i="52" s="1"/>
  <c r="N85" i="45"/>
  <c r="N63" i="62" s="1"/>
  <c r="N95" i="45"/>
  <c r="N86" i="45"/>
  <c r="N63" i="53" s="1"/>
  <c r="N84" i="45"/>
  <c r="N81" i="45"/>
  <c r="N63" i="51" s="1"/>
  <c r="N82" i="45"/>
  <c r="N63" i="63" s="1"/>
  <c r="N88" i="45"/>
  <c r="N63" i="67" s="1"/>
  <c r="N96" i="45"/>
  <c r="N81" i="62" s="1"/>
  <c r="N89" i="45"/>
  <c r="N94" i="45"/>
  <c r="M81" i="38"/>
  <c r="AO20" i="2" s="1"/>
  <c r="N83" i="45"/>
  <c r="M63" i="38"/>
  <c r="AN20" i="2" s="1"/>
  <c r="AH20" i="2" s="1"/>
  <c r="F18" i="79" s="1"/>
  <c r="R18" i="79" s="1"/>
  <c r="AI97" i="2" l="1"/>
  <c r="G102" i="79" s="1"/>
  <c r="S102" i="79" s="1"/>
  <c r="AI9" i="2"/>
  <c r="G6" i="79" s="1"/>
  <c r="S6" i="79" s="1"/>
  <c r="AI119" i="2"/>
  <c r="G126" i="79" s="1"/>
  <c r="S126" i="79" s="1"/>
  <c r="AI53" i="2"/>
  <c r="G54" i="79" s="1"/>
  <c r="S54" i="79" s="1"/>
  <c r="AI141" i="2"/>
  <c r="G150" i="79" s="1"/>
  <c r="S150" i="79" s="1"/>
  <c r="M84" i="55"/>
  <c r="M91" i="55" s="1"/>
  <c r="AO130" i="2"/>
  <c r="M64" i="55"/>
  <c r="M77" i="55" s="1"/>
  <c r="AN130" i="2"/>
  <c r="AH130" i="2" s="1"/>
  <c r="F138" i="79" s="1"/>
  <c r="R138" i="79" s="1"/>
  <c r="M64" i="58"/>
  <c r="M77" i="58" s="1"/>
  <c r="AN108" i="2"/>
  <c r="AH108" i="2" s="1"/>
  <c r="F114" i="79" s="1"/>
  <c r="R114" i="79" s="1"/>
  <c r="AI20" i="2"/>
  <c r="G18" i="79" s="1"/>
  <c r="S18" i="79" s="1"/>
  <c r="M66" i="55"/>
  <c r="M74" i="55" s="1"/>
  <c r="M72" i="55"/>
  <c r="M76" i="55" s="1"/>
  <c r="M66" i="58"/>
  <c r="M74" i="58" s="1"/>
  <c r="M72" i="58"/>
  <c r="M76" i="58" s="1"/>
  <c r="N63" i="55"/>
  <c r="N72" i="55" s="1"/>
  <c r="N76" i="55" s="1"/>
  <c r="N63" i="66"/>
  <c r="N63" i="64"/>
  <c r="M64" i="65"/>
  <c r="M77" i="65" s="1"/>
  <c r="M72" i="65"/>
  <c r="M76" i="65" s="1"/>
  <c r="M66" i="65"/>
  <c r="M74" i="65" s="1"/>
  <c r="N63" i="58"/>
  <c r="N66" i="58" s="1"/>
  <c r="N74" i="58" s="1"/>
  <c r="N63" i="65"/>
  <c r="M64" i="64"/>
  <c r="M77" i="64" s="1"/>
  <c r="M66" i="64"/>
  <c r="M74" i="64" s="1"/>
  <c r="M72" i="64"/>
  <c r="M64" i="66"/>
  <c r="M77" i="66" s="1"/>
  <c r="M72" i="66"/>
  <c r="M76" i="66" s="1"/>
  <c r="M66" i="66"/>
  <c r="M74" i="66" s="1"/>
  <c r="N66" i="67"/>
  <c r="N74" i="67" s="1"/>
  <c r="N72" i="67"/>
  <c r="N76" i="67" s="1"/>
  <c r="N64" i="67"/>
  <c r="N77" i="67" s="1"/>
  <c r="N64" i="63"/>
  <c r="N77" i="63" s="1"/>
  <c r="N66" i="63"/>
  <c r="N74" i="63" s="1"/>
  <c r="N72" i="63"/>
  <c r="M89" i="55"/>
  <c r="M93" i="55" s="1"/>
  <c r="N81" i="55"/>
  <c r="N84" i="55" s="1"/>
  <c r="N91" i="55" s="1"/>
  <c r="N81" i="66"/>
  <c r="N81" i="64"/>
  <c r="N82" i="67"/>
  <c r="N94" i="67" s="1"/>
  <c r="N89" i="67"/>
  <c r="N93" i="67" s="1"/>
  <c r="N84" i="67"/>
  <c r="N91" i="67" s="1"/>
  <c r="N89" i="63"/>
  <c r="N93" i="63" s="1"/>
  <c r="N82" i="63"/>
  <c r="N94" i="63" s="1"/>
  <c r="N84" i="63"/>
  <c r="N91" i="63" s="1"/>
  <c r="M82" i="66"/>
  <c r="M94" i="66" s="1"/>
  <c r="M89" i="66"/>
  <c r="M93" i="66" s="1"/>
  <c r="M84" i="66"/>
  <c r="M91" i="66" s="1"/>
  <c r="M82" i="64"/>
  <c r="M94" i="64" s="1"/>
  <c r="M89" i="64"/>
  <c r="M93" i="64" s="1"/>
  <c r="M84" i="64"/>
  <c r="M91" i="64" s="1"/>
  <c r="N82" i="65"/>
  <c r="N94" i="65" s="1"/>
  <c r="N89" i="65"/>
  <c r="N93" i="65" s="1"/>
  <c r="N84" i="65"/>
  <c r="N91" i="65" s="1"/>
  <c r="N82" i="62"/>
  <c r="N94" i="62" s="1"/>
  <c r="N84" i="62"/>
  <c r="N91" i="62" s="1"/>
  <c r="N89" i="62"/>
  <c r="N93" i="62" s="1"/>
  <c r="N64" i="62"/>
  <c r="N77" i="62" s="1"/>
  <c r="N72" i="62"/>
  <c r="N66" i="62"/>
  <c r="N74" i="62" s="1"/>
  <c r="M64" i="61"/>
  <c r="M77" i="61" s="1"/>
  <c r="M72" i="61"/>
  <c r="M76" i="61" s="1"/>
  <c r="M66" i="61"/>
  <c r="M74" i="61" s="1"/>
  <c r="N81" i="61"/>
  <c r="N63" i="61"/>
  <c r="M82" i="61"/>
  <c r="M94" i="61" s="1"/>
  <c r="M84" i="61"/>
  <c r="M91" i="61" s="1"/>
  <c r="M89" i="61"/>
  <c r="M93" i="61" s="1"/>
  <c r="N66" i="53"/>
  <c r="N74" i="53" s="1"/>
  <c r="N72" i="53"/>
  <c r="M89" i="58"/>
  <c r="M93" i="58" s="1"/>
  <c r="M84" i="58"/>
  <c r="M91" i="58" s="1"/>
  <c r="N72" i="52"/>
  <c r="N76" i="52" s="1"/>
  <c r="N66" i="52"/>
  <c r="N74" i="52" s="1"/>
  <c r="O100" i="45"/>
  <c r="O81" i="65" s="1"/>
  <c r="N81" i="58"/>
  <c r="N89" i="52"/>
  <c r="N93" i="52" s="1"/>
  <c r="N84" i="52"/>
  <c r="N91" i="52" s="1"/>
  <c r="N89" i="51"/>
  <c r="N93" i="51" s="1"/>
  <c r="N84" i="51"/>
  <c r="N91" i="51" s="1"/>
  <c r="M64" i="57"/>
  <c r="M77" i="57" s="1"/>
  <c r="M72" i="57"/>
  <c r="M76" i="57" s="1"/>
  <c r="M66" i="57"/>
  <c r="M74" i="57" s="1"/>
  <c r="N89" i="53"/>
  <c r="N84" i="53"/>
  <c r="N91" i="53" s="1"/>
  <c r="N81" i="57"/>
  <c r="M89" i="57"/>
  <c r="M93" i="57" s="1"/>
  <c r="M84" i="57"/>
  <c r="M91" i="57" s="1"/>
  <c r="N63" i="57"/>
  <c r="N66" i="51"/>
  <c r="N74" i="51" s="1"/>
  <c r="N72" i="51"/>
  <c r="N76" i="51" s="1"/>
  <c r="O99" i="45"/>
  <c r="O81" i="67" s="1"/>
  <c r="O97" i="45"/>
  <c r="O81" i="53" s="1"/>
  <c r="O98" i="45"/>
  <c r="O81" i="52" s="1"/>
  <c r="O82" i="45"/>
  <c r="O63" i="63" s="1"/>
  <c r="O89" i="45"/>
  <c r="O88" i="45"/>
  <c r="O63" i="67" s="1"/>
  <c r="O87" i="45"/>
  <c r="O63" i="52" s="1"/>
  <c r="O81" i="45"/>
  <c r="O63" i="51" s="1"/>
  <c r="O92" i="45"/>
  <c r="O81" i="51" s="1"/>
  <c r="O85" i="45"/>
  <c r="O63" i="62" s="1"/>
  <c r="O83" i="45"/>
  <c r="N63" i="38"/>
  <c r="O86" i="45"/>
  <c r="O63" i="53" s="1"/>
  <c r="O96" i="45"/>
  <c r="O81" i="62" s="1"/>
  <c r="O95" i="45"/>
  <c r="O94" i="45"/>
  <c r="N81" i="38"/>
  <c r="O84" i="45"/>
  <c r="O93" i="45"/>
  <c r="O81" i="63" s="1"/>
  <c r="AI108" i="2" l="1"/>
  <c r="G114" i="79" s="1"/>
  <c r="S114" i="79" s="1"/>
  <c r="AI130" i="2"/>
  <c r="G138" i="79" s="1"/>
  <c r="S138" i="79" s="1"/>
  <c r="N66" i="55"/>
  <c r="N74" i="55" s="1"/>
  <c r="N72" i="58"/>
  <c r="N76" i="58" s="1"/>
  <c r="N72" i="65"/>
  <c r="N76" i="65" s="1"/>
  <c r="N66" i="65"/>
  <c r="N74" i="65" s="1"/>
  <c r="N64" i="65"/>
  <c r="N77" i="65" s="1"/>
  <c r="O64" i="67"/>
  <c r="O77" i="67" s="1"/>
  <c r="O72" i="67"/>
  <c r="O76" i="67" s="1"/>
  <c r="O66" i="67"/>
  <c r="O74" i="67" s="1"/>
  <c r="O63" i="58"/>
  <c r="O72" i="58" s="1"/>
  <c r="O76" i="58" s="1"/>
  <c r="O63" i="65"/>
  <c r="N64" i="64"/>
  <c r="N77" i="64" s="1"/>
  <c r="N72" i="64"/>
  <c r="N66" i="64"/>
  <c r="N74" i="64" s="1"/>
  <c r="N64" i="66"/>
  <c r="N77" i="66" s="1"/>
  <c r="N66" i="66"/>
  <c r="N74" i="66" s="1"/>
  <c r="N72" i="66"/>
  <c r="N76" i="66" s="1"/>
  <c r="O64" i="63"/>
  <c r="O77" i="63" s="1"/>
  <c r="O66" i="63"/>
  <c r="O74" i="63" s="1"/>
  <c r="O72" i="63"/>
  <c r="O63" i="55"/>
  <c r="O72" i="55" s="1"/>
  <c r="O76" i="55" s="1"/>
  <c r="O63" i="66"/>
  <c r="O63" i="64"/>
  <c r="N82" i="66"/>
  <c r="N94" i="66" s="1"/>
  <c r="N89" i="66"/>
  <c r="N93" i="66" s="1"/>
  <c r="N84" i="66"/>
  <c r="N91" i="66" s="1"/>
  <c r="O89" i="63"/>
  <c r="O93" i="63" s="1"/>
  <c r="O84" i="63"/>
  <c r="O91" i="63" s="1"/>
  <c r="O82" i="63"/>
  <c r="O94" i="63" s="1"/>
  <c r="N89" i="55"/>
  <c r="N93" i="55" s="1"/>
  <c r="O81" i="55"/>
  <c r="O89" i="55" s="1"/>
  <c r="O93" i="55" s="1"/>
  <c r="O81" i="66"/>
  <c r="O81" i="64"/>
  <c r="O82" i="65"/>
  <c r="O94" i="65" s="1"/>
  <c r="O89" i="65"/>
  <c r="O93" i="65" s="1"/>
  <c r="O84" i="65"/>
  <c r="O91" i="65" s="1"/>
  <c r="O82" i="67"/>
  <c r="O94" i="67" s="1"/>
  <c r="O89" i="67"/>
  <c r="O93" i="67" s="1"/>
  <c r="O84" i="67"/>
  <c r="O91" i="67" s="1"/>
  <c r="N82" i="64"/>
  <c r="N94" i="64" s="1"/>
  <c r="N89" i="64"/>
  <c r="N93" i="64" s="1"/>
  <c r="N84" i="64"/>
  <c r="N91" i="64" s="1"/>
  <c r="O82" i="62"/>
  <c r="O94" i="62" s="1"/>
  <c r="O89" i="62"/>
  <c r="O93" i="62" s="1"/>
  <c r="O84" i="62"/>
  <c r="O91" i="62" s="1"/>
  <c r="O64" i="62"/>
  <c r="O77" i="62" s="1"/>
  <c r="O72" i="62"/>
  <c r="O66" i="62"/>
  <c r="O74" i="62" s="1"/>
  <c r="N64" i="61"/>
  <c r="N77" i="61" s="1"/>
  <c r="N72" i="61"/>
  <c r="N76" i="61" s="1"/>
  <c r="N66" i="61"/>
  <c r="N74" i="61" s="1"/>
  <c r="O81" i="61"/>
  <c r="N82" i="61"/>
  <c r="N94" i="61" s="1"/>
  <c r="N84" i="61"/>
  <c r="N91" i="61" s="1"/>
  <c r="N89" i="61"/>
  <c r="N93" i="61" s="1"/>
  <c r="O63" i="61"/>
  <c r="O72" i="51"/>
  <c r="O76" i="51" s="1"/>
  <c r="O66" i="51"/>
  <c r="O74" i="51" s="1"/>
  <c r="N89" i="58"/>
  <c r="N93" i="58" s="1"/>
  <c r="N84" i="58"/>
  <c r="N91" i="58" s="1"/>
  <c r="O84" i="51"/>
  <c r="O91" i="51" s="1"/>
  <c r="O89" i="51"/>
  <c r="O93" i="51" s="1"/>
  <c r="P100" i="45"/>
  <c r="P81" i="65" s="1"/>
  <c r="O81" i="58"/>
  <c r="O72" i="52"/>
  <c r="O76" i="52" s="1"/>
  <c r="O66" i="52"/>
  <c r="O74" i="52" s="1"/>
  <c r="O63" i="57"/>
  <c r="N89" i="57"/>
  <c r="N93" i="57" s="1"/>
  <c r="N84" i="57"/>
  <c r="N91" i="57" s="1"/>
  <c r="O84" i="52"/>
  <c r="O91" i="52" s="1"/>
  <c r="O89" i="52"/>
  <c r="O93" i="52" s="1"/>
  <c r="O81" i="57"/>
  <c r="N72" i="57"/>
  <c r="N76" i="57" s="1"/>
  <c r="N66" i="57"/>
  <c r="N74" i="57" s="1"/>
  <c r="O89" i="53"/>
  <c r="O84" i="53"/>
  <c r="O91" i="53" s="1"/>
  <c r="O66" i="53"/>
  <c r="O74" i="53" s="1"/>
  <c r="O72" i="53"/>
  <c r="P97" i="45"/>
  <c r="P81" i="53" s="1"/>
  <c r="P99" i="45"/>
  <c r="P81" i="67" s="1"/>
  <c r="P98" i="45"/>
  <c r="P81" i="52" s="1"/>
  <c r="P95" i="45"/>
  <c r="P81" i="45"/>
  <c r="P63" i="51" s="1"/>
  <c r="P88" i="45"/>
  <c r="P63" i="67" s="1"/>
  <c r="P96" i="45"/>
  <c r="P81" i="62" s="1"/>
  <c r="P86" i="45"/>
  <c r="P63" i="53" s="1"/>
  <c r="P89" i="45"/>
  <c r="P94" i="45"/>
  <c r="O81" i="38"/>
  <c r="P92" i="45"/>
  <c r="P81" i="51" s="1"/>
  <c r="P87" i="45"/>
  <c r="P63" i="52" s="1"/>
  <c r="P93" i="45"/>
  <c r="P81" i="63" s="1"/>
  <c r="P84" i="45"/>
  <c r="P83" i="45"/>
  <c r="O63" i="38"/>
  <c r="P85" i="45"/>
  <c r="P63" i="62" s="1"/>
  <c r="P82" i="45"/>
  <c r="P63" i="63" s="1"/>
  <c r="O66" i="58" l="1"/>
  <c r="O74" i="58" s="1"/>
  <c r="P63" i="58"/>
  <c r="P66" i="58" s="1"/>
  <c r="P74" i="58" s="1"/>
  <c r="P63" i="65"/>
  <c r="P64" i="63"/>
  <c r="P77" i="63" s="1"/>
  <c r="P72" i="63"/>
  <c r="P66" i="63"/>
  <c r="P74" i="63" s="1"/>
  <c r="O72" i="65"/>
  <c r="O76" i="65" s="1"/>
  <c r="O66" i="65"/>
  <c r="O74" i="65" s="1"/>
  <c r="O64" i="65"/>
  <c r="O77" i="65" s="1"/>
  <c r="P63" i="55"/>
  <c r="P66" i="55" s="1"/>
  <c r="P74" i="55" s="1"/>
  <c r="P63" i="66"/>
  <c r="P63" i="64"/>
  <c r="O64" i="66"/>
  <c r="O77" i="66" s="1"/>
  <c r="O66" i="66"/>
  <c r="O74" i="66" s="1"/>
  <c r="O72" i="66"/>
  <c r="O76" i="66" s="1"/>
  <c r="O64" i="64"/>
  <c r="O77" i="64" s="1"/>
  <c r="O66" i="64"/>
  <c r="O74" i="64" s="1"/>
  <c r="O72" i="64"/>
  <c r="P64" i="67"/>
  <c r="P77" i="67" s="1"/>
  <c r="P72" i="67"/>
  <c r="P76" i="67" s="1"/>
  <c r="P66" i="67"/>
  <c r="P74" i="67" s="1"/>
  <c r="O66" i="55"/>
  <c r="O74" i="55" s="1"/>
  <c r="O84" i="55"/>
  <c r="O91" i="55" s="1"/>
  <c r="O82" i="64"/>
  <c r="O94" i="64" s="1"/>
  <c r="O84" i="64"/>
  <c r="O91" i="64" s="1"/>
  <c r="O89" i="64"/>
  <c r="O93" i="64" s="1"/>
  <c r="O82" i="66"/>
  <c r="O94" i="66" s="1"/>
  <c r="O84" i="66"/>
  <c r="O91" i="66" s="1"/>
  <c r="O89" i="66"/>
  <c r="O93" i="66" s="1"/>
  <c r="P81" i="55"/>
  <c r="P84" i="55" s="1"/>
  <c r="P91" i="55" s="1"/>
  <c r="P81" i="66"/>
  <c r="P81" i="64"/>
  <c r="P82" i="65"/>
  <c r="P94" i="65" s="1"/>
  <c r="P89" i="65"/>
  <c r="P93" i="65" s="1"/>
  <c r="P84" i="65"/>
  <c r="P91" i="65" s="1"/>
  <c r="P82" i="67"/>
  <c r="P94" i="67" s="1"/>
  <c r="P89" i="67"/>
  <c r="P93" i="67" s="1"/>
  <c r="P84" i="67"/>
  <c r="P91" i="67" s="1"/>
  <c r="P84" i="63"/>
  <c r="P91" i="63" s="1"/>
  <c r="P89" i="63"/>
  <c r="P93" i="63" s="1"/>
  <c r="P82" i="63"/>
  <c r="P94" i="63" s="1"/>
  <c r="P64" i="62"/>
  <c r="P77" i="62" s="1"/>
  <c r="P72" i="62"/>
  <c r="P66" i="62"/>
  <c r="P74" i="62" s="1"/>
  <c r="P82" i="62"/>
  <c r="P94" i="62" s="1"/>
  <c r="P89" i="62"/>
  <c r="P93" i="62" s="1"/>
  <c r="P84" i="62"/>
  <c r="P91" i="62" s="1"/>
  <c r="O64" i="61"/>
  <c r="O77" i="61" s="1"/>
  <c r="O66" i="61"/>
  <c r="O74" i="61" s="1"/>
  <c r="O72" i="61"/>
  <c r="O76" i="61" s="1"/>
  <c r="P81" i="61"/>
  <c r="O82" i="61"/>
  <c r="O94" i="61" s="1"/>
  <c r="O84" i="61"/>
  <c r="O91" i="61" s="1"/>
  <c r="O89" i="61"/>
  <c r="O93" i="61" s="1"/>
  <c r="P63" i="61"/>
  <c r="P72" i="51"/>
  <c r="P76" i="51" s="1"/>
  <c r="P66" i="51"/>
  <c r="P74" i="51" s="1"/>
  <c r="O89" i="58"/>
  <c r="O93" i="58" s="1"/>
  <c r="O84" i="58"/>
  <c r="O91" i="58" s="1"/>
  <c r="Q100" i="45"/>
  <c r="Q81" i="65" s="1"/>
  <c r="P81" i="58"/>
  <c r="O72" i="57"/>
  <c r="O76" i="57" s="1"/>
  <c r="O66" i="57"/>
  <c r="O74" i="57" s="1"/>
  <c r="P63" i="57"/>
  <c r="P89" i="52"/>
  <c r="P93" i="52" s="1"/>
  <c r="P84" i="52"/>
  <c r="P91" i="52" s="1"/>
  <c r="P89" i="51"/>
  <c r="P93" i="51" s="1"/>
  <c r="P84" i="51"/>
  <c r="P91" i="51" s="1"/>
  <c r="P89" i="53"/>
  <c r="P84" i="53"/>
  <c r="P91" i="53" s="1"/>
  <c r="P72" i="53"/>
  <c r="P66" i="53"/>
  <c r="P74" i="53" s="1"/>
  <c r="O89" i="57"/>
  <c r="O93" i="57" s="1"/>
  <c r="O84" i="57"/>
  <c r="O91" i="57" s="1"/>
  <c r="P72" i="52"/>
  <c r="P76" i="52" s="1"/>
  <c r="P66" i="52"/>
  <c r="P74" i="52" s="1"/>
  <c r="P81" i="57"/>
  <c r="Q99" i="45"/>
  <c r="Q81" i="67" s="1"/>
  <c r="Q98" i="45"/>
  <c r="Q81" i="52" s="1"/>
  <c r="Q97" i="45"/>
  <c r="Q81" i="53" s="1"/>
  <c r="Q88" i="45"/>
  <c r="Q63" i="67" s="1"/>
  <c r="Q83" i="45"/>
  <c r="P63" i="38"/>
  <c r="Q86" i="45"/>
  <c r="Q63" i="53" s="1"/>
  <c r="Q93" i="45"/>
  <c r="Q81" i="63" s="1"/>
  <c r="Q96" i="45"/>
  <c r="Q81" i="62" s="1"/>
  <c r="Q92" i="45"/>
  <c r="Q81" i="51" s="1"/>
  <c r="Q89" i="45"/>
  <c r="Q87" i="45"/>
  <c r="Q63" i="52" s="1"/>
  <c r="Q81" i="45"/>
  <c r="Q63" i="51" s="1"/>
  <c r="Q84" i="45"/>
  <c r="Q82" i="45"/>
  <c r="Q63" i="63" s="1"/>
  <c r="Q85" i="45"/>
  <c r="Q63" i="62" s="1"/>
  <c r="Q94" i="45"/>
  <c r="P81" i="38"/>
  <c r="Q95" i="45"/>
  <c r="P72" i="58" l="1"/>
  <c r="P76" i="58" s="1"/>
  <c r="P72" i="55"/>
  <c r="P76" i="55" s="1"/>
  <c r="Q63" i="55"/>
  <c r="Q63" i="66"/>
  <c r="Q63" i="64"/>
  <c r="Q63" i="58"/>
  <c r="Q66" i="58" s="1"/>
  <c r="Q74" i="58" s="1"/>
  <c r="Q63" i="65"/>
  <c r="P64" i="64"/>
  <c r="P77" i="64" s="1"/>
  <c r="P66" i="64"/>
  <c r="P74" i="64" s="1"/>
  <c r="P72" i="64"/>
  <c r="P72" i="65"/>
  <c r="P76" i="65" s="1"/>
  <c r="P64" i="65"/>
  <c r="P77" i="65" s="1"/>
  <c r="P66" i="65"/>
  <c r="P74" i="65" s="1"/>
  <c r="P66" i="66"/>
  <c r="P74" i="66" s="1"/>
  <c r="P72" i="66"/>
  <c r="P76" i="66" s="1"/>
  <c r="P64" i="66"/>
  <c r="P77" i="66" s="1"/>
  <c r="Q66" i="67"/>
  <c r="Q74" i="67" s="1"/>
  <c r="Q64" i="67"/>
  <c r="Q77" i="67" s="1"/>
  <c r="Q72" i="67"/>
  <c r="Q76" i="67" s="1"/>
  <c r="Q64" i="63"/>
  <c r="Q77" i="63" s="1"/>
  <c r="Q72" i="63"/>
  <c r="Q66" i="63"/>
  <c r="Q74" i="63" s="1"/>
  <c r="P89" i="55"/>
  <c r="P93" i="55" s="1"/>
  <c r="P82" i="64"/>
  <c r="P94" i="64" s="1"/>
  <c r="P84" i="64"/>
  <c r="P91" i="64" s="1"/>
  <c r="P89" i="64"/>
  <c r="P93" i="64" s="1"/>
  <c r="P82" i="66"/>
  <c r="P94" i="66" s="1"/>
  <c r="P84" i="66"/>
  <c r="P91" i="66" s="1"/>
  <c r="P89" i="66"/>
  <c r="P93" i="66" s="1"/>
  <c r="Q82" i="63"/>
  <c r="Q94" i="63" s="1"/>
  <c r="Q89" i="63"/>
  <c r="Q93" i="63" s="1"/>
  <c r="Q84" i="63"/>
  <c r="Q91" i="63" s="1"/>
  <c r="Q81" i="55"/>
  <c r="Q89" i="55" s="1"/>
  <c r="Q93" i="55" s="1"/>
  <c r="Q81" i="66"/>
  <c r="Q81" i="64"/>
  <c r="Q82" i="65"/>
  <c r="Q94" i="65" s="1"/>
  <c r="Q89" i="65"/>
  <c r="Q93" i="65" s="1"/>
  <c r="Q84" i="65"/>
  <c r="Q91" i="65" s="1"/>
  <c r="Q82" i="67"/>
  <c r="Q94" i="67" s="1"/>
  <c r="Q89" i="67"/>
  <c r="Q93" i="67" s="1"/>
  <c r="Q84" i="67"/>
  <c r="Q91" i="67" s="1"/>
  <c r="Q82" i="62"/>
  <c r="Q94" i="62" s="1"/>
  <c r="Q84" i="62"/>
  <c r="Q91" i="62" s="1"/>
  <c r="Q89" i="62"/>
  <c r="Q93" i="62" s="1"/>
  <c r="Q64" i="62"/>
  <c r="Q77" i="62" s="1"/>
  <c r="Q66" i="62"/>
  <c r="Q74" i="62" s="1"/>
  <c r="Q72" i="62"/>
  <c r="P64" i="61"/>
  <c r="P77" i="61" s="1"/>
  <c r="P66" i="61"/>
  <c r="P74" i="61" s="1"/>
  <c r="P72" i="61"/>
  <c r="P76" i="61" s="1"/>
  <c r="P82" i="61"/>
  <c r="P94" i="61" s="1"/>
  <c r="P89" i="61"/>
  <c r="P93" i="61" s="1"/>
  <c r="P84" i="61"/>
  <c r="P91" i="61" s="1"/>
  <c r="Q63" i="61"/>
  <c r="Q81" i="61"/>
  <c r="Q72" i="52"/>
  <c r="Q76" i="52" s="1"/>
  <c r="Q66" i="52"/>
  <c r="Q74" i="52" s="1"/>
  <c r="Q84" i="51"/>
  <c r="Q91" i="51" s="1"/>
  <c r="Q89" i="51"/>
  <c r="Q93" i="51" s="1"/>
  <c r="P89" i="58"/>
  <c r="P93" i="58" s="1"/>
  <c r="P84" i="58"/>
  <c r="P91" i="58" s="1"/>
  <c r="Q72" i="51"/>
  <c r="Q76" i="51" s="1"/>
  <c r="Q66" i="51"/>
  <c r="Q74" i="51" s="1"/>
  <c r="Q72" i="53"/>
  <c r="Q66" i="53"/>
  <c r="Q74" i="53" s="1"/>
  <c r="R100" i="45"/>
  <c r="R81" i="65" s="1"/>
  <c r="BB119" i="2" s="1"/>
  <c r="Q81" i="58"/>
  <c r="Q81" i="57"/>
  <c r="P66" i="57"/>
  <c r="P74" i="57" s="1"/>
  <c r="P72" i="57"/>
  <c r="P76" i="57" s="1"/>
  <c r="Q63" i="57"/>
  <c r="Q89" i="53"/>
  <c r="Q84" i="53"/>
  <c r="Q91" i="53" s="1"/>
  <c r="P89" i="57"/>
  <c r="P93" i="57" s="1"/>
  <c r="P84" i="57"/>
  <c r="P91" i="57" s="1"/>
  <c r="Q89" i="52"/>
  <c r="Q93" i="52" s="1"/>
  <c r="Q84" i="52"/>
  <c r="Q91" i="52" s="1"/>
  <c r="R99" i="45"/>
  <c r="R81" i="67" s="1"/>
  <c r="BB152" i="2" s="1"/>
  <c r="R97" i="45"/>
  <c r="R81" i="53" s="1"/>
  <c r="BB75" i="2" s="1"/>
  <c r="R98" i="45"/>
  <c r="R81" i="52" s="1"/>
  <c r="BB86" i="2" s="1"/>
  <c r="R82" i="45"/>
  <c r="R63" i="63" s="1"/>
  <c r="BA42" i="2" s="1"/>
  <c r="AU42" i="2" s="1"/>
  <c r="F42" i="77" s="1"/>
  <c r="R42" i="77" s="1"/>
  <c r="R93" i="45"/>
  <c r="R81" i="63" s="1"/>
  <c r="BB42" i="2" s="1"/>
  <c r="R92" i="45"/>
  <c r="R81" i="51" s="1"/>
  <c r="BB64" i="2" s="1"/>
  <c r="R96" i="45"/>
  <c r="R81" i="62" s="1"/>
  <c r="BB31" i="2" s="1"/>
  <c r="R84" i="45"/>
  <c r="R86" i="45"/>
  <c r="R63" i="53" s="1"/>
  <c r="BA75" i="2" s="1"/>
  <c r="AU75" i="2" s="1"/>
  <c r="F78" i="77" s="1"/>
  <c r="R78" i="77" s="1"/>
  <c r="R83" i="45"/>
  <c r="Q63" i="38"/>
  <c r="R85" i="45"/>
  <c r="R63" i="62" s="1"/>
  <c r="BA31" i="2" s="1"/>
  <c r="AU31" i="2" s="1"/>
  <c r="F30" i="77" s="1"/>
  <c r="R30" i="77" s="1"/>
  <c r="R81" i="45"/>
  <c r="R63" i="51" s="1"/>
  <c r="BA64" i="2" s="1"/>
  <c r="AU64" i="2" s="1"/>
  <c r="F66" i="77" s="1"/>
  <c r="R66" i="77" s="1"/>
  <c r="R95" i="45"/>
  <c r="R87" i="45"/>
  <c r="R63" i="52" s="1"/>
  <c r="BA86" i="2" s="1"/>
  <c r="AU86" i="2" s="1"/>
  <c r="F90" i="77" s="1"/>
  <c r="R90" i="77" s="1"/>
  <c r="R89" i="45"/>
  <c r="R94" i="45"/>
  <c r="Q81" i="38"/>
  <c r="R88" i="45"/>
  <c r="R63" i="67" s="1"/>
  <c r="BA152" i="2" s="1"/>
  <c r="AU152" i="2" s="1"/>
  <c r="F162" i="77" s="1"/>
  <c r="R162" i="77" s="1"/>
  <c r="AV31" i="2" l="1"/>
  <c r="G30" i="77" s="1"/>
  <c r="S30" i="77" s="1"/>
  <c r="AV64" i="2"/>
  <c r="G66" i="77" s="1"/>
  <c r="S66" i="77" s="1"/>
  <c r="AV42" i="2"/>
  <c r="G42" i="77" s="1"/>
  <c r="S42" i="77" s="1"/>
  <c r="AV86" i="2"/>
  <c r="G90" i="77" s="1"/>
  <c r="S90" i="77" s="1"/>
  <c r="AV75" i="2"/>
  <c r="G78" i="77" s="1"/>
  <c r="S78" i="77" s="1"/>
  <c r="AV152" i="2"/>
  <c r="G162" i="77" s="1"/>
  <c r="S162" i="77" s="1"/>
  <c r="Q72" i="55"/>
  <c r="Q76" i="55" s="1"/>
  <c r="Q66" i="55"/>
  <c r="Q74" i="55" s="1"/>
  <c r="R72" i="67"/>
  <c r="R76" i="67" s="1"/>
  <c r="R66" i="67"/>
  <c r="R74" i="67" s="1"/>
  <c r="R64" i="67"/>
  <c r="R77" i="67" s="1"/>
  <c r="Q66" i="65"/>
  <c r="Q74" i="65" s="1"/>
  <c r="Q72" i="65"/>
  <c r="Q76" i="65" s="1"/>
  <c r="Q64" i="65"/>
  <c r="Q77" i="65" s="1"/>
  <c r="R64" i="63"/>
  <c r="R77" i="63" s="1"/>
  <c r="R72" i="63"/>
  <c r="R66" i="63"/>
  <c r="R74" i="63" s="1"/>
  <c r="Q72" i="58"/>
  <c r="Q76" i="58" s="1"/>
  <c r="Q64" i="64"/>
  <c r="Q77" i="64" s="1"/>
  <c r="Q72" i="64"/>
  <c r="Q66" i="64"/>
  <c r="Q74" i="64" s="1"/>
  <c r="Q64" i="66"/>
  <c r="Q77" i="66" s="1"/>
  <c r="Q66" i="66"/>
  <c r="Q74" i="66" s="1"/>
  <c r="Q72" i="66"/>
  <c r="Q76" i="66" s="1"/>
  <c r="R63" i="58"/>
  <c r="BA108" i="2" s="1"/>
  <c r="AU108" i="2" s="1"/>
  <c r="F114" i="77" s="1"/>
  <c r="R114" i="77" s="1"/>
  <c r="R63" i="65"/>
  <c r="BA119" i="2" s="1"/>
  <c r="AU119" i="2" s="1"/>
  <c r="F126" i="77" s="1"/>
  <c r="R126" i="77" s="1"/>
  <c r="R63" i="55"/>
  <c r="R63" i="66"/>
  <c r="BA141" i="2" s="1"/>
  <c r="AU141" i="2" s="1"/>
  <c r="F150" i="77" s="1"/>
  <c r="R150" i="77" s="1"/>
  <c r="R63" i="64"/>
  <c r="BA53" i="2" s="1"/>
  <c r="AU53" i="2" s="1"/>
  <c r="F54" i="77" s="1"/>
  <c r="R54" i="77" s="1"/>
  <c r="R82" i="65"/>
  <c r="R94" i="65" s="1"/>
  <c r="R89" i="65"/>
  <c r="R93" i="65" s="1"/>
  <c r="R84" i="65"/>
  <c r="R91" i="65" s="1"/>
  <c r="Q82" i="64"/>
  <c r="Q94" i="64" s="1"/>
  <c r="Q89" i="64"/>
  <c r="Q93" i="64" s="1"/>
  <c r="Q84" i="64"/>
  <c r="Q91" i="64" s="1"/>
  <c r="Q82" i="66"/>
  <c r="Q94" i="66" s="1"/>
  <c r="Q89" i="66"/>
  <c r="Q93" i="66" s="1"/>
  <c r="Q84" i="66"/>
  <c r="Q91" i="66" s="1"/>
  <c r="R81" i="55"/>
  <c r="R81" i="66"/>
  <c r="BB141" i="2" s="1"/>
  <c r="R81" i="64"/>
  <c r="BB53" i="2" s="1"/>
  <c r="AV53" i="2" s="1"/>
  <c r="G54" i="77" s="1"/>
  <c r="S54" i="77" s="1"/>
  <c r="Q84" i="55"/>
  <c r="Q91" i="55" s="1"/>
  <c r="R89" i="63"/>
  <c r="R93" i="63" s="1"/>
  <c r="R82" i="63"/>
  <c r="R94" i="63" s="1"/>
  <c r="R84" i="63"/>
  <c r="R91" i="63" s="1"/>
  <c r="R82" i="67"/>
  <c r="R94" i="67" s="1"/>
  <c r="R84" i="67"/>
  <c r="R91" i="67" s="1"/>
  <c r="R89" i="67"/>
  <c r="R93" i="67" s="1"/>
  <c r="R64" i="62"/>
  <c r="R77" i="62" s="1"/>
  <c r="R66" i="62"/>
  <c r="R74" i="62" s="1"/>
  <c r="R72" i="62"/>
  <c r="R82" i="62"/>
  <c r="R94" i="62" s="1"/>
  <c r="R84" i="62"/>
  <c r="R91" i="62" s="1"/>
  <c r="R89" i="62"/>
  <c r="R93" i="62" s="1"/>
  <c r="Q82" i="61"/>
  <c r="Q94" i="61" s="1"/>
  <c r="Q89" i="61"/>
  <c r="Q93" i="61" s="1"/>
  <c r="Q84" i="61"/>
  <c r="Q91" i="61" s="1"/>
  <c r="R81" i="61"/>
  <c r="BB9" i="2" s="1"/>
  <c r="R63" i="61"/>
  <c r="BA9" i="2" s="1"/>
  <c r="AU9" i="2" s="1"/>
  <c r="F6" i="77" s="1"/>
  <c r="R6" i="77" s="1"/>
  <c r="Q64" i="61"/>
  <c r="Q77" i="61" s="1"/>
  <c r="Q72" i="61"/>
  <c r="Q76" i="61" s="1"/>
  <c r="Q66" i="61"/>
  <c r="Q74" i="61" s="1"/>
  <c r="R89" i="53"/>
  <c r="R84" i="53"/>
  <c r="R91" i="53" s="1"/>
  <c r="R72" i="52"/>
  <c r="R76" i="52" s="1"/>
  <c r="R66" i="52"/>
  <c r="R74" i="52" s="1"/>
  <c r="R72" i="51"/>
  <c r="R76" i="51" s="1"/>
  <c r="R66" i="51"/>
  <c r="R74" i="51" s="1"/>
  <c r="R63" i="57"/>
  <c r="BA97" i="2" s="1"/>
  <c r="AU97" i="2" s="1"/>
  <c r="F102" i="77" s="1"/>
  <c r="R102" i="77" s="1"/>
  <c r="R66" i="53"/>
  <c r="R74" i="53" s="1"/>
  <c r="R72" i="53"/>
  <c r="R81" i="57"/>
  <c r="BB97" i="2" s="1"/>
  <c r="Q84" i="57"/>
  <c r="Q91" i="57" s="1"/>
  <c r="Q89" i="57"/>
  <c r="Q93" i="57" s="1"/>
  <c r="R84" i="51"/>
  <c r="R91" i="51" s="1"/>
  <c r="R89" i="51"/>
  <c r="R93" i="51" s="1"/>
  <c r="Q84" i="58"/>
  <c r="Q91" i="58" s="1"/>
  <c r="Q89" i="58"/>
  <c r="Q93" i="58" s="1"/>
  <c r="R89" i="52"/>
  <c r="R93" i="52" s="1"/>
  <c r="R84" i="52"/>
  <c r="R91" i="52" s="1"/>
  <c r="Q66" i="57"/>
  <c r="Q74" i="57" s="1"/>
  <c r="Q72" i="57"/>
  <c r="Q76" i="57" s="1"/>
  <c r="S100" i="45"/>
  <c r="S81" i="65" s="1"/>
  <c r="R81" i="58"/>
  <c r="BB108" i="2" s="1"/>
  <c r="S98" i="45"/>
  <c r="S81" i="52" s="1"/>
  <c r="S97" i="45"/>
  <c r="S81" i="53" s="1"/>
  <c r="S99" i="45"/>
  <c r="S81" i="67" s="1"/>
  <c r="S89" i="45"/>
  <c r="S86" i="45"/>
  <c r="S63" i="53" s="1"/>
  <c r="S92" i="45"/>
  <c r="S81" i="51" s="1"/>
  <c r="S87" i="45"/>
  <c r="S63" i="52" s="1"/>
  <c r="S81" i="45"/>
  <c r="S63" i="51" s="1"/>
  <c r="S93" i="45"/>
  <c r="S81" i="63" s="1"/>
  <c r="S84" i="45"/>
  <c r="S95" i="45"/>
  <c r="S96" i="45"/>
  <c r="S81" i="62" s="1"/>
  <c r="S85" i="45"/>
  <c r="S63" i="62" s="1"/>
  <c r="S94" i="45"/>
  <c r="R81" i="38"/>
  <c r="BB20" i="2" s="1"/>
  <c r="S88" i="45"/>
  <c r="S63" i="67" s="1"/>
  <c r="S83" i="45"/>
  <c r="R63" i="38"/>
  <c r="BA20" i="2" s="1"/>
  <c r="AU20" i="2" s="1"/>
  <c r="F18" i="77" s="1"/>
  <c r="R18" i="77" s="1"/>
  <c r="S82" i="45"/>
  <c r="S63" i="63" s="1"/>
  <c r="AV108" i="2" l="1"/>
  <c r="G114" i="77" s="1"/>
  <c r="S114" i="77" s="1"/>
  <c r="AV97" i="2"/>
  <c r="G102" i="77" s="1"/>
  <c r="S102" i="77" s="1"/>
  <c r="AV141" i="2"/>
  <c r="G150" i="77" s="1"/>
  <c r="S150" i="77" s="1"/>
  <c r="AV20" i="2"/>
  <c r="G18" i="77" s="1"/>
  <c r="S18" i="77" s="1"/>
  <c r="AV9" i="2"/>
  <c r="G6" i="77" s="1"/>
  <c r="S6" i="77" s="1"/>
  <c r="AV119" i="2"/>
  <c r="G126" i="77" s="1"/>
  <c r="S126" i="77" s="1"/>
  <c r="R89" i="55"/>
  <c r="R93" i="55" s="1"/>
  <c r="BB130" i="2"/>
  <c r="R66" i="55"/>
  <c r="R74" i="55" s="1"/>
  <c r="BA130" i="2"/>
  <c r="AU130" i="2" s="1"/>
  <c r="F138" i="77" s="1"/>
  <c r="R138" i="77" s="1"/>
  <c r="R66" i="58"/>
  <c r="R74" i="58" s="1"/>
  <c r="R72" i="58"/>
  <c r="R76" i="58" s="1"/>
  <c r="R72" i="55"/>
  <c r="R76" i="55" s="1"/>
  <c r="R66" i="65"/>
  <c r="R74" i="65" s="1"/>
  <c r="R64" i="65"/>
  <c r="R77" i="65" s="1"/>
  <c r="R72" i="65"/>
  <c r="R76" i="65" s="1"/>
  <c r="S64" i="63"/>
  <c r="S77" i="63" s="1"/>
  <c r="S66" i="63"/>
  <c r="S74" i="63" s="1"/>
  <c r="S72" i="63"/>
  <c r="R66" i="66"/>
  <c r="R74" i="66" s="1"/>
  <c r="R72" i="66"/>
  <c r="R76" i="66" s="1"/>
  <c r="R64" i="66"/>
  <c r="R77" i="66" s="1"/>
  <c r="S63" i="55"/>
  <c r="S66" i="55" s="1"/>
  <c r="S74" i="55" s="1"/>
  <c r="S63" i="66"/>
  <c r="S63" i="64"/>
  <c r="S64" i="67"/>
  <c r="S77" i="67" s="1"/>
  <c r="S66" i="67"/>
  <c r="S74" i="67" s="1"/>
  <c r="S72" i="67"/>
  <c r="S76" i="67" s="1"/>
  <c r="R64" i="64"/>
  <c r="R77" i="64" s="1"/>
  <c r="R66" i="64"/>
  <c r="R74" i="64" s="1"/>
  <c r="R72" i="64"/>
  <c r="S63" i="58"/>
  <c r="S66" i="58" s="1"/>
  <c r="S74" i="58" s="1"/>
  <c r="S63" i="65"/>
  <c r="R84" i="55"/>
  <c r="R91" i="55" s="1"/>
  <c r="R82" i="64"/>
  <c r="R94" i="64" s="1"/>
  <c r="R89" i="64"/>
  <c r="R93" i="64" s="1"/>
  <c r="R84" i="64"/>
  <c r="R91" i="64" s="1"/>
  <c r="R82" i="66"/>
  <c r="R94" i="66" s="1"/>
  <c r="R89" i="66"/>
  <c r="R93" i="66" s="1"/>
  <c r="R84" i="66"/>
  <c r="R91" i="66" s="1"/>
  <c r="S82" i="63"/>
  <c r="S94" i="63" s="1"/>
  <c r="S89" i="63"/>
  <c r="S93" i="63" s="1"/>
  <c r="S84" i="63"/>
  <c r="S91" i="63" s="1"/>
  <c r="S82" i="67"/>
  <c r="S94" i="67" s="1"/>
  <c r="S89" i="67"/>
  <c r="S93" i="67" s="1"/>
  <c r="S84" i="67"/>
  <c r="S91" i="67" s="1"/>
  <c r="S81" i="55"/>
  <c r="S84" i="55" s="1"/>
  <c r="S91" i="55" s="1"/>
  <c r="S81" i="66"/>
  <c r="S81" i="64"/>
  <c r="S82" i="65"/>
  <c r="S94" i="65" s="1"/>
  <c r="S84" i="65"/>
  <c r="S91" i="65" s="1"/>
  <c r="S89" i="65"/>
  <c r="S93" i="65" s="1"/>
  <c r="S82" i="62"/>
  <c r="S94" i="62" s="1"/>
  <c r="S89" i="62"/>
  <c r="S93" i="62" s="1"/>
  <c r="S84" i="62"/>
  <c r="S91" i="62" s="1"/>
  <c r="S64" i="62"/>
  <c r="S77" i="62" s="1"/>
  <c r="S66" i="62"/>
  <c r="S74" i="62" s="1"/>
  <c r="S72" i="62"/>
  <c r="R64" i="61"/>
  <c r="R77" i="61" s="1"/>
  <c r="R72" i="61"/>
  <c r="R76" i="61" s="1"/>
  <c r="R66" i="61"/>
  <c r="R74" i="61" s="1"/>
  <c r="S63" i="61"/>
  <c r="R82" i="61"/>
  <c r="R94" i="61" s="1"/>
  <c r="R89" i="61"/>
  <c r="R93" i="61" s="1"/>
  <c r="R84" i="61"/>
  <c r="R91" i="61" s="1"/>
  <c r="S81" i="61"/>
  <c r="R89" i="58"/>
  <c r="R93" i="58" s="1"/>
  <c r="R84" i="58"/>
  <c r="R91" i="58" s="1"/>
  <c r="T100" i="45"/>
  <c r="T81" i="65" s="1"/>
  <c r="S81" i="58"/>
  <c r="S89" i="53"/>
  <c r="S84" i="53"/>
  <c r="S91" i="53" s="1"/>
  <c r="S63" i="57"/>
  <c r="R72" i="57"/>
  <c r="R76" i="57" s="1"/>
  <c r="R66" i="57"/>
  <c r="R74" i="57" s="1"/>
  <c r="S81" i="57"/>
  <c r="S89" i="52"/>
  <c r="S93" i="52" s="1"/>
  <c r="S84" i="52"/>
  <c r="S91" i="52" s="1"/>
  <c r="S84" i="51"/>
  <c r="S91" i="51" s="1"/>
  <c r="S89" i="51"/>
  <c r="S93" i="51" s="1"/>
  <c r="S66" i="53"/>
  <c r="S74" i="53" s="1"/>
  <c r="S72" i="53"/>
  <c r="R89" i="57"/>
  <c r="R93" i="57" s="1"/>
  <c r="R84" i="57"/>
  <c r="R91" i="57" s="1"/>
  <c r="S72" i="51"/>
  <c r="S76" i="51" s="1"/>
  <c r="S66" i="51"/>
  <c r="S74" i="51" s="1"/>
  <c r="S72" i="52"/>
  <c r="S76" i="52" s="1"/>
  <c r="S66" i="52"/>
  <c r="S74" i="52" s="1"/>
  <c r="T97" i="45"/>
  <c r="T81" i="53" s="1"/>
  <c r="T99" i="45"/>
  <c r="T81" i="67" s="1"/>
  <c r="T98" i="45"/>
  <c r="T81" i="52" s="1"/>
  <c r="T93" i="45"/>
  <c r="T81" i="63" s="1"/>
  <c r="T96" i="45"/>
  <c r="T81" i="62" s="1"/>
  <c r="T88" i="45"/>
  <c r="T63" i="67" s="1"/>
  <c r="T94" i="45"/>
  <c r="S81" i="38"/>
  <c r="T87" i="45"/>
  <c r="T63" i="52" s="1"/>
  <c r="T82" i="45"/>
  <c r="T63" i="63" s="1"/>
  <c r="T92" i="45"/>
  <c r="T81" i="51" s="1"/>
  <c r="T86" i="45"/>
  <c r="T63" i="53" s="1"/>
  <c r="T81" i="45"/>
  <c r="T63" i="51" s="1"/>
  <c r="T85" i="45"/>
  <c r="T63" i="62" s="1"/>
  <c r="T83" i="45"/>
  <c r="S63" i="38"/>
  <c r="T95" i="45"/>
  <c r="T84" i="45"/>
  <c r="T89" i="45"/>
  <c r="AV130" i="2" l="1"/>
  <c r="G138" i="77" s="1"/>
  <c r="S138" i="77" s="1"/>
  <c r="S72" i="55"/>
  <c r="S76" i="55" s="1"/>
  <c r="S72" i="58"/>
  <c r="S76" i="58" s="1"/>
  <c r="T63" i="58"/>
  <c r="T72" i="58" s="1"/>
  <c r="T76" i="58" s="1"/>
  <c r="T63" i="65"/>
  <c r="T63" i="55"/>
  <c r="T72" i="55" s="1"/>
  <c r="T76" i="55" s="1"/>
  <c r="T63" i="66"/>
  <c r="T63" i="64"/>
  <c r="S64" i="64"/>
  <c r="S77" i="64" s="1"/>
  <c r="S72" i="64"/>
  <c r="S66" i="64"/>
  <c r="S74" i="64" s="1"/>
  <c r="S66" i="66"/>
  <c r="S74" i="66" s="1"/>
  <c r="S72" i="66"/>
  <c r="S76" i="66" s="1"/>
  <c r="S64" i="66"/>
  <c r="S77" i="66" s="1"/>
  <c r="T64" i="67"/>
  <c r="T77" i="67" s="1"/>
  <c r="T72" i="67"/>
  <c r="T76" i="67" s="1"/>
  <c r="T66" i="67"/>
  <c r="T74" i="67" s="1"/>
  <c r="S64" i="65"/>
  <c r="S77" i="65" s="1"/>
  <c r="S66" i="65"/>
  <c r="S74" i="65" s="1"/>
  <c r="S72" i="65"/>
  <c r="S76" i="65" s="1"/>
  <c r="T64" i="63"/>
  <c r="T77" i="63" s="1"/>
  <c r="T72" i="63"/>
  <c r="T66" i="63"/>
  <c r="T74" i="63" s="1"/>
  <c r="S89" i="55"/>
  <c r="S93" i="55" s="1"/>
  <c r="T81" i="55"/>
  <c r="T89" i="55" s="1"/>
  <c r="T93" i="55" s="1"/>
  <c r="T81" i="66"/>
  <c r="T81" i="64"/>
  <c r="T84" i="63"/>
  <c r="T91" i="63" s="1"/>
  <c r="T89" i="63"/>
  <c r="T93" i="63" s="1"/>
  <c r="T82" i="63"/>
  <c r="T94" i="63" s="1"/>
  <c r="S82" i="64"/>
  <c r="S94" i="64" s="1"/>
  <c r="S84" i="64"/>
  <c r="S91" i="64" s="1"/>
  <c r="S89" i="64"/>
  <c r="S93" i="64" s="1"/>
  <c r="S82" i="66"/>
  <c r="S94" i="66" s="1"/>
  <c r="S84" i="66"/>
  <c r="S91" i="66" s="1"/>
  <c r="S89" i="66"/>
  <c r="S93" i="66" s="1"/>
  <c r="T82" i="67"/>
  <c r="T94" i="67" s="1"/>
  <c r="T84" i="67"/>
  <c r="T91" i="67" s="1"/>
  <c r="T89" i="67"/>
  <c r="T93" i="67" s="1"/>
  <c r="T82" i="65"/>
  <c r="T94" i="65" s="1"/>
  <c r="T89" i="65"/>
  <c r="T93" i="65" s="1"/>
  <c r="T84" i="65"/>
  <c r="T91" i="65" s="1"/>
  <c r="T64" i="62"/>
  <c r="T77" i="62" s="1"/>
  <c r="T72" i="62"/>
  <c r="T66" i="62"/>
  <c r="T74" i="62" s="1"/>
  <c r="T82" i="62"/>
  <c r="T94" i="62" s="1"/>
  <c r="T89" i="62"/>
  <c r="T93" i="62" s="1"/>
  <c r="T84" i="62"/>
  <c r="T91" i="62" s="1"/>
  <c r="S82" i="61"/>
  <c r="S94" i="61" s="1"/>
  <c r="S84" i="61"/>
  <c r="S91" i="61" s="1"/>
  <c r="S89" i="61"/>
  <c r="S93" i="61" s="1"/>
  <c r="T81" i="61"/>
  <c r="S64" i="61"/>
  <c r="S77" i="61" s="1"/>
  <c r="S72" i="61"/>
  <c r="S76" i="61" s="1"/>
  <c r="S66" i="61"/>
  <c r="S74" i="61" s="1"/>
  <c r="T63" i="61"/>
  <c r="T89" i="53"/>
  <c r="T84" i="53"/>
  <c r="T91" i="53" s="1"/>
  <c r="S72" i="57"/>
  <c r="S76" i="57" s="1"/>
  <c r="S66" i="57"/>
  <c r="S74" i="57" s="1"/>
  <c r="T72" i="51"/>
  <c r="T76" i="51" s="1"/>
  <c r="T66" i="51"/>
  <c r="T74" i="51" s="1"/>
  <c r="T84" i="51"/>
  <c r="T91" i="51" s="1"/>
  <c r="T89" i="51"/>
  <c r="T93" i="51" s="1"/>
  <c r="T72" i="52"/>
  <c r="T76" i="52" s="1"/>
  <c r="T66" i="52"/>
  <c r="T74" i="52" s="1"/>
  <c r="S84" i="57"/>
  <c r="S91" i="57" s="1"/>
  <c r="S89" i="57"/>
  <c r="S93" i="57" s="1"/>
  <c r="T63" i="57"/>
  <c r="S89" i="58"/>
  <c r="S93" i="58" s="1"/>
  <c r="S84" i="58"/>
  <c r="S91" i="58" s="1"/>
  <c r="T81" i="57"/>
  <c r="U100" i="45"/>
  <c r="U81" i="65" s="1"/>
  <c r="T81" i="58"/>
  <c r="T66" i="53"/>
  <c r="T74" i="53" s="1"/>
  <c r="T72" i="53"/>
  <c r="T89" i="52"/>
  <c r="T93" i="52" s="1"/>
  <c r="T84" i="52"/>
  <c r="T91" i="52" s="1"/>
  <c r="U97" i="45"/>
  <c r="U81" i="53" s="1"/>
  <c r="U99" i="45"/>
  <c r="U81" i="67" s="1"/>
  <c r="U98" i="45"/>
  <c r="U81" i="52" s="1"/>
  <c r="U82" i="45"/>
  <c r="U63" i="63" s="1"/>
  <c r="U87" i="45"/>
  <c r="U63" i="52" s="1"/>
  <c r="U86" i="45"/>
  <c r="U63" i="53" s="1"/>
  <c r="U89" i="45"/>
  <c r="U96" i="45"/>
  <c r="U81" i="62" s="1"/>
  <c r="U85" i="45"/>
  <c r="U63" i="62" s="1"/>
  <c r="U94" i="45"/>
  <c r="T81" i="38"/>
  <c r="U88" i="45"/>
  <c r="U63" i="67" s="1"/>
  <c r="U92" i="45"/>
  <c r="U81" i="51" s="1"/>
  <c r="U83" i="45"/>
  <c r="T63" i="38"/>
  <c r="U81" i="45"/>
  <c r="U63" i="51" s="1"/>
  <c r="U84" i="45"/>
  <c r="U95" i="45"/>
  <c r="U93" i="45"/>
  <c r="U81" i="63" s="1"/>
  <c r="T66" i="55" l="1"/>
  <c r="T74" i="55" s="1"/>
  <c r="T66" i="58"/>
  <c r="T74" i="58" s="1"/>
  <c r="U63" i="58"/>
  <c r="U72" i="58" s="1"/>
  <c r="U76" i="58" s="1"/>
  <c r="U63" i="65"/>
  <c r="U64" i="63"/>
  <c r="U77" i="63" s="1"/>
  <c r="U72" i="63"/>
  <c r="U66" i="63"/>
  <c r="U74" i="63" s="1"/>
  <c r="T64" i="64"/>
  <c r="T77" i="64" s="1"/>
  <c r="T66" i="64"/>
  <c r="T74" i="64" s="1"/>
  <c r="T72" i="64"/>
  <c r="T72" i="66"/>
  <c r="T76" i="66" s="1"/>
  <c r="T64" i="66"/>
  <c r="T77" i="66" s="1"/>
  <c r="T66" i="66"/>
  <c r="T74" i="66" s="1"/>
  <c r="T64" i="65"/>
  <c r="T77" i="65" s="1"/>
  <c r="T66" i="65"/>
  <c r="T74" i="65" s="1"/>
  <c r="T72" i="65"/>
  <c r="T76" i="65" s="1"/>
  <c r="U63" i="55"/>
  <c r="U72" i="55" s="1"/>
  <c r="U76" i="55" s="1"/>
  <c r="U63" i="66"/>
  <c r="U63" i="64"/>
  <c r="U72" i="67"/>
  <c r="U76" i="67" s="1"/>
  <c r="U66" i="67"/>
  <c r="U74" i="67" s="1"/>
  <c r="U64" i="67"/>
  <c r="U77" i="67" s="1"/>
  <c r="T84" i="55"/>
  <c r="T91" i="55" s="1"/>
  <c r="U82" i="67"/>
  <c r="U94" i="67" s="1"/>
  <c r="U84" i="67"/>
  <c r="U91" i="67" s="1"/>
  <c r="U89" i="67"/>
  <c r="U93" i="67" s="1"/>
  <c r="U82" i="65"/>
  <c r="U94" i="65" s="1"/>
  <c r="U89" i="65"/>
  <c r="U93" i="65" s="1"/>
  <c r="U84" i="65"/>
  <c r="U91" i="65" s="1"/>
  <c r="U84" i="63"/>
  <c r="U91" i="63" s="1"/>
  <c r="U89" i="63"/>
  <c r="U93" i="63" s="1"/>
  <c r="U82" i="63"/>
  <c r="U94" i="63" s="1"/>
  <c r="T82" i="64"/>
  <c r="T94" i="64" s="1"/>
  <c r="T89" i="64"/>
  <c r="T93" i="64" s="1"/>
  <c r="T84" i="64"/>
  <c r="T91" i="64" s="1"/>
  <c r="T82" i="66"/>
  <c r="T94" i="66" s="1"/>
  <c r="T89" i="66"/>
  <c r="T93" i="66" s="1"/>
  <c r="T84" i="66"/>
  <c r="T91" i="66" s="1"/>
  <c r="U81" i="55"/>
  <c r="U89" i="55" s="1"/>
  <c r="U93" i="55" s="1"/>
  <c r="U81" i="66"/>
  <c r="U81" i="64"/>
  <c r="U82" i="62"/>
  <c r="U94" i="62" s="1"/>
  <c r="U89" i="62"/>
  <c r="U93" i="62" s="1"/>
  <c r="U84" i="62"/>
  <c r="U91" i="62" s="1"/>
  <c r="U64" i="62"/>
  <c r="U77" i="62" s="1"/>
  <c r="U72" i="62"/>
  <c r="U66" i="62"/>
  <c r="U74" i="62" s="1"/>
  <c r="T64" i="61"/>
  <c r="T77" i="61" s="1"/>
  <c r="T72" i="61"/>
  <c r="T76" i="61" s="1"/>
  <c r="T66" i="61"/>
  <c r="T74" i="61" s="1"/>
  <c r="U81" i="61"/>
  <c r="T82" i="61"/>
  <c r="T94" i="61" s="1"/>
  <c r="T84" i="61"/>
  <c r="T91" i="61" s="1"/>
  <c r="T89" i="61"/>
  <c r="T93" i="61" s="1"/>
  <c r="U63" i="61"/>
  <c r="T72" i="57"/>
  <c r="T76" i="57" s="1"/>
  <c r="T66" i="57"/>
  <c r="T74" i="57" s="1"/>
  <c r="T89" i="58"/>
  <c r="T93" i="58" s="1"/>
  <c r="T84" i="58"/>
  <c r="T91" i="58" s="1"/>
  <c r="U72" i="51"/>
  <c r="U76" i="51" s="1"/>
  <c r="U66" i="51"/>
  <c r="U74" i="51" s="1"/>
  <c r="U84" i="51"/>
  <c r="U91" i="51" s="1"/>
  <c r="U89" i="51"/>
  <c r="U93" i="51" s="1"/>
  <c r="V100" i="45"/>
  <c r="V81" i="65" s="1"/>
  <c r="U81" i="58"/>
  <c r="U84" i="52"/>
  <c r="U91" i="52" s="1"/>
  <c r="U89" i="52"/>
  <c r="U93" i="52" s="1"/>
  <c r="U63" i="57"/>
  <c r="T89" i="57"/>
  <c r="T93" i="57" s="1"/>
  <c r="T84" i="57"/>
  <c r="T91" i="57" s="1"/>
  <c r="U89" i="53"/>
  <c r="U84" i="53"/>
  <c r="U91" i="53" s="1"/>
  <c r="U81" i="57"/>
  <c r="U66" i="53"/>
  <c r="U74" i="53" s="1"/>
  <c r="U72" i="53"/>
  <c r="U72" i="52"/>
  <c r="U76" i="52" s="1"/>
  <c r="U66" i="52"/>
  <c r="U74" i="52" s="1"/>
  <c r="V97" i="45"/>
  <c r="V81" i="53" s="1"/>
  <c r="V99" i="45"/>
  <c r="V81" i="67" s="1"/>
  <c r="V98" i="45"/>
  <c r="V81" i="52" s="1"/>
  <c r="V85" i="45"/>
  <c r="V63" i="62" s="1"/>
  <c r="V93" i="45"/>
  <c r="V81" i="63" s="1"/>
  <c r="V81" i="45"/>
  <c r="V63" i="51" s="1"/>
  <c r="V89" i="45"/>
  <c r="V83" i="45"/>
  <c r="U63" i="38"/>
  <c r="V87" i="45"/>
  <c r="V63" i="52" s="1"/>
  <c r="V96" i="45"/>
  <c r="V81" i="62" s="1"/>
  <c r="V92" i="45"/>
  <c r="V81" i="51" s="1"/>
  <c r="V86" i="45"/>
  <c r="V63" i="53" s="1"/>
  <c r="V88" i="45"/>
  <c r="V63" i="67" s="1"/>
  <c r="V95" i="45"/>
  <c r="V84" i="45"/>
  <c r="V94" i="45"/>
  <c r="U81" i="38"/>
  <c r="V82" i="45"/>
  <c r="V63" i="63" s="1"/>
  <c r="U66" i="55" l="1"/>
  <c r="U74" i="55" s="1"/>
  <c r="U66" i="58"/>
  <c r="U74" i="58" s="1"/>
  <c r="V63" i="55"/>
  <c r="V66" i="55" s="1"/>
  <c r="V74" i="55" s="1"/>
  <c r="V63" i="66"/>
  <c r="V63" i="64"/>
  <c r="U64" i="64"/>
  <c r="U77" i="64" s="1"/>
  <c r="U66" i="64"/>
  <c r="U74" i="64" s="1"/>
  <c r="U72" i="64"/>
  <c r="U64" i="66"/>
  <c r="U77" i="66" s="1"/>
  <c r="U66" i="66"/>
  <c r="U74" i="66" s="1"/>
  <c r="U72" i="66"/>
  <c r="U76" i="66" s="1"/>
  <c r="V63" i="58"/>
  <c r="V72" i="58" s="1"/>
  <c r="V76" i="58" s="1"/>
  <c r="V63" i="65"/>
  <c r="V64" i="63"/>
  <c r="V77" i="63" s="1"/>
  <c r="V72" i="63"/>
  <c r="V66" i="63"/>
  <c r="V74" i="63" s="1"/>
  <c r="V66" i="67"/>
  <c r="V74" i="67" s="1"/>
  <c r="V72" i="67"/>
  <c r="V76" i="67" s="1"/>
  <c r="V64" i="67"/>
  <c r="V77" i="67" s="1"/>
  <c r="U72" i="65"/>
  <c r="U76" i="65" s="1"/>
  <c r="U64" i="65"/>
  <c r="U77" i="65" s="1"/>
  <c r="U66" i="65"/>
  <c r="U74" i="65" s="1"/>
  <c r="U84" i="55"/>
  <c r="U91" i="55" s="1"/>
  <c r="U82" i="64"/>
  <c r="U94" i="64" s="1"/>
  <c r="U89" i="64"/>
  <c r="U93" i="64" s="1"/>
  <c r="U84" i="64"/>
  <c r="U91" i="64" s="1"/>
  <c r="V81" i="55"/>
  <c r="V84" i="55" s="1"/>
  <c r="V91" i="55" s="1"/>
  <c r="V81" i="66"/>
  <c r="V81" i="64"/>
  <c r="U82" i="66"/>
  <c r="U94" i="66" s="1"/>
  <c r="U89" i="66"/>
  <c r="U93" i="66" s="1"/>
  <c r="U84" i="66"/>
  <c r="U91" i="66" s="1"/>
  <c r="V84" i="63"/>
  <c r="V91" i="63" s="1"/>
  <c r="V89" i="63"/>
  <c r="V93" i="63" s="1"/>
  <c r="V82" i="63"/>
  <c r="V94" i="63" s="1"/>
  <c r="V82" i="65"/>
  <c r="V94" i="65" s="1"/>
  <c r="V89" i="65"/>
  <c r="V93" i="65" s="1"/>
  <c r="V84" i="65"/>
  <c r="V91" i="65" s="1"/>
  <c r="V82" i="67"/>
  <c r="V94" i="67" s="1"/>
  <c r="V84" i="67"/>
  <c r="V91" i="67" s="1"/>
  <c r="V89" i="67"/>
  <c r="V93" i="67" s="1"/>
  <c r="V82" i="62"/>
  <c r="V94" i="62" s="1"/>
  <c r="V84" i="62"/>
  <c r="V91" i="62" s="1"/>
  <c r="V89" i="62"/>
  <c r="V93" i="62" s="1"/>
  <c r="V64" i="62"/>
  <c r="V77" i="62" s="1"/>
  <c r="V72" i="62"/>
  <c r="V66" i="62"/>
  <c r="V74" i="62" s="1"/>
  <c r="V81" i="61"/>
  <c r="U64" i="61"/>
  <c r="U77" i="61" s="1"/>
  <c r="U72" i="61"/>
  <c r="U76" i="61" s="1"/>
  <c r="U66" i="61"/>
  <c r="U74" i="61" s="1"/>
  <c r="V63" i="61"/>
  <c r="U82" i="61"/>
  <c r="U94" i="61" s="1"/>
  <c r="U84" i="61"/>
  <c r="U91" i="61" s="1"/>
  <c r="U89" i="61"/>
  <c r="U93" i="61" s="1"/>
  <c r="W100" i="45"/>
  <c r="W81" i="65" s="1"/>
  <c r="BO119" i="2" s="1"/>
  <c r="V81" i="58"/>
  <c r="V63" i="57"/>
  <c r="V89" i="52"/>
  <c r="V93" i="52" s="1"/>
  <c r="V84" i="52"/>
  <c r="V91" i="52" s="1"/>
  <c r="U89" i="58"/>
  <c r="U93" i="58" s="1"/>
  <c r="U84" i="58"/>
  <c r="U91" i="58" s="1"/>
  <c r="V84" i="53"/>
  <c r="V91" i="53" s="1"/>
  <c r="V89" i="53"/>
  <c r="V81" i="57"/>
  <c r="U72" i="57"/>
  <c r="U76" i="57" s="1"/>
  <c r="U66" i="57"/>
  <c r="U74" i="57" s="1"/>
  <c r="V72" i="51"/>
  <c r="V76" i="51" s="1"/>
  <c r="V66" i="51"/>
  <c r="V74" i="51" s="1"/>
  <c r="V89" i="51"/>
  <c r="V93" i="51" s="1"/>
  <c r="V84" i="51"/>
  <c r="V91" i="51" s="1"/>
  <c r="V72" i="52"/>
  <c r="V76" i="52" s="1"/>
  <c r="V66" i="52"/>
  <c r="V74" i="52" s="1"/>
  <c r="U84" i="57"/>
  <c r="U91" i="57" s="1"/>
  <c r="U89" i="57"/>
  <c r="U93" i="57" s="1"/>
  <c r="V66" i="53"/>
  <c r="V74" i="53" s="1"/>
  <c r="V72" i="53"/>
  <c r="W97" i="45"/>
  <c r="W81" i="53" s="1"/>
  <c r="BO75" i="2" s="1"/>
  <c r="W99" i="45"/>
  <c r="W81" i="67" s="1"/>
  <c r="BO152" i="2" s="1"/>
  <c r="W98" i="45"/>
  <c r="W81" i="52" s="1"/>
  <c r="BO86" i="2" s="1"/>
  <c r="W84" i="45"/>
  <c r="W95" i="45"/>
  <c r="W87" i="45"/>
  <c r="W63" i="52" s="1"/>
  <c r="BN86" i="2" s="1"/>
  <c r="W88" i="45"/>
  <c r="W63" i="67" s="1"/>
  <c r="BN152" i="2" s="1"/>
  <c r="W89" i="45"/>
  <c r="W82" i="45"/>
  <c r="W63" i="63" s="1"/>
  <c r="BN42" i="2" s="1"/>
  <c r="W86" i="45"/>
  <c r="W63" i="53" s="1"/>
  <c r="BN75" i="2" s="1"/>
  <c r="W81" i="45"/>
  <c r="W63" i="51" s="1"/>
  <c r="BN64" i="2" s="1"/>
  <c r="W92" i="45"/>
  <c r="W81" i="51" s="1"/>
  <c r="BO64" i="2" s="1"/>
  <c r="W96" i="45"/>
  <c r="W81" i="62" s="1"/>
  <c r="BO31" i="2" s="1"/>
  <c r="W83" i="45"/>
  <c r="V63" i="38"/>
  <c r="W93" i="45"/>
  <c r="W81" i="63" s="1"/>
  <c r="BO42" i="2" s="1"/>
  <c r="W94" i="45"/>
  <c r="V81" i="38"/>
  <c r="W85" i="45"/>
  <c r="W63" i="62" s="1"/>
  <c r="BN31" i="2" s="1"/>
  <c r="V72" i="55" l="1"/>
  <c r="V76" i="55" s="1"/>
  <c r="BI75" i="2"/>
  <c r="G78" i="3" s="1"/>
  <c r="S78" i="3" s="1"/>
  <c r="W64" i="63"/>
  <c r="W77" i="63" s="1"/>
  <c r="W72" i="63"/>
  <c r="W66" i="63"/>
  <c r="W74" i="63" s="1"/>
  <c r="V64" i="64"/>
  <c r="V77" i="64" s="1"/>
  <c r="V66" i="64"/>
  <c r="V74" i="64" s="1"/>
  <c r="V72" i="64"/>
  <c r="V64" i="66"/>
  <c r="V77" i="66" s="1"/>
  <c r="V66" i="66"/>
  <c r="V74" i="66" s="1"/>
  <c r="V72" i="66"/>
  <c r="V76" i="66" s="1"/>
  <c r="W72" i="67"/>
  <c r="W76" i="67" s="1"/>
  <c r="W66" i="67"/>
  <c r="W74" i="67" s="1"/>
  <c r="W64" i="67"/>
  <c r="W77" i="67" s="1"/>
  <c r="V66" i="58"/>
  <c r="V74" i="58" s="1"/>
  <c r="W63" i="58"/>
  <c r="W63" i="65"/>
  <c r="BN119" i="2" s="1"/>
  <c r="W63" i="55"/>
  <c r="BN130" i="2" s="1"/>
  <c r="W63" i="66"/>
  <c r="BN141" i="2" s="1"/>
  <c r="W63" i="64"/>
  <c r="BN53" i="2" s="1"/>
  <c r="BI64" i="2"/>
  <c r="G66" i="3" s="1"/>
  <c r="S66" i="3" s="1"/>
  <c r="V66" i="65"/>
  <c r="V74" i="65" s="1"/>
  <c r="V72" i="65"/>
  <c r="V76" i="65" s="1"/>
  <c r="V64" i="65"/>
  <c r="V77" i="65" s="1"/>
  <c r="BH75" i="2"/>
  <c r="F78" i="3" s="1"/>
  <c r="R78" i="3" s="1"/>
  <c r="BH64" i="2"/>
  <c r="F66" i="3" s="1"/>
  <c r="R66" i="3" s="1"/>
  <c r="BH86" i="2"/>
  <c r="F90" i="3" s="1"/>
  <c r="R90" i="3" s="1"/>
  <c r="V89" i="55"/>
  <c r="V93" i="55" s="1"/>
  <c r="V82" i="64"/>
  <c r="V94" i="64" s="1"/>
  <c r="V89" i="64"/>
  <c r="V93" i="64" s="1"/>
  <c r="V84" i="64"/>
  <c r="V91" i="64" s="1"/>
  <c r="V82" i="66"/>
  <c r="V94" i="66" s="1"/>
  <c r="V89" i="66"/>
  <c r="V93" i="66" s="1"/>
  <c r="V84" i="66"/>
  <c r="V91" i="66" s="1"/>
  <c r="W82" i="63"/>
  <c r="W94" i="63" s="1"/>
  <c r="W84" i="63"/>
  <c r="W91" i="63" s="1"/>
  <c r="W89" i="63"/>
  <c r="W93" i="63" s="1"/>
  <c r="W82" i="67"/>
  <c r="W94" i="67" s="1"/>
  <c r="W89" i="67"/>
  <c r="W93" i="67" s="1"/>
  <c r="W84" i="67"/>
  <c r="W91" i="67" s="1"/>
  <c r="W81" i="55"/>
  <c r="BO130" i="2" s="1"/>
  <c r="W81" i="66"/>
  <c r="BO141" i="2" s="1"/>
  <c r="W81" i="64"/>
  <c r="BO53" i="2" s="1"/>
  <c r="W82" i="65"/>
  <c r="W94" i="65" s="1"/>
  <c r="W89" i="65"/>
  <c r="W93" i="65" s="1"/>
  <c r="W84" i="65"/>
  <c r="W91" i="65" s="1"/>
  <c r="W82" i="62"/>
  <c r="W94" i="62" s="1"/>
  <c r="W84" i="62"/>
  <c r="W91" i="62" s="1"/>
  <c r="W89" i="62"/>
  <c r="W93" i="62" s="1"/>
  <c r="W64" i="62"/>
  <c r="W77" i="62" s="1"/>
  <c r="W66" i="62"/>
  <c r="W74" i="62" s="1"/>
  <c r="W72" i="62"/>
  <c r="V64" i="61"/>
  <c r="V77" i="61" s="1"/>
  <c r="V66" i="61"/>
  <c r="V74" i="61" s="1"/>
  <c r="V72" i="61"/>
  <c r="V76" i="61" s="1"/>
  <c r="W81" i="61"/>
  <c r="BO9" i="2" s="1"/>
  <c r="V82" i="61"/>
  <c r="V94" i="61" s="1"/>
  <c r="V89" i="61"/>
  <c r="V93" i="61" s="1"/>
  <c r="V84" i="61"/>
  <c r="V91" i="61" s="1"/>
  <c r="W63" i="61"/>
  <c r="BN9" i="2" s="1"/>
  <c r="W84" i="52"/>
  <c r="W91" i="52" s="1"/>
  <c r="W89" i="52"/>
  <c r="W93" i="52" s="1"/>
  <c r="W81" i="57"/>
  <c r="BO97" i="2" s="1"/>
  <c r="W89" i="53"/>
  <c r="W84" i="53"/>
  <c r="W91" i="53" s="1"/>
  <c r="V66" i="57"/>
  <c r="V74" i="57" s="1"/>
  <c r="V72" i="57"/>
  <c r="V76" i="57" s="1"/>
  <c r="W66" i="53"/>
  <c r="W74" i="53" s="1"/>
  <c r="W72" i="53"/>
  <c r="V89" i="57"/>
  <c r="V93" i="57" s="1"/>
  <c r="V84" i="57"/>
  <c r="V91" i="57" s="1"/>
  <c r="V84" i="58"/>
  <c r="V91" i="58" s="1"/>
  <c r="V89" i="58"/>
  <c r="V93" i="58" s="1"/>
  <c r="W89" i="51"/>
  <c r="W93" i="51" s="1"/>
  <c r="W84" i="51"/>
  <c r="W91" i="51" s="1"/>
  <c r="X100" i="45"/>
  <c r="X81" i="65" s="1"/>
  <c r="W81" i="58"/>
  <c r="BO108" i="2" s="1"/>
  <c r="W63" i="57"/>
  <c r="BN97" i="2" s="1"/>
  <c r="W66" i="51"/>
  <c r="W74" i="51" s="1"/>
  <c r="W72" i="51"/>
  <c r="W76" i="51" s="1"/>
  <c r="W72" i="52"/>
  <c r="W76" i="52" s="1"/>
  <c r="W66" i="52"/>
  <c r="W74" i="52" s="1"/>
  <c r="X97" i="45"/>
  <c r="X81" i="53" s="1"/>
  <c r="X99" i="45"/>
  <c r="X81" i="67" s="1"/>
  <c r="X98" i="45"/>
  <c r="X81" i="52" s="1"/>
  <c r="X82" i="45"/>
  <c r="X63" i="63" s="1"/>
  <c r="X88" i="45"/>
  <c r="X63" i="67" s="1"/>
  <c r="X93" i="45"/>
  <c r="X81" i="63" s="1"/>
  <c r="X89" i="45"/>
  <c r="X96" i="45"/>
  <c r="X81" i="62" s="1"/>
  <c r="X94" i="45"/>
  <c r="W81" i="38"/>
  <c r="BO20" i="2" s="1"/>
  <c r="X83" i="45"/>
  <c r="W63" i="38"/>
  <c r="BN20" i="2" s="1"/>
  <c r="X85" i="45"/>
  <c r="X63" i="62" s="1"/>
  <c r="X92" i="45"/>
  <c r="X81" i="51" s="1"/>
  <c r="X87" i="45"/>
  <c r="X63" i="52" s="1"/>
  <c r="X81" i="45"/>
  <c r="X63" i="51" s="1"/>
  <c r="X95" i="45"/>
  <c r="X86" i="45"/>
  <c r="X63" i="53" s="1"/>
  <c r="X84" i="45"/>
  <c r="W66" i="58" l="1"/>
  <c r="W74" i="58" s="1"/>
  <c r="BN108" i="2"/>
  <c r="W72" i="58"/>
  <c r="W76" i="58" s="1"/>
  <c r="BI42" i="2"/>
  <c r="G42" i="3" s="1"/>
  <c r="S42" i="3" s="1"/>
  <c r="BI152" i="2"/>
  <c r="G162" i="3" s="1"/>
  <c r="S162" i="3" s="1"/>
  <c r="BI130" i="2"/>
  <c r="G138" i="3" s="1"/>
  <c r="S138" i="3" s="1"/>
  <c r="W64" i="64"/>
  <c r="W77" i="64" s="1"/>
  <c r="W72" i="64"/>
  <c r="W66" i="64"/>
  <c r="W74" i="64" s="1"/>
  <c r="BI97" i="2"/>
  <c r="G102" i="3" s="1"/>
  <c r="S102" i="3" s="1"/>
  <c r="W64" i="66"/>
  <c r="W77" i="66" s="1"/>
  <c r="W66" i="66"/>
  <c r="W74" i="66" s="1"/>
  <c r="W72" i="66"/>
  <c r="W76" i="66" s="1"/>
  <c r="BH130" i="2"/>
  <c r="F138" i="3" s="1"/>
  <c r="R138" i="3" s="1"/>
  <c r="W66" i="65"/>
  <c r="W74" i="65" s="1"/>
  <c r="W72" i="65"/>
  <c r="W76" i="65" s="1"/>
  <c r="W64" i="65"/>
  <c r="W77" i="65" s="1"/>
  <c r="X63" i="55"/>
  <c r="X72" i="55" s="1"/>
  <c r="X76" i="55" s="1"/>
  <c r="X63" i="66"/>
  <c r="X63" i="64"/>
  <c r="BH97" i="2"/>
  <c r="F102" i="3" s="1"/>
  <c r="R102" i="3" s="1"/>
  <c r="BH42" i="2"/>
  <c r="F42" i="3" s="1"/>
  <c r="R42" i="3" s="1"/>
  <c r="X63" i="58"/>
  <c r="X66" i="58" s="1"/>
  <c r="X74" i="58" s="1"/>
  <c r="X63" i="65"/>
  <c r="X64" i="67"/>
  <c r="X77" i="67" s="1"/>
  <c r="X66" i="67"/>
  <c r="X74" i="67" s="1"/>
  <c r="X72" i="67"/>
  <c r="X76" i="67" s="1"/>
  <c r="W72" i="55"/>
  <c r="W76" i="55" s="1"/>
  <c r="BH152" i="2"/>
  <c r="F162" i="3" s="1"/>
  <c r="R162" i="3" s="1"/>
  <c r="X64" i="63"/>
  <c r="X77" i="63" s="1"/>
  <c r="X66" i="63"/>
  <c r="X74" i="63" s="1"/>
  <c r="X72" i="63"/>
  <c r="W66" i="55"/>
  <c r="W74" i="55" s="1"/>
  <c r="W84" i="55"/>
  <c r="W91" i="55" s="1"/>
  <c r="W89" i="55"/>
  <c r="W93" i="55" s="1"/>
  <c r="X82" i="65"/>
  <c r="X94" i="65" s="1"/>
  <c r="X89" i="65"/>
  <c r="X93" i="65" s="1"/>
  <c r="X84" i="65"/>
  <c r="X91" i="65" s="1"/>
  <c r="W82" i="64"/>
  <c r="W94" i="64" s="1"/>
  <c r="W89" i="64"/>
  <c r="W93" i="64" s="1"/>
  <c r="W84" i="64"/>
  <c r="W91" i="64" s="1"/>
  <c r="W82" i="66"/>
  <c r="W94" i="66" s="1"/>
  <c r="W84" i="66"/>
  <c r="W91" i="66" s="1"/>
  <c r="W89" i="66"/>
  <c r="W93" i="66" s="1"/>
  <c r="X81" i="55"/>
  <c r="X84" i="55" s="1"/>
  <c r="X91" i="55" s="1"/>
  <c r="X81" i="66"/>
  <c r="X81" i="64"/>
  <c r="X82" i="63"/>
  <c r="X94" i="63" s="1"/>
  <c r="X84" i="63"/>
  <c r="X91" i="63" s="1"/>
  <c r="X89" i="63"/>
  <c r="X93" i="63" s="1"/>
  <c r="X82" i="67"/>
  <c r="X94" i="67" s="1"/>
  <c r="X89" i="67"/>
  <c r="X93" i="67" s="1"/>
  <c r="X84" i="67"/>
  <c r="X91" i="67" s="1"/>
  <c r="BH20" i="2"/>
  <c r="X64" i="62"/>
  <c r="X77" i="62" s="1"/>
  <c r="X66" i="62"/>
  <c r="X74" i="62" s="1"/>
  <c r="X72" i="62"/>
  <c r="BI9" i="2"/>
  <c r="G6" i="3" s="1"/>
  <c r="S6" i="3" s="1"/>
  <c r="BI20" i="2"/>
  <c r="G18" i="3" s="1"/>
  <c r="BH31" i="2"/>
  <c r="BH9" i="2"/>
  <c r="X82" i="62"/>
  <c r="X94" i="62" s="1"/>
  <c r="X84" i="62"/>
  <c r="X91" i="62" s="1"/>
  <c r="X89" i="62"/>
  <c r="X93" i="62" s="1"/>
  <c r="BI31" i="2"/>
  <c r="G30" i="3" s="1"/>
  <c r="W64" i="61"/>
  <c r="W77" i="61" s="1"/>
  <c r="W66" i="61"/>
  <c r="W74" i="61" s="1"/>
  <c r="W72" i="61"/>
  <c r="W76" i="61" s="1"/>
  <c r="W82" i="61"/>
  <c r="W94" i="61" s="1"/>
  <c r="W89" i="61"/>
  <c r="W93" i="61" s="1"/>
  <c r="W84" i="61"/>
  <c r="W91" i="61" s="1"/>
  <c r="X63" i="61"/>
  <c r="X81" i="61"/>
  <c r="Y100" i="45"/>
  <c r="Y81" i="65" s="1"/>
  <c r="X81" i="58"/>
  <c r="X89" i="53"/>
  <c r="X84" i="53"/>
  <c r="X91" i="53" s="1"/>
  <c r="W66" i="57"/>
  <c r="W74" i="57" s="1"/>
  <c r="W72" i="57"/>
  <c r="W76" i="57" s="1"/>
  <c r="X84" i="52"/>
  <c r="X91" i="52" s="1"/>
  <c r="X89" i="52"/>
  <c r="X93" i="52" s="1"/>
  <c r="X63" i="57"/>
  <c r="X81" i="57"/>
  <c r="X72" i="52"/>
  <c r="X76" i="52" s="1"/>
  <c r="X66" i="52"/>
  <c r="X74" i="52" s="1"/>
  <c r="W84" i="57"/>
  <c r="W91" i="57" s="1"/>
  <c r="W89" i="57"/>
  <c r="W93" i="57" s="1"/>
  <c r="X89" i="51"/>
  <c r="X93" i="51" s="1"/>
  <c r="X84" i="51"/>
  <c r="X91" i="51" s="1"/>
  <c r="X66" i="53"/>
  <c r="X74" i="53" s="1"/>
  <c r="X72" i="53"/>
  <c r="X66" i="51"/>
  <c r="X74" i="51" s="1"/>
  <c r="X72" i="51"/>
  <c r="X76" i="51" s="1"/>
  <c r="W89" i="58"/>
  <c r="W93" i="58" s="1"/>
  <c r="W84" i="58"/>
  <c r="W91" i="58" s="1"/>
  <c r="Y97" i="45"/>
  <c r="Y81" i="53" s="1"/>
  <c r="Y99" i="45"/>
  <c r="Y81" i="67" s="1"/>
  <c r="Y98" i="45"/>
  <c r="Y81" i="52" s="1"/>
  <c r="Y94" i="45"/>
  <c r="X81" i="38"/>
  <c r="Y96" i="45"/>
  <c r="Y81" i="62" s="1"/>
  <c r="Y89" i="45"/>
  <c r="Y88" i="45"/>
  <c r="Y63" i="67" s="1"/>
  <c r="Y84" i="45"/>
  <c r="Y93" i="45"/>
  <c r="Y81" i="63" s="1"/>
  <c r="Y83" i="45"/>
  <c r="X63" i="38"/>
  <c r="Y81" i="45"/>
  <c r="Y63" i="51" s="1"/>
  <c r="Y87" i="45"/>
  <c r="Y63" i="52" s="1"/>
  <c r="Y92" i="45"/>
  <c r="Y81" i="51" s="1"/>
  <c r="Y85" i="45"/>
  <c r="Y63" i="62" s="1"/>
  <c r="Y86" i="45"/>
  <c r="Y63" i="53" s="1"/>
  <c r="Y95" i="45"/>
  <c r="Y82" i="45"/>
  <c r="Y63" i="63" s="1"/>
  <c r="BI108" i="2" l="1"/>
  <c r="G114" i="3" s="1"/>
  <c r="S114" i="3" s="1"/>
  <c r="BI119" i="2"/>
  <c r="G126" i="3" s="1"/>
  <c r="S126" i="3" s="1"/>
  <c r="BH108" i="2"/>
  <c r="F114" i="3" s="1"/>
  <c r="BI53" i="2"/>
  <c r="G54" i="3" s="1"/>
  <c r="S54" i="3" s="1"/>
  <c r="X72" i="58"/>
  <c r="X76" i="58" s="1"/>
  <c r="X66" i="55"/>
  <c r="X74" i="55" s="1"/>
  <c r="BI141" i="2"/>
  <c r="G150" i="3" s="1"/>
  <c r="S150" i="3" s="1"/>
  <c r="Y63" i="55"/>
  <c r="Y72" i="55" s="1"/>
  <c r="Y76" i="55" s="1"/>
  <c r="Y63" i="66"/>
  <c r="Y63" i="64"/>
  <c r="X72" i="65"/>
  <c r="X76" i="65" s="1"/>
  <c r="X64" i="65"/>
  <c r="X77" i="65" s="1"/>
  <c r="X66" i="65"/>
  <c r="X74" i="65" s="1"/>
  <c r="Y64" i="63"/>
  <c r="Y77" i="63" s="1"/>
  <c r="Y66" i="63"/>
  <c r="Y74" i="63" s="1"/>
  <c r="Y72" i="63"/>
  <c r="X64" i="64"/>
  <c r="X77" i="64" s="1"/>
  <c r="X72" i="64"/>
  <c r="X66" i="64"/>
  <c r="X74" i="64" s="1"/>
  <c r="BH141" i="2"/>
  <c r="F150" i="3" s="1"/>
  <c r="R150" i="3" s="1"/>
  <c r="Y63" i="58"/>
  <c r="Y66" i="58" s="1"/>
  <c r="Y74" i="58" s="1"/>
  <c r="Y63" i="65"/>
  <c r="X64" i="66"/>
  <c r="X77" i="66" s="1"/>
  <c r="X66" i="66"/>
  <c r="X74" i="66" s="1"/>
  <c r="X72" i="66"/>
  <c r="X76" i="66" s="1"/>
  <c r="Y72" i="67"/>
  <c r="Y76" i="67" s="1"/>
  <c r="Y64" i="67"/>
  <c r="Y77" i="67" s="1"/>
  <c r="Y66" i="67"/>
  <c r="Y74" i="67" s="1"/>
  <c r="BH53" i="2"/>
  <c r="F54" i="3" s="1"/>
  <c r="R54" i="3" s="1"/>
  <c r="BH119" i="2"/>
  <c r="F126" i="3" s="1"/>
  <c r="R126" i="3" s="1"/>
  <c r="X89" i="55"/>
  <c r="X93" i="55" s="1"/>
  <c r="Y82" i="67"/>
  <c r="Y94" i="67" s="1"/>
  <c r="Y89" i="67"/>
  <c r="Y93" i="67" s="1"/>
  <c r="Y84" i="67"/>
  <c r="Y91" i="67" s="1"/>
  <c r="Y89" i="63"/>
  <c r="Y93" i="63" s="1"/>
  <c r="Y84" i="63"/>
  <c r="Y91" i="63" s="1"/>
  <c r="Y82" i="63"/>
  <c r="Y94" i="63" s="1"/>
  <c r="X82" i="66"/>
  <c r="X94" i="66" s="1"/>
  <c r="X89" i="66"/>
  <c r="X93" i="66" s="1"/>
  <c r="X84" i="66"/>
  <c r="X91" i="66" s="1"/>
  <c r="Y81" i="55"/>
  <c r="Y84" i="55" s="1"/>
  <c r="Y91" i="55" s="1"/>
  <c r="Y81" i="66"/>
  <c r="Y81" i="64"/>
  <c r="X82" i="64"/>
  <c r="X94" i="64" s="1"/>
  <c r="X84" i="64"/>
  <c r="X91" i="64" s="1"/>
  <c r="X89" i="64"/>
  <c r="X93" i="64" s="1"/>
  <c r="Y82" i="65"/>
  <c r="Y94" i="65" s="1"/>
  <c r="Y84" i="65"/>
  <c r="Y91" i="65" s="1"/>
  <c r="Y89" i="65"/>
  <c r="Y93" i="65" s="1"/>
  <c r="F6" i="3"/>
  <c r="R6" i="3" s="1"/>
  <c r="Y82" i="62"/>
  <c r="Y94" i="62" s="1"/>
  <c r="Y89" i="62"/>
  <c r="Y93" i="62" s="1"/>
  <c r="Y84" i="62"/>
  <c r="Y91" i="62" s="1"/>
  <c r="F30" i="3"/>
  <c r="F18" i="3"/>
  <c r="Y64" i="62"/>
  <c r="Y77" i="62" s="1"/>
  <c r="Y66" i="62"/>
  <c r="Y74" i="62" s="1"/>
  <c r="Y72" i="62"/>
  <c r="X82" i="61"/>
  <c r="X94" i="61" s="1"/>
  <c r="X89" i="61"/>
  <c r="X93" i="61" s="1"/>
  <c r="X84" i="61"/>
  <c r="X91" i="61" s="1"/>
  <c r="X64" i="61"/>
  <c r="X77" i="61" s="1"/>
  <c r="X72" i="61"/>
  <c r="X76" i="61" s="1"/>
  <c r="X66" i="61"/>
  <c r="X74" i="61" s="1"/>
  <c r="Y81" i="61"/>
  <c r="Y63" i="61"/>
  <c r="Y84" i="52"/>
  <c r="Y91" i="52" s="1"/>
  <c r="Y89" i="52"/>
  <c r="Y93" i="52" s="1"/>
  <c r="Y72" i="52"/>
  <c r="Y76" i="52" s="1"/>
  <c r="Y66" i="52"/>
  <c r="Y74" i="52" s="1"/>
  <c r="X66" i="57"/>
  <c r="X74" i="57" s="1"/>
  <c r="X72" i="57"/>
  <c r="X76" i="57" s="1"/>
  <c r="Y89" i="53"/>
  <c r="Y84" i="53"/>
  <c r="Y91" i="53" s="1"/>
  <c r="Y66" i="51"/>
  <c r="Y74" i="51" s="1"/>
  <c r="Y72" i="51"/>
  <c r="Y76" i="51" s="1"/>
  <c r="Y81" i="57"/>
  <c r="X89" i="57"/>
  <c r="X93" i="57" s="1"/>
  <c r="X84" i="57"/>
  <c r="X91" i="57" s="1"/>
  <c r="X89" i="58"/>
  <c r="X93" i="58" s="1"/>
  <c r="X84" i="58"/>
  <c r="X91" i="58" s="1"/>
  <c r="Y89" i="51"/>
  <c r="Y93" i="51" s="1"/>
  <c r="Y84" i="51"/>
  <c r="Y91" i="51" s="1"/>
  <c r="Y66" i="53"/>
  <c r="Y74" i="53" s="1"/>
  <c r="Y72" i="53"/>
  <c r="Y63" i="57"/>
  <c r="Z100" i="45"/>
  <c r="Z81" i="65" s="1"/>
  <c r="Y81" i="58"/>
  <c r="Z98" i="45"/>
  <c r="Z81" i="52" s="1"/>
  <c r="Z99" i="45"/>
  <c r="Z81" i="67" s="1"/>
  <c r="Z97" i="45"/>
  <c r="Z81" i="53" s="1"/>
  <c r="Z88" i="45"/>
  <c r="Z63" i="67" s="1"/>
  <c r="Z89" i="45"/>
  <c r="Z96" i="45"/>
  <c r="Z81" i="62" s="1"/>
  <c r="Z85" i="45"/>
  <c r="Z63" i="62" s="1"/>
  <c r="Z84" i="45"/>
  <c r="Z92" i="45"/>
  <c r="Z81" i="51" s="1"/>
  <c r="Z81" i="45"/>
  <c r="Z63" i="51" s="1"/>
  <c r="Z93" i="45"/>
  <c r="Z81" i="63" s="1"/>
  <c r="Z87" i="45"/>
  <c r="Z63" i="52" s="1"/>
  <c r="Z82" i="45"/>
  <c r="Z63" i="63" s="1"/>
  <c r="Z95" i="45"/>
  <c r="Z83" i="45"/>
  <c r="Y63" i="38"/>
  <c r="Z86" i="45"/>
  <c r="Z63" i="53" s="1"/>
  <c r="Z94" i="45"/>
  <c r="Y81" i="38"/>
  <c r="Y66" i="55" l="1"/>
  <c r="Y74" i="55" s="1"/>
  <c r="Y66" i="65"/>
  <c r="Y74" i="65" s="1"/>
  <c r="Y72" i="65"/>
  <c r="Y76" i="65" s="1"/>
  <c r="Y64" i="65"/>
  <c r="Y77" i="65" s="1"/>
  <c r="Z72" i="67"/>
  <c r="Z76" i="67" s="1"/>
  <c r="Z64" i="67"/>
  <c r="Z77" i="67" s="1"/>
  <c r="Z66" i="67"/>
  <c r="Z74" i="67" s="1"/>
  <c r="Y72" i="58"/>
  <c r="Y76" i="58" s="1"/>
  <c r="Z63" i="55"/>
  <c r="Z66" i="55" s="1"/>
  <c r="Z74" i="55" s="1"/>
  <c r="Z63" i="66"/>
  <c r="Z63" i="64"/>
  <c r="Y89" i="55"/>
  <c r="Y93" i="55" s="1"/>
  <c r="Z64" i="63"/>
  <c r="Z77" i="63" s="1"/>
  <c r="Z66" i="63"/>
  <c r="Z74" i="63" s="1"/>
  <c r="Z72" i="63"/>
  <c r="Y64" i="64"/>
  <c r="Y77" i="64" s="1"/>
  <c r="Y66" i="64"/>
  <c r="Y74" i="64" s="1"/>
  <c r="Y72" i="64"/>
  <c r="Y66" i="66"/>
  <c r="Y74" i="66" s="1"/>
  <c r="Y72" i="66"/>
  <c r="Y76" i="66" s="1"/>
  <c r="Y64" i="66"/>
  <c r="Y77" i="66" s="1"/>
  <c r="Z63" i="58"/>
  <c r="Z66" i="58" s="1"/>
  <c r="Z74" i="58" s="1"/>
  <c r="Z63" i="65"/>
  <c r="Z82" i="67"/>
  <c r="Z94" i="67" s="1"/>
  <c r="Z89" i="67"/>
  <c r="Z93" i="67" s="1"/>
  <c r="Z84" i="67"/>
  <c r="Z91" i="67" s="1"/>
  <c r="Z84" i="63"/>
  <c r="Z91" i="63" s="1"/>
  <c r="Z89" i="63"/>
  <c r="Z93" i="63" s="1"/>
  <c r="Z82" i="63"/>
  <c r="Z94" i="63" s="1"/>
  <c r="Z82" i="65"/>
  <c r="Z94" i="65" s="1"/>
  <c r="Z89" i="65"/>
  <c r="Z93" i="65" s="1"/>
  <c r="Z84" i="65"/>
  <c r="Z91" i="65" s="1"/>
  <c r="Z81" i="55"/>
  <c r="Z89" i="55" s="1"/>
  <c r="Z93" i="55" s="1"/>
  <c r="Z81" i="66"/>
  <c r="Z81" i="64"/>
  <c r="Y82" i="64"/>
  <c r="Y94" i="64" s="1"/>
  <c r="Y89" i="64"/>
  <c r="Y93" i="64" s="1"/>
  <c r="Y84" i="64"/>
  <c r="Y91" i="64" s="1"/>
  <c r="Y82" i="66"/>
  <c r="Y94" i="66" s="1"/>
  <c r="Y84" i="66"/>
  <c r="Y91" i="66" s="1"/>
  <c r="Y89" i="66"/>
  <c r="Y93" i="66" s="1"/>
  <c r="Z64" i="62"/>
  <c r="Z77" i="62" s="1"/>
  <c r="Z72" i="62"/>
  <c r="Z66" i="62"/>
  <c r="Z74" i="62" s="1"/>
  <c r="Z82" i="62"/>
  <c r="Z94" i="62" s="1"/>
  <c r="Z84" i="62"/>
  <c r="Z91" i="62" s="1"/>
  <c r="Z89" i="62"/>
  <c r="Z93" i="62" s="1"/>
  <c r="Y64" i="61"/>
  <c r="Y77" i="61" s="1"/>
  <c r="Y72" i="61"/>
  <c r="Y76" i="61" s="1"/>
  <c r="Y66" i="61"/>
  <c r="Y74" i="61" s="1"/>
  <c r="Y82" i="61"/>
  <c r="Y94" i="61" s="1"/>
  <c r="Y84" i="61"/>
  <c r="Y91" i="61" s="1"/>
  <c r="Y89" i="61"/>
  <c r="Y93" i="61" s="1"/>
  <c r="Z63" i="61"/>
  <c r="Z81" i="61"/>
  <c r="Y89" i="57"/>
  <c r="Y93" i="57" s="1"/>
  <c r="Y84" i="57"/>
  <c r="Y91" i="57" s="1"/>
  <c r="Z81" i="57"/>
  <c r="Y72" i="57"/>
  <c r="Y76" i="57" s="1"/>
  <c r="Y66" i="57"/>
  <c r="Y74" i="57" s="1"/>
  <c r="Z89" i="52"/>
  <c r="Z93" i="52" s="1"/>
  <c r="Z84" i="52"/>
  <c r="Z91" i="52" s="1"/>
  <c r="Z72" i="52"/>
  <c r="Z76" i="52" s="1"/>
  <c r="Z66" i="52"/>
  <c r="Z74" i="52" s="1"/>
  <c r="Z66" i="51"/>
  <c r="Z74" i="51" s="1"/>
  <c r="Z72" i="51"/>
  <c r="Z76" i="51" s="1"/>
  <c r="Z66" i="53"/>
  <c r="Z74" i="53" s="1"/>
  <c r="Z72" i="53"/>
  <c r="Z89" i="53"/>
  <c r="Z84" i="53"/>
  <c r="Z91" i="53" s="1"/>
  <c r="Y89" i="58"/>
  <c r="Y93" i="58" s="1"/>
  <c r="Y84" i="58"/>
  <c r="Y91" i="58" s="1"/>
  <c r="Z89" i="51"/>
  <c r="Z93" i="51" s="1"/>
  <c r="Z84" i="51"/>
  <c r="Z91" i="51" s="1"/>
  <c r="AA100" i="45"/>
  <c r="AA81" i="65" s="1"/>
  <c r="Z81" i="58"/>
  <c r="Z63" i="57"/>
  <c r="AA97" i="45"/>
  <c r="AA81" i="53" s="1"/>
  <c r="AA99" i="45"/>
  <c r="AA81" i="67" s="1"/>
  <c r="AA98" i="45"/>
  <c r="AA81" i="52" s="1"/>
  <c r="AA83" i="45"/>
  <c r="Z63" i="38"/>
  <c r="AA92" i="45"/>
  <c r="AA81" i="51" s="1"/>
  <c r="AA95" i="45"/>
  <c r="AA85" i="45"/>
  <c r="AA63" i="62" s="1"/>
  <c r="AA89" i="45"/>
  <c r="AA86" i="45"/>
  <c r="AA63" i="53" s="1"/>
  <c r="AA84" i="45"/>
  <c r="AA82" i="45"/>
  <c r="AA63" i="63" s="1"/>
  <c r="AA87" i="45"/>
  <c r="AA63" i="52" s="1"/>
  <c r="AA96" i="45"/>
  <c r="AA81" i="62" s="1"/>
  <c r="AA94" i="45"/>
  <c r="Z81" i="38"/>
  <c r="AA93" i="45"/>
  <c r="AA81" i="63" s="1"/>
  <c r="AA81" i="45"/>
  <c r="AA63" i="51" s="1"/>
  <c r="AA88" i="45"/>
  <c r="AA63" i="67" s="1"/>
  <c r="Z72" i="55" l="1"/>
  <c r="Z76" i="55" s="1"/>
  <c r="Z72" i="58"/>
  <c r="Z76" i="58" s="1"/>
  <c r="AA72" i="67"/>
  <c r="AA76" i="67" s="1"/>
  <c r="AA66" i="67"/>
  <c r="AA74" i="67" s="1"/>
  <c r="AA64" i="67"/>
  <c r="AA77" i="67" s="1"/>
  <c r="Z72" i="66"/>
  <c r="Z76" i="66" s="1"/>
  <c r="Z66" i="66"/>
  <c r="Z74" i="66" s="1"/>
  <c r="Z64" i="66"/>
  <c r="Z77" i="66" s="1"/>
  <c r="Z72" i="65"/>
  <c r="Z76" i="65" s="1"/>
  <c r="Z66" i="65"/>
  <c r="Z74" i="65" s="1"/>
  <c r="Z64" i="65"/>
  <c r="Z77" i="65" s="1"/>
  <c r="Z64" i="64"/>
  <c r="Z77" i="64" s="1"/>
  <c r="Z72" i="64"/>
  <c r="Z66" i="64"/>
  <c r="Z74" i="64" s="1"/>
  <c r="AA63" i="55"/>
  <c r="AA72" i="55" s="1"/>
  <c r="AA76" i="55" s="1"/>
  <c r="AA63" i="66"/>
  <c r="AA63" i="64"/>
  <c r="AA64" i="63"/>
  <c r="AA77" i="63" s="1"/>
  <c r="AA72" i="63"/>
  <c r="AA66" i="63"/>
  <c r="AA74" i="63" s="1"/>
  <c r="AA63" i="58"/>
  <c r="AA72" i="58" s="1"/>
  <c r="AA76" i="58" s="1"/>
  <c r="AA63" i="65"/>
  <c r="AA82" i="65"/>
  <c r="AA94" i="65" s="1"/>
  <c r="AA84" i="65"/>
  <c r="AA91" i="65" s="1"/>
  <c r="AA89" i="65"/>
  <c r="AA93" i="65" s="1"/>
  <c r="Z84" i="55"/>
  <c r="Z91" i="55" s="1"/>
  <c r="AA81" i="55"/>
  <c r="AA89" i="55" s="1"/>
  <c r="AA93" i="55" s="1"/>
  <c r="AA81" i="66"/>
  <c r="AA81" i="64"/>
  <c r="AA82" i="67"/>
  <c r="AA94" i="67" s="1"/>
  <c r="AA84" i="67"/>
  <c r="AA91" i="67" s="1"/>
  <c r="AA89" i="67"/>
  <c r="AA93" i="67" s="1"/>
  <c r="Z82" i="64"/>
  <c r="Z94" i="64" s="1"/>
  <c r="Z89" i="64"/>
  <c r="Z93" i="64" s="1"/>
  <c r="Z84" i="64"/>
  <c r="Z91" i="64" s="1"/>
  <c r="AA84" i="63"/>
  <c r="AA91" i="63" s="1"/>
  <c r="AA89" i="63"/>
  <c r="AA93" i="63" s="1"/>
  <c r="AA82" i="63"/>
  <c r="AA94" i="63" s="1"/>
  <c r="Z82" i="66"/>
  <c r="Z94" i="66" s="1"/>
  <c r="Z89" i="66"/>
  <c r="Z93" i="66" s="1"/>
  <c r="Z84" i="66"/>
  <c r="Z91" i="66" s="1"/>
  <c r="AA64" i="62"/>
  <c r="AA77" i="62" s="1"/>
  <c r="AA72" i="62"/>
  <c r="AA66" i="62"/>
  <c r="AA74" i="62" s="1"/>
  <c r="AA82" i="62"/>
  <c r="AA94" i="62" s="1"/>
  <c r="AA84" i="62"/>
  <c r="AA91" i="62" s="1"/>
  <c r="AA89" i="62"/>
  <c r="AA93" i="62" s="1"/>
  <c r="AA81" i="61"/>
  <c r="Z82" i="61"/>
  <c r="Z94" i="61" s="1"/>
  <c r="Z84" i="61"/>
  <c r="Z91" i="61" s="1"/>
  <c r="Z89" i="61"/>
  <c r="Z93" i="61" s="1"/>
  <c r="Z64" i="61"/>
  <c r="Z77" i="61" s="1"/>
  <c r="Z72" i="61"/>
  <c r="Z76" i="61" s="1"/>
  <c r="Z66" i="61"/>
  <c r="Z74" i="61" s="1"/>
  <c r="AA63" i="61"/>
  <c r="AB100" i="45"/>
  <c r="AB81" i="65" s="1"/>
  <c r="CB119" i="2" s="1"/>
  <c r="AA81" i="58"/>
  <c r="AA81" i="57"/>
  <c r="AA72" i="52"/>
  <c r="AA76" i="52" s="1"/>
  <c r="AA66" i="52"/>
  <c r="AA74" i="52" s="1"/>
  <c r="AA84" i="52"/>
  <c r="AA91" i="52" s="1"/>
  <c r="AA89" i="52"/>
  <c r="AA93" i="52" s="1"/>
  <c r="Z89" i="57"/>
  <c r="Z93" i="57" s="1"/>
  <c r="Z84" i="57"/>
  <c r="Z91" i="57" s="1"/>
  <c r="AA89" i="53"/>
  <c r="AA84" i="53"/>
  <c r="AA91" i="53" s="1"/>
  <c r="AA66" i="53"/>
  <c r="AA74" i="53" s="1"/>
  <c r="AA72" i="53"/>
  <c r="AA63" i="57"/>
  <c r="AA72" i="51"/>
  <c r="AA76" i="51" s="1"/>
  <c r="AA66" i="51"/>
  <c r="AA74" i="51" s="1"/>
  <c r="AA84" i="51"/>
  <c r="AA91" i="51" s="1"/>
  <c r="AA89" i="51"/>
  <c r="AA93" i="51" s="1"/>
  <c r="Z66" i="57"/>
  <c r="Z74" i="57" s="1"/>
  <c r="Z72" i="57"/>
  <c r="Z76" i="57" s="1"/>
  <c r="Z84" i="58"/>
  <c r="Z91" i="58" s="1"/>
  <c r="Z89" i="58"/>
  <c r="Z93" i="58" s="1"/>
  <c r="AB98" i="45"/>
  <c r="AB81" i="52" s="1"/>
  <c r="CB86" i="2" s="1"/>
  <c r="AB99" i="45"/>
  <c r="AB81" i="67" s="1"/>
  <c r="CB152" i="2" s="1"/>
  <c r="AB97" i="45"/>
  <c r="AB81" i="53" s="1"/>
  <c r="CB75" i="2" s="1"/>
  <c r="AB94" i="45"/>
  <c r="AA81" i="38"/>
  <c r="AB87" i="45"/>
  <c r="AB63" i="52" s="1"/>
  <c r="CA86" i="2" s="1"/>
  <c r="BU86" i="2" s="1"/>
  <c r="F90" i="78" s="1"/>
  <c r="R90" i="78" s="1"/>
  <c r="AB95" i="45"/>
  <c r="AB92" i="45"/>
  <c r="AB81" i="51" s="1"/>
  <c r="CB64" i="2" s="1"/>
  <c r="AB89" i="45"/>
  <c r="AB96" i="45"/>
  <c r="AB81" i="62" s="1"/>
  <c r="CB31" i="2" s="1"/>
  <c r="AB81" i="45"/>
  <c r="AB63" i="51" s="1"/>
  <c r="CA64" i="2" s="1"/>
  <c r="BU64" i="2" s="1"/>
  <c r="F66" i="78" s="1"/>
  <c r="R66" i="78" s="1"/>
  <c r="AB85" i="45"/>
  <c r="AB63" i="62" s="1"/>
  <c r="CA31" i="2" s="1"/>
  <c r="BU31" i="2" s="1"/>
  <c r="F30" i="78" s="1"/>
  <c r="R30" i="78" s="1"/>
  <c r="AB84" i="45"/>
  <c r="AB86" i="45"/>
  <c r="AB63" i="53" s="1"/>
  <c r="CA75" i="2" s="1"/>
  <c r="BU75" i="2" s="1"/>
  <c r="F78" i="78" s="1"/>
  <c r="R78" i="78" s="1"/>
  <c r="AB88" i="45"/>
  <c r="AB63" i="67" s="1"/>
  <c r="CA152" i="2" s="1"/>
  <c r="BU152" i="2" s="1"/>
  <c r="F162" i="78" s="1"/>
  <c r="R162" i="78" s="1"/>
  <c r="AB82" i="45"/>
  <c r="AB63" i="63" s="1"/>
  <c r="CA42" i="2" s="1"/>
  <c r="BU42" i="2" s="1"/>
  <c r="F42" i="78" s="1"/>
  <c r="R42" i="78" s="1"/>
  <c r="AB93" i="45"/>
  <c r="AB81" i="63" s="1"/>
  <c r="CB42" i="2" s="1"/>
  <c r="AB83" i="45"/>
  <c r="AA63" i="38"/>
  <c r="BV42" i="2" l="1"/>
  <c r="G42" i="78" s="1"/>
  <c r="S42" i="78" s="1"/>
  <c r="BV64" i="2"/>
  <c r="G66" i="78" s="1"/>
  <c r="S66" i="78" s="1"/>
  <c r="BV152" i="2"/>
  <c r="G162" i="78" s="1"/>
  <c r="S162" i="78" s="1"/>
  <c r="BV75" i="2"/>
  <c r="G78" i="78" s="1"/>
  <c r="S78" i="78" s="1"/>
  <c r="BV86" i="2"/>
  <c r="G90" i="78" s="1"/>
  <c r="S90" i="78" s="1"/>
  <c r="BV31" i="2"/>
  <c r="G30" i="78" s="1"/>
  <c r="S30" i="78" s="1"/>
  <c r="AA66" i="55"/>
  <c r="AA74" i="55" s="1"/>
  <c r="AA72" i="65"/>
  <c r="AA76" i="65" s="1"/>
  <c r="AA64" i="65"/>
  <c r="AA77" i="65" s="1"/>
  <c r="AA66" i="65"/>
  <c r="AA74" i="65" s="1"/>
  <c r="AA66" i="58"/>
  <c r="AA74" i="58" s="1"/>
  <c r="AB63" i="55"/>
  <c r="CA130" i="2" s="1"/>
  <c r="BU130" i="2" s="1"/>
  <c r="F138" i="78" s="1"/>
  <c r="R138" i="78" s="1"/>
  <c r="AB63" i="66"/>
  <c r="CA141" i="2" s="1"/>
  <c r="BU141" i="2" s="1"/>
  <c r="F150" i="78" s="1"/>
  <c r="R150" i="78" s="1"/>
  <c r="AB63" i="64"/>
  <c r="CA53" i="2" s="1"/>
  <c r="BU53" i="2" s="1"/>
  <c r="F54" i="78" s="1"/>
  <c r="R54" i="78" s="1"/>
  <c r="AA64" i="64"/>
  <c r="AA77" i="64" s="1"/>
  <c r="AA66" i="64"/>
  <c r="AA74" i="64" s="1"/>
  <c r="AA72" i="64"/>
  <c r="AA64" i="66"/>
  <c r="AA77" i="66" s="1"/>
  <c r="AA72" i="66"/>
  <c r="AA76" i="66" s="1"/>
  <c r="AA66" i="66"/>
  <c r="AA74" i="66" s="1"/>
  <c r="AB64" i="63"/>
  <c r="AB77" i="63" s="1"/>
  <c r="AB130" i="63"/>
  <c r="AB72" i="63"/>
  <c r="AB66" i="63"/>
  <c r="AB74" i="63" s="1"/>
  <c r="AB64" i="67"/>
  <c r="AB77" i="67" s="1"/>
  <c r="AB66" i="67"/>
  <c r="AB74" i="67" s="1"/>
  <c r="AB130" i="67"/>
  <c r="AB72" i="67"/>
  <c r="AB76" i="67" s="1"/>
  <c r="AB63" i="58"/>
  <c r="AB63" i="65"/>
  <c r="CA119" i="2" s="1"/>
  <c r="BU119" i="2" s="1"/>
  <c r="F126" i="78" s="1"/>
  <c r="R126" i="78" s="1"/>
  <c r="AA84" i="55"/>
  <c r="AA91" i="55" s="1"/>
  <c r="AB82" i="65"/>
  <c r="AB94" i="65" s="1"/>
  <c r="AB89" i="65"/>
  <c r="AB93" i="65" s="1"/>
  <c r="AB84" i="65"/>
  <c r="AB91" i="65" s="1"/>
  <c r="AA82" i="64"/>
  <c r="AA94" i="64" s="1"/>
  <c r="AA89" i="64"/>
  <c r="AA93" i="64" s="1"/>
  <c r="AA84" i="64"/>
  <c r="AA91" i="64" s="1"/>
  <c r="AB82" i="67"/>
  <c r="AB94" i="67" s="1"/>
  <c r="AB84" i="67"/>
  <c r="AB91" i="67" s="1"/>
  <c r="AB89" i="67"/>
  <c r="AB93" i="67" s="1"/>
  <c r="AA82" i="66"/>
  <c r="AA94" i="66" s="1"/>
  <c r="AA89" i="66"/>
  <c r="AA93" i="66" s="1"/>
  <c r="AA84" i="66"/>
  <c r="AA91" i="66" s="1"/>
  <c r="AB81" i="55"/>
  <c r="AB81" i="66"/>
  <c r="CB141" i="2" s="1"/>
  <c r="AB81" i="64"/>
  <c r="CB53" i="2" s="1"/>
  <c r="BV53" i="2" s="1"/>
  <c r="G54" i="78" s="1"/>
  <c r="S54" i="78" s="1"/>
  <c r="AB82" i="63"/>
  <c r="AB94" i="63" s="1"/>
  <c r="AB84" i="63"/>
  <c r="AB91" i="63" s="1"/>
  <c r="AB89" i="63"/>
  <c r="AB93" i="63" s="1"/>
  <c r="AB64" i="62"/>
  <c r="AB77" i="62" s="1"/>
  <c r="AB130" i="62"/>
  <c r="AB66" i="62"/>
  <c r="AB74" i="62" s="1"/>
  <c r="AB72" i="62"/>
  <c r="AB82" i="62"/>
  <c r="AB94" i="62" s="1"/>
  <c r="AB84" i="62"/>
  <c r="AB91" i="62" s="1"/>
  <c r="AB89" i="62"/>
  <c r="AB93" i="62" s="1"/>
  <c r="AB81" i="61"/>
  <c r="CB9" i="2" s="1"/>
  <c r="AA64" i="61"/>
  <c r="AA77" i="61" s="1"/>
  <c r="AA66" i="61"/>
  <c r="AA74" i="61" s="1"/>
  <c r="AA72" i="61"/>
  <c r="AA76" i="61" s="1"/>
  <c r="AB63" i="61"/>
  <c r="CA9" i="2" s="1"/>
  <c r="BU9" i="2" s="1"/>
  <c r="F6" i="78" s="1"/>
  <c r="R6" i="78" s="1"/>
  <c r="AA82" i="61"/>
  <c r="AA94" i="61" s="1"/>
  <c r="AA84" i="61"/>
  <c r="AA91" i="61" s="1"/>
  <c r="AA89" i="61"/>
  <c r="AA93" i="61" s="1"/>
  <c r="AB89" i="53"/>
  <c r="AB84" i="53"/>
  <c r="AB91" i="53" s="1"/>
  <c r="AB72" i="53"/>
  <c r="AB130" i="53"/>
  <c r="AB66" i="53"/>
  <c r="AB74" i="53" s="1"/>
  <c r="AB89" i="52"/>
  <c r="AB93" i="52" s="1"/>
  <c r="AB84" i="52"/>
  <c r="AB91" i="52" s="1"/>
  <c r="AB81" i="57"/>
  <c r="CB97" i="2" s="1"/>
  <c r="AB89" i="51"/>
  <c r="AB93" i="51" s="1"/>
  <c r="AB84" i="51"/>
  <c r="AB91" i="51" s="1"/>
  <c r="AA72" i="57"/>
  <c r="AA76" i="57" s="1"/>
  <c r="AA66" i="57"/>
  <c r="AA74" i="57" s="1"/>
  <c r="AB63" i="57"/>
  <c r="CA97" i="2" s="1"/>
  <c r="BU97" i="2" s="1"/>
  <c r="F102" i="78" s="1"/>
  <c r="R102" i="78" s="1"/>
  <c r="AB130" i="52"/>
  <c r="AB72" i="52"/>
  <c r="AB76" i="52" s="1"/>
  <c r="AB66" i="52"/>
  <c r="AB74" i="52" s="1"/>
  <c r="AA89" i="57"/>
  <c r="AA93" i="57" s="1"/>
  <c r="AA84" i="57"/>
  <c r="AA91" i="57" s="1"/>
  <c r="AB130" i="51"/>
  <c r="AB72" i="51"/>
  <c r="AB76" i="51" s="1"/>
  <c r="AB66" i="51"/>
  <c r="AB74" i="51" s="1"/>
  <c r="AA89" i="58"/>
  <c r="AA93" i="58" s="1"/>
  <c r="AA84" i="58"/>
  <c r="AA91" i="58" s="1"/>
  <c r="AC100" i="45"/>
  <c r="AC81" i="65" s="1"/>
  <c r="AB81" i="58"/>
  <c r="CB108" i="2" s="1"/>
  <c r="AC99" i="45"/>
  <c r="AC81" i="67" s="1"/>
  <c r="AC98" i="45"/>
  <c r="AC81" i="52" s="1"/>
  <c r="AC97" i="45"/>
  <c r="AC81" i="53" s="1"/>
  <c r="AC92" i="45"/>
  <c r="AC81" i="51" s="1"/>
  <c r="AC82" i="45"/>
  <c r="AC63" i="63" s="1"/>
  <c r="AC87" i="45"/>
  <c r="AC63" i="52" s="1"/>
  <c r="AC96" i="45"/>
  <c r="AC81" i="62" s="1"/>
  <c r="AC88" i="45"/>
  <c r="AC63" i="67" s="1"/>
  <c r="AC84" i="45"/>
  <c r="AC89" i="45"/>
  <c r="AC86" i="45"/>
  <c r="AC63" i="53" s="1"/>
  <c r="AC95" i="45"/>
  <c r="AC83" i="45"/>
  <c r="AB63" i="38"/>
  <c r="CA20" i="2" s="1"/>
  <c r="BU20" i="2" s="1"/>
  <c r="F18" i="78" s="1"/>
  <c r="R18" i="78" s="1"/>
  <c r="AC85" i="45"/>
  <c r="AC63" i="62" s="1"/>
  <c r="AC93" i="45"/>
  <c r="AC81" i="63" s="1"/>
  <c r="AC81" i="45"/>
  <c r="AC63" i="51" s="1"/>
  <c r="AC94" i="45"/>
  <c r="AB81" i="38"/>
  <c r="CB20" i="2" s="1"/>
  <c r="BV20" i="2" l="1"/>
  <c r="G18" i="78" s="1"/>
  <c r="S18" i="78" s="1"/>
  <c r="BV97" i="2"/>
  <c r="G102" i="78" s="1"/>
  <c r="S102" i="78" s="1"/>
  <c r="BV141" i="2"/>
  <c r="G150" i="78" s="1"/>
  <c r="S150" i="78" s="1"/>
  <c r="AB84" i="55"/>
  <c r="AB91" i="55" s="1"/>
  <c r="CB130" i="2"/>
  <c r="BV130" i="2" s="1"/>
  <c r="G138" i="78" s="1"/>
  <c r="S138" i="78" s="1"/>
  <c r="BV9" i="2"/>
  <c r="G6" i="78" s="1"/>
  <c r="S6" i="78" s="1"/>
  <c r="AB130" i="58"/>
  <c r="CA108" i="2"/>
  <c r="BU108" i="2" s="1"/>
  <c r="F114" i="78" s="1"/>
  <c r="R114" i="78" s="1"/>
  <c r="BV119" i="2"/>
  <c r="G126" i="78" s="1"/>
  <c r="S126" i="78" s="1"/>
  <c r="AB72" i="55"/>
  <c r="AB76" i="55" s="1"/>
  <c r="AB130" i="55"/>
  <c r="AB66" i="58"/>
  <c r="AB74" i="58" s="1"/>
  <c r="AB66" i="55"/>
  <c r="AB74" i="55" s="1"/>
  <c r="AB72" i="58"/>
  <c r="AB76" i="58" s="1"/>
  <c r="AC66" i="67"/>
  <c r="AC74" i="67" s="1"/>
  <c r="AC64" i="67"/>
  <c r="AC77" i="67" s="1"/>
  <c r="AC72" i="67"/>
  <c r="AC76" i="67" s="1"/>
  <c r="AC64" i="63"/>
  <c r="AC77" i="63" s="1"/>
  <c r="AC72" i="63"/>
  <c r="AC66" i="63"/>
  <c r="AC74" i="63" s="1"/>
  <c r="AB64" i="66"/>
  <c r="AB77" i="66" s="1"/>
  <c r="AB72" i="66"/>
  <c r="AB76" i="66" s="1"/>
  <c r="AB130" i="66"/>
  <c r="AB66" i="66"/>
  <c r="AB74" i="66" s="1"/>
  <c r="AB64" i="64"/>
  <c r="AB77" i="64" s="1"/>
  <c r="AB66" i="64"/>
  <c r="AB74" i="64" s="1"/>
  <c r="AB72" i="64"/>
  <c r="AB130" i="64"/>
  <c r="AC63" i="58"/>
  <c r="AC72" i="58" s="1"/>
  <c r="AC76" i="58" s="1"/>
  <c r="AC63" i="65"/>
  <c r="AC63" i="55"/>
  <c r="AC72" i="55" s="1"/>
  <c r="AC76" i="55" s="1"/>
  <c r="AC63" i="66"/>
  <c r="AC63" i="64"/>
  <c r="AB72" i="65"/>
  <c r="AB76" i="65" s="1"/>
  <c r="AB64" i="65"/>
  <c r="AB77" i="65" s="1"/>
  <c r="AB130" i="65"/>
  <c r="AB66" i="65"/>
  <c r="AB74" i="65" s="1"/>
  <c r="AB89" i="55"/>
  <c r="AB93" i="55" s="1"/>
  <c r="AB82" i="64"/>
  <c r="AB94" i="64" s="1"/>
  <c r="AB89" i="64"/>
  <c r="AB93" i="64" s="1"/>
  <c r="AB84" i="64"/>
  <c r="AB91" i="64" s="1"/>
  <c r="AC82" i="67"/>
  <c r="AC94" i="67" s="1"/>
  <c r="AC89" i="67"/>
  <c r="AC93" i="67" s="1"/>
  <c r="AC84" i="67"/>
  <c r="AC91" i="67" s="1"/>
  <c r="AC89" i="63"/>
  <c r="AC93" i="63" s="1"/>
  <c r="AC82" i="63"/>
  <c r="AC94" i="63" s="1"/>
  <c r="AC84" i="63"/>
  <c r="AC91" i="63" s="1"/>
  <c r="AC81" i="55"/>
  <c r="AC89" i="55" s="1"/>
  <c r="AC93" i="55" s="1"/>
  <c r="AC81" i="66"/>
  <c r="AC81" i="64"/>
  <c r="AB82" i="66"/>
  <c r="AB94" i="66" s="1"/>
  <c r="AB84" i="66"/>
  <c r="AB91" i="66" s="1"/>
  <c r="AB89" i="66"/>
  <c r="AB93" i="66" s="1"/>
  <c r="AC82" i="65"/>
  <c r="AC94" i="65" s="1"/>
  <c r="AC89" i="65"/>
  <c r="AC93" i="65" s="1"/>
  <c r="AC84" i="65"/>
  <c r="AC91" i="65" s="1"/>
  <c r="AC82" i="62"/>
  <c r="AC94" i="62" s="1"/>
  <c r="AC89" i="62"/>
  <c r="AC93" i="62" s="1"/>
  <c r="AC84" i="62"/>
  <c r="AC91" i="62" s="1"/>
  <c r="AC64" i="62"/>
  <c r="AC77" i="62" s="1"/>
  <c r="AC72" i="62"/>
  <c r="AC66" i="62"/>
  <c r="AC74" i="62" s="1"/>
  <c r="AB64" i="61"/>
  <c r="AB77" i="61" s="1"/>
  <c r="AB130" i="61"/>
  <c r="AB72" i="61"/>
  <c r="AB76" i="61" s="1"/>
  <c r="AB66" i="61"/>
  <c r="AB74" i="61" s="1"/>
  <c r="AC81" i="61"/>
  <c r="AC63" i="61"/>
  <c r="AB82" i="61"/>
  <c r="AB94" i="61" s="1"/>
  <c r="AB89" i="61"/>
  <c r="AB93" i="61" s="1"/>
  <c r="AB84" i="61"/>
  <c r="AB91" i="61" s="1"/>
  <c r="AC89" i="52"/>
  <c r="AC93" i="52" s="1"/>
  <c r="AC84" i="52"/>
  <c r="AC91" i="52" s="1"/>
  <c r="AC66" i="53"/>
  <c r="AC74" i="53" s="1"/>
  <c r="AC72" i="53"/>
  <c r="AB89" i="57"/>
  <c r="AB93" i="57" s="1"/>
  <c r="AB84" i="57"/>
  <c r="AB91" i="57" s="1"/>
  <c r="AC84" i="51"/>
  <c r="AC91" i="51" s="1"/>
  <c r="AC89" i="51"/>
  <c r="AC93" i="51" s="1"/>
  <c r="AB89" i="58"/>
  <c r="AB93" i="58" s="1"/>
  <c r="AB84" i="58"/>
  <c r="AB91" i="58" s="1"/>
  <c r="AD100" i="45"/>
  <c r="AD81" i="65" s="1"/>
  <c r="AC81" i="58"/>
  <c r="AB66" i="57"/>
  <c r="AB74" i="57" s="1"/>
  <c r="AB72" i="57"/>
  <c r="AB76" i="57" s="1"/>
  <c r="AB130" i="57"/>
  <c r="AC63" i="57"/>
  <c r="AC81" i="57"/>
  <c r="AC72" i="52"/>
  <c r="AC76" i="52" s="1"/>
  <c r="AC66" i="52"/>
  <c r="AC74" i="52" s="1"/>
  <c r="AC89" i="53"/>
  <c r="AC84" i="53"/>
  <c r="AC91" i="53" s="1"/>
  <c r="AC72" i="51"/>
  <c r="AC76" i="51" s="1"/>
  <c r="AC66" i="51"/>
  <c r="AC74" i="51" s="1"/>
  <c r="AD99" i="45"/>
  <c r="AD81" i="67" s="1"/>
  <c r="AD98" i="45"/>
  <c r="AD81" i="52" s="1"/>
  <c r="AD97" i="45"/>
  <c r="AD81" i="53" s="1"/>
  <c r="AD93" i="45"/>
  <c r="AD81" i="63" s="1"/>
  <c r="AD96" i="45"/>
  <c r="AD81" i="62" s="1"/>
  <c r="AD88" i="45"/>
  <c r="AD63" i="67" s="1"/>
  <c r="AD83" i="45"/>
  <c r="AC63" i="38"/>
  <c r="AD86" i="45"/>
  <c r="AD63" i="53" s="1"/>
  <c r="AD82" i="45"/>
  <c r="AD63" i="63" s="1"/>
  <c r="AD85" i="45"/>
  <c r="AD63" i="62" s="1"/>
  <c r="AD95" i="45"/>
  <c r="AD94" i="45"/>
  <c r="AC81" i="38"/>
  <c r="AD81" i="45"/>
  <c r="AD63" i="51" s="1"/>
  <c r="AD84" i="45"/>
  <c r="AD87" i="45"/>
  <c r="AD63" i="52" s="1"/>
  <c r="AD89" i="45"/>
  <c r="AD92" i="45"/>
  <c r="AD81" i="51" s="1"/>
  <c r="BV108" i="2" l="1"/>
  <c r="G114" i="78" s="1"/>
  <c r="S114" i="78" s="1"/>
  <c r="AC66" i="55"/>
  <c r="AC74" i="55" s="1"/>
  <c r="AC66" i="58"/>
  <c r="AC74" i="58" s="1"/>
  <c r="AC64" i="64"/>
  <c r="AC77" i="64" s="1"/>
  <c r="AC66" i="64"/>
  <c r="AC74" i="64" s="1"/>
  <c r="AC72" i="64"/>
  <c r="AC64" i="65"/>
  <c r="AC77" i="65" s="1"/>
  <c r="AC66" i="65"/>
  <c r="AC74" i="65" s="1"/>
  <c r="AC72" i="65"/>
  <c r="AC76" i="65" s="1"/>
  <c r="AC64" i="66"/>
  <c r="AC77" i="66" s="1"/>
  <c r="AC72" i="66"/>
  <c r="AC76" i="66" s="1"/>
  <c r="AC66" i="66"/>
  <c r="AC74" i="66" s="1"/>
  <c r="AD64" i="63"/>
  <c r="AD77" i="63" s="1"/>
  <c r="AD66" i="63"/>
  <c r="AD74" i="63" s="1"/>
  <c r="AD72" i="63"/>
  <c r="AD63" i="55"/>
  <c r="AD66" i="55" s="1"/>
  <c r="AD74" i="55" s="1"/>
  <c r="AD63" i="66"/>
  <c r="AD63" i="64"/>
  <c r="AD63" i="58"/>
  <c r="AD72" i="58" s="1"/>
  <c r="AD76" i="58" s="1"/>
  <c r="AD63" i="65"/>
  <c r="AD72" i="67"/>
  <c r="AD76" i="67" s="1"/>
  <c r="AD66" i="67"/>
  <c r="AD74" i="67" s="1"/>
  <c r="AD64" i="67"/>
  <c r="AD77" i="67" s="1"/>
  <c r="AC84" i="55"/>
  <c r="AC91" i="55" s="1"/>
  <c r="AD82" i="67"/>
  <c r="AD94" i="67" s="1"/>
  <c r="AD84" i="67"/>
  <c r="AD91" i="67" s="1"/>
  <c r="AD89" i="67"/>
  <c r="AD93" i="67" s="1"/>
  <c r="AD81" i="55"/>
  <c r="AD89" i="55" s="1"/>
  <c r="AD93" i="55" s="1"/>
  <c r="AD81" i="66"/>
  <c r="AD81" i="64"/>
  <c r="AD82" i="65"/>
  <c r="AD94" i="65" s="1"/>
  <c r="AD89" i="65"/>
  <c r="AD93" i="65" s="1"/>
  <c r="AD84" i="65"/>
  <c r="AD91" i="65" s="1"/>
  <c r="AD82" i="63"/>
  <c r="AD94" i="63" s="1"/>
  <c r="AD84" i="63"/>
  <c r="AD91" i="63" s="1"/>
  <c r="AD89" i="63"/>
  <c r="AD93" i="63" s="1"/>
  <c r="AC82" i="64"/>
  <c r="AC94" i="64" s="1"/>
  <c r="AC84" i="64"/>
  <c r="AC91" i="64" s="1"/>
  <c r="AC89" i="64"/>
  <c r="AC93" i="64" s="1"/>
  <c r="AC82" i="66"/>
  <c r="AC94" i="66" s="1"/>
  <c r="AC89" i="66"/>
  <c r="AC93" i="66" s="1"/>
  <c r="AC84" i="66"/>
  <c r="AC91" i="66" s="1"/>
  <c r="AD64" i="62"/>
  <c r="AD77" i="62" s="1"/>
  <c r="AD72" i="62"/>
  <c r="AD66" i="62"/>
  <c r="AD74" i="62" s="1"/>
  <c r="AD82" i="62"/>
  <c r="AD94" i="62" s="1"/>
  <c r="AD89" i="62"/>
  <c r="AD93" i="62" s="1"/>
  <c r="AD84" i="62"/>
  <c r="AD91" i="62" s="1"/>
  <c r="AC64" i="61"/>
  <c r="AC77" i="61" s="1"/>
  <c r="AC72" i="61"/>
  <c r="AC76" i="61" s="1"/>
  <c r="AC66" i="61"/>
  <c r="AC74" i="61" s="1"/>
  <c r="AD63" i="61"/>
  <c r="AC82" i="61"/>
  <c r="AC94" i="61" s="1"/>
  <c r="AC89" i="61"/>
  <c r="AC93" i="61" s="1"/>
  <c r="AC84" i="61"/>
  <c r="AC91" i="61" s="1"/>
  <c r="AD81" i="61"/>
  <c r="AD84" i="51"/>
  <c r="AD91" i="51" s="1"/>
  <c r="AD89" i="51"/>
  <c r="AD93" i="51" s="1"/>
  <c r="AC89" i="57"/>
  <c r="AC93" i="57" s="1"/>
  <c r="AC84" i="57"/>
  <c r="AC91" i="57" s="1"/>
  <c r="AD81" i="57"/>
  <c r="AC72" i="57"/>
  <c r="AC76" i="57" s="1"/>
  <c r="AC66" i="57"/>
  <c r="AC74" i="57" s="1"/>
  <c r="AD66" i="52"/>
  <c r="AD74" i="52" s="1"/>
  <c r="AD72" i="52"/>
  <c r="AD76" i="52" s="1"/>
  <c r="AD89" i="53"/>
  <c r="AD84" i="53"/>
  <c r="AD91" i="53" s="1"/>
  <c r="AD66" i="53"/>
  <c r="AD74" i="53" s="1"/>
  <c r="AD72" i="53"/>
  <c r="AD89" i="52"/>
  <c r="AD93" i="52" s="1"/>
  <c r="AD84" i="52"/>
  <c r="AD91" i="52" s="1"/>
  <c r="AC89" i="58"/>
  <c r="AC93" i="58" s="1"/>
  <c r="AC84" i="58"/>
  <c r="AC91" i="58" s="1"/>
  <c r="AE100" i="45"/>
  <c r="AE81" i="65" s="1"/>
  <c r="AD81" i="58"/>
  <c r="AD72" i="51"/>
  <c r="AD76" i="51" s="1"/>
  <c r="AD66" i="51"/>
  <c r="AD74" i="51" s="1"/>
  <c r="AD63" i="57"/>
  <c r="AE98" i="45"/>
  <c r="AE81" i="52" s="1"/>
  <c r="AE99" i="45"/>
  <c r="AE81" i="67" s="1"/>
  <c r="AE97" i="45"/>
  <c r="AE81" i="53" s="1"/>
  <c r="AE96" i="45"/>
  <c r="AE81" i="62" s="1"/>
  <c r="AE84" i="45"/>
  <c r="AE86" i="45"/>
  <c r="AE63" i="53" s="1"/>
  <c r="AE81" i="45"/>
  <c r="AE63" i="51" s="1"/>
  <c r="AE92" i="45"/>
  <c r="AE81" i="51" s="1"/>
  <c r="AE88" i="45"/>
  <c r="AE63" i="67" s="1"/>
  <c r="AE85" i="45"/>
  <c r="AE63" i="62" s="1"/>
  <c r="AE82" i="45"/>
  <c r="AE63" i="63" s="1"/>
  <c r="AE83" i="45"/>
  <c r="AD63" i="38"/>
  <c r="AE94" i="45"/>
  <c r="AD81" i="38"/>
  <c r="AE95" i="45"/>
  <c r="AE89" i="45"/>
  <c r="AE87" i="45"/>
  <c r="AE63" i="52" s="1"/>
  <c r="AE93" i="45"/>
  <c r="AE81" i="63" s="1"/>
  <c r="AD72" i="55" l="1"/>
  <c r="AD76" i="55" s="1"/>
  <c r="AD66" i="58"/>
  <c r="AD74" i="58" s="1"/>
  <c r="AE63" i="58"/>
  <c r="AE72" i="58" s="1"/>
  <c r="AE76" i="58" s="1"/>
  <c r="AE63" i="65"/>
  <c r="AD66" i="65"/>
  <c r="AD74" i="65" s="1"/>
  <c r="AD64" i="65"/>
  <c r="AD77" i="65" s="1"/>
  <c r="AD72" i="65"/>
  <c r="AD76" i="65" s="1"/>
  <c r="AD64" i="64"/>
  <c r="AD77" i="64" s="1"/>
  <c r="AD66" i="64"/>
  <c r="AD74" i="64" s="1"/>
  <c r="AD72" i="64"/>
  <c r="AD72" i="66"/>
  <c r="AD76" i="66" s="1"/>
  <c r="AD66" i="66"/>
  <c r="AD74" i="66" s="1"/>
  <c r="AD64" i="66"/>
  <c r="AD77" i="66" s="1"/>
  <c r="AE66" i="67"/>
  <c r="AE74" i="67" s="1"/>
  <c r="AE72" i="67"/>
  <c r="AE76" i="67" s="1"/>
  <c r="AE64" i="67"/>
  <c r="AE77" i="67" s="1"/>
  <c r="AE63" i="55"/>
  <c r="AE72" i="55" s="1"/>
  <c r="AE76" i="55" s="1"/>
  <c r="AE63" i="66"/>
  <c r="AE63" i="64"/>
  <c r="AE64" i="63"/>
  <c r="AE77" i="63" s="1"/>
  <c r="AE66" i="63"/>
  <c r="AE74" i="63" s="1"/>
  <c r="AE72" i="63"/>
  <c r="AD82" i="64"/>
  <c r="AD94" i="64" s="1"/>
  <c r="AD84" i="64"/>
  <c r="AD91" i="64" s="1"/>
  <c r="AD89" i="64"/>
  <c r="AD93" i="64" s="1"/>
  <c r="AE84" i="63"/>
  <c r="AE91" i="63" s="1"/>
  <c r="AE82" i="63"/>
  <c r="AE94" i="63" s="1"/>
  <c r="AE89" i="63"/>
  <c r="AE93" i="63" s="1"/>
  <c r="AD82" i="66"/>
  <c r="AD94" i="66" s="1"/>
  <c r="AD89" i="66"/>
  <c r="AD93" i="66" s="1"/>
  <c r="AD84" i="66"/>
  <c r="AD91" i="66" s="1"/>
  <c r="AE82" i="65"/>
  <c r="AE94" i="65" s="1"/>
  <c r="AE84" i="65"/>
  <c r="AE91" i="65" s="1"/>
  <c r="AE89" i="65"/>
  <c r="AE93" i="65" s="1"/>
  <c r="AE81" i="55"/>
  <c r="AE89" i="55" s="1"/>
  <c r="AE93" i="55" s="1"/>
  <c r="AE81" i="66"/>
  <c r="AE81" i="64"/>
  <c r="AE82" i="67"/>
  <c r="AE94" i="67" s="1"/>
  <c r="AE89" i="67"/>
  <c r="AE93" i="67" s="1"/>
  <c r="AE84" i="67"/>
  <c r="AE91" i="67" s="1"/>
  <c r="AD84" i="55"/>
  <c r="AD91" i="55" s="1"/>
  <c r="AE82" i="62"/>
  <c r="AE94" i="62" s="1"/>
  <c r="AE89" i="62"/>
  <c r="AE93" i="62" s="1"/>
  <c r="AE84" i="62"/>
  <c r="AE91" i="62" s="1"/>
  <c r="AE64" i="62"/>
  <c r="AE77" i="62" s="1"/>
  <c r="AE72" i="62"/>
  <c r="AE66" i="62"/>
  <c r="AE74" i="62" s="1"/>
  <c r="AD82" i="61"/>
  <c r="AD94" i="61" s="1"/>
  <c r="AD89" i="61"/>
  <c r="AD93" i="61" s="1"/>
  <c r="AD84" i="61"/>
  <c r="AD91" i="61" s="1"/>
  <c r="AE81" i="61"/>
  <c r="AD64" i="61"/>
  <c r="AD77" i="61" s="1"/>
  <c r="AD72" i="61"/>
  <c r="AD76" i="61" s="1"/>
  <c r="AD66" i="61"/>
  <c r="AD74" i="61" s="1"/>
  <c r="AE63" i="61"/>
  <c r="AD84" i="57"/>
  <c r="AD91" i="57" s="1"/>
  <c r="AD89" i="57"/>
  <c r="AD93" i="57" s="1"/>
  <c r="AE89" i="53"/>
  <c r="AE84" i="53"/>
  <c r="AE91" i="53" s="1"/>
  <c r="AE89" i="52"/>
  <c r="AE93" i="52" s="1"/>
  <c r="AE84" i="52"/>
  <c r="AE91" i="52" s="1"/>
  <c r="AD89" i="58"/>
  <c r="AD93" i="58" s="1"/>
  <c r="AD84" i="58"/>
  <c r="AD91" i="58" s="1"/>
  <c r="AF100" i="45"/>
  <c r="AF81" i="65" s="1"/>
  <c r="AE81" i="58"/>
  <c r="AE81" i="57"/>
  <c r="AE63" i="57"/>
  <c r="AE84" i="51"/>
  <c r="AE91" i="51" s="1"/>
  <c r="AE89" i="51"/>
  <c r="AE93" i="51" s="1"/>
  <c r="AE72" i="51"/>
  <c r="AE76" i="51" s="1"/>
  <c r="AE66" i="51"/>
  <c r="AE74" i="51" s="1"/>
  <c r="AE72" i="52"/>
  <c r="AE76" i="52" s="1"/>
  <c r="AE66" i="52"/>
  <c r="AE74" i="52" s="1"/>
  <c r="AE66" i="53"/>
  <c r="AE74" i="53" s="1"/>
  <c r="AE72" i="53"/>
  <c r="AD72" i="57"/>
  <c r="AD76" i="57" s="1"/>
  <c r="AD66" i="57"/>
  <c r="AD74" i="57" s="1"/>
  <c r="AF98" i="45"/>
  <c r="AF81" i="52" s="1"/>
  <c r="AF99" i="45"/>
  <c r="AF81" i="67" s="1"/>
  <c r="AF97" i="45"/>
  <c r="AF81" i="53" s="1"/>
  <c r="AF88" i="45"/>
  <c r="AF63" i="67" s="1"/>
  <c r="AF94" i="45"/>
  <c r="AE81" i="38"/>
  <c r="AF95" i="45"/>
  <c r="AF92" i="45"/>
  <c r="AF81" i="51" s="1"/>
  <c r="AF81" i="45"/>
  <c r="AF63" i="51" s="1"/>
  <c r="AF93" i="45"/>
  <c r="AF81" i="63" s="1"/>
  <c r="AF84" i="45"/>
  <c r="AF83" i="45"/>
  <c r="AE63" i="38"/>
  <c r="AF87" i="45"/>
  <c r="AF63" i="52" s="1"/>
  <c r="AF86" i="45"/>
  <c r="AF63" i="53" s="1"/>
  <c r="AF82" i="45"/>
  <c r="AF63" i="63" s="1"/>
  <c r="AF89" i="45"/>
  <c r="AF85" i="45"/>
  <c r="AF63" i="62" s="1"/>
  <c r="AF96" i="45"/>
  <c r="AF81" i="62" s="1"/>
  <c r="AE66" i="58" l="1"/>
  <c r="AE74" i="58" s="1"/>
  <c r="AE72" i="66"/>
  <c r="AE76" i="66" s="1"/>
  <c r="AE66" i="66"/>
  <c r="AE74" i="66" s="1"/>
  <c r="AE64" i="66"/>
  <c r="AE77" i="66" s="1"/>
  <c r="AF63" i="58"/>
  <c r="AF72" i="58" s="1"/>
  <c r="AF76" i="58" s="1"/>
  <c r="AF63" i="65"/>
  <c r="AE64" i="64"/>
  <c r="AE77" i="64" s="1"/>
  <c r="AE66" i="64"/>
  <c r="AE74" i="64" s="1"/>
  <c r="AE72" i="64"/>
  <c r="AF66" i="67"/>
  <c r="AF74" i="67" s="1"/>
  <c r="AF72" i="67"/>
  <c r="AF76" i="67" s="1"/>
  <c r="AF64" i="67"/>
  <c r="AF77" i="67" s="1"/>
  <c r="AF63" i="55"/>
  <c r="AF66" i="55" s="1"/>
  <c r="AF74" i="55" s="1"/>
  <c r="AF63" i="66"/>
  <c r="AF63" i="64"/>
  <c r="AE66" i="55"/>
  <c r="AE74" i="55" s="1"/>
  <c r="AE66" i="65"/>
  <c r="AE74" i="65" s="1"/>
  <c r="AE64" i="65"/>
  <c r="AE77" i="65" s="1"/>
  <c r="AE72" i="65"/>
  <c r="AE76" i="65" s="1"/>
  <c r="AF64" i="63"/>
  <c r="AF77" i="63" s="1"/>
  <c r="AF66" i="63"/>
  <c r="AF74" i="63" s="1"/>
  <c r="AF72" i="63"/>
  <c r="AE84" i="55"/>
  <c r="AE91" i="55" s="1"/>
  <c r="AF82" i="63"/>
  <c r="AF94" i="63" s="1"/>
  <c r="AF89" i="63"/>
  <c r="AF93" i="63" s="1"/>
  <c r="AF84" i="63"/>
  <c r="AF91" i="63" s="1"/>
  <c r="AF81" i="55"/>
  <c r="AF84" i="55" s="1"/>
  <c r="AF91" i="55" s="1"/>
  <c r="AF81" i="66"/>
  <c r="AF81" i="64"/>
  <c r="AF82" i="65"/>
  <c r="AF94" i="65" s="1"/>
  <c r="AF84" i="65"/>
  <c r="AF91" i="65" s="1"/>
  <c r="AF89" i="65"/>
  <c r="AF93" i="65" s="1"/>
  <c r="AF82" i="67"/>
  <c r="AF94" i="67" s="1"/>
  <c r="AF84" i="67"/>
  <c r="AF91" i="67" s="1"/>
  <c r="AF89" i="67"/>
  <c r="AF93" i="67" s="1"/>
  <c r="AE89" i="64"/>
  <c r="AE93" i="64" s="1"/>
  <c r="AE82" i="64"/>
  <c r="AE94" i="64" s="1"/>
  <c r="AE84" i="64"/>
  <c r="AE91" i="64" s="1"/>
  <c r="AE82" i="66"/>
  <c r="AE94" i="66" s="1"/>
  <c r="AE84" i="66"/>
  <c r="AE91" i="66" s="1"/>
  <c r="AE89" i="66"/>
  <c r="AE93" i="66" s="1"/>
  <c r="AF82" i="62"/>
  <c r="AF94" i="62" s="1"/>
  <c r="AF84" i="62"/>
  <c r="AF91" i="62" s="1"/>
  <c r="AF89" i="62"/>
  <c r="AF93" i="62" s="1"/>
  <c r="AF64" i="62"/>
  <c r="AF77" i="62" s="1"/>
  <c r="AF72" i="62"/>
  <c r="AF66" i="62"/>
  <c r="AF74" i="62" s="1"/>
  <c r="AE64" i="61"/>
  <c r="AE77" i="61" s="1"/>
  <c r="AE72" i="61"/>
  <c r="AE76" i="61" s="1"/>
  <c r="AE66" i="61"/>
  <c r="AE74" i="61" s="1"/>
  <c r="AF63" i="61"/>
  <c r="AE82" i="61"/>
  <c r="AE94" i="61" s="1"/>
  <c r="AE84" i="61"/>
  <c r="AE91" i="61" s="1"/>
  <c r="AE89" i="61"/>
  <c r="AE93" i="61" s="1"/>
  <c r="AF81" i="61"/>
  <c r="AE84" i="58"/>
  <c r="AE91" i="58" s="1"/>
  <c r="AE89" i="58"/>
  <c r="AE93" i="58" s="1"/>
  <c r="AF63" i="57"/>
  <c r="AE66" i="57"/>
  <c r="AE74" i="57" s="1"/>
  <c r="AE72" i="57"/>
  <c r="AE76" i="57" s="1"/>
  <c r="AG100" i="45"/>
  <c r="AF81" i="58"/>
  <c r="AF89" i="52"/>
  <c r="AF93" i="52" s="1"/>
  <c r="AF84" i="52"/>
  <c r="AF91" i="52" s="1"/>
  <c r="AF89" i="53"/>
  <c r="AF84" i="53"/>
  <c r="AF91" i="53" s="1"/>
  <c r="AF66" i="53"/>
  <c r="AF74" i="53" s="1"/>
  <c r="AF72" i="53"/>
  <c r="AF66" i="52"/>
  <c r="AF74" i="52" s="1"/>
  <c r="AF72" i="52"/>
  <c r="AF76" i="52" s="1"/>
  <c r="AF84" i="51"/>
  <c r="AF91" i="51" s="1"/>
  <c r="AF89" i="51"/>
  <c r="AF93" i="51" s="1"/>
  <c r="AF72" i="51"/>
  <c r="AF76" i="51" s="1"/>
  <c r="AF66" i="51"/>
  <c r="AF74" i="51" s="1"/>
  <c r="AF81" i="57"/>
  <c r="AE89" i="57"/>
  <c r="AE93" i="57" s="1"/>
  <c r="AE84" i="57"/>
  <c r="AE91" i="57" s="1"/>
  <c r="AG97" i="45"/>
  <c r="AG81" i="53" s="1"/>
  <c r="AG99" i="45"/>
  <c r="AG81" i="67" s="1"/>
  <c r="AG98" i="45"/>
  <c r="AG81" i="52" s="1"/>
  <c r="AG81" i="45"/>
  <c r="E33" i="74" s="1"/>
  <c r="AG96" i="45"/>
  <c r="AG81" i="62" s="1"/>
  <c r="AG86" i="45"/>
  <c r="E38" i="74" s="1"/>
  <c r="AG92" i="45"/>
  <c r="AG81" i="51" s="1"/>
  <c r="AG95" i="45"/>
  <c r="AG94" i="45"/>
  <c r="E42" i="74" s="1"/>
  <c r="AF81" i="38"/>
  <c r="AG93" i="45"/>
  <c r="AG81" i="63" s="1"/>
  <c r="AG87" i="45"/>
  <c r="E39" i="74" s="1"/>
  <c r="AG82" i="45"/>
  <c r="E34" i="74" s="1"/>
  <c r="AG83" i="45"/>
  <c r="E35" i="74" s="1"/>
  <c r="AF63" i="38"/>
  <c r="AG85" i="45"/>
  <c r="E37" i="74" s="1"/>
  <c r="AG84" i="45"/>
  <c r="E36" i="74" s="1"/>
  <c r="AG89" i="45"/>
  <c r="E41" i="74" s="1"/>
  <c r="AG88" i="45"/>
  <c r="E40" i="74" s="1"/>
  <c r="AG63" i="67" l="1"/>
  <c r="AG63" i="51"/>
  <c r="AG63" i="53"/>
  <c r="AG63" i="62"/>
  <c r="AG63" i="52"/>
  <c r="AG63" i="63"/>
  <c r="AF72" i="55"/>
  <c r="AF76" i="55" s="1"/>
  <c r="AF66" i="58"/>
  <c r="AF74" i="58" s="1"/>
  <c r="AF64" i="65"/>
  <c r="AF77" i="65" s="1"/>
  <c r="AF72" i="65"/>
  <c r="AF76" i="65" s="1"/>
  <c r="AF66" i="65"/>
  <c r="AF74" i="65" s="1"/>
  <c r="AF64" i="64"/>
  <c r="AF77" i="64" s="1"/>
  <c r="AF72" i="64"/>
  <c r="AF66" i="64"/>
  <c r="AF74" i="64" s="1"/>
  <c r="AF66" i="66"/>
  <c r="AF74" i="66" s="1"/>
  <c r="AF64" i="66"/>
  <c r="AF77" i="66" s="1"/>
  <c r="AF72" i="66"/>
  <c r="AF76" i="66" s="1"/>
  <c r="AG63" i="58"/>
  <c r="AG63" i="65"/>
  <c r="CN119" i="2" s="1"/>
  <c r="AG63" i="55"/>
  <c r="AG63" i="66"/>
  <c r="CN141" i="2" s="1"/>
  <c r="AG63" i="64"/>
  <c r="CN53" i="2" s="1"/>
  <c r="AF89" i="55"/>
  <c r="AF93" i="55" s="1"/>
  <c r="AG81" i="55"/>
  <c r="AG89" i="55" s="1"/>
  <c r="AG93" i="55" s="1"/>
  <c r="AG81" i="66"/>
  <c r="AG81" i="64"/>
  <c r="AF82" i="64"/>
  <c r="AF94" i="64" s="1"/>
  <c r="AF84" i="64"/>
  <c r="AF91" i="64" s="1"/>
  <c r="AF89" i="64"/>
  <c r="AF93" i="64" s="1"/>
  <c r="AG81" i="58"/>
  <c r="AG84" i="58" s="1"/>
  <c r="AG91" i="58" s="1"/>
  <c r="AG81" i="65"/>
  <c r="AF82" i="66"/>
  <c r="AF94" i="66" s="1"/>
  <c r="AF89" i="66"/>
  <c r="AF93" i="66" s="1"/>
  <c r="AF84" i="66"/>
  <c r="AF91" i="66" s="1"/>
  <c r="AG82" i="67"/>
  <c r="AG94" i="67" s="1"/>
  <c r="AG84" i="67"/>
  <c r="AG91" i="67" s="1"/>
  <c r="AG89" i="67"/>
  <c r="AG93" i="67" s="1"/>
  <c r="AG82" i="63"/>
  <c r="AG94" i="63" s="1"/>
  <c r="AG89" i="63"/>
  <c r="AG93" i="63" s="1"/>
  <c r="AG84" i="63"/>
  <c r="AG91" i="63" s="1"/>
  <c r="AG82" i="62"/>
  <c r="AG94" i="62" s="1"/>
  <c r="AG89" i="62"/>
  <c r="AG93" i="62" s="1"/>
  <c r="AG84" i="62"/>
  <c r="AG91" i="62" s="1"/>
  <c r="AF82" i="61"/>
  <c r="AF94" i="61" s="1"/>
  <c r="AF89" i="61"/>
  <c r="AF93" i="61" s="1"/>
  <c r="AF84" i="61"/>
  <c r="AF91" i="61" s="1"/>
  <c r="AF64" i="61"/>
  <c r="AF77" i="61" s="1"/>
  <c r="AF66" i="61"/>
  <c r="AF74" i="61" s="1"/>
  <c r="AF72" i="61"/>
  <c r="AF76" i="61" s="1"/>
  <c r="AG63" i="61"/>
  <c r="CN9" i="2" s="1"/>
  <c r="AG81" i="61"/>
  <c r="AF89" i="58"/>
  <c r="AF93" i="58" s="1"/>
  <c r="AF84" i="58"/>
  <c r="AF91" i="58" s="1"/>
  <c r="AG89" i="53"/>
  <c r="AG84" i="53"/>
  <c r="AG91" i="53" s="1"/>
  <c r="AF72" i="57"/>
  <c r="AF76" i="57" s="1"/>
  <c r="AF66" i="57"/>
  <c r="AF74" i="57" s="1"/>
  <c r="AF84" i="57"/>
  <c r="AF91" i="57" s="1"/>
  <c r="AF89" i="57"/>
  <c r="AF93" i="57" s="1"/>
  <c r="AG84" i="51"/>
  <c r="AG91" i="51" s="1"/>
  <c r="AG89" i="51"/>
  <c r="AG93" i="51" s="1"/>
  <c r="AG84" i="52"/>
  <c r="AG91" i="52" s="1"/>
  <c r="AG89" i="52"/>
  <c r="AG93" i="52" s="1"/>
  <c r="AG81" i="57"/>
  <c r="AG63" i="57"/>
  <c r="CN97" i="2" s="1"/>
  <c r="AG63" i="38"/>
  <c r="CN20" i="2" s="1"/>
  <c r="AG81" i="38"/>
  <c r="AG66" i="55" l="1"/>
  <c r="AG74" i="55" s="1"/>
  <c r="CN130" i="2"/>
  <c r="AG72" i="58"/>
  <c r="AG76" i="58" s="1"/>
  <c r="CN108" i="2"/>
  <c r="AG72" i="63"/>
  <c r="CN42" i="2"/>
  <c r="AG72" i="52"/>
  <c r="AG76" i="52" s="1"/>
  <c r="CN86" i="2"/>
  <c r="AG66" i="62"/>
  <c r="AG74" i="62" s="1"/>
  <c r="CN31" i="2"/>
  <c r="AG72" i="53"/>
  <c r="CN75" i="2"/>
  <c r="AG72" i="51"/>
  <c r="AG76" i="51" s="1"/>
  <c r="CN64" i="2"/>
  <c r="AG66" i="67"/>
  <c r="AG74" i="67" s="1"/>
  <c r="CN152" i="2"/>
  <c r="AG64" i="62"/>
  <c r="AG77" i="62" s="1"/>
  <c r="AG64" i="63"/>
  <c r="AG77" i="63" s="1"/>
  <c r="AG72" i="67"/>
  <c r="AG76" i="67" s="1"/>
  <c r="AG64" i="67"/>
  <c r="AG77" i="67" s="1"/>
  <c r="AG72" i="62"/>
  <c r="AG66" i="63"/>
  <c r="AG74" i="63" s="1"/>
  <c r="AG66" i="52"/>
  <c r="AG74" i="52" s="1"/>
  <c r="AG66" i="53"/>
  <c r="AG74" i="53" s="1"/>
  <c r="AG66" i="51"/>
  <c r="AG74" i="51" s="1"/>
  <c r="AG66" i="58"/>
  <c r="AG74" i="58" s="1"/>
  <c r="AG84" i="55"/>
  <c r="AG91" i="55" s="1"/>
  <c r="AG72" i="55"/>
  <c r="AG76" i="55" s="1"/>
  <c r="AG64" i="66"/>
  <c r="AG77" i="66" s="1"/>
  <c r="AG66" i="66"/>
  <c r="AG74" i="66" s="1"/>
  <c r="AG72" i="66"/>
  <c r="AG76" i="66" s="1"/>
  <c r="AG72" i="65"/>
  <c r="AG76" i="65" s="1"/>
  <c r="AG64" i="65"/>
  <c r="AG77" i="65" s="1"/>
  <c r="AG66" i="65"/>
  <c r="AG74" i="65" s="1"/>
  <c r="AG64" i="64"/>
  <c r="AG77" i="64" s="1"/>
  <c r="AG72" i="64"/>
  <c r="AG66" i="64"/>
  <c r="AG74" i="64" s="1"/>
  <c r="AG82" i="65"/>
  <c r="AG94" i="65" s="1"/>
  <c r="AG89" i="65"/>
  <c r="AG93" i="65" s="1"/>
  <c r="AG84" i="65"/>
  <c r="AG91" i="65" s="1"/>
  <c r="AG82" i="64"/>
  <c r="AG94" i="64" s="1"/>
  <c r="AG84" i="64"/>
  <c r="AG91" i="64" s="1"/>
  <c r="AG89" i="64"/>
  <c r="AG93" i="64" s="1"/>
  <c r="AG89" i="58"/>
  <c r="AG93" i="58" s="1"/>
  <c r="AG82" i="66"/>
  <c r="AG94" i="66" s="1"/>
  <c r="AG89" i="66"/>
  <c r="AG93" i="66" s="1"/>
  <c r="AG84" i="66"/>
  <c r="AG91" i="66" s="1"/>
  <c r="AG82" i="61"/>
  <c r="AG94" i="61" s="1"/>
  <c r="AG89" i="61"/>
  <c r="AG93" i="61" s="1"/>
  <c r="AG84" i="61"/>
  <c r="AG91" i="61" s="1"/>
  <c r="AG64" i="61"/>
  <c r="AG77" i="61" s="1"/>
  <c r="AG66" i="61"/>
  <c r="AG74" i="61" s="1"/>
  <c r="AG72" i="61"/>
  <c r="AG76" i="61" s="1"/>
  <c r="AG72" i="57"/>
  <c r="AG76" i="57" s="1"/>
  <c r="AG66" i="57"/>
  <c r="AG74" i="57" s="1"/>
  <c r="AG84" i="57"/>
  <c r="AG91" i="57" s="1"/>
  <c r="AG89" i="57"/>
  <c r="AG93" i="57" s="1"/>
  <c r="H35" i="38"/>
  <c r="F35" i="38"/>
  <c r="E35" i="38"/>
  <c r="G36" i="38"/>
  <c r="H36" i="38"/>
  <c r="F36" i="38"/>
  <c r="E36" i="38"/>
  <c r="D36" i="38"/>
  <c r="C36" i="38"/>
  <c r="C32" i="38"/>
  <c r="E32" i="38"/>
  <c r="E31" i="38"/>
  <c r="C31" i="38"/>
  <c r="C29" i="38"/>
  <c r="C24" i="38"/>
  <c r="D182" i="38"/>
  <c r="E182" i="38" s="1"/>
  <c r="F182" i="38" s="1"/>
  <c r="G182" i="38" s="1"/>
  <c r="H182" i="38" s="1"/>
  <c r="I182" i="38" s="1"/>
  <c r="J182" i="38" s="1"/>
  <c r="K182" i="38" s="1"/>
  <c r="L182" i="38" s="1"/>
  <c r="M182" i="38" s="1"/>
  <c r="N182" i="38" s="1"/>
  <c r="O182" i="38" s="1"/>
  <c r="P182" i="38" s="1"/>
  <c r="Q182" i="38" s="1"/>
  <c r="R182" i="38" s="1"/>
  <c r="S182" i="38" s="1"/>
  <c r="T182" i="38" s="1"/>
  <c r="U182" i="38" s="1"/>
  <c r="V182" i="38" s="1"/>
  <c r="W182" i="38" s="1"/>
  <c r="X182" i="38" s="1"/>
  <c r="Y182" i="38" s="1"/>
  <c r="Z182" i="38" s="1"/>
  <c r="AA182" i="38" s="1"/>
  <c r="AB182" i="38" s="1"/>
  <c r="AC182" i="38" s="1"/>
  <c r="AD182" i="38" s="1"/>
  <c r="AE182" i="38" s="1"/>
  <c r="AF182" i="38" s="1"/>
  <c r="AG182" i="38" s="1"/>
  <c r="C99" i="51"/>
  <c r="C99" i="52"/>
  <c r="C111" i="52" s="1"/>
  <c r="C112" i="52" s="1"/>
  <c r="C167" i="52" s="1"/>
  <c r="C99" i="53"/>
  <c r="C111" i="53" s="1"/>
  <c r="C99" i="55"/>
  <c r="C111" i="55" s="1"/>
  <c r="C112" i="55" s="1"/>
  <c r="C167" i="55" s="1"/>
  <c r="C99" i="57"/>
  <c r="C111" i="57" s="1"/>
  <c r="C112" i="57" s="1"/>
  <c r="C167" i="57" s="1"/>
  <c r="C99" i="58"/>
  <c r="C111" i="58" s="1"/>
  <c r="C112" i="58" s="1"/>
  <c r="C167" i="58" s="1"/>
  <c r="C26" i="38"/>
  <c r="C25" i="38"/>
  <c r="C22" i="38"/>
  <c r="C21" i="38"/>
  <c r="C17" i="38"/>
  <c r="C12" i="38"/>
  <c r="C13" i="38"/>
  <c r="C19" i="64"/>
  <c r="C19" i="63"/>
  <c r="C19" i="51"/>
  <c r="C19" i="52"/>
  <c r="C19" i="53"/>
  <c r="C19" i="55"/>
  <c r="C19" i="57"/>
  <c r="C19" i="58"/>
  <c r="C19" i="67"/>
  <c r="C19" i="65"/>
  <c r="C19" i="66"/>
  <c r="C19" i="62"/>
  <c r="C19" i="38"/>
  <c r="C18" i="58"/>
  <c r="C18" i="67"/>
  <c r="C18" i="65"/>
  <c r="C18" i="66"/>
  <c r="C18" i="52"/>
  <c r="C18" i="53"/>
  <c r="C18" i="55"/>
  <c r="C18" i="57"/>
  <c r="C18" i="64"/>
  <c r="C18" i="63"/>
  <c r="C18" i="51"/>
  <c r="C18" i="62"/>
  <c r="C18" i="38"/>
  <c r="C5" i="38"/>
  <c r="B2" i="38"/>
  <c r="B3" i="38"/>
  <c r="AQ17" i="46"/>
  <c r="Q17" i="46"/>
  <c r="CF17" i="46" s="1"/>
  <c r="M17" i="46"/>
  <c r="BR17" i="46" s="1"/>
  <c r="AQ15" i="46"/>
  <c r="Q15" i="46"/>
  <c r="CF15" i="46" s="1"/>
  <c r="M15" i="46"/>
  <c r="BR15" i="46" s="1"/>
  <c r="AQ18" i="46"/>
  <c r="Q18" i="46"/>
  <c r="CF18" i="46" s="1"/>
  <c r="M18" i="46"/>
  <c r="BR18" i="46" s="1"/>
  <c r="AQ14" i="46"/>
  <c r="Q14" i="46"/>
  <c r="CF14" i="46" s="1"/>
  <c r="M14" i="46"/>
  <c r="BR14" i="46" s="1"/>
  <c r="AQ13" i="46"/>
  <c r="Q13" i="46"/>
  <c r="CF13" i="46" s="1"/>
  <c r="M13" i="46"/>
  <c r="BR13" i="46" s="1"/>
  <c r="AQ16" i="46"/>
  <c r="Q16" i="46"/>
  <c r="CF16" i="46" s="1"/>
  <c r="M16" i="46"/>
  <c r="BR16" i="46" s="1"/>
  <c r="AQ11" i="46"/>
  <c r="M11" i="46"/>
  <c r="BR11" i="46" s="1"/>
  <c r="AQ12" i="46"/>
  <c r="M12" i="46"/>
  <c r="BR12" i="46" s="1"/>
  <c r="AQ10" i="46"/>
  <c r="Q10" i="46"/>
  <c r="CF10" i="46" s="1"/>
  <c r="M10" i="46"/>
  <c r="BR10" i="46" s="1"/>
  <c r="AQ8" i="46"/>
  <c r="Q8" i="46"/>
  <c r="CF8" i="46" s="1"/>
  <c r="M8" i="46"/>
  <c r="BR8" i="46" s="1"/>
  <c r="AQ9" i="46"/>
  <c r="Q9" i="46"/>
  <c r="CF9" i="46" s="1"/>
  <c r="M9" i="46"/>
  <c r="BR9" i="46" s="1"/>
  <c r="AQ7" i="46"/>
  <c r="Q7" i="46"/>
  <c r="CF7" i="46" s="1"/>
  <c r="M7" i="46"/>
  <c r="BR7" i="46" s="1"/>
  <c r="AQ6" i="46"/>
  <c r="Q6" i="46"/>
  <c r="CF6" i="46" s="1"/>
  <c r="M6" i="46"/>
  <c r="BR6" i="46" s="1"/>
  <c r="BF153" i="2" l="1"/>
  <c r="AZ153" i="2" s="1"/>
  <c r="K163" i="77" s="1"/>
  <c r="W163" i="77" s="1"/>
  <c r="CF153" i="2"/>
  <c r="BZ153" i="2" s="1"/>
  <c r="K163" i="78" s="1"/>
  <c r="W163" i="78" s="1"/>
  <c r="AS153" i="2"/>
  <c r="AM153" i="2" s="1"/>
  <c r="K163" i="79" s="1"/>
  <c r="W163" i="79" s="1"/>
  <c r="CD153" i="2"/>
  <c r="BX153" i="2" s="1"/>
  <c r="I163" i="78" s="1"/>
  <c r="U163" i="78" s="1"/>
  <c r="AQ153" i="2"/>
  <c r="AK153" i="2" s="1"/>
  <c r="I163" i="79" s="1"/>
  <c r="U163" i="79" s="1"/>
  <c r="BD153" i="2"/>
  <c r="AX153" i="2" s="1"/>
  <c r="I163" i="77" s="1"/>
  <c r="U163" i="77" s="1"/>
  <c r="CD142" i="2"/>
  <c r="BX142" i="2" s="1"/>
  <c r="I151" i="78" s="1"/>
  <c r="U151" i="78" s="1"/>
  <c r="BD142" i="2"/>
  <c r="AX142" i="2" s="1"/>
  <c r="I151" i="77" s="1"/>
  <c r="U151" i="77" s="1"/>
  <c r="AQ142" i="2"/>
  <c r="AK142" i="2" s="1"/>
  <c r="I151" i="79" s="1"/>
  <c r="U151" i="79" s="1"/>
  <c r="CF142" i="2"/>
  <c r="BZ142" i="2" s="1"/>
  <c r="K151" i="78" s="1"/>
  <c r="W151" i="78" s="1"/>
  <c r="AS142" i="2"/>
  <c r="AM142" i="2" s="1"/>
  <c r="K151" i="79" s="1"/>
  <c r="W151" i="79" s="1"/>
  <c r="BF142" i="2"/>
  <c r="AZ142" i="2" s="1"/>
  <c r="K151" i="77" s="1"/>
  <c r="W151" i="77" s="1"/>
  <c r="BS131" i="2"/>
  <c r="BF131" i="2"/>
  <c r="AZ131" i="2" s="1"/>
  <c r="K139" i="77" s="1"/>
  <c r="W139" i="77" s="1"/>
  <c r="CF131" i="2"/>
  <c r="BZ131" i="2" s="1"/>
  <c r="K139" i="78" s="1"/>
  <c r="W139" i="78" s="1"/>
  <c r="AS131" i="2"/>
  <c r="AM131" i="2" s="1"/>
  <c r="K139" i="79" s="1"/>
  <c r="W139" i="79" s="1"/>
  <c r="BQ131" i="2"/>
  <c r="CD131" i="2"/>
  <c r="BX131" i="2" s="1"/>
  <c r="I139" i="78" s="1"/>
  <c r="U139" i="78" s="1"/>
  <c r="AQ131" i="2"/>
  <c r="AK131" i="2" s="1"/>
  <c r="I139" i="79" s="1"/>
  <c r="U139" i="79" s="1"/>
  <c r="BD131" i="2"/>
  <c r="AX131" i="2" s="1"/>
  <c r="I139" i="77" s="1"/>
  <c r="U139" i="77" s="1"/>
  <c r="AS120" i="2"/>
  <c r="AM120" i="2" s="1"/>
  <c r="K127" i="79" s="1"/>
  <c r="W127" i="79" s="1"/>
  <c r="CF120" i="2"/>
  <c r="BZ120" i="2" s="1"/>
  <c r="K127" i="78" s="1"/>
  <c r="W127" i="78" s="1"/>
  <c r="BF120" i="2"/>
  <c r="AZ120" i="2" s="1"/>
  <c r="K127" i="77" s="1"/>
  <c r="W127" i="77" s="1"/>
  <c r="BQ120" i="2"/>
  <c r="AQ120" i="2"/>
  <c r="AK120" i="2" s="1"/>
  <c r="I127" i="79" s="1"/>
  <c r="U127" i="79" s="1"/>
  <c r="CD120" i="2"/>
  <c r="BX120" i="2" s="1"/>
  <c r="I127" i="78" s="1"/>
  <c r="U127" i="78" s="1"/>
  <c r="BD120" i="2"/>
  <c r="AX120" i="2" s="1"/>
  <c r="I127" i="77" s="1"/>
  <c r="U127" i="77" s="1"/>
  <c r="BS109" i="2"/>
  <c r="AS109" i="2"/>
  <c r="AM109" i="2" s="1"/>
  <c r="K115" i="79" s="1"/>
  <c r="W115" i="79" s="1"/>
  <c r="BF109" i="2"/>
  <c r="AZ109" i="2" s="1"/>
  <c r="K115" i="77" s="1"/>
  <c r="W115" i="77" s="1"/>
  <c r="CF109" i="2"/>
  <c r="BZ109" i="2" s="1"/>
  <c r="K115" i="78" s="1"/>
  <c r="W115" i="78" s="1"/>
  <c r="BQ109" i="2"/>
  <c r="AQ109" i="2"/>
  <c r="AK109" i="2" s="1"/>
  <c r="I115" i="79" s="1"/>
  <c r="U115" i="79" s="1"/>
  <c r="CD109" i="2"/>
  <c r="BX109" i="2" s="1"/>
  <c r="I115" i="78" s="1"/>
  <c r="U115" i="78" s="1"/>
  <c r="BD109" i="2"/>
  <c r="AX109" i="2" s="1"/>
  <c r="I115" i="77" s="1"/>
  <c r="U115" i="77" s="1"/>
  <c r="BQ98" i="2"/>
  <c r="AQ98" i="2"/>
  <c r="AK98" i="2" s="1"/>
  <c r="I103" i="79" s="1"/>
  <c r="U103" i="79" s="1"/>
  <c r="BD98" i="2"/>
  <c r="AX98" i="2" s="1"/>
  <c r="I103" i="77" s="1"/>
  <c r="U103" i="77" s="1"/>
  <c r="CD98" i="2"/>
  <c r="BX98" i="2" s="1"/>
  <c r="I103" i="78" s="1"/>
  <c r="U103" i="78" s="1"/>
  <c r="BS98" i="2"/>
  <c r="BM98" i="2" s="1"/>
  <c r="K103" i="3" s="1"/>
  <c r="W103" i="3" s="1"/>
  <c r="CF98" i="2"/>
  <c r="BZ98" i="2" s="1"/>
  <c r="K103" i="78" s="1"/>
  <c r="W103" i="78" s="1"/>
  <c r="AS98" i="2"/>
  <c r="AM98" i="2" s="1"/>
  <c r="K103" i="79" s="1"/>
  <c r="W103" i="79" s="1"/>
  <c r="BF98" i="2"/>
  <c r="AZ98" i="2" s="1"/>
  <c r="K103" i="77" s="1"/>
  <c r="W103" i="77" s="1"/>
  <c r="BQ87" i="2"/>
  <c r="BK87" i="2" s="1"/>
  <c r="I91" i="3" s="1"/>
  <c r="U91" i="3" s="1"/>
  <c r="CD87" i="2"/>
  <c r="BX87" i="2" s="1"/>
  <c r="I91" i="78" s="1"/>
  <c r="U91" i="78" s="1"/>
  <c r="BD87" i="2"/>
  <c r="AX87" i="2" s="1"/>
  <c r="I91" i="77" s="1"/>
  <c r="U91" i="77" s="1"/>
  <c r="AQ87" i="2"/>
  <c r="AK87" i="2" s="1"/>
  <c r="I91" i="79" s="1"/>
  <c r="U91" i="79" s="1"/>
  <c r="BS87" i="2"/>
  <c r="CF87" i="2"/>
  <c r="BZ87" i="2" s="1"/>
  <c r="K91" i="78" s="1"/>
  <c r="W91" i="78" s="1"/>
  <c r="BF87" i="2"/>
  <c r="AZ87" i="2" s="1"/>
  <c r="K91" i="77" s="1"/>
  <c r="W91" i="77" s="1"/>
  <c r="AS87" i="2"/>
  <c r="AM87" i="2" s="1"/>
  <c r="K91" i="79" s="1"/>
  <c r="W91" i="79" s="1"/>
  <c r="BQ76" i="2"/>
  <c r="AQ76" i="2"/>
  <c r="AK76" i="2" s="1"/>
  <c r="I79" i="79" s="1"/>
  <c r="U79" i="79" s="1"/>
  <c r="CD76" i="2"/>
  <c r="BX76" i="2" s="1"/>
  <c r="I79" i="78" s="1"/>
  <c r="U79" i="78" s="1"/>
  <c r="BD76" i="2"/>
  <c r="AX76" i="2" s="1"/>
  <c r="I79" i="77" s="1"/>
  <c r="U79" i="77" s="1"/>
  <c r="CF76" i="2"/>
  <c r="BZ76" i="2" s="1"/>
  <c r="K79" i="78" s="1"/>
  <c r="W79" i="78" s="1"/>
  <c r="BF76" i="2"/>
  <c r="AZ76" i="2" s="1"/>
  <c r="K79" i="77" s="1"/>
  <c r="W79" i="77" s="1"/>
  <c r="AS76" i="2"/>
  <c r="AM76" i="2" s="1"/>
  <c r="K79" i="79" s="1"/>
  <c r="W79" i="79" s="1"/>
  <c r="BS65" i="2"/>
  <c r="AS65" i="2"/>
  <c r="AM65" i="2" s="1"/>
  <c r="K67" i="79" s="1"/>
  <c r="W67" i="79" s="1"/>
  <c r="CF65" i="2"/>
  <c r="BZ65" i="2" s="1"/>
  <c r="K67" i="78" s="1"/>
  <c r="W67" i="78" s="1"/>
  <c r="BF65" i="2"/>
  <c r="AZ65" i="2" s="1"/>
  <c r="K67" i="77" s="1"/>
  <c r="W67" i="77" s="1"/>
  <c r="BQ65" i="2"/>
  <c r="AQ65" i="2"/>
  <c r="AK65" i="2" s="1"/>
  <c r="I67" i="79" s="1"/>
  <c r="U67" i="79" s="1"/>
  <c r="CD65" i="2"/>
  <c r="BX65" i="2" s="1"/>
  <c r="I67" i="78" s="1"/>
  <c r="U67" i="78" s="1"/>
  <c r="BD65" i="2"/>
  <c r="AX65" i="2" s="1"/>
  <c r="I67" i="77" s="1"/>
  <c r="U67" i="77" s="1"/>
  <c r="AQ54" i="2"/>
  <c r="AK54" i="2" s="1"/>
  <c r="I55" i="79" s="1"/>
  <c r="U55" i="79" s="1"/>
  <c r="CD54" i="2"/>
  <c r="BX54" i="2" s="1"/>
  <c r="I55" i="78" s="1"/>
  <c r="U55" i="78" s="1"/>
  <c r="BD54" i="2"/>
  <c r="AX54" i="2" s="1"/>
  <c r="I55" i="77" s="1"/>
  <c r="U55" i="77" s="1"/>
  <c r="CF54" i="2"/>
  <c r="BZ54" i="2" s="1"/>
  <c r="K55" i="78" s="1"/>
  <c r="W55" i="78" s="1"/>
  <c r="AS54" i="2"/>
  <c r="AM54" i="2" s="1"/>
  <c r="K55" i="79" s="1"/>
  <c r="W55" i="79" s="1"/>
  <c r="BF54" i="2"/>
  <c r="AZ54" i="2" s="1"/>
  <c r="K55" i="77" s="1"/>
  <c r="W55" i="77" s="1"/>
  <c r="CD43" i="2"/>
  <c r="BX43" i="2" s="1"/>
  <c r="I43" i="78" s="1"/>
  <c r="U43" i="78" s="1"/>
  <c r="BD43" i="2"/>
  <c r="AX43" i="2" s="1"/>
  <c r="I43" i="77" s="1"/>
  <c r="U43" i="77" s="1"/>
  <c r="AQ43" i="2"/>
  <c r="AK43" i="2" s="1"/>
  <c r="I43" i="79" s="1"/>
  <c r="U43" i="79" s="1"/>
  <c r="CF43" i="2"/>
  <c r="BZ43" i="2" s="1"/>
  <c r="K43" i="78" s="1"/>
  <c r="W43" i="78" s="1"/>
  <c r="BF43" i="2"/>
  <c r="AZ43" i="2" s="1"/>
  <c r="K43" i="77" s="1"/>
  <c r="W43" i="77" s="1"/>
  <c r="AS43" i="2"/>
  <c r="AM43" i="2" s="1"/>
  <c r="K43" i="79" s="1"/>
  <c r="W43" i="79" s="1"/>
  <c r="BF32" i="2"/>
  <c r="AZ32" i="2" s="1"/>
  <c r="K31" i="77" s="1"/>
  <c r="W31" i="77" s="1"/>
  <c r="AS32" i="2"/>
  <c r="AM32" i="2" s="1"/>
  <c r="K31" i="79" s="1"/>
  <c r="W31" i="79" s="1"/>
  <c r="CF32" i="2"/>
  <c r="BZ32" i="2" s="1"/>
  <c r="K31" i="78" s="1"/>
  <c r="W31" i="78" s="1"/>
  <c r="BD32" i="2"/>
  <c r="AX32" i="2" s="1"/>
  <c r="I31" i="77" s="1"/>
  <c r="U31" i="77" s="1"/>
  <c r="AQ32" i="2"/>
  <c r="AK32" i="2" s="1"/>
  <c r="I31" i="79" s="1"/>
  <c r="U31" i="79" s="1"/>
  <c r="CD32" i="2"/>
  <c r="BX32" i="2" s="1"/>
  <c r="I31" i="78" s="1"/>
  <c r="U31" i="78" s="1"/>
  <c r="BQ21" i="2"/>
  <c r="AQ21" i="2"/>
  <c r="BD21" i="2"/>
  <c r="CD21" i="2"/>
  <c r="BX21" i="2" s="1"/>
  <c r="I19" i="78" s="1"/>
  <c r="U19" i="78" s="1"/>
  <c r="BS21" i="2"/>
  <c r="BF21" i="2"/>
  <c r="AS21" i="2"/>
  <c r="CF21" i="2"/>
  <c r="BZ21" i="2" s="1"/>
  <c r="K19" i="78" s="1"/>
  <c r="W19" i="78" s="1"/>
  <c r="BN21" i="2"/>
  <c r="BH21" i="2" s="1"/>
  <c r="CN21" i="2"/>
  <c r="BA21" i="2"/>
  <c r="AN21" i="2"/>
  <c r="CA21" i="2"/>
  <c r="CM87" i="2"/>
  <c r="CK87" i="2"/>
  <c r="D99" i="74"/>
  <c r="AB48" i="75"/>
  <c r="AC48" i="75" s="1"/>
  <c r="BW16" i="46"/>
  <c r="BW8" i="46"/>
  <c r="BW17" i="46"/>
  <c r="BW10" i="46"/>
  <c r="BW11" i="46"/>
  <c r="BW6" i="46"/>
  <c r="BW9" i="46"/>
  <c r="BS15" i="46"/>
  <c r="BT15" i="46" s="1"/>
  <c r="BU15" i="46" s="1"/>
  <c r="BW15" i="46"/>
  <c r="BS18" i="46"/>
  <c r="BT18" i="46" s="1"/>
  <c r="BU18" i="46" s="1"/>
  <c r="BW18" i="46"/>
  <c r="BS12" i="46"/>
  <c r="BT12" i="46" s="1"/>
  <c r="BU12" i="46" s="1"/>
  <c r="BW12" i="46"/>
  <c r="BS14" i="46"/>
  <c r="BT14" i="46" s="1"/>
  <c r="BU14" i="46" s="1"/>
  <c r="BW14" i="46"/>
  <c r="BS7" i="46"/>
  <c r="BT7" i="46" s="1"/>
  <c r="BU7" i="46" s="1"/>
  <c r="BW7" i="46"/>
  <c r="BS13" i="46"/>
  <c r="BT13" i="46" s="1"/>
  <c r="BU13" i="46" s="1"/>
  <c r="BW13" i="46"/>
  <c r="BS11" i="46"/>
  <c r="BT11" i="46" s="1"/>
  <c r="BU11" i="46" s="1"/>
  <c r="BS6" i="46"/>
  <c r="BT6" i="46" s="1"/>
  <c r="BU6" i="46" s="1"/>
  <c r="BS10" i="46"/>
  <c r="BT10" i="46" s="1"/>
  <c r="BU10" i="46" s="1"/>
  <c r="BS9" i="46"/>
  <c r="BT9" i="46" s="1"/>
  <c r="BU9" i="46" s="1"/>
  <c r="BS16" i="46"/>
  <c r="BT16" i="46" s="1"/>
  <c r="BU16" i="46" s="1"/>
  <c r="BS8" i="46"/>
  <c r="BT8" i="46" s="1"/>
  <c r="BU8" i="46" s="1"/>
  <c r="BS17" i="46"/>
  <c r="BT17" i="46" s="1"/>
  <c r="BU17" i="46" s="1"/>
  <c r="CK120" i="2"/>
  <c r="CH120" i="2" s="1"/>
  <c r="BK120" i="2"/>
  <c r="I127" i="3" s="1"/>
  <c r="U127" i="3" s="1"/>
  <c r="C23" i="63"/>
  <c r="CK131" i="2"/>
  <c r="CH131" i="2" s="1"/>
  <c r="BK131" i="2"/>
  <c r="I139" i="3" s="1"/>
  <c r="U139" i="3" s="1"/>
  <c r="C23" i="57"/>
  <c r="C23" i="66"/>
  <c r="CK76" i="2"/>
  <c r="BK76" i="2"/>
  <c r="I79" i="3" s="1"/>
  <c r="U79" i="3" s="1"/>
  <c r="CM98" i="2"/>
  <c r="CM131" i="2"/>
  <c r="CJ131" i="2" s="1"/>
  <c r="BM131" i="2"/>
  <c r="K139" i="3" s="1"/>
  <c r="W139" i="3" s="1"/>
  <c r="BQ142" i="2"/>
  <c r="BS76" i="2"/>
  <c r="J59" i="53"/>
  <c r="V59" i="53"/>
  <c r="D60" i="53"/>
  <c r="P60" i="53"/>
  <c r="AB60" i="53"/>
  <c r="Q59" i="53"/>
  <c r="K59" i="53"/>
  <c r="W59" i="53"/>
  <c r="E60" i="53"/>
  <c r="Q60" i="53"/>
  <c r="AC60" i="53"/>
  <c r="AC59" i="53"/>
  <c r="L59" i="53"/>
  <c r="X59" i="53"/>
  <c r="F60" i="53"/>
  <c r="R60" i="53"/>
  <c r="AD60" i="53"/>
  <c r="J60" i="53"/>
  <c r="W60" i="53"/>
  <c r="M59" i="53"/>
  <c r="Y59" i="53"/>
  <c r="G60" i="53"/>
  <c r="S60" i="53"/>
  <c r="AE60" i="53"/>
  <c r="AB59" i="53"/>
  <c r="E59" i="53"/>
  <c r="N59" i="53"/>
  <c r="Z59" i="53"/>
  <c r="H60" i="53"/>
  <c r="T60" i="53"/>
  <c r="AF60" i="53"/>
  <c r="P59" i="53"/>
  <c r="V60" i="53"/>
  <c r="O59" i="53"/>
  <c r="AA59" i="53"/>
  <c r="I60" i="53"/>
  <c r="U60" i="53"/>
  <c r="AG60" i="53"/>
  <c r="D59" i="53"/>
  <c r="K60" i="53"/>
  <c r="F59" i="53"/>
  <c r="R59" i="53"/>
  <c r="AD59" i="53"/>
  <c r="L60" i="53"/>
  <c r="X60" i="53"/>
  <c r="T59" i="53"/>
  <c r="N60" i="53"/>
  <c r="U59" i="53"/>
  <c r="G59" i="53"/>
  <c r="S59" i="53"/>
  <c r="AE59" i="53"/>
  <c r="M60" i="53"/>
  <c r="Y60" i="53"/>
  <c r="H59" i="53"/>
  <c r="AF59" i="53"/>
  <c r="Z60" i="53"/>
  <c r="I59" i="53"/>
  <c r="AG59" i="53"/>
  <c r="O60" i="53"/>
  <c r="AA60" i="53"/>
  <c r="C23" i="38"/>
  <c r="BQ153" i="2"/>
  <c r="CK109" i="2"/>
  <c r="BK109" i="2"/>
  <c r="I115" i="3" s="1"/>
  <c r="U115" i="3" s="1"/>
  <c r="BS43" i="2"/>
  <c r="BS54" i="2"/>
  <c r="BM65" i="2"/>
  <c r="K67" i="3" s="1"/>
  <c r="W67" i="3" s="1"/>
  <c r="CM65" i="2"/>
  <c r="C23" i="51"/>
  <c r="C23" i="62"/>
  <c r="BQ43" i="2"/>
  <c r="BS142" i="2"/>
  <c r="C23" i="58"/>
  <c r="C23" i="67"/>
  <c r="C23" i="64"/>
  <c r="C23" i="55"/>
  <c r="C23" i="65"/>
  <c r="BQ54" i="2"/>
  <c r="BS120" i="2"/>
  <c r="CK65" i="2"/>
  <c r="BK65" i="2"/>
  <c r="I67" i="3" s="1"/>
  <c r="U67" i="3" s="1"/>
  <c r="CK98" i="2"/>
  <c r="BK98" i="2"/>
  <c r="I103" i="3" s="1"/>
  <c r="U103" i="3" s="1"/>
  <c r="BS153" i="2"/>
  <c r="CM109" i="2"/>
  <c r="BM109" i="2"/>
  <c r="K115" i="3" s="1"/>
  <c r="W115" i="3" s="1"/>
  <c r="BM87" i="2"/>
  <c r="K91" i="3" s="1"/>
  <c r="W91" i="3" s="1"/>
  <c r="C59" i="53"/>
  <c r="C60" i="53"/>
  <c r="CK21" i="2"/>
  <c r="BQ32" i="2"/>
  <c r="BS32" i="2"/>
  <c r="CM21" i="2"/>
  <c r="BM21" i="2"/>
  <c r="BR21" i="2"/>
  <c r="BP21" i="2"/>
  <c r="C60" i="38"/>
  <c r="AG60" i="38"/>
  <c r="V60" i="38"/>
  <c r="F60" i="38"/>
  <c r="W60" i="38"/>
  <c r="R60" i="38"/>
  <c r="J60" i="38"/>
  <c r="AC60" i="38"/>
  <c r="AD60" i="38"/>
  <c r="AA60" i="38"/>
  <c r="U60" i="38"/>
  <c r="Q60" i="38"/>
  <c r="Z60" i="38"/>
  <c r="I60" i="38"/>
  <c r="E60" i="38"/>
  <c r="O60" i="38"/>
  <c r="AF60" i="38"/>
  <c r="AB60" i="38"/>
  <c r="N60" i="38"/>
  <c r="T60" i="38"/>
  <c r="P60" i="38"/>
  <c r="K60" i="38"/>
  <c r="Y60" i="38"/>
  <c r="H60" i="38"/>
  <c r="D60" i="38"/>
  <c r="M60" i="38"/>
  <c r="AE60" i="38"/>
  <c r="X60" i="38"/>
  <c r="S60" i="38"/>
  <c r="L60" i="38"/>
  <c r="G60" i="38"/>
  <c r="T64" i="58"/>
  <c r="T77" i="58" s="1"/>
  <c r="U64" i="58"/>
  <c r="U77" i="58" s="1"/>
  <c r="V64" i="58"/>
  <c r="V77" i="58" s="1"/>
  <c r="W64" i="58"/>
  <c r="W77" i="58" s="1"/>
  <c r="N64" i="58"/>
  <c r="N77" i="58" s="1"/>
  <c r="O64" i="58"/>
  <c r="O77" i="58" s="1"/>
  <c r="P64" i="58"/>
  <c r="P77" i="58" s="1"/>
  <c r="Q64" i="58"/>
  <c r="Q77" i="58" s="1"/>
  <c r="R64" i="58"/>
  <c r="R77" i="58" s="1"/>
  <c r="S64" i="58"/>
  <c r="S77" i="58" s="1"/>
  <c r="AB64" i="58"/>
  <c r="AB77" i="58" s="1"/>
  <c r="AC64" i="58"/>
  <c r="AC77" i="58" s="1"/>
  <c r="AD64" i="58"/>
  <c r="AD77" i="58" s="1"/>
  <c r="AE64" i="58"/>
  <c r="AE77" i="58" s="1"/>
  <c r="AF64" i="58"/>
  <c r="AF77" i="58" s="1"/>
  <c r="AG64" i="58"/>
  <c r="AG77" i="58" s="1"/>
  <c r="X64" i="58"/>
  <c r="X77" i="58" s="1"/>
  <c r="Y64" i="58"/>
  <c r="Y77" i="58" s="1"/>
  <c r="Z64" i="58"/>
  <c r="Z77" i="58" s="1"/>
  <c r="AA64" i="58"/>
  <c r="AA77" i="58" s="1"/>
  <c r="S64" i="51"/>
  <c r="S77" i="51" s="1"/>
  <c r="T64" i="51"/>
  <c r="T77" i="51" s="1"/>
  <c r="U64" i="51"/>
  <c r="U77" i="51" s="1"/>
  <c r="V64" i="51"/>
  <c r="V77" i="51" s="1"/>
  <c r="W64" i="51"/>
  <c r="W77" i="51" s="1"/>
  <c r="N64" i="51"/>
  <c r="N77" i="51" s="1"/>
  <c r="O64" i="51"/>
  <c r="O77" i="51" s="1"/>
  <c r="P64" i="51"/>
  <c r="P77" i="51" s="1"/>
  <c r="Q64" i="51"/>
  <c r="Q77" i="51" s="1"/>
  <c r="R64" i="51"/>
  <c r="R77" i="51" s="1"/>
  <c r="AA64" i="51"/>
  <c r="AA77" i="51" s="1"/>
  <c r="AB64" i="51"/>
  <c r="AB77" i="51" s="1"/>
  <c r="AC64" i="51"/>
  <c r="AC77" i="51" s="1"/>
  <c r="AD64" i="51"/>
  <c r="AD77" i="51" s="1"/>
  <c r="AE64" i="51"/>
  <c r="AE77" i="51" s="1"/>
  <c r="AF64" i="51"/>
  <c r="AF77" i="51" s="1"/>
  <c r="AG64" i="51"/>
  <c r="AG77" i="51" s="1"/>
  <c r="X64" i="51"/>
  <c r="X77" i="51" s="1"/>
  <c r="Y64" i="51"/>
  <c r="Y77" i="51" s="1"/>
  <c r="Z64" i="51"/>
  <c r="Z77" i="51" s="1"/>
  <c r="H82" i="58"/>
  <c r="H94" i="58" s="1"/>
  <c r="I82" i="58"/>
  <c r="I94" i="58" s="1"/>
  <c r="J82" i="58"/>
  <c r="J94" i="58" s="1"/>
  <c r="K82" i="58"/>
  <c r="K94" i="58" s="1"/>
  <c r="L82" i="58"/>
  <c r="L94" i="58" s="1"/>
  <c r="M82" i="58"/>
  <c r="M94" i="58" s="1"/>
  <c r="C82" i="58"/>
  <c r="C94" i="58" s="1"/>
  <c r="C95" i="58" s="1"/>
  <c r="C166" i="58" s="1"/>
  <c r="D82" i="58"/>
  <c r="D94" i="58" s="1"/>
  <c r="E82" i="58"/>
  <c r="E94" i="58" s="1"/>
  <c r="F82" i="58"/>
  <c r="F94" i="58" s="1"/>
  <c r="G82" i="58"/>
  <c r="G94" i="58" s="1"/>
  <c r="O64" i="52"/>
  <c r="O77" i="52" s="1"/>
  <c r="P64" i="52"/>
  <c r="P77" i="52" s="1"/>
  <c r="Q64" i="52"/>
  <c r="Q77" i="52" s="1"/>
  <c r="R64" i="52"/>
  <c r="R77" i="52" s="1"/>
  <c r="S64" i="52"/>
  <c r="S77" i="52" s="1"/>
  <c r="T64" i="52"/>
  <c r="T77" i="52" s="1"/>
  <c r="U64" i="52"/>
  <c r="U77" i="52" s="1"/>
  <c r="V64" i="52"/>
  <c r="V77" i="52" s="1"/>
  <c r="W64" i="52"/>
  <c r="W77" i="52" s="1"/>
  <c r="N64" i="52"/>
  <c r="N77" i="52" s="1"/>
  <c r="C82" i="57"/>
  <c r="C94" i="57" s="1"/>
  <c r="C95" i="57" s="1"/>
  <c r="C166" i="57" s="1"/>
  <c r="D82" i="57"/>
  <c r="D94" i="57" s="1"/>
  <c r="E82" i="57"/>
  <c r="E94" i="57" s="1"/>
  <c r="F82" i="57"/>
  <c r="F94" i="57" s="1"/>
  <c r="G82" i="57"/>
  <c r="G94" i="57" s="1"/>
  <c r="H82" i="57"/>
  <c r="H94" i="57" s="1"/>
  <c r="I82" i="57"/>
  <c r="I94" i="57" s="1"/>
  <c r="J82" i="57"/>
  <c r="J94" i="57" s="1"/>
  <c r="K82" i="57"/>
  <c r="K94" i="57" s="1"/>
  <c r="L82" i="57"/>
  <c r="L94" i="57" s="1"/>
  <c r="M82" i="57"/>
  <c r="M94" i="57" s="1"/>
  <c r="X64" i="52"/>
  <c r="X77" i="52" s="1"/>
  <c r="Y64" i="52"/>
  <c r="Y77" i="52" s="1"/>
  <c r="Z64" i="52"/>
  <c r="Z77" i="52" s="1"/>
  <c r="AA64" i="52"/>
  <c r="AA77" i="52" s="1"/>
  <c r="AB64" i="52"/>
  <c r="AB77" i="52" s="1"/>
  <c r="AC64" i="52"/>
  <c r="AC77" i="52" s="1"/>
  <c r="AD64" i="52"/>
  <c r="AD77" i="52" s="1"/>
  <c r="AE64" i="52"/>
  <c r="AE77" i="52" s="1"/>
  <c r="AF64" i="52"/>
  <c r="AF77" i="52" s="1"/>
  <c r="AG64" i="52"/>
  <c r="AG77" i="52" s="1"/>
  <c r="K82" i="55"/>
  <c r="K94" i="55" s="1"/>
  <c r="L82" i="55"/>
  <c r="L94" i="55" s="1"/>
  <c r="M82" i="55"/>
  <c r="M94" i="55" s="1"/>
  <c r="C82" i="55"/>
  <c r="C94" i="55" s="1"/>
  <c r="C95" i="55" s="1"/>
  <c r="C166" i="55" s="1"/>
  <c r="D82" i="55"/>
  <c r="D94" i="55" s="1"/>
  <c r="E82" i="55"/>
  <c r="E94" i="55" s="1"/>
  <c r="F82" i="55"/>
  <c r="F94" i="55" s="1"/>
  <c r="G82" i="55"/>
  <c r="G94" i="55" s="1"/>
  <c r="H82" i="55"/>
  <c r="H94" i="55" s="1"/>
  <c r="I82" i="55"/>
  <c r="I94" i="55" s="1"/>
  <c r="J82" i="55"/>
  <c r="J94" i="55" s="1"/>
  <c r="C185" i="58"/>
  <c r="C176" i="58"/>
  <c r="T64" i="53"/>
  <c r="T77" i="53" s="1"/>
  <c r="U64" i="53"/>
  <c r="U77" i="53" s="1"/>
  <c r="V64" i="53"/>
  <c r="V77" i="53" s="1"/>
  <c r="W64" i="53"/>
  <c r="W77" i="53" s="1"/>
  <c r="N64" i="53"/>
  <c r="N77" i="53" s="1"/>
  <c r="O64" i="53"/>
  <c r="O77" i="53" s="1"/>
  <c r="P64" i="53"/>
  <c r="P77" i="53" s="1"/>
  <c r="Q64" i="53"/>
  <c r="Q77" i="53" s="1"/>
  <c r="R64" i="53"/>
  <c r="R77" i="53" s="1"/>
  <c r="S64" i="53"/>
  <c r="S77" i="53" s="1"/>
  <c r="D82" i="53"/>
  <c r="D94" i="53" s="1"/>
  <c r="E82" i="53"/>
  <c r="E94" i="53" s="1"/>
  <c r="F82" i="53"/>
  <c r="F94" i="53" s="1"/>
  <c r="G82" i="53"/>
  <c r="G94" i="53" s="1"/>
  <c r="H82" i="53"/>
  <c r="H94" i="53" s="1"/>
  <c r="I82" i="53"/>
  <c r="I94" i="53" s="1"/>
  <c r="J82" i="53"/>
  <c r="J94" i="53" s="1"/>
  <c r="K82" i="53"/>
  <c r="K94" i="53" s="1"/>
  <c r="L82" i="53"/>
  <c r="L94" i="53" s="1"/>
  <c r="M82" i="53"/>
  <c r="M94" i="53" s="1"/>
  <c r="C82" i="53"/>
  <c r="C94" i="53" s="1"/>
  <c r="C185" i="57"/>
  <c r="C176" i="57"/>
  <c r="AB64" i="53"/>
  <c r="AB77" i="53" s="1"/>
  <c r="AC64" i="53"/>
  <c r="AC77" i="53" s="1"/>
  <c r="AD64" i="53"/>
  <c r="AD77" i="53" s="1"/>
  <c r="AE64" i="53"/>
  <c r="AE77" i="53" s="1"/>
  <c r="AF64" i="53"/>
  <c r="AF77" i="53" s="1"/>
  <c r="AG64" i="53"/>
  <c r="AG77" i="53" s="1"/>
  <c r="X64" i="53"/>
  <c r="X77" i="53" s="1"/>
  <c r="Y64" i="53"/>
  <c r="Y77" i="53" s="1"/>
  <c r="Z64" i="53"/>
  <c r="Z77" i="53" s="1"/>
  <c r="AA64" i="53"/>
  <c r="AA77" i="53" s="1"/>
  <c r="J82" i="52"/>
  <c r="J94" i="52" s="1"/>
  <c r="K82" i="52"/>
  <c r="K94" i="52" s="1"/>
  <c r="L82" i="52"/>
  <c r="L94" i="52" s="1"/>
  <c r="M82" i="52"/>
  <c r="M94" i="52" s="1"/>
  <c r="C82" i="52"/>
  <c r="C94" i="52" s="1"/>
  <c r="C95" i="52" s="1"/>
  <c r="C166" i="52" s="1"/>
  <c r="D82" i="52"/>
  <c r="D94" i="52" s="1"/>
  <c r="E82" i="52"/>
  <c r="E94" i="52" s="1"/>
  <c r="F82" i="52"/>
  <c r="F94" i="52" s="1"/>
  <c r="G82" i="52"/>
  <c r="G94" i="52" s="1"/>
  <c r="H82" i="52"/>
  <c r="H94" i="52" s="1"/>
  <c r="I82" i="52"/>
  <c r="I94" i="52" s="1"/>
  <c r="C176" i="55"/>
  <c r="C185" i="55"/>
  <c r="O64" i="55"/>
  <c r="O77" i="55" s="1"/>
  <c r="P64" i="55"/>
  <c r="P77" i="55" s="1"/>
  <c r="Q64" i="55"/>
  <c r="Q77" i="55" s="1"/>
  <c r="R64" i="55"/>
  <c r="R77" i="55" s="1"/>
  <c r="S64" i="55"/>
  <c r="S77" i="55" s="1"/>
  <c r="T64" i="55"/>
  <c r="T77" i="55" s="1"/>
  <c r="U64" i="55"/>
  <c r="U77" i="55" s="1"/>
  <c r="V64" i="55"/>
  <c r="V77" i="55" s="1"/>
  <c r="W64" i="55"/>
  <c r="W77" i="55" s="1"/>
  <c r="N64" i="55"/>
  <c r="N77" i="55" s="1"/>
  <c r="L82" i="51"/>
  <c r="L94" i="51" s="1"/>
  <c r="M82" i="51"/>
  <c r="M94" i="51" s="1"/>
  <c r="C82" i="51"/>
  <c r="C94" i="51" s="1"/>
  <c r="C95" i="51" s="1"/>
  <c r="C166" i="51" s="1"/>
  <c r="D82" i="51"/>
  <c r="D94" i="51" s="1"/>
  <c r="E82" i="51"/>
  <c r="E94" i="51" s="1"/>
  <c r="F82" i="51"/>
  <c r="F94" i="51" s="1"/>
  <c r="G82" i="51"/>
  <c r="G94" i="51" s="1"/>
  <c r="H82" i="51"/>
  <c r="H94" i="51" s="1"/>
  <c r="I82" i="51"/>
  <c r="I94" i="51" s="1"/>
  <c r="J82" i="51"/>
  <c r="J94" i="51" s="1"/>
  <c r="K82" i="51"/>
  <c r="K94" i="51" s="1"/>
  <c r="AG64" i="55"/>
  <c r="AG77" i="55" s="1"/>
  <c r="X64" i="55"/>
  <c r="X77" i="55" s="1"/>
  <c r="Y64" i="55"/>
  <c r="Y77" i="55" s="1"/>
  <c r="Z64" i="55"/>
  <c r="Z77" i="55" s="1"/>
  <c r="AA64" i="55"/>
  <c r="AA77" i="55" s="1"/>
  <c r="AB64" i="55"/>
  <c r="AB77" i="55" s="1"/>
  <c r="AC64" i="55"/>
  <c r="AC77" i="55" s="1"/>
  <c r="AD64" i="55"/>
  <c r="AD77" i="55" s="1"/>
  <c r="AE64" i="55"/>
  <c r="AE77" i="55" s="1"/>
  <c r="AF64" i="55"/>
  <c r="AF77" i="55" s="1"/>
  <c r="C176" i="52"/>
  <c r="C185" i="52"/>
  <c r="P64" i="57"/>
  <c r="P77" i="57" s="1"/>
  <c r="Q64" i="57"/>
  <c r="Q77" i="57" s="1"/>
  <c r="R64" i="57"/>
  <c r="R77" i="57" s="1"/>
  <c r="S64" i="57"/>
  <c r="S77" i="57" s="1"/>
  <c r="T64" i="57"/>
  <c r="T77" i="57" s="1"/>
  <c r="U64" i="57"/>
  <c r="U77" i="57" s="1"/>
  <c r="V64" i="57"/>
  <c r="V77" i="57" s="1"/>
  <c r="W64" i="57"/>
  <c r="W77" i="57" s="1"/>
  <c r="N64" i="57"/>
  <c r="N77" i="57" s="1"/>
  <c r="O64" i="57"/>
  <c r="O77" i="57" s="1"/>
  <c r="Y64" i="57"/>
  <c r="Y77" i="57" s="1"/>
  <c r="Z64" i="57"/>
  <c r="Z77" i="57" s="1"/>
  <c r="AA64" i="57"/>
  <c r="AA77" i="57" s="1"/>
  <c r="AB64" i="57"/>
  <c r="AB77" i="57" s="1"/>
  <c r="AC64" i="57"/>
  <c r="AC77" i="57" s="1"/>
  <c r="AD64" i="57"/>
  <c r="AD77" i="57" s="1"/>
  <c r="AE64" i="57"/>
  <c r="AE77" i="57" s="1"/>
  <c r="AF64" i="57"/>
  <c r="AF77" i="57" s="1"/>
  <c r="AG64" i="57"/>
  <c r="AG77" i="57" s="1"/>
  <c r="X64" i="57"/>
  <c r="X77" i="57" s="1"/>
  <c r="C111" i="51"/>
  <c r="C112" i="51" s="1"/>
  <c r="C167" i="51" s="1"/>
  <c r="P59" i="38"/>
  <c r="AB59" i="38"/>
  <c r="O59" i="38"/>
  <c r="E59" i="38"/>
  <c r="Q59" i="38"/>
  <c r="AC59" i="38"/>
  <c r="AA59" i="38"/>
  <c r="F59" i="38"/>
  <c r="R59" i="38"/>
  <c r="AD59" i="38"/>
  <c r="G59" i="38"/>
  <c r="S59" i="38"/>
  <c r="AE59" i="38"/>
  <c r="H59" i="38"/>
  <c r="T59" i="38"/>
  <c r="AF59" i="38"/>
  <c r="I59" i="38"/>
  <c r="U59" i="38"/>
  <c r="AG59" i="38"/>
  <c r="J59" i="38"/>
  <c r="V59" i="38"/>
  <c r="D59" i="38"/>
  <c r="K59" i="38"/>
  <c r="W59" i="38"/>
  <c r="C59" i="38"/>
  <c r="L59" i="38"/>
  <c r="X59" i="38"/>
  <c r="Z59" i="38"/>
  <c r="M59" i="38"/>
  <c r="Y59" i="38"/>
  <c r="N59" i="38"/>
  <c r="AP21" i="2" l="1"/>
  <c r="AJ21" i="2" s="1"/>
  <c r="H19" i="79" s="1"/>
  <c r="T19" i="79" s="1"/>
  <c r="AR21" i="2"/>
  <c r="AL21" i="2" s="1"/>
  <c r="J19" i="79" s="1"/>
  <c r="V19" i="79" s="1"/>
  <c r="AO21" i="2"/>
  <c r="AI21" i="2" s="1"/>
  <c r="G19" i="79" s="1"/>
  <c r="S19" i="79" s="1"/>
  <c r="AH21" i="2"/>
  <c r="F19" i="79" s="1"/>
  <c r="R19" i="79" s="1"/>
  <c r="BC21" i="2"/>
  <c r="AW21" i="2" s="1"/>
  <c r="H19" i="77" s="1"/>
  <c r="T19" i="77" s="1"/>
  <c r="BB21" i="2"/>
  <c r="AV21" i="2" s="1"/>
  <c r="G19" i="77" s="1"/>
  <c r="S19" i="77" s="1"/>
  <c r="BE21" i="2"/>
  <c r="AY21" i="2" s="1"/>
  <c r="J19" i="77" s="1"/>
  <c r="V19" i="77" s="1"/>
  <c r="AU21" i="2"/>
  <c r="F19" i="77" s="1"/>
  <c r="R19" i="77" s="1"/>
  <c r="CJ21" i="2"/>
  <c r="AM21" i="2"/>
  <c r="K19" i="79" s="1"/>
  <c r="W19" i="79" s="1"/>
  <c r="BK21" i="2"/>
  <c r="I19" i="3" s="1"/>
  <c r="AZ21" i="2"/>
  <c r="K19" i="77" s="1"/>
  <c r="W19" i="77" s="1"/>
  <c r="CH21" i="2"/>
  <c r="AX21" i="2"/>
  <c r="I19" i="77" s="1"/>
  <c r="U19" i="77" s="1"/>
  <c r="BO21" i="2"/>
  <c r="AK21" i="2"/>
  <c r="I19" i="79" s="1"/>
  <c r="U19" i="79" s="1"/>
  <c r="CB21" i="2"/>
  <c r="BV21" i="2" s="1"/>
  <c r="G19" i="78" s="1"/>
  <c r="S19" i="78" s="1"/>
  <c r="CC21" i="2"/>
  <c r="BW21" i="2" s="1"/>
  <c r="H19" i="78" s="1"/>
  <c r="T19" i="78" s="1"/>
  <c r="CE21" i="2"/>
  <c r="BY21" i="2" s="1"/>
  <c r="J19" i="78" s="1"/>
  <c r="V19" i="78" s="1"/>
  <c r="BU21" i="2"/>
  <c r="F19" i="78" s="1"/>
  <c r="R19" i="78" s="1"/>
  <c r="CH98" i="2"/>
  <c r="F95" i="4" s="1"/>
  <c r="O95" i="4" s="1"/>
  <c r="CJ109" i="2"/>
  <c r="H106" i="4" s="1"/>
  <c r="Q106" i="4" s="1"/>
  <c r="CH65" i="2"/>
  <c r="F62" i="4" s="1"/>
  <c r="O62" i="4" s="1"/>
  <c r="CJ65" i="2"/>
  <c r="H62" i="4" s="1"/>
  <c r="Q62" i="4" s="1"/>
  <c r="CJ98" i="2"/>
  <c r="H95" i="4" s="1"/>
  <c r="Q95" i="4" s="1"/>
  <c r="CH76" i="2"/>
  <c r="F73" i="4" s="1"/>
  <c r="O73" i="4" s="1"/>
  <c r="CH87" i="2"/>
  <c r="F84" i="4" s="1"/>
  <c r="O84" i="4" s="1"/>
  <c r="CH109" i="2"/>
  <c r="F106" i="4" s="1"/>
  <c r="O106" i="4" s="1"/>
  <c r="CJ87" i="2"/>
  <c r="H84" i="4" s="1"/>
  <c r="Q84" i="4" s="1"/>
  <c r="D83" i="74"/>
  <c r="AB32" i="75"/>
  <c r="AC32" i="75" s="1"/>
  <c r="D98" i="74"/>
  <c r="AB47" i="75"/>
  <c r="AC47" i="75" s="1"/>
  <c r="D82" i="74"/>
  <c r="AB31" i="75"/>
  <c r="AC31" i="75" s="1"/>
  <c r="CB17" i="46"/>
  <c r="CB16" i="46"/>
  <c r="CB12" i="46"/>
  <c r="CB14" i="46"/>
  <c r="CB9" i="46"/>
  <c r="CB10" i="46"/>
  <c r="CB18" i="46"/>
  <c r="CB13" i="46"/>
  <c r="CB7" i="46"/>
  <c r="CB8" i="46"/>
  <c r="CB6" i="46"/>
  <c r="CB11" i="46"/>
  <c r="CB15" i="46"/>
  <c r="L156" i="38"/>
  <c r="L139" i="38"/>
  <c r="L122" i="38"/>
  <c r="AB139" i="38"/>
  <c r="AB156" i="38"/>
  <c r="AB122" i="38"/>
  <c r="R139" i="38"/>
  <c r="R156" i="38"/>
  <c r="R122" i="38"/>
  <c r="G122" i="53"/>
  <c r="G139" i="53"/>
  <c r="G156" i="53"/>
  <c r="Q139" i="53"/>
  <c r="Q156" i="53"/>
  <c r="Q122" i="53"/>
  <c r="S139" i="38"/>
  <c r="S156" i="38"/>
  <c r="S122" i="38"/>
  <c r="AF139" i="38"/>
  <c r="AF156" i="38"/>
  <c r="AF122" i="38"/>
  <c r="W156" i="38"/>
  <c r="W122" i="38"/>
  <c r="W139" i="38"/>
  <c r="X156" i="53"/>
  <c r="X122" i="53"/>
  <c r="X139" i="53"/>
  <c r="V156" i="53"/>
  <c r="V122" i="53"/>
  <c r="V139" i="53"/>
  <c r="E139" i="53"/>
  <c r="E156" i="53"/>
  <c r="E122" i="53"/>
  <c r="X139" i="38"/>
  <c r="X156" i="38"/>
  <c r="X122" i="38"/>
  <c r="O156" i="38"/>
  <c r="O122" i="38"/>
  <c r="O139" i="38"/>
  <c r="F139" i="38"/>
  <c r="F156" i="38"/>
  <c r="F122" i="38"/>
  <c r="Z139" i="53"/>
  <c r="Z156" i="53"/>
  <c r="Z122" i="53"/>
  <c r="L156" i="53"/>
  <c r="L122" i="53"/>
  <c r="L139" i="53"/>
  <c r="AE139" i="38"/>
  <c r="AE122" i="38"/>
  <c r="AE156" i="38"/>
  <c r="E122" i="38"/>
  <c r="E139" i="38"/>
  <c r="E156" i="38"/>
  <c r="V122" i="38"/>
  <c r="V139" i="38"/>
  <c r="V156" i="38"/>
  <c r="AF122" i="53"/>
  <c r="AF139" i="53"/>
  <c r="AF156" i="53"/>
  <c r="W156" i="53"/>
  <c r="W122" i="53"/>
  <c r="W139" i="53"/>
  <c r="M156" i="38"/>
  <c r="M122" i="38"/>
  <c r="M139" i="38"/>
  <c r="I122" i="38"/>
  <c r="I156" i="38"/>
  <c r="I139" i="38"/>
  <c r="AG122" i="38"/>
  <c r="AG139" i="38"/>
  <c r="AG156" i="38"/>
  <c r="T122" i="53"/>
  <c r="T139" i="53"/>
  <c r="T156" i="53"/>
  <c r="J156" i="53"/>
  <c r="J122" i="53"/>
  <c r="J139" i="53"/>
  <c r="D139" i="38"/>
  <c r="D156" i="38"/>
  <c r="D122" i="38"/>
  <c r="Z156" i="38"/>
  <c r="Z139" i="38"/>
  <c r="Z122" i="38"/>
  <c r="C122" i="38"/>
  <c r="C139" i="38"/>
  <c r="C156" i="38"/>
  <c r="Y156" i="53"/>
  <c r="Y122" i="53"/>
  <c r="Y139" i="53"/>
  <c r="H122" i="53"/>
  <c r="H139" i="53"/>
  <c r="H156" i="53"/>
  <c r="AD139" i="53"/>
  <c r="AD156" i="53"/>
  <c r="AD122" i="53"/>
  <c r="AB139" i="53"/>
  <c r="AB156" i="53"/>
  <c r="AB122" i="53"/>
  <c r="P139" i="53"/>
  <c r="P156" i="53"/>
  <c r="P122" i="53"/>
  <c r="Y122" i="38"/>
  <c r="Y156" i="38"/>
  <c r="Y139" i="38"/>
  <c r="U122" i="38"/>
  <c r="U156" i="38"/>
  <c r="U139" i="38"/>
  <c r="F139" i="53"/>
  <c r="F156" i="53"/>
  <c r="F122" i="53"/>
  <c r="D139" i="53"/>
  <c r="D156" i="53"/>
  <c r="D122" i="53"/>
  <c r="K156" i="38"/>
  <c r="K122" i="38"/>
  <c r="K139" i="38"/>
  <c r="AA156" i="38"/>
  <c r="AA122" i="38"/>
  <c r="AA139" i="38"/>
  <c r="AG156" i="53"/>
  <c r="AG122" i="53"/>
  <c r="AG139" i="53"/>
  <c r="H139" i="38"/>
  <c r="H156" i="38"/>
  <c r="H122" i="38"/>
  <c r="Q122" i="38"/>
  <c r="Q139" i="38"/>
  <c r="Q156" i="38"/>
  <c r="M156" i="53"/>
  <c r="M122" i="53"/>
  <c r="M139" i="53"/>
  <c r="K156" i="53"/>
  <c r="K122" i="53"/>
  <c r="K139" i="53"/>
  <c r="R139" i="53"/>
  <c r="R156" i="53"/>
  <c r="R122" i="53"/>
  <c r="P139" i="38"/>
  <c r="P156" i="38"/>
  <c r="P122" i="38"/>
  <c r="AD139" i="38"/>
  <c r="AD156" i="38"/>
  <c r="AD122" i="38"/>
  <c r="C156" i="53"/>
  <c r="C122" i="53"/>
  <c r="C127" i="53" s="1"/>
  <c r="C129" i="53" s="1"/>
  <c r="C169" i="53" s="1"/>
  <c r="C139" i="53"/>
  <c r="U156" i="53"/>
  <c r="U122" i="53"/>
  <c r="U139" i="53"/>
  <c r="T139" i="38"/>
  <c r="T156" i="38"/>
  <c r="T122" i="38"/>
  <c r="AC122" i="38"/>
  <c r="AC139" i="38"/>
  <c r="AC156" i="38"/>
  <c r="AA139" i="53"/>
  <c r="AA156" i="53"/>
  <c r="AA122" i="53"/>
  <c r="I156" i="53"/>
  <c r="I122" i="53"/>
  <c r="I139" i="53"/>
  <c r="AE122" i="53"/>
  <c r="AE139" i="53"/>
  <c r="AE156" i="53"/>
  <c r="G139" i="38"/>
  <c r="G156" i="38"/>
  <c r="G122" i="38"/>
  <c r="N139" i="38"/>
  <c r="N156" i="38"/>
  <c r="N122" i="38"/>
  <c r="J122" i="38"/>
  <c r="J139" i="38"/>
  <c r="J156" i="38"/>
  <c r="O139" i="53"/>
  <c r="O156" i="53"/>
  <c r="O122" i="53"/>
  <c r="N139" i="53"/>
  <c r="N156" i="53"/>
  <c r="N122" i="53"/>
  <c r="S122" i="53"/>
  <c r="S139" i="53"/>
  <c r="S156" i="53"/>
  <c r="AC139" i="53"/>
  <c r="AC156" i="53"/>
  <c r="AC122" i="53"/>
  <c r="CM153" i="2"/>
  <c r="BM153" i="2"/>
  <c r="CM142" i="2"/>
  <c r="BM142" i="2"/>
  <c r="K151" i="3" s="1"/>
  <c r="W151" i="3" s="1"/>
  <c r="CM76" i="2"/>
  <c r="BM76" i="2"/>
  <c r="K79" i="3" s="1"/>
  <c r="W79" i="3" s="1"/>
  <c r="CM54" i="2"/>
  <c r="BM54" i="2"/>
  <c r="K55" i="3" s="1"/>
  <c r="W55" i="3" s="1"/>
  <c r="CK43" i="2"/>
  <c r="BK43" i="2"/>
  <c r="I43" i="3" s="1"/>
  <c r="U43" i="3" s="1"/>
  <c r="CK142" i="2"/>
  <c r="BK142" i="2"/>
  <c r="I151" i="3" s="1"/>
  <c r="U151" i="3" s="1"/>
  <c r="CM43" i="2"/>
  <c r="BM43" i="2"/>
  <c r="K43" i="3" s="1"/>
  <c r="W43" i="3" s="1"/>
  <c r="Q129" i="4"/>
  <c r="H128" i="4"/>
  <c r="Q128" i="4" s="1"/>
  <c r="O129" i="4"/>
  <c r="F128" i="4"/>
  <c r="O128" i="4" s="1"/>
  <c r="CM120" i="2"/>
  <c r="CJ120" i="2" s="1"/>
  <c r="BM120" i="2"/>
  <c r="K127" i="3" s="1"/>
  <c r="W127" i="3" s="1"/>
  <c r="CK153" i="2"/>
  <c r="BK153" i="2"/>
  <c r="CK54" i="2"/>
  <c r="BK54" i="2"/>
  <c r="I55" i="3" s="1"/>
  <c r="U55" i="3" s="1"/>
  <c r="J71" i="53"/>
  <c r="J76" i="53" s="1"/>
  <c r="J105" i="53"/>
  <c r="J88" i="53"/>
  <c r="J93" i="53" s="1"/>
  <c r="I71" i="53"/>
  <c r="I76" i="53" s="1"/>
  <c r="I105" i="53"/>
  <c r="I88" i="53"/>
  <c r="I93" i="53" s="1"/>
  <c r="H88" i="53"/>
  <c r="H93" i="53" s="1"/>
  <c r="H105" i="53"/>
  <c r="H71" i="53"/>
  <c r="H76" i="53" s="1"/>
  <c r="G105" i="53"/>
  <c r="G88" i="53"/>
  <c r="G93" i="53" s="1"/>
  <c r="G71" i="53"/>
  <c r="G76" i="53" s="1"/>
  <c r="F88" i="53"/>
  <c r="F93" i="53" s="1"/>
  <c r="F105" i="53"/>
  <c r="F71" i="53"/>
  <c r="F76" i="53" s="1"/>
  <c r="E88" i="53"/>
  <c r="E93" i="53" s="1"/>
  <c r="E105" i="53"/>
  <c r="E71" i="53"/>
  <c r="E76" i="53" s="1"/>
  <c r="D88" i="53"/>
  <c r="D93" i="53" s="1"/>
  <c r="D105" i="53"/>
  <c r="D71" i="53"/>
  <c r="D76" i="53" s="1"/>
  <c r="C88" i="53"/>
  <c r="C93" i="53" s="1"/>
  <c r="C95" i="53" s="1"/>
  <c r="C166" i="53" s="1"/>
  <c r="C105" i="53"/>
  <c r="C110" i="53" s="1"/>
  <c r="C112" i="53" s="1"/>
  <c r="C167" i="53" s="1"/>
  <c r="C71" i="53"/>
  <c r="C76" i="53" s="1"/>
  <c r="C78" i="53" s="1"/>
  <c r="C165" i="53" s="1"/>
  <c r="AG105" i="53"/>
  <c r="AG88" i="53"/>
  <c r="AG93" i="53" s="1"/>
  <c r="AG71" i="53"/>
  <c r="AG76" i="53" s="1"/>
  <c r="AF105" i="53"/>
  <c r="AF88" i="53"/>
  <c r="AF93" i="53" s="1"/>
  <c r="AF71" i="53"/>
  <c r="AF76" i="53" s="1"/>
  <c r="AE105" i="53"/>
  <c r="AE88" i="53"/>
  <c r="AE93" i="53" s="1"/>
  <c r="AE71" i="53"/>
  <c r="AE76" i="53" s="1"/>
  <c r="AD105" i="53"/>
  <c r="AD88" i="53"/>
  <c r="AD93" i="53" s="1"/>
  <c r="AD71" i="53"/>
  <c r="AD76" i="53" s="1"/>
  <c r="AC88" i="53"/>
  <c r="AC93" i="53" s="1"/>
  <c r="AC105" i="53"/>
  <c r="AC71" i="53"/>
  <c r="AC76" i="53" s="1"/>
  <c r="AB105" i="53"/>
  <c r="AB88" i="53"/>
  <c r="AB93" i="53" s="1"/>
  <c r="AB71" i="53"/>
  <c r="AB76" i="53" s="1"/>
  <c r="AA105" i="53"/>
  <c r="AA88" i="53"/>
  <c r="AA93" i="53" s="1"/>
  <c r="AA71" i="53"/>
  <c r="AA76" i="53" s="1"/>
  <c r="Z105" i="53"/>
  <c r="Z88" i="53"/>
  <c r="Z93" i="53" s="1"/>
  <c r="Z71" i="53"/>
  <c r="Z76" i="53" s="1"/>
  <c r="Y105" i="53"/>
  <c r="Y71" i="53"/>
  <c r="Y76" i="53" s="1"/>
  <c r="Y88" i="53"/>
  <c r="Y93" i="53" s="1"/>
  <c r="X88" i="53"/>
  <c r="X93" i="53" s="1"/>
  <c r="X105" i="53"/>
  <c r="X71" i="53"/>
  <c r="X76" i="53" s="1"/>
  <c r="W105" i="53"/>
  <c r="W88" i="53"/>
  <c r="W93" i="53" s="1"/>
  <c r="W71" i="53"/>
  <c r="W76" i="53" s="1"/>
  <c r="V88" i="53"/>
  <c r="V93" i="53" s="1"/>
  <c r="V105" i="53"/>
  <c r="V71" i="53"/>
  <c r="V76" i="53" s="1"/>
  <c r="U88" i="53"/>
  <c r="U93" i="53" s="1"/>
  <c r="U105" i="53"/>
  <c r="U71" i="53"/>
  <c r="U76" i="53" s="1"/>
  <c r="T105" i="53"/>
  <c r="T88" i="53"/>
  <c r="T93" i="53" s="1"/>
  <c r="T71" i="53"/>
  <c r="T76" i="53" s="1"/>
  <c r="S105" i="53"/>
  <c r="S88" i="53"/>
  <c r="S93" i="53" s="1"/>
  <c r="S71" i="53"/>
  <c r="S76" i="53" s="1"/>
  <c r="R105" i="53"/>
  <c r="R71" i="53"/>
  <c r="R76" i="53" s="1"/>
  <c r="R88" i="53"/>
  <c r="R93" i="53" s="1"/>
  <c r="Q88" i="53"/>
  <c r="Q93" i="53" s="1"/>
  <c r="Q71" i="53"/>
  <c r="Q76" i="53" s="1"/>
  <c r="Q105" i="53"/>
  <c r="P105" i="53"/>
  <c r="P71" i="53"/>
  <c r="P76" i="53" s="1"/>
  <c r="P88" i="53"/>
  <c r="P93" i="53" s="1"/>
  <c r="O88" i="53"/>
  <c r="O93" i="53" s="1"/>
  <c r="O105" i="53"/>
  <c r="O71" i="53"/>
  <c r="O76" i="53" s="1"/>
  <c r="N105" i="53"/>
  <c r="N71" i="53"/>
  <c r="N76" i="53" s="1"/>
  <c r="N88" i="53"/>
  <c r="N93" i="53" s="1"/>
  <c r="M105" i="53"/>
  <c r="M71" i="53"/>
  <c r="M76" i="53" s="1"/>
  <c r="M88" i="53"/>
  <c r="M93" i="53" s="1"/>
  <c r="L88" i="53"/>
  <c r="L93" i="53" s="1"/>
  <c r="L71" i="53"/>
  <c r="L76" i="53" s="1"/>
  <c r="L105" i="53"/>
  <c r="K105" i="53"/>
  <c r="K71" i="53"/>
  <c r="K76" i="53" s="1"/>
  <c r="K88" i="53"/>
  <c r="K93" i="53" s="1"/>
  <c r="K19" i="3"/>
  <c r="CM32" i="2"/>
  <c r="CJ32" i="2" s="1"/>
  <c r="BM32" i="2"/>
  <c r="BI21" i="2"/>
  <c r="G19" i="3" s="1"/>
  <c r="F19" i="3"/>
  <c r="CK32" i="2"/>
  <c r="BK32" i="2"/>
  <c r="I31" i="3" s="1"/>
  <c r="BJ21" i="2"/>
  <c r="H19" i="3" s="1"/>
  <c r="BL21" i="2"/>
  <c r="CL21" i="2"/>
  <c r="CI21" i="2" s="1"/>
  <c r="V82" i="52"/>
  <c r="V94" i="52" s="1"/>
  <c r="W82" i="52"/>
  <c r="W94" i="52" s="1"/>
  <c r="N82" i="52"/>
  <c r="N94" i="52" s="1"/>
  <c r="O82" i="52"/>
  <c r="O94" i="52" s="1"/>
  <c r="P82" i="52"/>
  <c r="P94" i="52" s="1"/>
  <c r="Q82" i="52"/>
  <c r="Q94" i="52" s="1"/>
  <c r="R82" i="52"/>
  <c r="R94" i="52" s="1"/>
  <c r="S82" i="52"/>
  <c r="S94" i="52" s="1"/>
  <c r="T82" i="52"/>
  <c r="T94" i="52" s="1"/>
  <c r="U82" i="52"/>
  <c r="U94" i="52" s="1"/>
  <c r="U82" i="51"/>
  <c r="U94" i="51" s="1"/>
  <c r="V82" i="51"/>
  <c r="V94" i="51" s="1"/>
  <c r="W82" i="51"/>
  <c r="W94" i="51" s="1"/>
  <c r="N82" i="51"/>
  <c r="N94" i="51" s="1"/>
  <c r="O82" i="51"/>
  <c r="O94" i="51" s="1"/>
  <c r="P82" i="51"/>
  <c r="P94" i="51" s="1"/>
  <c r="Q82" i="51"/>
  <c r="Q94" i="51" s="1"/>
  <c r="R82" i="51"/>
  <c r="R94" i="51" s="1"/>
  <c r="S82" i="51"/>
  <c r="S94" i="51" s="1"/>
  <c r="T82" i="51"/>
  <c r="T94" i="51" s="1"/>
  <c r="Q82" i="53"/>
  <c r="Q94" i="53" s="1"/>
  <c r="R82" i="53"/>
  <c r="R94" i="53" s="1"/>
  <c r="S82" i="53"/>
  <c r="S94" i="53" s="1"/>
  <c r="T82" i="53"/>
  <c r="T94" i="53" s="1"/>
  <c r="U82" i="53"/>
  <c r="U94" i="53" s="1"/>
  <c r="V82" i="53"/>
  <c r="V94" i="53" s="1"/>
  <c r="W82" i="53"/>
  <c r="W94" i="53" s="1"/>
  <c r="N82" i="53"/>
  <c r="N94" i="53" s="1"/>
  <c r="O82" i="53"/>
  <c r="O94" i="53" s="1"/>
  <c r="P82" i="53"/>
  <c r="P94" i="53" s="1"/>
  <c r="Q82" i="58"/>
  <c r="Q94" i="58" s="1"/>
  <c r="R82" i="58"/>
  <c r="R94" i="58" s="1"/>
  <c r="S82" i="58"/>
  <c r="S94" i="58" s="1"/>
  <c r="T82" i="58"/>
  <c r="T94" i="58" s="1"/>
  <c r="U82" i="58"/>
  <c r="U94" i="58" s="1"/>
  <c r="V82" i="58"/>
  <c r="V94" i="58" s="1"/>
  <c r="W82" i="58"/>
  <c r="W94" i="58" s="1"/>
  <c r="N82" i="58"/>
  <c r="N94" i="58" s="1"/>
  <c r="O82" i="58"/>
  <c r="O94" i="58" s="1"/>
  <c r="P82" i="58"/>
  <c r="P94" i="58" s="1"/>
  <c r="W82" i="57"/>
  <c r="W94" i="57" s="1"/>
  <c r="N82" i="57"/>
  <c r="N94" i="57" s="1"/>
  <c r="O82" i="57"/>
  <c r="O94" i="57" s="1"/>
  <c r="P82" i="57"/>
  <c r="P94" i="57" s="1"/>
  <c r="Q82" i="57"/>
  <c r="Q94" i="57" s="1"/>
  <c r="R82" i="57"/>
  <c r="R94" i="57" s="1"/>
  <c r="S82" i="57"/>
  <c r="S94" i="57" s="1"/>
  <c r="T82" i="57"/>
  <c r="T94" i="57" s="1"/>
  <c r="U82" i="57"/>
  <c r="U94" i="57" s="1"/>
  <c r="V82" i="57"/>
  <c r="V94" i="57" s="1"/>
  <c r="AC82" i="53"/>
  <c r="AC94" i="53" s="1"/>
  <c r="AD82" i="53"/>
  <c r="AD94" i="53" s="1"/>
  <c r="AE82" i="53"/>
  <c r="AE94" i="53" s="1"/>
  <c r="AF82" i="53"/>
  <c r="AF94" i="53" s="1"/>
  <c r="AG82" i="53"/>
  <c r="AG94" i="53" s="1"/>
  <c r="X82" i="53"/>
  <c r="X94" i="53" s="1"/>
  <c r="Y82" i="53"/>
  <c r="Y94" i="53" s="1"/>
  <c r="Z82" i="53"/>
  <c r="Z94" i="53" s="1"/>
  <c r="AA82" i="53"/>
  <c r="AA94" i="53" s="1"/>
  <c r="AB82" i="53"/>
  <c r="AB94" i="53" s="1"/>
  <c r="AB82" i="55"/>
  <c r="AB94" i="55" s="1"/>
  <c r="AC82" i="55"/>
  <c r="AC94" i="55" s="1"/>
  <c r="AD82" i="55"/>
  <c r="AD94" i="55" s="1"/>
  <c r="AE82" i="55"/>
  <c r="AE94" i="55" s="1"/>
  <c r="AF82" i="55"/>
  <c r="AF94" i="55" s="1"/>
  <c r="AG82" i="55"/>
  <c r="AG94" i="55" s="1"/>
  <c r="X82" i="55"/>
  <c r="X94" i="55" s="1"/>
  <c r="Y82" i="55"/>
  <c r="Y94" i="55" s="1"/>
  <c r="Z82" i="55"/>
  <c r="Z94" i="55" s="1"/>
  <c r="AA82" i="55"/>
  <c r="AA94" i="55" s="1"/>
  <c r="Y82" i="58"/>
  <c r="Y94" i="58" s="1"/>
  <c r="Z82" i="58"/>
  <c r="Z94" i="58" s="1"/>
  <c r="AA82" i="58"/>
  <c r="AA94" i="58" s="1"/>
  <c r="AB82" i="58"/>
  <c r="AB94" i="58" s="1"/>
  <c r="AC82" i="58"/>
  <c r="AC94" i="58" s="1"/>
  <c r="AD82" i="58"/>
  <c r="AD94" i="58" s="1"/>
  <c r="AE82" i="58"/>
  <c r="AE94" i="58" s="1"/>
  <c r="AF82" i="58"/>
  <c r="AF94" i="58" s="1"/>
  <c r="AG82" i="58"/>
  <c r="AG94" i="58" s="1"/>
  <c r="X82" i="58"/>
  <c r="X94" i="58" s="1"/>
  <c r="AC82" i="51"/>
  <c r="AC94" i="51" s="1"/>
  <c r="AD82" i="51"/>
  <c r="AD94" i="51" s="1"/>
  <c r="AE82" i="51"/>
  <c r="AE94" i="51" s="1"/>
  <c r="AF82" i="51"/>
  <c r="AF94" i="51" s="1"/>
  <c r="AG82" i="51"/>
  <c r="AG94" i="51" s="1"/>
  <c r="X82" i="51"/>
  <c r="X94" i="51" s="1"/>
  <c r="Y82" i="51"/>
  <c r="Y94" i="51" s="1"/>
  <c r="Z82" i="51"/>
  <c r="Z94" i="51" s="1"/>
  <c r="AA82" i="51"/>
  <c r="AA94" i="51" s="1"/>
  <c r="AB82" i="51"/>
  <c r="AB94" i="51" s="1"/>
  <c r="T82" i="55"/>
  <c r="T94" i="55" s="1"/>
  <c r="U82" i="55"/>
  <c r="U94" i="55" s="1"/>
  <c r="V82" i="55"/>
  <c r="V94" i="55" s="1"/>
  <c r="W82" i="55"/>
  <c r="W94" i="55" s="1"/>
  <c r="N82" i="55"/>
  <c r="N94" i="55" s="1"/>
  <c r="O82" i="55"/>
  <c r="O94" i="55" s="1"/>
  <c r="P82" i="55"/>
  <c r="P94" i="55" s="1"/>
  <c r="Q82" i="55"/>
  <c r="Q94" i="55" s="1"/>
  <c r="R82" i="55"/>
  <c r="R94" i="55" s="1"/>
  <c r="S82" i="55"/>
  <c r="S94" i="55" s="1"/>
  <c r="AE82" i="57"/>
  <c r="AE94" i="57" s="1"/>
  <c r="AF82" i="57"/>
  <c r="AF94" i="57" s="1"/>
  <c r="AG82" i="57"/>
  <c r="AG94" i="57" s="1"/>
  <c r="X82" i="57"/>
  <c r="X94" i="57" s="1"/>
  <c r="Y82" i="57"/>
  <c r="Y94" i="57" s="1"/>
  <c r="Z82" i="57"/>
  <c r="Z94" i="57" s="1"/>
  <c r="AA82" i="57"/>
  <c r="AA94" i="57" s="1"/>
  <c r="AB82" i="57"/>
  <c r="AB94" i="57" s="1"/>
  <c r="AC82" i="57"/>
  <c r="AC94" i="57" s="1"/>
  <c r="AD82" i="57"/>
  <c r="AD94" i="57" s="1"/>
  <c r="X82" i="52"/>
  <c r="X94" i="52" s="1"/>
  <c r="Y82" i="52"/>
  <c r="Y94" i="52" s="1"/>
  <c r="Z82" i="52"/>
  <c r="Z94" i="52" s="1"/>
  <c r="AA82" i="52"/>
  <c r="AA94" i="52" s="1"/>
  <c r="AB82" i="52"/>
  <c r="AB94" i="52" s="1"/>
  <c r="AC82" i="52"/>
  <c r="AC94" i="52" s="1"/>
  <c r="AD82" i="52"/>
  <c r="AD94" i="52" s="1"/>
  <c r="AE82" i="52"/>
  <c r="AE94" i="52" s="1"/>
  <c r="AF82" i="52"/>
  <c r="AF94" i="52" s="1"/>
  <c r="AG82" i="52"/>
  <c r="AG94" i="52" s="1"/>
  <c r="C185" i="51"/>
  <c r="C176" i="51"/>
  <c r="D156" i="45"/>
  <c r="D55" i="63" s="1"/>
  <c r="D69" i="63" s="1"/>
  <c r="D76" i="63" s="1"/>
  <c r="D157" i="45"/>
  <c r="D155" i="45"/>
  <c r="D55" i="62" s="1"/>
  <c r="D69" i="62" s="1"/>
  <c r="D76" i="62" s="1"/>
  <c r="D154" i="45"/>
  <c r="D40" i="45"/>
  <c r="D39" i="45"/>
  <c r="D38" i="45"/>
  <c r="D37" i="45"/>
  <c r="E37" i="45" s="1"/>
  <c r="F37" i="45" s="1"/>
  <c r="G37" i="45" s="1"/>
  <c r="H37" i="45" s="1"/>
  <c r="D29" i="45"/>
  <c r="D28" i="45"/>
  <c r="D27" i="45"/>
  <c r="D23" i="45"/>
  <c r="D21" i="45"/>
  <c r="D20" i="45"/>
  <c r="D19" i="45"/>
  <c r="D14" i="45"/>
  <c r="D12" i="45"/>
  <c r="D4" i="45"/>
  <c r="CJ43" i="2" l="1"/>
  <c r="H40" i="4" s="1"/>
  <c r="Q40" i="4" s="1"/>
  <c r="CJ153" i="2"/>
  <c r="H150" i="4" s="1"/>
  <c r="Q150" i="4" s="1"/>
  <c r="CJ142" i="2"/>
  <c r="H139" i="4" s="1"/>
  <c r="Q139" i="4" s="1"/>
  <c r="CH32" i="2"/>
  <c r="F29" i="4" s="1"/>
  <c r="CH54" i="2"/>
  <c r="F51" i="4" s="1"/>
  <c r="O51" i="4" s="1"/>
  <c r="CH142" i="2"/>
  <c r="F139" i="4" s="1"/>
  <c r="O139" i="4" s="1"/>
  <c r="CH153" i="2"/>
  <c r="F150" i="4" s="1"/>
  <c r="O150" i="4" s="1"/>
  <c r="CH43" i="2"/>
  <c r="F40" i="4" s="1"/>
  <c r="O40" i="4" s="1"/>
  <c r="CJ54" i="2"/>
  <c r="H51" i="4" s="1"/>
  <c r="Q51" i="4" s="1"/>
  <c r="CJ76" i="2"/>
  <c r="H73" i="4" s="1"/>
  <c r="Q73" i="4" s="1"/>
  <c r="D89" i="74"/>
  <c r="AB38" i="75"/>
  <c r="D91" i="74"/>
  <c r="AB40" i="75"/>
  <c r="D90" i="74"/>
  <c r="AB39" i="75"/>
  <c r="D93" i="74"/>
  <c r="AB42" i="75"/>
  <c r="D43" i="62"/>
  <c r="D85" i="62" s="1"/>
  <c r="D92" i="62" s="1"/>
  <c r="D95" i="62" s="1"/>
  <c r="D166" i="62" s="1"/>
  <c r="D43" i="67"/>
  <c r="D85" i="67" s="1"/>
  <c r="D92" i="67" s="1"/>
  <c r="D95" i="67" s="1"/>
  <c r="D166" i="67" s="1"/>
  <c r="D43" i="66"/>
  <c r="D85" i="66" s="1"/>
  <c r="D92" i="66" s="1"/>
  <c r="D95" i="66" s="1"/>
  <c r="D166" i="66" s="1"/>
  <c r="D43" i="65"/>
  <c r="D85" i="65" s="1"/>
  <c r="D92" i="65" s="1"/>
  <c r="D95" i="65" s="1"/>
  <c r="D166" i="65" s="1"/>
  <c r="D43" i="64"/>
  <c r="D85" i="64" s="1"/>
  <c r="D92" i="64" s="1"/>
  <c r="D95" i="64" s="1"/>
  <c r="D166" i="64" s="1"/>
  <c r="D43" i="63"/>
  <c r="D85" i="63" s="1"/>
  <c r="D92" i="63" s="1"/>
  <c r="D95" i="63" s="1"/>
  <c r="D166" i="63" s="1"/>
  <c r="D44" i="62"/>
  <c r="D102" i="62" s="1"/>
  <c r="D109" i="62" s="1"/>
  <c r="D44" i="66"/>
  <c r="D102" i="66" s="1"/>
  <c r="D109" i="66" s="1"/>
  <c r="D44" i="65"/>
  <c r="D102" i="65" s="1"/>
  <c r="D109" i="65" s="1"/>
  <c r="D44" i="67"/>
  <c r="D102" i="67" s="1"/>
  <c r="D109" i="67" s="1"/>
  <c r="D44" i="63"/>
  <c r="D102" i="63" s="1"/>
  <c r="D109" i="63" s="1"/>
  <c r="D44" i="64"/>
  <c r="D102" i="64" s="1"/>
  <c r="D109" i="64" s="1"/>
  <c r="D42" i="62"/>
  <c r="D68" i="62" s="1"/>
  <c r="D75" i="62" s="1"/>
  <c r="D78" i="62" s="1"/>
  <c r="D165" i="62" s="1"/>
  <c r="D174" i="62" s="1"/>
  <c r="D180" i="62" s="1"/>
  <c r="D42" i="66"/>
  <c r="D68" i="66" s="1"/>
  <c r="D75" i="66" s="1"/>
  <c r="D78" i="66" s="1"/>
  <c r="D165" i="66" s="1"/>
  <c r="D42" i="65"/>
  <c r="D68" i="65" s="1"/>
  <c r="D75" i="65" s="1"/>
  <c r="D78" i="65" s="1"/>
  <c r="D165" i="65" s="1"/>
  <c r="D42" i="67"/>
  <c r="D68" i="67" s="1"/>
  <c r="D75" i="67" s="1"/>
  <c r="D78" i="67" s="1"/>
  <c r="D165" i="67" s="1"/>
  <c r="D42" i="63"/>
  <c r="D68" i="63" s="1"/>
  <c r="D75" i="63" s="1"/>
  <c r="D78" i="63" s="1"/>
  <c r="D165" i="63" s="1"/>
  <c r="D42" i="64"/>
  <c r="D68" i="64" s="1"/>
  <c r="D75" i="64" s="1"/>
  <c r="D46" i="62"/>
  <c r="D46" i="66"/>
  <c r="D46" i="67"/>
  <c r="D46" i="65"/>
  <c r="D46" i="64"/>
  <c r="D46" i="63"/>
  <c r="D49" i="52"/>
  <c r="D49" i="65"/>
  <c r="D49" i="66"/>
  <c r="D49" i="51"/>
  <c r="D49" i="58"/>
  <c r="D49" i="55"/>
  <c r="D49" i="67"/>
  <c r="D49" i="53"/>
  <c r="D49" i="57"/>
  <c r="D52" i="67"/>
  <c r="D52" i="65"/>
  <c r="D52" i="66"/>
  <c r="D52" i="64"/>
  <c r="D52" i="63"/>
  <c r="D53" i="66"/>
  <c r="D53" i="67"/>
  <c r="D53" i="65"/>
  <c r="D53" i="63"/>
  <c r="D53" i="64"/>
  <c r="D45" i="62"/>
  <c r="D45" i="67"/>
  <c r="D45" i="65"/>
  <c r="D45" i="66"/>
  <c r="D45" i="64"/>
  <c r="D45" i="63"/>
  <c r="D51" i="62"/>
  <c r="D136" i="62" s="1"/>
  <c r="D143" i="62" s="1"/>
  <c r="D51" i="66"/>
  <c r="D136" i="66" s="1"/>
  <c r="D143" i="66" s="1"/>
  <c r="D51" i="65"/>
  <c r="D136" i="65" s="1"/>
  <c r="D143" i="65" s="1"/>
  <c r="D51" i="67"/>
  <c r="D136" i="67" s="1"/>
  <c r="D143" i="67" s="1"/>
  <c r="D51" i="63"/>
  <c r="D136" i="63" s="1"/>
  <c r="D143" i="63" s="1"/>
  <c r="D51" i="64"/>
  <c r="D136" i="64" s="1"/>
  <c r="D143" i="64" s="1"/>
  <c r="D49" i="62"/>
  <c r="D49" i="64"/>
  <c r="D49" i="63"/>
  <c r="E157" i="45"/>
  <c r="D55" i="64"/>
  <c r="D69" i="64" s="1"/>
  <c r="D76" i="64" s="1"/>
  <c r="I163" i="3"/>
  <c r="U163" i="3" s="1"/>
  <c r="K163" i="3"/>
  <c r="W163" i="3" s="1"/>
  <c r="C175" i="53"/>
  <c r="C184" i="53"/>
  <c r="C185" i="53"/>
  <c r="C176" i="53"/>
  <c r="C183" i="53"/>
  <c r="C189" i="53" s="1"/>
  <c r="C174" i="53"/>
  <c r="C180" i="53" s="1"/>
  <c r="C171" i="53"/>
  <c r="F18" i="4"/>
  <c r="K31" i="3"/>
  <c r="G18" i="4"/>
  <c r="J19" i="3"/>
  <c r="H29" i="4"/>
  <c r="D52" i="61"/>
  <c r="D62" i="45"/>
  <c r="D63" i="45"/>
  <c r="D64" i="45"/>
  <c r="D61" i="45"/>
  <c r="D65" i="45"/>
  <c r="D66" i="45"/>
  <c r="D67" i="45"/>
  <c r="D59" i="45"/>
  <c r="D60" i="45"/>
  <c r="D51" i="45"/>
  <c r="D132" i="45" s="1"/>
  <c r="D52" i="45"/>
  <c r="D133" i="45" s="1"/>
  <c r="D53" i="45"/>
  <c r="D49" i="45"/>
  <c r="D130" i="45" s="1"/>
  <c r="D54" i="45"/>
  <c r="D48" i="45"/>
  <c r="D55" i="45"/>
  <c r="D56" i="45"/>
  <c r="D137" i="45" s="1"/>
  <c r="D50" i="45"/>
  <c r="D131" i="45" s="1"/>
  <c r="D52" i="62"/>
  <c r="D53" i="61"/>
  <c r="D73" i="45"/>
  <c r="D74" i="45"/>
  <c r="D75" i="45"/>
  <c r="D76" i="45"/>
  <c r="D77" i="45"/>
  <c r="D78" i="45"/>
  <c r="D72" i="45"/>
  <c r="D70" i="45"/>
  <c r="D71" i="45"/>
  <c r="D53" i="62"/>
  <c r="D45" i="38"/>
  <c r="D45" i="61"/>
  <c r="D46" i="61"/>
  <c r="D46" i="38"/>
  <c r="D51" i="38"/>
  <c r="D51" i="61"/>
  <c r="D136" i="61" s="1"/>
  <c r="D143" i="61" s="1"/>
  <c r="D49" i="38"/>
  <c r="D49" i="61"/>
  <c r="D44" i="38"/>
  <c r="D44" i="61"/>
  <c r="D102" i="61" s="1"/>
  <c r="D109" i="61" s="1"/>
  <c r="D42" i="61"/>
  <c r="D68" i="61" s="1"/>
  <c r="D75" i="61" s="1"/>
  <c r="D78" i="61" s="1"/>
  <c r="D165" i="61" s="1"/>
  <c r="D42" i="38"/>
  <c r="D43" i="38"/>
  <c r="D43" i="61"/>
  <c r="D85" i="61" s="1"/>
  <c r="D92" i="61" s="1"/>
  <c r="D95" i="61" s="1"/>
  <c r="D166" i="61" s="1"/>
  <c r="D45" i="58"/>
  <c r="D45" i="57"/>
  <c r="D45" i="55"/>
  <c r="D45" i="52"/>
  <c r="D45" i="51"/>
  <c r="D45" i="53"/>
  <c r="D46" i="58"/>
  <c r="D46" i="57"/>
  <c r="D46" i="55"/>
  <c r="D46" i="53"/>
  <c r="D46" i="51"/>
  <c r="D46" i="52"/>
  <c r="D53" i="58"/>
  <c r="D53" i="55"/>
  <c r="D53" i="57"/>
  <c r="D53" i="53"/>
  <c r="D53" i="52"/>
  <c r="D53" i="51"/>
  <c r="D41" i="58"/>
  <c r="D67" i="58" s="1"/>
  <c r="D41" i="55"/>
  <c r="D67" i="55" s="1"/>
  <c r="D41" i="53"/>
  <c r="D67" i="53" s="1"/>
  <c r="D41" i="57"/>
  <c r="D67" i="57" s="1"/>
  <c r="D41" i="52"/>
  <c r="D67" i="52" s="1"/>
  <c r="D41" i="51"/>
  <c r="D67" i="51" s="1"/>
  <c r="D42" i="58"/>
  <c r="D68" i="58" s="1"/>
  <c r="D42" i="57"/>
  <c r="D68" i="57" s="1"/>
  <c r="D42" i="55"/>
  <c r="D68" i="55" s="1"/>
  <c r="D42" i="53"/>
  <c r="D68" i="53" s="1"/>
  <c r="D42" i="52"/>
  <c r="D68" i="52" s="1"/>
  <c r="D42" i="51"/>
  <c r="D68" i="51" s="1"/>
  <c r="D43" i="58"/>
  <c r="D85" i="58" s="1"/>
  <c r="D92" i="58" s="1"/>
  <c r="D95" i="58" s="1"/>
  <c r="D166" i="58" s="1"/>
  <c r="D43" i="57"/>
  <c r="D85" i="57" s="1"/>
  <c r="D92" i="57" s="1"/>
  <c r="D95" i="57" s="1"/>
  <c r="D166" i="57" s="1"/>
  <c r="D43" i="53"/>
  <c r="D85" i="53" s="1"/>
  <c r="D92" i="53" s="1"/>
  <c r="D95" i="53" s="1"/>
  <c r="D166" i="53" s="1"/>
  <c r="D43" i="55"/>
  <c r="D85" i="55" s="1"/>
  <c r="D92" i="55" s="1"/>
  <c r="D95" i="55" s="1"/>
  <c r="D166" i="55" s="1"/>
  <c r="D43" i="52"/>
  <c r="D85" i="52" s="1"/>
  <c r="D92" i="52" s="1"/>
  <c r="D95" i="52" s="1"/>
  <c r="D166" i="52" s="1"/>
  <c r="D43" i="51"/>
  <c r="D85" i="51" s="1"/>
  <c r="D92" i="51" s="1"/>
  <c r="D95" i="51" s="1"/>
  <c r="D166" i="51" s="1"/>
  <c r="D51" i="58"/>
  <c r="D136" i="58" s="1"/>
  <c r="D143" i="58" s="1"/>
  <c r="D51" i="55"/>
  <c r="D136" i="55" s="1"/>
  <c r="D143" i="55" s="1"/>
  <c r="D51" i="57"/>
  <c r="D136" i="57" s="1"/>
  <c r="D143" i="57" s="1"/>
  <c r="D51" i="53"/>
  <c r="D136" i="53" s="1"/>
  <c r="D143" i="53" s="1"/>
  <c r="D51" i="52"/>
  <c r="D136" i="52" s="1"/>
  <c r="D143" i="52" s="1"/>
  <c r="D51" i="51"/>
  <c r="D136" i="51" s="1"/>
  <c r="D143" i="51" s="1"/>
  <c r="D52" i="58"/>
  <c r="D52" i="55"/>
  <c r="D52" i="57"/>
  <c r="D52" i="53"/>
  <c r="D52" i="52"/>
  <c r="D52" i="51"/>
  <c r="D44" i="58"/>
  <c r="D102" i="58" s="1"/>
  <c r="D109" i="58" s="1"/>
  <c r="D44" i="57"/>
  <c r="D102" i="57" s="1"/>
  <c r="D109" i="57" s="1"/>
  <c r="D44" i="55"/>
  <c r="D102" i="55" s="1"/>
  <c r="D109" i="55" s="1"/>
  <c r="D44" i="52"/>
  <c r="D102" i="52" s="1"/>
  <c r="D109" i="52" s="1"/>
  <c r="D44" i="53"/>
  <c r="D102" i="53" s="1"/>
  <c r="D109" i="53" s="1"/>
  <c r="D44" i="51"/>
  <c r="D102" i="51" s="1"/>
  <c r="D109" i="51" s="1"/>
  <c r="I37" i="45"/>
  <c r="J37" i="45" s="1"/>
  <c r="K37" i="45" s="1"/>
  <c r="L37" i="45" s="1"/>
  <c r="M37" i="45" s="1"/>
  <c r="N37" i="45" s="1"/>
  <c r="O37" i="45" s="1"/>
  <c r="P37" i="45" s="1"/>
  <c r="Q37" i="45" s="1"/>
  <c r="R37" i="45" s="1"/>
  <c r="S37" i="45" s="1"/>
  <c r="T37" i="45" s="1"/>
  <c r="U37" i="45" s="1"/>
  <c r="V37" i="45" s="1"/>
  <c r="W37" i="45" s="1"/>
  <c r="X37" i="45" s="1"/>
  <c r="Y37" i="45" s="1"/>
  <c r="Z37" i="45" s="1"/>
  <c r="AA37" i="45" s="1"/>
  <c r="AB37" i="45" s="1"/>
  <c r="AC37" i="45" s="1"/>
  <c r="AD37" i="45" s="1"/>
  <c r="AE37" i="45" s="1"/>
  <c r="AF37" i="45" s="1"/>
  <c r="AG37" i="45" s="1"/>
  <c r="E31" i="74" s="1"/>
  <c r="L31" i="74" s="1"/>
  <c r="E156" i="45"/>
  <c r="E55" i="63" s="1"/>
  <c r="E69" i="63" s="1"/>
  <c r="E76" i="63" s="1"/>
  <c r="E155" i="45"/>
  <c r="E55" i="62" s="1"/>
  <c r="E69" i="62" s="1"/>
  <c r="E76" i="62" s="1"/>
  <c r="E154" i="45"/>
  <c r="D55" i="38"/>
  <c r="D116" i="45"/>
  <c r="D125" i="45" s="1"/>
  <c r="D140" i="45"/>
  <c r="E38" i="45"/>
  <c r="E39" i="45"/>
  <c r="E40" i="45"/>
  <c r="E27" i="45"/>
  <c r="E28" i="45"/>
  <c r="E29" i="45"/>
  <c r="D104" i="45"/>
  <c r="D103" i="45"/>
  <c r="E6" i="45"/>
  <c r="E5" i="45"/>
  <c r="E21" i="45"/>
  <c r="E12" i="45"/>
  <c r="E14" i="45"/>
  <c r="E23" i="45"/>
  <c r="E19" i="45"/>
  <c r="D52" i="38"/>
  <c r="E4" i="45"/>
  <c r="E20" i="45"/>
  <c r="D53" i="38"/>
  <c r="AC39" i="75" l="1"/>
  <c r="AC42" i="75"/>
  <c r="AC40" i="75"/>
  <c r="D95" i="74"/>
  <c r="AB44" i="75"/>
  <c r="D48" i="64"/>
  <c r="D50" i="64" s="1"/>
  <c r="D153" i="64" s="1"/>
  <c r="D160" i="64" s="1"/>
  <c r="D48" i="66"/>
  <c r="D50" i="66" s="1"/>
  <c r="D119" i="66" s="1"/>
  <c r="D126" i="66" s="1"/>
  <c r="D48" i="65"/>
  <c r="D50" i="65" s="1"/>
  <c r="D153" i="65" s="1"/>
  <c r="D160" i="65" s="1"/>
  <c r="D48" i="62"/>
  <c r="D50" i="62" s="1"/>
  <c r="D153" i="62" s="1"/>
  <c r="D160" i="62" s="1"/>
  <c r="D48" i="51"/>
  <c r="D50" i="51" s="1"/>
  <c r="D48" i="52"/>
  <c r="D50" i="52" s="1"/>
  <c r="D48" i="55"/>
  <c r="D50" i="55" s="1"/>
  <c r="D48" i="63"/>
  <c r="D50" i="63" s="1"/>
  <c r="D78" i="64"/>
  <c r="D165" i="64" s="1"/>
  <c r="D171" i="64" s="1"/>
  <c r="D171" i="63"/>
  <c r="D183" i="63"/>
  <c r="D189" i="63" s="1"/>
  <c r="D174" i="63"/>
  <c r="D180" i="63" s="1"/>
  <c r="E49" i="65"/>
  <c r="E49" i="51"/>
  <c r="E49" i="58"/>
  <c r="E49" i="66"/>
  <c r="E49" i="67"/>
  <c r="E49" i="53"/>
  <c r="E49" i="55"/>
  <c r="E49" i="57"/>
  <c r="E49" i="52"/>
  <c r="E46" i="62"/>
  <c r="E46" i="66"/>
  <c r="E46" i="67"/>
  <c r="E46" i="65"/>
  <c r="E46" i="64"/>
  <c r="E46" i="63"/>
  <c r="D48" i="53"/>
  <c r="D50" i="53" s="1"/>
  <c r="D171" i="67"/>
  <c r="D174" i="67"/>
  <c r="D180" i="67" s="1"/>
  <c r="D183" i="67"/>
  <c r="D189" i="67" s="1"/>
  <c r="E44" i="62"/>
  <c r="E102" i="62" s="1"/>
  <c r="E109" i="62" s="1"/>
  <c r="E44" i="67"/>
  <c r="E102" i="67" s="1"/>
  <c r="E109" i="67" s="1"/>
  <c r="E44" i="66"/>
  <c r="E102" i="66" s="1"/>
  <c r="E109" i="66" s="1"/>
  <c r="E44" i="65"/>
  <c r="E102" i="65" s="1"/>
  <c r="E109" i="65" s="1"/>
  <c r="E44" i="63"/>
  <c r="E102" i="63" s="1"/>
  <c r="E109" i="63" s="1"/>
  <c r="E44" i="64"/>
  <c r="E102" i="64" s="1"/>
  <c r="E109" i="64" s="1"/>
  <c r="D48" i="57"/>
  <c r="D50" i="57" s="1"/>
  <c r="D48" i="67"/>
  <c r="D50" i="67" s="1"/>
  <c r="D153" i="67" s="1"/>
  <c r="D160" i="67" s="1"/>
  <c r="D183" i="65"/>
  <c r="D189" i="65" s="1"/>
  <c r="D171" i="65"/>
  <c r="D174" i="65"/>
  <c r="D180" i="65" s="1"/>
  <c r="E43" i="62"/>
  <c r="E85" i="62" s="1"/>
  <c r="E92" i="62" s="1"/>
  <c r="E95" i="62" s="1"/>
  <c r="E166" i="62" s="1"/>
  <c r="E43" i="67"/>
  <c r="E85" i="67" s="1"/>
  <c r="E92" i="67" s="1"/>
  <c r="E95" i="67" s="1"/>
  <c r="E166" i="67" s="1"/>
  <c r="E43" i="66"/>
  <c r="E85" i="66" s="1"/>
  <c r="E92" i="66" s="1"/>
  <c r="E95" i="66" s="1"/>
  <c r="E166" i="66" s="1"/>
  <c r="E43" i="65"/>
  <c r="E85" i="65" s="1"/>
  <c r="E92" i="65" s="1"/>
  <c r="E95" i="65" s="1"/>
  <c r="E166" i="65" s="1"/>
  <c r="E43" i="64"/>
  <c r="E85" i="64" s="1"/>
  <c r="E92" i="64" s="1"/>
  <c r="E95" i="64" s="1"/>
  <c r="E166" i="64" s="1"/>
  <c r="E43" i="63"/>
  <c r="E85" i="63" s="1"/>
  <c r="E92" i="63" s="1"/>
  <c r="E95" i="63" s="1"/>
  <c r="E166" i="63" s="1"/>
  <c r="E53" i="66"/>
  <c r="E53" i="65"/>
  <c r="E53" i="67"/>
  <c r="E53" i="63"/>
  <c r="E53" i="64"/>
  <c r="D48" i="58"/>
  <c r="D50" i="58" s="1"/>
  <c r="D174" i="66"/>
  <c r="D180" i="66" s="1"/>
  <c r="D171" i="66"/>
  <c r="D183" i="66"/>
  <c r="D189" i="66" s="1"/>
  <c r="E42" i="62"/>
  <c r="E68" i="62" s="1"/>
  <c r="E75" i="62" s="1"/>
  <c r="E78" i="62" s="1"/>
  <c r="E165" i="62" s="1"/>
  <c r="E183" i="62" s="1"/>
  <c r="E189" i="62" s="1"/>
  <c r="E42" i="66"/>
  <c r="E68" i="66" s="1"/>
  <c r="E75" i="66" s="1"/>
  <c r="E78" i="66" s="1"/>
  <c r="E165" i="66" s="1"/>
  <c r="E42" i="65"/>
  <c r="E68" i="65" s="1"/>
  <c r="E75" i="65" s="1"/>
  <c r="E78" i="65" s="1"/>
  <c r="E165" i="65" s="1"/>
  <c r="E42" i="67"/>
  <c r="E68" i="67" s="1"/>
  <c r="E75" i="67" s="1"/>
  <c r="E78" i="67" s="1"/>
  <c r="E165" i="67" s="1"/>
  <c r="E42" i="63"/>
  <c r="E68" i="63" s="1"/>
  <c r="E75" i="63" s="1"/>
  <c r="E78" i="63" s="1"/>
  <c r="E165" i="63" s="1"/>
  <c r="E42" i="64"/>
  <c r="E68" i="64" s="1"/>
  <c r="E75" i="64" s="1"/>
  <c r="E52" i="66"/>
  <c r="E52" i="67"/>
  <c r="E52" i="65"/>
  <c r="E52" i="64"/>
  <c r="E52" i="63"/>
  <c r="E45" i="62"/>
  <c r="E45" i="67"/>
  <c r="E45" i="65"/>
  <c r="E45" i="66"/>
  <c r="E45" i="64"/>
  <c r="E45" i="63"/>
  <c r="E51" i="62"/>
  <c r="E136" i="62" s="1"/>
  <c r="E143" i="62" s="1"/>
  <c r="E51" i="66"/>
  <c r="E136" i="66" s="1"/>
  <c r="E143" i="66" s="1"/>
  <c r="E51" i="65"/>
  <c r="E136" i="65" s="1"/>
  <c r="E143" i="65" s="1"/>
  <c r="E51" i="67"/>
  <c r="E136" i="67" s="1"/>
  <c r="E143" i="67" s="1"/>
  <c r="E51" i="63"/>
  <c r="E136" i="63" s="1"/>
  <c r="E143" i="63" s="1"/>
  <c r="E51" i="64"/>
  <c r="E136" i="64" s="1"/>
  <c r="E143" i="64" s="1"/>
  <c r="D145" i="45"/>
  <c r="D146" i="45"/>
  <c r="D149" i="62" s="1"/>
  <c r="D147" i="45"/>
  <c r="D149" i="53" s="1"/>
  <c r="D152" i="53" s="1"/>
  <c r="D143" i="45"/>
  <c r="D134" i="45"/>
  <c r="D132" i="53" s="1"/>
  <c r="D142" i="45"/>
  <c r="D149" i="51" s="1"/>
  <c r="D150" i="45"/>
  <c r="D129" i="45"/>
  <c r="D132" i="51" s="1"/>
  <c r="D135" i="45"/>
  <c r="D132" i="52" s="1"/>
  <c r="D149" i="45"/>
  <c r="D149" i="67" s="1"/>
  <c r="D148" i="45"/>
  <c r="D149" i="52" s="1"/>
  <c r="D152" i="52" s="1"/>
  <c r="D136" i="45"/>
  <c r="D132" i="67" s="1"/>
  <c r="D144" i="45"/>
  <c r="E49" i="62"/>
  <c r="E49" i="64"/>
  <c r="E49" i="63"/>
  <c r="F157" i="45"/>
  <c r="E55" i="64"/>
  <c r="E69" i="64" s="1"/>
  <c r="E76" i="64" s="1"/>
  <c r="D132" i="61"/>
  <c r="D135" i="61" s="1"/>
  <c r="D142" i="61" s="1"/>
  <c r="D132" i="63"/>
  <c r="D132" i="58"/>
  <c r="D135" i="58" s="1"/>
  <c r="D142" i="58" s="1"/>
  <c r="D132" i="65"/>
  <c r="D132" i="66"/>
  <c r="D132" i="64"/>
  <c r="D115" i="58"/>
  <c r="D116" i="58" s="1"/>
  <c r="D128" i="58" s="1"/>
  <c r="D115" i="65"/>
  <c r="D171" i="62"/>
  <c r="D183" i="62"/>
  <c r="D189" i="62" s="1"/>
  <c r="H18" i="4"/>
  <c r="E52" i="61"/>
  <c r="E64" i="45"/>
  <c r="E63" i="45"/>
  <c r="E59" i="45"/>
  <c r="E65" i="45"/>
  <c r="E60" i="45"/>
  <c r="E66" i="45"/>
  <c r="E61" i="45"/>
  <c r="E67" i="45"/>
  <c r="E62" i="45"/>
  <c r="E48" i="45"/>
  <c r="E49" i="45"/>
  <c r="E130" i="45" s="1"/>
  <c r="E50" i="45"/>
  <c r="E131" i="45" s="1"/>
  <c r="E51" i="45"/>
  <c r="E132" i="45" s="1"/>
  <c r="E54" i="45"/>
  <c r="E56" i="45"/>
  <c r="E137" i="45" s="1"/>
  <c r="E52" i="45"/>
  <c r="E133" i="45" s="1"/>
  <c r="E53" i="45"/>
  <c r="E55" i="45"/>
  <c r="E52" i="62"/>
  <c r="E53" i="61"/>
  <c r="E70" i="45"/>
  <c r="E75" i="45"/>
  <c r="E77" i="45"/>
  <c r="E73" i="45"/>
  <c r="E78" i="45"/>
  <c r="E71" i="45"/>
  <c r="E76" i="45"/>
  <c r="E74" i="45"/>
  <c r="E72" i="45"/>
  <c r="E53" i="62"/>
  <c r="D132" i="62"/>
  <c r="D132" i="57"/>
  <c r="D135" i="57" s="1"/>
  <c r="D171" i="61"/>
  <c r="D174" i="61"/>
  <c r="D180" i="61" s="1"/>
  <c r="D183" i="61"/>
  <c r="D189" i="61" s="1"/>
  <c r="E49" i="38"/>
  <c r="E49" i="61"/>
  <c r="E46" i="61"/>
  <c r="E46" i="38"/>
  <c r="E45" i="38"/>
  <c r="E45" i="61"/>
  <c r="E43" i="38"/>
  <c r="E43" i="61"/>
  <c r="E85" i="61" s="1"/>
  <c r="E92" i="61" s="1"/>
  <c r="E95" i="61" s="1"/>
  <c r="E166" i="61" s="1"/>
  <c r="E44" i="38"/>
  <c r="E44" i="61"/>
  <c r="E102" i="61" s="1"/>
  <c r="E109" i="61" s="1"/>
  <c r="E42" i="38"/>
  <c r="E42" i="61"/>
  <c r="E68" i="61" s="1"/>
  <c r="E75" i="61" s="1"/>
  <c r="E78" i="61" s="1"/>
  <c r="E165" i="61" s="1"/>
  <c r="E51" i="38"/>
  <c r="E51" i="61"/>
  <c r="E136" i="61" s="1"/>
  <c r="E143" i="61" s="1"/>
  <c r="D48" i="61"/>
  <c r="D50" i="61" s="1"/>
  <c r="D75" i="55"/>
  <c r="D78" i="55" s="1"/>
  <c r="D165" i="55" s="1"/>
  <c r="D171" i="55" s="1"/>
  <c r="D75" i="51"/>
  <c r="D78" i="51" s="1"/>
  <c r="D165" i="51" s="1"/>
  <c r="D171" i="51" s="1"/>
  <c r="D75" i="57"/>
  <c r="D78" i="57" s="1"/>
  <c r="D165" i="57" s="1"/>
  <c r="D118" i="45"/>
  <c r="D115" i="63" s="1"/>
  <c r="D118" i="63" s="1"/>
  <c r="D75" i="52"/>
  <c r="D78" i="52" s="1"/>
  <c r="D165" i="52" s="1"/>
  <c r="E52" i="58"/>
  <c r="E52" i="55"/>
  <c r="E52" i="57"/>
  <c r="E52" i="53"/>
  <c r="E52" i="52"/>
  <c r="E52" i="51"/>
  <c r="E51" i="58"/>
  <c r="E136" i="58" s="1"/>
  <c r="E143" i="58" s="1"/>
  <c r="E51" i="55"/>
  <c r="E136" i="55" s="1"/>
  <c r="E143" i="55" s="1"/>
  <c r="E51" i="57"/>
  <c r="E136" i="57" s="1"/>
  <c r="E143" i="57" s="1"/>
  <c r="E51" i="53"/>
  <c r="E136" i="53" s="1"/>
  <c r="E143" i="53" s="1"/>
  <c r="E51" i="52"/>
  <c r="E136" i="52" s="1"/>
  <c r="E143" i="52" s="1"/>
  <c r="E51" i="51"/>
  <c r="E136" i="51" s="1"/>
  <c r="E143" i="51" s="1"/>
  <c r="E43" i="58"/>
  <c r="E85" i="58" s="1"/>
  <c r="E92" i="58" s="1"/>
  <c r="E95" i="58" s="1"/>
  <c r="E166" i="58" s="1"/>
  <c r="E43" i="57"/>
  <c r="E85" i="57" s="1"/>
  <c r="E92" i="57" s="1"/>
  <c r="E95" i="57" s="1"/>
  <c r="E166" i="57" s="1"/>
  <c r="E43" i="53"/>
  <c r="E85" i="53" s="1"/>
  <c r="E92" i="53" s="1"/>
  <c r="E95" i="53" s="1"/>
  <c r="E166" i="53" s="1"/>
  <c r="E43" i="55"/>
  <c r="E85" i="55" s="1"/>
  <c r="E92" i="55" s="1"/>
  <c r="E95" i="55" s="1"/>
  <c r="E166" i="55" s="1"/>
  <c r="E43" i="52"/>
  <c r="E85" i="52" s="1"/>
  <c r="E92" i="52" s="1"/>
  <c r="E95" i="52" s="1"/>
  <c r="E166" i="52" s="1"/>
  <c r="E43" i="51"/>
  <c r="E85" i="51" s="1"/>
  <c r="E92" i="51" s="1"/>
  <c r="E95" i="51" s="1"/>
  <c r="E166" i="51" s="1"/>
  <c r="E44" i="57"/>
  <c r="E102" i="57" s="1"/>
  <c r="E109" i="57" s="1"/>
  <c r="E44" i="58"/>
  <c r="E102" i="58" s="1"/>
  <c r="E109" i="58" s="1"/>
  <c r="E44" i="55"/>
  <c r="E102" i="55" s="1"/>
  <c r="E109" i="55" s="1"/>
  <c r="E44" i="53"/>
  <c r="E102" i="53" s="1"/>
  <c r="E109" i="53" s="1"/>
  <c r="E44" i="52"/>
  <c r="E102" i="52" s="1"/>
  <c r="E109" i="52" s="1"/>
  <c r="E44" i="51"/>
  <c r="E102" i="51" s="1"/>
  <c r="E109" i="51" s="1"/>
  <c r="E41" i="58"/>
  <c r="E67" i="58" s="1"/>
  <c r="E41" i="57"/>
  <c r="E67" i="57" s="1"/>
  <c r="E41" i="55"/>
  <c r="E67" i="55" s="1"/>
  <c r="E41" i="53"/>
  <c r="E67" i="53" s="1"/>
  <c r="E41" i="52"/>
  <c r="E67" i="52" s="1"/>
  <c r="E41" i="51"/>
  <c r="E67" i="51" s="1"/>
  <c r="D75" i="53"/>
  <c r="D78" i="53" s="1"/>
  <c r="D165" i="53" s="1"/>
  <c r="D75" i="58"/>
  <c r="D78" i="58" s="1"/>
  <c r="D165" i="58" s="1"/>
  <c r="E46" i="58"/>
  <c r="E46" i="55"/>
  <c r="E46" i="57"/>
  <c r="E46" i="53"/>
  <c r="E46" i="52"/>
  <c r="E46" i="51"/>
  <c r="E53" i="58"/>
  <c r="E53" i="55"/>
  <c r="E53" i="57"/>
  <c r="E53" i="53"/>
  <c r="E53" i="52"/>
  <c r="E53" i="51"/>
  <c r="E45" i="58"/>
  <c r="E45" i="57"/>
  <c r="E45" i="55"/>
  <c r="E45" i="52"/>
  <c r="E45" i="53"/>
  <c r="E45" i="51"/>
  <c r="E42" i="58"/>
  <c r="E68" i="58" s="1"/>
  <c r="E42" i="57"/>
  <c r="E68" i="57" s="1"/>
  <c r="E42" i="55"/>
  <c r="E68" i="55" s="1"/>
  <c r="E42" i="53"/>
  <c r="E68" i="53" s="1"/>
  <c r="E42" i="52"/>
  <c r="E68" i="52" s="1"/>
  <c r="E42" i="51"/>
  <c r="E68" i="51" s="1"/>
  <c r="D124" i="45"/>
  <c r="D115" i="67" s="1"/>
  <c r="D118" i="67" s="1"/>
  <c r="D132" i="38"/>
  <c r="D135" i="38" s="1"/>
  <c r="D132" i="55"/>
  <c r="D135" i="55" s="1"/>
  <c r="D120" i="45"/>
  <c r="F156" i="45"/>
  <c r="F55" i="63" s="1"/>
  <c r="F69" i="63" s="1"/>
  <c r="F76" i="63" s="1"/>
  <c r="F155" i="45"/>
  <c r="F55" i="62" s="1"/>
  <c r="F69" i="62" s="1"/>
  <c r="F76" i="62" s="1"/>
  <c r="D117" i="45"/>
  <c r="D115" i="51" s="1"/>
  <c r="D119" i="45"/>
  <c r="F154" i="45"/>
  <c r="E55" i="38"/>
  <c r="D122" i="45"/>
  <c r="D115" i="53" s="1"/>
  <c r="D121" i="45"/>
  <c r="D115" i="62" s="1"/>
  <c r="D118" i="62" s="1"/>
  <c r="E116" i="45"/>
  <c r="E123" i="45" s="1"/>
  <c r="E115" i="52" s="1"/>
  <c r="E140" i="45"/>
  <c r="D123" i="45"/>
  <c r="D115" i="52" s="1"/>
  <c r="F40" i="45"/>
  <c r="F39" i="45"/>
  <c r="F38" i="45"/>
  <c r="F27" i="45"/>
  <c r="F29" i="45"/>
  <c r="F28" i="45"/>
  <c r="E103" i="45"/>
  <c r="E104" i="45"/>
  <c r="D108" i="45"/>
  <c r="D110" i="45"/>
  <c r="D98" i="53" s="1"/>
  <c r="D105" i="45"/>
  <c r="D98" i="51" s="1"/>
  <c r="D111" i="45"/>
  <c r="D98" i="52" s="1"/>
  <c r="D106" i="45"/>
  <c r="D98" i="63" s="1"/>
  <c r="D109" i="45"/>
  <c r="D98" i="62" s="1"/>
  <c r="D107" i="45"/>
  <c r="D112" i="45"/>
  <c r="D98" i="67" s="1"/>
  <c r="D113" i="45"/>
  <c r="F6" i="45"/>
  <c r="F20" i="45"/>
  <c r="E53" i="38"/>
  <c r="F14" i="45"/>
  <c r="F12" i="45"/>
  <c r="F4" i="45"/>
  <c r="F21" i="45"/>
  <c r="F5" i="45"/>
  <c r="F19" i="45"/>
  <c r="E52" i="38"/>
  <c r="F23" i="45"/>
  <c r="E48" i="51" l="1"/>
  <c r="E48" i="66"/>
  <c r="E50" i="66" s="1"/>
  <c r="E119" i="66" s="1"/>
  <c r="E126" i="66" s="1"/>
  <c r="E48" i="64"/>
  <c r="E50" i="64" s="1"/>
  <c r="E153" i="64" s="1"/>
  <c r="E160" i="64" s="1"/>
  <c r="D119" i="67"/>
  <c r="D126" i="67" s="1"/>
  <c r="D183" i="64"/>
  <c r="D189" i="64" s="1"/>
  <c r="D174" i="64"/>
  <c r="D180" i="64" s="1"/>
  <c r="D153" i="66"/>
  <c r="D160" i="66" s="1"/>
  <c r="E48" i="58"/>
  <c r="E50" i="58" s="1"/>
  <c r="E48" i="65"/>
  <c r="E50" i="65" s="1"/>
  <c r="E153" i="65" s="1"/>
  <c r="E160" i="65" s="1"/>
  <c r="E48" i="67"/>
  <c r="E50" i="67" s="1"/>
  <c r="E119" i="67" s="1"/>
  <c r="E126" i="67" s="1"/>
  <c r="E50" i="51"/>
  <c r="D119" i="65"/>
  <c r="D126" i="65" s="1"/>
  <c r="E48" i="57"/>
  <c r="E50" i="57" s="1"/>
  <c r="D153" i="63"/>
  <c r="D160" i="63" s="1"/>
  <c r="D119" i="63"/>
  <c r="D126" i="63" s="1"/>
  <c r="E48" i="62"/>
  <c r="E50" i="62" s="1"/>
  <c r="E153" i="62" s="1"/>
  <c r="E160" i="62" s="1"/>
  <c r="E48" i="52"/>
  <c r="E50" i="52" s="1"/>
  <c r="E174" i="63"/>
  <c r="E180" i="63" s="1"/>
  <c r="E171" i="63"/>
  <c r="E183" i="63"/>
  <c r="E189" i="63" s="1"/>
  <c r="F52" i="66"/>
  <c r="F52" i="67"/>
  <c r="F52" i="65"/>
  <c r="F52" i="64"/>
  <c r="F52" i="63"/>
  <c r="E174" i="67"/>
  <c r="E180" i="67" s="1"/>
  <c r="E171" i="67"/>
  <c r="E183" i="67"/>
  <c r="E189" i="67" s="1"/>
  <c r="F43" i="62"/>
  <c r="F85" i="62" s="1"/>
  <c r="F92" i="62" s="1"/>
  <c r="F95" i="62" s="1"/>
  <c r="F166" i="62" s="1"/>
  <c r="F43" i="67"/>
  <c r="F85" i="67" s="1"/>
  <c r="F92" i="67" s="1"/>
  <c r="F95" i="67" s="1"/>
  <c r="F166" i="67" s="1"/>
  <c r="F43" i="66"/>
  <c r="F85" i="66" s="1"/>
  <c r="F92" i="66" s="1"/>
  <c r="F95" i="66" s="1"/>
  <c r="F166" i="66" s="1"/>
  <c r="F43" i="65"/>
  <c r="F85" i="65" s="1"/>
  <c r="F92" i="65" s="1"/>
  <c r="F95" i="65" s="1"/>
  <c r="F166" i="65" s="1"/>
  <c r="F43" i="64"/>
  <c r="F85" i="64" s="1"/>
  <c r="F92" i="64" s="1"/>
  <c r="F95" i="64" s="1"/>
  <c r="F166" i="64" s="1"/>
  <c r="F43" i="63"/>
  <c r="F85" i="63" s="1"/>
  <c r="F92" i="63" s="1"/>
  <c r="F95" i="63" s="1"/>
  <c r="F166" i="63" s="1"/>
  <c r="E48" i="53"/>
  <c r="E50" i="53" s="1"/>
  <c r="E183" i="66"/>
  <c r="E189" i="66" s="1"/>
  <c r="E171" i="66"/>
  <c r="E174" i="66"/>
  <c r="E180" i="66" s="1"/>
  <c r="F46" i="62"/>
  <c r="F46" i="66"/>
  <c r="F46" i="65"/>
  <c r="F46" i="67"/>
  <c r="F46" i="63"/>
  <c r="F46" i="64"/>
  <c r="F49" i="51"/>
  <c r="F49" i="58"/>
  <c r="F49" i="67"/>
  <c r="F49" i="53"/>
  <c r="F49" i="57"/>
  <c r="F49" i="55"/>
  <c r="F49" i="66"/>
  <c r="F49" i="65"/>
  <c r="F49" i="52"/>
  <c r="E48" i="55"/>
  <c r="E50" i="55" s="1"/>
  <c r="E78" i="64"/>
  <c r="E165" i="64" s="1"/>
  <c r="E171" i="64" s="1"/>
  <c r="D119" i="64"/>
  <c r="D126" i="64" s="1"/>
  <c r="F42" i="62"/>
  <c r="F68" i="62" s="1"/>
  <c r="F75" i="62" s="1"/>
  <c r="F78" i="62" s="1"/>
  <c r="F165" i="62" s="1"/>
  <c r="F42" i="66"/>
  <c r="F68" i="66" s="1"/>
  <c r="F75" i="66" s="1"/>
  <c r="F78" i="66" s="1"/>
  <c r="F165" i="66" s="1"/>
  <c r="F42" i="65"/>
  <c r="F68" i="65" s="1"/>
  <c r="F75" i="65" s="1"/>
  <c r="F78" i="65" s="1"/>
  <c r="F165" i="65" s="1"/>
  <c r="F42" i="67"/>
  <c r="F68" i="67" s="1"/>
  <c r="F75" i="67" s="1"/>
  <c r="F78" i="67" s="1"/>
  <c r="F165" i="67" s="1"/>
  <c r="F42" i="63"/>
  <c r="F68" i="63" s="1"/>
  <c r="F75" i="63" s="1"/>
  <c r="F78" i="63" s="1"/>
  <c r="F165" i="63" s="1"/>
  <c r="F42" i="64"/>
  <c r="F68" i="64" s="1"/>
  <c r="F75" i="64" s="1"/>
  <c r="E183" i="65"/>
  <c r="E189" i="65" s="1"/>
  <c r="E174" i="65"/>
  <c r="E180" i="65" s="1"/>
  <c r="E171" i="65"/>
  <c r="F53" i="66"/>
  <c r="F53" i="67"/>
  <c r="F53" i="65"/>
  <c r="F53" i="63"/>
  <c r="F53" i="64"/>
  <c r="F44" i="62"/>
  <c r="F102" i="62" s="1"/>
  <c r="F109" i="62" s="1"/>
  <c r="F44" i="67"/>
  <c r="F102" i="67" s="1"/>
  <c r="F109" i="67" s="1"/>
  <c r="F44" i="66"/>
  <c r="F102" i="66" s="1"/>
  <c r="F109" i="66" s="1"/>
  <c r="F44" i="65"/>
  <c r="F102" i="65" s="1"/>
  <c r="F109" i="65" s="1"/>
  <c r="F44" i="64"/>
  <c r="F102" i="64" s="1"/>
  <c r="F109" i="64" s="1"/>
  <c r="F44" i="63"/>
  <c r="F102" i="63" s="1"/>
  <c r="F109" i="63" s="1"/>
  <c r="E48" i="63"/>
  <c r="E50" i="63" s="1"/>
  <c r="E119" i="63" s="1"/>
  <c r="E126" i="63" s="1"/>
  <c r="D119" i="62"/>
  <c r="D126" i="62" s="1"/>
  <c r="F45" i="62"/>
  <c r="F45" i="67"/>
  <c r="F45" i="65"/>
  <c r="F45" i="66"/>
  <c r="F45" i="64"/>
  <c r="F45" i="63"/>
  <c r="F51" i="62"/>
  <c r="F136" i="62" s="1"/>
  <c r="F143" i="62" s="1"/>
  <c r="F51" i="66"/>
  <c r="F136" i="66" s="1"/>
  <c r="F143" i="66" s="1"/>
  <c r="F51" i="65"/>
  <c r="F136" i="65" s="1"/>
  <c r="F143" i="65" s="1"/>
  <c r="F51" i="67"/>
  <c r="F136" i="67" s="1"/>
  <c r="F143" i="67" s="1"/>
  <c r="F51" i="63"/>
  <c r="F136" i="63" s="1"/>
  <c r="F143" i="63" s="1"/>
  <c r="F51" i="64"/>
  <c r="F136" i="64" s="1"/>
  <c r="F143" i="64" s="1"/>
  <c r="D135" i="52"/>
  <c r="D142" i="52" s="1"/>
  <c r="D133" i="52"/>
  <c r="D145" i="52" s="1"/>
  <c r="E142" i="45"/>
  <c r="E149" i="51" s="1"/>
  <c r="E146" i="45"/>
  <c r="E149" i="62" s="1"/>
  <c r="D133" i="67"/>
  <c r="D145" i="67" s="1"/>
  <c r="D135" i="67"/>
  <c r="D142" i="67" s="1"/>
  <c r="D140" i="67"/>
  <c r="D133" i="51"/>
  <c r="D145" i="51" s="1"/>
  <c r="D135" i="51"/>
  <c r="D142" i="51" s="1"/>
  <c r="D135" i="53"/>
  <c r="D142" i="53" s="1"/>
  <c r="D133" i="53"/>
  <c r="D145" i="53" s="1"/>
  <c r="D140" i="53"/>
  <c r="E147" i="45"/>
  <c r="E149" i="53" s="1"/>
  <c r="E152" i="53" s="1"/>
  <c r="E129" i="45"/>
  <c r="E132" i="51" s="1"/>
  <c r="E135" i="45"/>
  <c r="E132" i="52" s="1"/>
  <c r="E135" i="52" s="1"/>
  <c r="E142" i="52" s="1"/>
  <c r="E145" i="45"/>
  <c r="D118" i="58"/>
  <c r="D125" i="58" s="1"/>
  <c r="D140" i="52"/>
  <c r="E150" i="45"/>
  <c r="E144" i="45"/>
  <c r="E136" i="45"/>
  <c r="E132" i="67" s="1"/>
  <c r="E149" i="45"/>
  <c r="E149" i="67" s="1"/>
  <c r="E134" i="45"/>
  <c r="E132" i="53" s="1"/>
  <c r="E143" i="45"/>
  <c r="E149" i="61" s="1"/>
  <c r="E148" i="45"/>
  <c r="E149" i="52" s="1"/>
  <c r="E152" i="52" s="1"/>
  <c r="D133" i="61"/>
  <c r="D145" i="61" s="1"/>
  <c r="D140" i="61"/>
  <c r="F49" i="62"/>
  <c r="F49" i="64"/>
  <c r="F49" i="63"/>
  <c r="D123" i="58"/>
  <c r="D127" i="58" s="1"/>
  <c r="G157" i="45"/>
  <c r="F55" i="64"/>
  <c r="F69" i="64" s="1"/>
  <c r="F76" i="64" s="1"/>
  <c r="D116" i="67"/>
  <c r="D128" i="67" s="1"/>
  <c r="D123" i="67"/>
  <c r="D127" i="67" s="1"/>
  <c r="D125" i="67"/>
  <c r="D133" i="64"/>
  <c r="D145" i="64" s="1"/>
  <c r="D140" i="64"/>
  <c r="D135" i="64"/>
  <c r="D142" i="64" s="1"/>
  <c r="D133" i="66"/>
  <c r="D145" i="66" s="1"/>
  <c r="D140" i="66"/>
  <c r="D135" i="66"/>
  <c r="D142" i="66" s="1"/>
  <c r="D150" i="67"/>
  <c r="D162" i="67" s="1"/>
  <c r="D157" i="67"/>
  <c r="D152" i="67"/>
  <c r="D159" i="67" s="1"/>
  <c r="D149" i="61"/>
  <c r="D149" i="63"/>
  <c r="D133" i="65"/>
  <c r="D145" i="65" s="1"/>
  <c r="D140" i="65"/>
  <c r="D135" i="65"/>
  <c r="D142" i="65" s="1"/>
  <c r="E132" i="58"/>
  <c r="E135" i="58" s="1"/>
  <c r="E142" i="58" s="1"/>
  <c r="E132" i="65"/>
  <c r="D115" i="66"/>
  <c r="D118" i="66" s="1"/>
  <c r="D115" i="64"/>
  <c r="D118" i="64" s="1"/>
  <c r="D149" i="58"/>
  <c r="D152" i="58" s="1"/>
  <c r="D159" i="58" s="1"/>
  <c r="D149" i="65"/>
  <c r="E132" i="66"/>
  <c r="E132" i="64"/>
  <c r="E132" i="61"/>
  <c r="E135" i="61" s="1"/>
  <c r="E142" i="61" s="1"/>
  <c r="E132" i="63"/>
  <c r="D133" i="58"/>
  <c r="D145" i="58" s="1"/>
  <c r="D133" i="63"/>
  <c r="D145" i="63" s="1"/>
  <c r="D140" i="63"/>
  <c r="D135" i="63"/>
  <c r="D142" i="63" s="1"/>
  <c r="D149" i="66"/>
  <c r="D149" i="64"/>
  <c r="D123" i="63"/>
  <c r="D127" i="63" s="1"/>
  <c r="D116" i="63"/>
  <c r="D128" i="63" s="1"/>
  <c r="D125" i="63"/>
  <c r="D140" i="58"/>
  <c r="D116" i="65"/>
  <c r="D128" i="65" s="1"/>
  <c r="D118" i="65"/>
  <c r="D125" i="65" s="1"/>
  <c r="D123" i="65"/>
  <c r="D127" i="65" s="1"/>
  <c r="D99" i="67"/>
  <c r="D111" i="67" s="1"/>
  <c r="D101" i="67"/>
  <c r="D108" i="67" s="1"/>
  <c r="D106" i="67"/>
  <c r="D110" i="67" s="1"/>
  <c r="D98" i="58"/>
  <c r="D99" i="58" s="1"/>
  <c r="D111" i="58" s="1"/>
  <c r="D98" i="65"/>
  <c r="D98" i="66"/>
  <c r="D98" i="64"/>
  <c r="D106" i="63"/>
  <c r="D110" i="63" s="1"/>
  <c r="D99" i="63"/>
  <c r="D111" i="63" s="1"/>
  <c r="D101" i="63"/>
  <c r="D108" i="63" s="1"/>
  <c r="D150" i="51"/>
  <c r="D162" i="51" s="1"/>
  <c r="D152" i="51"/>
  <c r="D159" i="51" s="1"/>
  <c r="E171" i="62"/>
  <c r="E174" i="62"/>
  <c r="E180" i="62" s="1"/>
  <c r="D99" i="62"/>
  <c r="D111" i="62" s="1"/>
  <c r="D101" i="62"/>
  <c r="D108" i="62" s="1"/>
  <c r="D106" i="62"/>
  <c r="D110" i="62" s="1"/>
  <c r="D174" i="55"/>
  <c r="D180" i="55" s="1"/>
  <c r="D116" i="62"/>
  <c r="D128" i="62" s="1"/>
  <c r="D125" i="62"/>
  <c r="D123" i="62"/>
  <c r="D127" i="62" s="1"/>
  <c r="D133" i="57"/>
  <c r="D145" i="57" s="1"/>
  <c r="D142" i="57"/>
  <c r="D140" i="57"/>
  <c r="E132" i="62"/>
  <c r="E132" i="57"/>
  <c r="E135" i="57" s="1"/>
  <c r="F53" i="61"/>
  <c r="F77" i="45"/>
  <c r="F70" i="45"/>
  <c r="F75" i="45"/>
  <c r="F73" i="45"/>
  <c r="F78" i="45"/>
  <c r="F71" i="45"/>
  <c r="F72" i="45"/>
  <c r="F76" i="45"/>
  <c r="F74" i="45"/>
  <c r="F53" i="62"/>
  <c r="E48" i="61"/>
  <c r="E50" i="61" s="1"/>
  <c r="E153" i="61" s="1"/>
  <c r="E160" i="61" s="1"/>
  <c r="D133" i="62"/>
  <c r="D145" i="62" s="1"/>
  <c r="D135" i="62"/>
  <c r="D142" i="62" s="1"/>
  <c r="D140" i="62"/>
  <c r="F52" i="61"/>
  <c r="F63" i="45"/>
  <c r="F64" i="45"/>
  <c r="F59" i="45"/>
  <c r="F65" i="45"/>
  <c r="F60" i="45"/>
  <c r="F66" i="45"/>
  <c r="F61" i="45"/>
  <c r="F67" i="45"/>
  <c r="F62" i="45"/>
  <c r="F48" i="45"/>
  <c r="F51" i="45"/>
  <c r="F132" i="45" s="1"/>
  <c r="F54" i="45"/>
  <c r="F56" i="45"/>
  <c r="F137" i="45" s="1"/>
  <c r="F49" i="45"/>
  <c r="F130" i="45" s="1"/>
  <c r="F52" i="45"/>
  <c r="F133" i="45" s="1"/>
  <c r="F55" i="45"/>
  <c r="F50" i="45"/>
  <c r="F131" i="45" s="1"/>
  <c r="F53" i="45"/>
  <c r="F52" i="62"/>
  <c r="D150" i="62"/>
  <c r="D162" i="62" s="1"/>
  <c r="D152" i="62"/>
  <c r="D159" i="62" s="1"/>
  <c r="D157" i="62"/>
  <c r="E171" i="61"/>
  <c r="E174" i="61"/>
  <c r="E180" i="61" s="1"/>
  <c r="E183" i="61"/>
  <c r="E189" i="61" s="1"/>
  <c r="F42" i="38"/>
  <c r="F42" i="61"/>
  <c r="F68" i="61" s="1"/>
  <c r="F75" i="61" s="1"/>
  <c r="F78" i="61" s="1"/>
  <c r="F165" i="61" s="1"/>
  <c r="D115" i="61"/>
  <c r="D118" i="61" s="1"/>
  <c r="F46" i="61"/>
  <c r="F46" i="38"/>
  <c r="F49" i="61"/>
  <c r="F49" i="38"/>
  <c r="F43" i="38"/>
  <c r="F43" i="61"/>
  <c r="F85" i="61" s="1"/>
  <c r="F92" i="61" s="1"/>
  <c r="F95" i="61" s="1"/>
  <c r="F166" i="61" s="1"/>
  <c r="F45" i="61"/>
  <c r="F45" i="38"/>
  <c r="D98" i="61"/>
  <c r="F51" i="61"/>
  <c r="F136" i="61" s="1"/>
  <c r="F143" i="61" s="1"/>
  <c r="F51" i="38"/>
  <c r="F44" i="61"/>
  <c r="F102" i="61" s="1"/>
  <c r="F109" i="61" s="1"/>
  <c r="F44" i="38"/>
  <c r="D153" i="61"/>
  <c r="D160" i="61" s="1"/>
  <c r="D119" i="61"/>
  <c r="D126" i="61" s="1"/>
  <c r="D183" i="55"/>
  <c r="D189" i="55" s="1"/>
  <c r="D183" i="57"/>
  <c r="D189" i="57" s="1"/>
  <c r="D174" i="57"/>
  <c r="D180" i="57" s="1"/>
  <c r="D171" i="57"/>
  <c r="D174" i="51"/>
  <c r="D180" i="51" s="1"/>
  <c r="D183" i="51"/>
  <c r="D189" i="51" s="1"/>
  <c r="D119" i="52"/>
  <c r="D126" i="52" s="1"/>
  <c r="D153" i="52"/>
  <c r="D160" i="52" s="1"/>
  <c r="D171" i="53"/>
  <c r="D174" i="53"/>
  <c r="D180" i="53" s="1"/>
  <c r="D183" i="53"/>
  <c r="D189" i="53" s="1"/>
  <c r="F53" i="58"/>
  <c r="F53" i="55"/>
  <c r="F53" i="57"/>
  <c r="F53" i="53"/>
  <c r="F53" i="52"/>
  <c r="F53" i="51"/>
  <c r="D153" i="57"/>
  <c r="D160" i="57" s="1"/>
  <c r="D119" i="57"/>
  <c r="D126" i="57" s="1"/>
  <c r="F52" i="58"/>
  <c r="F52" i="55"/>
  <c r="F52" i="57"/>
  <c r="F52" i="53"/>
  <c r="F52" i="52"/>
  <c r="F52" i="51"/>
  <c r="F43" i="58"/>
  <c r="F85" i="58" s="1"/>
  <c r="F92" i="58" s="1"/>
  <c r="F95" i="58" s="1"/>
  <c r="F166" i="58" s="1"/>
  <c r="F43" i="57"/>
  <c r="F85" i="57" s="1"/>
  <c r="F92" i="57" s="1"/>
  <c r="F95" i="57" s="1"/>
  <c r="F166" i="57" s="1"/>
  <c r="F43" i="55"/>
  <c r="F85" i="55" s="1"/>
  <c r="F92" i="55" s="1"/>
  <c r="F95" i="55" s="1"/>
  <c r="F166" i="55" s="1"/>
  <c r="F43" i="53"/>
  <c r="F85" i="53" s="1"/>
  <c r="F92" i="53" s="1"/>
  <c r="F95" i="53" s="1"/>
  <c r="F166" i="53" s="1"/>
  <c r="F43" i="52"/>
  <c r="F85" i="52" s="1"/>
  <c r="F92" i="52" s="1"/>
  <c r="F95" i="52" s="1"/>
  <c r="F166" i="52" s="1"/>
  <c r="F43" i="51"/>
  <c r="F85" i="51" s="1"/>
  <c r="F92" i="51" s="1"/>
  <c r="F95" i="51" s="1"/>
  <c r="F166" i="51" s="1"/>
  <c r="E75" i="51"/>
  <c r="E78" i="51" s="1"/>
  <c r="E165" i="51" s="1"/>
  <c r="F42" i="58"/>
  <c r="F68" i="58" s="1"/>
  <c r="F42" i="57"/>
  <c r="F68" i="57" s="1"/>
  <c r="F42" i="55"/>
  <c r="F68" i="55" s="1"/>
  <c r="F42" i="53"/>
  <c r="F68" i="53" s="1"/>
  <c r="F42" i="52"/>
  <c r="F68" i="52" s="1"/>
  <c r="F42" i="51"/>
  <c r="F68" i="51" s="1"/>
  <c r="E121" i="45"/>
  <c r="E115" i="62" s="1"/>
  <c r="E118" i="62" s="1"/>
  <c r="D119" i="51"/>
  <c r="D126" i="51" s="1"/>
  <c r="D153" i="51"/>
  <c r="D160" i="51" s="1"/>
  <c r="E75" i="52"/>
  <c r="E78" i="52" s="1"/>
  <c r="E165" i="52" s="1"/>
  <c r="F46" i="58"/>
  <c r="F46" i="57"/>
  <c r="F46" i="55"/>
  <c r="F46" i="53"/>
  <c r="F46" i="52"/>
  <c r="F46" i="51"/>
  <c r="G6" i="45"/>
  <c r="F44" i="58"/>
  <c r="F102" i="58" s="1"/>
  <c r="F109" i="58" s="1"/>
  <c r="F44" i="57"/>
  <c r="F102" i="57" s="1"/>
  <c r="F109" i="57" s="1"/>
  <c r="F44" i="55"/>
  <c r="F102" i="55" s="1"/>
  <c r="F109" i="55" s="1"/>
  <c r="F44" i="53"/>
  <c r="F102" i="53" s="1"/>
  <c r="F109" i="53" s="1"/>
  <c r="F44" i="52"/>
  <c r="F102" i="52" s="1"/>
  <c r="F109" i="52" s="1"/>
  <c r="F44" i="51"/>
  <c r="F102" i="51" s="1"/>
  <c r="F109" i="51" s="1"/>
  <c r="E124" i="45"/>
  <c r="E115" i="67" s="1"/>
  <c r="E118" i="67" s="1"/>
  <c r="D153" i="53"/>
  <c r="D160" i="53" s="1"/>
  <c r="D119" i="53"/>
  <c r="D126" i="53" s="1"/>
  <c r="D153" i="55"/>
  <c r="D160" i="55" s="1"/>
  <c r="D119" i="55"/>
  <c r="D126" i="55" s="1"/>
  <c r="E75" i="55"/>
  <c r="E78" i="55" s="1"/>
  <c r="E165" i="55" s="1"/>
  <c r="D171" i="58"/>
  <c r="D174" i="58"/>
  <c r="D180" i="58" s="1"/>
  <c r="D183" i="58"/>
  <c r="D189" i="58" s="1"/>
  <c r="E75" i="57"/>
  <c r="E78" i="57" s="1"/>
  <c r="E165" i="57" s="1"/>
  <c r="E75" i="58"/>
  <c r="E78" i="58" s="1"/>
  <c r="E165" i="58" s="1"/>
  <c r="E75" i="53"/>
  <c r="E78" i="53" s="1"/>
  <c r="E165" i="53" s="1"/>
  <c r="F41" i="58"/>
  <c r="F67" i="58" s="1"/>
  <c r="F41" i="57"/>
  <c r="F67" i="57" s="1"/>
  <c r="F41" i="55"/>
  <c r="F67" i="55" s="1"/>
  <c r="F41" i="52"/>
  <c r="F67" i="52" s="1"/>
  <c r="F41" i="53"/>
  <c r="F67" i="53" s="1"/>
  <c r="F41" i="51"/>
  <c r="F67" i="51" s="1"/>
  <c r="F51" i="58"/>
  <c r="F136" i="58" s="1"/>
  <c r="F143" i="58" s="1"/>
  <c r="F51" i="55"/>
  <c r="F136" i="55" s="1"/>
  <c r="F143" i="55" s="1"/>
  <c r="F51" i="57"/>
  <c r="F136" i="57" s="1"/>
  <c r="F143" i="57" s="1"/>
  <c r="F51" i="53"/>
  <c r="F136" i="53" s="1"/>
  <c r="F143" i="53" s="1"/>
  <c r="F51" i="52"/>
  <c r="F136" i="52" s="1"/>
  <c r="F143" i="52" s="1"/>
  <c r="F51" i="51"/>
  <c r="F136" i="51" s="1"/>
  <c r="F143" i="51" s="1"/>
  <c r="F45" i="58"/>
  <c r="F45" i="57"/>
  <c r="F45" i="55"/>
  <c r="F45" i="52"/>
  <c r="F48" i="52" s="1"/>
  <c r="F45" i="53"/>
  <c r="F45" i="51"/>
  <c r="D119" i="58"/>
  <c r="D126" i="58" s="1"/>
  <c r="D153" i="58"/>
  <c r="D160" i="58" s="1"/>
  <c r="D174" i="52"/>
  <c r="D180" i="52" s="1"/>
  <c r="D183" i="52"/>
  <c r="D189" i="52" s="1"/>
  <c r="D171" i="52"/>
  <c r="D133" i="55"/>
  <c r="D145" i="55" s="1"/>
  <c r="D140" i="55"/>
  <c r="D142" i="55"/>
  <c r="D149" i="38"/>
  <c r="D152" i="38" s="1"/>
  <c r="D149" i="55"/>
  <c r="D152" i="55" s="1"/>
  <c r="E132" i="38"/>
  <c r="E135" i="38" s="1"/>
  <c r="E132" i="55"/>
  <c r="E135" i="55" s="1"/>
  <c r="D116" i="52"/>
  <c r="D128" i="52" s="1"/>
  <c r="D118" i="52"/>
  <c r="D125" i="52" s="1"/>
  <c r="D123" i="52"/>
  <c r="D127" i="52" s="1"/>
  <c r="E122" i="45"/>
  <c r="E115" i="53" s="1"/>
  <c r="D115" i="57"/>
  <c r="D116" i="53"/>
  <c r="D128" i="53" s="1"/>
  <c r="D123" i="53"/>
  <c r="D127" i="53" s="1"/>
  <c r="D118" i="53"/>
  <c r="D125" i="53" s="1"/>
  <c r="D150" i="52"/>
  <c r="D162" i="52" s="1"/>
  <c r="D159" i="52"/>
  <c r="D157" i="52"/>
  <c r="D150" i="53"/>
  <c r="D162" i="53" s="1"/>
  <c r="D157" i="53"/>
  <c r="D159" i="53"/>
  <c r="E116" i="52"/>
  <c r="E128" i="52" s="1"/>
  <c r="E118" i="52"/>
  <c r="E125" i="52" s="1"/>
  <c r="E123" i="52"/>
  <c r="E127" i="52" s="1"/>
  <c r="D98" i="57"/>
  <c r="D149" i="57"/>
  <c r="D152" i="57" s="1"/>
  <c r="D99" i="53"/>
  <c r="D111" i="53" s="1"/>
  <c r="D101" i="53"/>
  <c r="D108" i="53" s="1"/>
  <c r="D106" i="53"/>
  <c r="D110" i="53" s="1"/>
  <c r="D99" i="52"/>
  <c r="D111" i="52" s="1"/>
  <c r="D106" i="52"/>
  <c r="D110" i="52" s="1"/>
  <c r="D101" i="52"/>
  <c r="D108" i="52" s="1"/>
  <c r="D115" i="38"/>
  <c r="D115" i="55"/>
  <c r="D98" i="38"/>
  <c r="D98" i="55"/>
  <c r="D99" i="51"/>
  <c r="D111" i="51" s="1"/>
  <c r="D101" i="51"/>
  <c r="D108" i="51" s="1"/>
  <c r="D106" i="51"/>
  <c r="D110" i="51" s="1"/>
  <c r="D116" i="51"/>
  <c r="D128" i="51" s="1"/>
  <c r="D123" i="51"/>
  <c r="D127" i="51" s="1"/>
  <c r="D118" i="51"/>
  <c r="D125" i="51" s="1"/>
  <c r="D140" i="51"/>
  <c r="D157" i="51"/>
  <c r="G156" i="45"/>
  <c r="G55" i="63" s="1"/>
  <c r="G69" i="63" s="1"/>
  <c r="G76" i="63" s="1"/>
  <c r="G155" i="45"/>
  <c r="G55" i="62" s="1"/>
  <c r="G69" i="62" s="1"/>
  <c r="G76" i="62" s="1"/>
  <c r="E119" i="45"/>
  <c r="E120" i="45"/>
  <c r="E117" i="45"/>
  <c r="E115" i="51" s="1"/>
  <c r="E118" i="45"/>
  <c r="E115" i="63" s="1"/>
  <c r="E118" i="63" s="1"/>
  <c r="E125" i="45"/>
  <c r="G154" i="45"/>
  <c r="F55" i="38"/>
  <c r="F116" i="45"/>
  <c r="F125" i="45" s="1"/>
  <c r="F140" i="45"/>
  <c r="G38" i="45"/>
  <c r="G39" i="45"/>
  <c r="G40" i="45"/>
  <c r="G29" i="45"/>
  <c r="G28" i="45"/>
  <c r="G27" i="45"/>
  <c r="F103" i="45"/>
  <c r="F104" i="45"/>
  <c r="E112" i="45"/>
  <c r="E98" i="67" s="1"/>
  <c r="E113" i="45"/>
  <c r="E106" i="45"/>
  <c r="E98" i="63" s="1"/>
  <c r="E108" i="45"/>
  <c r="E110" i="45"/>
  <c r="E98" i="53" s="1"/>
  <c r="E111" i="45"/>
  <c r="E98" i="52" s="1"/>
  <c r="E107" i="45"/>
  <c r="E109" i="45"/>
  <c r="E98" i="62" s="1"/>
  <c r="E105" i="45"/>
  <c r="E98" i="51" s="1"/>
  <c r="G20" i="45"/>
  <c r="F53" i="38"/>
  <c r="G4" i="45"/>
  <c r="G23" i="45"/>
  <c r="G19" i="45"/>
  <c r="F52" i="38"/>
  <c r="G5" i="45"/>
  <c r="G12" i="45"/>
  <c r="G21" i="45"/>
  <c r="G14" i="45"/>
  <c r="F48" i="64" l="1"/>
  <c r="F50" i="64" s="1"/>
  <c r="F153" i="64" s="1"/>
  <c r="F160" i="64" s="1"/>
  <c r="E153" i="66"/>
  <c r="E160" i="66" s="1"/>
  <c r="E153" i="67"/>
  <c r="E160" i="67" s="1"/>
  <c r="E119" i="65"/>
  <c r="E126" i="65" s="1"/>
  <c r="F48" i="51"/>
  <c r="F50" i="51" s="1"/>
  <c r="F48" i="62"/>
  <c r="F50" i="62" s="1"/>
  <c r="F153" i="62" s="1"/>
  <c r="F160" i="62" s="1"/>
  <c r="F48" i="63"/>
  <c r="F50" i="63" s="1"/>
  <c r="E174" i="64"/>
  <c r="E180" i="64" s="1"/>
  <c r="E183" i="64"/>
  <c r="E189" i="64" s="1"/>
  <c r="E119" i="64"/>
  <c r="E126" i="64" s="1"/>
  <c r="F50" i="52"/>
  <c r="F48" i="66"/>
  <c r="F50" i="66" s="1"/>
  <c r="F153" i="66" s="1"/>
  <c r="F160" i="66" s="1"/>
  <c r="F48" i="57"/>
  <c r="F50" i="57" s="1"/>
  <c r="F48" i="67"/>
  <c r="F50" i="67" s="1"/>
  <c r="F48" i="58"/>
  <c r="F50" i="58" s="1"/>
  <c r="F48" i="65"/>
  <c r="F50" i="65" s="1"/>
  <c r="F153" i="65" s="1"/>
  <c r="F160" i="65" s="1"/>
  <c r="E119" i="62"/>
  <c r="E126" i="62" s="1"/>
  <c r="F183" i="63"/>
  <c r="F189" i="63" s="1"/>
  <c r="F171" i="63"/>
  <c r="F174" i="63"/>
  <c r="F180" i="63" s="1"/>
  <c r="E153" i="63"/>
  <c r="E160" i="63" s="1"/>
  <c r="G46" i="62"/>
  <c r="G46" i="65"/>
  <c r="G46" i="66"/>
  <c r="G46" i="67"/>
  <c r="G46" i="63"/>
  <c r="G46" i="64"/>
  <c r="F183" i="67"/>
  <c r="F189" i="67" s="1"/>
  <c r="F174" i="67"/>
  <c r="F180" i="67" s="1"/>
  <c r="F171" i="67"/>
  <c r="F174" i="66"/>
  <c r="F180" i="66" s="1"/>
  <c r="F183" i="66"/>
  <c r="F189" i="66" s="1"/>
  <c r="F171" i="66"/>
  <c r="G52" i="66"/>
  <c r="G52" i="65"/>
  <c r="G52" i="67"/>
  <c r="G52" i="64"/>
  <c r="G52" i="63"/>
  <c r="G42" i="62"/>
  <c r="G68" i="62" s="1"/>
  <c r="G75" i="62" s="1"/>
  <c r="G78" i="62" s="1"/>
  <c r="G165" i="62" s="1"/>
  <c r="G42" i="67"/>
  <c r="G68" i="67" s="1"/>
  <c r="G75" i="67" s="1"/>
  <c r="G78" i="67" s="1"/>
  <c r="G165" i="67" s="1"/>
  <c r="G42" i="66"/>
  <c r="G68" i="66" s="1"/>
  <c r="G75" i="66" s="1"/>
  <c r="G78" i="66" s="1"/>
  <c r="G165" i="66" s="1"/>
  <c r="G42" i="65"/>
  <c r="G68" i="65" s="1"/>
  <c r="G75" i="65" s="1"/>
  <c r="G78" i="65" s="1"/>
  <c r="G165" i="65" s="1"/>
  <c r="G42" i="63"/>
  <c r="G68" i="63" s="1"/>
  <c r="G75" i="63" s="1"/>
  <c r="G78" i="63" s="1"/>
  <c r="G165" i="63" s="1"/>
  <c r="G42" i="64"/>
  <c r="G68" i="64" s="1"/>
  <c r="G75" i="64" s="1"/>
  <c r="F48" i="53"/>
  <c r="F50" i="53" s="1"/>
  <c r="G43" i="62"/>
  <c r="G85" i="62" s="1"/>
  <c r="G92" i="62" s="1"/>
  <c r="G95" i="62" s="1"/>
  <c r="G166" i="62" s="1"/>
  <c r="G43" i="66"/>
  <c r="G85" i="66" s="1"/>
  <c r="G92" i="66" s="1"/>
  <c r="G95" i="66" s="1"/>
  <c r="G166" i="66" s="1"/>
  <c r="G43" i="67"/>
  <c r="G85" i="67" s="1"/>
  <c r="G92" i="67" s="1"/>
  <c r="G95" i="67" s="1"/>
  <c r="G166" i="67" s="1"/>
  <c r="G43" i="65"/>
  <c r="G85" i="65" s="1"/>
  <c r="G92" i="65" s="1"/>
  <c r="G95" i="65" s="1"/>
  <c r="G166" i="65" s="1"/>
  <c r="G43" i="64"/>
  <c r="G85" i="64" s="1"/>
  <c r="G92" i="64" s="1"/>
  <c r="G95" i="64" s="1"/>
  <c r="G166" i="64" s="1"/>
  <c r="G43" i="63"/>
  <c r="G85" i="63" s="1"/>
  <c r="G92" i="63" s="1"/>
  <c r="G95" i="63" s="1"/>
  <c r="G166" i="63" s="1"/>
  <c r="F183" i="65"/>
  <c r="F189" i="65" s="1"/>
  <c r="F174" i="65"/>
  <c r="F180" i="65" s="1"/>
  <c r="F171" i="65"/>
  <c r="G44" i="62"/>
  <c r="G102" i="62" s="1"/>
  <c r="G109" i="62" s="1"/>
  <c r="G44" i="67"/>
  <c r="G102" i="67" s="1"/>
  <c r="G109" i="67" s="1"/>
  <c r="G44" i="66"/>
  <c r="G102" i="66" s="1"/>
  <c r="G109" i="66" s="1"/>
  <c r="G44" i="65"/>
  <c r="G102" i="65" s="1"/>
  <c r="G109" i="65" s="1"/>
  <c r="G44" i="64"/>
  <c r="G102" i="64" s="1"/>
  <c r="G109" i="64" s="1"/>
  <c r="G44" i="63"/>
  <c r="G102" i="63" s="1"/>
  <c r="G109" i="63" s="1"/>
  <c r="F48" i="55"/>
  <c r="F50" i="55" s="1"/>
  <c r="F78" i="64"/>
  <c r="F165" i="64" s="1"/>
  <c r="F183" i="64" s="1"/>
  <c r="F189" i="64" s="1"/>
  <c r="G53" i="66"/>
  <c r="G53" i="65"/>
  <c r="G53" i="67"/>
  <c r="G53" i="63"/>
  <c r="G53" i="64"/>
  <c r="G49" i="58"/>
  <c r="G49" i="57"/>
  <c r="G49" i="67"/>
  <c r="G49" i="53"/>
  <c r="G49" i="55"/>
  <c r="G49" i="66"/>
  <c r="G49" i="65"/>
  <c r="G49" i="51"/>
  <c r="G49" i="52"/>
  <c r="G45" i="62"/>
  <c r="G45" i="67"/>
  <c r="G45" i="65"/>
  <c r="G45" i="66"/>
  <c r="G45" i="63"/>
  <c r="G45" i="64"/>
  <c r="D129" i="58"/>
  <c r="D169" i="58" s="1"/>
  <c r="D184" i="58" s="1"/>
  <c r="G51" i="62"/>
  <c r="G136" i="62" s="1"/>
  <c r="G143" i="62" s="1"/>
  <c r="G51" i="66"/>
  <c r="G136" i="66" s="1"/>
  <c r="G143" i="66" s="1"/>
  <c r="G51" i="65"/>
  <c r="G136" i="65" s="1"/>
  <c r="G143" i="65" s="1"/>
  <c r="G51" i="67"/>
  <c r="G136" i="67" s="1"/>
  <c r="G143" i="67" s="1"/>
  <c r="G51" i="63"/>
  <c r="G136" i="63" s="1"/>
  <c r="G143" i="63" s="1"/>
  <c r="G51" i="64"/>
  <c r="G136" i="64" s="1"/>
  <c r="G143" i="64" s="1"/>
  <c r="E140" i="67"/>
  <c r="E133" i="67"/>
  <c r="E145" i="67" s="1"/>
  <c r="E135" i="67"/>
  <c r="E142" i="67" s="1"/>
  <c r="E140" i="61"/>
  <c r="E133" i="61"/>
  <c r="E145" i="61" s="1"/>
  <c r="F145" i="45"/>
  <c r="E135" i="51"/>
  <c r="E142" i="51" s="1"/>
  <c r="E133" i="51"/>
  <c r="E145" i="51" s="1"/>
  <c r="E135" i="53"/>
  <c r="E142" i="53" s="1"/>
  <c r="E133" i="53"/>
  <c r="E145" i="53" s="1"/>
  <c r="E140" i="53"/>
  <c r="E133" i="52"/>
  <c r="E145" i="52" s="1"/>
  <c r="F150" i="45"/>
  <c r="F144" i="45"/>
  <c r="F134" i="45"/>
  <c r="F132" i="53" s="1"/>
  <c r="F149" i="45"/>
  <c r="F149" i="67" s="1"/>
  <c r="F143" i="45"/>
  <c r="F136" i="45"/>
  <c r="F132" i="67" s="1"/>
  <c r="F133" i="67" s="1"/>
  <c r="F145" i="67" s="1"/>
  <c r="F142" i="45"/>
  <c r="F149" i="51" s="1"/>
  <c r="F148" i="45"/>
  <c r="F149" i="52" s="1"/>
  <c r="F152" i="52" s="1"/>
  <c r="F147" i="45"/>
  <c r="F149" i="53" s="1"/>
  <c r="F152" i="53" s="1"/>
  <c r="F146" i="45"/>
  <c r="F149" i="62" s="1"/>
  <c r="F135" i="45"/>
  <c r="F132" i="52" s="1"/>
  <c r="E140" i="52"/>
  <c r="F129" i="45"/>
  <c r="F132" i="51" s="1"/>
  <c r="D157" i="58"/>
  <c r="D150" i="58"/>
  <c r="D162" i="58" s="1"/>
  <c r="E140" i="58"/>
  <c r="G49" i="62"/>
  <c r="G49" i="64"/>
  <c r="G49" i="63"/>
  <c r="D106" i="58"/>
  <c r="D110" i="58" s="1"/>
  <c r="D101" i="58"/>
  <c r="D108" i="58" s="1"/>
  <c r="E150" i="61"/>
  <c r="E162" i="61" s="1"/>
  <c r="E152" i="61"/>
  <c r="E159" i="61" s="1"/>
  <c r="E157" i="61"/>
  <c r="E133" i="58"/>
  <c r="E145" i="58" s="1"/>
  <c r="E149" i="63"/>
  <c r="E150" i="63" s="1"/>
  <c r="E162" i="63" s="1"/>
  <c r="D129" i="67"/>
  <c r="D169" i="67" s="1"/>
  <c r="D175" i="67" s="1"/>
  <c r="H157" i="45"/>
  <c r="G55" i="64"/>
  <c r="G69" i="64" s="1"/>
  <c r="G76" i="64" s="1"/>
  <c r="D129" i="65"/>
  <c r="D169" i="65" s="1"/>
  <c r="D116" i="64"/>
  <c r="D128" i="64" s="1"/>
  <c r="D125" i="64"/>
  <c r="D123" i="64"/>
  <c r="D127" i="64" s="1"/>
  <c r="F132" i="66"/>
  <c r="F132" i="64"/>
  <c r="E115" i="66"/>
  <c r="E118" i="66" s="1"/>
  <c r="E115" i="64"/>
  <c r="E118" i="64" s="1"/>
  <c r="D116" i="66"/>
  <c r="D128" i="66" s="1"/>
  <c r="D125" i="66"/>
  <c r="D123" i="66"/>
  <c r="D127" i="66" s="1"/>
  <c r="E133" i="65"/>
  <c r="E145" i="65" s="1"/>
  <c r="E135" i="65"/>
  <c r="E142" i="65" s="1"/>
  <c r="E140" i="65"/>
  <c r="F132" i="61"/>
  <c r="F133" i="61" s="1"/>
  <c r="F145" i="61" s="1"/>
  <c r="F132" i="63"/>
  <c r="F115" i="58"/>
  <c r="F123" i="58" s="1"/>
  <c r="F127" i="58" s="1"/>
  <c r="F115" i="65"/>
  <c r="F132" i="58"/>
  <c r="F135" i="58" s="1"/>
  <c r="F142" i="58" s="1"/>
  <c r="F132" i="65"/>
  <c r="E116" i="67"/>
  <c r="E128" i="67" s="1"/>
  <c r="E125" i="67"/>
  <c r="E123" i="67"/>
  <c r="E127" i="67" s="1"/>
  <c r="D129" i="63"/>
  <c r="D169" i="63" s="1"/>
  <c r="E140" i="63"/>
  <c r="E133" i="63"/>
  <c r="E145" i="63" s="1"/>
  <c r="E135" i="63"/>
  <c r="E142" i="63" s="1"/>
  <c r="D150" i="64"/>
  <c r="D162" i="64" s="1"/>
  <c r="D157" i="64"/>
  <c r="D152" i="64"/>
  <c r="D159" i="64" s="1"/>
  <c r="D150" i="66"/>
  <c r="D162" i="66" s="1"/>
  <c r="D152" i="66"/>
  <c r="D159" i="66" s="1"/>
  <c r="D157" i="66"/>
  <c r="E133" i="64"/>
  <c r="E145" i="64" s="1"/>
  <c r="E140" i="64"/>
  <c r="E135" i="64"/>
  <c r="E142" i="64" s="1"/>
  <c r="E116" i="63"/>
  <c r="E128" i="63" s="1"/>
  <c r="E123" i="63"/>
  <c r="E127" i="63" s="1"/>
  <c r="E125" i="63"/>
  <c r="E133" i="66"/>
  <c r="E145" i="66" s="1"/>
  <c r="E135" i="66"/>
  <c r="E142" i="66" s="1"/>
  <c r="E140" i="66"/>
  <c r="D150" i="63"/>
  <c r="D162" i="63" s="1"/>
  <c r="D157" i="63"/>
  <c r="D152" i="63"/>
  <c r="D159" i="63" s="1"/>
  <c r="E115" i="58"/>
  <c r="E116" i="58" s="1"/>
  <c r="E128" i="58" s="1"/>
  <c r="E115" i="65"/>
  <c r="E149" i="38"/>
  <c r="E152" i="38" s="1"/>
  <c r="E149" i="66"/>
  <c r="E149" i="64"/>
  <c r="E150" i="67"/>
  <c r="E162" i="67" s="1"/>
  <c r="E157" i="67"/>
  <c r="E152" i="67"/>
  <c r="E159" i="67" s="1"/>
  <c r="D150" i="65"/>
  <c r="D162" i="65" s="1"/>
  <c r="D157" i="65"/>
  <c r="D152" i="65"/>
  <c r="D159" i="65" s="1"/>
  <c r="D150" i="61"/>
  <c r="D162" i="61" s="1"/>
  <c r="D152" i="61"/>
  <c r="D159" i="61" s="1"/>
  <c r="D157" i="61"/>
  <c r="E149" i="58"/>
  <c r="E152" i="58" s="1"/>
  <c r="E159" i="58" s="1"/>
  <c r="E149" i="65"/>
  <c r="D112" i="67"/>
  <c r="D167" i="67" s="1"/>
  <c r="E99" i="67"/>
  <c r="E111" i="67" s="1"/>
  <c r="E106" i="67"/>
  <c r="E110" i="67" s="1"/>
  <c r="E101" i="67"/>
  <c r="E108" i="67" s="1"/>
  <c r="D112" i="63"/>
  <c r="D167" i="63" s="1"/>
  <c r="D99" i="66"/>
  <c r="D111" i="66" s="1"/>
  <c r="D106" i="66"/>
  <c r="D110" i="66" s="1"/>
  <c r="D101" i="66"/>
  <c r="D108" i="66" s="1"/>
  <c r="E98" i="66"/>
  <c r="E98" i="64"/>
  <c r="D99" i="64"/>
  <c r="D111" i="64" s="1"/>
  <c r="D106" i="64"/>
  <c r="D110" i="64" s="1"/>
  <c r="D101" i="64"/>
  <c r="D108" i="64" s="1"/>
  <c r="D99" i="65"/>
  <c r="D111" i="65" s="1"/>
  <c r="D101" i="65"/>
  <c r="D108" i="65" s="1"/>
  <c r="D106" i="65"/>
  <c r="D110" i="65" s="1"/>
  <c r="E106" i="63"/>
  <c r="E110" i="63" s="1"/>
  <c r="E99" i="63"/>
  <c r="E111" i="63" s="1"/>
  <c r="E101" i="63"/>
  <c r="E108" i="63" s="1"/>
  <c r="E98" i="58"/>
  <c r="E99" i="58" s="1"/>
  <c r="E111" i="58" s="1"/>
  <c r="E98" i="65"/>
  <c r="E150" i="51"/>
  <c r="E162" i="51" s="1"/>
  <c r="E152" i="51"/>
  <c r="E159" i="51" s="1"/>
  <c r="F48" i="61"/>
  <c r="F50" i="61" s="1"/>
  <c r="F119" i="61" s="1"/>
  <c r="F126" i="61" s="1"/>
  <c r="D112" i="62"/>
  <c r="D167" i="62" s="1"/>
  <c r="D176" i="62" s="1"/>
  <c r="E119" i="61"/>
  <c r="E126" i="61" s="1"/>
  <c r="G53" i="61"/>
  <c r="G72" i="45"/>
  <c r="G77" i="45"/>
  <c r="G70" i="45"/>
  <c r="G75" i="45"/>
  <c r="G73" i="45"/>
  <c r="G78" i="45"/>
  <c r="G71" i="45"/>
  <c r="G76" i="45"/>
  <c r="G74" i="45"/>
  <c r="G53" i="62"/>
  <c r="E99" i="62"/>
  <c r="E111" i="62" s="1"/>
  <c r="E106" i="62"/>
  <c r="E110" i="62" s="1"/>
  <c r="E101" i="62"/>
  <c r="E108" i="62" s="1"/>
  <c r="D129" i="62"/>
  <c r="D169" i="62" s="1"/>
  <c r="E116" i="62"/>
  <c r="E128" i="62" s="1"/>
  <c r="E123" i="62"/>
  <c r="E127" i="62" s="1"/>
  <c r="E125" i="62"/>
  <c r="G52" i="61"/>
  <c r="G65" i="45"/>
  <c r="G66" i="45"/>
  <c r="G67" i="45"/>
  <c r="G64" i="45"/>
  <c r="G59" i="45"/>
  <c r="G60" i="45"/>
  <c r="G61" i="45"/>
  <c r="G62" i="45"/>
  <c r="G63" i="45"/>
  <c r="G48" i="45"/>
  <c r="G51" i="45"/>
  <c r="G132" i="45" s="1"/>
  <c r="G54" i="45"/>
  <c r="G49" i="45"/>
  <c r="G130" i="45" s="1"/>
  <c r="G52" i="45"/>
  <c r="G133" i="45" s="1"/>
  <c r="G55" i="45"/>
  <c r="G50" i="45"/>
  <c r="G131" i="45" s="1"/>
  <c r="G53" i="45"/>
  <c r="G56" i="45"/>
  <c r="G137" i="45" s="1"/>
  <c r="G52" i="62"/>
  <c r="E133" i="57"/>
  <c r="E145" i="57" s="1"/>
  <c r="E140" i="57"/>
  <c r="E142" i="57"/>
  <c r="E133" i="62"/>
  <c r="E145" i="62" s="1"/>
  <c r="E140" i="62"/>
  <c r="E135" i="62"/>
  <c r="E142" i="62" s="1"/>
  <c r="F132" i="62"/>
  <c r="F132" i="57"/>
  <c r="F135" i="57" s="1"/>
  <c r="F171" i="62"/>
  <c r="F174" i="62"/>
  <c r="F180" i="62" s="1"/>
  <c r="F183" i="62"/>
  <c r="F189" i="62" s="1"/>
  <c r="E150" i="62"/>
  <c r="E162" i="62" s="1"/>
  <c r="E152" i="62"/>
  <c r="E159" i="62" s="1"/>
  <c r="E157" i="62"/>
  <c r="G44" i="61"/>
  <c r="G102" i="61" s="1"/>
  <c r="G109" i="61" s="1"/>
  <c r="G44" i="38"/>
  <c r="E98" i="61"/>
  <c r="D116" i="61"/>
  <c r="D128" i="61" s="1"/>
  <c r="D123" i="61"/>
  <c r="D127" i="61" s="1"/>
  <c r="D125" i="61"/>
  <c r="G46" i="61"/>
  <c r="G46" i="38"/>
  <c r="F183" i="61"/>
  <c r="F189" i="61" s="1"/>
  <c r="F174" i="61"/>
  <c r="F180" i="61" s="1"/>
  <c r="F171" i="61"/>
  <c r="G42" i="61"/>
  <c r="G68" i="61" s="1"/>
  <c r="G75" i="61" s="1"/>
  <c r="G78" i="61" s="1"/>
  <c r="G165" i="61" s="1"/>
  <c r="G42" i="38"/>
  <c r="E115" i="61"/>
  <c r="E118" i="61" s="1"/>
  <c r="G49" i="61"/>
  <c r="G49" i="38"/>
  <c r="G43" i="61"/>
  <c r="G85" i="61" s="1"/>
  <c r="G92" i="61" s="1"/>
  <c r="G95" i="61" s="1"/>
  <c r="G166" i="61" s="1"/>
  <c r="G43" i="38"/>
  <c r="G51" i="61"/>
  <c r="G136" i="61" s="1"/>
  <c r="G143" i="61" s="1"/>
  <c r="G51" i="38"/>
  <c r="D99" i="61"/>
  <c r="D111" i="61" s="1"/>
  <c r="D106" i="61"/>
  <c r="D110" i="61" s="1"/>
  <c r="D101" i="61"/>
  <c r="D108" i="61" s="1"/>
  <c r="G45" i="61"/>
  <c r="G45" i="38"/>
  <c r="E149" i="55"/>
  <c r="E150" i="55" s="1"/>
  <c r="E162" i="55" s="1"/>
  <c r="F75" i="53"/>
  <c r="F78" i="53" s="1"/>
  <c r="F165" i="53" s="1"/>
  <c r="F171" i="53" s="1"/>
  <c r="E115" i="57"/>
  <c r="E116" i="57" s="1"/>
  <c r="E128" i="57" s="1"/>
  <c r="F75" i="55"/>
  <c r="F78" i="55" s="1"/>
  <c r="F165" i="55" s="1"/>
  <c r="F183" i="55" s="1"/>
  <c r="F189" i="55" s="1"/>
  <c r="F75" i="57"/>
  <c r="F78" i="57" s="1"/>
  <c r="F165" i="57" s="1"/>
  <c r="F75" i="52"/>
  <c r="F78" i="52" s="1"/>
  <c r="F165" i="52" s="1"/>
  <c r="F171" i="52" s="1"/>
  <c r="F75" i="58"/>
  <c r="F78" i="58" s="1"/>
  <c r="F165" i="58" s="1"/>
  <c r="F174" i="58" s="1"/>
  <c r="F180" i="58" s="1"/>
  <c r="G42" i="57"/>
  <c r="G68" i="57" s="1"/>
  <c r="G42" i="58"/>
  <c r="G68" i="58" s="1"/>
  <c r="G42" i="55"/>
  <c r="G68" i="55" s="1"/>
  <c r="G42" i="53"/>
  <c r="G68" i="53" s="1"/>
  <c r="G42" i="52"/>
  <c r="G68" i="52" s="1"/>
  <c r="G42" i="51"/>
  <c r="G68" i="51" s="1"/>
  <c r="E183" i="57"/>
  <c r="E189" i="57" s="1"/>
  <c r="E171" i="57"/>
  <c r="E174" i="57"/>
  <c r="E180" i="57" s="1"/>
  <c r="D112" i="51"/>
  <c r="D167" i="51" s="1"/>
  <c r="D185" i="51" s="1"/>
  <c r="E153" i="58"/>
  <c r="E160" i="58" s="1"/>
  <c r="E119" i="58"/>
  <c r="E126" i="58" s="1"/>
  <c r="G44" i="58"/>
  <c r="G102" i="58" s="1"/>
  <c r="G109" i="58" s="1"/>
  <c r="G44" i="55"/>
  <c r="G102" i="55" s="1"/>
  <c r="G109" i="55" s="1"/>
  <c r="G44" i="53"/>
  <c r="G102" i="53" s="1"/>
  <c r="G109" i="53" s="1"/>
  <c r="G44" i="57"/>
  <c r="G102" i="57" s="1"/>
  <c r="G109" i="57" s="1"/>
  <c r="G44" i="52"/>
  <c r="G102" i="52" s="1"/>
  <c r="G109" i="52" s="1"/>
  <c r="G44" i="51"/>
  <c r="G102" i="51" s="1"/>
  <c r="G109" i="51" s="1"/>
  <c r="G45" i="58"/>
  <c r="G45" i="57"/>
  <c r="G45" i="55"/>
  <c r="G45" i="53"/>
  <c r="G45" i="52"/>
  <c r="G45" i="51"/>
  <c r="G53" i="58"/>
  <c r="G53" i="55"/>
  <c r="G53" i="57"/>
  <c r="G53" i="53"/>
  <c r="G53" i="52"/>
  <c r="G53" i="51"/>
  <c r="D112" i="52"/>
  <c r="D167" i="52" s="1"/>
  <c r="D185" i="52" s="1"/>
  <c r="G41" i="58"/>
  <c r="G67" i="58" s="1"/>
  <c r="G41" i="57"/>
  <c r="G67" i="57" s="1"/>
  <c r="G41" i="53"/>
  <c r="G67" i="53" s="1"/>
  <c r="G41" i="55"/>
  <c r="G67" i="55" s="1"/>
  <c r="G41" i="52"/>
  <c r="G67" i="52" s="1"/>
  <c r="G41" i="51"/>
  <c r="G67" i="51" s="1"/>
  <c r="E119" i="57"/>
  <c r="E126" i="57" s="1"/>
  <c r="E153" i="57"/>
  <c r="E160" i="57" s="1"/>
  <c r="E171" i="53"/>
  <c r="E174" i="53"/>
  <c r="E180" i="53" s="1"/>
  <c r="E183" i="53"/>
  <c r="E189" i="53" s="1"/>
  <c r="E183" i="55"/>
  <c r="E189" i="55" s="1"/>
  <c r="E174" i="55"/>
  <c r="E180" i="55" s="1"/>
  <c r="E171" i="55"/>
  <c r="G46" i="58"/>
  <c r="G46" i="57"/>
  <c r="G46" i="53"/>
  <c r="G46" i="55"/>
  <c r="G46" i="52"/>
  <c r="G46" i="51"/>
  <c r="E171" i="58"/>
  <c r="E174" i="58"/>
  <c r="E180" i="58" s="1"/>
  <c r="E183" i="58"/>
  <c r="E189" i="58" s="1"/>
  <c r="E119" i="52"/>
  <c r="E126" i="52" s="1"/>
  <c r="E129" i="52" s="1"/>
  <c r="E169" i="52" s="1"/>
  <c r="E153" i="52"/>
  <c r="E160" i="52" s="1"/>
  <c r="E153" i="53"/>
  <c r="E160" i="53" s="1"/>
  <c r="E119" i="53"/>
  <c r="E126" i="53" s="1"/>
  <c r="G51" i="57"/>
  <c r="G136" i="57" s="1"/>
  <c r="G143" i="57" s="1"/>
  <c r="G51" i="58"/>
  <c r="G136" i="58" s="1"/>
  <c r="G143" i="58" s="1"/>
  <c r="G51" i="55"/>
  <c r="G136" i="55" s="1"/>
  <c r="G143" i="55" s="1"/>
  <c r="G51" i="53"/>
  <c r="G136" i="53" s="1"/>
  <c r="G143" i="53" s="1"/>
  <c r="G51" i="52"/>
  <c r="G136" i="52" s="1"/>
  <c r="G143" i="52" s="1"/>
  <c r="G51" i="51"/>
  <c r="G136" i="51" s="1"/>
  <c r="G143" i="51" s="1"/>
  <c r="E119" i="55"/>
  <c r="E126" i="55" s="1"/>
  <c r="E153" i="55"/>
  <c r="E160" i="55" s="1"/>
  <c r="H6" i="45"/>
  <c r="G52" i="58"/>
  <c r="G52" i="55"/>
  <c r="G52" i="57"/>
  <c r="G52" i="53"/>
  <c r="G52" i="52"/>
  <c r="G52" i="51"/>
  <c r="D129" i="52"/>
  <c r="D169" i="52" s="1"/>
  <c r="D184" i="52" s="1"/>
  <c r="F75" i="51"/>
  <c r="F78" i="51" s="1"/>
  <c r="F165" i="51" s="1"/>
  <c r="E153" i="51"/>
  <c r="E160" i="51" s="1"/>
  <c r="E119" i="51"/>
  <c r="E126" i="51" s="1"/>
  <c r="E171" i="52"/>
  <c r="E174" i="52"/>
  <c r="E180" i="52" s="1"/>
  <c r="E183" i="52"/>
  <c r="E189" i="52" s="1"/>
  <c r="G43" i="58"/>
  <c r="G85" i="58" s="1"/>
  <c r="G92" i="58" s="1"/>
  <c r="G95" i="58" s="1"/>
  <c r="G166" i="58" s="1"/>
  <c r="G43" i="57"/>
  <c r="G85" i="57" s="1"/>
  <c r="G92" i="57" s="1"/>
  <c r="G95" i="57" s="1"/>
  <c r="G166" i="57" s="1"/>
  <c r="G43" i="55"/>
  <c r="G85" i="55" s="1"/>
  <c r="G92" i="55" s="1"/>
  <c r="G95" i="55" s="1"/>
  <c r="G166" i="55" s="1"/>
  <c r="G43" i="52"/>
  <c r="G85" i="52" s="1"/>
  <c r="G92" i="52" s="1"/>
  <c r="G95" i="52" s="1"/>
  <c r="G166" i="52" s="1"/>
  <c r="G43" i="53"/>
  <c r="G85" i="53" s="1"/>
  <c r="G92" i="53" s="1"/>
  <c r="G95" i="53" s="1"/>
  <c r="G166" i="53" s="1"/>
  <c r="G43" i="51"/>
  <c r="G85" i="51" s="1"/>
  <c r="G92" i="51" s="1"/>
  <c r="G95" i="51" s="1"/>
  <c r="G166" i="51" s="1"/>
  <c r="D129" i="51"/>
  <c r="D169" i="51" s="1"/>
  <c r="D175" i="51" s="1"/>
  <c r="E174" i="51"/>
  <c r="E180" i="51" s="1"/>
  <c r="E183" i="51"/>
  <c r="E189" i="51" s="1"/>
  <c r="E171" i="51"/>
  <c r="E133" i="55"/>
  <c r="E145" i="55" s="1"/>
  <c r="E140" i="55"/>
  <c r="E142" i="55"/>
  <c r="E150" i="52"/>
  <c r="E162" i="52" s="1"/>
  <c r="E157" i="52"/>
  <c r="E159" i="52"/>
  <c r="E150" i="53"/>
  <c r="E162" i="53" s="1"/>
  <c r="E157" i="53"/>
  <c r="E159" i="53"/>
  <c r="E116" i="51"/>
  <c r="E128" i="51" s="1"/>
  <c r="E118" i="51"/>
  <c r="E125" i="51" s="1"/>
  <c r="E123" i="51"/>
  <c r="E127" i="51" s="1"/>
  <c r="D150" i="55"/>
  <c r="D162" i="55" s="1"/>
  <c r="D157" i="55"/>
  <c r="D159" i="55"/>
  <c r="D99" i="57"/>
  <c r="D111" i="57" s="1"/>
  <c r="D101" i="57"/>
  <c r="D108" i="57" s="1"/>
  <c r="D106" i="57"/>
  <c r="D110" i="57" s="1"/>
  <c r="D99" i="55"/>
  <c r="D111" i="55" s="1"/>
  <c r="D101" i="55"/>
  <c r="D108" i="55" s="1"/>
  <c r="D106" i="55"/>
  <c r="D110" i="55" s="1"/>
  <c r="E98" i="57"/>
  <c r="F132" i="38"/>
  <c r="F135" i="38" s="1"/>
  <c r="F132" i="55"/>
  <c r="F135" i="55" s="1"/>
  <c r="E115" i="38"/>
  <c r="E115" i="55"/>
  <c r="D129" i="53"/>
  <c r="D169" i="53" s="1"/>
  <c r="E149" i="57"/>
  <c r="E152" i="57" s="1"/>
  <c r="E98" i="38"/>
  <c r="E98" i="55"/>
  <c r="D112" i="53"/>
  <c r="D167" i="53" s="1"/>
  <c r="D116" i="57"/>
  <c r="D128" i="57" s="1"/>
  <c r="D118" i="57"/>
  <c r="D125" i="57" s="1"/>
  <c r="D123" i="57"/>
  <c r="D127" i="57" s="1"/>
  <c r="E99" i="52"/>
  <c r="E111" i="52" s="1"/>
  <c r="E101" i="52"/>
  <c r="E108" i="52" s="1"/>
  <c r="E106" i="52"/>
  <c r="E110" i="52" s="1"/>
  <c r="E99" i="53"/>
  <c r="E111" i="53" s="1"/>
  <c r="E101" i="53"/>
  <c r="E108" i="53" s="1"/>
  <c r="E106" i="53"/>
  <c r="E110" i="53" s="1"/>
  <c r="E116" i="53"/>
  <c r="E128" i="53" s="1"/>
  <c r="E123" i="53"/>
  <c r="E127" i="53" s="1"/>
  <c r="E118" i="53"/>
  <c r="E125" i="53" s="1"/>
  <c r="E99" i="51"/>
  <c r="E111" i="51" s="1"/>
  <c r="E106" i="51"/>
  <c r="E110" i="51" s="1"/>
  <c r="E101" i="51"/>
  <c r="E108" i="51" s="1"/>
  <c r="D116" i="55"/>
  <c r="D128" i="55" s="1"/>
  <c r="D123" i="55"/>
  <c r="D127" i="55" s="1"/>
  <c r="D118" i="55"/>
  <c r="D125" i="55" s="1"/>
  <c r="D150" i="57"/>
  <c r="D162" i="57" s="1"/>
  <c r="D157" i="57"/>
  <c r="D159" i="57"/>
  <c r="E157" i="51"/>
  <c r="E140" i="51"/>
  <c r="H156" i="45"/>
  <c r="H55" i="63" s="1"/>
  <c r="H69" i="63" s="1"/>
  <c r="H76" i="63" s="1"/>
  <c r="H155" i="45"/>
  <c r="H55" i="62" s="1"/>
  <c r="H69" i="62" s="1"/>
  <c r="H76" i="62" s="1"/>
  <c r="F121" i="45"/>
  <c r="F115" i="62" s="1"/>
  <c r="F118" i="62" s="1"/>
  <c r="H154" i="45"/>
  <c r="G55" i="38"/>
  <c r="F118" i="45"/>
  <c r="F115" i="63" s="1"/>
  <c r="F118" i="63" s="1"/>
  <c r="F117" i="45"/>
  <c r="F115" i="51" s="1"/>
  <c r="F124" i="45"/>
  <c r="F115" i="67" s="1"/>
  <c r="F118" i="67" s="1"/>
  <c r="F122" i="45"/>
  <c r="F115" i="53" s="1"/>
  <c r="F123" i="45"/>
  <c r="F115" i="52" s="1"/>
  <c r="F119" i="45"/>
  <c r="F120" i="45"/>
  <c r="G116" i="45"/>
  <c r="G122" i="45" s="1"/>
  <c r="G115" i="53" s="1"/>
  <c r="G140" i="45"/>
  <c r="H40" i="45"/>
  <c r="H39" i="45"/>
  <c r="H38" i="45"/>
  <c r="H27" i="45"/>
  <c r="H28" i="45"/>
  <c r="H29" i="45"/>
  <c r="G103" i="45"/>
  <c r="G104" i="45"/>
  <c r="F112" i="45"/>
  <c r="F98" i="67" s="1"/>
  <c r="F113" i="45"/>
  <c r="F109" i="45"/>
  <c r="F98" i="62" s="1"/>
  <c r="F108" i="45"/>
  <c r="F106" i="45"/>
  <c r="F98" i="63" s="1"/>
  <c r="F105" i="45"/>
  <c r="F98" i="51" s="1"/>
  <c r="F111" i="45"/>
  <c r="F98" i="52" s="1"/>
  <c r="F110" i="45"/>
  <c r="F98" i="53" s="1"/>
  <c r="F107" i="45"/>
  <c r="H14" i="45"/>
  <c r="H12" i="45"/>
  <c r="H20" i="45"/>
  <c r="G53" i="38"/>
  <c r="H21" i="45"/>
  <c r="H5" i="45"/>
  <c r="H19" i="45"/>
  <c r="G52" i="38"/>
  <c r="H23" i="45"/>
  <c r="H4" i="45"/>
  <c r="G48" i="66" l="1"/>
  <c r="G50" i="66" s="1"/>
  <c r="G119" i="66" s="1"/>
  <c r="G126" i="66" s="1"/>
  <c r="F119" i="63"/>
  <c r="F126" i="63" s="1"/>
  <c r="F153" i="63"/>
  <c r="F160" i="63" s="1"/>
  <c r="F119" i="66"/>
  <c r="F126" i="66" s="1"/>
  <c r="G48" i="62"/>
  <c r="G50" i="62" s="1"/>
  <c r="G153" i="62" s="1"/>
  <c r="G160" i="62" s="1"/>
  <c r="G48" i="64"/>
  <c r="G50" i="64" s="1"/>
  <c r="G119" i="64" s="1"/>
  <c r="G126" i="64" s="1"/>
  <c r="G48" i="63"/>
  <c r="G50" i="63" s="1"/>
  <c r="G119" i="63" s="1"/>
  <c r="G126" i="63" s="1"/>
  <c r="F153" i="67"/>
  <c r="F160" i="67" s="1"/>
  <c r="F119" i="67"/>
  <c r="F126" i="67" s="1"/>
  <c r="G174" i="63"/>
  <c r="G180" i="63" s="1"/>
  <c r="G183" i="63"/>
  <c r="G189" i="63" s="1"/>
  <c r="G171" i="63"/>
  <c r="F119" i="64"/>
  <c r="F126" i="64" s="1"/>
  <c r="G48" i="58"/>
  <c r="G50" i="58" s="1"/>
  <c r="F119" i="65"/>
  <c r="F126" i="65" s="1"/>
  <c r="G48" i="51"/>
  <c r="G50" i="51" s="1"/>
  <c r="G48" i="67"/>
  <c r="G50" i="67" s="1"/>
  <c r="G119" i="67" s="1"/>
  <c r="G126" i="67" s="1"/>
  <c r="G78" i="64"/>
  <c r="G165" i="64" s="1"/>
  <c r="G171" i="64" s="1"/>
  <c r="F171" i="64"/>
  <c r="F174" i="64"/>
  <c r="F180" i="64" s="1"/>
  <c r="H52" i="65"/>
  <c r="H52" i="66"/>
  <c r="H52" i="67"/>
  <c r="H52" i="64"/>
  <c r="H52" i="63"/>
  <c r="G48" i="52"/>
  <c r="G50" i="52" s="1"/>
  <c r="G183" i="67"/>
  <c r="G189" i="67" s="1"/>
  <c r="G171" i="67"/>
  <c r="G174" i="67"/>
  <c r="G180" i="67" s="1"/>
  <c r="H43" i="62"/>
  <c r="H85" i="62" s="1"/>
  <c r="H92" i="62" s="1"/>
  <c r="H95" i="62" s="1"/>
  <c r="H166" i="62" s="1"/>
  <c r="H43" i="66"/>
  <c r="H85" i="66" s="1"/>
  <c r="H92" i="66" s="1"/>
  <c r="H95" i="66" s="1"/>
  <c r="H166" i="66" s="1"/>
  <c r="H43" i="65"/>
  <c r="H85" i="65" s="1"/>
  <c r="H92" i="65" s="1"/>
  <c r="H95" i="65" s="1"/>
  <c r="H166" i="65" s="1"/>
  <c r="H43" i="67"/>
  <c r="H85" i="67" s="1"/>
  <c r="H92" i="67" s="1"/>
  <c r="H95" i="67" s="1"/>
  <c r="H166" i="67" s="1"/>
  <c r="H43" i="64"/>
  <c r="H85" i="64" s="1"/>
  <c r="H92" i="64" s="1"/>
  <c r="H95" i="64" s="1"/>
  <c r="H166" i="64" s="1"/>
  <c r="H43" i="63"/>
  <c r="H85" i="63" s="1"/>
  <c r="H92" i="63" s="1"/>
  <c r="H95" i="63" s="1"/>
  <c r="H166" i="63" s="1"/>
  <c r="G48" i="53"/>
  <c r="G50" i="53" s="1"/>
  <c r="H46" i="62"/>
  <c r="H46" i="66"/>
  <c r="H46" i="65"/>
  <c r="H46" i="67"/>
  <c r="H46" i="63"/>
  <c r="H46" i="64"/>
  <c r="G48" i="57"/>
  <c r="G50" i="57" s="1"/>
  <c r="G48" i="65"/>
  <c r="G50" i="65" s="1"/>
  <c r="G153" i="65" s="1"/>
  <c r="G160" i="65" s="1"/>
  <c r="H53" i="65"/>
  <c r="H53" i="67"/>
  <c r="H53" i="66"/>
  <c r="H53" i="64"/>
  <c r="H53" i="63"/>
  <c r="G48" i="55"/>
  <c r="G50" i="55" s="1"/>
  <c r="H44" i="62"/>
  <c r="H102" i="62" s="1"/>
  <c r="H109" i="62" s="1"/>
  <c r="H44" i="67"/>
  <c r="H102" i="67" s="1"/>
  <c r="H109" i="67" s="1"/>
  <c r="H44" i="66"/>
  <c r="H102" i="66" s="1"/>
  <c r="H109" i="66" s="1"/>
  <c r="H44" i="65"/>
  <c r="H102" i="65" s="1"/>
  <c r="H109" i="65" s="1"/>
  <c r="H44" i="64"/>
  <c r="H102" i="64" s="1"/>
  <c r="H109" i="64" s="1"/>
  <c r="H44" i="63"/>
  <c r="H102" i="63" s="1"/>
  <c r="H109" i="63" s="1"/>
  <c r="H49" i="57"/>
  <c r="H49" i="67"/>
  <c r="H49" i="53"/>
  <c r="H49" i="55"/>
  <c r="H49" i="66"/>
  <c r="H49" i="52"/>
  <c r="H49" i="58"/>
  <c r="H49" i="51"/>
  <c r="H49" i="65"/>
  <c r="D112" i="58"/>
  <c r="D167" i="58" s="1"/>
  <c r="D176" i="58" s="1"/>
  <c r="H42" i="62"/>
  <c r="H68" i="62" s="1"/>
  <c r="H75" i="62" s="1"/>
  <c r="H78" i="62" s="1"/>
  <c r="H165" i="62" s="1"/>
  <c r="H42" i="67"/>
  <c r="H68" i="67" s="1"/>
  <c r="H75" i="67" s="1"/>
  <c r="H78" i="67" s="1"/>
  <c r="H165" i="67" s="1"/>
  <c r="H42" i="65"/>
  <c r="H68" i="65" s="1"/>
  <c r="H75" i="65" s="1"/>
  <c r="H78" i="65" s="1"/>
  <c r="H165" i="65" s="1"/>
  <c r="H42" i="66"/>
  <c r="H68" i="66" s="1"/>
  <c r="H75" i="66" s="1"/>
  <c r="H78" i="66" s="1"/>
  <c r="H165" i="66" s="1"/>
  <c r="H42" i="64"/>
  <c r="H68" i="64" s="1"/>
  <c r="H75" i="64" s="1"/>
  <c r="H42" i="63"/>
  <c r="H68" i="63" s="1"/>
  <c r="H75" i="63" s="1"/>
  <c r="H78" i="63" s="1"/>
  <c r="H165" i="63" s="1"/>
  <c r="H183" i="63" s="1"/>
  <c r="H189" i="63" s="1"/>
  <c r="G174" i="65"/>
  <c r="G180" i="65" s="1"/>
  <c r="G183" i="65"/>
  <c r="G189" i="65" s="1"/>
  <c r="G171" i="65"/>
  <c r="G183" i="66"/>
  <c r="G189" i="66" s="1"/>
  <c r="G171" i="66"/>
  <c r="G174" i="66"/>
  <c r="G180" i="66" s="1"/>
  <c r="F118" i="58"/>
  <c r="F125" i="58" s="1"/>
  <c r="F116" i="58"/>
  <c r="F128" i="58" s="1"/>
  <c r="D175" i="58"/>
  <c r="H45" i="62"/>
  <c r="H45" i="67"/>
  <c r="H45" i="65"/>
  <c r="H45" i="66"/>
  <c r="H45" i="63"/>
  <c r="H45" i="64"/>
  <c r="F119" i="62"/>
  <c r="F126" i="62" s="1"/>
  <c r="E118" i="58"/>
  <c r="E125" i="58" s="1"/>
  <c r="H51" i="62"/>
  <c r="H136" i="62" s="1"/>
  <c r="H143" i="62" s="1"/>
  <c r="H51" i="67"/>
  <c r="H136" i="67" s="1"/>
  <c r="H143" i="67" s="1"/>
  <c r="H51" i="66"/>
  <c r="H136" i="66" s="1"/>
  <c r="H143" i="66" s="1"/>
  <c r="H51" i="65"/>
  <c r="H136" i="65" s="1"/>
  <c r="H143" i="65" s="1"/>
  <c r="H51" i="63"/>
  <c r="H136" i="63" s="1"/>
  <c r="H143" i="63" s="1"/>
  <c r="H51" i="64"/>
  <c r="H136" i="64" s="1"/>
  <c r="H143" i="64" s="1"/>
  <c r="F135" i="52"/>
  <c r="F142" i="52" s="1"/>
  <c r="F133" i="52"/>
  <c r="F145" i="52" s="1"/>
  <c r="F140" i="52"/>
  <c r="F135" i="53"/>
  <c r="F142" i="53" s="1"/>
  <c r="F133" i="53"/>
  <c r="F145" i="53" s="1"/>
  <c r="F140" i="53"/>
  <c r="F133" i="51"/>
  <c r="F145" i="51" s="1"/>
  <c r="F135" i="51"/>
  <c r="F142" i="51" s="1"/>
  <c r="G135" i="45"/>
  <c r="G132" i="52" s="1"/>
  <c r="G129" i="45"/>
  <c r="G132" i="51" s="1"/>
  <c r="G148" i="45"/>
  <c r="G149" i="52" s="1"/>
  <c r="G152" i="52" s="1"/>
  <c r="G145" i="45"/>
  <c r="G146" i="45"/>
  <c r="G149" i="62" s="1"/>
  <c r="G144" i="45"/>
  <c r="G149" i="38" s="1"/>
  <c r="G152" i="38" s="1"/>
  <c r="E157" i="63"/>
  <c r="G143" i="45"/>
  <c r="E152" i="63"/>
  <c r="E159" i="63" s="1"/>
  <c r="G134" i="45"/>
  <c r="G132" i="53" s="1"/>
  <c r="G142" i="45"/>
  <c r="G149" i="51" s="1"/>
  <c r="F135" i="67"/>
  <c r="F142" i="67" s="1"/>
  <c r="G147" i="45"/>
  <c r="G149" i="53" s="1"/>
  <c r="G152" i="53" s="1"/>
  <c r="F140" i="67"/>
  <c r="G136" i="45"/>
  <c r="G132" i="67" s="1"/>
  <c r="G150" i="45"/>
  <c r="G149" i="45"/>
  <c r="G149" i="67" s="1"/>
  <c r="H49" i="62"/>
  <c r="H49" i="64"/>
  <c r="H49" i="63"/>
  <c r="E106" i="58"/>
  <c r="E110" i="58" s="1"/>
  <c r="F133" i="58"/>
  <c r="F145" i="58" s="1"/>
  <c r="F140" i="58"/>
  <c r="F135" i="61"/>
  <c r="F142" i="61" s="1"/>
  <c r="F140" i="61"/>
  <c r="E157" i="58"/>
  <c r="E150" i="58"/>
  <c r="E162" i="58" s="1"/>
  <c r="D184" i="67"/>
  <c r="D129" i="64"/>
  <c r="D169" i="64" s="1"/>
  <c r="D175" i="64" s="1"/>
  <c r="I157" i="45"/>
  <c r="H55" i="64"/>
  <c r="H69" i="64" s="1"/>
  <c r="H76" i="64" s="1"/>
  <c r="G132" i="66"/>
  <c r="G132" i="64"/>
  <c r="F133" i="63"/>
  <c r="F145" i="63" s="1"/>
  <c r="F135" i="63"/>
  <c r="F142" i="63" s="1"/>
  <c r="F140" i="63"/>
  <c r="F133" i="66"/>
  <c r="F145" i="66" s="1"/>
  <c r="F140" i="66"/>
  <c r="F135" i="66"/>
  <c r="F142" i="66" s="1"/>
  <c r="F133" i="64"/>
  <c r="F145" i="64" s="1"/>
  <c r="F140" i="64"/>
  <c r="F135" i="64"/>
  <c r="F142" i="64" s="1"/>
  <c r="G132" i="61"/>
  <c r="G133" i="61" s="1"/>
  <c r="G145" i="61" s="1"/>
  <c r="G132" i="63"/>
  <c r="E101" i="58"/>
  <c r="E108" i="58" s="1"/>
  <c r="F149" i="61"/>
  <c r="F152" i="61" s="1"/>
  <c r="F159" i="61" s="1"/>
  <c r="F149" i="63"/>
  <c r="F115" i="66"/>
  <c r="F118" i="66" s="1"/>
  <c r="F115" i="64"/>
  <c r="F118" i="64" s="1"/>
  <c r="D184" i="63"/>
  <c r="D175" i="63"/>
  <c r="D129" i="66"/>
  <c r="D169" i="66" s="1"/>
  <c r="F116" i="67"/>
  <c r="F128" i="67" s="1"/>
  <c r="F123" i="67"/>
  <c r="F127" i="67" s="1"/>
  <c r="F125" i="67"/>
  <c r="E123" i="58"/>
  <c r="E127" i="58" s="1"/>
  <c r="E129" i="67"/>
  <c r="E169" i="67" s="1"/>
  <c r="F149" i="66"/>
  <c r="F149" i="64"/>
  <c r="F149" i="58"/>
  <c r="F152" i="58" s="1"/>
  <c r="F159" i="58" s="1"/>
  <c r="F149" i="65"/>
  <c r="F116" i="63"/>
  <c r="F128" i="63" s="1"/>
  <c r="F125" i="63"/>
  <c r="F123" i="63"/>
  <c r="F127" i="63" s="1"/>
  <c r="E150" i="65"/>
  <c r="E162" i="65" s="1"/>
  <c r="E157" i="65"/>
  <c r="E152" i="65"/>
  <c r="E159" i="65" s="1"/>
  <c r="E150" i="64"/>
  <c r="E162" i="64" s="1"/>
  <c r="E157" i="64"/>
  <c r="E152" i="64"/>
  <c r="E159" i="64" s="1"/>
  <c r="E150" i="66"/>
  <c r="E162" i="66" s="1"/>
  <c r="E157" i="66"/>
  <c r="E152" i="66"/>
  <c r="E159" i="66" s="1"/>
  <c r="E129" i="63"/>
  <c r="E169" i="63" s="1"/>
  <c r="F133" i="65"/>
  <c r="F145" i="65" s="1"/>
  <c r="F135" i="65"/>
  <c r="F142" i="65" s="1"/>
  <c r="F140" i="65"/>
  <c r="F150" i="67"/>
  <c r="F162" i="67" s="1"/>
  <c r="F152" i="67"/>
  <c r="F159" i="67" s="1"/>
  <c r="F157" i="67"/>
  <c r="E116" i="64"/>
  <c r="E128" i="64" s="1"/>
  <c r="E123" i="64"/>
  <c r="E127" i="64" s="1"/>
  <c r="E125" i="64"/>
  <c r="G132" i="58"/>
  <c r="G135" i="58" s="1"/>
  <c r="G142" i="58" s="1"/>
  <c r="G132" i="65"/>
  <c r="E116" i="65"/>
  <c r="E128" i="65" s="1"/>
  <c r="E123" i="65"/>
  <c r="E127" i="65" s="1"/>
  <c r="E118" i="65"/>
  <c r="E125" i="65" s="1"/>
  <c r="F116" i="65"/>
  <c r="F128" i="65" s="1"/>
  <c r="F118" i="65"/>
  <c r="F125" i="65" s="1"/>
  <c r="F123" i="65"/>
  <c r="F127" i="65" s="1"/>
  <c r="E116" i="66"/>
  <c r="E128" i="66" s="1"/>
  <c r="E123" i="66"/>
  <c r="E127" i="66" s="1"/>
  <c r="E125" i="66"/>
  <c r="D184" i="65"/>
  <c r="D175" i="65"/>
  <c r="D112" i="65"/>
  <c r="D167" i="65" s="1"/>
  <c r="D112" i="64"/>
  <c r="D167" i="64" s="1"/>
  <c r="F99" i="63"/>
  <c r="F111" i="63" s="1"/>
  <c r="F106" i="63"/>
  <c r="F110" i="63" s="1"/>
  <c r="F101" i="63"/>
  <c r="F108" i="63" s="1"/>
  <c r="E99" i="64"/>
  <c r="E111" i="64" s="1"/>
  <c r="E106" i="64"/>
  <c r="E110" i="64" s="1"/>
  <c r="E101" i="64"/>
  <c r="E108" i="64" s="1"/>
  <c r="F98" i="66"/>
  <c r="F98" i="64"/>
  <c r="E99" i="65"/>
  <c r="E111" i="65" s="1"/>
  <c r="E106" i="65"/>
  <c r="E110" i="65" s="1"/>
  <c r="E101" i="65"/>
  <c r="E108" i="65" s="1"/>
  <c r="E99" i="66"/>
  <c r="E111" i="66" s="1"/>
  <c r="E101" i="66"/>
  <c r="E108" i="66" s="1"/>
  <c r="E106" i="66"/>
  <c r="E110" i="66" s="1"/>
  <c r="D185" i="67"/>
  <c r="D176" i="67"/>
  <c r="F98" i="58"/>
  <c r="F101" i="58" s="1"/>
  <c r="F108" i="58" s="1"/>
  <c r="F98" i="65"/>
  <c r="F99" i="67"/>
  <c r="F111" i="67" s="1"/>
  <c r="F101" i="67"/>
  <c r="F108" i="67" s="1"/>
  <c r="F106" i="67"/>
  <c r="F110" i="67" s="1"/>
  <c r="D112" i="66"/>
  <c r="D167" i="66" s="1"/>
  <c r="E112" i="67"/>
  <c r="E167" i="67" s="1"/>
  <c r="E112" i="63"/>
  <c r="E167" i="63" s="1"/>
  <c r="D176" i="63"/>
  <c r="D185" i="63"/>
  <c r="E157" i="55"/>
  <c r="E152" i="55"/>
  <c r="E159" i="55" s="1"/>
  <c r="F150" i="51"/>
  <c r="F152" i="51"/>
  <c r="F153" i="61"/>
  <c r="F160" i="61" s="1"/>
  <c r="F174" i="53"/>
  <c r="F180" i="53" s="1"/>
  <c r="D185" i="62"/>
  <c r="F183" i="53"/>
  <c r="F189" i="53" s="1"/>
  <c r="H53" i="61"/>
  <c r="H72" i="45"/>
  <c r="H77" i="45"/>
  <c r="H70" i="45"/>
  <c r="H74" i="45"/>
  <c r="H75" i="45"/>
  <c r="H73" i="45"/>
  <c r="H78" i="45"/>
  <c r="H71" i="45"/>
  <c r="H76" i="45"/>
  <c r="H53" i="62"/>
  <c r="G132" i="62"/>
  <c r="G132" i="57"/>
  <c r="G135" i="57" s="1"/>
  <c r="D184" i="62"/>
  <c r="D175" i="62"/>
  <c r="F140" i="57"/>
  <c r="F142" i="57"/>
  <c r="F133" i="57"/>
  <c r="F145" i="57" s="1"/>
  <c r="F99" i="62"/>
  <c r="F111" i="62" s="1"/>
  <c r="F106" i="62"/>
  <c r="F110" i="62" s="1"/>
  <c r="F101" i="62"/>
  <c r="F108" i="62" s="1"/>
  <c r="F133" i="62"/>
  <c r="F145" i="62" s="1"/>
  <c r="F140" i="62"/>
  <c r="F135" i="62"/>
  <c r="F142" i="62" s="1"/>
  <c r="E112" i="62"/>
  <c r="E167" i="62" s="1"/>
  <c r="E129" i="62"/>
  <c r="E169" i="62" s="1"/>
  <c r="H52" i="61"/>
  <c r="H59" i="45"/>
  <c r="H65" i="45"/>
  <c r="H60" i="45"/>
  <c r="H66" i="45"/>
  <c r="H61" i="45"/>
  <c r="H67" i="45"/>
  <c r="H62" i="45"/>
  <c r="H63" i="45"/>
  <c r="H64" i="45"/>
  <c r="H48" i="45"/>
  <c r="H129" i="45" s="1"/>
  <c r="H51" i="45"/>
  <c r="H132" i="45" s="1"/>
  <c r="H54" i="45"/>
  <c r="H135" i="45" s="1"/>
  <c r="H56" i="45"/>
  <c r="H137" i="45" s="1"/>
  <c r="H49" i="45"/>
  <c r="H130" i="45" s="1"/>
  <c r="H52" i="45"/>
  <c r="H133" i="45" s="1"/>
  <c r="H55" i="45"/>
  <c r="H136" i="45" s="1"/>
  <c r="H50" i="45"/>
  <c r="H131" i="45" s="1"/>
  <c r="H53" i="45"/>
  <c r="H134" i="45" s="1"/>
  <c r="H52" i="62"/>
  <c r="F116" i="62"/>
  <c r="F128" i="62" s="1"/>
  <c r="F125" i="62"/>
  <c r="F123" i="62"/>
  <c r="F127" i="62" s="1"/>
  <c r="G171" i="62"/>
  <c r="G174" i="62"/>
  <c r="G180" i="62" s="1"/>
  <c r="G183" i="62"/>
  <c r="G189" i="62" s="1"/>
  <c r="F150" i="62"/>
  <c r="F162" i="62" s="1"/>
  <c r="F152" i="62"/>
  <c r="F159" i="62" s="1"/>
  <c r="F157" i="62"/>
  <c r="G48" i="61"/>
  <c r="G50" i="61" s="1"/>
  <c r="G119" i="61" s="1"/>
  <c r="G126" i="61" s="1"/>
  <c r="D129" i="61"/>
  <c r="D169" i="61" s="1"/>
  <c r="D184" i="61" s="1"/>
  <c r="E118" i="57"/>
  <c r="E125" i="57" s="1"/>
  <c r="D112" i="61"/>
  <c r="D167" i="61" s="1"/>
  <c r="D176" i="61" s="1"/>
  <c r="H42" i="61"/>
  <c r="H68" i="61" s="1"/>
  <c r="H75" i="61" s="1"/>
  <c r="H78" i="61" s="1"/>
  <c r="H165" i="61" s="1"/>
  <c r="H42" i="38"/>
  <c r="H45" i="38"/>
  <c r="H45" i="61"/>
  <c r="F98" i="61"/>
  <c r="F115" i="61"/>
  <c r="F118" i="61" s="1"/>
  <c r="H44" i="61"/>
  <c r="H102" i="61" s="1"/>
  <c r="H109" i="61" s="1"/>
  <c r="H44" i="38"/>
  <c r="G171" i="61"/>
  <c r="G174" i="61"/>
  <c r="G180" i="61" s="1"/>
  <c r="G183" i="61"/>
  <c r="G189" i="61" s="1"/>
  <c r="E99" i="61"/>
  <c r="E111" i="61" s="1"/>
  <c r="E106" i="61"/>
  <c r="E110" i="61" s="1"/>
  <c r="E101" i="61"/>
  <c r="E108" i="61" s="1"/>
  <c r="H51" i="61"/>
  <c r="H136" i="61" s="1"/>
  <c r="H143" i="61" s="1"/>
  <c r="H51" i="38"/>
  <c r="H43" i="61"/>
  <c r="H85" i="61" s="1"/>
  <c r="H92" i="61" s="1"/>
  <c r="H95" i="61" s="1"/>
  <c r="H166" i="61" s="1"/>
  <c r="H43" i="38"/>
  <c r="E116" i="61"/>
  <c r="E128" i="61" s="1"/>
  <c r="E125" i="61"/>
  <c r="E123" i="61"/>
  <c r="E127" i="61" s="1"/>
  <c r="H46" i="61"/>
  <c r="H46" i="38"/>
  <c r="H49" i="61"/>
  <c r="H49" i="38"/>
  <c r="E123" i="57"/>
  <c r="E127" i="57" s="1"/>
  <c r="D176" i="52"/>
  <c r="F171" i="58"/>
  <c r="F183" i="58"/>
  <c r="F189" i="58" s="1"/>
  <c r="F171" i="55"/>
  <c r="F183" i="52"/>
  <c r="F189" i="52" s="1"/>
  <c r="F174" i="52"/>
  <c r="F180" i="52" s="1"/>
  <c r="G75" i="52"/>
  <c r="G78" i="52" s="1"/>
  <c r="G165" i="52" s="1"/>
  <c r="G183" i="52" s="1"/>
  <c r="G189" i="52" s="1"/>
  <c r="G75" i="55"/>
  <c r="G78" i="55" s="1"/>
  <c r="G165" i="55" s="1"/>
  <c r="G174" i="55" s="1"/>
  <c r="G180" i="55" s="1"/>
  <c r="G75" i="53"/>
  <c r="G78" i="53" s="1"/>
  <c r="G165" i="53" s="1"/>
  <c r="G171" i="53" s="1"/>
  <c r="I6" i="45"/>
  <c r="G75" i="57"/>
  <c r="G78" i="57" s="1"/>
  <c r="G165" i="57" s="1"/>
  <c r="G171" i="57" s="1"/>
  <c r="F174" i="57"/>
  <c r="F180" i="57" s="1"/>
  <c r="F174" i="55"/>
  <c r="F180" i="55" s="1"/>
  <c r="F183" i="57"/>
  <c r="F189" i="57" s="1"/>
  <c r="F171" i="57"/>
  <c r="D176" i="51"/>
  <c r="G75" i="58"/>
  <c r="G78" i="58" s="1"/>
  <c r="G165" i="58" s="1"/>
  <c r="G174" i="58" s="1"/>
  <c r="G180" i="58" s="1"/>
  <c r="D184" i="51"/>
  <c r="D175" i="52"/>
  <c r="E112" i="53"/>
  <c r="E167" i="53" s="1"/>
  <c r="E185" i="53" s="1"/>
  <c r="G75" i="51"/>
  <c r="G78" i="51" s="1"/>
  <c r="G165" i="51" s="1"/>
  <c r="G174" i="51" s="1"/>
  <c r="G180" i="51" s="1"/>
  <c r="F153" i="58"/>
  <c r="F160" i="58" s="1"/>
  <c r="F119" i="58"/>
  <c r="F126" i="58" s="1"/>
  <c r="F171" i="51"/>
  <c r="F174" i="51"/>
  <c r="F180" i="51" s="1"/>
  <c r="F183" i="51"/>
  <c r="F189" i="51" s="1"/>
  <c r="H43" i="58"/>
  <c r="H85" i="58" s="1"/>
  <c r="H92" i="58" s="1"/>
  <c r="H95" i="58" s="1"/>
  <c r="H166" i="58" s="1"/>
  <c r="H43" i="57"/>
  <c r="H85" i="57" s="1"/>
  <c r="H92" i="57" s="1"/>
  <c r="H95" i="57" s="1"/>
  <c r="H166" i="57" s="1"/>
  <c r="H43" i="55"/>
  <c r="H85" i="55" s="1"/>
  <c r="H92" i="55" s="1"/>
  <c r="H95" i="55" s="1"/>
  <c r="H166" i="55" s="1"/>
  <c r="H43" i="52"/>
  <c r="H85" i="52" s="1"/>
  <c r="H92" i="52" s="1"/>
  <c r="H95" i="52" s="1"/>
  <c r="H166" i="52" s="1"/>
  <c r="H43" i="53"/>
  <c r="H85" i="53" s="1"/>
  <c r="H92" i="53" s="1"/>
  <c r="H95" i="53" s="1"/>
  <c r="H166" i="53" s="1"/>
  <c r="H43" i="51"/>
  <c r="H85" i="51" s="1"/>
  <c r="H92" i="51" s="1"/>
  <c r="H95" i="51" s="1"/>
  <c r="H166" i="51" s="1"/>
  <c r="F153" i="52"/>
  <c r="F160" i="52" s="1"/>
  <c r="F119" i="52"/>
  <c r="F126" i="52" s="1"/>
  <c r="H44" i="58"/>
  <c r="H102" i="58" s="1"/>
  <c r="H109" i="58" s="1"/>
  <c r="H44" i="57"/>
  <c r="H102" i="57" s="1"/>
  <c r="H109" i="57" s="1"/>
  <c r="H44" i="55"/>
  <c r="H102" i="55" s="1"/>
  <c r="H109" i="55" s="1"/>
  <c r="H44" i="53"/>
  <c r="H102" i="53" s="1"/>
  <c r="H109" i="53" s="1"/>
  <c r="H44" i="52"/>
  <c r="H102" i="52" s="1"/>
  <c r="H109" i="52" s="1"/>
  <c r="H44" i="51"/>
  <c r="H102" i="51" s="1"/>
  <c r="H109" i="51" s="1"/>
  <c r="H42" i="58"/>
  <c r="H68" i="58" s="1"/>
  <c r="H42" i="57"/>
  <c r="H68" i="57" s="1"/>
  <c r="H42" i="55"/>
  <c r="H68" i="55" s="1"/>
  <c r="H42" i="53"/>
  <c r="H68" i="53" s="1"/>
  <c r="H42" i="52"/>
  <c r="H68" i="52" s="1"/>
  <c r="H42" i="51"/>
  <c r="H68" i="51" s="1"/>
  <c r="E112" i="52"/>
  <c r="E167" i="52" s="1"/>
  <c r="E185" i="52" s="1"/>
  <c r="F119" i="51"/>
  <c r="F126" i="51" s="1"/>
  <c r="F153" i="51"/>
  <c r="F160" i="51" s="1"/>
  <c r="D112" i="55"/>
  <c r="D167" i="55" s="1"/>
  <c r="D176" i="55" s="1"/>
  <c r="H52" i="58"/>
  <c r="H52" i="55"/>
  <c r="H52" i="57"/>
  <c r="H52" i="53"/>
  <c r="H52" i="52"/>
  <c r="H52" i="51"/>
  <c r="H45" i="58"/>
  <c r="H45" i="57"/>
  <c r="H45" i="55"/>
  <c r="H45" i="53"/>
  <c r="H45" i="52"/>
  <c r="H45" i="51"/>
  <c r="H53" i="58"/>
  <c r="H53" i="55"/>
  <c r="H53" i="57"/>
  <c r="H53" i="53"/>
  <c r="H53" i="52"/>
  <c r="H53" i="51"/>
  <c r="H41" i="58"/>
  <c r="H67" i="58" s="1"/>
  <c r="H41" i="57"/>
  <c r="H67" i="57" s="1"/>
  <c r="H41" i="55"/>
  <c r="H67" i="55" s="1"/>
  <c r="H41" i="52"/>
  <c r="H67" i="52" s="1"/>
  <c r="H41" i="53"/>
  <c r="H67" i="53" s="1"/>
  <c r="H41" i="51"/>
  <c r="H67" i="51" s="1"/>
  <c r="H51" i="58"/>
  <c r="H136" i="58" s="1"/>
  <c r="H143" i="58" s="1"/>
  <c r="H51" i="57"/>
  <c r="H136" i="57" s="1"/>
  <c r="H143" i="57" s="1"/>
  <c r="H51" i="55"/>
  <c r="H136" i="55" s="1"/>
  <c r="H143" i="55" s="1"/>
  <c r="H51" i="53"/>
  <c r="H136" i="53" s="1"/>
  <c r="H143" i="53" s="1"/>
  <c r="H51" i="51"/>
  <c r="H136" i="51" s="1"/>
  <c r="H143" i="51" s="1"/>
  <c r="H51" i="52"/>
  <c r="H136" i="52" s="1"/>
  <c r="H143" i="52" s="1"/>
  <c r="D129" i="57"/>
  <c r="D169" i="57" s="1"/>
  <c r="D175" i="57" s="1"/>
  <c r="F153" i="55"/>
  <c r="F160" i="55" s="1"/>
  <c r="F119" i="55"/>
  <c r="F126" i="55" s="1"/>
  <c r="F119" i="53"/>
  <c r="F126" i="53" s="1"/>
  <c r="F153" i="53"/>
  <c r="F160" i="53" s="1"/>
  <c r="H46" i="58"/>
  <c r="H46" i="57"/>
  <c r="H46" i="53"/>
  <c r="H46" i="55"/>
  <c r="H46" i="52"/>
  <c r="H46" i="51"/>
  <c r="F153" i="57"/>
  <c r="F160" i="57" s="1"/>
  <c r="F119" i="57"/>
  <c r="F126" i="57" s="1"/>
  <c r="F99" i="51"/>
  <c r="F111" i="51" s="1"/>
  <c r="F106" i="51"/>
  <c r="F110" i="51" s="1"/>
  <c r="F101" i="51"/>
  <c r="F108" i="51" s="1"/>
  <c r="F149" i="57"/>
  <c r="F152" i="57" s="1"/>
  <c r="F150" i="53"/>
  <c r="F162" i="53" s="1"/>
  <c r="F157" i="53"/>
  <c r="F159" i="53"/>
  <c r="E112" i="51"/>
  <c r="E167" i="51" s="1"/>
  <c r="D185" i="53"/>
  <c r="D176" i="53"/>
  <c r="F98" i="57"/>
  <c r="E99" i="57"/>
  <c r="E111" i="57" s="1"/>
  <c r="E101" i="57"/>
  <c r="E108" i="57" s="1"/>
  <c r="E106" i="57"/>
  <c r="E110" i="57" s="1"/>
  <c r="F115" i="38"/>
  <c r="F115" i="55"/>
  <c r="G116" i="53"/>
  <c r="G128" i="53" s="1"/>
  <c r="G118" i="53"/>
  <c r="G125" i="53" s="1"/>
  <c r="G123" i="53"/>
  <c r="G127" i="53" s="1"/>
  <c r="F115" i="57"/>
  <c r="F150" i="52"/>
  <c r="F162" i="52" s="1"/>
  <c r="F157" i="52"/>
  <c r="F159" i="52"/>
  <c r="G132" i="38"/>
  <c r="G135" i="38" s="1"/>
  <c r="G132" i="55"/>
  <c r="G135" i="55" s="1"/>
  <c r="E129" i="51"/>
  <c r="E169" i="51" s="1"/>
  <c r="E129" i="53"/>
  <c r="E169" i="53" s="1"/>
  <c r="F98" i="38"/>
  <c r="F98" i="55"/>
  <c r="F116" i="52"/>
  <c r="F128" i="52" s="1"/>
  <c r="F118" i="52"/>
  <c r="F125" i="52" s="1"/>
  <c r="F123" i="52"/>
  <c r="F127" i="52" s="1"/>
  <c r="D184" i="53"/>
  <c r="D175" i="53"/>
  <c r="F99" i="53"/>
  <c r="F111" i="53" s="1"/>
  <c r="F106" i="53"/>
  <c r="F110" i="53" s="1"/>
  <c r="F101" i="53"/>
  <c r="F108" i="53" s="1"/>
  <c r="F149" i="38"/>
  <c r="F152" i="38" s="1"/>
  <c r="F149" i="55"/>
  <c r="F152" i="55" s="1"/>
  <c r="F116" i="53"/>
  <c r="F128" i="53" s="1"/>
  <c r="F118" i="53"/>
  <c r="F125" i="53" s="1"/>
  <c r="F123" i="53"/>
  <c r="F127" i="53" s="1"/>
  <c r="E116" i="55"/>
  <c r="E128" i="55" s="1"/>
  <c r="E123" i="55"/>
  <c r="E127" i="55" s="1"/>
  <c r="E118" i="55"/>
  <c r="E125" i="55" s="1"/>
  <c r="F99" i="52"/>
  <c r="F111" i="52" s="1"/>
  <c r="F106" i="52"/>
  <c r="F110" i="52" s="1"/>
  <c r="F101" i="52"/>
  <c r="F108" i="52" s="1"/>
  <c r="D129" i="55"/>
  <c r="D169" i="55" s="1"/>
  <c r="E99" i="55"/>
  <c r="E111" i="55" s="1"/>
  <c r="E106" i="55"/>
  <c r="E110" i="55" s="1"/>
  <c r="E101" i="55"/>
  <c r="E108" i="55" s="1"/>
  <c r="F116" i="51"/>
  <c r="F128" i="51" s="1"/>
  <c r="F118" i="51"/>
  <c r="F125" i="51" s="1"/>
  <c r="F123" i="51"/>
  <c r="F127" i="51" s="1"/>
  <c r="F133" i="55"/>
  <c r="F145" i="55" s="1"/>
  <c r="F142" i="55"/>
  <c r="F140" i="55"/>
  <c r="D112" i="57"/>
  <c r="D167" i="57" s="1"/>
  <c r="E175" i="52"/>
  <c r="E184" i="52"/>
  <c r="E150" i="57"/>
  <c r="E162" i="57" s="1"/>
  <c r="E157" i="57"/>
  <c r="E159" i="57"/>
  <c r="F140" i="51"/>
  <c r="I156" i="45"/>
  <c r="I55" i="63" s="1"/>
  <c r="I69" i="63" s="1"/>
  <c r="I76" i="63" s="1"/>
  <c r="I155" i="45"/>
  <c r="I55" i="62" s="1"/>
  <c r="I69" i="62" s="1"/>
  <c r="I76" i="62" s="1"/>
  <c r="I154" i="45"/>
  <c r="H55" i="38"/>
  <c r="G123" i="45"/>
  <c r="G115" i="52" s="1"/>
  <c r="G125" i="45"/>
  <c r="G124" i="45"/>
  <c r="G115" i="67" s="1"/>
  <c r="G118" i="67" s="1"/>
  <c r="G120" i="45"/>
  <c r="G119" i="45"/>
  <c r="G118" i="45"/>
  <c r="G115" i="63" s="1"/>
  <c r="G118" i="63" s="1"/>
  <c r="H116" i="45"/>
  <c r="H121" i="45" s="1"/>
  <c r="H115" i="62" s="1"/>
  <c r="H118" i="62" s="1"/>
  <c r="H140" i="45"/>
  <c r="G121" i="45"/>
  <c r="G115" i="62" s="1"/>
  <c r="G118" i="62" s="1"/>
  <c r="G117" i="45"/>
  <c r="G115" i="51" s="1"/>
  <c r="I38" i="45"/>
  <c r="I39" i="45"/>
  <c r="I40" i="45"/>
  <c r="I28" i="45"/>
  <c r="I29" i="45"/>
  <c r="I27" i="45"/>
  <c r="G112" i="45"/>
  <c r="G98" i="67" s="1"/>
  <c r="G113" i="45"/>
  <c r="H103" i="45"/>
  <c r="H105" i="45" s="1"/>
  <c r="H98" i="51" s="1"/>
  <c r="H104" i="45"/>
  <c r="G110" i="45"/>
  <c r="G98" i="53" s="1"/>
  <c r="G111" i="45"/>
  <c r="G98" i="52" s="1"/>
  <c r="G109" i="45"/>
  <c r="G98" i="62" s="1"/>
  <c r="G108" i="45"/>
  <c r="G106" i="45"/>
  <c r="G98" i="63" s="1"/>
  <c r="G107" i="45"/>
  <c r="G105" i="45"/>
  <c r="G98" i="51" s="1"/>
  <c r="I19" i="45"/>
  <c r="H52" i="38"/>
  <c r="I5" i="45"/>
  <c r="I20" i="45"/>
  <c r="H53" i="38"/>
  <c r="I14" i="45"/>
  <c r="I4" i="45"/>
  <c r="I21" i="45"/>
  <c r="I23" i="45"/>
  <c r="I12" i="45"/>
  <c r="H48" i="66" l="1"/>
  <c r="H50" i="66" s="1"/>
  <c r="H153" i="66" s="1"/>
  <c r="H160" i="66" s="1"/>
  <c r="G119" i="65"/>
  <c r="G126" i="65" s="1"/>
  <c r="G153" i="67"/>
  <c r="G160" i="67" s="1"/>
  <c r="H48" i="62"/>
  <c r="H50" i="62" s="1"/>
  <c r="H153" i="62" s="1"/>
  <c r="H160" i="62" s="1"/>
  <c r="H48" i="65"/>
  <c r="H50" i="65" s="1"/>
  <c r="H153" i="65" s="1"/>
  <c r="H160" i="65" s="1"/>
  <c r="H78" i="64"/>
  <c r="H165" i="64" s="1"/>
  <c r="H171" i="64" s="1"/>
  <c r="G174" i="64"/>
  <c r="G180" i="64" s="1"/>
  <c r="G153" i="66"/>
  <c r="G160" i="66" s="1"/>
  <c r="G183" i="64"/>
  <c r="G189" i="64" s="1"/>
  <c r="H48" i="51"/>
  <c r="H50" i="51" s="1"/>
  <c r="H48" i="63"/>
  <c r="H50" i="63" s="1"/>
  <c r="H153" i="63" s="1"/>
  <c r="H160" i="63" s="1"/>
  <c r="I46" i="62"/>
  <c r="I46" i="67"/>
  <c r="I46" i="65"/>
  <c r="I46" i="66"/>
  <c r="I46" i="63"/>
  <c r="I46" i="64"/>
  <c r="G119" i="62"/>
  <c r="G126" i="62" s="1"/>
  <c r="H171" i="63"/>
  <c r="H48" i="67"/>
  <c r="H50" i="67" s="1"/>
  <c r="H119" i="67" s="1"/>
  <c r="H126" i="67" s="1"/>
  <c r="H48" i="52"/>
  <c r="H50" i="52" s="1"/>
  <c r="H174" i="63"/>
  <c r="H180" i="63" s="1"/>
  <c r="I52" i="65"/>
  <c r="I52" i="67"/>
  <c r="I52" i="66"/>
  <c r="I52" i="64"/>
  <c r="I52" i="63"/>
  <c r="H48" i="53"/>
  <c r="H50" i="53" s="1"/>
  <c r="I43" i="62"/>
  <c r="I85" i="62" s="1"/>
  <c r="I92" i="62" s="1"/>
  <c r="I95" i="62" s="1"/>
  <c r="I166" i="62" s="1"/>
  <c r="I43" i="66"/>
  <c r="I85" i="66" s="1"/>
  <c r="I92" i="66" s="1"/>
  <c r="I95" i="66" s="1"/>
  <c r="I166" i="66" s="1"/>
  <c r="I43" i="65"/>
  <c r="I85" i="65" s="1"/>
  <c r="I92" i="65" s="1"/>
  <c r="I95" i="65" s="1"/>
  <c r="I166" i="65" s="1"/>
  <c r="I43" i="67"/>
  <c r="I85" i="67" s="1"/>
  <c r="I92" i="67" s="1"/>
  <c r="I95" i="67" s="1"/>
  <c r="I166" i="67" s="1"/>
  <c r="I43" i="63"/>
  <c r="I85" i="63" s="1"/>
  <c r="I92" i="63" s="1"/>
  <c r="I95" i="63" s="1"/>
  <c r="I166" i="63" s="1"/>
  <c r="I43" i="64"/>
  <c r="I85" i="64" s="1"/>
  <c r="I92" i="64" s="1"/>
  <c r="I95" i="64" s="1"/>
  <c r="I166" i="64" s="1"/>
  <c r="D185" i="58"/>
  <c r="I44" i="62"/>
  <c r="I102" i="62" s="1"/>
  <c r="I109" i="62" s="1"/>
  <c r="I44" i="67"/>
  <c r="I102" i="67" s="1"/>
  <c r="I109" i="67" s="1"/>
  <c r="I44" i="66"/>
  <c r="I102" i="66" s="1"/>
  <c r="I109" i="66" s="1"/>
  <c r="I44" i="65"/>
  <c r="I102" i="65" s="1"/>
  <c r="I109" i="65" s="1"/>
  <c r="I44" i="64"/>
  <c r="I102" i="64" s="1"/>
  <c r="I109" i="64" s="1"/>
  <c r="I44" i="63"/>
  <c r="I102" i="63" s="1"/>
  <c r="I109" i="63" s="1"/>
  <c r="H48" i="55"/>
  <c r="H50" i="55" s="1"/>
  <c r="H48" i="58"/>
  <c r="H50" i="58" s="1"/>
  <c r="H171" i="65"/>
  <c r="H174" i="65"/>
  <c r="H180" i="65" s="1"/>
  <c r="H183" i="65"/>
  <c r="H189" i="65" s="1"/>
  <c r="I42" i="62"/>
  <c r="I68" i="62" s="1"/>
  <c r="I75" i="62" s="1"/>
  <c r="I78" i="62" s="1"/>
  <c r="I165" i="62" s="1"/>
  <c r="I183" i="62" s="1"/>
  <c r="I189" i="62" s="1"/>
  <c r="I42" i="67"/>
  <c r="I68" i="67" s="1"/>
  <c r="I75" i="67" s="1"/>
  <c r="I78" i="67" s="1"/>
  <c r="I165" i="67" s="1"/>
  <c r="I42" i="65"/>
  <c r="I68" i="65" s="1"/>
  <c r="I75" i="65" s="1"/>
  <c r="I78" i="65" s="1"/>
  <c r="I165" i="65" s="1"/>
  <c r="I42" i="66"/>
  <c r="I68" i="66" s="1"/>
  <c r="I75" i="66" s="1"/>
  <c r="I78" i="66" s="1"/>
  <c r="I165" i="66" s="1"/>
  <c r="I42" i="64"/>
  <c r="I68" i="64" s="1"/>
  <c r="I75" i="64" s="1"/>
  <c r="I42" i="63"/>
  <c r="I68" i="63" s="1"/>
  <c r="I75" i="63" s="1"/>
  <c r="I78" i="63" s="1"/>
  <c r="I165" i="63" s="1"/>
  <c r="I49" i="67"/>
  <c r="I49" i="53"/>
  <c r="I49" i="55"/>
  <c r="I49" i="65"/>
  <c r="I49" i="66"/>
  <c r="I49" i="57"/>
  <c r="I49" i="52"/>
  <c r="I49" i="58"/>
  <c r="I49" i="51"/>
  <c r="F129" i="58"/>
  <c r="F169" i="58" s="1"/>
  <c r="F184" i="58" s="1"/>
  <c r="H174" i="67"/>
  <c r="H180" i="67" s="1"/>
  <c r="H183" i="67"/>
  <c r="H189" i="67" s="1"/>
  <c r="H171" i="67"/>
  <c r="H48" i="57"/>
  <c r="H50" i="57" s="1"/>
  <c r="H174" i="66"/>
  <c r="H180" i="66" s="1"/>
  <c r="H183" i="66"/>
  <c r="H189" i="66" s="1"/>
  <c r="H171" i="66"/>
  <c r="I53" i="67"/>
  <c r="I53" i="65"/>
  <c r="I53" i="66"/>
  <c r="I53" i="64"/>
  <c r="I53" i="63"/>
  <c r="H48" i="64"/>
  <c r="H50" i="64" s="1"/>
  <c r="H153" i="64" s="1"/>
  <c r="H160" i="64" s="1"/>
  <c r="E129" i="58"/>
  <c r="E169" i="58" s="1"/>
  <c r="E184" i="58" s="1"/>
  <c r="G153" i="64"/>
  <c r="G160" i="64" s="1"/>
  <c r="G153" i="63"/>
  <c r="G160" i="63" s="1"/>
  <c r="E112" i="58"/>
  <c r="E167" i="58" s="1"/>
  <c r="E176" i="58" s="1"/>
  <c r="I45" i="62"/>
  <c r="I45" i="66"/>
  <c r="I45" i="65"/>
  <c r="I45" i="67"/>
  <c r="I45" i="64"/>
  <c r="I45" i="63"/>
  <c r="F150" i="58"/>
  <c r="F162" i="58" s="1"/>
  <c r="G149" i="64"/>
  <c r="G150" i="64" s="1"/>
  <c r="G162" i="64" s="1"/>
  <c r="G149" i="66"/>
  <c r="G157" i="66" s="1"/>
  <c r="G149" i="55"/>
  <c r="G152" i="55" s="1"/>
  <c r="G159" i="55" s="1"/>
  <c r="I51" i="62"/>
  <c r="I136" i="62" s="1"/>
  <c r="I143" i="62" s="1"/>
  <c r="I51" i="67"/>
  <c r="I136" i="67" s="1"/>
  <c r="I143" i="67" s="1"/>
  <c r="I51" i="66"/>
  <c r="I136" i="66" s="1"/>
  <c r="I143" i="66" s="1"/>
  <c r="I51" i="65"/>
  <c r="I136" i="65" s="1"/>
  <c r="I143" i="65" s="1"/>
  <c r="I51" i="63"/>
  <c r="I136" i="63" s="1"/>
  <c r="I143" i="63" s="1"/>
  <c r="I51" i="64"/>
  <c r="I136" i="64" s="1"/>
  <c r="I143" i="64" s="1"/>
  <c r="G135" i="53"/>
  <c r="G142" i="53" s="1"/>
  <c r="G140" i="53"/>
  <c r="F99" i="58"/>
  <c r="F111" i="58" s="1"/>
  <c r="F106" i="58"/>
  <c r="F110" i="58" s="1"/>
  <c r="G135" i="52"/>
  <c r="G142" i="52" s="1"/>
  <c r="G140" i="52"/>
  <c r="G133" i="52"/>
  <c r="G145" i="52" s="1"/>
  <c r="G140" i="67"/>
  <c r="G135" i="67"/>
  <c r="G142" i="67" s="1"/>
  <c r="G133" i="67"/>
  <c r="G145" i="67" s="1"/>
  <c r="G133" i="51"/>
  <c r="G145" i="51" s="1"/>
  <c r="G135" i="51"/>
  <c r="G142" i="51" s="1"/>
  <c r="H149" i="45"/>
  <c r="H149" i="67" s="1"/>
  <c r="H144" i="45"/>
  <c r="H143" i="45"/>
  <c r="H149" i="63" s="1"/>
  <c r="H148" i="45"/>
  <c r="H149" i="52" s="1"/>
  <c r="H152" i="52" s="1"/>
  <c r="H147" i="45"/>
  <c r="H149" i="53" s="1"/>
  <c r="H152" i="53" s="1"/>
  <c r="H142" i="45"/>
  <c r="H149" i="51" s="1"/>
  <c r="H152" i="51" s="1"/>
  <c r="H146" i="45"/>
  <c r="H149" i="62" s="1"/>
  <c r="H145" i="45"/>
  <c r="G133" i="53"/>
  <c r="G145" i="53" s="1"/>
  <c r="H150" i="45"/>
  <c r="F157" i="58"/>
  <c r="G140" i="58"/>
  <c r="D184" i="64"/>
  <c r="G133" i="58"/>
  <c r="G145" i="58" s="1"/>
  <c r="I49" i="62"/>
  <c r="I49" i="64"/>
  <c r="I49" i="63"/>
  <c r="H132" i="51"/>
  <c r="H132" i="52"/>
  <c r="H132" i="53"/>
  <c r="H132" i="67"/>
  <c r="F157" i="61"/>
  <c r="F150" i="61"/>
  <c r="F162" i="61" s="1"/>
  <c r="E129" i="66"/>
  <c r="E169" i="66" s="1"/>
  <c r="E175" i="66" s="1"/>
  <c r="G135" i="61"/>
  <c r="G142" i="61" s="1"/>
  <c r="G140" i="61"/>
  <c r="F129" i="65"/>
  <c r="F169" i="65" s="1"/>
  <c r="F175" i="65" s="1"/>
  <c r="J157" i="45"/>
  <c r="I55" i="64"/>
  <c r="I69" i="64" s="1"/>
  <c r="I76" i="64" s="1"/>
  <c r="E184" i="67"/>
  <c r="E175" i="67"/>
  <c r="E129" i="65"/>
  <c r="E169" i="65" s="1"/>
  <c r="F116" i="64"/>
  <c r="F128" i="64" s="1"/>
  <c r="F125" i="64"/>
  <c r="F123" i="64"/>
  <c r="F127" i="64" s="1"/>
  <c r="G116" i="67"/>
  <c r="G128" i="67" s="1"/>
  <c r="G123" i="67"/>
  <c r="G127" i="67" s="1"/>
  <c r="G125" i="67"/>
  <c r="F129" i="67"/>
  <c r="F169" i="67" s="1"/>
  <c r="F116" i="66"/>
  <c r="F128" i="66" s="1"/>
  <c r="F123" i="66"/>
  <c r="F127" i="66" s="1"/>
  <c r="F125" i="66"/>
  <c r="D175" i="66"/>
  <c r="D184" i="66"/>
  <c r="G115" i="58"/>
  <c r="G118" i="58" s="1"/>
  <c r="G125" i="58" s="1"/>
  <c r="G115" i="65"/>
  <c r="E175" i="63"/>
  <c r="E184" i="63"/>
  <c r="F129" i="63"/>
  <c r="F169" i="63" s="1"/>
  <c r="G133" i="64"/>
  <c r="G145" i="64" s="1"/>
  <c r="G140" i="64"/>
  <c r="G135" i="64"/>
  <c r="G142" i="64" s="1"/>
  <c r="G133" i="65"/>
  <c r="G145" i="65" s="1"/>
  <c r="G135" i="65"/>
  <c r="G142" i="65" s="1"/>
  <c r="G140" i="65"/>
  <c r="G133" i="63"/>
  <c r="G145" i="63" s="1"/>
  <c r="G140" i="63"/>
  <c r="G135" i="63"/>
  <c r="G142" i="63" s="1"/>
  <c r="G133" i="66"/>
  <c r="G145" i="66" s="1"/>
  <c r="G140" i="66"/>
  <c r="G135" i="66"/>
  <c r="G142" i="66" s="1"/>
  <c r="F150" i="63"/>
  <c r="F162" i="63" s="1"/>
  <c r="F152" i="63"/>
  <c r="F159" i="63" s="1"/>
  <c r="F157" i="63"/>
  <c r="G125" i="63"/>
  <c r="G116" i="63"/>
  <c r="G128" i="63" s="1"/>
  <c r="G123" i="63"/>
  <c r="G127" i="63" s="1"/>
  <c r="H132" i="55"/>
  <c r="H140" i="55" s="1"/>
  <c r="H132" i="66"/>
  <c r="H132" i="64"/>
  <c r="G149" i="58"/>
  <c r="G152" i="58" s="1"/>
  <c r="G159" i="58" s="1"/>
  <c r="G149" i="65"/>
  <c r="E129" i="64"/>
  <c r="E169" i="64" s="1"/>
  <c r="F150" i="65"/>
  <c r="F162" i="65" s="1"/>
  <c r="F157" i="65"/>
  <c r="F152" i="65"/>
  <c r="F159" i="65" s="1"/>
  <c r="G115" i="66"/>
  <c r="G118" i="66" s="1"/>
  <c r="G115" i="64"/>
  <c r="G118" i="64" s="1"/>
  <c r="G150" i="67"/>
  <c r="G162" i="67" s="1"/>
  <c r="G152" i="67"/>
  <c r="G159" i="67" s="1"/>
  <c r="G157" i="67"/>
  <c r="H132" i="61"/>
  <c r="H133" i="61" s="1"/>
  <c r="H145" i="61" s="1"/>
  <c r="H132" i="63"/>
  <c r="G149" i="61"/>
  <c r="G150" i="61" s="1"/>
  <c r="G162" i="61" s="1"/>
  <c r="G149" i="63"/>
  <c r="H132" i="58"/>
  <c r="H135" i="58" s="1"/>
  <c r="H142" i="58" s="1"/>
  <c r="H132" i="65"/>
  <c r="F150" i="64"/>
  <c r="F162" i="64" s="1"/>
  <c r="F157" i="64"/>
  <c r="F152" i="64"/>
  <c r="F159" i="64" s="1"/>
  <c r="F150" i="66"/>
  <c r="F162" i="66" s="1"/>
  <c r="F157" i="66"/>
  <c r="F152" i="66"/>
  <c r="F159" i="66" s="1"/>
  <c r="E185" i="67"/>
  <c r="E176" i="67"/>
  <c r="D185" i="66"/>
  <c r="D176" i="66"/>
  <c r="E112" i="65"/>
  <c r="E167" i="65" s="1"/>
  <c r="F99" i="64"/>
  <c r="F111" i="64" s="1"/>
  <c r="F106" i="64"/>
  <c r="F110" i="64" s="1"/>
  <c r="F101" i="64"/>
  <c r="F108" i="64" s="1"/>
  <c r="F112" i="67"/>
  <c r="F167" i="67" s="1"/>
  <c r="F99" i="66"/>
  <c r="F111" i="66" s="1"/>
  <c r="F101" i="66"/>
  <c r="F108" i="66" s="1"/>
  <c r="F106" i="66"/>
  <c r="F110" i="66" s="1"/>
  <c r="G99" i="67"/>
  <c r="G111" i="67" s="1"/>
  <c r="G106" i="67"/>
  <c r="G110" i="67" s="1"/>
  <c r="G101" i="67"/>
  <c r="G108" i="67" s="1"/>
  <c r="F99" i="65"/>
  <c r="F111" i="65" s="1"/>
  <c r="F101" i="65"/>
  <c r="F108" i="65" s="1"/>
  <c r="F106" i="65"/>
  <c r="F110" i="65" s="1"/>
  <c r="G98" i="58"/>
  <c r="G101" i="58" s="1"/>
  <c r="G108" i="58" s="1"/>
  <c r="G98" i="65"/>
  <c r="G98" i="66"/>
  <c r="G98" i="64"/>
  <c r="E112" i="64"/>
  <c r="E167" i="64" s="1"/>
  <c r="G99" i="63"/>
  <c r="G111" i="63" s="1"/>
  <c r="G106" i="63"/>
  <c r="G110" i="63" s="1"/>
  <c r="G101" i="63"/>
  <c r="G108" i="63" s="1"/>
  <c r="F112" i="63"/>
  <c r="F167" i="63" s="1"/>
  <c r="E185" i="63"/>
  <c r="E176" i="63"/>
  <c r="E112" i="66"/>
  <c r="E167" i="66" s="1"/>
  <c r="D176" i="64"/>
  <c r="D185" i="64"/>
  <c r="D176" i="65"/>
  <c r="D185" i="65"/>
  <c r="G150" i="51"/>
  <c r="G152" i="51"/>
  <c r="E129" i="57"/>
  <c r="E169" i="57" s="1"/>
  <c r="F129" i="62"/>
  <c r="F169" i="62" s="1"/>
  <c r="F184" i="62" s="1"/>
  <c r="G153" i="61"/>
  <c r="G160" i="61" s="1"/>
  <c r="F112" i="62"/>
  <c r="F167" i="62" s="1"/>
  <c r="F176" i="62" s="1"/>
  <c r="H116" i="62"/>
  <c r="H128" i="62" s="1"/>
  <c r="H113" i="62"/>
  <c r="H123" i="62"/>
  <c r="H127" i="62" s="1"/>
  <c r="H125" i="62"/>
  <c r="E184" i="62"/>
  <c r="E175" i="62"/>
  <c r="G142" i="57"/>
  <c r="G140" i="57"/>
  <c r="G133" i="57"/>
  <c r="G145" i="57" s="1"/>
  <c r="I53" i="61"/>
  <c r="I74" i="45"/>
  <c r="I72" i="45"/>
  <c r="I77" i="45"/>
  <c r="I70" i="45"/>
  <c r="I75" i="45"/>
  <c r="I73" i="45"/>
  <c r="I78" i="45"/>
  <c r="I71" i="45"/>
  <c r="I76" i="45"/>
  <c r="I53" i="62"/>
  <c r="I52" i="61"/>
  <c r="I59" i="45"/>
  <c r="I65" i="45"/>
  <c r="I64" i="45"/>
  <c r="I60" i="45"/>
  <c r="I66" i="45"/>
  <c r="I61" i="45"/>
  <c r="I67" i="45"/>
  <c r="I62" i="45"/>
  <c r="I63" i="45"/>
  <c r="I48" i="45"/>
  <c r="I129" i="45" s="1"/>
  <c r="I51" i="45"/>
  <c r="I132" i="45" s="1"/>
  <c r="I54" i="45"/>
  <c r="I135" i="45" s="1"/>
  <c r="I56" i="45"/>
  <c r="I137" i="45" s="1"/>
  <c r="I50" i="45"/>
  <c r="I131" i="45" s="1"/>
  <c r="I49" i="45"/>
  <c r="I130" i="45" s="1"/>
  <c r="I52" i="45"/>
  <c r="I133" i="45" s="1"/>
  <c r="I55" i="45"/>
  <c r="I136" i="45" s="1"/>
  <c r="I53" i="45"/>
  <c r="I134" i="45" s="1"/>
  <c r="I52" i="62"/>
  <c r="H183" i="62"/>
  <c r="H189" i="62" s="1"/>
  <c r="H171" i="62"/>
  <c r="H174" i="62"/>
  <c r="H180" i="62" s="1"/>
  <c r="G135" i="62"/>
  <c r="G142" i="62" s="1"/>
  <c r="G140" i="62"/>
  <c r="G133" i="62"/>
  <c r="G145" i="62" s="1"/>
  <c r="E185" i="62"/>
  <c r="E176" i="62"/>
  <c r="D185" i="61"/>
  <c r="G99" i="62"/>
  <c r="G111" i="62" s="1"/>
  <c r="G106" i="62"/>
  <c r="G110" i="62" s="1"/>
  <c r="G101" i="62"/>
  <c r="G108" i="62" s="1"/>
  <c r="H132" i="62"/>
  <c r="H132" i="57"/>
  <c r="H135" i="57" s="1"/>
  <c r="G116" i="62"/>
  <c r="G128" i="62" s="1"/>
  <c r="G125" i="62"/>
  <c r="G123" i="62"/>
  <c r="G127" i="62" s="1"/>
  <c r="G150" i="62"/>
  <c r="G162" i="62" s="1"/>
  <c r="G152" i="62"/>
  <c r="G159" i="62" s="1"/>
  <c r="G157" i="62"/>
  <c r="D175" i="61"/>
  <c r="E129" i="61"/>
  <c r="E169" i="61" s="1"/>
  <c r="I49" i="61"/>
  <c r="I49" i="38"/>
  <c r="I46" i="61"/>
  <c r="I46" i="38"/>
  <c r="I51" i="61"/>
  <c r="I136" i="61" s="1"/>
  <c r="I143" i="61" s="1"/>
  <c r="I51" i="38"/>
  <c r="I44" i="57"/>
  <c r="I102" i="57" s="1"/>
  <c r="I109" i="57" s="1"/>
  <c r="I44" i="61"/>
  <c r="I102" i="61" s="1"/>
  <c r="I109" i="61" s="1"/>
  <c r="I44" i="38"/>
  <c r="G98" i="61"/>
  <c r="I45" i="38"/>
  <c r="I45" i="61"/>
  <c r="I42" i="61"/>
  <c r="I68" i="61" s="1"/>
  <c r="I75" i="61" s="1"/>
  <c r="I78" i="61" s="1"/>
  <c r="I165" i="61" s="1"/>
  <c r="I42" i="38"/>
  <c r="G115" i="61"/>
  <c r="G118" i="61" s="1"/>
  <c r="E112" i="61"/>
  <c r="E167" i="61" s="1"/>
  <c r="H48" i="61"/>
  <c r="H50" i="61" s="1"/>
  <c r="F116" i="61"/>
  <c r="F128" i="61" s="1"/>
  <c r="F125" i="61"/>
  <c r="F123" i="61"/>
  <c r="F127" i="61" s="1"/>
  <c r="I43" i="61"/>
  <c r="I85" i="61" s="1"/>
  <c r="I92" i="61" s="1"/>
  <c r="I95" i="61" s="1"/>
  <c r="I166" i="61" s="1"/>
  <c r="I43" i="38"/>
  <c r="F99" i="61"/>
  <c r="F111" i="61" s="1"/>
  <c r="F101" i="61"/>
  <c r="F108" i="61" s="1"/>
  <c r="F106" i="61"/>
  <c r="F110" i="61" s="1"/>
  <c r="H171" i="61"/>
  <c r="H174" i="61"/>
  <c r="H180" i="61" s="1"/>
  <c r="H183" i="61"/>
  <c r="H189" i="61" s="1"/>
  <c r="G171" i="58"/>
  <c r="G183" i="53"/>
  <c r="G189" i="53" s="1"/>
  <c r="G174" i="53"/>
  <c r="G180" i="53" s="1"/>
  <c r="D185" i="55"/>
  <c r="E176" i="53"/>
  <c r="G183" i="55"/>
  <c r="G189" i="55" s="1"/>
  <c r="G171" i="55"/>
  <c r="H132" i="38"/>
  <c r="G171" i="52"/>
  <c r="G174" i="52"/>
  <c r="G180" i="52" s="1"/>
  <c r="G183" i="57"/>
  <c r="G189" i="57" s="1"/>
  <c r="G174" i="57"/>
  <c r="G180" i="57" s="1"/>
  <c r="I44" i="51"/>
  <c r="I102" i="51" s="1"/>
  <c r="I109" i="51" s="1"/>
  <c r="I44" i="53"/>
  <c r="I102" i="53" s="1"/>
  <c r="I109" i="53" s="1"/>
  <c r="H75" i="57"/>
  <c r="H78" i="57" s="1"/>
  <c r="H165" i="57" s="1"/>
  <c r="I44" i="52"/>
  <c r="I102" i="52" s="1"/>
  <c r="I109" i="52" s="1"/>
  <c r="I44" i="55"/>
  <c r="I102" i="55" s="1"/>
  <c r="I109" i="55" s="1"/>
  <c r="I44" i="58"/>
  <c r="I102" i="58" s="1"/>
  <c r="I109" i="58" s="1"/>
  <c r="J6" i="45"/>
  <c r="G183" i="58"/>
  <c r="G189" i="58" s="1"/>
  <c r="E176" i="52"/>
  <c r="H75" i="52"/>
  <c r="H78" i="52" s="1"/>
  <c r="H165" i="52" s="1"/>
  <c r="H171" i="52" s="1"/>
  <c r="H75" i="55"/>
  <c r="H78" i="55" s="1"/>
  <c r="H165" i="55" s="1"/>
  <c r="H171" i="55" s="1"/>
  <c r="G183" i="51"/>
  <c r="G189" i="51" s="1"/>
  <c r="H75" i="51"/>
  <c r="H78" i="51" s="1"/>
  <c r="H165" i="51" s="1"/>
  <c r="H174" i="51" s="1"/>
  <c r="H180" i="51" s="1"/>
  <c r="H75" i="58"/>
  <c r="H78" i="58" s="1"/>
  <c r="H165" i="58" s="1"/>
  <c r="H183" i="58" s="1"/>
  <c r="H189" i="58" s="1"/>
  <c r="D184" i="57"/>
  <c r="G171" i="51"/>
  <c r="H119" i="45"/>
  <c r="H75" i="53"/>
  <c r="H78" i="53" s="1"/>
  <c r="H165" i="53" s="1"/>
  <c r="I41" i="58"/>
  <c r="I67" i="58" s="1"/>
  <c r="I41" i="57"/>
  <c r="I67" i="57" s="1"/>
  <c r="I41" i="55"/>
  <c r="I67" i="55" s="1"/>
  <c r="I41" i="52"/>
  <c r="I67" i="52" s="1"/>
  <c r="I41" i="53"/>
  <c r="I67" i="53" s="1"/>
  <c r="I41" i="51"/>
  <c r="I67" i="51" s="1"/>
  <c r="I43" i="58"/>
  <c r="I85" i="58" s="1"/>
  <c r="I92" i="58" s="1"/>
  <c r="I95" i="58" s="1"/>
  <c r="I166" i="58" s="1"/>
  <c r="I43" i="57"/>
  <c r="I85" i="57" s="1"/>
  <c r="I92" i="57" s="1"/>
  <c r="I95" i="57" s="1"/>
  <c r="I166" i="57" s="1"/>
  <c r="I43" i="55"/>
  <c r="I85" i="55" s="1"/>
  <c r="I92" i="55" s="1"/>
  <c r="I95" i="55" s="1"/>
  <c r="I166" i="55" s="1"/>
  <c r="I43" i="53"/>
  <c r="I85" i="53" s="1"/>
  <c r="I92" i="53" s="1"/>
  <c r="I95" i="53" s="1"/>
  <c r="I166" i="53" s="1"/>
  <c r="I43" i="52"/>
  <c r="I85" i="52" s="1"/>
  <c r="I92" i="52" s="1"/>
  <c r="I95" i="52" s="1"/>
  <c r="I166" i="52" s="1"/>
  <c r="I43" i="51"/>
  <c r="I85" i="51" s="1"/>
  <c r="I92" i="51" s="1"/>
  <c r="I95" i="51" s="1"/>
  <c r="I166" i="51" s="1"/>
  <c r="F129" i="53"/>
  <c r="F169" i="53" s="1"/>
  <c r="I46" i="58"/>
  <c r="I46" i="57"/>
  <c r="I46" i="55"/>
  <c r="I46" i="53"/>
  <c r="I46" i="52"/>
  <c r="I46" i="51"/>
  <c r="I51" i="58"/>
  <c r="I136" i="58" s="1"/>
  <c r="I143" i="58" s="1"/>
  <c r="I51" i="55"/>
  <c r="I136" i="55" s="1"/>
  <c r="I143" i="55" s="1"/>
  <c r="I51" i="57"/>
  <c r="I136" i="57" s="1"/>
  <c r="I143" i="57" s="1"/>
  <c r="I51" i="53"/>
  <c r="I136" i="53" s="1"/>
  <c r="I143" i="53" s="1"/>
  <c r="I51" i="52"/>
  <c r="I136" i="52" s="1"/>
  <c r="I143" i="52" s="1"/>
  <c r="I51" i="51"/>
  <c r="I136" i="51" s="1"/>
  <c r="I143" i="51" s="1"/>
  <c r="I53" i="57"/>
  <c r="I53" i="58"/>
  <c r="I53" i="53"/>
  <c r="I53" i="55"/>
  <c r="I53" i="52"/>
  <c r="I53" i="51"/>
  <c r="H120" i="45"/>
  <c r="G153" i="58"/>
  <c r="G160" i="58" s="1"/>
  <c r="G119" i="58"/>
  <c r="G126" i="58" s="1"/>
  <c r="I45" i="58"/>
  <c r="I45" i="57"/>
  <c r="I45" i="55"/>
  <c r="I45" i="53"/>
  <c r="I45" i="52"/>
  <c r="I45" i="51"/>
  <c r="G153" i="57"/>
  <c r="G160" i="57" s="1"/>
  <c r="G119" i="57"/>
  <c r="G126" i="57" s="1"/>
  <c r="I52" i="57"/>
  <c r="I52" i="58"/>
  <c r="I52" i="55"/>
  <c r="I52" i="53"/>
  <c r="I52" i="52"/>
  <c r="I52" i="51"/>
  <c r="F129" i="52"/>
  <c r="F169" i="52" s="1"/>
  <c r="F175" i="52" s="1"/>
  <c r="I42" i="58"/>
  <c r="I68" i="58" s="1"/>
  <c r="I42" i="55"/>
  <c r="I68" i="55" s="1"/>
  <c r="I42" i="53"/>
  <c r="I68" i="53" s="1"/>
  <c r="I42" i="57"/>
  <c r="I68" i="57" s="1"/>
  <c r="I42" i="52"/>
  <c r="I68" i="52" s="1"/>
  <c r="I42" i="51"/>
  <c r="I68" i="51" s="1"/>
  <c r="G119" i="53"/>
  <c r="G126" i="53" s="1"/>
  <c r="G129" i="53" s="1"/>
  <c r="G169" i="53" s="1"/>
  <c r="G153" i="53"/>
  <c r="G160" i="53" s="1"/>
  <c r="G119" i="51"/>
  <c r="G126" i="51" s="1"/>
  <c r="G153" i="51"/>
  <c r="G160" i="51" s="1"/>
  <c r="G119" i="55"/>
  <c r="G126" i="55" s="1"/>
  <c r="G153" i="55"/>
  <c r="G160" i="55" s="1"/>
  <c r="G153" i="52"/>
  <c r="G160" i="52" s="1"/>
  <c r="G119" i="52"/>
  <c r="G126" i="52" s="1"/>
  <c r="G99" i="51"/>
  <c r="G111" i="51" s="1"/>
  <c r="G106" i="51"/>
  <c r="G110" i="51" s="1"/>
  <c r="G101" i="51"/>
  <c r="G108" i="51" s="1"/>
  <c r="G115" i="57"/>
  <c r="F99" i="57"/>
  <c r="F111" i="57" s="1"/>
  <c r="F101" i="57"/>
  <c r="F108" i="57" s="1"/>
  <c r="F106" i="57"/>
  <c r="F110" i="57" s="1"/>
  <c r="G115" i="38"/>
  <c r="G115" i="55"/>
  <c r="H115" i="57"/>
  <c r="F129" i="51"/>
  <c r="F169" i="51" s="1"/>
  <c r="F150" i="55"/>
  <c r="F162" i="55" s="1"/>
  <c r="F157" i="55"/>
  <c r="F159" i="55"/>
  <c r="E185" i="51"/>
  <c r="E176" i="51"/>
  <c r="F150" i="57"/>
  <c r="F162" i="57" s="1"/>
  <c r="F157" i="57"/>
  <c r="F159" i="57"/>
  <c r="E175" i="51"/>
  <c r="E184" i="51"/>
  <c r="F116" i="55"/>
  <c r="F128" i="55" s="1"/>
  <c r="F123" i="55"/>
  <c r="F127" i="55" s="1"/>
  <c r="F118" i="55"/>
  <c r="F125" i="55" s="1"/>
  <c r="D185" i="57"/>
  <c r="D176" i="57"/>
  <c r="F112" i="51"/>
  <c r="F167" i="51" s="1"/>
  <c r="E129" i="55"/>
  <c r="E169" i="55" s="1"/>
  <c r="E184" i="53"/>
  <c r="E175" i="53"/>
  <c r="F112" i="53"/>
  <c r="F167" i="53" s="1"/>
  <c r="G98" i="57"/>
  <c r="G133" i="55"/>
  <c r="G145" i="55" s="1"/>
  <c r="G140" i="55"/>
  <c r="G142" i="55"/>
  <c r="F116" i="57"/>
  <c r="F128" i="57" s="1"/>
  <c r="F118" i="57"/>
  <c r="F125" i="57" s="1"/>
  <c r="F123" i="57"/>
  <c r="F127" i="57" s="1"/>
  <c r="G98" i="38"/>
  <c r="G98" i="55"/>
  <c r="G99" i="53"/>
  <c r="G111" i="53" s="1"/>
  <c r="G106" i="53"/>
  <c r="G110" i="53" s="1"/>
  <c r="G101" i="53"/>
  <c r="G108" i="53" s="1"/>
  <c r="G149" i="57"/>
  <c r="G152" i="57" s="1"/>
  <c r="D184" i="55"/>
  <c r="D175" i="55"/>
  <c r="E112" i="55"/>
  <c r="E167" i="55" s="1"/>
  <c r="G116" i="51"/>
  <c r="G128" i="51" s="1"/>
  <c r="G123" i="51"/>
  <c r="G127" i="51" s="1"/>
  <c r="G118" i="51"/>
  <c r="G125" i="51" s="1"/>
  <c r="G150" i="53"/>
  <c r="G162" i="53" s="1"/>
  <c r="G157" i="53"/>
  <c r="G159" i="53"/>
  <c r="F99" i="55"/>
  <c r="F111" i="55" s="1"/>
  <c r="F106" i="55"/>
  <c r="F110" i="55" s="1"/>
  <c r="F101" i="55"/>
  <c r="F108" i="55" s="1"/>
  <c r="E112" i="57"/>
  <c r="E167" i="57" s="1"/>
  <c r="F112" i="52"/>
  <c r="F167" i="52" s="1"/>
  <c r="G116" i="52"/>
  <c r="G128" i="52" s="1"/>
  <c r="G118" i="52"/>
  <c r="G125" i="52" s="1"/>
  <c r="G123" i="52"/>
  <c r="G127" i="52" s="1"/>
  <c r="G150" i="52"/>
  <c r="G162" i="52" s="1"/>
  <c r="G157" i="52"/>
  <c r="G159" i="52"/>
  <c r="G99" i="52"/>
  <c r="G111" i="52" s="1"/>
  <c r="G106" i="52"/>
  <c r="G110" i="52" s="1"/>
  <c r="G101" i="52"/>
  <c r="G108" i="52" s="1"/>
  <c r="H99" i="51"/>
  <c r="H111" i="51" s="1"/>
  <c r="H96" i="51"/>
  <c r="H106" i="51"/>
  <c r="H110" i="51" s="1"/>
  <c r="H101" i="51"/>
  <c r="H108" i="51" s="1"/>
  <c r="G140" i="51"/>
  <c r="F157" i="51"/>
  <c r="F162" i="51"/>
  <c r="F159" i="51"/>
  <c r="J156" i="45"/>
  <c r="J55" i="63" s="1"/>
  <c r="J69" i="63" s="1"/>
  <c r="J76" i="63" s="1"/>
  <c r="J155" i="45"/>
  <c r="J55" i="62" s="1"/>
  <c r="J69" i="62" s="1"/>
  <c r="J76" i="62" s="1"/>
  <c r="H118" i="45"/>
  <c r="H115" i="63" s="1"/>
  <c r="H118" i="63" s="1"/>
  <c r="H117" i="45"/>
  <c r="H115" i="51" s="1"/>
  <c r="J154" i="45"/>
  <c r="I55" i="38"/>
  <c r="H124" i="45"/>
  <c r="H115" i="67" s="1"/>
  <c r="H118" i="67" s="1"/>
  <c r="H122" i="45"/>
  <c r="H115" i="53" s="1"/>
  <c r="H123" i="45"/>
  <c r="H115" i="52" s="1"/>
  <c r="H125" i="45"/>
  <c r="I116" i="45"/>
  <c r="I118" i="45" s="1"/>
  <c r="I115" i="63" s="1"/>
  <c r="I118" i="63" s="1"/>
  <c r="I140" i="45"/>
  <c r="J40" i="45"/>
  <c r="J39" i="45"/>
  <c r="J38" i="45"/>
  <c r="J29" i="45"/>
  <c r="J27" i="45"/>
  <c r="J28" i="45"/>
  <c r="I104" i="45"/>
  <c r="I103" i="45"/>
  <c r="H112" i="45"/>
  <c r="H98" i="67" s="1"/>
  <c r="H113" i="45"/>
  <c r="H111" i="45"/>
  <c r="H98" i="52" s="1"/>
  <c r="H109" i="45"/>
  <c r="H98" i="62" s="1"/>
  <c r="H108" i="45"/>
  <c r="H110" i="45"/>
  <c r="H98" i="53" s="1"/>
  <c r="H106" i="45"/>
  <c r="H98" i="63" s="1"/>
  <c r="H107" i="45"/>
  <c r="J12" i="45"/>
  <c r="J4" i="45"/>
  <c r="J14" i="45"/>
  <c r="J20" i="45"/>
  <c r="I53" i="38"/>
  <c r="J5" i="45"/>
  <c r="J23" i="45"/>
  <c r="J21" i="45"/>
  <c r="J19" i="45"/>
  <c r="I52" i="38"/>
  <c r="H119" i="66" l="1"/>
  <c r="H126" i="66" s="1"/>
  <c r="H153" i="67"/>
  <c r="H160" i="67" s="1"/>
  <c r="H119" i="65"/>
  <c r="H126" i="65" s="1"/>
  <c r="H183" i="64"/>
  <c r="H189" i="64" s="1"/>
  <c r="H174" i="64"/>
  <c r="H180" i="64" s="1"/>
  <c r="I78" i="64"/>
  <c r="I165" i="64" s="1"/>
  <c r="I183" i="64" s="1"/>
  <c r="I189" i="64" s="1"/>
  <c r="I48" i="55"/>
  <c r="I50" i="55" s="1"/>
  <c r="I48" i="57"/>
  <c r="I50" i="57" s="1"/>
  <c r="H119" i="63"/>
  <c r="H126" i="63" s="1"/>
  <c r="I48" i="63"/>
  <c r="I50" i="63" s="1"/>
  <c r="I153" i="63" s="1"/>
  <c r="I160" i="63" s="1"/>
  <c r="I48" i="65"/>
  <c r="I50" i="65" s="1"/>
  <c r="I153" i="65" s="1"/>
  <c r="I160" i="65" s="1"/>
  <c r="I48" i="66"/>
  <c r="I50" i="66" s="1"/>
  <c r="I119" i="66" s="1"/>
  <c r="I126" i="66" s="1"/>
  <c r="BQ9" i="46"/>
  <c r="BQ15" i="46"/>
  <c r="BQ7" i="46"/>
  <c r="BQ10" i="46"/>
  <c r="BQ6" i="46"/>
  <c r="BQ11" i="46"/>
  <c r="BQ5" i="46"/>
  <c r="BQ12" i="46"/>
  <c r="BQ13" i="46"/>
  <c r="BQ14" i="46"/>
  <c r="BQ16" i="46"/>
  <c r="BQ17" i="46"/>
  <c r="BQ18" i="46"/>
  <c r="BQ8" i="46"/>
  <c r="I48" i="62"/>
  <c r="I50" i="62" s="1"/>
  <c r="I153" i="62" s="1"/>
  <c r="I160" i="62" s="1"/>
  <c r="I48" i="67"/>
  <c r="I50" i="67" s="1"/>
  <c r="I153" i="67" s="1"/>
  <c r="I160" i="67" s="1"/>
  <c r="F175" i="58"/>
  <c r="I174" i="63"/>
  <c r="I180" i="63" s="1"/>
  <c r="I171" i="63"/>
  <c r="I183" i="63"/>
  <c r="I189" i="63" s="1"/>
  <c r="E175" i="58"/>
  <c r="J42" i="62"/>
  <c r="J68" i="62" s="1"/>
  <c r="J75" i="62" s="1"/>
  <c r="J78" i="62" s="1"/>
  <c r="J165" i="62" s="1"/>
  <c r="J171" i="62" s="1"/>
  <c r="J42" i="67"/>
  <c r="J68" i="67" s="1"/>
  <c r="J75" i="67" s="1"/>
  <c r="J78" i="67" s="1"/>
  <c r="J165" i="67" s="1"/>
  <c r="J42" i="65"/>
  <c r="J68" i="65" s="1"/>
  <c r="J75" i="65" s="1"/>
  <c r="J78" i="65" s="1"/>
  <c r="J165" i="65" s="1"/>
  <c r="J42" i="66"/>
  <c r="J68" i="66" s="1"/>
  <c r="J75" i="66" s="1"/>
  <c r="J78" i="66" s="1"/>
  <c r="J165" i="66" s="1"/>
  <c r="J42" i="64"/>
  <c r="J68" i="64" s="1"/>
  <c r="J75" i="64" s="1"/>
  <c r="J42" i="63"/>
  <c r="J68" i="63" s="1"/>
  <c r="J75" i="63" s="1"/>
  <c r="J78" i="63" s="1"/>
  <c r="J165" i="63" s="1"/>
  <c r="I183" i="66"/>
  <c r="I189" i="66" s="1"/>
  <c r="I171" i="66"/>
  <c r="I174" i="66"/>
  <c r="I180" i="66" s="1"/>
  <c r="J53" i="67"/>
  <c r="J53" i="65"/>
  <c r="J53" i="66"/>
  <c r="J53" i="64"/>
  <c r="J53" i="63"/>
  <c r="H119" i="64"/>
  <c r="H126" i="64" s="1"/>
  <c r="I183" i="65"/>
  <c r="I189" i="65" s="1"/>
  <c r="I171" i="65"/>
  <c r="I174" i="65"/>
  <c r="I180" i="65" s="1"/>
  <c r="J46" i="62"/>
  <c r="J46" i="67"/>
  <c r="J46" i="65"/>
  <c r="J46" i="66"/>
  <c r="J46" i="64"/>
  <c r="J46" i="63"/>
  <c r="G157" i="55"/>
  <c r="J44" i="62"/>
  <c r="J102" i="62" s="1"/>
  <c r="J109" i="62" s="1"/>
  <c r="J44" i="67"/>
  <c r="J102" i="67" s="1"/>
  <c r="J109" i="67" s="1"/>
  <c r="J44" i="66"/>
  <c r="J102" i="66" s="1"/>
  <c r="J109" i="66" s="1"/>
  <c r="J44" i="65"/>
  <c r="J102" i="65" s="1"/>
  <c r="J109" i="65" s="1"/>
  <c r="J44" i="64"/>
  <c r="J102" i="64" s="1"/>
  <c r="J109" i="64" s="1"/>
  <c r="J44" i="63"/>
  <c r="J102" i="63" s="1"/>
  <c r="J109" i="63" s="1"/>
  <c r="I183" i="67"/>
  <c r="I189" i="67" s="1"/>
  <c r="I174" i="67"/>
  <c r="I180" i="67" s="1"/>
  <c r="I171" i="67"/>
  <c r="J52" i="67"/>
  <c r="J52" i="65"/>
  <c r="J52" i="66"/>
  <c r="J52" i="63"/>
  <c r="J52" i="64"/>
  <c r="J49" i="55"/>
  <c r="J49" i="66"/>
  <c r="J49" i="57"/>
  <c r="J49" i="52"/>
  <c r="J49" i="65"/>
  <c r="J49" i="58"/>
  <c r="J49" i="51"/>
  <c r="J49" i="53"/>
  <c r="J49" i="67"/>
  <c r="I48" i="58"/>
  <c r="I50" i="58" s="1"/>
  <c r="G150" i="55"/>
  <c r="G162" i="55" s="1"/>
  <c r="I48" i="51"/>
  <c r="I50" i="51" s="1"/>
  <c r="I48" i="52"/>
  <c r="I50" i="52" s="1"/>
  <c r="J43" i="62"/>
  <c r="J85" i="62" s="1"/>
  <c r="J92" i="62" s="1"/>
  <c r="J95" i="62" s="1"/>
  <c r="J166" i="62" s="1"/>
  <c r="J43" i="65"/>
  <c r="J85" i="65" s="1"/>
  <c r="J92" i="65" s="1"/>
  <c r="J95" i="65" s="1"/>
  <c r="J166" i="65" s="1"/>
  <c r="J43" i="67"/>
  <c r="J85" i="67" s="1"/>
  <c r="J92" i="67" s="1"/>
  <c r="J95" i="67" s="1"/>
  <c r="J166" i="67" s="1"/>
  <c r="J43" i="66"/>
  <c r="J85" i="66" s="1"/>
  <c r="J92" i="66" s="1"/>
  <c r="J95" i="66" s="1"/>
  <c r="J166" i="66" s="1"/>
  <c r="J43" i="63"/>
  <c r="J85" i="63" s="1"/>
  <c r="J92" i="63" s="1"/>
  <c r="J95" i="63" s="1"/>
  <c r="J166" i="63" s="1"/>
  <c r="J43" i="64"/>
  <c r="J85" i="64" s="1"/>
  <c r="J92" i="64" s="1"/>
  <c r="J95" i="64" s="1"/>
  <c r="J166" i="64" s="1"/>
  <c r="I48" i="53"/>
  <c r="I50" i="53" s="1"/>
  <c r="I48" i="64"/>
  <c r="I50" i="64" s="1"/>
  <c r="I119" i="64" s="1"/>
  <c r="I126" i="64" s="1"/>
  <c r="F112" i="58"/>
  <c r="F167" i="58" s="1"/>
  <c r="F176" i="58" s="1"/>
  <c r="E185" i="58"/>
  <c r="G157" i="64"/>
  <c r="G152" i="64"/>
  <c r="G159" i="64" s="1"/>
  <c r="G152" i="66"/>
  <c r="G159" i="66" s="1"/>
  <c r="G150" i="66"/>
  <c r="G162" i="66" s="1"/>
  <c r="J45" i="62"/>
  <c r="J48" i="62" s="1"/>
  <c r="J45" i="65"/>
  <c r="J45" i="66"/>
  <c r="J45" i="67"/>
  <c r="J45" i="64"/>
  <c r="J45" i="63"/>
  <c r="J51" i="62"/>
  <c r="J136" i="62" s="1"/>
  <c r="J143" i="62" s="1"/>
  <c r="J51" i="67"/>
  <c r="J136" i="67" s="1"/>
  <c r="J143" i="67" s="1"/>
  <c r="J51" i="66"/>
  <c r="J136" i="66" s="1"/>
  <c r="J143" i="66" s="1"/>
  <c r="J51" i="65"/>
  <c r="J136" i="65" s="1"/>
  <c r="J143" i="65" s="1"/>
  <c r="J51" i="64"/>
  <c r="J136" i="64" s="1"/>
  <c r="J143" i="64" s="1"/>
  <c r="J51" i="63"/>
  <c r="J136" i="63" s="1"/>
  <c r="J143" i="63" s="1"/>
  <c r="G123" i="58"/>
  <c r="G127" i="58" s="1"/>
  <c r="G116" i="58"/>
  <c r="G128" i="58" s="1"/>
  <c r="I148" i="45"/>
  <c r="I149" i="52" s="1"/>
  <c r="I152" i="52" s="1"/>
  <c r="I144" i="45"/>
  <c r="I149" i="45"/>
  <c r="I149" i="67" s="1"/>
  <c r="I143" i="45"/>
  <c r="I149" i="61" s="1"/>
  <c r="I150" i="61" s="1"/>
  <c r="I162" i="61" s="1"/>
  <c r="I147" i="45"/>
  <c r="I149" i="53" s="1"/>
  <c r="I152" i="53" s="1"/>
  <c r="F112" i="65"/>
  <c r="F167" i="65" s="1"/>
  <c r="F185" i="65" s="1"/>
  <c r="I142" i="45"/>
  <c r="I149" i="51" s="1"/>
  <c r="I146" i="45"/>
  <c r="I149" i="62" s="1"/>
  <c r="G152" i="61"/>
  <c r="G159" i="61" s="1"/>
  <c r="I145" i="45"/>
  <c r="G157" i="61"/>
  <c r="I150" i="45"/>
  <c r="H119" i="62"/>
  <c r="H126" i="62" s="1"/>
  <c r="H129" i="62" s="1"/>
  <c r="H169" i="62" s="1"/>
  <c r="E184" i="66"/>
  <c r="F184" i="65"/>
  <c r="J49" i="62"/>
  <c r="J49" i="63"/>
  <c r="J49" i="64"/>
  <c r="H140" i="67"/>
  <c r="H135" i="67"/>
  <c r="H142" i="67" s="1"/>
  <c r="H130" i="67"/>
  <c r="H133" i="67"/>
  <c r="H145" i="67" s="1"/>
  <c r="H135" i="53"/>
  <c r="H142" i="53" s="1"/>
  <c r="H133" i="53"/>
  <c r="H145" i="53" s="1"/>
  <c r="H140" i="53"/>
  <c r="H130" i="53"/>
  <c r="H135" i="52"/>
  <c r="H142" i="52" s="1"/>
  <c r="H130" i="52"/>
  <c r="H140" i="52"/>
  <c r="H133" i="52"/>
  <c r="H145" i="52" s="1"/>
  <c r="H133" i="51"/>
  <c r="H145" i="51" s="1"/>
  <c r="H135" i="51"/>
  <c r="H142" i="51" s="1"/>
  <c r="I132" i="52"/>
  <c r="I132" i="51"/>
  <c r="I132" i="53"/>
  <c r="I132" i="67"/>
  <c r="H130" i="58"/>
  <c r="H133" i="55"/>
  <c r="H145" i="55" s="1"/>
  <c r="H130" i="55"/>
  <c r="H135" i="55"/>
  <c r="H142" i="55" s="1"/>
  <c r="G99" i="58"/>
  <c r="G111" i="58" s="1"/>
  <c r="G106" i="58"/>
  <c r="G110" i="58" s="1"/>
  <c r="G129" i="67"/>
  <c r="G169" i="67" s="1"/>
  <c r="G184" i="67" s="1"/>
  <c r="H135" i="61"/>
  <c r="H142" i="61" s="1"/>
  <c r="H140" i="61"/>
  <c r="K157" i="45"/>
  <c r="J55" i="64"/>
  <c r="J69" i="64" s="1"/>
  <c r="J76" i="64" s="1"/>
  <c r="I132" i="66"/>
  <c r="I132" i="64"/>
  <c r="I132" i="58"/>
  <c r="I135" i="58" s="1"/>
  <c r="I142" i="58" s="1"/>
  <c r="I132" i="65"/>
  <c r="H140" i="58"/>
  <c r="G150" i="63"/>
  <c r="G162" i="63" s="1"/>
  <c r="G157" i="63"/>
  <c r="G152" i="63"/>
  <c r="G159" i="63" s="1"/>
  <c r="H133" i="64"/>
  <c r="H145" i="64" s="1"/>
  <c r="H135" i="64"/>
  <c r="H142" i="64" s="1"/>
  <c r="H140" i="64"/>
  <c r="H130" i="64"/>
  <c r="F184" i="67"/>
  <c r="F175" i="67"/>
  <c r="E175" i="65"/>
  <c r="E184" i="65"/>
  <c r="H149" i="58"/>
  <c r="H152" i="58" s="1"/>
  <c r="H159" i="58" s="1"/>
  <c r="H149" i="65"/>
  <c r="H133" i="58"/>
  <c r="H145" i="58" s="1"/>
  <c r="H133" i="66"/>
  <c r="H145" i="66" s="1"/>
  <c r="H135" i="66"/>
  <c r="H142" i="66" s="1"/>
  <c r="H130" i="66"/>
  <c r="H140" i="66"/>
  <c r="G112" i="67"/>
  <c r="G167" i="67" s="1"/>
  <c r="G176" i="67" s="1"/>
  <c r="F184" i="63"/>
  <c r="F175" i="63"/>
  <c r="H115" i="58"/>
  <c r="H116" i="58" s="1"/>
  <c r="H128" i="58" s="1"/>
  <c r="H115" i="65"/>
  <c r="I132" i="61"/>
  <c r="I133" i="61" s="1"/>
  <c r="I145" i="61" s="1"/>
  <c r="I132" i="63"/>
  <c r="G116" i="64"/>
  <c r="G128" i="64" s="1"/>
  <c r="G125" i="64"/>
  <c r="G123" i="64"/>
  <c r="G127" i="64" s="1"/>
  <c r="G116" i="65"/>
  <c r="G128" i="65" s="1"/>
  <c r="G123" i="65"/>
  <c r="G127" i="65" s="1"/>
  <c r="G118" i="65"/>
  <c r="G125" i="65" s="1"/>
  <c r="H140" i="63"/>
  <c r="H130" i="63"/>
  <c r="H135" i="63"/>
  <c r="H142" i="63" s="1"/>
  <c r="H133" i="63"/>
  <c r="H145" i="63" s="1"/>
  <c r="I125" i="63"/>
  <c r="I116" i="63"/>
  <c r="I128" i="63" s="1"/>
  <c r="I123" i="63"/>
  <c r="I127" i="63" s="1"/>
  <c r="F112" i="66"/>
  <c r="F167" i="66" s="1"/>
  <c r="F185" i="66" s="1"/>
  <c r="G116" i="66"/>
  <c r="G128" i="66" s="1"/>
  <c r="G123" i="66"/>
  <c r="G127" i="66" s="1"/>
  <c r="G125" i="66"/>
  <c r="H116" i="67"/>
  <c r="H128" i="67" s="1"/>
  <c r="H125" i="67"/>
  <c r="H113" i="67"/>
  <c r="H123" i="67"/>
  <c r="H127" i="67" s="1"/>
  <c r="H149" i="55"/>
  <c r="H152" i="55" s="1"/>
  <c r="H159" i="55" s="1"/>
  <c r="H149" i="66"/>
  <c r="H149" i="64"/>
  <c r="G157" i="58"/>
  <c r="H130" i="61"/>
  <c r="H123" i="63"/>
  <c r="H127" i="63" s="1"/>
  <c r="H125" i="63"/>
  <c r="H116" i="63"/>
  <c r="H128" i="63" s="1"/>
  <c r="H113" i="63"/>
  <c r="H150" i="67"/>
  <c r="H162" i="67" s="1"/>
  <c r="H157" i="67"/>
  <c r="H152" i="67"/>
  <c r="H159" i="67" s="1"/>
  <c r="H147" i="67"/>
  <c r="H115" i="55"/>
  <c r="H116" i="55" s="1"/>
  <c r="H128" i="55" s="1"/>
  <c r="H115" i="66"/>
  <c r="H118" i="66" s="1"/>
  <c r="H115" i="64"/>
  <c r="H118" i="64" s="1"/>
  <c r="G129" i="63"/>
  <c r="G169" i="63" s="1"/>
  <c r="E175" i="64"/>
  <c r="E184" i="64"/>
  <c r="F129" i="66"/>
  <c r="F169" i="66" s="1"/>
  <c r="F129" i="64"/>
  <c r="F169" i="64" s="1"/>
  <c r="G150" i="58"/>
  <c r="G162" i="58" s="1"/>
  <c r="H150" i="63"/>
  <c r="H162" i="63" s="1"/>
  <c r="H147" i="63"/>
  <c r="H152" i="63"/>
  <c r="H159" i="63" s="1"/>
  <c r="H157" i="63"/>
  <c r="H133" i="65"/>
  <c r="H145" i="65" s="1"/>
  <c r="H140" i="65"/>
  <c r="H135" i="65"/>
  <c r="H142" i="65" s="1"/>
  <c r="H130" i="65"/>
  <c r="G150" i="65"/>
  <c r="G162" i="65" s="1"/>
  <c r="G157" i="65"/>
  <c r="G152" i="65"/>
  <c r="G159" i="65" s="1"/>
  <c r="F175" i="62"/>
  <c r="E185" i="64"/>
  <c r="E176" i="64"/>
  <c r="G99" i="66"/>
  <c r="G111" i="66" s="1"/>
  <c r="G101" i="66"/>
  <c r="G108" i="66" s="1"/>
  <c r="G106" i="66"/>
  <c r="G110" i="66" s="1"/>
  <c r="F185" i="67"/>
  <c r="F176" i="67"/>
  <c r="H98" i="66"/>
  <c r="H98" i="64"/>
  <c r="G99" i="65"/>
  <c r="G111" i="65" s="1"/>
  <c r="G101" i="65"/>
  <c r="G108" i="65" s="1"/>
  <c r="G106" i="65"/>
  <c r="G110" i="65" s="1"/>
  <c r="G99" i="64"/>
  <c r="G111" i="64" s="1"/>
  <c r="G106" i="64"/>
  <c r="G110" i="64" s="1"/>
  <c r="G101" i="64"/>
  <c r="G108" i="64" s="1"/>
  <c r="E176" i="66"/>
  <c r="E185" i="66"/>
  <c r="F112" i="64"/>
  <c r="F167" i="64" s="1"/>
  <c r="E176" i="65"/>
  <c r="E185" i="65"/>
  <c r="H99" i="63"/>
  <c r="H111" i="63" s="1"/>
  <c r="H96" i="63"/>
  <c r="H101" i="63"/>
  <c r="H108" i="63" s="1"/>
  <c r="H106" i="63"/>
  <c r="H110" i="63" s="1"/>
  <c r="H98" i="58"/>
  <c r="H101" i="58" s="1"/>
  <c r="H108" i="58" s="1"/>
  <c r="H98" i="65"/>
  <c r="H99" i="67"/>
  <c r="H111" i="67" s="1"/>
  <c r="H106" i="67"/>
  <c r="H110" i="67" s="1"/>
  <c r="H96" i="67"/>
  <c r="H101" i="67"/>
  <c r="H108" i="67" s="1"/>
  <c r="F176" i="63"/>
  <c r="F185" i="63"/>
  <c r="G112" i="63"/>
  <c r="G167" i="63" s="1"/>
  <c r="E184" i="57"/>
  <c r="E175" i="57"/>
  <c r="F185" i="62"/>
  <c r="I174" i="62"/>
  <c r="I180" i="62" s="1"/>
  <c r="I171" i="62"/>
  <c r="J53" i="61"/>
  <c r="J74" i="45"/>
  <c r="J72" i="45"/>
  <c r="J77" i="45"/>
  <c r="J70" i="45"/>
  <c r="J76" i="45"/>
  <c r="J75" i="45"/>
  <c r="J73" i="45"/>
  <c r="J78" i="45"/>
  <c r="J71" i="45"/>
  <c r="J53" i="62"/>
  <c r="E175" i="61"/>
  <c r="G129" i="62"/>
  <c r="G169" i="62" s="1"/>
  <c r="G112" i="62"/>
  <c r="G167" i="62" s="1"/>
  <c r="H142" i="57"/>
  <c r="H140" i="57"/>
  <c r="H130" i="57"/>
  <c r="H133" i="57"/>
  <c r="H145" i="57" s="1"/>
  <c r="I132" i="62"/>
  <c r="I132" i="57"/>
  <c r="I135" i="57" s="1"/>
  <c r="H130" i="62"/>
  <c r="H140" i="62"/>
  <c r="H135" i="62"/>
  <c r="H142" i="62" s="1"/>
  <c r="H133" i="62"/>
  <c r="H145" i="62" s="1"/>
  <c r="H99" i="62"/>
  <c r="H111" i="62" s="1"/>
  <c r="H96" i="62"/>
  <c r="H101" i="62"/>
  <c r="H108" i="62" s="1"/>
  <c r="H106" i="62"/>
  <c r="H110" i="62" s="1"/>
  <c r="J52" i="61"/>
  <c r="J64" i="45"/>
  <c r="J59" i="45"/>
  <c r="J65" i="45"/>
  <c r="J60" i="45"/>
  <c r="J66" i="45"/>
  <c r="J61" i="45"/>
  <c r="J67" i="45"/>
  <c r="J62" i="45"/>
  <c r="J63" i="45"/>
  <c r="J50" i="45"/>
  <c r="J131" i="45" s="1"/>
  <c r="J53" i="45"/>
  <c r="J134" i="45" s="1"/>
  <c r="J56" i="45"/>
  <c r="J137" i="45" s="1"/>
  <c r="J49" i="45"/>
  <c r="J130" i="45" s="1"/>
  <c r="J48" i="45"/>
  <c r="J129" i="45" s="1"/>
  <c r="J51" i="45"/>
  <c r="J132" i="45" s="1"/>
  <c r="J54" i="45"/>
  <c r="J135" i="45" s="1"/>
  <c r="J55" i="45"/>
  <c r="J136" i="45" s="1"/>
  <c r="J52" i="45"/>
  <c r="J133" i="45" s="1"/>
  <c r="J52" i="62"/>
  <c r="H150" i="62"/>
  <c r="H162" i="62" s="1"/>
  <c r="H157" i="62"/>
  <c r="H147" i="62"/>
  <c r="H152" i="62"/>
  <c r="H159" i="62" s="1"/>
  <c r="E184" i="61"/>
  <c r="H98" i="61"/>
  <c r="G99" i="61"/>
  <c r="G111" i="61" s="1"/>
  <c r="G106" i="61"/>
  <c r="G110" i="61" s="1"/>
  <c r="G101" i="61"/>
  <c r="G108" i="61" s="1"/>
  <c r="F112" i="61"/>
  <c r="F167" i="61" s="1"/>
  <c r="E185" i="61"/>
  <c r="E176" i="61"/>
  <c r="J44" i="38"/>
  <c r="J44" i="61"/>
  <c r="J102" i="61" s="1"/>
  <c r="J109" i="61" s="1"/>
  <c r="H115" i="61"/>
  <c r="H118" i="61" s="1"/>
  <c r="J43" i="38"/>
  <c r="J43" i="61"/>
  <c r="J85" i="61" s="1"/>
  <c r="J92" i="61" s="1"/>
  <c r="J95" i="61" s="1"/>
  <c r="J166" i="61" s="1"/>
  <c r="G116" i="61"/>
  <c r="G128" i="61" s="1"/>
  <c r="G123" i="61"/>
  <c r="G127" i="61" s="1"/>
  <c r="G125" i="61"/>
  <c r="J46" i="38"/>
  <c r="J46" i="61"/>
  <c r="I115" i="61"/>
  <c r="I118" i="61" s="1"/>
  <c r="I183" i="61"/>
  <c r="I189" i="61" s="1"/>
  <c r="I171" i="61"/>
  <c r="I174" i="61"/>
  <c r="I180" i="61" s="1"/>
  <c r="J49" i="38"/>
  <c r="J49" i="61"/>
  <c r="I48" i="61"/>
  <c r="I50" i="61" s="1"/>
  <c r="H149" i="61"/>
  <c r="J51" i="61"/>
  <c r="J136" i="61" s="1"/>
  <c r="J143" i="61" s="1"/>
  <c r="J51" i="38"/>
  <c r="J45" i="61"/>
  <c r="J45" i="38"/>
  <c r="J42" i="38"/>
  <c r="J42" i="61"/>
  <c r="J68" i="61" s="1"/>
  <c r="J75" i="61" s="1"/>
  <c r="J78" i="61" s="1"/>
  <c r="J165" i="61" s="1"/>
  <c r="F129" i="61"/>
  <c r="F169" i="61" s="1"/>
  <c r="H153" i="61"/>
  <c r="H160" i="61" s="1"/>
  <c r="H119" i="61"/>
  <c r="H126" i="61" s="1"/>
  <c r="K6" i="45"/>
  <c r="K44" i="51" s="1"/>
  <c r="K102" i="51" s="1"/>
  <c r="K109" i="51" s="1"/>
  <c r="H183" i="53"/>
  <c r="H189" i="53" s="1"/>
  <c r="F184" i="52"/>
  <c r="F175" i="53"/>
  <c r="F184" i="53"/>
  <c r="H130" i="38"/>
  <c r="H135" i="38"/>
  <c r="H183" i="52"/>
  <c r="H189" i="52" s="1"/>
  <c r="H115" i="38"/>
  <c r="H174" i="52"/>
  <c r="H180" i="52" s="1"/>
  <c r="H183" i="57"/>
  <c r="H189" i="57" s="1"/>
  <c r="H174" i="57"/>
  <c r="H180" i="57" s="1"/>
  <c r="C48" i="38"/>
  <c r="C50" i="38" s="1"/>
  <c r="H171" i="53"/>
  <c r="H171" i="57"/>
  <c r="H183" i="55"/>
  <c r="H189" i="55" s="1"/>
  <c r="H174" i="53"/>
  <c r="H180" i="53" s="1"/>
  <c r="H174" i="55"/>
  <c r="H180" i="55" s="1"/>
  <c r="H174" i="58"/>
  <c r="H180" i="58" s="1"/>
  <c r="H183" i="51"/>
  <c r="H189" i="51" s="1"/>
  <c r="H171" i="51"/>
  <c r="J44" i="51"/>
  <c r="J102" i="51" s="1"/>
  <c r="J109" i="51" s="1"/>
  <c r="J44" i="52"/>
  <c r="J102" i="52" s="1"/>
  <c r="J109" i="52" s="1"/>
  <c r="J44" i="55"/>
  <c r="J102" i="55" s="1"/>
  <c r="J109" i="55" s="1"/>
  <c r="J44" i="53"/>
  <c r="J102" i="53" s="1"/>
  <c r="J109" i="53" s="1"/>
  <c r="J44" i="57"/>
  <c r="J102" i="57" s="1"/>
  <c r="J109" i="57" s="1"/>
  <c r="J44" i="58"/>
  <c r="J102" i="58" s="1"/>
  <c r="J109" i="58" s="1"/>
  <c r="H171" i="58"/>
  <c r="F112" i="55"/>
  <c r="F167" i="55" s="1"/>
  <c r="F185" i="55" s="1"/>
  <c r="G129" i="51"/>
  <c r="G169" i="51" s="1"/>
  <c r="G175" i="51" s="1"/>
  <c r="I75" i="53"/>
  <c r="I78" i="53" s="1"/>
  <c r="I165" i="53" s="1"/>
  <c r="I75" i="52"/>
  <c r="I78" i="52" s="1"/>
  <c r="I165" i="52" s="1"/>
  <c r="H149" i="38"/>
  <c r="H152" i="38" s="1"/>
  <c r="H153" i="52"/>
  <c r="H160" i="52" s="1"/>
  <c r="H119" i="52"/>
  <c r="H126" i="52" s="1"/>
  <c r="I75" i="55"/>
  <c r="I78" i="55" s="1"/>
  <c r="I165" i="55" s="1"/>
  <c r="J53" i="58"/>
  <c r="J53" i="57"/>
  <c r="J53" i="53"/>
  <c r="J53" i="55"/>
  <c r="J53" i="52"/>
  <c r="J53" i="51"/>
  <c r="J42" i="58"/>
  <c r="J68" i="58" s="1"/>
  <c r="J42" i="57"/>
  <c r="J68" i="57" s="1"/>
  <c r="J42" i="55"/>
  <c r="J68" i="55" s="1"/>
  <c r="J42" i="53"/>
  <c r="J68" i="53" s="1"/>
  <c r="J42" i="52"/>
  <c r="J68" i="52" s="1"/>
  <c r="J42" i="51"/>
  <c r="J68" i="51" s="1"/>
  <c r="J41" i="58"/>
  <c r="J67" i="58" s="1"/>
  <c r="J41" i="57"/>
  <c r="J67" i="57" s="1"/>
  <c r="J41" i="55"/>
  <c r="J67" i="55" s="1"/>
  <c r="J41" i="52"/>
  <c r="J67" i="52" s="1"/>
  <c r="J41" i="53"/>
  <c r="J67" i="53" s="1"/>
  <c r="J41" i="51"/>
  <c r="J67" i="51" s="1"/>
  <c r="J46" i="58"/>
  <c r="J46" i="57"/>
  <c r="J46" i="55"/>
  <c r="J46" i="53"/>
  <c r="J46" i="52"/>
  <c r="J46" i="51"/>
  <c r="H153" i="58"/>
  <c r="H160" i="58" s="1"/>
  <c r="H119" i="58"/>
  <c r="H126" i="58" s="1"/>
  <c r="I75" i="57"/>
  <c r="I78" i="57" s="1"/>
  <c r="I165" i="57" s="1"/>
  <c r="J45" i="58"/>
  <c r="J45" i="57"/>
  <c r="J45" i="55"/>
  <c r="J45" i="53"/>
  <c r="J45" i="52"/>
  <c r="J45" i="51"/>
  <c r="H119" i="53"/>
  <c r="H126" i="53" s="1"/>
  <c r="H153" i="53"/>
  <c r="H160" i="53" s="1"/>
  <c r="I75" i="58"/>
  <c r="I78" i="58" s="1"/>
  <c r="I165" i="58" s="1"/>
  <c r="J52" i="58"/>
  <c r="J52" i="57"/>
  <c r="J52" i="55"/>
  <c r="J52" i="53"/>
  <c r="J52" i="52"/>
  <c r="J52" i="51"/>
  <c r="J51" i="58"/>
  <c r="J136" i="58" s="1"/>
  <c r="J143" i="58" s="1"/>
  <c r="J51" i="57"/>
  <c r="J136" i="57" s="1"/>
  <c r="J143" i="57" s="1"/>
  <c r="J51" i="53"/>
  <c r="J136" i="53" s="1"/>
  <c r="J143" i="53" s="1"/>
  <c r="J51" i="55"/>
  <c r="J136" i="55" s="1"/>
  <c r="J143" i="55" s="1"/>
  <c r="J51" i="52"/>
  <c r="J136" i="52" s="1"/>
  <c r="J143" i="52" s="1"/>
  <c r="J51" i="51"/>
  <c r="J136" i="51" s="1"/>
  <c r="J143" i="51" s="1"/>
  <c r="H119" i="55"/>
  <c r="H126" i="55" s="1"/>
  <c r="H153" i="55"/>
  <c r="H160" i="55" s="1"/>
  <c r="H153" i="57"/>
  <c r="H160" i="57" s="1"/>
  <c r="H119" i="57"/>
  <c r="H126" i="57" s="1"/>
  <c r="H119" i="51"/>
  <c r="H126" i="51" s="1"/>
  <c r="H153" i="51"/>
  <c r="H160" i="51" s="1"/>
  <c r="J43" i="58"/>
  <c r="J85" i="58" s="1"/>
  <c r="J92" i="58" s="1"/>
  <c r="J95" i="58" s="1"/>
  <c r="J166" i="58" s="1"/>
  <c r="J43" i="57"/>
  <c r="J85" i="57" s="1"/>
  <c r="J92" i="57" s="1"/>
  <c r="J95" i="57" s="1"/>
  <c r="J166" i="57" s="1"/>
  <c r="J43" i="55"/>
  <c r="J85" i="55" s="1"/>
  <c r="J92" i="55" s="1"/>
  <c r="J95" i="55" s="1"/>
  <c r="J166" i="55" s="1"/>
  <c r="J43" i="53"/>
  <c r="J85" i="53" s="1"/>
  <c r="J92" i="53" s="1"/>
  <c r="J95" i="53" s="1"/>
  <c r="J166" i="53" s="1"/>
  <c r="J43" i="52"/>
  <c r="J85" i="52" s="1"/>
  <c r="J92" i="52" s="1"/>
  <c r="J95" i="52" s="1"/>
  <c r="J166" i="52" s="1"/>
  <c r="J43" i="51"/>
  <c r="J85" i="51" s="1"/>
  <c r="J92" i="51" s="1"/>
  <c r="J95" i="51" s="1"/>
  <c r="J166" i="51" s="1"/>
  <c r="I75" i="51"/>
  <c r="I78" i="51" s="1"/>
  <c r="I165" i="51" s="1"/>
  <c r="H150" i="53"/>
  <c r="H162" i="53" s="1"/>
  <c r="H157" i="53"/>
  <c r="H147" i="53"/>
  <c r="H159" i="53"/>
  <c r="H98" i="38"/>
  <c r="H98" i="55"/>
  <c r="G129" i="52"/>
  <c r="G169" i="52" s="1"/>
  <c r="H149" i="57"/>
  <c r="H152" i="57" s="1"/>
  <c r="E185" i="55"/>
  <c r="E176" i="55"/>
  <c r="G99" i="57"/>
  <c r="G111" i="57" s="1"/>
  <c r="G106" i="57"/>
  <c r="G110" i="57" s="1"/>
  <c r="G101" i="57"/>
  <c r="G108" i="57" s="1"/>
  <c r="F185" i="53"/>
  <c r="F176" i="53"/>
  <c r="F175" i="51"/>
  <c r="F184" i="51"/>
  <c r="F129" i="57"/>
  <c r="F169" i="57" s="1"/>
  <c r="F112" i="57"/>
  <c r="F167" i="57" s="1"/>
  <c r="E176" i="57"/>
  <c r="E185" i="57"/>
  <c r="H116" i="57"/>
  <c r="H128" i="57" s="1"/>
  <c r="H113" i="57"/>
  <c r="H123" i="57"/>
  <c r="H127" i="57" s="1"/>
  <c r="H118" i="57"/>
  <c r="H125" i="57" s="1"/>
  <c r="G116" i="57"/>
  <c r="G128" i="57" s="1"/>
  <c r="G123" i="57"/>
  <c r="G127" i="57" s="1"/>
  <c r="G118" i="57"/>
  <c r="G125" i="57" s="1"/>
  <c r="F176" i="52"/>
  <c r="F185" i="52"/>
  <c r="G150" i="57"/>
  <c r="G162" i="57" s="1"/>
  <c r="G159" i="57"/>
  <c r="G157" i="57"/>
  <c r="F185" i="51"/>
  <c r="F176" i="51"/>
  <c r="H99" i="53"/>
  <c r="H111" i="53" s="1"/>
  <c r="H106" i="53"/>
  <c r="H110" i="53" s="1"/>
  <c r="H96" i="53"/>
  <c r="H101" i="53"/>
  <c r="H108" i="53" s="1"/>
  <c r="G184" i="53"/>
  <c r="G175" i="53"/>
  <c r="H112" i="51"/>
  <c r="H167" i="51" s="1"/>
  <c r="H116" i="51"/>
  <c r="H128" i="51" s="1"/>
  <c r="H113" i="51"/>
  <c r="H118" i="51"/>
  <c r="H125" i="51" s="1"/>
  <c r="H123" i="51"/>
  <c r="H127" i="51" s="1"/>
  <c r="H150" i="51"/>
  <c r="H162" i="51" s="1"/>
  <c r="H157" i="51"/>
  <c r="H147" i="51"/>
  <c r="H159" i="51"/>
  <c r="H98" i="57"/>
  <c r="H150" i="52"/>
  <c r="H162" i="52" s="1"/>
  <c r="H157" i="52"/>
  <c r="H159" i="52"/>
  <c r="H147" i="52"/>
  <c r="G112" i="53"/>
  <c r="G167" i="53" s="1"/>
  <c r="F129" i="55"/>
  <c r="F169" i="55" s="1"/>
  <c r="H99" i="52"/>
  <c r="H111" i="52" s="1"/>
  <c r="H96" i="52"/>
  <c r="H106" i="52"/>
  <c r="H110" i="52" s="1"/>
  <c r="H101" i="52"/>
  <c r="H108" i="52" s="1"/>
  <c r="H116" i="52"/>
  <c r="H128" i="52" s="1"/>
  <c r="H123" i="52"/>
  <c r="H127" i="52" s="1"/>
  <c r="H113" i="52"/>
  <c r="H118" i="52"/>
  <c r="H125" i="52" s="1"/>
  <c r="H116" i="53"/>
  <c r="H128" i="53" s="1"/>
  <c r="H118" i="53"/>
  <c r="H125" i="53" s="1"/>
  <c r="H123" i="53"/>
  <c r="H127" i="53" s="1"/>
  <c r="H113" i="53"/>
  <c r="I132" i="38"/>
  <c r="I135" i="38" s="1"/>
  <c r="I132" i="55"/>
  <c r="I135" i="55" s="1"/>
  <c r="G112" i="52"/>
  <c r="G167" i="52" s="1"/>
  <c r="G99" i="55"/>
  <c r="G111" i="55" s="1"/>
  <c r="G106" i="55"/>
  <c r="G110" i="55" s="1"/>
  <c r="G101" i="55"/>
  <c r="G108" i="55" s="1"/>
  <c r="E184" i="55"/>
  <c r="E175" i="55"/>
  <c r="G116" i="55"/>
  <c r="G128" i="55" s="1"/>
  <c r="G123" i="55"/>
  <c r="G127" i="55" s="1"/>
  <c r="G118" i="55"/>
  <c r="G125" i="55" s="1"/>
  <c r="G112" i="51"/>
  <c r="G167" i="51" s="1"/>
  <c r="H130" i="51"/>
  <c r="H140" i="51"/>
  <c r="G162" i="51"/>
  <c r="G157" i="51"/>
  <c r="G159" i="51"/>
  <c r="K156" i="45"/>
  <c r="K55" i="63" s="1"/>
  <c r="K69" i="63" s="1"/>
  <c r="K76" i="63" s="1"/>
  <c r="K155" i="45"/>
  <c r="K55" i="62" s="1"/>
  <c r="K69" i="62" s="1"/>
  <c r="K76" i="62" s="1"/>
  <c r="K154" i="45"/>
  <c r="J55" i="38"/>
  <c r="I125" i="45"/>
  <c r="I119" i="45"/>
  <c r="I121" i="45"/>
  <c r="I115" i="62" s="1"/>
  <c r="I118" i="62" s="1"/>
  <c r="I123" i="45"/>
  <c r="I115" i="52" s="1"/>
  <c r="I120" i="45"/>
  <c r="I124" i="45"/>
  <c r="I115" i="67" s="1"/>
  <c r="I118" i="67" s="1"/>
  <c r="I117" i="45"/>
  <c r="I115" i="51" s="1"/>
  <c r="I122" i="45"/>
  <c r="I115" i="53" s="1"/>
  <c r="J116" i="45"/>
  <c r="J120" i="45" s="1"/>
  <c r="J140" i="45"/>
  <c r="K38" i="45"/>
  <c r="K39" i="45"/>
  <c r="K40" i="45"/>
  <c r="K28" i="45"/>
  <c r="K27" i="45"/>
  <c r="K29" i="45"/>
  <c r="J104" i="45"/>
  <c r="J103" i="45"/>
  <c r="I110" i="45"/>
  <c r="I98" i="53" s="1"/>
  <c r="I109" i="45"/>
  <c r="I98" i="62" s="1"/>
  <c r="I107" i="45"/>
  <c r="I108" i="45"/>
  <c r="I111" i="45"/>
  <c r="I98" i="52" s="1"/>
  <c r="I106" i="45"/>
  <c r="I98" i="63" s="1"/>
  <c r="I105" i="45"/>
  <c r="I98" i="51" s="1"/>
  <c r="I112" i="45"/>
  <c r="I98" i="67" s="1"/>
  <c r="I113" i="45"/>
  <c r="K12" i="45"/>
  <c r="K19" i="45"/>
  <c r="J52" i="38"/>
  <c r="K14" i="45"/>
  <c r="K21" i="45"/>
  <c r="K23" i="45"/>
  <c r="K5" i="45"/>
  <c r="K20" i="45"/>
  <c r="J53" i="38"/>
  <c r="K4" i="45"/>
  <c r="I171" i="64" l="1"/>
  <c r="I174" i="64"/>
  <c r="I180" i="64" s="1"/>
  <c r="J48" i="64"/>
  <c r="J50" i="64" s="1"/>
  <c r="J119" i="64" s="1"/>
  <c r="J126" i="64" s="1"/>
  <c r="F185" i="58"/>
  <c r="I153" i="66"/>
  <c r="I160" i="66" s="1"/>
  <c r="I119" i="67"/>
  <c r="I126" i="67" s="1"/>
  <c r="J48" i="66"/>
  <c r="J50" i="66" s="1"/>
  <c r="J119" i="66" s="1"/>
  <c r="J126" i="66" s="1"/>
  <c r="J48" i="65"/>
  <c r="J50" i="65" s="1"/>
  <c r="J153" i="65" s="1"/>
  <c r="J160" i="65" s="1"/>
  <c r="J48" i="67"/>
  <c r="J50" i="67" s="1"/>
  <c r="J153" i="67" s="1"/>
  <c r="J160" i="67" s="1"/>
  <c r="BV6" i="46"/>
  <c r="BV16" i="46"/>
  <c r="BV10" i="46"/>
  <c r="BV7" i="46"/>
  <c r="BV8" i="46"/>
  <c r="BV14" i="46"/>
  <c r="BV18" i="46"/>
  <c r="BV13" i="46"/>
  <c r="BV17" i="46"/>
  <c r="BV12" i="46"/>
  <c r="BV15" i="46"/>
  <c r="BV9" i="46"/>
  <c r="BV5" i="46"/>
  <c r="BV11" i="46"/>
  <c r="I153" i="64"/>
  <c r="I160" i="64" s="1"/>
  <c r="I119" i="63"/>
  <c r="I126" i="63" s="1"/>
  <c r="I129" i="63" s="1"/>
  <c r="I169" i="63" s="1"/>
  <c r="J48" i="57"/>
  <c r="J50" i="57" s="1"/>
  <c r="J48" i="53"/>
  <c r="J50" i="53" s="1"/>
  <c r="J48" i="58"/>
  <c r="J50" i="58" s="1"/>
  <c r="J48" i="55"/>
  <c r="J50" i="55" s="1"/>
  <c r="J48" i="63"/>
  <c r="J50" i="63" s="1"/>
  <c r="J153" i="63" s="1"/>
  <c r="J160" i="63" s="1"/>
  <c r="F176" i="65"/>
  <c r="J174" i="63"/>
  <c r="J180" i="63" s="1"/>
  <c r="J183" i="63"/>
  <c r="J189" i="63" s="1"/>
  <c r="J171" i="63"/>
  <c r="K42" i="62"/>
  <c r="K68" i="62" s="1"/>
  <c r="K75" i="62" s="1"/>
  <c r="K78" i="62" s="1"/>
  <c r="K165" i="62" s="1"/>
  <c r="K174" i="62" s="1"/>
  <c r="K180" i="62" s="1"/>
  <c r="K42" i="67"/>
  <c r="K68" i="67" s="1"/>
  <c r="K75" i="67" s="1"/>
  <c r="K78" i="67" s="1"/>
  <c r="K165" i="67" s="1"/>
  <c r="K42" i="66"/>
  <c r="K68" i="66" s="1"/>
  <c r="K75" i="66" s="1"/>
  <c r="K78" i="66" s="1"/>
  <c r="K165" i="66" s="1"/>
  <c r="K42" i="65"/>
  <c r="K68" i="65" s="1"/>
  <c r="K75" i="65" s="1"/>
  <c r="K78" i="65" s="1"/>
  <c r="K165" i="65" s="1"/>
  <c r="K42" i="64"/>
  <c r="K68" i="64" s="1"/>
  <c r="K75" i="64" s="1"/>
  <c r="K42" i="63"/>
  <c r="K68" i="63" s="1"/>
  <c r="K75" i="63" s="1"/>
  <c r="K78" i="63" s="1"/>
  <c r="K165" i="63" s="1"/>
  <c r="J183" i="65"/>
  <c r="J189" i="65" s="1"/>
  <c r="J174" i="65"/>
  <c r="J180" i="65" s="1"/>
  <c r="J171" i="65"/>
  <c r="J171" i="66"/>
  <c r="J183" i="66"/>
  <c r="J189" i="66" s="1"/>
  <c r="J174" i="66"/>
  <c r="J180" i="66" s="1"/>
  <c r="K43" i="62"/>
  <c r="K85" i="62" s="1"/>
  <c r="K92" i="62" s="1"/>
  <c r="K95" i="62" s="1"/>
  <c r="K166" i="62" s="1"/>
  <c r="K43" i="65"/>
  <c r="K85" i="65" s="1"/>
  <c r="K92" i="65" s="1"/>
  <c r="K95" i="65" s="1"/>
  <c r="K166" i="65" s="1"/>
  <c r="K43" i="66"/>
  <c r="K85" i="66" s="1"/>
  <c r="K92" i="66" s="1"/>
  <c r="K95" i="66" s="1"/>
  <c r="K166" i="66" s="1"/>
  <c r="K43" i="67"/>
  <c r="K85" i="67" s="1"/>
  <c r="K92" i="67" s="1"/>
  <c r="K95" i="67" s="1"/>
  <c r="K166" i="67" s="1"/>
  <c r="K43" i="63"/>
  <c r="K85" i="63" s="1"/>
  <c r="K92" i="63" s="1"/>
  <c r="K95" i="63" s="1"/>
  <c r="K166" i="63" s="1"/>
  <c r="K43" i="64"/>
  <c r="K85" i="64" s="1"/>
  <c r="K92" i="64" s="1"/>
  <c r="K95" i="64" s="1"/>
  <c r="K166" i="64" s="1"/>
  <c r="J183" i="67"/>
  <c r="J189" i="67" s="1"/>
  <c r="J171" i="67"/>
  <c r="J174" i="67"/>
  <c r="J180" i="67" s="1"/>
  <c r="K52" i="67"/>
  <c r="K52" i="65"/>
  <c r="K52" i="66"/>
  <c r="K52" i="64"/>
  <c r="K52" i="63"/>
  <c r="K46" i="62"/>
  <c r="K46" i="66"/>
  <c r="K46" i="65"/>
  <c r="K46" i="67"/>
  <c r="K46" i="64"/>
  <c r="K46" i="63"/>
  <c r="K53" i="67"/>
  <c r="K53" i="65"/>
  <c r="K53" i="66"/>
  <c r="K53" i="64"/>
  <c r="K53" i="63"/>
  <c r="J78" i="64"/>
  <c r="J165" i="64" s="1"/>
  <c r="J183" i="64" s="1"/>
  <c r="J189" i="64" s="1"/>
  <c r="L6" i="45"/>
  <c r="M6" i="45" s="1"/>
  <c r="J48" i="51"/>
  <c r="J50" i="51" s="1"/>
  <c r="J48" i="52"/>
  <c r="J50" i="52" s="1"/>
  <c r="K44" i="62"/>
  <c r="K102" i="62" s="1"/>
  <c r="K109" i="62" s="1"/>
  <c r="K44" i="67"/>
  <c r="K102" i="67" s="1"/>
  <c r="K109" i="67" s="1"/>
  <c r="K44" i="65"/>
  <c r="K102" i="65" s="1"/>
  <c r="K109" i="65" s="1"/>
  <c r="K44" i="66"/>
  <c r="K102" i="66" s="1"/>
  <c r="K109" i="66" s="1"/>
  <c r="K44" i="64"/>
  <c r="K102" i="64" s="1"/>
  <c r="K109" i="64" s="1"/>
  <c r="K44" i="63"/>
  <c r="K102" i="63" s="1"/>
  <c r="K109" i="63" s="1"/>
  <c r="K49" i="51"/>
  <c r="K49" i="58"/>
  <c r="K49" i="66"/>
  <c r="K49" i="57"/>
  <c r="K49" i="65"/>
  <c r="K49" i="52"/>
  <c r="K49" i="67"/>
  <c r="K49" i="53"/>
  <c r="K49" i="55"/>
  <c r="G112" i="58"/>
  <c r="G167" i="58" s="1"/>
  <c r="G176" i="58" s="1"/>
  <c r="H118" i="55"/>
  <c r="H125" i="55" s="1"/>
  <c r="H113" i="58"/>
  <c r="H106" i="58"/>
  <c r="H110" i="58" s="1"/>
  <c r="H123" i="58"/>
  <c r="H127" i="58" s="1"/>
  <c r="I119" i="65"/>
  <c r="I126" i="65" s="1"/>
  <c r="H118" i="58"/>
  <c r="H125" i="58" s="1"/>
  <c r="H147" i="58"/>
  <c r="G129" i="58"/>
  <c r="G169" i="58" s="1"/>
  <c r="I133" i="58"/>
  <c r="I145" i="58" s="1"/>
  <c r="K45" i="62"/>
  <c r="K45" i="65"/>
  <c r="K45" i="67"/>
  <c r="K45" i="66"/>
  <c r="K45" i="64"/>
  <c r="K45" i="63"/>
  <c r="F176" i="66"/>
  <c r="I149" i="63"/>
  <c r="I152" i="63" s="1"/>
  <c r="I159" i="63" s="1"/>
  <c r="H157" i="58"/>
  <c r="H150" i="58"/>
  <c r="H162" i="58" s="1"/>
  <c r="I152" i="61"/>
  <c r="I159" i="61" s="1"/>
  <c r="I119" i="62"/>
  <c r="I126" i="62" s="1"/>
  <c r="K51" i="62"/>
  <c r="K136" i="62" s="1"/>
  <c r="K143" i="62" s="1"/>
  <c r="K51" i="67"/>
  <c r="K136" i="67" s="1"/>
  <c r="K143" i="67" s="1"/>
  <c r="K51" i="66"/>
  <c r="K136" i="66" s="1"/>
  <c r="K143" i="66" s="1"/>
  <c r="K51" i="65"/>
  <c r="K136" i="65" s="1"/>
  <c r="K143" i="65" s="1"/>
  <c r="K51" i="64"/>
  <c r="K136" i="64" s="1"/>
  <c r="K143" i="64" s="1"/>
  <c r="K51" i="63"/>
  <c r="K136" i="63" s="1"/>
  <c r="K143" i="63" s="1"/>
  <c r="J174" i="62"/>
  <c r="J180" i="62" s="1"/>
  <c r="I140" i="58"/>
  <c r="J149" i="45"/>
  <c r="J149" i="67" s="1"/>
  <c r="H113" i="55"/>
  <c r="J143" i="45"/>
  <c r="H123" i="55"/>
  <c r="H127" i="55" s="1"/>
  <c r="J148" i="45"/>
  <c r="J149" i="52" s="1"/>
  <c r="J152" i="52" s="1"/>
  <c r="J142" i="45"/>
  <c r="J149" i="51" s="1"/>
  <c r="J147" i="45"/>
  <c r="J149" i="53" s="1"/>
  <c r="J152" i="53" s="1"/>
  <c r="J146" i="45"/>
  <c r="J149" i="62" s="1"/>
  <c r="J145" i="45"/>
  <c r="J150" i="45"/>
  <c r="H99" i="58"/>
  <c r="H111" i="58" s="1"/>
  <c r="H96" i="58"/>
  <c r="J144" i="45"/>
  <c r="I157" i="61"/>
  <c r="J50" i="62"/>
  <c r="J153" i="62" s="1"/>
  <c r="J160" i="62" s="1"/>
  <c r="K49" i="62"/>
  <c r="K49" i="64"/>
  <c r="K49" i="63"/>
  <c r="I133" i="67"/>
  <c r="I145" i="67" s="1"/>
  <c r="I140" i="67"/>
  <c r="I135" i="67"/>
  <c r="I142" i="67" s="1"/>
  <c r="I135" i="53"/>
  <c r="I142" i="53" s="1"/>
  <c r="I133" i="53"/>
  <c r="I145" i="53" s="1"/>
  <c r="I140" i="53"/>
  <c r="I133" i="51"/>
  <c r="I145" i="51" s="1"/>
  <c r="I135" i="51"/>
  <c r="I142" i="51" s="1"/>
  <c r="I135" i="52"/>
  <c r="I142" i="52" s="1"/>
  <c r="I133" i="52"/>
  <c r="I145" i="52" s="1"/>
  <c r="I140" i="52"/>
  <c r="J132" i="51"/>
  <c r="J133" i="51" s="1"/>
  <c r="J132" i="53"/>
  <c r="J132" i="52"/>
  <c r="J132" i="67"/>
  <c r="G175" i="67"/>
  <c r="H157" i="55"/>
  <c r="H147" i="55"/>
  <c r="H150" i="55"/>
  <c r="H162" i="55" s="1"/>
  <c r="I135" i="61"/>
  <c r="I142" i="61" s="1"/>
  <c r="I140" i="61"/>
  <c r="J183" i="62"/>
  <c r="J189" i="62" s="1"/>
  <c r="G185" i="67"/>
  <c r="L157" i="45"/>
  <c r="K55" i="64"/>
  <c r="K69" i="64" s="1"/>
  <c r="K76" i="64" s="1"/>
  <c r="H129" i="67"/>
  <c r="H169" i="67" s="1"/>
  <c r="H175" i="67" s="1"/>
  <c r="G129" i="65"/>
  <c r="G169" i="65" s="1"/>
  <c r="G184" i="65" s="1"/>
  <c r="G129" i="64"/>
  <c r="G169" i="64" s="1"/>
  <c r="G184" i="64" s="1"/>
  <c r="H150" i="65"/>
  <c r="H162" i="65" s="1"/>
  <c r="H157" i="65"/>
  <c r="H147" i="65"/>
  <c r="H152" i="65"/>
  <c r="H159" i="65" s="1"/>
  <c r="F184" i="64"/>
  <c r="F175" i="64"/>
  <c r="G175" i="63"/>
  <c r="G184" i="63"/>
  <c r="G129" i="66"/>
  <c r="G169" i="66" s="1"/>
  <c r="H116" i="66"/>
  <c r="H128" i="66" s="1"/>
  <c r="H125" i="66"/>
  <c r="H113" i="66"/>
  <c r="H123" i="66"/>
  <c r="H127" i="66" s="1"/>
  <c r="I116" i="67"/>
  <c r="I128" i="67" s="1"/>
  <c r="I125" i="67"/>
  <c r="I123" i="67"/>
  <c r="I127" i="67" s="1"/>
  <c r="H112" i="67"/>
  <c r="H167" i="67" s="1"/>
  <c r="H185" i="67" s="1"/>
  <c r="F175" i="66"/>
  <c r="F184" i="66"/>
  <c r="I149" i="58"/>
  <c r="I152" i="58" s="1"/>
  <c r="I159" i="58" s="1"/>
  <c r="I149" i="65"/>
  <c r="H116" i="65"/>
  <c r="H128" i="65" s="1"/>
  <c r="H113" i="65"/>
  <c r="H123" i="65"/>
  <c r="H127" i="65" s="1"/>
  <c r="H118" i="65"/>
  <c r="H125" i="65" s="1"/>
  <c r="I149" i="66"/>
  <c r="I149" i="64"/>
  <c r="J132" i="61"/>
  <c r="J133" i="61" s="1"/>
  <c r="J145" i="61" s="1"/>
  <c r="J132" i="63"/>
  <c r="I115" i="66"/>
  <c r="I118" i="66" s="1"/>
  <c r="I115" i="64"/>
  <c r="I118" i="64" s="1"/>
  <c r="J132" i="58"/>
  <c r="J135" i="58" s="1"/>
  <c r="J142" i="58" s="1"/>
  <c r="J132" i="65"/>
  <c r="I133" i="65"/>
  <c r="I145" i="65" s="1"/>
  <c r="I135" i="65"/>
  <c r="I142" i="65" s="1"/>
  <c r="I140" i="65"/>
  <c r="I133" i="63"/>
  <c r="I145" i="63" s="1"/>
  <c r="I140" i="63"/>
  <c r="I135" i="63"/>
  <c r="I142" i="63" s="1"/>
  <c r="I150" i="67"/>
  <c r="I162" i="67" s="1"/>
  <c r="I157" i="67"/>
  <c r="I152" i="67"/>
  <c r="I159" i="67" s="1"/>
  <c r="J132" i="66"/>
  <c r="J132" i="64"/>
  <c r="H150" i="64"/>
  <c r="H162" i="64" s="1"/>
  <c r="H152" i="64"/>
  <c r="H159" i="64" s="1"/>
  <c r="H157" i="64"/>
  <c r="H147" i="64"/>
  <c r="H129" i="63"/>
  <c r="H169" i="63" s="1"/>
  <c r="H150" i="66"/>
  <c r="H162" i="66" s="1"/>
  <c r="H152" i="66"/>
  <c r="H159" i="66" s="1"/>
  <c r="H157" i="66"/>
  <c r="H147" i="66"/>
  <c r="I133" i="64"/>
  <c r="I145" i="64" s="1"/>
  <c r="I140" i="64"/>
  <c r="I135" i="64"/>
  <c r="I142" i="64" s="1"/>
  <c r="I115" i="58"/>
  <c r="I118" i="58" s="1"/>
  <c r="I125" i="58" s="1"/>
  <c r="I115" i="65"/>
  <c r="H116" i="64"/>
  <c r="H128" i="64" s="1"/>
  <c r="H113" i="64"/>
  <c r="H125" i="64"/>
  <c r="H123" i="64"/>
  <c r="H127" i="64" s="1"/>
  <c r="I133" i="66"/>
  <c r="I145" i="66" s="1"/>
  <c r="I135" i="66"/>
  <c r="I142" i="66" s="1"/>
  <c r="I140" i="66"/>
  <c r="I99" i="63"/>
  <c r="I111" i="63" s="1"/>
  <c r="I101" i="63"/>
  <c r="I108" i="63" s="1"/>
  <c r="I106" i="63"/>
  <c r="I110" i="63" s="1"/>
  <c r="G112" i="65"/>
  <c r="G167" i="65" s="1"/>
  <c r="G176" i="63"/>
  <c r="G185" i="63"/>
  <c r="I98" i="66"/>
  <c r="I98" i="64"/>
  <c r="H99" i="64"/>
  <c r="H111" i="64" s="1"/>
  <c r="H96" i="64"/>
  <c r="H106" i="64"/>
  <c r="H110" i="64" s="1"/>
  <c r="H101" i="64"/>
  <c r="H108" i="64" s="1"/>
  <c r="F185" i="64"/>
  <c r="F176" i="64"/>
  <c r="H99" i="66"/>
  <c r="H111" i="66" s="1"/>
  <c r="H101" i="66"/>
  <c r="H108" i="66" s="1"/>
  <c r="H96" i="66"/>
  <c r="H106" i="66"/>
  <c r="H110" i="66" s="1"/>
  <c r="H99" i="65"/>
  <c r="H111" i="65" s="1"/>
  <c r="H96" i="65"/>
  <c r="H101" i="65"/>
  <c r="H108" i="65" s="1"/>
  <c r="H106" i="65"/>
  <c r="H110" i="65" s="1"/>
  <c r="I98" i="58"/>
  <c r="I106" i="58" s="1"/>
  <c r="I110" i="58" s="1"/>
  <c r="I98" i="65"/>
  <c r="I99" i="67"/>
  <c r="I111" i="67" s="1"/>
  <c r="I101" i="67"/>
  <c r="I108" i="67" s="1"/>
  <c r="I106" i="67"/>
  <c r="I110" i="67" s="1"/>
  <c r="G112" i="64"/>
  <c r="G167" i="64" s="1"/>
  <c r="G112" i="66"/>
  <c r="G167" i="66" s="1"/>
  <c r="H112" i="63"/>
  <c r="H167" i="63" s="1"/>
  <c r="I150" i="51"/>
  <c r="I162" i="51" s="1"/>
  <c r="I152" i="51"/>
  <c r="I159" i="51" s="1"/>
  <c r="K44" i="58"/>
  <c r="K102" i="58" s="1"/>
  <c r="K109" i="58" s="1"/>
  <c r="H112" i="62"/>
  <c r="H167" i="62" s="1"/>
  <c r="H185" i="62" s="1"/>
  <c r="G112" i="61"/>
  <c r="G167" i="61" s="1"/>
  <c r="G176" i="61" s="1"/>
  <c r="G184" i="62"/>
  <c r="G175" i="62"/>
  <c r="H175" i="62"/>
  <c r="H184" i="62"/>
  <c r="K44" i="53"/>
  <c r="K102" i="53" s="1"/>
  <c r="K109" i="53" s="1"/>
  <c r="K44" i="52"/>
  <c r="K102" i="52" s="1"/>
  <c r="K109" i="52" s="1"/>
  <c r="G185" i="62"/>
  <c r="G176" i="62"/>
  <c r="K44" i="55"/>
  <c r="K102" i="55" s="1"/>
  <c r="K109" i="55" s="1"/>
  <c r="I133" i="57"/>
  <c r="I145" i="57" s="1"/>
  <c r="I142" i="57"/>
  <c r="I140" i="57"/>
  <c r="I99" i="62"/>
  <c r="I111" i="62" s="1"/>
  <c r="I101" i="62"/>
  <c r="I108" i="62" s="1"/>
  <c r="I106" i="62"/>
  <c r="I110" i="62" s="1"/>
  <c r="K44" i="57"/>
  <c r="K102" i="57" s="1"/>
  <c r="K109" i="57" s="1"/>
  <c r="I133" i="62"/>
  <c r="I145" i="62" s="1"/>
  <c r="I140" i="62"/>
  <c r="I135" i="62"/>
  <c r="I142" i="62" s="1"/>
  <c r="J132" i="62"/>
  <c r="J132" i="57"/>
  <c r="J135" i="57" s="1"/>
  <c r="K53" i="61"/>
  <c r="K76" i="45"/>
  <c r="K74" i="45"/>
  <c r="K72" i="45"/>
  <c r="K77" i="45"/>
  <c r="K70" i="45"/>
  <c r="K75" i="45"/>
  <c r="K71" i="45"/>
  <c r="K73" i="45"/>
  <c r="K78" i="45"/>
  <c r="K53" i="62"/>
  <c r="K52" i="61"/>
  <c r="K64" i="45"/>
  <c r="K59" i="45"/>
  <c r="K65" i="45"/>
  <c r="K60" i="45"/>
  <c r="K66" i="45"/>
  <c r="K63" i="45"/>
  <c r="K61" i="45"/>
  <c r="K67" i="45"/>
  <c r="K62" i="45"/>
  <c r="K50" i="45"/>
  <c r="K131" i="45" s="1"/>
  <c r="K53" i="45"/>
  <c r="K134" i="45" s="1"/>
  <c r="K56" i="45"/>
  <c r="K137" i="45" s="1"/>
  <c r="K48" i="45"/>
  <c r="K129" i="45" s="1"/>
  <c r="K51" i="45"/>
  <c r="K132" i="45" s="1"/>
  <c r="K54" i="45"/>
  <c r="K135" i="45" s="1"/>
  <c r="K49" i="45"/>
  <c r="K130" i="45" s="1"/>
  <c r="K52" i="45"/>
  <c r="K133" i="45" s="1"/>
  <c r="K55" i="45"/>
  <c r="K136" i="45" s="1"/>
  <c r="K52" i="62"/>
  <c r="I116" i="62"/>
  <c r="I128" i="62" s="1"/>
  <c r="I123" i="62"/>
  <c r="I127" i="62" s="1"/>
  <c r="I125" i="62"/>
  <c r="I150" i="62"/>
  <c r="I162" i="62" s="1"/>
  <c r="I157" i="62"/>
  <c r="I152" i="62"/>
  <c r="I159" i="62" s="1"/>
  <c r="G129" i="61"/>
  <c r="G169" i="61" s="1"/>
  <c r="I153" i="61"/>
  <c r="I160" i="61" s="1"/>
  <c r="I119" i="61"/>
  <c r="I126" i="61" s="1"/>
  <c r="K49" i="38"/>
  <c r="K49" i="61"/>
  <c r="F175" i="61"/>
  <c r="F184" i="61"/>
  <c r="J171" i="61"/>
  <c r="J174" i="61"/>
  <c r="J180" i="61" s="1"/>
  <c r="J183" i="61"/>
  <c r="J189" i="61" s="1"/>
  <c r="K42" i="38"/>
  <c r="K42" i="61"/>
  <c r="K68" i="61" s="1"/>
  <c r="K75" i="61" s="1"/>
  <c r="K78" i="61" s="1"/>
  <c r="K165" i="61" s="1"/>
  <c r="K46" i="61"/>
  <c r="K46" i="38"/>
  <c r="F185" i="61"/>
  <c r="F176" i="61"/>
  <c r="K51" i="61"/>
  <c r="K136" i="61" s="1"/>
  <c r="K143" i="61" s="1"/>
  <c r="K51" i="38"/>
  <c r="K44" i="38"/>
  <c r="K44" i="61"/>
  <c r="K102" i="61" s="1"/>
  <c r="K109" i="61" s="1"/>
  <c r="J48" i="61"/>
  <c r="J50" i="61" s="1"/>
  <c r="K45" i="38"/>
  <c r="K45" i="61"/>
  <c r="K43" i="38"/>
  <c r="K43" i="61"/>
  <c r="K85" i="61" s="1"/>
  <c r="K92" i="61" s="1"/>
  <c r="K95" i="61" s="1"/>
  <c r="K166" i="61" s="1"/>
  <c r="I98" i="61"/>
  <c r="H99" i="61"/>
  <c r="H111" i="61" s="1"/>
  <c r="H101" i="61"/>
  <c r="H108" i="61" s="1"/>
  <c r="H96" i="61"/>
  <c r="H106" i="61"/>
  <c r="H110" i="61" s="1"/>
  <c r="H150" i="61"/>
  <c r="H162" i="61" s="1"/>
  <c r="H157" i="61"/>
  <c r="H152" i="61"/>
  <c r="H159" i="61" s="1"/>
  <c r="H147" i="61"/>
  <c r="I116" i="61"/>
  <c r="I128" i="61" s="1"/>
  <c r="I123" i="61"/>
  <c r="I127" i="61" s="1"/>
  <c r="I125" i="61"/>
  <c r="H116" i="61"/>
  <c r="H128" i="61" s="1"/>
  <c r="H113" i="61"/>
  <c r="H123" i="61"/>
  <c r="H127" i="61" s="1"/>
  <c r="H125" i="61"/>
  <c r="D48" i="38"/>
  <c r="D50" i="38" s="1"/>
  <c r="F176" i="55"/>
  <c r="J75" i="55"/>
  <c r="J78" i="55" s="1"/>
  <c r="J165" i="55" s="1"/>
  <c r="J171" i="55" s="1"/>
  <c r="G184" i="51"/>
  <c r="H129" i="53"/>
  <c r="H169" i="53" s="1"/>
  <c r="H175" i="53" s="1"/>
  <c r="I183" i="53"/>
  <c r="I189" i="53" s="1"/>
  <c r="I174" i="53"/>
  <c r="I180" i="53" s="1"/>
  <c r="I171" i="53"/>
  <c r="J75" i="57"/>
  <c r="J78" i="57" s="1"/>
  <c r="J165" i="57" s="1"/>
  <c r="J75" i="58"/>
  <c r="J78" i="58" s="1"/>
  <c r="J165" i="58" s="1"/>
  <c r="J171" i="58" s="1"/>
  <c r="H129" i="57"/>
  <c r="H169" i="57" s="1"/>
  <c r="K53" i="58"/>
  <c r="K53" i="55"/>
  <c r="K53" i="53"/>
  <c r="K53" i="57"/>
  <c r="K53" i="52"/>
  <c r="K53" i="51"/>
  <c r="K51" i="58"/>
  <c r="K136" i="58" s="1"/>
  <c r="K143" i="58" s="1"/>
  <c r="K51" i="57"/>
  <c r="K136" i="57" s="1"/>
  <c r="K143" i="57" s="1"/>
  <c r="K51" i="53"/>
  <c r="K136" i="53" s="1"/>
  <c r="K143" i="53" s="1"/>
  <c r="K51" i="55"/>
  <c r="K136" i="55" s="1"/>
  <c r="K143" i="55" s="1"/>
  <c r="K51" i="52"/>
  <c r="K136" i="52" s="1"/>
  <c r="K143" i="52" s="1"/>
  <c r="K51" i="51"/>
  <c r="K136" i="51" s="1"/>
  <c r="K143" i="51" s="1"/>
  <c r="I153" i="57"/>
  <c r="I160" i="57" s="1"/>
  <c r="I119" i="57"/>
  <c r="I126" i="57" s="1"/>
  <c r="I171" i="58"/>
  <c r="I183" i="58"/>
  <c r="I189" i="58" s="1"/>
  <c r="I174" i="58"/>
  <c r="I180" i="58" s="1"/>
  <c r="K45" i="58"/>
  <c r="K45" i="57"/>
  <c r="K45" i="55"/>
  <c r="K45" i="53"/>
  <c r="K45" i="51"/>
  <c r="K45" i="52"/>
  <c r="K41" i="58"/>
  <c r="K67" i="58" s="1"/>
  <c r="K41" i="57"/>
  <c r="K67" i="57" s="1"/>
  <c r="K41" i="55"/>
  <c r="K67" i="55" s="1"/>
  <c r="K41" i="52"/>
  <c r="K67" i="52" s="1"/>
  <c r="K41" i="53"/>
  <c r="K67" i="53" s="1"/>
  <c r="K41" i="51"/>
  <c r="K67" i="51" s="1"/>
  <c r="H112" i="52"/>
  <c r="H167" i="52" s="1"/>
  <c r="H185" i="52" s="1"/>
  <c r="I119" i="52"/>
  <c r="I126" i="52" s="1"/>
  <c r="I153" i="52"/>
  <c r="I160" i="52" s="1"/>
  <c r="I119" i="58"/>
  <c r="I126" i="58" s="1"/>
  <c r="I153" i="58"/>
  <c r="I160" i="58" s="1"/>
  <c r="I174" i="57"/>
  <c r="I180" i="57" s="1"/>
  <c r="I171" i="57"/>
  <c r="I183" i="57"/>
  <c r="I189" i="57" s="1"/>
  <c r="K46" i="58"/>
  <c r="K46" i="57"/>
  <c r="K46" i="55"/>
  <c r="K46" i="53"/>
  <c r="K46" i="52"/>
  <c r="K46" i="51"/>
  <c r="I174" i="51"/>
  <c r="I180" i="51" s="1"/>
  <c r="I183" i="51"/>
  <c r="I189" i="51" s="1"/>
  <c r="I171" i="51"/>
  <c r="J75" i="51"/>
  <c r="J78" i="51" s="1"/>
  <c r="J165" i="51" s="1"/>
  <c r="K43" i="58"/>
  <c r="K85" i="58" s="1"/>
  <c r="K92" i="58" s="1"/>
  <c r="K95" i="58" s="1"/>
  <c r="K166" i="58" s="1"/>
  <c r="K43" i="57"/>
  <c r="K85" i="57" s="1"/>
  <c r="K92" i="57" s="1"/>
  <c r="K95" i="57" s="1"/>
  <c r="K166" i="57" s="1"/>
  <c r="K43" i="55"/>
  <c r="K85" i="55" s="1"/>
  <c r="K92" i="55" s="1"/>
  <c r="K95" i="55" s="1"/>
  <c r="K166" i="55" s="1"/>
  <c r="K43" i="52"/>
  <c r="K85" i="52" s="1"/>
  <c r="K92" i="52" s="1"/>
  <c r="K95" i="52" s="1"/>
  <c r="K166" i="52" s="1"/>
  <c r="K43" i="53"/>
  <c r="K85" i="53" s="1"/>
  <c r="K92" i="53" s="1"/>
  <c r="K95" i="53" s="1"/>
  <c r="K166" i="53" s="1"/>
  <c r="K43" i="51"/>
  <c r="K85" i="51" s="1"/>
  <c r="K92" i="51" s="1"/>
  <c r="K95" i="51" s="1"/>
  <c r="K166" i="51" s="1"/>
  <c r="K52" i="58"/>
  <c r="K52" i="55"/>
  <c r="K52" i="53"/>
  <c r="K52" i="57"/>
  <c r="K52" i="52"/>
  <c r="K52" i="51"/>
  <c r="K42" i="58"/>
  <c r="K68" i="58" s="1"/>
  <c r="K42" i="57"/>
  <c r="K68" i="57" s="1"/>
  <c r="K42" i="53"/>
  <c r="K68" i="53" s="1"/>
  <c r="K42" i="55"/>
  <c r="K68" i="55" s="1"/>
  <c r="K42" i="52"/>
  <c r="K68" i="52" s="1"/>
  <c r="K42" i="51"/>
  <c r="K68" i="51" s="1"/>
  <c r="I119" i="53"/>
  <c r="I126" i="53" s="1"/>
  <c r="I153" i="53"/>
  <c r="I160" i="53" s="1"/>
  <c r="I153" i="55"/>
  <c r="I160" i="55" s="1"/>
  <c r="I119" i="55"/>
  <c r="I126" i="55" s="1"/>
  <c r="I119" i="51"/>
  <c r="I126" i="51" s="1"/>
  <c r="I153" i="51"/>
  <c r="I160" i="51" s="1"/>
  <c r="J75" i="53"/>
  <c r="J78" i="53" s="1"/>
  <c r="J165" i="53" s="1"/>
  <c r="I171" i="52"/>
  <c r="I174" i="52"/>
  <c r="I180" i="52" s="1"/>
  <c r="I183" i="52"/>
  <c r="I189" i="52" s="1"/>
  <c r="J75" i="52"/>
  <c r="J78" i="52" s="1"/>
  <c r="J165" i="52" s="1"/>
  <c r="I171" i="55"/>
  <c r="I174" i="55"/>
  <c r="I180" i="55" s="1"/>
  <c r="I183" i="55"/>
  <c r="I189" i="55" s="1"/>
  <c r="I116" i="51"/>
  <c r="I128" i="51" s="1"/>
  <c r="I118" i="51"/>
  <c r="I125" i="51" s="1"/>
  <c r="I123" i="51"/>
  <c r="I127" i="51" s="1"/>
  <c r="I116" i="52"/>
  <c r="I128" i="52" s="1"/>
  <c r="I123" i="52"/>
  <c r="I127" i="52" s="1"/>
  <c r="I118" i="52"/>
  <c r="I125" i="52" s="1"/>
  <c r="G185" i="51"/>
  <c r="G176" i="51"/>
  <c r="H129" i="52"/>
  <c r="H169" i="52" s="1"/>
  <c r="I115" i="57"/>
  <c r="I115" i="38"/>
  <c r="I115" i="55"/>
  <c r="I99" i="52"/>
  <c r="I111" i="52" s="1"/>
  <c r="I106" i="52"/>
  <c r="I110" i="52" s="1"/>
  <c r="I101" i="52"/>
  <c r="I108" i="52" s="1"/>
  <c r="I98" i="38"/>
  <c r="I98" i="55"/>
  <c r="I99" i="53"/>
  <c r="I111" i="53" s="1"/>
  <c r="I106" i="53"/>
  <c r="I110" i="53" s="1"/>
  <c r="I101" i="53"/>
  <c r="I108" i="53" s="1"/>
  <c r="I99" i="51"/>
  <c r="I111" i="51" s="1"/>
  <c r="I106" i="51"/>
  <c r="I110" i="51" s="1"/>
  <c r="I101" i="51"/>
  <c r="I108" i="51" s="1"/>
  <c r="I150" i="53"/>
  <c r="I162" i="53" s="1"/>
  <c r="I157" i="53"/>
  <c r="I159" i="53"/>
  <c r="G185" i="52"/>
  <c r="G176" i="52"/>
  <c r="I150" i="52"/>
  <c r="I162" i="52" s="1"/>
  <c r="I157" i="52"/>
  <c r="I159" i="52"/>
  <c r="G129" i="55"/>
  <c r="G169" i="55" s="1"/>
  <c r="I133" i="55"/>
  <c r="I145" i="55" s="1"/>
  <c r="I142" i="55"/>
  <c r="I140" i="55"/>
  <c r="F176" i="57"/>
  <c r="F185" i="57"/>
  <c r="H185" i="51"/>
  <c r="H176" i="51"/>
  <c r="H112" i="53"/>
  <c r="H167" i="53" s="1"/>
  <c r="G129" i="57"/>
  <c r="G169" i="57" s="1"/>
  <c r="G112" i="57"/>
  <c r="G167" i="57" s="1"/>
  <c r="H129" i="51"/>
  <c r="H169" i="51" s="1"/>
  <c r="I98" i="57"/>
  <c r="I116" i="53"/>
  <c r="I128" i="53" s="1"/>
  <c r="I118" i="53"/>
  <c r="I125" i="53" s="1"/>
  <c r="I123" i="53"/>
  <c r="I127" i="53" s="1"/>
  <c r="J132" i="38"/>
  <c r="J135" i="38" s="1"/>
  <c r="J132" i="55"/>
  <c r="J135" i="55" s="1"/>
  <c r="H150" i="57"/>
  <c r="H162" i="57" s="1"/>
  <c r="H159" i="57"/>
  <c r="H157" i="57"/>
  <c r="H147" i="57"/>
  <c r="I149" i="57"/>
  <c r="I152" i="57" s="1"/>
  <c r="I149" i="38"/>
  <c r="I152" i="38" s="1"/>
  <c r="I149" i="55"/>
  <c r="I152" i="55" s="1"/>
  <c r="G112" i="55"/>
  <c r="G167" i="55" s="1"/>
  <c r="F184" i="55"/>
  <c r="F175" i="55"/>
  <c r="G185" i="53"/>
  <c r="G176" i="53"/>
  <c r="F184" i="57"/>
  <c r="F175" i="57"/>
  <c r="G175" i="52"/>
  <c r="G184" i="52"/>
  <c r="H99" i="57"/>
  <c r="H111" i="57" s="1"/>
  <c r="H106" i="57"/>
  <c r="H110" i="57" s="1"/>
  <c r="H96" i="57"/>
  <c r="H101" i="57"/>
  <c r="H108" i="57" s="1"/>
  <c r="H99" i="55"/>
  <c r="H111" i="55" s="1"/>
  <c r="H96" i="55"/>
  <c r="H106" i="55"/>
  <c r="H110" i="55" s="1"/>
  <c r="H101" i="55"/>
  <c r="H108" i="55" s="1"/>
  <c r="I140" i="51"/>
  <c r="I157" i="51"/>
  <c r="L156" i="45"/>
  <c r="L55" i="63" s="1"/>
  <c r="L69" i="63" s="1"/>
  <c r="L76" i="63" s="1"/>
  <c r="L155" i="45"/>
  <c r="L55" i="62" s="1"/>
  <c r="L69" i="62" s="1"/>
  <c r="L76" i="62" s="1"/>
  <c r="L154" i="45"/>
  <c r="K55" i="38"/>
  <c r="J125" i="45"/>
  <c r="K116" i="45"/>
  <c r="K121" i="45" s="1"/>
  <c r="K115" i="62" s="1"/>
  <c r="K118" i="62" s="1"/>
  <c r="K140" i="45"/>
  <c r="J122" i="45"/>
  <c r="J115" i="53" s="1"/>
  <c r="J121" i="45"/>
  <c r="J115" i="62" s="1"/>
  <c r="J118" i="62" s="1"/>
  <c r="J118" i="45"/>
  <c r="J115" i="63" s="1"/>
  <c r="J118" i="63" s="1"/>
  <c r="J117" i="45"/>
  <c r="J115" i="51" s="1"/>
  <c r="J124" i="45"/>
  <c r="J115" i="67" s="1"/>
  <c r="J118" i="67" s="1"/>
  <c r="J123" i="45"/>
  <c r="J115" i="52" s="1"/>
  <c r="J119" i="45"/>
  <c r="L40" i="45"/>
  <c r="L39" i="45"/>
  <c r="L38" i="45"/>
  <c r="L29" i="45"/>
  <c r="L27" i="45"/>
  <c r="L28" i="45"/>
  <c r="K104" i="45"/>
  <c r="K103" i="45"/>
  <c r="J106" i="45"/>
  <c r="J98" i="63" s="1"/>
  <c r="J110" i="45"/>
  <c r="J98" i="53" s="1"/>
  <c r="J108" i="45"/>
  <c r="J105" i="45"/>
  <c r="J98" i="51" s="1"/>
  <c r="J107" i="45"/>
  <c r="J109" i="45"/>
  <c r="J98" i="62" s="1"/>
  <c r="J111" i="45"/>
  <c r="J98" i="52" s="1"/>
  <c r="J112" i="45"/>
  <c r="J98" i="67" s="1"/>
  <c r="J113" i="45"/>
  <c r="L4" i="45"/>
  <c r="L21" i="45"/>
  <c r="L23" i="45"/>
  <c r="L20" i="45"/>
  <c r="K53" i="38"/>
  <c r="L14" i="45"/>
  <c r="L12" i="45"/>
  <c r="L5" i="45"/>
  <c r="L19" i="45"/>
  <c r="K52" i="38"/>
  <c r="L44" i="38" l="1"/>
  <c r="L44" i="61"/>
  <c r="L102" i="61" s="1"/>
  <c r="L109" i="61" s="1"/>
  <c r="L44" i="55"/>
  <c r="L102" i="55" s="1"/>
  <c r="L109" i="55" s="1"/>
  <c r="L44" i="51"/>
  <c r="L102" i="51" s="1"/>
  <c r="L109" i="51" s="1"/>
  <c r="L44" i="52"/>
  <c r="L102" i="52" s="1"/>
  <c r="L109" i="52" s="1"/>
  <c r="L44" i="58"/>
  <c r="L102" i="58" s="1"/>
  <c r="L109" i="58" s="1"/>
  <c r="L44" i="53"/>
  <c r="L102" i="53" s="1"/>
  <c r="L109" i="53" s="1"/>
  <c r="J119" i="67"/>
  <c r="J126" i="67" s="1"/>
  <c r="K48" i="62"/>
  <c r="K50" i="62" s="1"/>
  <c r="K119" i="62" s="1"/>
  <c r="K126" i="62" s="1"/>
  <c r="K48" i="51"/>
  <c r="K50" i="51" s="1"/>
  <c r="K48" i="64"/>
  <c r="K50" i="64" s="1"/>
  <c r="K119" i="64" s="1"/>
  <c r="K126" i="64" s="1"/>
  <c r="K48" i="52"/>
  <c r="K50" i="52" s="1"/>
  <c r="K48" i="66"/>
  <c r="K50" i="66" s="1"/>
  <c r="K153" i="66" s="1"/>
  <c r="K160" i="66" s="1"/>
  <c r="BY12" i="46"/>
  <c r="BY17" i="46"/>
  <c r="BY13" i="46"/>
  <c r="BY18" i="46"/>
  <c r="BY14" i="46"/>
  <c r="BY8" i="46"/>
  <c r="BY7" i="46"/>
  <c r="BY10" i="46"/>
  <c r="BY11" i="46"/>
  <c r="BY16" i="46"/>
  <c r="CB5" i="46"/>
  <c r="BY6" i="46"/>
  <c r="BY9" i="46"/>
  <c r="BY15" i="46"/>
  <c r="I150" i="58"/>
  <c r="I162" i="58" s="1"/>
  <c r="J174" i="64"/>
  <c r="J180" i="64" s="1"/>
  <c r="BY5" i="46"/>
  <c r="J171" i="64"/>
  <c r="G185" i="58"/>
  <c r="K174" i="63"/>
  <c r="K180" i="63" s="1"/>
  <c r="K171" i="63"/>
  <c r="K183" i="63"/>
  <c r="K189" i="63" s="1"/>
  <c r="L53" i="67"/>
  <c r="L53" i="66"/>
  <c r="L53" i="65"/>
  <c r="L53" i="63"/>
  <c r="L53" i="64"/>
  <c r="L44" i="62"/>
  <c r="L102" i="62" s="1"/>
  <c r="L109" i="62" s="1"/>
  <c r="L44" i="66"/>
  <c r="L102" i="66" s="1"/>
  <c r="L109" i="66" s="1"/>
  <c r="L44" i="67"/>
  <c r="L102" i="67" s="1"/>
  <c r="L109" i="67" s="1"/>
  <c r="L44" i="65"/>
  <c r="L102" i="65" s="1"/>
  <c r="L109" i="65" s="1"/>
  <c r="L44" i="64"/>
  <c r="L102" i="64" s="1"/>
  <c r="L109" i="64" s="1"/>
  <c r="L44" i="63"/>
  <c r="L102" i="63" s="1"/>
  <c r="L109" i="63" s="1"/>
  <c r="K183" i="65"/>
  <c r="K189" i="65" s="1"/>
  <c r="K171" i="65"/>
  <c r="K174" i="65"/>
  <c r="K180" i="65" s="1"/>
  <c r="K48" i="67"/>
  <c r="K50" i="67" s="1"/>
  <c r="K153" i="67" s="1"/>
  <c r="K160" i="67" s="1"/>
  <c r="K48" i="55"/>
  <c r="K50" i="55" s="1"/>
  <c r="L52" i="66"/>
  <c r="L52" i="67"/>
  <c r="L52" i="65"/>
  <c r="L52" i="63"/>
  <c r="L52" i="64"/>
  <c r="K48" i="58"/>
  <c r="K50" i="58" s="1"/>
  <c r="K171" i="66"/>
  <c r="K174" i="66"/>
  <c r="K180" i="66" s="1"/>
  <c r="K183" i="66"/>
  <c r="K189" i="66" s="1"/>
  <c r="K171" i="67"/>
  <c r="K174" i="67"/>
  <c r="K180" i="67" s="1"/>
  <c r="K183" i="67"/>
  <c r="K189" i="67" s="1"/>
  <c r="K48" i="65"/>
  <c r="K50" i="65" s="1"/>
  <c r="K153" i="65" s="1"/>
  <c r="K160" i="65" s="1"/>
  <c r="L42" i="62"/>
  <c r="L68" i="62" s="1"/>
  <c r="L75" i="62" s="1"/>
  <c r="L78" i="62" s="1"/>
  <c r="L165" i="62" s="1"/>
  <c r="L171" i="62" s="1"/>
  <c r="L42" i="67"/>
  <c r="L68" i="67" s="1"/>
  <c r="L75" i="67" s="1"/>
  <c r="L78" i="67" s="1"/>
  <c r="L165" i="67" s="1"/>
  <c r="L42" i="66"/>
  <c r="L68" i="66" s="1"/>
  <c r="L75" i="66" s="1"/>
  <c r="L78" i="66" s="1"/>
  <c r="L165" i="66" s="1"/>
  <c r="L42" i="65"/>
  <c r="L68" i="65" s="1"/>
  <c r="L75" i="65" s="1"/>
  <c r="L78" i="65" s="1"/>
  <c r="L165" i="65" s="1"/>
  <c r="L42" i="64"/>
  <c r="L68" i="64" s="1"/>
  <c r="L75" i="64" s="1"/>
  <c r="L42" i="63"/>
  <c r="L68" i="63" s="1"/>
  <c r="L75" i="63" s="1"/>
  <c r="L78" i="63" s="1"/>
  <c r="L165" i="63" s="1"/>
  <c r="K48" i="57"/>
  <c r="K50" i="57" s="1"/>
  <c r="M44" i="62"/>
  <c r="M102" i="62" s="1"/>
  <c r="M109" i="62" s="1"/>
  <c r="M44" i="66"/>
  <c r="M102" i="66" s="1"/>
  <c r="M109" i="66" s="1"/>
  <c r="M44" i="67"/>
  <c r="M102" i="67" s="1"/>
  <c r="M109" i="67" s="1"/>
  <c r="M44" i="65"/>
  <c r="M102" i="65" s="1"/>
  <c r="M109" i="65" s="1"/>
  <c r="M44" i="64"/>
  <c r="M102" i="64" s="1"/>
  <c r="M109" i="64" s="1"/>
  <c r="M44" i="63"/>
  <c r="M102" i="63" s="1"/>
  <c r="M109" i="63" s="1"/>
  <c r="L43" i="62"/>
  <c r="L85" i="62" s="1"/>
  <c r="L92" i="62" s="1"/>
  <c r="L95" i="62" s="1"/>
  <c r="L166" i="62" s="1"/>
  <c r="L43" i="67"/>
  <c r="L85" i="67" s="1"/>
  <c r="L92" i="67" s="1"/>
  <c r="L95" i="67" s="1"/>
  <c r="L166" i="67" s="1"/>
  <c r="L43" i="65"/>
  <c r="L85" i="65" s="1"/>
  <c r="L92" i="65" s="1"/>
  <c r="L95" i="65" s="1"/>
  <c r="L166" i="65" s="1"/>
  <c r="L43" i="66"/>
  <c r="L85" i="66" s="1"/>
  <c r="L92" i="66" s="1"/>
  <c r="L95" i="66" s="1"/>
  <c r="L166" i="66" s="1"/>
  <c r="L43" i="63"/>
  <c r="L85" i="63" s="1"/>
  <c r="L92" i="63" s="1"/>
  <c r="L95" i="63" s="1"/>
  <c r="L166" i="63" s="1"/>
  <c r="L43" i="64"/>
  <c r="L85" i="64" s="1"/>
  <c r="L92" i="64" s="1"/>
  <c r="L95" i="64" s="1"/>
  <c r="L166" i="64" s="1"/>
  <c r="L44" i="57"/>
  <c r="L102" i="57" s="1"/>
  <c r="L109" i="57" s="1"/>
  <c r="L46" i="62"/>
  <c r="L46" i="67"/>
  <c r="L46" i="66"/>
  <c r="L46" i="65"/>
  <c r="L46" i="64"/>
  <c r="L46" i="63"/>
  <c r="K78" i="64"/>
  <c r="K165" i="64" s="1"/>
  <c r="K183" i="64" s="1"/>
  <c r="K189" i="64" s="1"/>
  <c r="K48" i="53"/>
  <c r="K50" i="53" s="1"/>
  <c r="L49" i="66"/>
  <c r="L49" i="58"/>
  <c r="L49" i="51"/>
  <c r="L49" i="57"/>
  <c r="L49" i="52"/>
  <c r="L49" i="65"/>
  <c r="L49" i="53"/>
  <c r="L49" i="67"/>
  <c r="L49" i="55"/>
  <c r="H112" i="58"/>
  <c r="H167" i="58" s="1"/>
  <c r="H176" i="58" s="1"/>
  <c r="K48" i="63"/>
  <c r="K50" i="63" s="1"/>
  <c r="K119" i="63" s="1"/>
  <c r="K126" i="63" s="1"/>
  <c r="H129" i="58"/>
  <c r="H169" i="58" s="1"/>
  <c r="H175" i="58" s="1"/>
  <c r="I123" i="58"/>
  <c r="I127" i="58" s="1"/>
  <c r="I150" i="63"/>
  <c r="I162" i="63" s="1"/>
  <c r="H129" i="55"/>
  <c r="H169" i="55" s="1"/>
  <c r="G184" i="58"/>
  <c r="G175" i="58"/>
  <c r="I157" i="63"/>
  <c r="J153" i="64"/>
  <c r="J160" i="64" s="1"/>
  <c r="J119" i="65"/>
  <c r="J126" i="65" s="1"/>
  <c r="I116" i="58"/>
  <c r="I128" i="58" s="1"/>
  <c r="J153" i="66"/>
  <c r="J160" i="66" s="1"/>
  <c r="J119" i="63"/>
  <c r="J126" i="63" s="1"/>
  <c r="L45" i="62"/>
  <c r="L45" i="65"/>
  <c r="L45" i="67"/>
  <c r="L45" i="66"/>
  <c r="L45" i="64"/>
  <c r="L45" i="63"/>
  <c r="L51" i="62"/>
  <c r="L136" i="62" s="1"/>
  <c r="L143" i="62" s="1"/>
  <c r="L51" i="67"/>
  <c r="L136" i="67" s="1"/>
  <c r="L143" i="67" s="1"/>
  <c r="L51" i="66"/>
  <c r="L136" i="66" s="1"/>
  <c r="L143" i="66" s="1"/>
  <c r="L51" i="65"/>
  <c r="L136" i="65" s="1"/>
  <c r="L143" i="65" s="1"/>
  <c r="L51" i="64"/>
  <c r="L136" i="64" s="1"/>
  <c r="L143" i="64" s="1"/>
  <c r="L51" i="63"/>
  <c r="L136" i="63" s="1"/>
  <c r="L143" i="63" s="1"/>
  <c r="K150" i="45"/>
  <c r="K149" i="45"/>
  <c r="K149" i="67" s="1"/>
  <c r="K147" i="45"/>
  <c r="K149" i="53" s="1"/>
  <c r="K152" i="53" s="1"/>
  <c r="K145" i="45"/>
  <c r="K144" i="45"/>
  <c r="K146" i="45"/>
  <c r="K149" i="62" s="1"/>
  <c r="K143" i="45"/>
  <c r="K148" i="45"/>
  <c r="K149" i="52" s="1"/>
  <c r="K152" i="52" s="1"/>
  <c r="K142" i="45"/>
  <c r="K149" i="51" s="1"/>
  <c r="I157" i="58"/>
  <c r="J140" i="61"/>
  <c r="J135" i="61"/>
  <c r="J142" i="61" s="1"/>
  <c r="J119" i="62"/>
  <c r="J126" i="62" s="1"/>
  <c r="L49" i="62"/>
  <c r="L49" i="64"/>
  <c r="L49" i="63"/>
  <c r="H176" i="62"/>
  <c r="J133" i="67"/>
  <c r="J145" i="67" s="1"/>
  <c r="J140" i="67"/>
  <c r="J135" i="67"/>
  <c r="J142" i="67" s="1"/>
  <c r="J135" i="52"/>
  <c r="J142" i="52" s="1"/>
  <c r="J133" i="52"/>
  <c r="J145" i="52" s="1"/>
  <c r="J140" i="52"/>
  <c r="J135" i="53"/>
  <c r="J142" i="53" s="1"/>
  <c r="J133" i="53"/>
  <c r="J145" i="53" s="1"/>
  <c r="J140" i="53"/>
  <c r="K132" i="67"/>
  <c r="K132" i="52"/>
  <c r="K135" i="52" s="1"/>
  <c r="K142" i="52" s="1"/>
  <c r="K132" i="51"/>
  <c r="J135" i="51"/>
  <c r="J142" i="51" s="1"/>
  <c r="K132" i="53"/>
  <c r="I99" i="58"/>
  <c r="I111" i="58" s="1"/>
  <c r="J133" i="58"/>
  <c r="J145" i="58" s="1"/>
  <c r="J140" i="58"/>
  <c r="I112" i="63"/>
  <c r="I167" i="63" s="1"/>
  <c r="I176" i="63" s="1"/>
  <c r="I101" i="58"/>
  <c r="I108" i="58" s="1"/>
  <c r="H184" i="67"/>
  <c r="I129" i="67"/>
  <c r="I169" i="67" s="1"/>
  <c r="I175" i="67" s="1"/>
  <c r="H176" i="67"/>
  <c r="M157" i="45"/>
  <c r="L55" i="64"/>
  <c r="L69" i="64" s="1"/>
  <c r="L76" i="64" s="1"/>
  <c r="G175" i="64"/>
  <c r="G175" i="65"/>
  <c r="J133" i="63"/>
  <c r="J145" i="63" s="1"/>
  <c r="J140" i="63"/>
  <c r="J135" i="63"/>
  <c r="J142" i="63" s="1"/>
  <c r="J149" i="66"/>
  <c r="J149" i="64"/>
  <c r="H129" i="64"/>
  <c r="H169" i="64" s="1"/>
  <c r="I150" i="65"/>
  <c r="I162" i="65" s="1"/>
  <c r="I152" i="65"/>
  <c r="I159" i="65" s="1"/>
  <c r="I157" i="65"/>
  <c r="K132" i="55"/>
  <c r="K135" i="55" s="1"/>
  <c r="K142" i="55" s="1"/>
  <c r="K132" i="66"/>
  <c r="K132" i="64"/>
  <c r="K132" i="58"/>
  <c r="K135" i="58" s="1"/>
  <c r="K142" i="58" s="1"/>
  <c r="K132" i="65"/>
  <c r="I150" i="64"/>
  <c r="I162" i="64" s="1"/>
  <c r="I152" i="64"/>
  <c r="I159" i="64" s="1"/>
  <c r="I157" i="64"/>
  <c r="G184" i="66"/>
  <c r="G175" i="66"/>
  <c r="J115" i="58"/>
  <c r="J116" i="58" s="1"/>
  <c r="J128" i="58" s="1"/>
  <c r="J115" i="65"/>
  <c r="I116" i="65"/>
  <c r="I128" i="65" s="1"/>
  <c r="I118" i="65"/>
  <c r="I125" i="65" s="1"/>
  <c r="I123" i="65"/>
  <c r="I127" i="65" s="1"/>
  <c r="I150" i="66"/>
  <c r="I162" i="66" s="1"/>
  <c r="I157" i="66"/>
  <c r="I152" i="66"/>
  <c r="I159" i="66" s="1"/>
  <c r="J150" i="67"/>
  <c r="J162" i="67" s="1"/>
  <c r="J157" i="67"/>
  <c r="J152" i="67"/>
  <c r="J159" i="67" s="1"/>
  <c r="J149" i="58"/>
  <c r="J152" i="58" s="1"/>
  <c r="J159" i="58" s="1"/>
  <c r="J149" i="65"/>
  <c r="J115" i="66"/>
  <c r="J118" i="66" s="1"/>
  <c r="J115" i="64"/>
  <c r="J118" i="64" s="1"/>
  <c r="J133" i="64"/>
  <c r="J145" i="64" s="1"/>
  <c r="J135" i="64"/>
  <c r="J142" i="64" s="1"/>
  <c r="J140" i="64"/>
  <c r="I184" i="63"/>
  <c r="I175" i="63"/>
  <c r="H129" i="66"/>
  <c r="H169" i="66" s="1"/>
  <c r="J133" i="66"/>
  <c r="J145" i="66" s="1"/>
  <c r="J135" i="66"/>
  <c r="J142" i="66" s="1"/>
  <c r="J140" i="66"/>
  <c r="J133" i="65"/>
  <c r="J145" i="65" s="1"/>
  <c r="J140" i="65"/>
  <c r="J135" i="65"/>
  <c r="J142" i="65" s="1"/>
  <c r="H129" i="65"/>
  <c r="H169" i="65" s="1"/>
  <c r="J116" i="67"/>
  <c r="J128" i="67" s="1"/>
  <c r="J125" i="67"/>
  <c r="J123" i="67"/>
  <c r="J127" i="67" s="1"/>
  <c r="K132" i="61"/>
  <c r="K133" i="61" s="1"/>
  <c r="K145" i="61" s="1"/>
  <c r="K132" i="63"/>
  <c r="H184" i="63"/>
  <c r="H175" i="63"/>
  <c r="J149" i="61"/>
  <c r="J150" i="61" s="1"/>
  <c r="J162" i="61" s="1"/>
  <c r="J149" i="63"/>
  <c r="I116" i="64"/>
  <c r="I128" i="64" s="1"/>
  <c r="I125" i="64"/>
  <c r="I123" i="64"/>
  <c r="I127" i="64" s="1"/>
  <c r="J123" i="63"/>
  <c r="J127" i="63" s="1"/>
  <c r="J116" i="63"/>
  <c r="J128" i="63" s="1"/>
  <c r="J125" i="63"/>
  <c r="I116" i="66"/>
  <c r="I128" i="66" s="1"/>
  <c r="I125" i="66"/>
  <c r="I123" i="66"/>
  <c r="I127" i="66" s="1"/>
  <c r="H112" i="65"/>
  <c r="H167" i="65" s="1"/>
  <c r="H112" i="64"/>
  <c r="H167" i="64" s="1"/>
  <c r="H185" i="63"/>
  <c r="H176" i="63"/>
  <c r="I99" i="64"/>
  <c r="I111" i="64" s="1"/>
  <c r="I101" i="64"/>
  <c r="I108" i="64" s="1"/>
  <c r="I106" i="64"/>
  <c r="I110" i="64" s="1"/>
  <c r="G176" i="66"/>
  <c r="G185" i="66"/>
  <c r="I99" i="66"/>
  <c r="I111" i="66" s="1"/>
  <c r="I106" i="66"/>
  <c r="I110" i="66" s="1"/>
  <c r="I101" i="66"/>
  <c r="I108" i="66" s="1"/>
  <c r="G185" i="64"/>
  <c r="G176" i="64"/>
  <c r="J101" i="63"/>
  <c r="J108" i="63" s="1"/>
  <c r="J99" i="63"/>
  <c r="J111" i="63" s="1"/>
  <c r="J106" i="63"/>
  <c r="J110" i="63" s="1"/>
  <c r="J99" i="67"/>
  <c r="J111" i="67" s="1"/>
  <c r="J101" i="67"/>
  <c r="J108" i="67" s="1"/>
  <c r="J106" i="67"/>
  <c r="J110" i="67" s="1"/>
  <c r="G176" i="65"/>
  <c r="G185" i="65"/>
  <c r="J98" i="58"/>
  <c r="J101" i="58" s="1"/>
  <c r="J108" i="58" s="1"/>
  <c r="J98" i="65"/>
  <c r="I112" i="67"/>
  <c r="I167" i="67" s="1"/>
  <c r="H112" i="66"/>
  <c r="H167" i="66" s="1"/>
  <c r="J98" i="66"/>
  <c r="J98" i="64"/>
  <c r="I99" i="65"/>
  <c r="I111" i="65" s="1"/>
  <c r="I106" i="65"/>
  <c r="I110" i="65" s="1"/>
  <c r="I101" i="65"/>
  <c r="I108" i="65" s="1"/>
  <c r="J150" i="51"/>
  <c r="J152" i="51"/>
  <c r="G185" i="61"/>
  <c r="K183" i="62"/>
  <c r="K189" i="62" s="1"/>
  <c r="K171" i="62"/>
  <c r="K116" i="62"/>
  <c r="K128" i="62" s="1"/>
  <c r="K123" i="62"/>
  <c r="K127" i="62" s="1"/>
  <c r="K125" i="62"/>
  <c r="L52" i="61"/>
  <c r="L63" i="45"/>
  <c r="L64" i="45"/>
  <c r="L59" i="45"/>
  <c r="L65" i="45"/>
  <c r="L60" i="45"/>
  <c r="L66" i="45"/>
  <c r="L61" i="45"/>
  <c r="L67" i="45"/>
  <c r="L62" i="45"/>
  <c r="L50" i="45"/>
  <c r="L131" i="45" s="1"/>
  <c r="L53" i="45"/>
  <c r="L134" i="45" s="1"/>
  <c r="L56" i="45"/>
  <c r="L137" i="45" s="1"/>
  <c r="L48" i="45"/>
  <c r="L129" i="45" s="1"/>
  <c r="L51" i="45"/>
  <c r="L132" i="45" s="1"/>
  <c r="L54" i="45"/>
  <c r="L135" i="45" s="1"/>
  <c r="L55" i="45"/>
  <c r="L136" i="45" s="1"/>
  <c r="L49" i="45"/>
  <c r="L130" i="45" s="1"/>
  <c r="L52" i="45"/>
  <c r="L133" i="45" s="1"/>
  <c r="L52" i="62"/>
  <c r="I129" i="62"/>
  <c r="I169" i="62" s="1"/>
  <c r="K132" i="62"/>
  <c r="K132" i="57"/>
  <c r="K135" i="57" s="1"/>
  <c r="J116" i="62"/>
  <c r="J128" i="62" s="1"/>
  <c r="J123" i="62"/>
  <c r="J127" i="62" s="1"/>
  <c r="J125" i="62"/>
  <c r="J99" i="62"/>
  <c r="J111" i="62" s="1"/>
  <c r="J101" i="62"/>
  <c r="J108" i="62" s="1"/>
  <c r="J106" i="62"/>
  <c r="J110" i="62" s="1"/>
  <c r="I112" i="62"/>
  <c r="I167" i="62" s="1"/>
  <c r="J142" i="57"/>
  <c r="J133" i="57"/>
  <c r="J145" i="57" s="1"/>
  <c r="J140" i="57"/>
  <c r="L53" i="61"/>
  <c r="L71" i="45"/>
  <c r="L76" i="45"/>
  <c r="L78" i="45"/>
  <c r="L74" i="45"/>
  <c r="L72" i="45"/>
  <c r="L77" i="45"/>
  <c r="L70" i="45"/>
  <c r="L75" i="45"/>
  <c r="L73" i="45"/>
  <c r="L53" i="62"/>
  <c r="J133" i="62"/>
  <c r="J145" i="62" s="1"/>
  <c r="J140" i="62"/>
  <c r="J135" i="62"/>
  <c r="J142" i="62" s="1"/>
  <c r="J150" i="62"/>
  <c r="J162" i="62" s="1"/>
  <c r="J152" i="62"/>
  <c r="J159" i="62" s="1"/>
  <c r="J157" i="62"/>
  <c r="H129" i="61"/>
  <c r="H169" i="61" s="1"/>
  <c r="G175" i="61"/>
  <c r="G184" i="61"/>
  <c r="H112" i="61"/>
  <c r="H167" i="61" s="1"/>
  <c r="H185" i="61" s="1"/>
  <c r="L49" i="61"/>
  <c r="L49" i="38"/>
  <c r="K171" i="61"/>
  <c r="K174" i="61"/>
  <c r="K180" i="61" s="1"/>
  <c r="K183" i="61"/>
  <c r="K189" i="61" s="1"/>
  <c r="K48" i="61"/>
  <c r="K50" i="61" s="1"/>
  <c r="L45" i="61"/>
  <c r="L45" i="38"/>
  <c r="L46" i="61"/>
  <c r="L46" i="38"/>
  <c r="L42" i="38"/>
  <c r="L42" i="61"/>
  <c r="L68" i="61" s="1"/>
  <c r="L75" i="61" s="1"/>
  <c r="L78" i="61" s="1"/>
  <c r="L165" i="61" s="1"/>
  <c r="L43" i="38"/>
  <c r="L43" i="61"/>
  <c r="L85" i="61" s="1"/>
  <c r="L92" i="61" s="1"/>
  <c r="L95" i="61" s="1"/>
  <c r="L166" i="61" s="1"/>
  <c r="I99" i="61"/>
  <c r="I111" i="61" s="1"/>
  <c r="I101" i="61"/>
  <c r="I108" i="61" s="1"/>
  <c r="I106" i="61"/>
  <c r="I110" i="61" s="1"/>
  <c r="J98" i="61"/>
  <c r="J115" i="61"/>
  <c r="J118" i="61" s="1"/>
  <c r="M44" i="61"/>
  <c r="M102" i="61" s="1"/>
  <c r="M109" i="61" s="1"/>
  <c r="M44" i="38"/>
  <c r="L51" i="61"/>
  <c r="L136" i="61" s="1"/>
  <c r="L143" i="61" s="1"/>
  <c r="L51" i="38"/>
  <c r="I129" i="61"/>
  <c r="I169" i="61" s="1"/>
  <c r="J153" i="61"/>
  <c r="J160" i="61" s="1"/>
  <c r="J119" i="61"/>
  <c r="J126" i="61" s="1"/>
  <c r="H176" i="52"/>
  <c r="J183" i="55"/>
  <c r="J189" i="55" s="1"/>
  <c r="E48" i="38"/>
  <c r="E50" i="38" s="1"/>
  <c r="J174" i="55"/>
  <c r="J180" i="55" s="1"/>
  <c r="H184" i="53"/>
  <c r="J183" i="58"/>
  <c r="J189" i="58" s="1"/>
  <c r="J174" i="58"/>
  <c r="J180" i="58" s="1"/>
  <c r="J174" i="57"/>
  <c r="J180" i="57" s="1"/>
  <c r="J183" i="57"/>
  <c r="J189" i="57" s="1"/>
  <c r="K75" i="57"/>
  <c r="K78" i="57" s="1"/>
  <c r="K165" i="57" s="1"/>
  <c r="K174" i="57" s="1"/>
  <c r="K180" i="57" s="1"/>
  <c r="J171" i="57"/>
  <c r="H184" i="57"/>
  <c r="I129" i="52"/>
  <c r="I169" i="52" s="1"/>
  <c r="I175" i="52" s="1"/>
  <c r="H175" i="57"/>
  <c r="J119" i="52"/>
  <c r="J126" i="52" s="1"/>
  <c r="J153" i="52"/>
  <c r="J160" i="52" s="1"/>
  <c r="J171" i="51"/>
  <c r="J174" i="51"/>
  <c r="J180" i="51" s="1"/>
  <c r="J183" i="51"/>
  <c r="J189" i="51" s="1"/>
  <c r="K75" i="55"/>
  <c r="K78" i="55" s="1"/>
  <c r="K165" i="55" s="1"/>
  <c r="J153" i="55"/>
  <c r="J160" i="55" s="1"/>
  <c r="J119" i="55"/>
  <c r="J126" i="55" s="1"/>
  <c r="L45" i="58"/>
  <c r="L45" i="55"/>
  <c r="L45" i="53"/>
  <c r="L45" i="57"/>
  <c r="L45" i="52"/>
  <c r="L45" i="51"/>
  <c r="H112" i="57"/>
  <c r="H167" i="57" s="1"/>
  <c r="H185" i="57" s="1"/>
  <c r="H112" i="55"/>
  <c r="H167" i="55" s="1"/>
  <c r="H185" i="55" s="1"/>
  <c r="L43" i="57"/>
  <c r="L85" i="57" s="1"/>
  <c r="L92" i="57" s="1"/>
  <c r="L95" i="57" s="1"/>
  <c r="L166" i="57" s="1"/>
  <c r="L43" i="58"/>
  <c r="L85" i="58" s="1"/>
  <c r="L92" i="58" s="1"/>
  <c r="L95" i="58" s="1"/>
  <c r="L166" i="58" s="1"/>
  <c r="L43" i="55"/>
  <c r="L85" i="55" s="1"/>
  <c r="L92" i="55" s="1"/>
  <c r="L95" i="55" s="1"/>
  <c r="L166" i="55" s="1"/>
  <c r="L43" i="53"/>
  <c r="L85" i="53" s="1"/>
  <c r="L92" i="53" s="1"/>
  <c r="L95" i="53" s="1"/>
  <c r="L166" i="53" s="1"/>
  <c r="L43" i="52"/>
  <c r="L85" i="52" s="1"/>
  <c r="L92" i="52" s="1"/>
  <c r="L95" i="52" s="1"/>
  <c r="L166" i="52" s="1"/>
  <c r="L43" i="51"/>
  <c r="L85" i="51" s="1"/>
  <c r="L92" i="51" s="1"/>
  <c r="L95" i="51" s="1"/>
  <c r="L166" i="51" s="1"/>
  <c r="I112" i="51"/>
  <c r="I167" i="51" s="1"/>
  <c r="I185" i="51" s="1"/>
  <c r="K75" i="58"/>
  <c r="K78" i="58" s="1"/>
  <c r="K165" i="58" s="1"/>
  <c r="J153" i="53"/>
  <c r="J160" i="53" s="1"/>
  <c r="J119" i="53"/>
  <c r="J126" i="53" s="1"/>
  <c r="L46" i="58"/>
  <c r="L46" i="57"/>
  <c r="L46" i="55"/>
  <c r="L46" i="53"/>
  <c r="L46" i="52"/>
  <c r="L46" i="51"/>
  <c r="L51" i="58"/>
  <c r="L136" i="58" s="1"/>
  <c r="L143" i="58" s="1"/>
  <c r="L51" i="57"/>
  <c r="L136" i="57" s="1"/>
  <c r="L143" i="57" s="1"/>
  <c r="L51" i="53"/>
  <c r="L136" i="53" s="1"/>
  <c r="L143" i="53" s="1"/>
  <c r="L51" i="55"/>
  <c r="L136" i="55" s="1"/>
  <c r="L143" i="55" s="1"/>
  <c r="L51" i="52"/>
  <c r="L136" i="52" s="1"/>
  <c r="L143" i="52" s="1"/>
  <c r="L51" i="51"/>
  <c r="L136" i="51" s="1"/>
  <c r="L143" i="51" s="1"/>
  <c r="J153" i="57"/>
  <c r="J160" i="57" s="1"/>
  <c r="J119" i="57"/>
  <c r="J126" i="57" s="1"/>
  <c r="J171" i="53"/>
  <c r="J183" i="53"/>
  <c r="J189" i="53" s="1"/>
  <c r="J174" i="53"/>
  <c r="J180" i="53" s="1"/>
  <c r="L52" i="58"/>
  <c r="L52" i="57"/>
  <c r="L52" i="53"/>
  <c r="L52" i="55"/>
  <c r="L52" i="52"/>
  <c r="L52" i="51"/>
  <c r="J153" i="58"/>
  <c r="J160" i="58" s="1"/>
  <c r="J119" i="58"/>
  <c r="J126" i="58" s="1"/>
  <c r="L41" i="58"/>
  <c r="L67" i="58" s="1"/>
  <c r="L41" i="57"/>
  <c r="L67" i="57" s="1"/>
  <c r="L41" i="55"/>
  <c r="L67" i="55" s="1"/>
  <c r="L41" i="52"/>
  <c r="L67" i="52" s="1"/>
  <c r="L41" i="53"/>
  <c r="L67" i="53" s="1"/>
  <c r="L41" i="51"/>
  <c r="L67" i="51" s="1"/>
  <c r="L42" i="58"/>
  <c r="L68" i="58" s="1"/>
  <c r="L42" i="57"/>
  <c r="L68" i="57" s="1"/>
  <c r="L42" i="53"/>
  <c r="L68" i="53" s="1"/>
  <c r="L42" i="55"/>
  <c r="L68" i="55" s="1"/>
  <c r="L42" i="52"/>
  <c r="L68" i="52" s="1"/>
  <c r="L42" i="51"/>
  <c r="L68" i="51" s="1"/>
  <c r="M44" i="58"/>
  <c r="M102" i="58" s="1"/>
  <c r="M109" i="58" s="1"/>
  <c r="M44" i="57"/>
  <c r="M102" i="57" s="1"/>
  <c r="M109" i="57" s="1"/>
  <c r="M44" i="55"/>
  <c r="M102" i="55" s="1"/>
  <c r="M109" i="55" s="1"/>
  <c r="M44" i="52"/>
  <c r="M102" i="52" s="1"/>
  <c r="M109" i="52" s="1"/>
  <c r="M44" i="53"/>
  <c r="M102" i="53" s="1"/>
  <c r="M109" i="53" s="1"/>
  <c r="M44" i="51"/>
  <c r="M102" i="51" s="1"/>
  <c r="M109" i="51" s="1"/>
  <c r="L53" i="58"/>
  <c r="L53" i="57"/>
  <c r="L53" i="53"/>
  <c r="L53" i="55"/>
  <c r="L53" i="52"/>
  <c r="L53" i="51"/>
  <c r="J119" i="51"/>
  <c r="J126" i="51" s="1"/>
  <c r="J153" i="51"/>
  <c r="J160" i="51" s="1"/>
  <c r="K75" i="51"/>
  <c r="K78" i="51" s="1"/>
  <c r="K165" i="51" s="1"/>
  <c r="K75" i="53"/>
  <c r="K78" i="53" s="1"/>
  <c r="K165" i="53" s="1"/>
  <c r="J171" i="52"/>
  <c r="J174" i="52"/>
  <c r="J180" i="52" s="1"/>
  <c r="J183" i="52"/>
  <c r="J189" i="52" s="1"/>
  <c r="K75" i="52"/>
  <c r="K78" i="52" s="1"/>
  <c r="K165" i="52" s="1"/>
  <c r="J150" i="53"/>
  <c r="J162" i="53" s="1"/>
  <c r="J159" i="53"/>
  <c r="J157" i="53"/>
  <c r="J99" i="51"/>
  <c r="J111" i="51" s="1"/>
  <c r="J106" i="51"/>
  <c r="J110" i="51" s="1"/>
  <c r="J101" i="51"/>
  <c r="J108" i="51" s="1"/>
  <c r="J116" i="52"/>
  <c r="J128" i="52" s="1"/>
  <c r="J118" i="52"/>
  <c r="J125" i="52" s="1"/>
  <c r="J123" i="52"/>
  <c r="J127" i="52" s="1"/>
  <c r="I150" i="55"/>
  <c r="I162" i="55" s="1"/>
  <c r="I157" i="55"/>
  <c r="I159" i="55"/>
  <c r="G184" i="57"/>
  <c r="G175" i="57"/>
  <c r="I116" i="55"/>
  <c r="I128" i="55" s="1"/>
  <c r="I123" i="55"/>
  <c r="I127" i="55" s="1"/>
  <c r="I118" i="55"/>
  <c r="I125" i="55" s="1"/>
  <c r="H184" i="52"/>
  <c r="H175" i="52"/>
  <c r="J115" i="38"/>
  <c r="J115" i="55"/>
  <c r="G185" i="55"/>
  <c r="G176" i="55"/>
  <c r="G185" i="57"/>
  <c r="G176" i="57"/>
  <c r="J99" i="53"/>
  <c r="J111" i="53" s="1"/>
  <c r="J106" i="53"/>
  <c r="J110" i="53" s="1"/>
  <c r="J101" i="53"/>
  <c r="J108" i="53" s="1"/>
  <c r="H185" i="53"/>
  <c r="H176" i="53"/>
  <c r="I112" i="52"/>
  <c r="I167" i="52" s="1"/>
  <c r="J98" i="38"/>
  <c r="J98" i="55"/>
  <c r="I150" i="57"/>
  <c r="I162" i="57" s="1"/>
  <c r="I157" i="57"/>
  <c r="I159" i="57"/>
  <c r="J133" i="55"/>
  <c r="J145" i="55" s="1"/>
  <c r="J142" i="55"/>
  <c r="J140" i="55"/>
  <c r="I116" i="57"/>
  <c r="I128" i="57" s="1"/>
  <c r="I118" i="57"/>
  <c r="I125" i="57" s="1"/>
  <c r="I123" i="57"/>
  <c r="I127" i="57" s="1"/>
  <c r="G184" i="55"/>
  <c r="G175" i="55"/>
  <c r="J116" i="51"/>
  <c r="J128" i="51" s="1"/>
  <c r="J118" i="51"/>
  <c r="J125" i="51" s="1"/>
  <c r="J123" i="51"/>
  <c r="J127" i="51" s="1"/>
  <c r="J115" i="57"/>
  <c r="J116" i="53"/>
  <c r="J128" i="53" s="1"/>
  <c r="J118" i="53"/>
  <c r="J125" i="53" s="1"/>
  <c r="J123" i="53"/>
  <c r="J127" i="53" s="1"/>
  <c r="I129" i="53"/>
  <c r="I169" i="53" s="1"/>
  <c r="I112" i="53"/>
  <c r="I167" i="53" s="1"/>
  <c r="J150" i="52"/>
  <c r="J162" i="52" s="1"/>
  <c r="J159" i="52"/>
  <c r="J157" i="52"/>
  <c r="I99" i="57"/>
  <c r="I111" i="57" s="1"/>
  <c r="I101" i="57"/>
  <c r="I108" i="57" s="1"/>
  <c r="I106" i="57"/>
  <c r="I110" i="57" s="1"/>
  <c r="K115" i="57"/>
  <c r="J149" i="38"/>
  <c r="J152" i="38" s="1"/>
  <c r="J149" i="55"/>
  <c r="J152" i="55" s="1"/>
  <c r="J99" i="52"/>
  <c r="J111" i="52" s="1"/>
  <c r="J106" i="52"/>
  <c r="J110" i="52" s="1"/>
  <c r="J101" i="52"/>
  <c r="J108" i="52" s="1"/>
  <c r="K132" i="38"/>
  <c r="K135" i="38" s="1"/>
  <c r="J98" i="57"/>
  <c r="J149" i="57"/>
  <c r="J152" i="57" s="1"/>
  <c r="I99" i="55"/>
  <c r="I111" i="55" s="1"/>
  <c r="I101" i="55"/>
  <c r="I108" i="55" s="1"/>
  <c r="I106" i="55"/>
  <c r="I110" i="55" s="1"/>
  <c r="H175" i="51"/>
  <c r="H184" i="51"/>
  <c r="I129" i="51"/>
  <c r="I169" i="51" s="1"/>
  <c r="J140" i="51"/>
  <c r="J145" i="51"/>
  <c r="M156" i="45"/>
  <c r="M55" i="63" s="1"/>
  <c r="M69" i="63" s="1"/>
  <c r="M76" i="63" s="1"/>
  <c r="M155" i="45"/>
  <c r="M55" i="62" s="1"/>
  <c r="M69" i="62" s="1"/>
  <c r="M76" i="62" s="1"/>
  <c r="M154" i="45"/>
  <c r="L55" i="38"/>
  <c r="K122" i="45"/>
  <c r="K115" i="53" s="1"/>
  <c r="K119" i="45"/>
  <c r="L116" i="45"/>
  <c r="L124" i="45" s="1"/>
  <c r="L115" i="67" s="1"/>
  <c r="L118" i="67" s="1"/>
  <c r="L140" i="45"/>
  <c r="K117" i="45"/>
  <c r="K115" i="51" s="1"/>
  <c r="K123" i="45"/>
  <c r="K115" i="52" s="1"/>
  <c r="K118" i="45"/>
  <c r="K115" i="63" s="1"/>
  <c r="K118" i="63" s="1"/>
  <c r="K124" i="45"/>
  <c r="K115" i="67" s="1"/>
  <c r="K118" i="67" s="1"/>
  <c r="K120" i="45"/>
  <c r="K125" i="45"/>
  <c r="M38" i="45"/>
  <c r="M39" i="45"/>
  <c r="M40" i="45"/>
  <c r="M27" i="45"/>
  <c r="M28" i="45"/>
  <c r="M29" i="45"/>
  <c r="L104" i="45"/>
  <c r="L103" i="45"/>
  <c r="K107" i="45"/>
  <c r="K105" i="45"/>
  <c r="K98" i="51" s="1"/>
  <c r="K106" i="45"/>
  <c r="K98" i="63" s="1"/>
  <c r="K110" i="45"/>
  <c r="K98" i="53" s="1"/>
  <c r="K108" i="45"/>
  <c r="K111" i="45"/>
  <c r="K98" i="52" s="1"/>
  <c r="K109" i="45"/>
  <c r="K98" i="62" s="1"/>
  <c r="K112" i="45"/>
  <c r="K98" i="67" s="1"/>
  <c r="K113" i="45"/>
  <c r="M12" i="45"/>
  <c r="M14" i="45"/>
  <c r="N6" i="45"/>
  <c r="M4" i="45"/>
  <c r="M20" i="45"/>
  <c r="L53" i="38"/>
  <c r="M19" i="45"/>
  <c r="L52" i="38"/>
  <c r="M5" i="45"/>
  <c r="M23" i="45"/>
  <c r="M21" i="45"/>
  <c r="H185" i="58" l="1"/>
  <c r="K119" i="66"/>
  <c r="K126" i="66" s="1"/>
  <c r="K119" i="67"/>
  <c r="K126" i="67" s="1"/>
  <c r="BZ8" i="46"/>
  <c r="C204" i="45"/>
  <c r="C220" i="45" s="1"/>
  <c r="BZ18" i="46"/>
  <c r="C214" i="45"/>
  <c r="C230" i="45" s="1"/>
  <c r="BZ13" i="46"/>
  <c r="C209" i="45"/>
  <c r="C225" i="45" s="1"/>
  <c r="BZ15" i="46"/>
  <c r="C211" i="45"/>
  <c r="C227" i="45" s="1"/>
  <c r="BZ17" i="46"/>
  <c r="C213" i="45"/>
  <c r="C229" i="45" s="1"/>
  <c r="BZ9" i="46"/>
  <c r="C205" i="45"/>
  <c r="C221" i="45" s="1"/>
  <c r="BZ12" i="46"/>
  <c r="C208" i="45"/>
  <c r="C224" i="45" s="1"/>
  <c r="BZ6" i="46"/>
  <c r="C202" i="45"/>
  <c r="C218" i="45" s="1"/>
  <c r="BZ14" i="46"/>
  <c r="C210" i="45"/>
  <c r="C226" i="45" s="1"/>
  <c r="BZ16" i="46"/>
  <c r="C212" i="45"/>
  <c r="C228" i="45" s="1"/>
  <c r="BZ11" i="46"/>
  <c r="C207" i="45"/>
  <c r="C223" i="45" s="1"/>
  <c r="BZ5" i="46"/>
  <c r="C201" i="45"/>
  <c r="C217" i="45" s="1"/>
  <c r="BZ10" i="46"/>
  <c r="C206" i="45"/>
  <c r="C222" i="45" s="1"/>
  <c r="BZ7" i="46"/>
  <c r="C203" i="45"/>
  <c r="C219" i="45" s="1"/>
  <c r="L48" i="66"/>
  <c r="L50" i="66" s="1"/>
  <c r="L119" i="66" s="1"/>
  <c r="L126" i="66" s="1"/>
  <c r="L48" i="67"/>
  <c r="L50" i="67" s="1"/>
  <c r="L119" i="67" s="1"/>
  <c r="L126" i="67" s="1"/>
  <c r="L48" i="58"/>
  <c r="L50" i="58" s="1"/>
  <c r="L78" i="64"/>
  <c r="L165" i="64" s="1"/>
  <c r="L171" i="64" s="1"/>
  <c r="K171" i="64"/>
  <c r="H184" i="58"/>
  <c r="L48" i="51"/>
  <c r="L50" i="51" s="1"/>
  <c r="L48" i="52"/>
  <c r="L50" i="52" s="1"/>
  <c r="L48" i="57"/>
  <c r="L50" i="57" s="1"/>
  <c r="I129" i="58"/>
  <c r="I169" i="58" s="1"/>
  <c r="I175" i="58" s="1"/>
  <c r="K174" i="64"/>
  <c r="K180" i="64" s="1"/>
  <c r="L48" i="53"/>
  <c r="L50" i="53" s="1"/>
  <c r="L48" i="64"/>
  <c r="L50" i="64" s="1"/>
  <c r="L153" i="64" s="1"/>
  <c r="L160" i="64" s="1"/>
  <c r="L171" i="63"/>
  <c r="L183" i="63"/>
  <c r="L189" i="63" s="1"/>
  <c r="L174" i="63"/>
  <c r="L180" i="63" s="1"/>
  <c r="K119" i="65"/>
  <c r="K126" i="65" s="1"/>
  <c r="M49" i="58"/>
  <c r="M49" i="57"/>
  <c r="M49" i="67"/>
  <c r="M49" i="52"/>
  <c r="M49" i="65"/>
  <c r="M49" i="51"/>
  <c r="M49" i="66"/>
  <c r="M49" i="55"/>
  <c r="M49" i="53"/>
  <c r="L174" i="65"/>
  <c r="L180" i="65" s="1"/>
  <c r="L183" i="65"/>
  <c r="L189" i="65" s="1"/>
  <c r="L171" i="65"/>
  <c r="M46" i="62"/>
  <c r="M46" i="67"/>
  <c r="M46" i="66"/>
  <c r="M46" i="65"/>
  <c r="M46" i="64"/>
  <c r="M46" i="63"/>
  <c r="L183" i="66"/>
  <c r="L189" i="66" s="1"/>
  <c r="L171" i="66"/>
  <c r="L174" i="66"/>
  <c r="L180" i="66" s="1"/>
  <c r="L183" i="67"/>
  <c r="L189" i="67" s="1"/>
  <c r="L174" i="67"/>
  <c r="L180" i="67" s="1"/>
  <c r="L171" i="67"/>
  <c r="L48" i="63"/>
  <c r="L50" i="63" s="1"/>
  <c r="L119" i="63" s="1"/>
  <c r="L126" i="63" s="1"/>
  <c r="M43" i="62"/>
  <c r="M85" i="62" s="1"/>
  <c r="M92" i="62" s="1"/>
  <c r="M95" i="62" s="1"/>
  <c r="M166" i="62" s="1"/>
  <c r="AO30" i="2" s="1"/>
  <c r="M43" i="67"/>
  <c r="M85" i="67" s="1"/>
  <c r="M92" i="67" s="1"/>
  <c r="M95" i="67" s="1"/>
  <c r="M166" i="67" s="1"/>
  <c r="AO151" i="2" s="1"/>
  <c r="M43" i="65"/>
  <c r="M85" i="65" s="1"/>
  <c r="M92" i="65" s="1"/>
  <c r="M95" i="65" s="1"/>
  <c r="M166" i="65" s="1"/>
  <c r="M43" i="66"/>
  <c r="M85" i="66" s="1"/>
  <c r="M92" i="66" s="1"/>
  <c r="M95" i="66" s="1"/>
  <c r="M166" i="66" s="1"/>
  <c r="AO140" i="2" s="1"/>
  <c r="M43" i="64"/>
  <c r="M85" i="64" s="1"/>
  <c r="M92" i="64" s="1"/>
  <c r="M95" i="64" s="1"/>
  <c r="M166" i="64" s="1"/>
  <c r="AO52" i="2" s="1"/>
  <c r="M43" i="63"/>
  <c r="M85" i="63" s="1"/>
  <c r="M92" i="63" s="1"/>
  <c r="M95" i="63" s="1"/>
  <c r="M166" i="63" s="1"/>
  <c r="AO41" i="2" s="1"/>
  <c r="M52" i="67"/>
  <c r="M52" i="66"/>
  <c r="M52" i="65"/>
  <c r="M52" i="63"/>
  <c r="M52" i="64"/>
  <c r="L48" i="55"/>
  <c r="L50" i="55" s="1"/>
  <c r="L48" i="65"/>
  <c r="L50" i="65" s="1"/>
  <c r="L153" i="65" s="1"/>
  <c r="L160" i="65" s="1"/>
  <c r="L48" i="62"/>
  <c r="L50" i="62" s="1"/>
  <c r="L153" i="62" s="1"/>
  <c r="L160" i="62" s="1"/>
  <c r="M53" i="67"/>
  <c r="M53" i="66"/>
  <c r="M53" i="65"/>
  <c r="M53" i="64"/>
  <c r="M53" i="63"/>
  <c r="M42" i="62"/>
  <c r="M68" i="62" s="1"/>
  <c r="M75" i="62" s="1"/>
  <c r="M78" i="62" s="1"/>
  <c r="M165" i="62" s="1"/>
  <c r="AN30" i="2" s="1"/>
  <c r="AH30" i="2" s="1"/>
  <c r="F29" i="79" s="1"/>
  <c r="R29" i="79" s="1"/>
  <c r="R34" i="79" s="1"/>
  <c r="M42" i="67"/>
  <c r="M68" i="67" s="1"/>
  <c r="M75" i="67" s="1"/>
  <c r="M78" i="67" s="1"/>
  <c r="M165" i="67" s="1"/>
  <c r="AN151" i="2" s="1"/>
  <c r="AH151" i="2" s="1"/>
  <c r="F161" i="79" s="1"/>
  <c r="R161" i="79" s="1"/>
  <c r="R166" i="79" s="1"/>
  <c r="M42" i="65"/>
  <c r="M68" i="65" s="1"/>
  <c r="M75" i="65" s="1"/>
  <c r="M78" i="65" s="1"/>
  <c r="M165" i="65" s="1"/>
  <c r="M42" i="66"/>
  <c r="M68" i="66" s="1"/>
  <c r="M75" i="66" s="1"/>
  <c r="M78" i="66" s="1"/>
  <c r="M165" i="66" s="1"/>
  <c r="AN140" i="2" s="1"/>
  <c r="AH140" i="2" s="1"/>
  <c r="F149" i="79" s="1"/>
  <c r="R149" i="79" s="1"/>
  <c r="R154" i="79" s="1"/>
  <c r="M42" i="64"/>
  <c r="M68" i="64" s="1"/>
  <c r="M75" i="64" s="1"/>
  <c r="M42" i="63"/>
  <c r="M68" i="63" s="1"/>
  <c r="M75" i="63" s="1"/>
  <c r="M78" i="63" s="1"/>
  <c r="M165" i="63" s="1"/>
  <c r="AN41" i="2" s="1"/>
  <c r="AH41" i="2" s="1"/>
  <c r="F41" i="79" s="1"/>
  <c r="R41" i="79" s="1"/>
  <c r="R46" i="79" s="1"/>
  <c r="N44" i="62"/>
  <c r="N102" i="62" s="1"/>
  <c r="N109" i="62" s="1"/>
  <c r="N44" i="66"/>
  <c r="N102" i="66" s="1"/>
  <c r="N109" i="66" s="1"/>
  <c r="N44" i="67"/>
  <c r="N102" i="67" s="1"/>
  <c r="N109" i="67" s="1"/>
  <c r="N44" i="65"/>
  <c r="N102" i="65" s="1"/>
  <c r="N109" i="65" s="1"/>
  <c r="N44" i="63"/>
  <c r="N102" i="63" s="1"/>
  <c r="N109" i="63" s="1"/>
  <c r="N44" i="64"/>
  <c r="N102" i="64" s="1"/>
  <c r="N109" i="64" s="1"/>
  <c r="H175" i="55"/>
  <c r="H184" i="55"/>
  <c r="J123" i="58"/>
  <c r="J127" i="58" s="1"/>
  <c r="I185" i="63"/>
  <c r="K153" i="64"/>
  <c r="K160" i="64" s="1"/>
  <c r="K153" i="63"/>
  <c r="K160" i="63" s="1"/>
  <c r="I112" i="58"/>
  <c r="I167" i="58" s="1"/>
  <c r="I176" i="58" s="1"/>
  <c r="M45" i="62"/>
  <c r="M45" i="65"/>
  <c r="M45" i="67"/>
  <c r="M45" i="66"/>
  <c r="M45" i="64"/>
  <c r="M45" i="63"/>
  <c r="K140" i="55"/>
  <c r="K133" i="55"/>
  <c r="K145" i="55" s="1"/>
  <c r="K153" i="62"/>
  <c r="K160" i="62" s="1"/>
  <c r="M51" i="62"/>
  <c r="M136" i="62" s="1"/>
  <c r="M143" i="62" s="1"/>
  <c r="M51" i="67"/>
  <c r="M136" i="67" s="1"/>
  <c r="M143" i="67" s="1"/>
  <c r="M51" i="66"/>
  <c r="M136" i="66" s="1"/>
  <c r="M143" i="66" s="1"/>
  <c r="M51" i="65"/>
  <c r="M136" i="65" s="1"/>
  <c r="M143" i="65" s="1"/>
  <c r="M51" i="64"/>
  <c r="M136" i="64" s="1"/>
  <c r="M143" i="64" s="1"/>
  <c r="M51" i="63"/>
  <c r="M136" i="63" s="1"/>
  <c r="M143" i="63" s="1"/>
  <c r="J157" i="58"/>
  <c r="J150" i="58"/>
  <c r="J162" i="58" s="1"/>
  <c r="K140" i="58"/>
  <c r="L145" i="45"/>
  <c r="L142" i="45"/>
  <c r="L149" i="51" s="1"/>
  <c r="L147" i="45"/>
  <c r="L149" i="53" s="1"/>
  <c r="L152" i="53" s="1"/>
  <c r="L146" i="45"/>
  <c r="L149" i="62" s="1"/>
  <c r="K133" i="58"/>
  <c r="K145" i="58" s="1"/>
  <c r="L150" i="45"/>
  <c r="L144" i="45"/>
  <c r="L149" i="45"/>
  <c r="L149" i="67" s="1"/>
  <c r="L143" i="45"/>
  <c r="L148" i="45"/>
  <c r="L149" i="52" s="1"/>
  <c r="L152" i="52" s="1"/>
  <c r="M49" i="62"/>
  <c r="M49" i="64"/>
  <c r="M49" i="63"/>
  <c r="H175" i="61"/>
  <c r="K133" i="67"/>
  <c r="K145" i="67" s="1"/>
  <c r="K140" i="67"/>
  <c r="K135" i="67"/>
  <c r="K142" i="67" s="1"/>
  <c r="K135" i="53"/>
  <c r="K142" i="53" s="1"/>
  <c r="K133" i="53"/>
  <c r="K145" i="53" s="1"/>
  <c r="K140" i="53"/>
  <c r="K133" i="51"/>
  <c r="K145" i="51" s="1"/>
  <c r="K135" i="51"/>
  <c r="K142" i="51" s="1"/>
  <c r="L132" i="67"/>
  <c r="L132" i="52"/>
  <c r="K140" i="52"/>
  <c r="K133" i="52"/>
  <c r="K145" i="52" s="1"/>
  <c r="L132" i="53"/>
  <c r="L135" i="53" s="1"/>
  <c r="L142" i="53" s="1"/>
  <c r="L132" i="51"/>
  <c r="J152" i="61"/>
  <c r="J159" i="61" s="1"/>
  <c r="J157" i="61"/>
  <c r="K140" i="61"/>
  <c r="K135" i="61"/>
  <c r="K142" i="61" s="1"/>
  <c r="J106" i="58"/>
  <c r="J110" i="58" s="1"/>
  <c r="J99" i="58"/>
  <c r="J111" i="58" s="1"/>
  <c r="I112" i="66"/>
  <c r="I167" i="66" s="1"/>
  <c r="I185" i="66" s="1"/>
  <c r="I184" i="67"/>
  <c r="J118" i="58"/>
  <c r="J125" i="58" s="1"/>
  <c r="N157" i="45"/>
  <c r="M55" i="64"/>
  <c r="M69" i="64" s="1"/>
  <c r="M76" i="64" s="1"/>
  <c r="J129" i="67"/>
  <c r="J169" i="67" s="1"/>
  <c r="J184" i="67" s="1"/>
  <c r="I112" i="65"/>
  <c r="I167" i="65" s="1"/>
  <c r="I185" i="65" s="1"/>
  <c r="J116" i="64"/>
  <c r="J128" i="64" s="1"/>
  <c r="J125" i="64"/>
  <c r="J123" i="64"/>
  <c r="J127" i="64" s="1"/>
  <c r="L132" i="58"/>
  <c r="L135" i="58" s="1"/>
  <c r="L142" i="58" s="1"/>
  <c r="L132" i="65"/>
  <c r="L116" i="67"/>
  <c r="L128" i="67" s="1"/>
  <c r="L123" i="67"/>
  <c r="L127" i="67" s="1"/>
  <c r="L125" i="67"/>
  <c r="K133" i="63"/>
  <c r="K145" i="63" s="1"/>
  <c r="K140" i="63"/>
  <c r="K135" i="63"/>
  <c r="K142" i="63" s="1"/>
  <c r="J116" i="66"/>
  <c r="J128" i="66" s="1"/>
  <c r="J123" i="66"/>
  <c r="J127" i="66" s="1"/>
  <c r="J125" i="66"/>
  <c r="K149" i="58"/>
  <c r="K152" i="58" s="1"/>
  <c r="K159" i="58" s="1"/>
  <c r="K149" i="65"/>
  <c r="K115" i="66"/>
  <c r="K118" i="66" s="1"/>
  <c r="K115" i="64"/>
  <c r="K118" i="64" s="1"/>
  <c r="K149" i="55"/>
  <c r="K152" i="55" s="1"/>
  <c r="K159" i="55" s="1"/>
  <c r="K149" i="66"/>
  <c r="K149" i="64"/>
  <c r="H184" i="66"/>
  <c r="H175" i="66"/>
  <c r="H184" i="64"/>
  <c r="H175" i="64"/>
  <c r="I129" i="64"/>
  <c r="I169" i="64" s="1"/>
  <c r="J150" i="65"/>
  <c r="J162" i="65" s="1"/>
  <c r="J152" i="65"/>
  <c r="J159" i="65" s="1"/>
  <c r="J157" i="65"/>
  <c r="I129" i="65"/>
  <c r="I169" i="65" s="1"/>
  <c r="K133" i="65"/>
  <c r="K145" i="65" s="1"/>
  <c r="K135" i="65"/>
  <c r="K142" i="65" s="1"/>
  <c r="K140" i="65"/>
  <c r="J150" i="64"/>
  <c r="J162" i="64" s="1"/>
  <c r="J152" i="64"/>
  <c r="J159" i="64" s="1"/>
  <c r="J157" i="64"/>
  <c r="L132" i="61"/>
  <c r="L133" i="61" s="1"/>
  <c r="L145" i="61" s="1"/>
  <c r="L132" i="63"/>
  <c r="J150" i="63"/>
  <c r="J162" i="63" s="1"/>
  <c r="J152" i="63"/>
  <c r="J159" i="63" s="1"/>
  <c r="J157" i="63"/>
  <c r="J116" i="65"/>
  <c r="J128" i="65" s="1"/>
  <c r="J118" i="65"/>
  <c r="J125" i="65" s="1"/>
  <c r="J123" i="65"/>
  <c r="J127" i="65" s="1"/>
  <c r="J150" i="66"/>
  <c r="J162" i="66" s="1"/>
  <c r="J152" i="66"/>
  <c r="J159" i="66" s="1"/>
  <c r="J157" i="66"/>
  <c r="H184" i="65"/>
  <c r="H175" i="65"/>
  <c r="K133" i="64"/>
  <c r="K145" i="64" s="1"/>
  <c r="K140" i="64"/>
  <c r="K135" i="64"/>
  <c r="K142" i="64" s="1"/>
  <c r="K150" i="67"/>
  <c r="K162" i="67" s="1"/>
  <c r="K157" i="67"/>
  <c r="K152" i="67"/>
  <c r="K159" i="67" s="1"/>
  <c r="K115" i="58"/>
  <c r="K116" i="58" s="1"/>
  <c r="K128" i="58" s="1"/>
  <c r="K115" i="65"/>
  <c r="K116" i="67"/>
  <c r="K128" i="67" s="1"/>
  <c r="K123" i="67"/>
  <c r="K127" i="67" s="1"/>
  <c r="K125" i="67"/>
  <c r="I129" i="66"/>
  <c r="I169" i="66" s="1"/>
  <c r="J129" i="63"/>
  <c r="J169" i="63" s="1"/>
  <c r="K133" i="66"/>
  <c r="K145" i="66" s="1"/>
  <c r="K135" i="66"/>
  <c r="K142" i="66" s="1"/>
  <c r="K140" i="66"/>
  <c r="K149" i="61"/>
  <c r="K150" i="61" s="1"/>
  <c r="K162" i="61" s="1"/>
  <c r="K149" i="63"/>
  <c r="K116" i="63"/>
  <c r="K128" i="63" s="1"/>
  <c r="K123" i="63"/>
  <c r="K127" i="63" s="1"/>
  <c r="K125" i="63"/>
  <c r="L132" i="66"/>
  <c r="L132" i="64"/>
  <c r="J99" i="65"/>
  <c r="J111" i="65" s="1"/>
  <c r="J106" i="65"/>
  <c r="J110" i="65" s="1"/>
  <c r="J101" i="65"/>
  <c r="J108" i="65" s="1"/>
  <c r="K98" i="66"/>
  <c r="K98" i="64"/>
  <c r="K99" i="67"/>
  <c r="K111" i="67" s="1"/>
  <c r="K106" i="67"/>
  <c r="K110" i="67" s="1"/>
  <c r="K101" i="67"/>
  <c r="K108" i="67" s="1"/>
  <c r="J99" i="64"/>
  <c r="J111" i="64" s="1"/>
  <c r="J106" i="64"/>
  <c r="J110" i="64" s="1"/>
  <c r="J101" i="64"/>
  <c r="J108" i="64" s="1"/>
  <c r="J112" i="67"/>
  <c r="J167" i="67" s="1"/>
  <c r="J99" i="66"/>
  <c r="J111" i="66" s="1"/>
  <c r="J106" i="66"/>
  <c r="J110" i="66" s="1"/>
  <c r="J101" i="66"/>
  <c r="J108" i="66" s="1"/>
  <c r="J112" i="63"/>
  <c r="J167" i="63" s="1"/>
  <c r="I112" i="64"/>
  <c r="I167" i="64" s="1"/>
  <c r="K98" i="58"/>
  <c r="K99" i="58" s="1"/>
  <c r="K111" i="58" s="1"/>
  <c r="K98" i="65"/>
  <c r="H176" i="66"/>
  <c r="H185" i="66"/>
  <c r="H176" i="64"/>
  <c r="H185" i="64"/>
  <c r="K101" i="63"/>
  <c r="K108" i="63" s="1"/>
  <c r="K106" i="63"/>
  <c r="K110" i="63" s="1"/>
  <c r="K99" i="63"/>
  <c r="K111" i="63" s="1"/>
  <c r="I176" i="67"/>
  <c r="I185" i="67"/>
  <c r="H185" i="65"/>
  <c r="H176" i="65"/>
  <c r="K150" i="51"/>
  <c r="K152" i="51"/>
  <c r="L174" i="62"/>
  <c r="L180" i="62" s="1"/>
  <c r="K149" i="38"/>
  <c r="K152" i="38" s="1"/>
  <c r="H184" i="61"/>
  <c r="L183" i="62"/>
  <c r="L189" i="62" s="1"/>
  <c r="J112" i="62"/>
  <c r="J167" i="62" s="1"/>
  <c r="I184" i="62"/>
  <c r="I175" i="62"/>
  <c r="H176" i="61"/>
  <c r="L132" i="62"/>
  <c r="L132" i="57"/>
  <c r="L135" i="57" s="1"/>
  <c r="K129" i="62"/>
  <c r="K169" i="62" s="1"/>
  <c r="J129" i="62"/>
  <c r="J169" i="62" s="1"/>
  <c r="K99" i="62"/>
  <c r="K111" i="62" s="1"/>
  <c r="K106" i="62"/>
  <c r="K110" i="62" s="1"/>
  <c r="K101" i="62"/>
  <c r="K108" i="62" s="1"/>
  <c r="M53" i="61"/>
  <c r="M78" i="45"/>
  <c r="CD14" i="46" s="1"/>
  <c r="M71" i="45"/>
  <c r="CD5" i="46" s="1"/>
  <c r="M76" i="45"/>
  <c r="CD12" i="46" s="1"/>
  <c r="CG12" i="46" s="1"/>
  <c r="CI12" i="46" s="1"/>
  <c r="M74" i="45"/>
  <c r="CD7" i="46" s="1"/>
  <c r="M73" i="45"/>
  <c r="M72" i="45"/>
  <c r="CD6" i="46" s="1"/>
  <c r="M77" i="45"/>
  <c r="CD18" i="46" s="1"/>
  <c r="CG18" i="46" s="1"/>
  <c r="CI18" i="46" s="1"/>
  <c r="M70" i="45"/>
  <c r="CD10" i="46" s="1"/>
  <c r="CG10" i="46" s="1"/>
  <c r="CI10" i="46" s="1"/>
  <c r="M75" i="45"/>
  <c r="CD11" i="46" s="1"/>
  <c r="CG11" i="46" s="1"/>
  <c r="CI11" i="46" s="1"/>
  <c r="M53" i="62"/>
  <c r="M52" i="61"/>
  <c r="M63" i="45"/>
  <c r="M64" i="45"/>
  <c r="M62" i="45"/>
  <c r="M59" i="45"/>
  <c r="M65" i="45"/>
  <c r="M60" i="45"/>
  <c r="M66" i="45"/>
  <c r="M61" i="45"/>
  <c r="M67" i="45"/>
  <c r="M50" i="45"/>
  <c r="M131" i="45" s="1"/>
  <c r="M53" i="45"/>
  <c r="M134" i="45" s="1"/>
  <c r="M56" i="45"/>
  <c r="M137" i="45" s="1"/>
  <c r="M49" i="45"/>
  <c r="M130" i="45" s="1"/>
  <c r="M48" i="45"/>
  <c r="M129" i="45" s="1"/>
  <c r="M51" i="45"/>
  <c r="M132" i="45" s="1"/>
  <c r="M54" i="45"/>
  <c r="M135" i="45" s="1"/>
  <c r="M52" i="45"/>
  <c r="M133" i="45" s="1"/>
  <c r="M55" i="45"/>
  <c r="M136" i="45" s="1"/>
  <c r="M52" i="62"/>
  <c r="I176" i="62"/>
  <c r="I185" i="62"/>
  <c r="K133" i="62"/>
  <c r="K145" i="62" s="1"/>
  <c r="K135" i="62"/>
  <c r="K142" i="62" s="1"/>
  <c r="K140" i="62"/>
  <c r="K133" i="57"/>
  <c r="K145" i="57" s="1"/>
  <c r="K140" i="57"/>
  <c r="K142" i="57"/>
  <c r="K150" i="62"/>
  <c r="K162" i="62" s="1"/>
  <c r="K152" i="62"/>
  <c r="K159" i="62" s="1"/>
  <c r="K157" i="62"/>
  <c r="L48" i="61"/>
  <c r="L50" i="61" s="1"/>
  <c r="L153" i="61" s="1"/>
  <c r="L160" i="61" s="1"/>
  <c r="I184" i="52"/>
  <c r="J99" i="61"/>
  <c r="J111" i="61" s="1"/>
  <c r="J106" i="61"/>
  <c r="J110" i="61" s="1"/>
  <c r="J101" i="61"/>
  <c r="J108" i="61" s="1"/>
  <c r="M42" i="61"/>
  <c r="M68" i="61" s="1"/>
  <c r="M75" i="61" s="1"/>
  <c r="M78" i="61" s="1"/>
  <c r="M165" i="61" s="1"/>
  <c r="AN8" i="2" s="1"/>
  <c r="AH8" i="2" s="1"/>
  <c r="F5" i="79" s="1"/>
  <c r="R5" i="79" s="1"/>
  <c r="R10" i="79" s="1"/>
  <c r="M42" i="38"/>
  <c r="K115" i="61"/>
  <c r="K118" i="61" s="1"/>
  <c r="M43" i="61"/>
  <c r="M85" i="61" s="1"/>
  <c r="M92" i="61" s="1"/>
  <c r="M95" i="61" s="1"/>
  <c r="M166" i="61" s="1"/>
  <c r="AO8" i="2" s="1"/>
  <c r="M43" i="38"/>
  <c r="N44" i="61"/>
  <c r="N102" i="61" s="1"/>
  <c r="N109" i="61" s="1"/>
  <c r="N44" i="38"/>
  <c r="I184" i="61"/>
  <c r="I175" i="61"/>
  <c r="L183" i="61"/>
  <c r="L189" i="61" s="1"/>
  <c r="L174" i="61"/>
  <c r="L180" i="61" s="1"/>
  <c r="L171" i="61"/>
  <c r="K98" i="61"/>
  <c r="M49" i="61"/>
  <c r="M49" i="38"/>
  <c r="M46" i="38"/>
  <c r="M46" i="61"/>
  <c r="M51" i="61"/>
  <c r="M136" i="61" s="1"/>
  <c r="M143" i="61" s="1"/>
  <c r="M51" i="38"/>
  <c r="K153" i="61"/>
  <c r="K160" i="61" s="1"/>
  <c r="K119" i="61"/>
  <c r="K126" i="61" s="1"/>
  <c r="J116" i="61"/>
  <c r="J128" i="61" s="1"/>
  <c r="J123" i="61"/>
  <c r="J127" i="61" s="1"/>
  <c r="J125" i="61"/>
  <c r="M45" i="61"/>
  <c r="M45" i="38"/>
  <c r="I112" i="61"/>
  <c r="I167" i="61" s="1"/>
  <c r="H176" i="57"/>
  <c r="H176" i="55"/>
  <c r="I176" i="51"/>
  <c r="F48" i="38"/>
  <c r="F50" i="38" s="1"/>
  <c r="L75" i="55"/>
  <c r="L78" i="55" s="1"/>
  <c r="L165" i="55" s="1"/>
  <c r="L174" i="55" s="1"/>
  <c r="L180" i="55" s="1"/>
  <c r="K171" i="57"/>
  <c r="K183" i="57"/>
  <c r="K189" i="57" s="1"/>
  <c r="J112" i="51"/>
  <c r="J167" i="51" s="1"/>
  <c r="J185" i="51" s="1"/>
  <c r="L75" i="53"/>
  <c r="L78" i="53" s="1"/>
  <c r="L165" i="53" s="1"/>
  <c r="L171" i="53" s="1"/>
  <c r="L75" i="58"/>
  <c r="L78" i="58" s="1"/>
  <c r="L165" i="58" s="1"/>
  <c r="L183" i="58" s="1"/>
  <c r="L189" i="58" s="1"/>
  <c r="L75" i="52"/>
  <c r="L78" i="52" s="1"/>
  <c r="L165" i="52" s="1"/>
  <c r="K153" i="53"/>
  <c r="K160" i="53" s="1"/>
  <c r="K119" i="53"/>
  <c r="K126" i="53" s="1"/>
  <c r="M46" i="58"/>
  <c r="M46" i="57"/>
  <c r="M46" i="55"/>
  <c r="M46" i="53"/>
  <c r="M46" i="52"/>
  <c r="M46" i="51"/>
  <c r="M51" i="58"/>
  <c r="M136" i="58" s="1"/>
  <c r="M143" i="58" s="1"/>
  <c r="M51" i="55"/>
  <c r="M136" i="55" s="1"/>
  <c r="M143" i="55" s="1"/>
  <c r="M51" i="57"/>
  <c r="M136" i="57" s="1"/>
  <c r="M143" i="57" s="1"/>
  <c r="M51" i="52"/>
  <c r="M136" i="52" s="1"/>
  <c r="M143" i="52" s="1"/>
  <c r="M51" i="53"/>
  <c r="M136" i="53" s="1"/>
  <c r="M143" i="53" s="1"/>
  <c r="M51" i="51"/>
  <c r="M136" i="51" s="1"/>
  <c r="M143" i="51" s="1"/>
  <c r="M41" i="58"/>
  <c r="M67" i="58" s="1"/>
  <c r="M41" i="57"/>
  <c r="M67" i="57" s="1"/>
  <c r="M41" i="55"/>
  <c r="M67" i="55" s="1"/>
  <c r="M41" i="52"/>
  <c r="M67" i="52" s="1"/>
  <c r="M41" i="53"/>
  <c r="M67" i="53" s="1"/>
  <c r="M41" i="51"/>
  <c r="M67" i="51" s="1"/>
  <c r="N44" i="58"/>
  <c r="N102" i="58" s="1"/>
  <c r="N109" i="58" s="1"/>
  <c r="N44" i="57"/>
  <c r="N102" i="57" s="1"/>
  <c r="N109" i="57" s="1"/>
  <c r="N44" i="55"/>
  <c r="N102" i="55" s="1"/>
  <c r="N109" i="55" s="1"/>
  <c r="N44" i="53"/>
  <c r="N102" i="53" s="1"/>
  <c r="N109" i="53" s="1"/>
  <c r="N44" i="52"/>
  <c r="N102" i="52" s="1"/>
  <c r="N109" i="52" s="1"/>
  <c r="N44" i="51"/>
  <c r="N102" i="51" s="1"/>
  <c r="N109" i="51" s="1"/>
  <c r="L75" i="57"/>
  <c r="L78" i="57" s="1"/>
  <c r="L165" i="57" s="1"/>
  <c r="K171" i="55"/>
  <c r="K174" i="55"/>
  <c r="K180" i="55" s="1"/>
  <c r="K183" i="55"/>
  <c r="K189" i="55" s="1"/>
  <c r="M43" i="58"/>
  <c r="M85" i="58" s="1"/>
  <c r="M92" i="58" s="1"/>
  <c r="M95" i="58" s="1"/>
  <c r="M166" i="58" s="1"/>
  <c r="AO107" i="2" s="1"/>
  <c r="M43" i="57"/>
  <c r="M85" i="57" s="1"/>
  <c r="M92" i="57" s="1"/>
  <c r="M95" i="57" s="1"/>
  <c r="M166" i="57" s="1"/>
  <c r="M43" i="55"/>
  <c r="M85" i="55" s="1"/>
  <c r="M92" i="55" s="1"/>
  <c r="M95" i="55" s="1"/>
  <c r="M166" i="55" s="1"/>
  <c r="AO129" i="2" s="1"/>
  <c r="M43" i="53"/>
  <c r="M85" i="53" s="1"/>
  <c r="M92" i="53" s="1"/>
  <c r="M95" i="53" s="1"/>
  <c r="M166" i="53" s="1"/>
  <c r="AO74" i="2" s="1"/>
  <c r="M43" i="52"/>
  <c r="M85" i="52" s="1"/>
  <c r="M92" i="52" s="1"/>
  <c r="M95" i="52" s="1"/>
  <c r="M166" i="52" s="1"/>
  <c r="AO85" i="2" s="1"/>
  <c r="M43" i="51"/>
  <c r="M85" i="51" s="1"/>
  <c r="M92" i="51" s="1"/>
  <c r="M95" i="51" s="1"/>
  <c r="M166" i="51" s="1"/>
  <c r="AO63" i="2" s="1"/>
  <c r="M52" i="58"/>
  <c r="M52" i="57"/>
  <c r="M52" i="53"/>
  <c r="M52" i="55"/>
  <c r="M52" i="52"/>
  <c r="M52" i="51"/>
  <c r="K119" i="51"/>
  <c r="K126" i="51" s="1"/>
  <c r="K153" i="51"/>
  <c r="K160" i="51" s="1"/>
  <c r="I129" i="57"/>
  <c r="I169" i="57" s="1"/>
  <c r="I184" i="57" s="1"/>
  <c r="K183" i="53"/>
  <c r="K189" i="53" s="1"/>
  <c r="K171" i="53"/>
  <c r="K174" i="53"/>
  <c r="K180" i="53" s="1"/>
  <c r="K153" i="52"/>
  <c r="K160" i="52" s="1"/>
  <c r="K119" i="52"/>
  <c r="K126" i="52" s="1"/>
  <c r="M53" i="58"/>
  <c r="M53" i="57"/>
  <c r="M53" i="53"/>
  <c r="M53" i="55"/>
  <c r="M53" i="52"/>
  <c r="M53" i="51"/>
  <c r="K153" i="58"/>
  <c r="K160" i="58" s="1"/>
  <c r="K119" i="58"/>
  <c r="K126" i="58" s="1"/>
  <c r="K119" i="57"/>
  <c r="K126" i="57" s="1"/>
  <c r="K153" i="57"/>
  <c r="K160" i="57" s="1"/>
  <c r="I129" i="55"/>
  <c r="I169" i="55" s="1"/>
  <c r="I184" i="55" s="1"/>
  <c r="K171" i="52"/>
  <c r="K174" i="52"/>
  <c r="K180" i="52" s="1"/>
  <c r="K183" i="52"/>
  <c r="K189" i="52" s="1"/>
  <c r="K153" i="55"/>
  <c r="K160" i="55" s="1"/>
  <c r="K119" i="55"/>
  <c r="K126" i="55" s="1"/>
  <c r="K171" i="58"/>
  <c r="K174" i="58"/>
  <c r="K180" i="58" s="1"/>
  <c r="K183" i="58"/>
  <c r="K189" i="58" s="1"/>
  <c r="M42" i="58"/>
  <c r="M68" i="58" s="1"/>
  <c r="M42" i="57"/>
  <c r="M68" i="57" s="1"/>
  <c r="M42" i="55"/>
  <c r="M68" i="55" s="1"/>
  <c r="M42" i="52"/>
  <c r="M68" i="52" s="1"/>
  <c r="M42" i="53"/>
  <c r="M68" i="53" s="1"/>
  <c r="M42" i="51"/>
  <c r="M68" i="51" s="1"/>
  <c r="K171" i="51"/>
  <c r="K174" i="51"/>
  <c r="K180" i="51" s="1"/>
  <c r="K183" i="51"/>
  <c r="K189" i="51" s="1"/>
  <c r="L75" i="51"/>
  <c r="L78" i="51" s="1"/>
  <c r="L165" i="51" s="1"/>
  <c r="M45" i="58"/>
  <c r="M45" i="57"/>
  <c r="M45" i="55"/>
  <c r="M45" i="53"/>
  <c r="M45" i="52"/>
  <c r="M45" i="51"/>
  <c r="K116" i="51"/>
  <c r="K128" i="51" s="1"/>
  <c r="K118" i="51"/>
  <c r="K125" i="51" s="1"/>
  <c r="K123" i="51"/>
  <c r="K127" i="51" s="1"/>
  <c r="L132" i="38"/>
  <c r="L135" i="38" s="1"/>
  <c r="L132" i="55"/>
  <c r="L135" i="55" s="1"/>
  <c r="K98" i="57"/>
  <c r="K115" i="38"/>
  <c r="K115" i="55"/>
  <c r="K150" i="53"/>
  <c r="K162" i="53" s="1"/>
  <c r="K159" i="53"/>
  <c r="K157" i="53"/>
  <c r="I112" i="55"/>
  <c r="I167" i="55" s="1"/>
  <c r="J116" i="57"/>
  <c r="J128" i="57" s="1"/>
  <c r="J118" i="57"/>
  <c r="J125" i="57" s="1"/>
  <c r="J123" i="57"/>
  <c r="J127" i="57" s="1"/>
  <c r="K99" i="52"/>
  <c r="K111" i="52" s="1"/>
  <c r="K101" i="52"/>
  <c r="K108" i="52" s="1"/>
  <c r="K106" i="52"/>
  <c r="K110" i="52" s="1"/>
  <c r="K116" i="53"/>
  <c r="K128" i="53" s="1"/>
  <c r="K118" i="53"/>
  <c r="K125" i="53" s="1"/>
  <c r="K123" i="53"/>
  <c r="K127" i="53" s="1"/>
  <c r="K150" i="52"/>
  <c r="K162" i="52" s="1"/>
  <c r="K157" i="52"/>
  <c r="K159" i="52"/>
  <c r="J112" i="52"/>
  <c r="J167" i="52" s="1"/>
  <c r="J99" i="55"/>
  <c r="J111" i="55" s="1"/>
  <c r="J106" i="55"/>
  <c r="J110" i="55" s="1"/>
  <c r="J101" i="55"/>
  <c r="J108" i="55" s="1"/>
  <c r="J112" i="53"/>
  <c r="J167" i="53" s="1"/>
  <c r="K99" i="53"/>
  <c r="K111" i="53" s="1"/>
  <c r="K106" i="53"/>
  <c r="K110" i="53" s="1"/>
  <c r="K101" i="53"/>
  <c r="K108" i="53" s="1"/>
  <c r="K149" i="57"/>
  <c r="K152" i="57" s="1"/>
  <c r="J150" i="55"/>
  <c r="J162" i="55" s="1"/>
  <c r="J157" i="55"/>
  <c r="J159" i="55"/>
  <c r="J150" i="57"/>
  <c r="J162" i="57" s="1"/>
  <c r="J157" i="57"/>
  <c r="J159" i="57"/>
  <c r="I112" i="57"/>
  <c r="I167" i="57" s="1"/>
  <c r="J129" i="51"/>
  <c r="J169" i="51" s="1"/>
  <c r="I185" i="52"/>
  <c r="I176" i="52"/>
  <c r="I175" i="51"/>
  <c r="I184" i="51"/>
  <c r="I175" i="53"/>
  <c r="I184" i="53"/>
  <c r="J116" i="55"/>
  <c r="J128" i="55" s="1"/>
  <c r="J123" i="55"/>
  <c r="J127" i="55" s="1"/>
  <c r="J118" i="55"/>
  <c r="J125" i="55" s="1"/>
  <c r="K116" i="57"/>
  <c r="K128" i="57" s="1"/>
  <c r="K118" i="57"/>
  <c r="K125" i="57" s="1"/>
  <c r="K123" i="57"/>
  <c r="K127" i="57" s="1"/>
  <c r="K98" i="38"/>
  <c r="K98" i="55"/>
  <c r="J129" i="53"/>
  <c r="J169" i="53" s="1"/>
  <c r="J129" i="52"/>
  <c r="J169" i="52" s="1"/>
  <c r="K99" i="51"/>
  <c r="K111" i="51" s="1"/>
  <c r="K106" i="51"/>
  <c r="K110" i="51" s="1"/>
  <c r="K101" i="51"/>
  <c r="K108" i="51" s="1"/>
  <c r="K116" i="52"/>
  <c r="K128" i="52" s="1"/>
  <c r="K118" i="52"/>
  <c r="K125" i="52" s="1"/>
  <c r="K123" i="52"/>
  <c r="K127" i="52" s="1"/>
  <c r="I185" i="53"/>
  <c r="I176" i="53"/>
  <c r="J99" i="57"/>
  <c r="J111" i="57" s="1"/>
  <c r="J101" i="57"/>
  <c r="J108" i="57" s="1"/>
  <c r="J106" i="57"/>
  <c r="J110" i="57" s="1"/>
  <c r="J157" i="51"/>
  <c r="J162" i="51"/>
  <c r="J159" i="51"/>
  <c r="K140" i="51"/>
  <c r="N156" i="45"/>
  <c r="N55" i="63" s="1"/>
  <c r="N69" i="63" s="1"/>
  <c r="N76" i="63" s="1"/>
  <c r="N155" i="45"/>
  <c r="N55" i="62" s="1"/>
  <c r="N69" i="62" s="1"/>
  <c r="N76" i="62" s="1"/>
  <c r="L122" i="45"/>
  <c r="L115" i="53" s="1"/>
  <c r="L125" i="45"/>
  <c r="L118" i="45"/>
  <c r="L115" i="63" s="1"/>
  <c r="L118" i="63" s="1"/>
  <c r="L119" i="45"/>
  <c r="N154" i="45"/>
  <c r="M55" i="38"/>
  <c r="L117" i="45"/>
  <c r="L115" i="51" s="1"/>
  <c r="L120" i="45"/>
  <c r="L121" i="45"/>
  <c r="L115" i="62" s="1"/>
  <c r="L118" i="62" s="1"/>
  <c r="L123" i="45"/>
  <c r="L115" i="52" s="1"/>
  <c r="M116" i="45"/>
  <c r="M120" i="45" s="1"/>
  <c r="M140" i="45"/>
  <c r="N40" i="45"/>
  <c r="N39" i="45"/>
  <c r="N38" i="45"/>
  <c r="N29" i="45"/>
  <c r="N28" i="45"/>
  <c r="N27" i="45"/>
  <c r="M104" i="45"/>
  <c r="M103" i="45"/>
  <c r="L105" i="45"/>
  <c r="L98" i="51" s="1"/>
  <c r="L107" i="45"/>
  <c r="L110" i="45"/>
  <c r="L98" i="53" s="1"/>
  <c r="L106" i="45"/>
  <c r="L98" i="63" s="1"/>
  <c r="L109" i="45"/>
  <c r="L98" i="62" s="1"/>
  <c r="L108" i="45"/>
  <c r="L111" i="45"/>
  <c r="L98" i="52" s="1"/>
  <c r="L112" i="45"/>
  <c r="L98" i="67" s="1"/>
  <c r="L113" i="45"/>
  <c r="N21" i="45"/>
  <c r="N20" i="45"/>
  <c r="M53" i="38"/>
  <c r="N4" i="45"/>
  <c r="N23" i="45"/>
  <c r="N5" i="45"/>
  <c r="O6" i="45"/>
  <c r="N19" i="45"/>
  <c r="M52" i="38"/>
  <c r="N14" i="45"/>
  <c r="N12" i="45"/>
  <c r="AI41" i="2" l="1"/>
  <c r="G41" i="79" s="1"/>
  <c r="S41" i="79" s="1"/>
  <c r="S46" i="79" s="1"/>
  <c r="AI140" i="2"/>
  <c r="G149" i="79" s="1"/>
  <c r="S149" i="79" s="1"/>
  <c r="S154" i="79" s="1"/>
  <c r="AI8" i="2"/>
  <c r="G5" i="79" s="1"/>
  <c r="S5" i="79" s="1"/>
  <c r="S10" i="79" s="1"/>
  <c r="AI151" i="2"/>
  <c r="G161" i="79" s="1"/>
  <c r="S161" i="79" s="1"/>
  <c r="S166" i="79" s="1"/>
  <c r="AI30" i="2"/>
  <c r="G29" i="79" s="1"/>
  <c r="S29" i="79" s="1"/>
  <c r="S34" i="79" s="1"/>
  <c r="D51" i="74"/>
  <c r="D52" i="74"/>
  <c r="CJ11" i="46"/>
  <c r="C239" i="45"/>
  <c r="C255" i="45" s="1"/>
  <c r="CJ18" i="46"/>
  <c r="C246" i="45"/>
  <c r="C262" i="45" s="1"/>
  <c r="CJ12" i="46"/>
  <c r="C240" i="45"/>
  <c r="C256" i="45" s="1"/>
  <c r="CJ10" i="46"/>
  <c r="C238" i="45"/>
  <c r="C254" i="45" s="1"/>
  <c r="D201" i="45"/>
  <c r="D217" i="45" s="1"/>
  <c r="D205" i="45"/>
  <c r="D221" i="45" s="1"/>
  <c r="D207" i="45"/>
  <c r="D223" i="45" s="1"/>
  <c r="C58" i="66"/>
  <c r="C137" i="66" s="1"/>
  <c r="C144" i="66" s="1"/>
  <c r="C146" i="66" s="1"/>
  <c r="C168" i="66" s="1"/>
  <c r="D213" i="45"/>
  <c r="D229" i="45" s="1"/>
  <c r="C57" i="53"/>
  <c r="C137" i="53" s="1"/>
  <c r="C144" i="53" s="1"/>
  <c r="C146" i="53" s="1"/>
  <c r="C168" i="53" s="1"/>
  <c r="D212" i="45"/>
  <c r="D228" i="45" s="1"/>
  <c r="D211" i="45"/>
  <c r="D227" i="45" s="1"/>
  <c r="C58" i="58"/>
  <c r="C137" i="58" s="1"/>
  <c r="C144" i="58" s="1"/>
  <c r="C146" i="58" s="1"/>
  <c r="C168" i="58" s="1"/>
  <c r="D210" i="45"/>
  <c r="D226" i="45" s="1"/>
  <c r="D209" i="45"/>
  <c r="D225" i="45" s="1"/>
  <c r="D203" i="45"/>
  <c r="D219" i="45" s="1"/>
  <c r="D202" i="45"/>
  <c r="D218" i="45" s="1"/>
  <c r="C58" i="67"/>
  <c r="C137" i="67" s="1"/>
  <c r="C144" i="67" s="1"/>
  <c r="C146" i="67" s="1"/>
  <c r="C168" i="67" s="1"/>
  <c r="D214" i="45"/>
  <c r="D230" i="45" s="1"/>
  <c r="C57" i="51"/>
  <c r="C137" i="51" s="1"/>
  <c r="C144" i="51" s="1"/>
  <c r="C146" i="51" s="1"/>
  <c r="C168" i="51" s="1"/>
  <c r="D206" i="45"/>
  <c r="D222" i="45" s="1"/>
  <c r="D204" i="45"/>
  <c r="D220" i="45" s="1"/>
  <c r="D208" i="45"/>
  <c r="D224" i="45" s="1"/>
  <c r="M48" i="62"/>
  <c r="M50" i="62" s="1"/>
  <c r="M119" i="62" s="1"/>
  <c r="M126" i="62" s="1"/>
  <c r="M48" i="65"/>
  <c r="M50" i="65" s="1"/>
  <c r="M119" i="65" s="1"/>
  <c r="M126" i="65" s="1"/>
  <c r="CD16" i="46"/>
  <c r="CG16" i="46" s="1"/>
  <c r="CI16" i="46" s="1"/>
  <c r="CD9" i="46"/>
  <c r="CG9" i="46" s="1"/>
  <c r="CI9" i="46" s="1"/>
  <c r="CD17" i="46"/>
  <c r="CG17" i="46" s="1"/>
  <c r="CI17" i="46" s="1"/>
  <c r="CG6" i="46"/>
  <c r="CI6" i="46" s="1"/>
  <c r="CD13" i="46"/>
  <c r="CG13" i="46" s="1"/>
  <c r="CI13" i="46" s="1"/>
  <c r="CG7" i="46"/>
  <c r="CI7" i="46" s="1"/>
  <c r="CD8" i="46"/>
  <c r="CG8" i="46" s="1"/>
  <c r="CI8" i="46" s="1"/>
  <c r="CG5" i="46"/>
  <c r="CI5" i="46" s="1"/>
  <c r="CD15" i="46"/>
  <c r="CG15" i="46" s="1"/>
  <c r="CI15" i="46" s="1"/>
  <c r="CG14" i="46"/>
  <c r="CI14" i="46" s="1"/>
  <c r="L174" i="64"/>
  <c r="L180" i="64" s="1"/>
  <c r="L183" i="64"/>
  <c r="L189" i="64" s="1"/>
  <c r="M78" i="64"/>
  <c r="M165" i="64" s="1"/>
  <c r="L119" i="65"/>
  <c r="L126" i="65" s="1"/>
  <c r="M48" i="57"/>
  <c r="M50" i="57" s="1"/>
  <c r="M48" i="55"/>
  <c r="M50" i="55" s="1"/>
  <c r="L153" i="67"/>
  <c r="L160" i="67" s="1"/>
  <c r="I184" i="58"/>
  <c r="M48" i="58"/>
  <c r="M50" i="58" s="1"/>
  <c r="M48" i="67"/>
  <c r="M50" i="67" s="1"/>
  <c r="M153" i="67" s="1"/>
  <c r="M160" i="67" s="1"/>
  <c r="M171" i="63"/>
  <c r="M183" i="63"/>
  <c r="M189" i="63" s="1"/>
  <c r="M174" i="63"/>
  <c r="M180" i="63" s="1"/>
  <c r="N53" i="67"/>
  <c r="N53" i="66"/>
  <c r="N53" i="65"/>
  <c r="N53" i="64"/>
  <c r="N53" i="63"/>
  <c r="M174" i="66"/>
  <c r="M180" i="66" s="1"/>
  <c r="M171" i="66"/>
  <c r="M183" i="66"/>
  <c r="M189" i="66" s="1"/>
  <c r="N46" i="62"/>
  <c r="N46" i="67"/>
  <c r="N46" i="66"/>
  <c r="N46" i="65"/>
  <c r="N46" i="64"/>
  <c r="N46" i="63"/>
  <c r="M174" i="65"/>
  <c r="M180" i="65" s="1"/>
  <c r="M171" i="65"/>
  <c r="M183" i="65"/>
  <c r="M189" i="65" s="1"/>
  <c r="M174" i="67"/>
  <c r="M180" i="67" s="1"/>
  <c r="M171" i="67"/>
  <c r="M183" i="67"/>
  <c r="M189" i="67" s="1"/>
  <c r="M48" i="63"/>
  <c r="M50" i="63" s="1"/>
  <c r="M153" i="63" s="1"/>
  <c r="M160" i="63" s="1"/>
  <c r="N42" i="62"/>
  <c r="N68" i="62" s="1"/>
  <c r="N75" i="62" s="1"/>
  <c r="N78" i="62" s="1"/>
  <c r="N165" i="62" s="1"/>
  <c r="N42" i="66"/>
  <c r="N68" i="66" s="1"/>
  <c r="N75" i="66" s="1"/>
  <c r="N78" i="66" s="1"/>
  <c r="N165" i="66" s="1"/>
  <c r="N42" i="67"/>
  <c r="N68" i="67" s="1"/>
  <c r="N75" i="67" s="1"/>
  <c r="N78" i="67" s="1"/>
  <c r="N165" i="67" s="1"/>
  <c r="N42" i="65"/>
  <c r="N68" i="65" s="1"/>
  <c r="N75" i="65" s="1"/>
  <c r="N78" i="65" s="1"/>
  <c r="N165" i="65" s="1"/>
  <c r="N42" i="63"/>
  <c r="N68" i="63" s="1"/>
  <c r="N75" i="63" s="1"/>
  <c r="N78" i="63" s="1"/>
  <c r="N165" i="63" s="1"/>
  <c r="N183" i="63" s="1"/>
  <c r="N189" i="63" s="1"/>
  <c r="N42" i="64"/>
  <c r="N68" i="64" s="1"/>
  <c r="N75" i="64" s="1"/>
  <c r="N49" i="57"/>
  <c r="N49" i="55"/>
  <c r="N49" i="52"/>
  <c r="N49" i="67"/>
  <c r="N49" i="65"/>
  <c r="N49" i="51"/>
  <c r="N49" i="58"/>
  <c r="N49" i="53"/>
  <c r="N49" i="66"/>
  <c r="N52" i="67"/>
  <c r="N52" i="66"/>
  <c r="N52" i="65"/>
  <c r="N52" i="63"/>
  <c r="N52" i="64"/>
  <c r="M48" i="51"/>
  <c r="M50" i="51" s="1"/>
  <c r="O44" i="62"/>
  <c r="O102" i="62" s="1"/>
  <c r="O109" i="62" s="1"/>
  <c r="O44" i="65"/>
  <c r="O102" i="65" s="1"/>
  <c r="O109" i="65" s="1"/>
  <c r="O44" i="67"/>
  <c r="O102" i="67" s="1"/>
  <c r="O109" i="67" s="1"/>
  <c r="O44" i="66"/>
  <c r="O102" i="66" s="1"/>
  <c r="O109" i="66" s="1"/>
  <c r="O44" i="63"/>
  <c r="O102" i="63" s="1"/>
  <c r="O109" i="63" s="1"/>
  <c r="O44" i="64"/>
  <c r="O102" i="64" s="1"/>
  <c r="O109" i="64" s="1"/>
  <c r="M48" i="52"/>
  <c r="M50" i="52" s="1"/>
  <c r="M48" i="64"/>
  <c r="M50" i="64" s="1"/>
  <c r="N43" i="62"/>
  <c r="N85" i="62" s="1"/>
  <c r="N92" i="62" s="1"/>
  <c r="N95" i="62" s="1"/>
  <c r="N166" i="62" s="1"/>
  <c r="N43" i="66"/>
  <c r="N85" i="66" s="1"/>
  <c r="N92" i="66" s="1"/>
  <c r="N95" i="66" s="1"/>
  <c r="N166" i="66" s="1"/>
  <c r="N43" i="67"/>
  <c r="N85" i="67" s="1"/>
  <c r="N92" i="67" s="1"/>
  <c r="N95" i="67" s="1"/>
  <c r="N166" i="67" s="1"/>
  <c r="N43" i="65"/>
  <c r="N85" i="65" s="1"/>
  <c r="N92" i="65" s="1"/>
  <c r="N95" i="65" s="1"/>
  <c r="N166" i="65" s="1"/>
  <c r="N43" i="64"/>
  <c r="N85" i="64" s="1"/>
  <c r="N92" i="64" s="1"/>
  <c r="N95" i="64" s="1"/>
  <c r="N166" i="64" s="1"/>
  <c r="N43" i="63"/>
  <c r="N85" i="63" s="1"/>
  <c r="N92" i="63" s="1"/>
  <c r="N95" i="63" s="1"/>
  <c r="N166" i="63" s="1"/>
  <c r="M48" i="53"/>
  <c r="M50" i="53" s="1"/>
  <c r="M48" i="66"/>
  <c r="M50" i="66" s="1"/>
  <c r="M153" i="66" s="1"/>
  <c r="M160" i="66" s="1"/>
  <c r="J129" i="58"/>
  <c r="J169" i="58" s="1"/>
  <c r="J184" i="58" s="1"/>
  <c r="K118" i="58"/>
  <c r="K125" i="58" s="1"/>
  <c r="I185" i="58"/>
  <c r="K123" i="58"/>
  <c r="K127" i="58" s="1"/>
  <c r="L153" i="66"/>
  <c r="L160" i="66" s="1"/>
  <c r="L119" i="64"/>
  <c r="L126" i="64" s="1"/>
  <c r="L153" i="63"/>
  <c r="L160" i="63" s="1"/>
  <c r="K106" i="58"/>
  <c r="K110" i="58" s="1"/>
  <c r="N45" i="62"/>
  <c r="N45" i="65"/>
  <c r="N45" i="67"/>
  <c r="N45" i="66"/>
  <c r="N45" i="64"/>
  <c r="N45" i="63"/>
  <c r="K157" i="58"/>
  <c r="K150" i="58"/>
  <c r="K162" i="58" s="1"/>
  <c r="L140" i="53"/>
  <c r="N51" i="62"/>
  <c r="N136" i="62" s="1"/>
  <c r="N143" i="62" s="1"/>
  <c r="N51" i="66"/>
  <c r="N136" i="66" s="1"/>
  <c r="N143" i="66" s="1"/>
  <c r="N51" i="65"/>
  <c r="N136" i="65" s="1"/>
  <c r="N143" i="65" s="1"/>
  <c r="N51" i="67"/>
  <c r="N136" i="67" s="1"/>
  <c r="N143" i="67" s="1"/>
  <c r="N51" i="64"/>
  <c r="N136" i="64" s="1"/>
  <c r="N143" i="64" s="1"/>
  <c r="N51" i="63"/>
  <c r="N136" i="63" s="1"/>
  <c r="N143" i="63" s="1"/>
  <c r="J112" i="58"/>
  <c r="J167" i="58" s="1"/>
  <c r="J185" i="58" s="1"/>
  <c r="M149" i="45"/>
  <c r="M149" i="67" s="1"/>
  <c r="AS152" i="2" s="1"/>
  <c r="AM152" i="2" s="1"/>
  <c r="K162" i="79" s="1"/>
  <c r="W162" i="79" s="1"/>
  <c r="M147" i="45"/>
  <c r="M149" i="53" s="1"/>
  <c r="M146" i="45"/>
  <c r="M149" i="62" s="1"/>
  <c r="AS31" i="2" s="1"/>
  <c r="AM31" i="2" s="1"/>
  <c r="K30" i="79" s="1"/>
  <c r="W30" i="79" s="1"/>
  <c r="M150" i="45"/>
  <c r="M144" i="45"/>
  <c r="M143" i="45"/>
  <c r="M148" i="45"/>
  <c r="M149" i="52" s="1"/>
  <c r="M142" i="45"/>
  <c r="M149" i="51" s="1"/>
  <c r="AS64" i="2" s="1"/>
  <c r="AM64" i="2" s="1"/>
  <c r="K66" i="79" s="1"/>
  <c r="W66" i="79" s="1"/>
  <c r="M145" i="45"/>
  <c r="L140" i="61"/>
  <c r="L133" i="53"/>
  <c r="L145" i="53" s="1"/>
  <c r="L135" i="61"/>
  <c r="L142" i="61" s="1"/>
  <c r="L119" i="62"/>
  <c r="L126" i="62" s="1"/>
  <c r="N49" i="62"/>
  <c r="N49" i="64"/>
  <c r="N49" i="63"/>
  <c r="L135" i="52"/>
  <c r="L142" i="52" s="1"/>
  <c r="L140" i="52"/>
  <c r="L133" i="52"/>
  <c r="L145" i="52" s="1"/>
  <c r="L140" i="67"/>
  <c r="L133" i="67"/>
  <c r="L145" i="67" s="1"/>
  <c r="L135" i="67"/>
  <c r="L142" i="67" s="1"/>
  <c r="L133" i="51"/>
  <c r="L145" i="51" s="1"/>
  <c r="L135" i="51"/>
  <c r="L142" i="51" s="1"/>
  <c r="M132" i="53"/>
  <c r="AQ75" i="2" s="1"/>
  <c r="AK75" i="2" s="1"/>
  <c r="I78" i="79" s="1"/>
  <c r="U78" i="79" s="1"/>
  <c r="M132" i="52"/>
  <c r="AQ86" i="2" s="1"/>
  <c r="AK86" i="2" s="1"/>
  <c r="I90" i="79" s="1"/>
  <c r="U90" i="79" s="1"/>
  <c r="M132" i="67"/>
  <c r="AQ152" i="2" s="1"/>
  <c r="AK152" i="2" s="1"/>
  <c r="I162" i="79" s="1"/>
  <c r="U162" i="79" s="1"/>
  <c r="M132" i="51"/>
  <c r="AQ64" i="2" s="1"/>
  <c r="AK64" i="2" s="1"/>
  <c r="I66" i="79" s="1"/>
  <c r="U66" i="79" s="1"/>
  <c r="L133" i="58"/>
  <c r="L145" i="58" s="1"/>
  <c r="I176" i="66"/>
  <c r="K152" i="61"/>
  <c r="K159" i="61" s="1"/>
  <c r="K157" i="61"/>
  <c r="L140" i="58"/>
  <c r="K150" i="55"/>
  <c r="K162" i="55" s="1"/>
  <c r="K157" i="55"/>
  <c r="J175" i="67"/>
  <c r="K112" i="67"/>
  <c r="K167" i="67" s="1"/>
  <c r="K176" i="67" s="1"/>
  <c r="I176" i="65"/>
  <c r="O157" i="45"/>
  <c r="N55" i="64"/>
  <c r="N69" i="64" s="1"/>
  <c r="N76" i="64" s="1"/>
  <c r="L149" i="58"/>
  <c r="L152" i="58" s="1"/>
  <c r="L159" i="58" s="1"/>
  <c r="L149" i="65"/>
  <c r="K150" i="64"/>
  <c r="K162" i="64" s="1"/>
  <c r="K152" i="64"/>
  <c r="K159" i="64" s="1"/>
  <c r="K157" i="64"/>
  <c r="L149" i="61"/>
  <c r="L150" i="61" s="1"/>
  <c r="L162" i="61" s="1"/>
  <c r="L149" i="63"/>
  <c r="L123" i="63"/>
  <c r="L127" i="63" s="1"/>
  <c r="L125" i="63"/>
  <c r="L116" i="63"/>
  <c r="L128" i="63" s="1"/>
  <c r="K150" i="66"/>
  <c r="K162" i="66" s="1"/>
  <c r="K157" i="66"/>
  <c r="K152" i="66"/>
  <c r="K159" i="66" s="1"/>
  <c r="L133" i="65"/>
  <c r="L145" i="65" s="1"/>
  <c r="L140" i="65"/>
  <c r="L135" i="65"/>
  <c r="L142" i="65" s="1"/>
  <c r="L115" i="58"/>
  <c r="L116" i="58" s="1"/>
  <c r="L128" i="58" s="1"/>
  <c r="L115" i="65"/>
  <c r="I184" i="65"/>
  <c r="I175" i="65"/>
  <c r="L133" i="64"/>
  <c r="L145" i="64" s="1"/>
  <c r="L140" i="64"/>
  <c r="L135" i="64"/>
  <c r="L142" i="64" s="1"/>
  <c r="L133" i="63"/>
  <c r="L145" i="63" s="1"/>
  <c r="L140" i="63"/>
  <c r="L135" i="63"/>
  <c r="L142" i="63" s="1"/>
  <c r="K116" i="64"/>
  <c r="K128" i="64" s="1"/>
  <c r="K123" i="64"/>
  <c r="K127" i="64" s="1"/>
  <c r="K125" i="64"/>
  <c r="J129" i="66"/>
  <c r="J169" i="66" s="1"/>
  <c r="M132" i="61"/>
  <c r="M132" i="63"/>
  <c r="AQ42" i="2" s="1"/>
  <c r="AK42" i="2" s="1"/>
  <c r="I42" i="79" s="1"/>
  <c r="U42" i="79" s="1"/>
  <c r="L133" i="66"/>
  <c r="L145" i="66" s="1"/>
  <c r="L140" i="66"/>
  <c r="L135" i="66"/>
  <c r="L142" i="66" s="1"/>
  <c r="K116" i="65"/>
  <c r="K128" i="65" s="1"/>
  <c r="K123" i="65"/>
  <c r="K127" i="65" s="1"/>
  <c r="K118" i="65"/>
  <c r="K125" i="65" s="1"/>
  <c r="K116" i="66"/>
  <c r="K128" i="66" s="1"/>
  <c r="K123" i="66"/>
  <c r="K127" i="66" s="1"/>
  <c r="K125" i="66"/>
  <c r="L149" i="66"/>
  <c r="L149" i="64"/>
  <c r="K150" i="65"/>
  <c r="K162" i="65" s="1"/>
  <c r="K152" i="65"/>
  <c r="K159" i="65" s="1"/>
  <c r="K157" i="65"/>
  <c r="L129" i="67"/>
  <c r="L169" i="67" s="1"/>
  <c r="L150" i="67"/>
  <c r="L162" i="67" s="1"/>
  <c r="L152" i="67"/>
  <c r="L159" i="67" s="1"/>
  <c r="L157" i="67"/>
  <c r="K129" i="63"/>
  <c r="K169" i="63" s="1"/>
  <c r="M132" i="58"/>
  <c r="M132" i="65"/>
  <c r="AQ119" i="2" s="1"/>
  <c r="AK119" i="2" s="1"/>
  <c r="I126" i="79" s="1"/>
  <c r="U126" i="79" s="1"/>
  <c r="I184" i="64"/>
  <c r="I175" i="64"/>
  <c r="J129" i="64"/>
  <c r="J169" i="64" s="1"/>
  <c r="K150" i="63"/>
  <c r="K162" i="63" s="1"/>
  <c r="K157" i="63"/>
  <c r="K152" i="63"/>
  <c r="K159" i="63" s="1"/>
  <c r="J184" i="63"/>
  <c r="J175" i="63"/>
  <c r="L115" i="66"/>
  <c r="L118" i="66" s="1"/>
  <c r="L115" i="64"/>
  <c r="L118" i="64" s="1"/>
  <c r="M132" i="55"/>
  <c r="M132" i="66"/>
  <c r="AQ141" i="2" s="1"/>
  <c r="AK141" i="2" s="1"/>
  <c r="I150" i="79" s="1"/>
  <c r="U150" i="79" s="1"/>
  <c r="M132" i="64"/>
  <c r="AQ53" i="2" s="1"/>
  <c r="AK53" i="2" s="1"/>
  <c r="I54" i="79" s="1"/>
  <c r="U54" i="79" s="1"/>
  <c r="I184" i="66"/>
  <c r="I175" i="66"/>
  <c r="K129" i="67"/>
  <c r="K169" i="67" s="1"/>
  <c r="J129" i="65"/>
  <c r="J169" i="65" s="1"/>
  <c r="L98" i="66"/>
  <c r="L98" i="64"/>
  <c r="K99" i="65"/>
  <c r="K111" i="65" s="1"/>
  <c r="K106" i="65"/>
  <c r="K110" i="65" s="1"/>
  <c r="K101" i="65"/>
  <c r="K108" i="65" s="1"/>
  <c r="K101" i="58"/>
  <c r="K108" i="58" s="1"/>
  <c r="I176" i="64"/>
  <c r="I185" i="64"/>
  <c r="J176" i="63"/>
  <c r="J185" i="63"/>
  <c r="L98" i="58"/>
  <c r="L101" i="58" s="1"/>
  <c r="L108" i="58" s="1"/>
  <c r="L98" i="65"/>
  <c r="L99" i="67"/>
  <c r="L111" i="67" s="1"/>
  <c r="L106" i="67"/>
  <c r="L110" i="67" s="1"/>
  <c r="L101" i="67"/>
  <c r="L108" i="67" s="1"/>
  <c r="K112" i="63"/>
  <c r="K167" i="63" s="1"/>
  <c r="J112" i="66"/>
  <c r="J167" i="66" s="1"/>
  <c r="K99" i="64"/>
  <c r="K111" i="64" s="1"/>
  <c r="K106" i="64"/>
  <c r="K110" i="64" s="1"/>
  <c r="K101" i="64"/>
  <c r="K108" i="64" s="1"/>
  <c r="J185" i="67"/>
  <c r="J176" i="67"/>
  <c r="K99" i="66"/>
  <c r="K111" i="66" s="1"/>
  <c r="K101" i="66"/>
  <c r="K108" i="66" s="1"/>
  <c r="K106" i="66"/>
  <c r="K110" i="66" s="1"/>
  <c r="L101" i="63"/>
  <c r="L108" i="63" s="1"/>
  <c r="L99" i="63"/>
  <c r="L111" i="63" s="1"/>
  <c r="L106" i="63"/>
  <c r="L110" i="63" s="1"/>
  <c r="J112" i="64"/>
  <c r="J167" i="64" s="1"/>
  <c r="J112" i="65"/>
  <c r="J167" i="65" s="1"/>
  <c r="L150" i="51"/>
  <c r="L152" i="51"/>
  <c r="L119" i="61"/>
  <c r="L126" i="61" s="1"/>
  <c r="J176" i="51"/>
  <c r="M48" i="61"/>
  <c r="M50" i="61" s="1"/>
  <c r="M153" i="61" s="1"/>
  <c r="M160" i="61" s="1"/>
  <c r="M132" i="62"/>
  <c r="AQ31" i="2" s="1"/>
  <c r="AK31" i="2" s="1"/>
  <c r="I30" i="79" s="1"/>
  <c r="U30" i="79" s="1"/>
  <c r="M132" i="57"/>
  <c r="L140" i="57"/>
  <c r="L133" i="57"/>
  <c r="L145" i="57" s="1"/>
  <c r="L142" i="57"/>
  <c r="K112" i="62"/>
  <c r="K167" i="62" s="1"/>
  <c r="K175" i="62"/>
  <c r="K184" i="62"/>
  <c r="L116" i="62"/>
  <c r="L128" i="62" s="1"/>
  <c r="L125" i="62"/>
  <c r="L123" i="62"/>
  <c r="L127" i="62" s="1"/>
  <c r="L133" i="62"/>
  <c r="L145" i="62" s="1"/>
  <c r="L140" i="62"/>
  <c r="L135" i="62"/>
  <c r="L142" i="62" s="1"/>
  <c r="N52" i="61"/>
  <c r="N62" i="45"/>
  <c r="N63" i="45"/>
  <c r="N64" i="45"/>
  <c r="N59" i="45"/>
  <c r="N65" i="45"/>
  <c r="N60" i="45"/>
  <c r="N66" i="45"/>
  <c r="N61" i="45"/>
  <c r="N67" i="45"/>
  <c r="N49" i="45"/>
  <c r="N130" i="45" s="1"/>
  <c r="N52" i="45"/>
  <c r="N133" i="45" s="1"/>
  <c r="N55" i="45"/>
  <c r="N51" i="45"/>
  <c r="N132" i="45" s="1"/>
  <c r="N50" i="45"/>
  <c r="N131" i="45" s="1"/>
  <c r="N53" i="45"/>
  <c r="N56" i="45"/>
  <c r="N137" i="45" s="1"/>
  <c r="N48" i="45"/>
  <c r="N54" i="45"/>
  <c r="N52" i="62"/>
  <c r="J185" i="62"/>
  <c r="J176" i="62"/>
  <c r="L99" i="62"/>
  <c r="L111" i="62" s="1"/>
  <c r="L106" i="62"/>
  <c r="L110" i="62" s="1"/>
  <c r="L101" i="62"/>
  <c r="L108" i="62" s="1"/>
  <c r="J184" i="62"/>
  <c r="J175" i="62"/>
  <c r="N53" i="61"/>
  <c r="N73" i="45"/>
  <c r="N78" i="45"/>
  <c r="N71" i="45"/>
  <c r="N76" i="45"/>
  <c r="N74" i="45"/>
  <c r="N72" i="45"/>
  <c r="N77" i="45"/>
  <c r="N70" i="45"/>
  <c r="N75" i="45"/>
  <c r="N53" i="62"/>
  <c r="M171" i="62"/>
  <c r="M174" i="62"/>
  <c r="M180" i="62" s="1"/>
  <c r="M183" i="62"/>
  <c r="M189" i="62" s="1"/>
  <c r="L150" i="62"/>
  <c r="L162" i="62" s="1"/>
  <c r="L152" i="62"/>
  <c r="L159" i="62" s="1"/>
  <c r="L157" i="62"/>
  <c r="J129" i="61"/>
  <c r="J169" i="61" s="1"/>
  <c r="J175" i="61" s="1"/>
  <c r="N43" i="61"/>
  <c r="N85" i="61" s="1"/>
  <c r="N92" i="61" s="1"/>
  <c r="N95" i="61" s="1"/>
  <c r="N166" i="61" s="1"/>
  <c r="N43" i="38"/>
  <c r="O44" i="38"/>
  <c r="O44" i="61"/>
  <c r="O102" i="61" s="1"/>
  <c r="O109" i="61" s="1"/>
  <c r="L98" i="61"/>
  <c r="I176" i="61"/>
  <c r="I185" i="61"/>
  <c r="N42" i="61"/>
  <c r="N68" i="61" s="1"/>
  <c r="N75" i="61" s="1"/>
  <c r="N78" i="61" s="1"/>
  <c r="N165" i="61" s="1"/>
  <c r="N42" i="38"/>
  <c r="N51" i="61"/>
  <c r="N136" i="61" s="1"/>
  <c r="N143" i="61" s="1"/>
  <c r="N51" i="38"/>
  <c r="K116" i="61"/>
  <c r="K128" i="61" s="1"/>
  <c r="K125" i="61"/>
  <c r="K123" i="61"/>
  <c r="K127" i="61" s="1"/>
  <c r="L115" i="61"/>
  <c r="L118" i="61" s="1"/>
  <c r="M171" i="61"/>
  <c r="M174" i="61"/>
  <c r="M180" i="61" s="1"/>
  <c r="M183" i="61"/>
  <c r="M189" i="61" s="1"/>
  <c r="K99" i="61"/>
  <c r="K111" i="61" s="1"/>
  <c r="K106" i="61"/>
  <c r="K110" i="61" s="1"/>
  <c r="K101" i="61"/>
  <c r="K108" i="61" s="1"/>
  <c r="J112" i="61"/>
  <c r="J167" i="61" s="1"/>
  <c r="N46" i="38"/>
  <c r="N46" i="61"/>
  <c r="N45" i="61"/>
  <c r="N45" i="38"/>
  <c r="N49" i="61"/>
  <c r="N49" i="38"/>
  <c r="L183" i="53"/>
  <c r="L189" i="53" s="1"/>
  <c r="L174" i="53"/>
  <c r="L180" i="53" s="1"/>
  <c r="G48" i="38"/>
  <c r="G50" i="38" s="1"/>
  <c r="L183" i="55"/>
  <c r="L189" i="55" s="1"/>
  <c r="I175" i="57"/>
  <c r="L171" i="55"/>
  <c r="L171" i="58"/>
  <c r="J129" i="57"/>
  <c r="J169" i="57" s="1"/>
  <c r="J175" i="57" s="1"/>
  <c r="M75" i="55"/>
  <c r="M78" i="55" s="1"/>
  <c r="M165" i="55" s="1"/>
  <c r="M75" i="57"/>
  <c r="M78" i="57" s="1"/>
  <c r="M165" i="57" s="1"/>
  <c r="M174" i="57" s="1"/>
  <c r="M180" i="57" s="1"/>
  <c r="K129" i="51"/>
  <c r="K169" i="51" s="1"/>
  <c r="K184" i="51" s="1"/>
  <c r="L174" i="58"/>
  <c r="L180" i="58" s="1"/>
  <c r="L171" i="57"/>
  <c r="L174" i="57"/>
  <c r="L180" i="57" s="1"/>
  <c r="L183" i="57"/>
  <c r="L189" i="57" s="1"/>
  <c r="L119" i="57"/>
  <c r="L126" i="57" s="1"/>
  <c r="L153" i="57"/>
  <c r="L160" i="57" s="1"/>
  <c r="O44" i="58"/>
  <c r="O102" i="58" s="1"/>
  <c r="O109" i="58" s="1"/>
  <c r="O44" i="57"/>
  <c r="O102" i="57" s="1"/>
  <c r="O109" i="57" s="1"/>
  <c r="O44" i="55"/>
  <c r="O102" i="55" s="1"/>
  <c r="O109" i="55" s="1"/>
  <c r="O44" i="53"/>
  <c r="O102" i="53" s="1"/>
  <c r="O109" i="53" s="1"/>
  <c r="O44" i="52"/>
  <c r="O102" i="52" s="1"/>
  <c r="O109" i="52" s="1"/>
  <c r="O44" i="51"/>
  <c r="O102" i="51" s="1"/>
  <c r="O109" i="51" s="1"/>
  <c r="L153" i="52"/>
  <c r="L160" i="52" s="1"/>
  <c r="L119" i="52"/>
  <c r="L126" i="52" s="1"/>
  <c r="M75" i="58"/>
  <c r="M78" i="58" s="1"/>
  <c r="M165" i="58" s="1"/>
  <c r="AN107" i="2" s="1"/>
  <c r="AH107" i="2" s="1"/>
  <c r="F113" i="79" s="1"/>
  <c r="R113" i="79" s="1"/>
  <c r="R118" i="79" s="1"/>
  <c r="N52" i="58"/>
  <c r="N52" i="55"/>
  <c r="N52" i="57"/>
  <c r="N52" i="53"/>
  <c r="N52" i="52"/>
  <c r="N52" i="51"/>
  <c r="K112" i="53"/>
  <c r="K167" i="53" s="1"/>
  <c r="K185" i="53" s="1"/>
  <c r="N53" i="58"/>
  <c r="N53" i="55"/>
  <c r="N53" i="57"/>
  <c r="N53" i="53"/>
  <c r="N53" i="52"/>
  <c r="N53" i="51"/>
  <c r="N43" i="58"/>
  <c r="N85" i="58" s="1"/>
  <c r="N92" i="58" s="1"/>
  <c r="N95" i="58" s="1"/>
  <c r="N166" i="58" s="1"/>
  <c r="N43" i="57"/>
  <c r="N85" i="57" s="1"/>
  <c r="N92" i="57" s="1"/>
  <c r="N95" i="57" s="1"/>
  <c r="N166" i="57" s="1"/>
  <c r="N43" i="55"/>
  <c r="N85" i="55" s="1"/>
  <c r="N92" i="55" s="1"/>
  <c r="N95" i="55" s="1"/>
  <c r="N166" i="55" s="1"/>
  <c r="N43" i="53"/>
  <c r="N85" i="53" s="1"/>
  <c r="N92" i="53" s="1"/>
  <c r="N95" i="53" s="1"/>
  <c r="N166" i="53" s="1"/>
  <c r="N43" i="52"/>
  <c r="N85" i="52" s="1"/>
  <c r="N92" i="52" s="1"/>
  <c r="N95" i="52" s="1"/>
  <c r="N166" i="52" s="1"/>
  <c r="N43" i="51"/>
  <c r="N85" i="51" s="1"/>
  <c r="N92" i="51" s="1"/>
  <c r="N95" i="51" s="1"/>
  <c r="N166" i="51" s="1"/>
  <c r="N45" i="58"/>
  <c r="N45" i="57"/>
  <c r="N45" i="53"/>
  <c r="N45" i="52"/>
  <c r="N45" i="55"/>
  <c r="N45" i="51"/>
  <c r="K129" i="57"/>
  <c r="K169" i="57" s="1"/>
  <c r="L171" i="52"/>
  <c r="L174" i="52"/>
  <c r="L180" i="52" s="1"/>
  <c r="L183" i="52"/>
  <c r="L189" i="52" s="1"/>
  <c r="N46" i="58"/>
  <c r="N46" i="57"/>
  <c r="N46" i="55"/>
  <c r="N46" i="53"/>
  <c r="N46" i="52"/>
  <c r="N46" i="51"/>
  <c r="L153" i="51"/>
  <c r="L160" i="51" s="1"/>
  <c r="L119" i="51"/>
  <c r="L126" i="51" s="1"/>
  <c r="L153" i="55"/>
  <c r="L160" i="55" s="1"/>
  <c r="L119" i="55"/>
  <c r="L126" i="55" s="1"/>
  <c r="N41" i="57"/>
  <c r="N67" i="57" s="1"/>
  <c r="N41" i="58"/>
  <c r="N67" i="58" s="1"/>
  <c r="N41" i="55"/>
  <c r="N67" i="55" s="1"/>
  <c r="N41" i="52"/>
  <c r="N67" i="52" s="1"/>
  <c r="N41" i="53"/>
  <c r="N67" i="53" s="1"/>
  <c r="N41" i="51"/>
  <c r="N67" i="51" s="1"/>
  <c r="M75" i="51"/>
  <c r="M78" i="51" s="1"/>
  <c r="M165" i="51" s="1"/>
  <c r="AN63" i="2" s="1"/>
  <c r="AH63" i="2" s="1"/>
  <c r="F65" i="79" s="1"/>
  <c r="R65" i="79" s="1"/>
  <c r="R70" i="79" s="1"/>
  <c r="N42" i="58"/>
  <c r="N68" i="58" s="1"/>
  <c r="N42" i="57"/>
  <c r="N68" i="57" s="1"/>
  <c r="N42" i="55"/>
  <c r="N68" i="55" s="1"/>
  <c r="N42" i="52"/>
  <c r="N68" i="52" s="1"/>
  <c r="N42" i="53"/>
  <c r="N68" i="53" s="1"/>
  <c r="N42" i="51"/>
  <c r="N68" i="51" s="1"/>
  <c r="J129" i="55"/>
  <c r="J169" i="55" s="1"/>
  <c r="J184" i="55" s="1"/>
  <c r="I175" i="55"/>
  <c r="M132" i="38"/>
  <c r="L174" i="51"/>
  <c r="L180" i="51" s="1"/>
  <c r="L183" i="51"/>
  <c r="L189" i="51" s="1"/>
  <c r="L171" i="51"/>
  <c r="L153" i="58"/>
  <c r="L160" i="58" s="1"/>
  <c r="L119" i="58"/>
  <c r="L126" i="58" s="1"/>
  <c r="M75" i="53"/>
  <c r="M78" i="53" s="1"/>
  <c r="M165" i="53" s="1"/>
  <c r="AN74" i="2" s="1"/>
  <c r="AH74" i="2" s="1"/>
  <c r="F77" i="79" s="1"/>
  <c r="R77" i="79" s="1"/>
  <c r="R82" i="79" s="1"/>
  <c r="L153" i="53"/>
  <c r="L160" i="53" s="1"/>
  <c r="L119" i="53"/>
  <c r="L126" i="53" s="1"/>
  <c r="N51" i="58"/>
  <c r="N136" i="58" s="1"/>
  <c r="N143" i="58" s="1"/>
  <c r="N51" i="55"/>
  <c r="N136" i="55" s="1"/>
  <c r="N143" i="55" s="1"/>
  <c r="N51" i="57"/>
  <c r="N136" i="57" s="1"/>
  <c r="N143" i="57" s="1"/>
  <c r="N51" i="53"/>
  <c r="N136" i="53" s="1"/>
  <c r="N143" i="53" s="1"/>
  <c r="N51" i="52"/>
  <c r="N136" i="52" s="1"/>
  <c r="N143" i="52" s="1"/>
  <c r="N51" i="51"/>
  <c r="N136" i="51" s="1"/>
  <c r="N143" i="51" s="1"/>
  <c r="M75" i="52"/>
  <c r="M78" i="52" s="1"/>
  <c r="M165" i="52" s="1"/>
  <c r="AN85" i="2" s="1"/>
  <c r="AH85" i="2" s="1"/>
  <c r="F89" i="79" s="1"/>
  <c r="R89" i="79" s="1"/>
  <c r="R94" i="79" s="1"/>
  <c r="K116" i="55"/>
  <c r="K128" i="55" s="1"/>
  <c r="K123" i="55"/>
  <c r="K127" i="55" s="1"/>
  <c r="K118" i="55"/>
  <c r="K125" i="55" s="1"/>
  <c r="K129" i="52"/>
  <c r="K169" i="52" s="1"/>
  <c r="L116" i="53"/>
  <c r="L128" i="53" s="1"/>
  <c r="L123" i="53"/>
  <c r="L127" i="53" s="1"/>
  <c r="L118" i="53"/>
  <c r="L125" i="53" s="1"/>
  <c r="I185" i="57"/>
  <c r="I176" i="57"/>
  <c r="J176" i="52"/>
  <c r="J185" i="52"/>
  <c r="K112" i="52"/>
  <c r="K167" i="52" s="1"/>
  <c r="L116" i="51"/>
  <c r="L128" i="51" s="1"/>
  <c r="L118" i="51"/>
  <c r="L125" i="51" s="1"/>
  <c r="L123" i="51"/>
  <c r="L127" i="51" s="1"/>
  <c r="L99" i="52"/>
  <c r="L111" i="52" s="1"/>
  <c r="L101" i="52"/>
  <c r="L108" i="52" s="1"/>
  <c r="L106" i="52"/>
  <c r="L110" i="52" s="1"/>
  <c r="K112" i="51"/>
  <c r="K167" i="51" s="1"/>
  <c r="K99" i="57"/>
  <c r="K111" i="57" s="1"/>
  <c r="K101" i="57"/>
  <c r="K108" i="57" s="1"/>
  <c r="K106" i="57"/>
  <c r="K110" i="57" s="1"/>
  <c r="L149" i="38"/>
  <c r="L152" i="38" s="1"/>
  <c r="L149" i="55"/>
  <c r="L152" i="55" s="1"/>
  <c r="J175" i="52"/>
  <c r="J184" i="52"/>
  <c r="K129" i="53"/>
  <c r="K169" i="53" s="1"/>
  <c r="L133" i="55"/>
  <c r="L145" i="55" s="1"/>
  <c r="L142" i="55"/>
  <c r="L140" i="55"/>
  <c r="J184" i="53"/>
  <c r="J175" i="53"/>
  <c r="L150" i="52"/>
  <c r="L162" i="52" s="1"/>
  <c r="L157" i="52"/>
  <c r="L159" i="52"/>
  <c r="K150" i="57"/>
  <c r="K162" i="57" s="1"/>
  <c r="K157" i="57"/>
  <c r="K159" i="57"/>
  <c r="I176" i="55"/>
  <c r="I185" i="55"/>
  <c r="L115" i="38"/>
  <c r="L115" i="55"/>
  <c r="L99" i="53"/>
  <c r="L111" i="53" s="1"/>
  <c r="L106" i="53"/>
  <c r="L110" i="53" s="1"/>
  <c r="L101" i="53"/>
  <c r="L108" i="53" s="1"/>
  <c r="L149" i="57"/>
  <c r="L152" i="57" s="1"/>
  <c r="J112" i="57"/>
  <c r="J167" i="57" s="1"/>
  <c r="L98" i="57"/>
  <c r="L98" i="38"/>
  <c r="L98" i="55"/>
  <c r="J185" i="53"/>
  <c r="J176" i="53"/>
  <c r="L150" i="53"/>
  <c r="L162" i="53" s="1"/>
  <c r="L159" i="53"/>
  <c r="L157" i="53"/>
  <c r="L99" i="51"/>
  <c r="L111" i="51" s="1"/>
  <c r="L106" i="51"/>
  <c r="L110" i="51" s="1"/>
  <c r="L101" i="51"/>
  <c r="L108" i="51" s="1"/>
  <c r="L116" i="52"/>
  <c r="L128" i="52" s="1"/>
  <c r="L123" i="52"/>
  <c r="L127" i="52" s="1"/>
  <c r="L118" i="52"/>
  <c r="L125" i="52" s="1"/>
  <c r="L115" i="57"/>
  <c r="K99" i="55"/>
  <c r="K111" i="55" s="1"/>
  <c r="K106" i="55"/>
  <c r="K110" i="55" s="1"/>
  <c r="K101" i="55"/>
  <c r="K108" i="55" s="1"/>
  <c r="J175" i="51"/>
  <c r="J184" i="51"/>
  <c r="J112" i="55"/>
  <c r="J167" i="55" s="1"/>
  <c r="K157" i="51"/>
  <c r="K162" i="51"/>
  <c r="K159" i="51"/>
  <c r="L140" i="51"/>
  <c r="O156" i="45"/>
  <c r="O55" i="63" s="1"/>
  <c r="O69" i="63" s="1"/>
  <c r="O76" i="63" s="1"/>
  <c r="O155" i="45"/>
  <c r="O55" i="62" s="1"/>
  <c r="O69" i="62" s="1"/>
  <c r="O76" i="62" s="1"/>
  <c r="O154" i="45"/>
  <c r="N55" i="38"/>
  <c r="M118" i="45"/>
  <c r="M115" i="63" s="1"/>
  <c r="M119" i="45"/>
  <c r="M121" i="45"/>
  <c r="M115" i="62" s="1"/>
  <c r="M125" i="45"/>
  <c r="M124" i="45"/>
  <c r="M115" i="67" s="1"/>
  <c r="M122" i="45"/>
  <c r="M115" i="53" s="1"/>
  <c r="AR75" i="2" s="1"/>
  <c r="AL75" i="2" s="1"/>
  <c r="J78" i="79" s="1"/>
  <c r="V78" i="79" s="1"/>
  <c r="M123" i="45"/>
  <c r="M115" i="52" s="1"/>
  <c r="AR86" i="2" s="1"/>
  <c r="AL86" i="2" s="1"/>
  <c r="J90" i="79" s="1"/>
  <c r="V90" i="79" s="1"/>
  <c r="M117" i="45"/>
  <c r="M115" i="51" s="1"/>
  <c r="AR64" i="2" s="1"/>
  <c r="AL64" i="2" s="1"/>
  <c r="J66" i="79" s="1"/>
  <c r="V66" i="79" s="1"/>
  <c r="N116" i="45"/>
  <c r="N125" i="45" s="1"/>
  <c r="N140" i="45"/>
  <c r="O38" i="45"/>
  <c r="O39" i="45"/>
  <c r="O40" i="45"/>
  <c r="O27" i="45"/>
  <c r="O28" i="45"/>
  <c r="O29" i="45"/>
  <c r="N103" i="45"/>
  <c r="N104" i="45"/>
  <c r="M106" i="45"/>
  <c r="M98" i="63" s="1"/>
  <c r="AP42" i="2" s="1"/>
  <c r="AJ42" i="2" s="1"/>
  <c r="H42" i="79" s="1"/>
  <c r="T42" i="79" s="1"/>
  <c r="M109" i="45"/>
  <c r="M98" i="62" s="1"/>
  <c r="AP31" i="2" s="1"/>
  <c r="AJ31" i="2" s="1"/>
  <c r="H30" i="79" s="1"/>
  <c r="T30" i="79" s="1"/>
  <c r="M108" i="45"/>
  <c r="M105" i="45"/>
  <c r="M98" i="51" s="1"/>
  <c r="AP64" i="2" s="1"/>
  <c r="AJ64" i="2" s="1"/>
  <c r="H66" i="79" s="1"/>
  <c r="T66" i="79" s="1"/>
  <c r="M107" i="45"/>
  <c r="M111" i="45"/>
  <c r="M98" i="52" s="1"/>
  <c r="AP86" i="2" s="1"/>
  <c r="AJ86" i="2" s="1"/>
  <c r="H90" i="79" s="1"/>
  <c r="T90" i="79" s="1"/>
  <c r="M110" i="45"/>
  <c r="M98" i="53" s="1"/>
  <c r="AP75" i="2" s="1"/>
  <c r="AJ75" i="2" s="1"/>
  <c r="H78" i="79" s="1"/>
  <c r="T78" i="79" s="1"/>
  <c r="M113" i="45"/>
  <c r="M112" i="45"/>
  <c r="M98" i="67" s="1"/>
  <c r="AP152" i="2" s="1"/>
  <c r="AJ152" i="2" s="1"/>
  <c r="H162" i="79" s="1"/>
  <c r="T162" i="79" s="1"/>
  <c r="O12" i="45"/>
  <c r="O23" i="45"/>
  <c r="O14" i="45"/>
  <c r="O4" i="45"/>
  <c r="O19" i="45"/>
  <c r="N52" i="38"/>
  <c r="P6" i="45"/>
  <c r="O20" i="45"/>
  <c r="N53" i="38"/>
  <c r="O5" i="45"/>
  <c r="O21" i="45"/>
  <c r="AB49" i="75" l="1"/>
  <c r="AC49" i="75" s="1"/>
  <c r="AB34" i="75"/>
  <c r="AC34" i="75" s="1"/>
  <c r="C177" i="66"/>
  <c r="AB57" i="75"/>
  <c r="AC57" i="75" s="1"/>
  <c r="M118" i="63"/>
  <c r="AR42" i="2"/>
  <c r="AL42" i="2" s="1"/>
  <c r="J42" i="79" s="1"/>
  <c r="V42" i="79" s="1"/>
  <c r="M118" i="62"/>
  <c r="AR31" i="2"/>
  <c r="AL31" i="2" s="1"/>
  <c r="J30" i="79" s="1"/>
  <c r="V30" i="79" s="1"/>
  <c r="M135" i="55"/>
  <c r="M142" i="55" s="1"/>
  <c r="AQ130" i="2"/>
  <c r="AK130" i="2" s="1"/>
  <c r="I138" i="79" s="1"/>
  <c r="U138" i="79" s="1"/>
  <c r="M135" i="58"/>
  <c r="M142" i="58" s="1"/>
  <c r="AQ108" i="2"/>
  <c r="AK108" i="2" s="1"/>
  <c r="I114" i="79" s="1"/>
  <c r="U114" i="79" s="1"/>
  <c r="AI85" i="2"/>
  <c r="G89" i="79" s="1"/>
  <c r="S89" i="79" s="1"/>
  <c r="S94" i="79" s="1"/>
  <c r="AI63" i="2"/>
  <c r="G65" i="79" s="1"/>
  <c r="S65" i="79" s="1"/>
  <c r="S70" i="79" s="1"/>
  <c r="M152" i="52"/>
  <c r="M159" i="52" s="1"/>
  <c r="AS86" i="2"/>
  <c r="AM86" i="2" s="1"/>
  <c r="K90" i="79" s="1"/>
  <c r="W90" i="79" s="1"/>
  <c r="M171" i="64"/>
  <c r="AN52" i="2"/>
  <c r="M135" i="57"/>
  <c r="AQ97" i="2"/>
  <c r="AK97" i="2" s="1"/>
  <c r="I102" i="79" s="1"/>
  <c r="U102" i="79" s="1"/>
  <c r="M152" i="53"/>
  <c r="AS75" i="2"/>
  <c r="AM75" i="2" s="1"/>
  <c r="K78" i="79" s="1"/>
  <c r="W78" i="79" s="1"/>
  <c r="M135" i="38"/>
  <c r="AQ20" i="2"/>
  <c r="AK20" i="2" s="1"/>
  <c r="I18" i="79" s="1"/>
  <c r="U18" i="79" s="1"/>
  <c r="M183" i="55"/>
  <c r="M189" i="55" s="1"/>
  <c r="AN129" i="2"/>
  <c r="AI107" i="2"/>
  <c r="G113" i="79" s="1"/>
  <c r="S113" i="79" s="1"/>
  <c r="S118" i="79" s="1"/>
  <c r="M118" i="67"/>
  <c r="M125" i="67" s="1"/>
  <c r="AR152" i="2"/>
  <c r="AL152" i="2" s="1"/>
  <c r="J162" i="79" s="1"/>
  <c r="V162" i="79" s="1"/>
  <c r="M140" i="61"/>
  <c r="AQ9" i="2"/>
  <c r="AK9" i="2" s="1"/>
  <c r="I6" i="79" s="1"/>
  <c r="U6" i="79" s="1"/>
  <c r="AI74" i="2"/>
  <c r="G77" i="79" s="1"/>
  <c r="S77" i="79" s="1"/>
  <c r="S82" i="79" s="1"/>
  <c r="D92" i="74"/>
  <c r="AB41" i="75"/>
  <c r="AC41" i="75" s="1"/>
  <c r="C193" i="67"/>
  <c r="D108" i="74"/>
  <c r="C187" i="58"/>
  <c r="D100" i="74"/>
  <c r="C186" i="51"/>
  <c r="D84" i="74"/>
  <c r="M153" i="65"/>
  <c r="M160" i="65" s="1"/>
  <c r="N48" i="67"/>
  <c r="N50" i="67" s="1"/>
  <c r="N153" i="67" s="1"/>
  <c r="N160" i="67" s="1"/>
  <c r="D246" i="45"/>
  <c r="D262" i="45" s="1"/>
  <c r="C59" i="67"/>
  <c r="C154" i="67" s="1"/>
  <c r="C161" i="67" s="1"/>
  <c r="C163" i="67" s="1"/>
  <c r="C170" i="67" s="1"/>
  <c r="E214" i="45"/>
  <c r="E230" i="45" s="1"/>
  <c r="E213" i="45"/>
  <c r="E229" i="45" s="1"/>
  <c r="E212" i="45"/>
  <c r="E228" i="45" s="1"/>
  <c r="E211" i="45"/>
  <c r="E227" i="45" s="1"/>
  <c r="E210" i="45"/>
  <c r="E226" i="45" s="1"/>
  <c r="E209" i="45"/>
  <c r="E225" i="45" s="1"/>
  <c r="D58" i="57"/>
  <c r="D137" i="57" s="1"/>
  <c r="D144" i="57" s="1"/>
  <c r="D146" i="57" s="1"/>
  <c r="D168" i="57" s="1"/>
  <c r="D187" i="57" s="1"/>
  <c r="D240" i="45"/>
  <c r="D256" i="45" s="1"/>
  <c r="C59" i="52"/>
  <c r="C154" i="52" s="1"/>
  <c r="C161" i="52" s="1"/>
  <c r="C163" i="52" s="1"/>
  <c r="C170" i="52" s="1"/>
  <c r="E208" i="45"/>
  <c r="E224" i="45" s="1"/>
  <c r="D239" i="45"/>
  <c r="D255" i="45" s="1"/>
  <c r="C58" i="53"/>
  <c r="C154" i="53" s="1"/>
  <c r="C161" i="53" s="1"/>
  <c r="C163" i="53" s="1"/>
  <c r="C170" i="53" s="1"/>
  <c r="E207" i="45"/>
  <c r="E223" i="45" s="1"/>
  <c r="D57" i="53"/>
  <c r="D137" i="53" s="1"/>
  <c r="D144" i="53" s="1"/>
  <c r="D146" i="53" s="1"/>
  <c r="D168" i="53" s="1"/>
  <c r="D238" i="45"/>
  <c r="D254" i="45" s="1"/>
  <c r="C58" i="51"/>
  <c r="C154" i="51" s="1"/>
  <c r="C161" i="51" s="1"/>
  <c r="C163" i="51" s="1"/>
  <c r="C170" i="51" s="1"/>
  <c r="E206" i="45"/>
  <c r="E222" i="45" s="1"/>
  <c r="E205" i="45"/>
  <c r="E221" i="45" s="1"/>
  <c r="D57" i="64"/>
  <c r="D137" i="64" s="1"/>
  <c r="D144" i="64" s="1"/>
  <c r="D146" i="64" s="1"/>
  <c r="D168" i="64" s="1"/>
  <c r="D177" i="64" s="1"/>
  <c r="E204" i="45"/>
  <c r="E220" i="45" s="1"/>
  <c r="D57" i="63"/>
  <c r="D137" i="63" s="1"/>
  <c r="D144" i="63" s="1"/>
  <c r="D146" i="63" s="1"/>
  <c r="D168" i="63" s="1"/>
  <c r="D177" i="63" s="1"/>
  <c r="E203" i="45"/>
  <c r="E219" i="45" s="1"/>
  <c r="D57" i="62"/>
  <c r="D137" i="62" s="1"/>
  <c r="D144" i="62" s="1"/>
  <c r="D146" i="62" s="1"/>
  <c r="D168" i="62" s="1"/>
  <c r="D193" i="62" s="1"/>
  <c r="E202" i="45"/>
  <c r="E218" i="45" s="1"/>
  <c r="D57" i="38"/>
  <c r="E201" i="45"/>
  <c r="E217" i="45" s="1"/>
  <c r="C192" i="51"/>
  <c r="CJ8" i="46"/>
  <c r="C236" i="45"/>
  <c r="C252" i="45" s="1"/>
  <c r="CJ16" i="46"/>
  <c r="C244" i="45"/>
  <c r="C260" i="45" s="1"/>
  <c r="C193" i="58"/>
  <c r="CJ9" i="46"/>
  <c r="C237" i="45"/>
  <c r="C253" i="45" s="1"/>
  <c r="C192" i="58"/>
  <c r="CJ13" i="46"/>
  <c r="C241" i="45"/>
  <c r="C257" i="45" s="1"/>
  <c r="D54" i="74" s="1"/>
  <c r="C187" i="67"/>
  <c r="CJ14" i="46"/>
  <c r="C242" i="45"/>
  <c r="C258" i="45" s="1"/>
  <c r="CJ15" i="46"/>
  <c r="C243" i="45"/>
  <c r="C259" i="45" s="1"/>
  <c r="CJ17" i="46"/>
  <c r="C245" i="45"/>
  <c r="C261" i="45" s="1"/>
  <c r="C57" i="64"/>
  <c r="C137" i="64" s="1"/>
  <c r="C144" i="64" s="1"/>
  <c r="C146" i="64" s="1"/>
  <c r="C168" i="64" s="1"/>
  <c r="CJ7" i="46"/>
  <c r="C235" i="45"/>
  <c r="CJ6" i="46"/>
  <c r="C234" i="45"/>
  <c r="C250" i="45" s="1"/>
  <c r="C57" i="62"/>
  <c r="C137" i="62" s="1"/>
  <c r="C144" i="62" s="1"/>
  <c r="C146" i="62" s="1"/>
  <c r="C168" i="62" s="1"/>
  <c r="CJ5" i="46"/>
  <c r="C233" i="45"/>
  <c r="C249" i="45" s="1"/>
  <c r="C192" i="67"/>
  <c r="D58" i="67"/>
  <c r="D137" i="67" s="1"/>
  <c r="D144" i="67" s="1"/>
  <c r="D146" i="67" s="1"/>
  <c r="D168" i="67" s="1"/>
  <c r="D58" i="66"/>
  <c r="D137" i="66" s="1"/>
  <c r="D144" i="66" s="1"/>
  <c r="D146" i="66" s="1"/>
  <c r="D168" i="66" s="1"/>
  <c r="N48" i="66"/>
  <c r="N50" i="66" s="1"/>
  <c r="N119" i="66" s="1"/>
  <c r="N126" i="66" s="1"/>
  <c r="C177" i="51"/>
  <c r="C58" i="57"/>
  <c r="C137" i="57" s="1"/>
  <c r="C144" i="57" s="1"/>
  <c r="C146" i="57" s="1"/>
  <c r="C168" i="57" s="1"/>
  <c r="C193" i="53"/>
  <c r="C187" i="53"/>
  <c r="C177" i="53"/>
  <c r="C192" i="53"/>
  <c r="C177" i="58"/>
  <c r="C192" i="66"/>
  <c r="C187" i="66"/>
  <c r="C193" i="66"/>
  <c r="N48" i="62"/>
  <c r="N50" i="62" s="1"/>
  <c r="N119" i="62" s="1"/>
  <c r="N126" i="62" s="1"/>
  <c r="C193" i="51"/>
  <c r="C177" i="67"/>
  <c r="C57" i="38"/>
  <c r="D58" i="55"/>
  <c r="D137" i="55" s="1"/>
  <c r="D144" i="55" s="1"/>
  <c r="D146" i="55" s="1"/>
  <c r="D168" i="55" s="1"/>
  <c r="C57" i="63"/>
  <c r="C137" i="63" s="1"/>
  <c r="C144" i="63" s="1"/>
  <c r="C146" i="63" s="1"/>
  <c r="C168" i="63" s="1"/>
  <c r="C58" i="55"/>
  <c r="C137" i="55" s="1"/>
  <c r="C144" i="55" s="1"/>
  <c r="C146" i="55" s="1"/>
  <c r="C168" i="55" s="1"/>
  <c r="D58" i="52"/>
  <c r="D137" i="52" s="1"/>
  <c r="D144" i="52" s="1"/>
  <c r="D146" i="52" s="1"/>
  <c r="D168" i="52" s="1"/>
  <c r="C58" i="52"/>
  <c r="C137" i="52" s="1"/>
  <c r="C144" i="52" s="1"/>
  <c r="C146" i="52" s="1"/>
  <c r="C168" i="52" s="1"/>
  <c r="C58" i="65"/>
  <c r="C137" i="65" s="1"/>
  <c r="C144" i="65" s="1"/>
  <c r="C146" i="65" s="1"/>
  <c r="C57" i="61"/>
  <c r="C137" i="61" s="1"/>
  <c r="C144" i="61" s="1"/>
  <c r="C146" i="61" s="1"/>
  <c r="C168" i="61" s="1"/>
  <c r="N48" i="51"/>
  <c r="N50" i="51" s="1"/>
  <c r="N48" i="57"/>
  <c r="N50" i="57" s="1"/>
  <c r="N48" i="58"/>
  <c r="N50" i="58" s="1"/>
  <c r="M174" i="64"/>
  <c r="M180" i="64" s="1"/>
  <c r="M183" i="64"/>
  <c r="M189" i="64" s="1"/>
  <c r="M119" i="66"/>
  <c r="M126" i="66" s="1"/>
  <c r="N48" i="63"/>
  <c r="N50" i="63" s="1"/>
  <c r="N153" i="63" s="1"/>
  <c r="N160" i="63" s="1"/>
  <c r="K129" i="58"/>
  <c r="K169" i="58" s="1"/>
  <c r="K175" i="58" s="1"/>
  <c r="N48" i="64"/>
  <c r="N50" i="64" s="1"/>
  <c r="N119" i="64" s="1"/>
  <c r="N126" i="64" s="1"/>
  <c r="N78" i="64"/>
  <c r="N165" i="64" s="1"/>
  <c r="N171" i="64" s="1"/>
  <c r="M153" i="64"/>
  <c r="M160" i="64" s="1"/>
  <c r="M119" i="64"/>
  <c r="M126" i="64" s="1"/>
  <c r="O43" i="62"/>
  <c r="O85" i="62" s="1"/>
  <c r="O92" i="62" s="1"/>
  <c r="O95" i="62" s="1"/>
  <c r="O166" i="62" s="1"/>
  <c r="O43" i="67"/>
  <c r="O85" i="67" s="1"/>
  <c r="O92" i="67" s="1"/>
  <c r="O95" i="67" s="1"/>
  <c r="O166" i="67" s="1"/>
  <c r="O43" i="66"/>
  <c r="O85" i="66" s="1"/>
  <c r="O92" i="66" s="1"/>
  <c r="O95" i="66" s="1"/>
  <c r="O166" i="66" s="1"/>
  <c r="O43" i="65"/>
  <c r="O85" i="65" s="1"/>
  <c r="O92" i="65" s="1"/>
  <c r="O95" i="65" s="1"/>
  <c r="O166" i="65" s="1"/>
  <c r="O43" i="64"/>
  <c r="O85" i="64" s="1"/>
  <c r="O92" i="64" s="1"/>
  <c r="O95" i="64" s="1"/>
  <c r="O166" i="64" s="1"/>
  <c r="O43" i="63"/>
  <c r="O85" i="63" s="1"/>
  <c r="O92" i="63" s="1"/>
  <c r="O95" i="63" s="1"/>
  <c r="O166" i="63" s="1"/>
  <c r="O53" i="67"/>
  <c r="O53" i="66"/>
  <c r="O53" i="65"/>
  <c r="O53" i="64"/>
  <c r="O53" i="63"/>
  <c r="N48" i="65"/>
  <c r="N50" i="65" s="1"/>
  <c r="N119" i="65" s="1"/>
  <c r="N126" i="65" s="1"/>
  <c r="P44" i="62"/>
  <c r="P102" i="62" s="1"/>
  <c r="P109" i="62" s="1"/>
  <c r="P44" i="65"/>
  <c r="P102" i="65" s="1"/>
  <c r="P109" i="65" s="1"/>
  <c r="P44" i="67"/>
  <c r="P102" i="67" s="1"/>
  <c r="P109" i="67" s="1"/>
  <c r="P44" i="66"/>
  <c r="P102" i="66" s="1"/>
  <c r="P109" i="66" s="1"/>
  <c r="P44" i="63"/>
  <c r="P102" i="63" s="1"/>
  <c r="P109" i="63" s="1"/>
  <c r="P44" i="64"/>
  <c r="P102" i="64" s="1"/>
  <c r="P109" i="64" s="1"/>
  <c r="N183" i="65"/>
  <c r="N189" i="65" s="1"/>
  <c r="N171" i="65"/>
  <c r="N174" i="65"/>
  <c r="N180" i="65" s="1"/>
  <c r="O49" i="53"/>
  <c r="O49" i="52"/>
  <c r="O49" i="65"/>
  <c r="O49" i="51"/>
  <c r="O49" i="67"/>
  <c r="O49" i="55"/>
  <c r="O49" i="58"/>
  <c r="O49" i="57"/>
  <c r="O49" i="66"/>
  <c r="O46" i="62"/>
  <c r="O46" i="67"/>
  <c r="O46" i="65"/>
  <c r="O46" i="66"/>
  <c r="O46" i="64"/>
  <c r="O46" i="63"/>
  <c r="N174" i="67"/>
  <c r="N180" i="67" s="1"/>
  <c r="N171" i="67"/>
  <c r="N183" i="67"/>
  <c r="N189" i="67" s="1"/>
  <c r="N171" i="63"/>
  <c r="N174" i="66"/>
  <c r="N180" i="66" s="1"/>
  <c r="N183" i="66"/>
  <c r="N189" i="66" s="1"/>
  <c r="N171" i="66"/>
  <c r="N48" i="55"/>
  <c r="N50" i="55" s="1"/>
  <c r="O52" i="67"/>
  <c r="O52" i="66"/>
  <c r="O52" i="65"/>
  <c r="O52" i="63"/>
  <c r="O52" i="64"/>
  <c r="J175" i="58"/>
  <c r="N48" i="52"/>
  <c r="N50" i="52" s="1"/>
  <c r="N174" i="63"/>
  <c r="N180" i="63" s="1"/>
  <c r="O42" i="62"/>
  <c r="O68" i="62" s="1"/>
  <c r="O75" i="62" s="1"/>
  <c r="O78" i="62" s="1"/>
  <c r="O165" i="62" s="1"/>
  <c r="O171" i="62" s="1"/>
  <c r="O42" i="66"/>
  <c r="O68" i="66" s="1"/>
  <c r="O75" i="66" s="1"/>
  <c r="O78" i="66" s="1"/>
  <c r="O165" i="66" s="1"/>
  <c r="O42" i="67"/>
  <c r="O68" i="67" s="1"/>
  <c r="O75" i="67" s="1"/>
  <c r="O78" i="67" s="1"/>
  <c r="O165" i="67" s="1"/>
  <c r="O42" i="65"/>
  <c r="O68" i="65" s="1"/>
  <c r="O75" i="65" s="1"/>
  <c r="O78" i="65" s="1"/>
  <c r="O165" i="65" s="1"/>
  <c r="O42" i="64"/>
  <c r="O68" i="64" s="1"/>
  <c r="O75" i="64" s="1"/>
  <c r="O42" i="63"/>
  <c r="O68" i="63" s="1"/>
  <c r="O75" i="63" s="1"/>
  <c r="O78" i="63" s="1"/>
  <c r="O165" i="63" s="1"/>
  <c r="N48" i="53"/>
  <c r="N50" i="53" s="1"/>
  <c r="J176" i="58"/>
  <c r="K112" i="58"/>
  <c r="K167" i="58" s="1"/>
  <c r="K176" i="58" s="1"/>
  <c r="L118" i="58"/>
  <c r="L125" i="58" s="1"/>
  <c r="L123" i="58"/>
  <c r="L127" i="58" s="1"/>
  <c r="M119" i="63"/>
  <c r="M126" i="63" s="1"/>
  <c r="M119" i="67"/>
  <c r="M126" i="67" s="1"/>
  <c r="L157" i="58"/>
  <c r="M133" i="55"/>
  <c r="M145" i="55" s="1"/>
  <c r="L150" i="58"/>
  <c r="L162" i="58" s="1"/>
  <c r="O45" i="62"/>
  <c r="O45" i="65"/>
  <c r="O45" i="67"/>
  <c r="O45" i="66"/>
  <c r="O45" i="64"/>
  <c r="O45" i="63"/>
  <c r="L152" i="61"/>
  <c r="L159" i="61" s="1"/>
  <c r="L157" i="61"/>
  <c r="O51" i="62"/>
  <c r="O136" i="62" s="1"/>
  <c r="O143" i="62" s="1"/>
  <c r="O51" i="66"/>
  <c r="O136" i="66" s="1"/>
  <c r="O143" i="66" s="1"/>
  <c r="O51" i="65"/>
  <c r="O136" i="65" s="1"/>
  <c r="O143" i="65" s="1"/>
  <c r="O51" i="67"/>
  <c r="O136" i="67" s="1"/>
  <c r="O143" i="67" s="1"/>
  <c r="O51" i="63"/>
  <c r="O136" i="63" s="1"/>
  <c r="O143" i="63" s="1"/>
  <c r="O51" i="64"/>
  <c r="O136" i="64" s="1"/>
  <c r="O143" i="64" s="1"/>
  <c r="K129" i="64"/>
  <c r="K169" i="64" s="1"/>
  <c r="K184" i="64" s="1"/>
  <c r="M119" i="61"/>
  <c r="M126" i="61" s="1"/>
  <c r="M135" i="61"/>
  <c r="M142" i="61" s="1"/>
  <c r="M133" i="61"/>
  <c r="M145" i="61" s="1"/>
  <c r="M153" i="62"/>
  <c r="M160" i="62" s="1"/>
  <c r="O49" i="62"/>
  <c r="O49" i="64"/>
  <c r="O49" i="63"/>
  <c r="M133" i="67"/>
  <c r="M145" i="67" s="1"/>
  <c r="M135" i="67"/>
  <c r="M142" i="67" s="1"/>
  <c r="M140" i="67"/>
  <c r="M135" i="52"/>
  <c r="M142" i="52" s="1"/>
  <c r="M133" i="52"/>
  <c r="M145" i="52" s="1"/>
  <c r="M140" i="52"/>
  <c r="M135" i="53"/>
  <c r="M142" i="53" s="1"/>
  <c r="M140" i="53"/>
  <c r="M133" i="53"/>
  <c r="M145" i="53" s="1"/>
  <c r="M133" i="51"/>
  <c r="M145" i="51" s="1"/>
  <c r="M135" i="51"/>
  <c r="M142" i="51" s="1"/>
  <c r="N135" i="45"/>
  <c r="N132" i="52" s="1"/>
  <c r="N129" i="45"/>
  <c r="N132" i="51" s="1"/>
  <c r="N134" i="45"/>
  <c r="N132" i="53" s="1"/>
  <c r="M140" i="55"/>
  <c r="N136" i="45"/>
  <c r="N132" i="67" s="1"/>
  <c r="M133" i="58"/>
  <c r="M145" i="58" s="1"/>
  <c r="M140" i="58"/>
  <c r="L99" i="58"/>
  <c r="L111" i="58" s="1"/>
  <c r="K185" i="67"/>
  <c r="P157" i="45"/>
  <c r="O55" i="64"/>
  <c r="O69" i="64" s="1"/>
  <c r="O76" i="64" s="1"/>
  <c r="N132" i="66"/>
  <c r="N132" i="64"/>
  <c r="L150" i="63"/>
  <c r="L162" i="63" s="1"/>
  <c r="L152" i="63"/>
  <c r="L159" i="63" s="1"/>
  <c r="L157" i="63"/>
  <c r="N115" i="58"/>
  <c r="N116" i="58" s="1"/>
  <c r="N128" i="58" s="1"/>
  <c r="N115" i="65"/>
  <c r="N132" i="58"/>
  <c r="N135" i="58" s="1"/>
  <c r="N142" i="58" s="1"/>
  <c r="N132" i="65"/>
  <c r="L112" i="67"/>
  <c r="L167" i="67" s="1"/>
  <c r="L185" i="67" s="1"/>
  <c r="K184" i="63"/>
  <c r="K175" i="63"/>
  <c r="L150" i="64"/>
  <c r="L162" i="64" s="1"/>
  <c r="L152" i="64"/>
  <c r="L159" i="64" s="1"/>
  <c r="L157" i="64"/>
  <c r="M133" i="63"/>
  <c r="M145" i="63" s="1"/>
  <c r="M140" i="63"/>
  <c r="M135" i="63"/>
  <c r="M142" i="63" s="1"/>
  <c r="L150" i="66"/>
  <c r="L162" i="66" s="1"/>
  <c r="L157" i="66"/>
  <c r="L152" i="66"/>
  <c r="L159" i="66" s="1"/>
  <c r="M150" i="67"/>
  <c r="M162" i="67" s="1"/>
  <c r="M152" i="67"/>
  <c r="M159" i="67" s="1"/>
  <c r="M157" i="67"/>
  <c r="K129" i="66"/>
  <c r="K169" i="66" s="1"/>
  <c r="J175" i="66"/>
  <c r="J184" i="66"/>
  <c r="M133" i="64"/>
  <c r="M145" i="64" s="1"/>
  <c r="M135" i="64"/>
  <c r="M142" i="64" s="1"/>
  <c r="M140" i="64"/>
  <c r="L184" i="67"/>
  <c r="L175" i="67"/>
  <c r="M133" i="66"/>
  <c r="M145" i="66" s="1"/>
  <c r="M140" i="66"/>
  <c r="M135" i="66"/>
  <c r="M142" i="66" s="1"/>
  <c r="M133" i="65"/>
  <c r="M145" i="65" s="1"/>
  <c r="M140" i="65"/>
  <c r="M135" i="65"/>
  <c r="M142" i="65" s="1"/>
  <c r="J184" i="64"/>
  <c r="J175" i="64"/>
  <c r="N132" i="61"/>
  <c r="N133" i="61" s="1"/>
  <c r="N145" i="61" s="1"/>
  <c r="N132" i="63"/>
  <c r="M149" i="66"/>
  <c r="AS141" i="2" s="1"/>
  <c r="AM141" i="2" s="1"/>
  <c r="K150" i="79" s="1"/>
  <c r="W150" i="79" s="1"/>
  <c r="M149" i="64"/>
  <c r="AS53" i="2" s="1"/>
  <c r="AM53" i="2" s="1"/>
  <c r="K54" i="79" s="1"/>
  <c r="W54" i="79" s="1"/>
  <c r="M115" i="66"/>
  <c r="M115" i="64"/>
  <c r="J175" i="65"/>
  <c r="J184" i="65"/>
  <c r="L116" i="64"/>
  <c r="L128" i="64" s="1"/>
  <c r="L123" i="64"/>
  <c r="L127" i="64" s="1"/>
  <c r="L125" i="64"/>
  <c r="K129" i="65"/>
  <c r="K169" i="65" s="1"/>
  <c r="M116" i="63"/>
  <c r="M128" i="63" s="1"/>
  <c r="M125" i="63"/>
  <c r="M123" i="63"/>
  <c r="M127" i="63" s="1"/>
  <c r="K184" i="67"/>
  <c r="K175" i="67"/>
  <c r="L116" i="66"/>
  <c r="L128" i="66" s="1"/>
  <c r="L125" i="66"/>
  <c r="L123" i="66"/>
  <c r="L127" i="66" s="1"/>
  <c r="M149" i="61"/>
  <c r="AS9" i="2" s="1"/>
  <c r="AM9" i="2" s="1"/>
  <c r="K6" i="79" s="1"/>
  <c r="W6" i="79" s="1"/>
  <c r="M149" i="63"/>
  <c r="AS42" i="2" s="1"/>
  <c r="AM42" i="2" s="1"/>
  <c r="K42" i="79" s="1"/>
  <c r="W42" i="79" s="1"/>
  <c r="M116" i="67"/>
  <c r="M128" i="67" s="1"/>
  <c r="M123" i="67"/>
  <c r="M127" i="67" s="1"/>
  <c r="M115" i="58"/>
  <c r="M115" i="65"/>
  <c r="AR119" i="2" s="1"/>
  <c r="AL119" i="2" s="1"/>
  <c r="J126" i="79" s="1"/>
  <c r="V126" i="79" s="1"/>
  <c r="M149" i="58"/>
  <c r="M149" i="65"/>
  <c r="AS119" i="2" s="1"/>
  <c r="AM119" i="2" s="1"/>
  <c r="K126" i="79" s="1"/>
  <c r="W126" i="79" s="1"/>
  <c r="L116" i="65"/>
  <c r="L128" i="65" s="1"/>
  <c r="L118" i="65"/>
  <c r="L125" i="65" s="1"/>
  <c r="L123" i="65"/>
  <c r="L127" i="65" s="1"/>
  <c r="L150" i="65"/>
  <c r="L162" i="65" s="1"/>
  <c r="L152" i="65"/>
  <c r="L159" i="65" s="1"/>
  <c r="L157" i="65"/>
  <c r="L129" i="63"/>
  <c r="L169" i="63" s="1"/>
  <c r="L106" i="58"/>
  <c r="L110" i="58" s="1"/>
  <c r="K112" i="66"/>
  <c r="K167" i="66" s="1"/>
  <c r="M99" i="67"/>
  <c r="M111" i="67" s="1"/>
  <c r="M106" i="67"/>
  <c r="M110" i="67" s="1"/>
  <c r="M101" i="67"/>
  <c r="M108" i="67" s="1"/>
  <c r="M101" i="63"/>
  <c r="M108" i="63" s="1"/>
  <c r="M106" i="63"/>
  <c r="M110" i="63" s="1"/>
  <c r="M99" i="63"/>
  <c r="M111" i="63" s="1"/>
  <c r="L99" i="65"/>
  <c r="L111" i="65" s="1"/>
  <c r="L101" i="65"/>
  <c r="L108" i="65" s="1"/>
  <c r="L106" i="65"/>
  <c r="L110" i="65" s="1"/>
  <c r="M98" i="58"/>
  <c r="M98" i="65"/>
  <c r="AP119" i="2" s="1"/>
  <c r="AJ119" i="2" s="1"/>
  <c r="H126" i="79" s="1"/>
  <c r="T126" i="79" s="1"/>
  <c r="J185" i="65"/>
  <c r="J176" i="65"/>
  <c r="K112" i="64"/>
  <c r="K167" i="64" s="1"/>
  <c r="M98" i="66"/>
  <c r="AP141" i="2" s="1"/>
  <c r="AJ141" i="2" s="1"/>
  <c r="H150" i="79" s="1"/>
  <c r="T150" i="79" s="1"/>
  <c r="M98" i="64"/>
  <c r="AP53" i="2" s="1"/>
  <c r="AJ53" i="2" s="1"/>
  <c r="H54" i="79" s="1"/>
  <c r="T54" i="79" s="1"/>
  <c r="J185" i="64"/>
  <c r="J176" i="64"/>
  <c r="J176" i="66"/>
  <c r="J185" i="66"/>
  <c r="L112" i="63"/>
  <c r="L167" i="63" s="1"/>
  <c r="K185" i="63"/>
  <c r="K176" i="63"/>
  <c r="K112" i="65"/>
  <c r="K167" i="65" s="1"/>
  <c r="L99" i="64"/>
  <c r="L111" i="64" s="1"/>
  <c r="L106" i="64"/>
  <c r="L110" i="64" s="1"/>
  <c r="L101" i="64"/>
  <c r="L108" i="64" s="1"/>
  <c r="L99" i="66"/>
  <c r="L111" i="66" s="1"/>
  <c r="L106" i="66"/>
  <c r="L110" i="66" s="1"/>
  <c r="L101" i="66"/>
  <c r="L108" i="66" s="1"/>
  <c r="M150" i="51"/>
  <c r="M162" i="51" s="1"/>
  <c r="M152" i="51"/>
  <c r="M159" i="51" s="1"/>
  <c r="J184" i="61"/>
  <c r="N143" i="45"/>
  <c r="N132" i="62"/>
  <c r="N132" i="57"/>
  <c r="N135" i="57" s="1"/>
  <c r="M116" i="62"/>
  <c r="M128" i="62" s="1"/>
  <c r="M125" i="62"/>
  <c r="M123" i="62"/>
  <c r="M127" i="62" s="1"/>
  <c r="O53" i="61"/>
  <c r="O73" i="45"/>
  <c r="O78" i="45"/>
  <c r="O71" i="45"/>
  <c r="O76" i="45"/>
  <c r="O75" i="45"/>
  <c r="O74" i="45"/>
  <c r="O72" i="45"/>
  <c r="O77" i="45"/>
  <c r="O70" i="45"/>
  <c r="O53" i="62"/>
  <c r="L112" i="62"/>
  <c r="L167" i="62" s="1"/>
  <c r="L129" i="62"/>
  <c r="L169" i="62" s="1"/>
  <c r="M133" i="57"/>
  <c r="M145" i="57" s="1"/>
  <c r="M140" i="57"/>
  <c r="M142" i="57"/>
  <c r="M133" i="62"/>
  <c r="M145" i="62" s="1"/>
  <c r="M135" i="62"/>
  <c r="M142" i="62" s="1"/>
  <c r="M140" i="62"/>
  <c r="O52" i="61"/>
  <c r="O67" i="45"/>
  <c r="O62" i="45"/>
  <c r="O63" i="45"/>
  <c r="O64" i="45"/>
  <c r="O61" i="45"/>
  <c r="O59" i="45"/>
  <c r="O65" i="45"/>
  <c r="O60" i="45"/>
  <c r="O66" i="45"/>
  <c r="O49" i="45"/>
  <c r="O130" i="45" s="1"/>
  <c r="O52" i="45"/>
  <c r="O133" i="45" s="1"/>
  <c r="O55" i="45"/>
  <c r="O50" i="45"/>
  <c r="O131" i="45" s="1"/>
  <c r="O53" i="45"/>
  <c r="O56" i="45"/>
  <c r="O137" i="45" s="1"/>
  <c r="O48" i="45"/>
  <c r="O51" i="45"/>
  <c r="O132" i="45" s="1"/>
  <c r="O54" i="45"/>
  <c r="O52" i="62"/>
  <c r="M99" i="62"/>
  <c r="M111" i="62" s="1"/>
  <c r="M106" i="62"/>
  <c r="M110" i="62" s="1"/>
  <c r="M101" i="62"/>
  <c r="M108" i="62" s="1"/>
  <c r="N171" i="62"/>
  <c r="N174" i="62"/>
  <c r="N180" i="62" s="1"/>
  <c r="N183" i="62"/>
  <c r="N189" i="62" s="1"/>
  <c r="K185" i="62"/>
  <c r="K176" i="62"/>
  <c r="M150" i="62"/>
  <c r="M162" i="62" s="1"/>
  <c r="M157" i="62"/>
  <c r="M152" i="62"/>
  <c r="M159" i="62" s="1"/>
  <c r="K129" i="61"/>
  <c r="K169" i="61" s="1"/>
  <c r="N48" i="61"/>
  <c r="N50" i="61" s="1"/>
  <c r="O45" i="61"/>
  <c r="O45" i="38"/>
  <c r="M115" i="61"/>
  <c r="L116" i="61"/>
  <c r="L128" i="61" s="1"/>
  <c r="L123" i="61"/>
  <c r="L127" i="61" s="1"/>
  <c r="L125" i="61"/>
  <c r="P44" i="61"/>
  <c r="P102" i="61" s="1"/>
  <c r="P109" i="61" s="1"/>
  <c r="P44" i="38"/>
  <c r="J176" i="61"/>
  <c r="J185" i="61"/>
  <c r="O49" i="61"/>
  <c r="O49" i="38"/>
  <c r="O43" i="61"/>
  <c r="O85" i="61" s="1"/>
  <c r="O92" i="61" s="1"/>
  <c r="O95" i="61" s="1"/>
  <c r="O166" i="61" s="1"/>
  <c r="O43" i="38"/>
  <c r="O51" i="38"/>
  <c r="O51" i="61"/>
  <c r="O136" i="61" s="1"/>
  <c r="O143" i="61" s="1"/>
  <c r="K112" i="61"/>
  <c r="K167" i="61" s="1"/>
  <c r="O46" i="38"/>
  <c r="O46" i="61"/>
  <c r="L99" i="61"/>
  <c r="L111" i="61" s="1"/>
  <c r="L101" i="61"/>
  <c r="L108" i="61" s="1"/>
  <c r="L106" i="61"/>
  <c r="L110" i="61" s="1"/>
  <c r="O42" i="61"/>
  <c r="O68" i="61" s="1"/>
  <c r="O75" i="61" s="1"/>
  <c r="O78" i="61" s="1"/>
  <c r="O165" i="61" s="1"/>
  <c r="O42" i="38"/>
  <c r="M98" i="61"/>
  <c r="AP9" i="2" s="1"/>
  <c r="AJ9" i="2" s="1"/>
  <c r="H6" i="79" s="1"/>
  <c r="T6" i="79" s="1"/>
  <c r="N171" i="61"/>
  <c r="N174" i="61"/>
  <c r="N180" i="61" s="1"/>
  <c r="N183" i="61"/>
  <c r="N189" i="61" s="1"/>
  <c r="J184" i="57"/>
  <c r="K175" i="51"/>
  <c r="K176" i="53"/>
  <c r="H48" i="38"/>
  <c r="H50" i="38" s="1"/>
  <c r="M174" i="55"/>
  <c r="M180" i="55" s="1"/>
  <c r="M171" i="55"/>
  <c r="J175" i="55"/>
  <c r="K175" i="57"/>
  <c r="K184" i="57"/>
  <c r="M183" i="57"/>
  <c r="M189" i="57" s="1"/>
  <c r="L112" i="51"/>
  <c r="L167" i="51" s="1"/>
  <c r="L185" i="51" s="1"/>
  <c r="M171" i="57"/>
  <c r="N75" i="52"/>
  <c r="N78" i="52" s="1"/>
  <c r="N165" i="52" s="1"/>
  <c r="N183" i="52" s="1"/>
  <c r="N189" i="52" s="1"/>
  <c r="N75" i="58"/>
  <c r="N78" i="58" s="1"/>
  <c r="N165" i="58" s="1"/>
  <c r="N183" i="58" s="1"/>
  <c r="N189" i="58" s="1"/>
  <c r="N75" i="51"/>
  <c r="N78" i="51" s="1"/>
  <c r="N165" i="51" s="1"/>
  <c r="O41" i="58"/>
  <c r="O67" i="58" s="1"/>
  <c r="O41" i="57"/>
  <c r="O67" i="57" s="1"/>
  <c r="O41" i="55"/>
  <c r="O67" i="55" s="1"/>
  <c r="O41" i="53"/>
  <c r="O67" i="53" s="1"/>
  <c r="O41" i="52"/>
  <c r="O67" i="52" s="1"/>
  <c r="O41" i="51"/>
  <c r="O67" i="51" s="1"/>
  <c r="O43" i="58"/>
  <c r="O85" i="58" s="1"/>
  <c r="O92" i="58" s="1"/>
  <c r="O95" i="58" s="1"/>
  <c r="O166" i="58" s="1"/>
  <c r="O43" i="57"/>
  <c r="O85" i="57" s="1"/>
  <c r="O92" i="57" s="1"/>
  <c r="O95" i="57" s="1"/>
  <c r="O166" i="57" s="1"/>
  <c r="O43" i="55"/>
  <c r="O85" i="55" s="1"/>
  <c r="O92" i="55" s="1"/>
  <c r="O95" i="55" s="1"/>
  <c r="O166" i="55" s="1"/>
  <c r="O43" i="53"/>
  <c r="O85" i="53" s="1"/>
  <c r="O92" i="53" s="1"/>
  <c r="O95" i="53" s="1"/>
  <c r="O166" i="53" s="1"/>
  <c r="O43" i="52"/>
  <c r="O85" i="52" s="1"/>
  <c r="O92" i="52" s="1"/>
  <c r="O95" i="52" s="1"/>
  <c r="O166" i="52" s="1"/>
  <c r="O43" i="51"/>
  <c r="O85" i="51" s="1"/>
  <c r="O92" i="51" s="1"/>
  <c r="O95" i="51" s="1"/>
  <c r="O166" i="51" s="1"/>
  <c r="P44" i="58"/>
  <c r="P102" i="58" s="1"/>
  <c r="P109" i="58" s="1"/>
  <c r="P44" i="57"/>
  <c r="P102" i="57" s="1"/>
  <c r="P109" i="57" s="1"/>
  <c r="P44" i="55"/>
  <c r="P102" i="55" s="1"/>
  <c r="P109" i="55" s="1"/>
  <c r="P44" i="53"/>
  <c r="P102" i="53" s="1"/>
  <c r="P109" i="53" s="1"/>
  <c r="P44" i="52"/>
  <c r="P102" i="52" s="1"/>
  <c r="P109" i="52" s="1"/>
  <c r="P44" i="51"/>
  <c r="P102" i="51" s="1"/>
  <c r="P109" i="51" s="1"/>
  <c r="N75" i="53"/>
  <c r="N78" i="53" s="1"/>
  <c r="N165" i="53" s="1"/>
  <c r="O51" i="58"/>
  <c r="O136" i="58" s="1"/>
  <c r="O143" i="58" s="1"/>
  <c r="O51" i="55"/>
  <c r="O136" i="55" s="1"/>
  <c r="O143" i="55" s="1"/>
  <c r="O51" i="57"/>
  <c r="O136" i="57" s="1"/>
  <c r="O143" i="57" s="1"/>
  <c r="O51" i="53"/>
  <c r="O136" i="53" s="1"/>
  <c r="O143" i="53" s="1"/>
  <c r="O51" i="52"/>
  <c r="O136" i="52" s="1"/>
  <c r="O143" i="52" s="1"/>
  <c r="O51" i="51"/>
  <c r="O136" i="51" s="1"/>
  <c r="O143" i="51" s="1"/>
  <c r="O45" i="58"/>
  <c r="O45" i="57"/>
  <c r="O45" i="53"/>
  <c r="O45" i="55"/>
  <c r="O45" i="52"/>
  <c r="O45" i="51"/>
  <c r="N75" i="55"/>
  <c r="N78" i="55" s="1"/>
  <c r="N165" i="55" s="1"/>
  <c r="M153" i="57"/>
  <c r="M160" i="57" s="1"/>
  <c r="M119" i="57"/>
  <c r="M126" i="57" s="1"/>
  <c r="O52" i="58"/>
  <c r="O52" i="55"/>
  <c r="O52" i="57"/>
  <c r="O52" i="53"/>
  <c r="O52" i="52"/>
  <c r="O52" i="51"/>
  <c r="N75" i="57"/>
  <c r="N78" i="57" s="1"/>
  <c r="N165" i="57" s="1"/>
  <c r="M119" i="55"/>
  <c r="M126" i="55" s="1"/>
  <c r="M153" i="55"/>
  <c r="M160" i="55" s="1"/>
  <c r="O42" i="58"/>
  <c r="O68" i="58" s="1"/>
  <c r="O42" i="57"/>
  <c r="O68" i="57" s="1"/>
  <c r="O42" i="55"/>
  <c r="O68" i="55" s="1"/>
  <c r="O42" i="52"/>
  <c r="O68" i="52" s="1"/>
  <c r="O42" i="53"/>
  <c r="O68" i="53" s="1"/>
  <c r="O42" i="51"/>
  <c r="O68" i="51" s="1"/>
  <c r="M153" i="53"/>
  <c r="M160" i="53" s="1"/>
  <c r="M119" i="53"/>
  <c r="M126" i="53" s="1"/>
  <c r="L112" i="53"/>
  <c r="L167" i="53" s="1"/>
  <c r="L176" i="53" s="1"/>
  <c r="M171" i="52"/>
  <c r="M174" i="52"/>
  <c r="M180" i="52" s="1"/>
  <c r="M183" i="52"/>
  <c r="M189" i="52" s="1"/>
  <c r="M171" i="58"/>
  <c r="M183" i="58"/>
  <c r="M189" i="58" s="1"/>
  <c r="M174" i="58"/>
  <c r="M180" i="58" s="1"/>
  <c r="M153" i="51"/>
  <c r="M160" i="51" s="1"/>
  <c r="M119" i="51"/>
  <c r="M126" i="51" s="1"/>
  <c r="L129" i="53"/>
  <c r="L169" i="53" s="1"/>
  <c r="M153" i="52"/>
  <c r="M160" i="52" s="1"/>
  <c r="M119" i="52"/>
  <c r="M126" i="52" s="1"/>
  <c r="M171" i="53"/>
  <c r="M174" i="53"/>
  <c r="M180" i="53" s="1"/>
  <c r="M183" i="53"/>
  <c r="M189" i="53" s="1"/>
  <c r="O53" i="58"/>
  <c r="O53" i="55"/>
  <c r="O53" i="57"/>
  <c r="O53" i="53"/>
  <c r="O53" i="52"/>
  <c r="O53" i="51"/>
  <c r="M174" i="51"/>
  <c r="M180" i="51" s="1"/>
  <c r="M183" i="51"/>
  <c r="M189" i="51" s="1"/>
  <c r="M171" i="51"/>
  <c r="M153" i="58"/>
  <c r="M160" i="58" s="1"/>
  <c r="M119" i="58"/>
  <c r="M126" i="58" s="1"/>
  <c r="O46" i="57"/>
  <c r="O46" i="58"/>
  <c r="O46" i="55"/>
  <c r="O46" i="53"/>
  <c r="O46" i="52"/>
  <c r="O46" i="51"/>
  <c r="M98" i="38"/>
  <c r="AP20" i="2" s="1"/>
  <c r="AJ20" i="2" s="1"/>
  <c r="H18" i="79" s="1"/>
  <c r="T18" i="79" s="1"/>
  <c r="M98" i="55"/>
  <c r="AP130" i="2" s="1"/>
  <c r="AJ130" i="2" s="1"/>
  <c r="H138" i="79" s="1"/>
  <c r="T138" i="79" s="1"/>
  <c r="M115" i="57"/>
  <c r="AR97" i="2" s="1"/>
  <c r="AL97" i="2" s="1"/>
  <c r="J102" i="79" s="1"/>
  <c r="V102" i="79" s="1"/>
  <c r="K175" i="52"/>
  <c r="K184" i="52"/>
  <c r="M115" i="38"/>
  <c r="AR20" i="2" s="1"/>
  <c r="AL20" i="2" s="1"/>
  <c r="J18" i="79" s="1"/>
  <c r="V18" i="79" s="1"/>
  <c r="M115" i="55"/>
  <c r="AR130" i="2" s="1"/>
  <c r="AL130" i="2" s="1"/>
  <c r="J138" i="79" s="1"/>
  <c r="V138" i="79" s="1"/>
  <c r="M149" i="38"/>
  <c r="M149" i="55"/>
  <c r="L129" i="51"/>
  <c r="L169" i="51" s="1"/>
  <c r="M99" i="53"/>
  <c r="M111" i="53" s="1"/>
  <c r="M101" i="53"/>
  <c r="M108" i="53" s="1"/>
  <c r="M106" i="53"/>
  <c r="M110" i="53" s="1"/>
  <c r="M150" i="53"/>
  <c r="M162" i="53" s="1"/>
  <c r="M159" i="53"/>
  <c r="M157" i="53"/>
  <c r="K112" i="55"/>
  <c r="K167" i="55" s="1"/>
  <c r="K176" i="51"/>
  <c r="K185" i="51"/>
  <c r="M99" i="52"/>
  <c r="M111" i="52" s="1"/>
  <c r="M101" i="52"/>
  <c r="M108" i="52" s="1"/>
  <c r="M106" i="52"/>
  <c r="M110" i="52" s="1"/>
  <c r="M150" i="52"/>
  <c r="M162" i="52" s="1"/>
  <c r="M157" i="52"/>
  <c r="L116" i="55"/>
  <c r="L128" i="55" s="1"/>
  <c r="L123" i="55"/>
  <c r="L127" i="55" s="1"/>
  <c r="L118" i="55"/>
  <c r="L125" i="55" s="1"/>
  <c r="L116" i="57"/>
  <c r="L128" i="57" s="1"/>
  <c r="L123" i="57"/>
  <c r="L127" i="57" s="1"/>
  <c r="L118" i="57"/>
  <c r="L125" i="57" s="1"/>
  <c r="L99" i="55"/>
  <c r="L111" i="55" s="1"/>
  <c r="L106" i="55"/>
  <c r="L110" i="55" s="1"/>
  <c r="L101" i="55"/>
  <c r="L108" i="55" s="1"/>
  <c r="M99" i="51"/>
  <c r="M111" i="51" s="1"/>
  <c r="M106" i="51"/>
  <c r="M110" i="51" s="1"/>
  <c r="M101" i="51"/>
  <c r="M108" i="51" s="1"/>
  <c r="L150" i="55"/>
  <c r="L162" i="55" s="1"/>
  <c r="L157" i="55"/>
  <c r="L159" i="55"/>
  <c r="J185" i="57"/>
  <c r="J176" i="57"/>
  <c r="K129" i="55"/>
  <c r="K169" i="55" s="1"/>
  <c r="M98" i="57"/>
  <c r="AP97" i="2" s="1"/>
  <c r="AJ97" i="2" s="1"/>
  <c r="H102" i="79" s="1"/>
  <c r="T102" i="79" s="1"/>
  <c r="M116" i="51"/>
  <c r="M128" i="51" s="1"/>
  <c r="M118" i="51"/>
  <c r="M125" i="51" s="1"/>
  <c r="M123" i="51"/>
  <c r="M127" i="51" s="1"/>
  <c r="L99" i="57"/>
  <c r="L111" i="57" s="1"/>
  <c r="L106" i="57"/>
  <c r="L110" i="57" s="1"/>
  <c r="L101" i="57"/>
  <c r="L108" i="57" s="1"/>
  <c r="L150" i="57"/>
  <c r="L162" i="57" s="1"/>
  <c r="L159" i="57"/>
  <c r="L157" i="57"/>
  <c r="L129" i="52"/>
  <c r="L169" i="52" s="1"/>
  <c r="K185" i="52"/>
  <c r="K176" i="52"/>
  <c r="M116" i="52"/>
  <c r="M128" i="52" s="1"/>
  <c r="M123" i="52"/>
  <c r="M127" i="52" s="1"/>
  <c r="M118" i="52"/>
  <c r="M125" i="52" s="1"/>
  <c r="M116" i="53"/>
  <c r="M128" i="53" s="1"/>
  <c r="M123" i="53"/>
  <c r="M127" i="53" s="1"/>
  <c r="M118" i="53"/>
  <c r="M125" i="53" s="1"/>
  <c r="K184" i="53"/>
  <c r="K175" i="53"/>
  <c r="K112" i="57"/>
  <c r="K167" i="57" s="1"/>
  <c r="J176" i="55"/>
  <c r="J185" i="55"/>
  <c r="N132" i="38"/>
  <c r="N135" i="38" s="1"/>
  <c r="N132" i="55"/>
  <c r="N135" i="55" s="1"/>
  <c r="L112" i="52"/>
  <c r="L167" i="52" s="1"/>
  <c r="M149" i="57"/>
  <c r="M140" i="51"/>
  <c r="M157" i="51"/>
  <c r="L157" i="51"/>
  <c r="L162" i="51"/>
  <c r="L159" i="51"/>
  <c r="P156" i="45"/>
  <c r="P55" i="63" s="1"/>
  <c r="P69" i="63" s="1"/>
  <c r="P76" i="63" s="1"/>
  <c r="N144" i="45"/>
  <c r="P155" i="45"/>
  <c r="P55" i="62" s="1"/>
  <c r="P69" i="62" s="1"/>
  <c r="P76" i="62" s="1"/>
  <c r="N150" i="45"/>
  <c r="N147" i="45"/>
  <c r="N149" i="53" s="1"/>
  <c r="N152" i="53" s="1"/>
  <c r="N146" i="45"/>
  <c r="N149" i="62" s="1"/>
  <c r="N149" i="45"/>
  <c r="N149" i="67" s="1"/>
  <c r="N148" i="45"/>
  <c r="N149" i="52" s="1"/>
  <c r="N152" i="52" s="1"/>
  <c r="N142" i="45"/>
  <c r="N149" i="51" s="1"/>
  <c r="N145" i="45"/>
  <c r="P154" i="45"/>
  <c r="O55" i="38"/>
  <c r="N124" i="45"/>
  <c r="N115" i="67" s="1"/>
  <c r="N118" i="67" s="1"/>
  <c r="O116" i="45"/>
  <c r="O118" i="45" s="1"/>
  <c r="O115" i="63" s="1"/>
  <c r="O118" i="63" s="1"/>
  <c r="O140" i="45"/>
  <c r="N119" i="45"/>
  <c r="N121" i="45"/>
  <c r="N115" i="62" s="1"/>
  <c r="N118" i="62" s="1"/>
  <c r="N118" i="45"/>
  <c r="N115" i="63" s="1"/>
  <c r="N118" i="63" s="1"/>
  <c r="N123" i="45"/>
  <c r="N115" i="52" s="1"/>
  <c r="N117" i="45"/>
  <c r="N115" i="51" s="1"/>
  <c r="N120" i="45"/>
  <c r="N122" i="45"/>
  <c r="N115" i="53" s="1"/>
  <c r="P40" i="45"/>
  <c r="P39" i="45"/>
  <c r="P38" i="45"/>
  <c r="P29" i="45"/>
  <c r="P28" i="45"/>
  <c r="P27" i="45"/>
  <c r="O103" i="45"/>
  <c r="O104" i="45"/>
  <c r="N112" i="45"/>
  <c r="N98" i="67" s="1"/>
  <c r="N113" i="45"/>
  <c r="N106" i="45"/>
  <c r="N98" i="63" s="1"/>
  <c r="N109" i="45"/>
  <c r="N98" i="62" s="1"/>
  <c r="N105" i="45"/>
  <c r="N98" i="51" s="1"/>
  <c r="N108" i="45"/>
  <c r="N110" i="45"/>
  <c r="N98" i="53" s="1"/>
  <c r="N111" i="45"/>
  <c r="N98" i="52" s="1"/>
  <c r="N107" i="45"/>
  <c r="P19" i="45"/>
  <c r="O52" i="38"/>
  <c r="P21" i="45"/>
  <c r="P4" i="45"/>
  <c r="P14" i="45"/>
  <c r="P5" i="45"/>
  <c r="P20" i="45"/>
  <c r="O53" i="38"/>
  <c r="P23" i="45"/>
  <c r="Q6" i="45"/>
  <c r="P12" i="45"/>
  <c r="AB9" i="75" l="1"/>
  <c r="AC9" i="75" s="1"/>
  <c r="AB17" i="75"/>
  <c r="AC17" i="75" s="1"/>
  <c r="AB25" i="75"/>
  <c r="AC25" i="75" s="1"/>
  <c r="AB43" i="75"/>
  <c r="AC43" i="75" s="1"/>
  <c r="C179" i="52"/>
  <c r="AB59" i="75"/>
  <c r="AC59" i="75" s="1"/>
  <c r="AB35" i="75"/>
  <c r="AC35" i="75" s="1"/>
  <c r="M118" i="64"/>
  <c r="AR53" i="2"/>
  <c r="AL53" i="2" s="1"/>
  <c r="J54" i="79" s="1"/>
  <c r="V54" i="79" s="1"/>
  <c r="M152" i="58"/>
  <c r="M159" i="58" s="1"/>
  <c r="AS108" i="2"/>
  <c r="AM108" i="2" s="1"/>
  <c r="K114" i="79" s="1"/>
  <c r="W114" i="79" s="1"/>
  <c r="M118" i="66"/>
  <c r="M125" i="66" s="1"/>
  <c r="AR141" i="2"/>
  <c r="AL141" i="2" s="1"/>
  <c r="J150" i="79" s="1"/>
  <c r="V150" i="79" s="1"/>
  <c r="AH129" i="2"/>
  <c r="F137" i="79" s="1"/>
  <c r="R137" i="79" s="1"/>
  <c r="R142" i="79" s="1"/>
  <c r="AI129" i="2"/>
  <c r="G137" i="79" s="1"/>
  <c r="S137" i="79" s="1"/>
  <c r="S142" i="79" s="1"/>
  <c r="M152" i="57"/>
  <c r="M159" i="57" s="1"/>
  <c r="AS97" i="2"/>
  <c r="AM97" i="2" s="1"/>
  <c r="K102" i="79" s="1"/>
  <c r="W102" i="79" s="1"/>
  <c r="M123" i="58"/>
  <c r="M127" i="58" s="1"/>
  <c r="AR108" i="2"/>
  <c r="AL108" i="2" s="1"/>
  <c r="J114" i="79" s="1"/>
  <c r="V114" i="79" s="1"/>
  <c r="M152" i="55"/>
  <c r="AS130" i="2"/>
  <c r="AM130" i="2" s="1"/>
  <c r="K138" i="79" s="1"/>
  <c r="W138" i="79" s="1"/>
  <c r="M118" i="61"/>
  <c r="M125" i="61" s="1"/>
  <c r="AR9" i="2"/>
  <c r="AL9" i="2" s="1"/>
  <c r="J6" i="79" s="1"/>
  <c r="V6" i="79" s="1"/>
  <c r="M101" i="58"/>
  <c r="M108" i="58" s="1"/>
  <c r="AP108" i="2"/>
  <c r="AJ108" i="2" s="1"/>
  <c r="H114" i="79" s="1"/>
  <c r="T114" i="79" s="1"/>
  <c r="M152" i="38"/>
  <c r="AS20" i="2"/>
  <c r="AM20" i="2" s="1"/>
  <c r="K18" i="79" s="1"/>
  <c r="W18" i="79" s="1"/>
  <c r="AH52" i="2"/>
  <c r="F53" i="79" s="1"/>
  <c r="R53" i="79" s="1"/>
  <c r="R58" i="79" s="1"/>
  <c r="AI52" i="2"/>
  <c r="G53" i="79" s="1"/>
  <c r="S53" i="79" s="1"/>
  <c r="S58" i="79" s="1"/>
  <c r="C251" i="45"/>
  <c r="C58" i="62" s="1"/>
  <c r="C154" i="62" s="1"/>
  <c r="C161" i="62" s="1"/>
  <c r="C163" i="62" s="1"/>
  <c r="C170" i="62" s="1"/>
  <c r="D53" i="74"/>
  <c r="D60" i="74"/>
  <c r="D9" i="75"/>
  <c r="E9" i="75" s="1"/>
  <c r="C177" i="62"/>
  <c r="D68" i="74"/>
  <c r="C177" i="64"/>
  <c r="D76" i="74"/>
  <c r="C186" i="67"/>
  <c r="D110" i="74"/>
  <c r="C178" i="53"/>
  <c r="D94" i="74"/>
  <c r="C194" i="51"/>
  <c r="D86" i="74"/>
  <c r="C187" i="51"/>
  <c r="C188" i="52"/>
  <c r="C187" i="62"/>
  <c r="C187" i="52"/>
  <c r="C178" i="52"/>
  <c r="C194" i="53"/>
  <c r="C179" i="53"/>
  <c r="C186" i="53"/>
  <c r="C194" i="52"/>
  <c r="C188" i="53"/>
  <c r="C179" i="51"/>
  <c r="C188" i="51"/>
  <c r="C178" i="51"/>
  <c r="C188" i="67"/>
  <c r="D192" i="63"/>
  <c r="D193" i="64"/>
  <c r="D192" i="62"/>
  <c r="D187" i="63"/>
  <c r="D186" i="64"/>
  <c r="C194" i="67"/>
  <c r="C178" i="67"/>
  <c r="C179" i="67"/>
  <c r="D177" i="62"/>
  <c r="D193" i="63"/>
  <c r="D177" i="57"/>
  <c r="F214" i="45"/>
  <c r="F230" i="45" s="1"/>
  <c r="E246" i="45"/>
  <c r="E262" i="45" s="1"/>
  <c r="D59" i="67"/>
  <c r="D154" i="67" s="1"/>
  <c r="D161" i="67" s="1"/>
  <c r="D163" i="67" s="1"/>
  <c r="D170" i="67" s="1"/>
  <c r="D186" i="67" s="1"/>
  <c r="D245" i="45"/>
  <c r="D261" i="45" s="1"/>
  <c r="C59" i="66"/>
  <c r="C154" i="66" s="1"/>
  <c r="C161" i="66" s="1"/>
  <c r="C163" i="66" s="1"/>
  <c r="C170" i="66" s="1"/>
  <c r="F213" i="45"/>
  <c r="F229" i="45" s="1"/>
  <c r="E58" i="66"/>
  <c r="E137" i="66" s="1"/>
  <c r="E144" i="66" s="1"/>
  <c r="E146" i="66" s="1"/>
  <c r="E168" i="66" s="1"/>
  <c r="D244" i="45"/>
  <c r="D260" i="45" s="1"/>
  <c r="C59" i="55"/>
  <c r="C154" i="55" s="1"/>
  <c r="C161" i="55" s="1"/>
  <c r="C163" i="55" s="1"/>
  <c r="C170" i="55" s="1"/>
  <c r="F212" i="45"/>
  <c r="F228" i="45" s="1"/>
  <c r="E58" i="55"/>
  <c r="E137" i="55" s="1"/>
  <c r="E144" i="55" s="1"/>
  <c r="E146" i="55" s="1"/>
  <c r="E168" i="55" s="1"/>
  <c r="D243" i="45"/>
  <c r="D259" i="45" s="1"/>
  <c r="C59" i="65"/>
  <c r="C154" i="65" s="1"/>
  <c r="C161" i="65" s="1"/>
  <c r="C163" i="65" s="1"/>
  <c r="C170" i="65" s="1"/>
  <c r="F211" i="45"/>
  <c r="F227" i="45" s="1"/>
  <c r="D242" i="45"/>
  <c r="D258" i="45" s="1"/>
  <c r="C59" i="58"/>
  <c r="C154" i="58" s="1"/>
  <c r="C161" i="58" s="1"/>
  <c r="C163" i="58" s="1"/>
  <c r="C170" i="58" s="1"/>
  <c r="F210" i="45"/>
  <c r="F226" i="45" s="1"/>
  <c r="D241" i="45"/>
  <c r="D257" i="45" s="1"/>
  <c r="D193" i="57"/>
  <c r="D192" i="57"/>
  <c r="F209" i="45"/>
  <c r="F225" i="45" s="1"/>
  <c r="E58" i="57"/>
  <c r="E137" i="57" s="1"/>
  <c r="E144" i="57" s="1"/>
  <c r="E146" i="57" s="1"/>
  <c r="E168" i="57" s="1"/>
  <c r="E177" i="57" s="1"/>
  <c r="F208" i="45"/>
  <c r="F224" i="45" s="1"/>
  <c r="E240" i="45"/>
  <c r="E256" i="45" s="1"/>
  <c r="D59" i="52"/>
  <c r="D154" i="52" s="1"/>
  <c r="D161" i="52" s="1"/>
  <c r="D163" i="52" s="1"/>
  <c r="D170" i="52" s="1"/>
  <c r="D187" i="52" s="1"/>
  <c r="D187" i="53"/>
  <c r="D177" i="53"/>
  <c r="D192" i="53"/>
  <c r="D193" i="53"/>
  <c r="F207" i="45"/>
  <c r="F223" i="45" s="1"/>
  <c r="E57" i="53"/>
  <c r="E137" i="53" s="1"/>
  <c r="E144" i="53" s="1"/>
  <c r="E146" i="53" s="1"/>
  <c r="E168" i="53" s="1"/>
  <c r="E193" i="53" s="1"/>
  <c r="E239" i="45"/>
  <c r="E255" i="45" s="1"/>
  <c r="D58" i="53"/>
  <c r="D154" i="53" s="1"/>
  <c r="D161" i="53" s="1"/>
  <c r="D163" i="53" s="1"/>
  <c r="D170" i="53" s="1"/>
  <c r="D178" i="53" s="1"/>
  <c r="F206" i="45"/>
  <c r="F222" i="45" s="1"/>
  <c r="E238" i="45"/>
  <c r="E254" i="45" s="1"/>
  <c r="D58" i="51"/>
  <c r="D154" i="51" s="1"/>
  <c r="D161" i="51" s="1"/>
  <c r="D163" i="51" s="1"/>
  <c r="D170" i="51" s="1"/>
  <c r="D178" i="51" s="1"/>
  <c r="D237" i="45"/>
  <c r="D253" i="45" s="1"/>
  <c r="C58" i="64"/>
  <c r="C154" i="64" s="1"/>
  <c r="C161" i="64" s="1"/>
  <c r="C163" i="64" s="1"/>
  <c r="C170" i="64" s="1"/>
  <c r="D192" i="64"/>
  <c r="F205" i="45"/>
  <c r="F221" i="45" s="1"/>
  <c r="E57" i="64"/>
  <c r="E137" i="64" s="1"/>
  <c r="E144" i="64" s="1"/>
  <c r="E146" i="64" s="1"/>
  <c r="E168" i="64" s="1"/>
  <c r="E177" i="64" s="1"/>
  <c r="D236" i="45"/>
  <c r="D252" i="45" s="1"/>
  <c r="C58" i="63"/>
  <c r="C154" i="63" s="1"/>
  <c r="C161" i="63" s="1"/>
  <c r="C163" i="63" s="1"/>
  <c r="C170" i="63" s="1"/>
  <c r="F204" i="45"/>
  <c r="F220" i="45" s="1"/>
  <c r="D187" i="62"/>
  <c r="D235" i="45"/>
  <c r="D251" i="45" s="1"/>
  <c r="F203" i="45"/>
  <c r="F219" i="45" s="1"/>
  <c r="E57" i="62"/>
  <c r="E137" i="62" s="1"/>
  <c r="E144" i="62" s="1"/>
  <c r="E146" i="62" s="1"/>
  <c r="E168" i="62" s="1"/>
  <c r="E177" i="62" s="1"/>
  <c r="D234" i="45"/>
  <c r="D250" i="45" s="1"/>
  <c r="C58" i="38"/>
  <c r="F202" i="45"/>
  <c r="F218" i="45" s="1"/>
  <c r="E57" i="38"/>
  <c r="D233" i="45"/>
  <c r="D249" i="45" s="1"/>
  <c r="C58" i="61"/>
  <c r="C154" i="61" s="1"/>
  <c r="C161" i="61" s="1"/>
  <c r="C163" i="61" s="1"/>
  <c r="C170" i="61" s="1"/>
  <c r="F201" i="45"/>
  <c r="F217" i="45" s="1"/>
  <c r="C192" i="64"/>
  <c r="C193" i="62"/>
  <c r="C186" i="64"/>
  <c r="C193" i="64"/>
  <c r="C192" i="62"/>
  <c r="E57" i="63"/>
  <c r="E137" i="63" s="1"/>
  <c r="E144" i="63" s="1"/>
  <c r="E146" i="63" s="1"/>
  <c r="E168" i="63" s="1"/>
  <c r="E187" i="63" s="1"/>
  <c r="E58" i="52"/>
  <c r="E137" i="52" s="1"/>
  <c r="E144" i="52" s="1"/>
  <c r="E146" i="52" s="1"/>
  <c r="E168" i="52" s="1"/>
  <c r="C187" i="55"/>
  <c r="C193" i="55"/>
  <c r="C177" i="55"/>
  <c r="C192" i="55"/>
  <c r="D58" i="58"/>
  <c r="D137" i="58" s="1"/>
  <c r="D144" i="58" s="1"/>
  <c r="D146" i="58" s="1"/>
  <c r="D168" i="58" s="1"/>
  <c r="C192" i="61"/>
  <c r="C186" i="61"/>
  <c r="C193" i="61"/>
  <c r="C177" i="61"/>
  <c r="C192" i="63"/>
  <c r="C187" i="63"/>
  <c r="C177" i="63"/>
  <c r="C193" i="63"/>
  <c r="D57" i="61"/>
  <c r="D137" i="61" s="1"/>
  <c r="D144" i="61" s="1"/>
  <c r="D146" i="61" s="1"/>
  <c r="D168" i="61" s="1"/>
  <c r="D192" i="55"/>
  <c r="D177" i="55"/>
  <c r="D187" i="55"/>
  <c r="D193" i="55"/>
  <c r="D58" i="65"/>
  <c r="D137" i="65" s="1"/>
  <c r="D144" i="65" s="1"/>
  <c r="D146" i="65" s="1"/>
  <c r="D168" i="65" s="1"/>
  <c r="D187" i="67"/>
  <c r="D193" i="67"/>
  <c r="D177" i="67"/>
  <c r="D192" i="67"/>
  <c r="C193" i="57"/>
  <c r="C177" i="57"/>
  <c r="C187" i="57"/>
  <c r="C192" i="57"/>
  <c r="D57" i="51"/>
  <c r="D137" i="51" s="1"/>
  <c r="D144" i="51" s="1"/>
  <c r="D146" i="51" s="1"/>
  <c r="D168" i="51" s="1"/>
  <c r="E58" i="67"/>
  <c r="E137" i="67" s="1"/>
  <c r="E144" i="67" s="1"/>
  <c r="E146" i="67" s="1"/>
  <c r="E168" i="67" s="1"/>
  <c r="C192" i="52"/>
  <c r="C193" i="52"/>
  <c r="C186" i="52"/>
  <c r="C177" i="52"/>
  <c r="D177" i="66"/>
  <c r="D193" i="66"/>
  <c r="D187" i="66"/>
  <c r="D192" i="66"/>
  <c r="D186" i="52"/>
  <c r="D193" i="52"/>
  <c r="D177" i="52"/>
  <c r="D192" i="52"/>
  <c r="O48" i="52"/>
  <c r="O50" i="52" s="1"/>
  <c r="O48" i="51"/>
  <c r="O50" i="51" s="1"/>
  <c r="O48" i="53"/>
  <c r="O50" i="53" s="1"/>
  <c r="O48" i="63"/>
  <c r="O50" i="63" s="1"/>
  <c r="O119" i="63" s="1"/>
  <c r="O126" i="63" s="1"/>
  <c r="N174" i="64"/>
  <c r="N180" i="64" s="1"/>
  <c r="O78" i="64"/>
  <c r="O165" i="64" s="1"/>
  <c r="O171" i="64" s="1"/>
  <c r="N183" i="64"/>
  <c r="N189" i="64" s="1"/>
  <c r="K184" i="58"/>
  <c r="O48" i="64"/>
  <c r="O50" i="64" s="1"/>
  <c r="O153" i="64" s="1"/>
  <c r="O160" i="64" s="1"/>
  <c r="O48" i="66"/>
  <c r="O50" i="66" s="1"/>
  <c r="O119" i="66" s="1"/>
  <c r="O126" i="66" s="1"/>
  <c r="O48" i="65"/>
  <c r="O50" i="65" s="1"/>
  <c r="O119" i="65" s="1"/>
  <c r="O126" i="65" s="1"/>
  <c r="K185" i="58"/>
  <c r="O174" i="63"/>
  <c r="O180" i="63" s="1"/>
  <c r="O183" i="63"/>
  <c r="O189" i="63" s="1"/>
  <c r="O171" i="63"/>
  <c r="O183" i="67"/>
  <c r="O189" i="67" s="1"/>
  <c r="O171" i="67"/>
  <c r="O174" i="67"/>
  <c r="O180" i="67" s="1"/>
  <c r="Q44" i="62"/>
  <c r="Q102" i="62" s="1"/>
  <c r="Q109" i="62" s="1"/>
  <c r="Q44" i="67"/>
  <c r="Q102" i="67" s="1"/>
  <c r="Q109" i="67" s="1"/>
  <c r="Q44" i="65"/>
  <c r="Q102" i="65" s="1"/>
  <c r="Q109" i="65" s="1"/>
  <c r="Q44" i="66"/>
  <c r="Q102" i="66" s="1"/>
  <c r="Q109" i="66" s="1"/>
  <c r="Q44" i="63"/>
  <c r="Q102" i="63" s="1"/>
  <c r="Q109" i="63" s="1"/>
  <c r="Q44" i="64"/>
  <c r="Q102" i="64" s="1"/>
  <c r="Q109" i="64" s="1"/>
  <c r="O171" i="66"/>
  <c r="O183" i="66"/>
  <c r="O189" i="66" s="1"/>
  <c r="O174" i="66"/>
  <c r="O180" i="66" s="1"/>
  <c r="O174" i="65"/>
  <c r="O180" i="65" s="1"/>
  <c r="O183" i="65"/>
  <c r="O189" i="65" s="1"/>
  <c r="O171" i="65"/>
  <c r="O48" i="55"/>
  <c r="O50" i="55" s="1"/>
  <c r="P52" i="66"/>
  <c r="P52" i="67"/>
  <c r="P52" i="65"/>
  <c r="P52" i="64"/>
  <c r="P52" i="63"/>
  <c r="P43" i="62"/>
  <c r="P85" i="62" s="1"/>
  <c r="P92" i="62" s="1"/>
  <c r="P95" i="62" s="1"/>
  <c r="P166" i="62" s="1"/>
  <c r="P43" i="67"/>
  <c r="P85" i="67" s="1"/>
  <c r="P92" i="67" s="1"/>
  <c r="P95" i="67" s="1"/>
  <c r="P166" i="67" s="1"/>
  <c r="P43" i="66"/>
  <c r="P85" i="66" s="1"/>
  <c r="P92" i="66" s="1"/>
  <c r="P95" i="66" s="1"/>
  <c r="P166" i="66" s="1"/>
  <c r="P43" i="65"/>
  <c r="P85" i="65" s="1"/>
  <c r="P92" i="65" s="1"/>
  <c r="P95" i="65" s="1"/>
  <c r="P166" i="65" s="1"/>
  <c r="P43" i="64"/>
  <c r="P85" i="64" s="1"/>
  <c r="P92" i="64" s="1"/>
  <c r="P95" i="64" s="1"/>
  <c r="P166" i="64" s="1"/>
  <c r="P43" i="63"/>
  <c r="P85" i="63" s="1"/>
  <c r="P92" i="63" s="1"/>
  <c r="P95" i="63" s="1"/>
  <c r="P166" i="63" s="1"/>
  <c r="O48" i="57"/>
  <c r="O50" i="57" s="1"/>
  <c r="O48" i="62"/>
  <c r="O50" i="62" s="1"/>
  <c r="O153" i="62" s="1"/>
  <c r="O160" i="62" s="1"/>
  <c r="P46" i="62"/>
  <c r="P46" i="66"/>
  <c r="P46" i="67"/>
  <c r="P46" i="65"/>
  <c r="P46" i="63"/>
  <c r="P46" i="64"/>
  <c r="P49" i="52"/>
  <c r="P49" i="65"/>
  <c r="P49" i="51"/>
  <c r="P49" i="55"/>
  <c r="P49" i="66"/>
  <c r="P49" i="58"/>
  <c r="P49" i="67"/>
  <c r="P49" i="53"/>
  <c r="P49" i="57"/>
  <c r="P53" i="66"/>
  <c r="P53" i="67"/>
  <c r="P53" i="65"/>
  <c r="P53" i="63"/>
  <c r="P53" i="64"/>
  <c r="O48" i="58"/>
  <c r="O50" i="58" s="1"/>
  <c r="P42" i="62"/>
  <c r="P68" i="62" s="1"/>
  <c r="P75" i="62" s="1"/>
  <c r="P78" i="62" s="1"/>
  <c r="P165" i="62" s="1"/>
  <c r="P42" i="66"/>
  <c r="P68" i="66" s="1"/>
  <c r="P75" i="66" s="1"/>
  <c r="P78" i="66" s="1"/>
  <c r="P165" i="66" s="1"/>
  <c r="P42" i="67"/>
  <c r="P68" i="67" s="1"/>
  <c r="P75" i="67" s="1"/>
  <c r="P78" i="67" s="1"/>
  <c r="P165" i="67" s="1"/>
  <c r="P42" i="65"/>
  <c r="P68" i="65" s="1"/>
  <c r="P75" i="65" s="1"/>
  <c r="P78" i="65" s="1"/>
  <c r="P165" i="65" s="1"/>
  <c r="P42" i="63"/>
  <c r="P68" i="63" s="1"/>
  <c r="P75" i="63" s="1"/>
  <c r="P78" i="63" s="1"/>
  <c r="P165" i="63" s="1"/>
  <c r="P174" i="63" s="1"/>
  <c r="P180" i="63" s="1"/>
  <c r="P42" i="64"/>
  <c r="P68" i="64" s="1"/>
  <c r="P75" i="64" s="1"/>
  <c r="O48" i="67"/>
  <c r="O50" i="67" s="1"/>
  <c r="O119" i="67" s="1"/>
  <c r="O126" i="67" s="1"/>
  <c r="L129" i="58"/>
  <c r="L169" i="58" s="1"/>
  <c r="L184" i="58" s="1"/>
  <c r="N153" i="66"/>
  <c r="N160" i="66" s="1"/>
  <c r="N119" i="67"/>
  <c r="N126" i="67" s="1"/>
  <c r="N153" i="65"/>
  <c r="N160" i="65" s="1"/>
  <c r="N153" i="62"/>
  <c r="N160" i="62" s="1"/>
  <c r="N153" i="64"/>
  <c r="N160" i="64" s="1"/>
  <c r="N119" i="63"/>
  <c r="N126" i="63" s="1"/>
  <c r="N118" i="58"/>
  <c r="N125" i="58" s="1"/>
  <c r="L112" i="58"/>
  <c r="L167" i="58" s="1"/>
  <c r="L185" i="58" s="1"/>
  <c r="N140" i="61"/>
  <c r="N123" i="58"/>
  <c r="N127" i="58" s="1"/>
  <c r="N133" i="58"/>
  <c r="N145" i="58" s="1"/>
  <c r="P45" i="62"/>
  <c r="P45" i="67"/>
  <c r="P45" i="66"/>
  <c r="P45" i="65"/>
  <c r="P45" i="64"/>
  <c r="P45" i="63"/>
  <c r="K175" i="64"/>
  <c r="P51" i="62"/>
  <c r="P136" i="62" s="1"/>
  <c r="P143" i="62" s="1"/>
  <c r="P51" i="66"/>
  <c r="P136" i="66" s="1"/>
  <c r="P143" i="66" s="1"/>
  <c r="P51" i="65"/>
  <c r="P136" i="65" s="1"/>
  <c r="P143" i="65" s="1"/>
  <c r="P51" i="67"/>
  <c r="P136" i="67" s="1"/>
  <c r="P143" i="67" s="1"/>
  <c r="P51" i="63"/>
  <c r="P136" i="63" s="1"/>
  <c r="P143" i="63" s="1"/>
  <c r="P51" i="64"/>
  <c r="P136" i="64" s="1"/>
  <c r="P143" i="64" s="1"/>
  <c r="M118" i="58"/>
  <c r="M125" i="58" s="1"/>
  <c r="M116" i="58"/>
  <c r="M128" i="58" s="1"/>
  <c r="N135" i="53"/>
  <c r="N142" i="53" s="1"/>
  <c r="N133" i="53"/>
  <c r="N145" i="53" s="1"/>
  <c r="N140" i="53"/>
  <c r="N135" i="52"/>
  <c r="N142" i="52" s="1"/>
  <c r="N133" i="52"/>
  <c r="N145" i="52" s="1"/>
  <c r="N135" i="61"/>
  <c r="N142" i="61" s="1"/>
  <c r="N140" i="58"/>
  <c r="M157" i="58"/>
  <c r="P49" i="62"/>
  <c r="P49" i="64"/>
  <c r="P49" i="63"/>
  <c r="N140" i="67"/>
  <c r="N133" i="67"/>
  <c r="N145" i="67" s="1"/>
  <c r="N135" i="67"/>
  <c r="N142" i="67" s="1"/>
  <c r="N133" i="51"/>
  <c r="N145" i="51" s="1"/>
  <c r="N135" i="51"/>
  <c r="N142" i="51" s="1"/>
  <c r="O136" i="45"/>
  <c r="O132" i="67" s="1"/>
  <c r="N140" i="52"/>
  <c r="O135" i="45"/>
  <c r="O132" i="52" s="1"/>
  <c r="O129" i="45"/>
  <c r="O132" i="51" s="1"/>
  <c r="O134" i="45"/>
  <c r="O132" i="53" s="1"/>
  <c r="L129" i="65"/>
  <c r="L169" i="65" s="1"/>
  <c r="L184" i="65" s="1"/>
  <c r="M106" i="58"/>
  <c r="M110" i="58" s="1"/>
  <c r="M99" i="58"/>
  <c r="M111" i="58" s="1"/>
  <c r="M129" i="67"/>
  <c r="M169" i="67" s="1"/>
  <c r="M129" i="63"/>
  <c r="M169" i="63" s="1"/>
  <c r="L176" i="67"/>
  <c r="L129" i="66"/>
  <c r="L169" i="66" s="1"/>
  <c r="L184" i="66" s="1"/>
  <c r="Q157" i="45"/>
  <c r="P55" i="64"/>
  <c r="P69" i="64" s="1"/>
  <c r="P76" i="64" s="1"/>
  <c r="M116" i="65"/>
  <c r="M128" i="65" s="1"/>
  <c r="M118" i="65"/>
  <c r="M125" i="65" s="1"/>
  <c r="M123" i="65"/>
  <c r="M127" i="65" s="1"/>
  <c r="N140" i="63"/>
  <c r="N133" i="63"/>
  <c r="N145" i="63" s="1"/>
  <c r="N135" i="63"/>
  <c r="N142" i="63" s="1"/>
  <c r="N133" i="65"/>
  <c r="N145" i="65" s="1"/>
  <c r="N140" i="65"/>
  <c r="N135" i="65"/>
  <c r="N142" i="65" s="1"/>
  <c r="K184" i="65"/>
  <c r="K175" i="65"/>
  <c r="N115" i="66"/>
  <c r="N118" i="66" s="1"/>
  <c r="N115" i="64"/>
  <c r="N118" i="64" s="1"/>
  <c r="M150" i="58"/>
  <c r="M162" i="58" s="1"/>
  <c r="L129" i="64"/>
  <c r="L169" i="64" s="1"/>
  <c r="N116" i="65"/>
  <c r="N128" i="65" s="1"/>
  <c r="N118" i="65"/>
  <c r="N125" i="65" s="1"/>
  <c r="N123" i="65"/>
  <c r="N127" i="65" s="1"/>
  <c r="O132" i="66"/>
  <c r="O132" i="64"/>
  <c r="K175" i="66"/>
  <c r="K184" i="66"/>
  <c r="N116" i="63"/>
  <c r="N128" i="63" s="1"/>
  <c r="N123" i="63"/>
  <c r="N127" i="63" s="1"/>
  <c r="N125" i="63"/>
  <c r="O132" i="61"/>
  <c r="O133" i="61" s="1"/>
  <c r="O145" i="61" s="1"/>
  <c r="O132" i="63"/>
  <c r="N116" i="67"/>
  <c r="N128" i="67" s="1"/>
  <c r="N125" i="67"/>
  <c r="N123" i="67"/>
  <c r="N127" i="67" s="1"/>
  <c r="N150" i="67"/>
  <c r="N162" i="67" s="1"/>
  <c r="N152" i="67"/>
  <c r="N159" i="67" s="1"/>
  <c r="N157" i="67"/>
  <c r="O125" i="63"/>
  <c r="O116" i="63"/>
  <c r="O128" i="63" s="1"/>
  <c r="O123" i="63"/>
  <c r="O127" i="63" s="1"/>
  <c r="N149" i="58"/>
  <c r="N152" i="58" s="1"/>
  <c r="N159" i="58" s="1"/>
  <c r="N149" i="65"/>
  <c r="O132" i="58"/>
  <c r="O135" i="58" s="1"/>
  <c r="O142" i="58" s="1"/>
  <c r="O132" i="65"/>
  <c r="L184" i="63"/>
  <c r="L175" i="63"/>
  <c r="M150" i="63"/>
  <c r="M162" i="63" s="1"/>
  <c r="M152" i="63"/>
  <c r="M159" i="63" s="1"/>
  <c r="M157" i="63"/>
  <c r="M116" i="64"/>
  <c r="M128" i="64" s="1"/>
  <c r="M123" i="64"/>
  <c r="M127" i="64" s="1"/>
  <c r="M125" i="64"/>
  <c r="N149" i="55"/>
  <c r="N152" i="55" s="1"/>
  <c r="N159" i="55" s="1"/>
  <c r="N149" i="66"/>
  <c r="N149" i="64"/>
  <c r="M150" i="65"/>
  <c r="M162" i="65" s="1"/>
  <c r="M157" i="65"/>
  <c r="M152" i="65"/>
  <c r="M159" i="65" s="1"/>
  <c r="M150" i="61"/>
  <c r="M162" i="61" s="1"/>
  <c r="M157" i="61"/>
  <c r="M152" i="61"/>
  <c r="M159" i="61" s="1"/>
  <c r="M116" i="66"/>
  <c r="M128" i="66" s="1"/>
  <c r="M123" i="66"/>
  <c r="M127" i="66" s="1"/>
  <c r="M150" i="64"/>
  <c r="M162" i="64" s="1"/>
  <c r="M157" i="64"/>
  <c r="M152" i="64"/>
  <c r="M159" i="64" s="1"/>
  <c r="N133" i="64"/>
  <c r="N145" i="64" s="1"/>
  <c r="N140" i="64"/>
  <c r="N135" i="64"/>
  <c r="N142" i="64" s="1"/>
  <c r="N149" i="61"/>
  <c r="N150" i="61" s="1"/>
  <c r="N162" i="61" s="1"/>
  <c r="N149" i="63"/>
  <c r="M150" i="66"/>
  <c r="M162" i="66" s="1"/>
  <c r="M152" i="66"/>
  <c r="M159" i="66" s="1"/>
  <c r="M157" i="66"/>
  <c r="N133" i="66"/>
  <c r="N145" i="66" s="1"/>
  <c r="N140" i="66"/>
  <c r="N135" i="66"/>
  <c r="N142" i="66" s="1"/>
  <c r="N99" i="67"/>
  <c r="N111" i="67" s="1"/>
  <c r="N106" i="67"/>
  <c r="N110" i="67" s="1"/>
  <c r="N101" i="67"/>
  <c r="N108" i="67" s="1"/>
  <c r="L112" i="65"/>
  <c r="L167" i="65" s="1"/>
  <c r="L112" i="66"/>
  <c r="L167" i="66" s="1"/>
  <c r="M99" i="64"/>
  <c r="M111" i="64" s="1"/>
  <c r="M101" i="64"/>
  <c r="M108" i="64" s="1"/>
  <c r="M106" i="64"/>
  <c r="M110" i="64" s="1"/>
  <c r="M99" i="66"/>
  <c r="M111" i="66" s="1"/>
  <c r="M106" i="66"/>
  <c r="M110" i="66" s="1"/>
  <c r="M101" i="66"/>
  <c r="M108" i="66" s="1"/>
  <c r="K185" i="64"/>
  <c r="K176" i="64"/>
  <c r="M112" i="63"/>
  <c r="M167" i="63" s="1"/>
  <c r="AP41" i="2" s="1"/>
  <c r="AJ41" i="2" s="1"/>
  <c r="H41" i="79" s="1"/>
  <c r="T41" i="79" s="1"/>
  <c r="T46" i="79" s="1"/>
  <c r="L112" i="64"/>
  <c r="L167" i="64" s="1"/>
  <c r="M112" i="67"/>
  <c r="M167" i="67" s="1"/>
  <c r="AP151" i="2" s="1"/>
  <c r="AJ151" i="2" s="1"/>
  <c r="H161" i="79" s="1"/>
  <c r="T161" i="79" s="1"/>
  <c r="T166" i="79" s="1"/>
  <c r="K185" i="65"/>
  <c r="K176" i="65"/>
  <c r="K185" i="66"/>
  <c r="K176" i="66"/>
  <c r="M99" i="65"/>
  <c r="M111" i="65" s="1"/>
  <c r="M106" i="65"/>
  <c r="M110" i="65" s="1"/>
  <c r="M101" i="65"/>
  <c r="M108" i="65" s="1"/>
  <c r="N106" i="63"/>
  <c r="N110" i="63" s="1"/>
  <c r="N101" i="63"/>
  <c r="N108" i="63" s="1"/>
  <c r="N99" i="63"/>
  <c r="N111" i="63" s="1"/>
  <c r="N98" i="66"/>
  <c r="N98" i="64"/>
  <c r="N98" i="58"/>
  <c r="N101" i="58" s="1"/>
  <c r="N108" i="58" s="1"/>
  <c r="N98" i="65"/>
  <c r="L176" i="63"/>
  <c r="L185" i="63"/>
  <c r="N150" i="51"/>
  <c r="N162" i="51" s="1"/>
  <c r="N152" i="51"/>
  <c r="N159" i="51" s="1"/>
  <c r="O145" i="45"/>
  <c r="O183" i="62"/>
  <c r="O189" i="62" s="1"/>
  <c r="O174" i="62"/>
  <c r="O180" i="62" s="1"/>
  <c r="N142" i="57"/>
  <c r="N140" i="57"/>
  <c r="N133" i="57"/>
  <c r="N145" i="57" s="1"/>
  <c r="N133" i="62"/>
  <c r="N145" i="62" s="1"/>
  <c r="N135" i="62"/>
  <c r="N142" i="62" s="1"/>
  <c r="N140" i="62"/>
  <c r="O132" i="62"/>
  <c r="O132" i="57"/>
  <c r="O135" i="57" s="1"/>
  <c r="L184" i="62"/>
  <c r="L175" i="62"/>
  <c r="P53" i="61"/>
  <c r="P75" i="45"/>
  <c r="P73" i="45"/>
  <c r="P78" i="45"/>
  <c r="P71" i="45"/>
  <c r="P76" i="45"/>
  <c r="P74" i="45"/>
  <c r="P72" i="45"/>
  <c r="P77" i="45"/>
  <c r="P70" i="45"/>
  <c r="P53" i="62"/>
  <c r="L185" i="62"/>
  <c r="L176" i="62"/>
  <c r="N116" i="62"/>
  <c r="N128" i="62" s="1"/>
  <c r="N125" i="62"/>
  <c r="N123" i="62"/>
  <c r="N127" i="62" s="1"/>
  <c r="N99" i="62"/>
  <c r="N111" i="62" s="1"/>
  <c r="N101" i="62"/>
  <c r="N108" i="62" s="1"/>
  <c r="N106" i="62"/>
  <c r="N110" i="62" s="1"/>
  <c r="M112" i="62"/>
  <c r="M167" i="62" s="1"/>
  <c r="AP30" i="2" s="1"/>
  <c r="AJ30" i="2" s="1"/>
  <c r="H29" i="79" s="1"/>
  <c r="T29" i="79" s="1"/>
  <c r="T34" i="79" s="1"/>
  <c r="M129" i="62"/>
  <c r="M169" i="62" s="1"/>
  <c r="AR30" i="2" s="1"/>
  <c r="AL30" i="2" s="1"/>
  <c r="J29" i="79" s="1"/>
  <c r="V29" i="79" s="1"/>
  <c r="V34" i="79" s="1"/>
  <c r="P52" i="61"/>
  <c r="P61" i="45"/>
  <c r="P67" i="45"/>
  <c r="P62" i="45"/>
  <c r="P63" i="45"/>
  <c r="P64" i="45"/>
  <c r="P59" i="45"/>
  <c r="P65" i="45"/>
  <c r="P60" i="45"/>
  <c r="P66" i="45"/>
  <c r="P49" i="45"/>
  <c r="P130" i="45" s="1"/>
  <c r="P52" i="45"/>
  <c r="P133" i="45" s="1"/>
  <c r="P55" i="45"/>
  <c r="P56" i="45"/>
  <c r="P137" i="45" s="1"/>
  <c r="P50" i="45"/>
  <c r="P131" i="45" s="1"/>
  <c r="P53" i="45"/>
  <c r="P48" i="45"/>
  <c r="P129" i="45" s="1"/>
  <c r="P132" i="51" s="1"/>
  <c r="P51" i="45"/>
  <c r="P132" i="45" s="1"/>
  <c r="P54" i="45"/>
  <c r="P52" i="62"/>
  <c r="N150" i="62"/>
  <c r="N162" i="62" s="1"/>
  <c r="N157" i="62"/>
  <c r="N152" i="62"/>
  <c r="N159" i="62" s="1"/>
  <c r="L129" i="61"/>
  <c r="L169" i="61" s="1"/>
  <c r="L112" i="61"/>
  <c r="L167" i="61" s="1"/>
  <c r="L176" i="61" s="1"/>
  <c r="O115" i="61"/>
  <c r="O118" i="61" s="1"/>
  <c r="M116" i="61"/>
  <c r="M128" i="61" s="1"/>
  <c r="M123" i="61"/>
  <c r="M127" i="61" s="1"/>
  <c r="M99" i="61"/>
  <c r="M111" i="61" s="1"/>
  <c r="M101" i="61"/>
  <c r="M108" i="61" s="1"/>
  <c r="M106" i="61"/>
  <c r="M110" i="61" s="1"/>
  <c r="P43" i="38"/>
  <c r="P43" i="61"/>
  <c r="P85" i="61" s="1"/>
  <c r="P92" i="61" s="1"/>
  <c r="P95" i="61" s="1"/>
  <c r="P166" i="61" s="1"/>
  <c r="K185" i="61"/>
  <c r="K176" i="61"/>
  <c r="O48" i="61"/>
  <c r="O50" i="61" s="1"/>
  <c r="P51" i="38"/>
  <c r="P51" i="61"/>
  <c r="P136" i="61" s="1"/>
  <c r="P143" i="61" s="1"/>
  <c r="Q44" i="38"/>
  <c r="Q44" i="61"/>
  <c r="Q102" i="61" s="1"/>
  <c r="Q109" i="61" s="1"/>
  <c r="P45" i="38"/>
  <c r="P45" i="61"/>
  <c r="P49" i="61"/>
  <c r="P49" i="38"/>
  <c r="N98" i="61"/>
  <c r="P42" i="61"/>
  <c r="P68" i="61" s="1"/>
  <c r="P75" i="61" s="1"/>
  <c r="P78" i="61" s="1"/>
  <c r="P165" i="61" s="1"/>
  <c r="P42" i="38"/>
  <c r="O183" i="61"/>
  <c r="O189" i="61" s="1"/>
  <c r="O171" i="61"/>
  <c r="O174" i="61"/>
  <c r="O180" i="61" s="1"/>
  <c r="N119" i="61"/>
  <c r="N126" i="61" s="1"/>
  <c r="N153" i="61"/>
  <c r="N160" i="61" s="1"/>
  <c r="K184" i="61"/>
  <c r="K175" i="61"/>
  <c r="P46" i="61"/>
  <c r="P46" i="38"/>
  <c r="N115" i="61"/>
  <c r="N118" i="61" s="1"/>
  <c r="L176" i="51"/>
  <c r="N174" i="58"/>
  <c r="N180" i="58" s="1"/>
  <c r="N174" i="52"/>
  <c r="N180" i="52" s="1"/>
  <c r="L175" i="53"/>
  <c r="I48" i="38"/>
  <c r="I50" i="38" s="1"/>
  <c r="N171" i="58"/>
  <c r="L184" i="53"/>
  <c r="M112" i="51"/>
  <c r="M167" i="51" s="1"/>
  <c r="N171" i="52"/>
  <c r="N149" i="38"/>
  <c r="N152" i="38" s="1"/>
  <c r="M129" i="52"/>
  <c r="M169" i="52" s="1"/>
  <c r="AR85" i="2" s="1"/>
  <c r="AL85" i="2" s="1"/>
  <c r="J89" i="79" s="1"/>
  <c r="V89" i="79" s="1"/>
  <c r="V94" i="79" s="1"/>
  <c r="L112" i="55"/>
  <c r="L167" i="55" s="1"/>
  <c r="L185" i="55" s="1"/>
  <c r="P46" i="58"/>
  <c r="P46" i="57"/>
  <c r="P46" i="55"/>
  <c r="P46" i="53"/>
  <c r="P46" i="51"/>
  <c r="P46" i="52"/>
  <c r="L185" i="53"/>
  <c r="O75" i="55"/>
  <c r="O78" i="55" s="1"/>
  <c r="O165" i="55" s="1"/>
  <c r="N153" i="55"/>
  <c r="N160" i="55" s="1"/>
  <c r="N119" i="55"/>
  <c r="N126" i="55" s="1"/>
  <c r="N153" i="57"/>
  <c r="N160" i="57" s="1"/>
  <c r="N119" i="57"/>
  <c r="N126" i="57" s="1"/>
  <c r="O75" i="57"/>
  <c r="O78" i="57" s="1"/>
  <c r="O165" i="57" s="1"/>
  <c r="P42" i="58"/>
  <c r="P68" i="58" s="1"/>
  <c r="P42" i="57"/>
  <c r="P68" i="57" s="1"/>
  <c r="P42" i="55"/>
  <c r="P68" i="55" s="1"/>
  <c r="P42" i="53"/>
  <c r="P68" i="53" s="1"/>
  <c r="P42" i="52"/>
  <c r="P68" i="52" s="1"/>
  <c r="P42" i="51"/>
  <c r="P68" i="51" s="1"/>
  <c r="Q44" i="57"/>
  <c r="Q102" i="57" s="1"/>
  <c r="Q109" i="57" s="1"/>
  <c r="Q44" i="58"/>
  <c r="Q102" i="58" s="1"/>
  <c r="Q109" i="58" s="1"/>
  <c r="Q44" i="55"/>
  <c r="Q102" i="55" s="1"/>
  <c r="Q109" i="55" s="1"/>
  <c r="Q44" i="53"/>
  <c r="Q102" i="53" s="1"/>
  <c r="Q109" i="53" s="1"/>
  <c r="Q44" i="52"/>
  <c r="Q102" i="52" s="1"/>
  <c r="Q109" i="52" s="1"/>
  <c r="Q44" i="51"/>
  <c r="Q102" i="51" s="1"/>
  <c r="Q109" i="51" s="1"/>
  <c r="O75" i="58"/>
  <c r="O78" i="58" s="1"/>
  <c r="O165" i="58" s="1"/>
  <c r="N119" i="52"/>
  <c r="N126" i="52" s="1"/>
  <c r="N153" i="52"/>
  <c r="N160" i="52" s="1"/>
  <c r="N174" i="53"/>
  <c r="N180" i="53" s="1"/>
  <c r="N171" i="53"/>
  <c r="N183" i="53"/>
  <c r="N189" i="53" s="1"/>
  <c r="P45" i="58"/>
  <c r="P45" i="57"/>
  <c r="P45" i="55"/>
  <c r="P45" i="52"/>
  <c r="P45" i="53"/>
  <c r="P45" i="51"/>
  <c r="N119" i="53"/>
  <c r="N126" i="53" s="1"/>
  <c r="N153" i="53"/>
  <c r="N160" i="53" s="1"/>
  <c r="N174" i="51"/>
  <c r="N180" i="51" s="1"/>
  <c r="N183" i="51"/>
  <c r="N189" i="51" s="1"/>
  <c r="N171" i="51"/>
  <c r="M112" i="52"/>
  <c r="M167" i="52" s="1"/>
  <c r="N174" i="55"/>
  <c r="N180" i="55" s="1"/>
  <c r="N183" i="55"/>
  <c r="N189" i="55" s="1"/>
  <c r="N171" i="55"/>
  <c r="O75" i="51"/>
  <c r="O78" i="51" s="1"/>
  <c r="O165" i="51" s="1"/>
  <c r="P52" i="58"/>
  <c r="P52" i="55"/>
  <c r="P52" i="57"/>
  <c r="P52" i="53"/>
  <c r="P52" i="52"/>
  <c r="P52" i="51"/>
  <c r="P41" i="58"/>
  <c r="P67" i="58" s="1"/>
  <c r="P41" i="55"/>
  <c r="P67" i="55" s="1"/>
  <c r="P41" i="53"/>
  <c r="P67" i="53" s="1"/>
  <c r="P41" i="57"/>
  <c r="P67" i="57" s="1"/>
  <c r="P41" i="52"/>
  <c r="P67" i="52" s="1"/>
  <c r="P41" i="51"/>
  <c r="P67" i="51" s="1"/>
  <c r="P43" i="58"/>
  <c r="P85" i="58" s="1"/>
  <c r="P92" i="58" s="1"/>
  <c r="P95" i="58" s="1"/>
  <c r="P166" i="58" s="1"/>
  <c r="P43" i="57"/>
  <c r="P85" i="57" s="1"/>
  <c r="P92" i="57" s="1"/>
  <c r="P95" i="57" s="1"/>
  <c r="P166" i="57" s="1"/>
  <c r="P43" i="55"/>
  <c r="P85" i="55" s="1"/>
  <c r="P92" i="55" s="1"/>
  <c r="P95" i="55" s="1"/>
  <c r="P166" i="55" s="1"/>
  <c r="P43" i="53"/>
  <c r="P85" i="53" s="1"/>
  <c r="P92" i="53" s="1"/>
  <c r="P95" i="53" s="1"/>
  <c r="P166" i="53" s="1"/>
  <c r="P43" i="52"/>
  <c r="P85" i="52" s="1"/>
  <c r="P92" i="52" s="1"/>
  <c r="P95" i="52" s="1"/>
  <c r="P166" i="52" s="1"/>
  <c r="P43" i="51"/>
  <c r="P85" i="51" s="1"/>
  <c r="P92" i="51" s="1"/>
  <c r="P95" i="51" s="1"/>
  <c r="P166" i="51" s="1"/>
  <c r="N153" i="51"/>
  <c r="N160" i="51" s="1"/>
  <c r="N119" i="51"/>
  <c r="N126" i="51" s="1"/>
  <c r="O75" i="52"/>
  <c r="O78" i="52" s="1"/>
  <c r="O165" i="52" s="1"/>
  <c r="P53" i="58"/>
  <c r="P53" i="55"/>
  <c r="P53" i="57"/>
  <c r="P53" i="53"/>
  <c r="P53" i="52"/>
  <c r="P53" i="51"/>
  <c r="P51" i="58"/>
  <c r="P136" i="58" s="1"/>
  <c r="P143" i="58" s="1"/>
  <c r="P51" i="55"/>
  <c r="P136" i="55" s="1"/>
  <c r="P143" i="55" s="1"/>
  <c r="P51" i="57"/>
  <c r="P136" i="57" s="1"/>
  <c r="P143" i="57" s="1"/>
  <c r="P51" i="53"/>
  <c r="P136" i="53" s="1"/>
  <c r="P143" i="53" s="1"/>
  <c r="P51" i="52"/>
  <c r="P136" i="52" s="1"/>
  <c r="P143" i="52" s="1"/>
  <c r="P51" i="51"/>
  <c r="P136" i="51" s="1"/>
  <c r="P143" i="51" s="1"/>
  <c r="N183" i="57"/>
  <c r="N189" i="57" s="1"/>
  <c r="N171" i="57"/>
  <c r="N174" i="57"/>
  <c r="N180" i="57" s="1"/>
  <c r="N153" i="58"/>
  <c r="N160" i="58" s="1"/>
  <c r="N119" i="58"/>
  <c r="N126" i="58" s="1"/>
  <c r="O75" i="53"/>
  <c r="O78" i="53" s="1"/>
  <c r="O165" i="53" s="1"/>
  <c r="N150" i="53"/>
  <c r="N162" i="53" s="1"/>
  <c r="N159" i="53"/>
  <c r="N157" i="53"/>
  <c r="K184" i="55"/>
  <c r="K175" i="55"/>
  <c r="L112" i="57"/>
  <c r="L167" i="57" s="1"/>
  <c r="M150" i="55"/>
  <c r="M162" i="55" s="1"/>
  <c r="M157" i="55"/>
  <c r="M159" i="55"/>
  <c r="N116" i="53"/>
  <c r="N128" i="53" s="1"/>
  <c r="N123" i="53"/>
  <c r="N127" i="53" s="1"/>
  <c r="N118" i="53"/>
  <c r="N125" i="53" s="1"/>
  <c r="N99" i="52"/>
  <c r="N111" i="52" s="1"/>
  <c r="N101" i="52"/>
  <c r="N108" i="52" s="1"/>
  <c r="N106" i="52"/>
  <c r="N110" i="52" s="1"/>
  <c r="N149" i="57"/>
  <c r="N152" i="57" s="1"/>
  <c r="N115" i="57"/>
  <c r="N98" i="38"/>
  <c r="N98" i="55"/>
  <c r="N115" i="38"/>
  <c r="N115" i="55"/>
  <c r="M116" i="55"/>
  <c r="M128" i="55" s="1"/>
  <c r="M123" i="55"/>
  <c r="M127" i="55" s="1"/>
  <c r="M118" i="55"/>
  <c r="M125" i="55" s="1"/>
  <c r="K176" i="55"/>
  <c r="K185" i="55"/>
  <c r="M116" i="57"/>
  <c r="M128" i="57" s="1"/>
  <c r="M123" i="57"/>
  <c r="M127" i="57" s="1"/>
  <c r="M118" i="57"/>
  <c r="M125" i="57" s="1"/>
  <c r="N150" i="52"/>
  <c r="N162" i="52" s="1"/>
  <c r="N157" i="52"/>
  <c r="N159" i="52"/>
  <c r="N133" i="55"/>
  <c r="N145" i="55" s="1"/>
  <c r="N142" i="55"/>
  <c r="N140" i="55"/>
  <c r="L175" i="51"/>
  <c r="L184" i="51"/>
  <c r="N99" i="53"/>
  <c r="N111" i="53" s="1"/>
  <c r="N101" i="53"/>
  <c r="N108" i="53" s="1"/>
  <c r="N106" i="53"/>
  <c r="N110" i="53" s="1"/>
  <c r="L184" i="52"/>
  <c r="L175" i="52"/>
  <c r="M150" i="57"/>
  <c r="M162" i="57" s="1"/>
  <c r="M157" i="57"/>
  <c r="K176" i="57"/>
  <c r="K185" i="57"/>
  <c r="M129" i="53"/>
  <c r="M169" i="53" s="1"/>
  <c r="AR74" i="2" s="1"/>
  <c r="AL74" i="2" s="1"/>
  <c r="J77" i="79" s="1"/>
  <c r="V77" i="79" s="1"/>
  <c r="V82" i="79" s="1"/>
  <c r="M129" i="51"/>
  <c r="M169" i="51" s="1"/>
  <c r="AR63" i="2" s="1"/>
  <c r="AL63" i="2" s="1"/>
  <c r="J65" i="79" s="1"/>
  <c r="V65" i="79" s="1"/>
  <c r="V70" i="79" s="1"/>
  <c r="L129" i="57"/>
  <c r="L169" i="57" s="1"/>
  <c r="N116" i="51"/>
  <c r="N128" i="51" s="1"/>
  <c r="N118" i="51"/>
  <c r="N125" i="51" s="1"/>
  <c r="N123" i="51"/>
  <c r="N127" i="51" s="1"/>
  <c r="L185" i="52"/>
  <c r="L176" i="52"/>
  <c r="N99" i="51"/>
  <c r="N111" i="51" s="1"/>
  <c r="N106" i="51"/>
  <c r="N110" i="51" s="1"/>
  <c r="N101" i="51"/>
  <c r="N108" i="51" s="1"/>
  <c r="N98" i="57"/>
  <c r="N116" i="52"/>
  <c r="N128" i="52" s="1"/>
  <c r="N123" i="52"/>
  <c r="N127" i="52" s="1"/>
  <c r="N118" i="52"/>
  <c r="N125" i="52" s="1"/>
  <c r="O132" i="38"/>
  <c r="O135" i="38" s="1"/>
  <c r="O132" i="55"/>
  <c r="O135" i="55" s="1"/>
  <c r="M99" i="57"/>
  <c r="M111" i="57" s="1"/>
  <c r="M101" i="57"/>
  <c r="M108" i="57" s="1"/>
  <c r="M106" i="57"/>
  <c r="M110" i="57" s="1"/>
  <c r="L129" i="55"/>
  <c r="L169" i="55" s="1"/>
  <c r="M112" i="53"/>
  <c r="M167" i="53" s="1"/>
  <c r="AP74" i="2" s="1"/>
  <c r="AJ74" i="2" s="1"/>
  <c r="H77" i="79" s="1"/>
  <c r="T77" i="79" s="1"/>
  <c r="T82" i="79" s="1"/>
  <c r="M99" i="55"/>
  <c r="M111" i="55" s="1"/>
  <c r="M106" i="55"/>
  <c r="M110" i="55" s="1"/>
  <c r="M101" i="55"/>
  <c r="M108" i="55" s="1"/>
  <c r="N140" i="51"/>
  <c r="N157" i="51"/>
  <c r="Q156" i="45"/>
  <c r="Q55" i="63" s="1"/>
  <c r="Q69" i="63" s="1"/>
  <c r="Q76" i="63" s="1"/>
  <c r="Q155" i="45"/>
  <c r="Q55" i="62" s="1"/>
  <c r="Q69" i="62" s="1"/>
  <c r="Q76" i="62" s="1"/>
  <c r="O149" i="45"/>
  <c r="O149" i="67" s="1"/>
  <c r="O148" i="45"/>
  <c r="O149" i="52" s="1"/>
  <c r="O152" i="52" s="1"/>
  <c r="O146" i="45"/>
  <c r="O149" i="62" s="1"/>
  <c r="O150" i="45"/>
  <c r="O147" i="45"/>
  <c r="O149" i="53" s="1"/>
  <c r="O152" i="53" s="1"/>
  <c r="O143" i="45"/>
  <c r="O125" i="45"/>
  <c r="O120" i="45"/>
  <c r="O144" i="45"/>
  <c r="O142" i="45"/>
  <c r="O149" i="51" s="1"/>
  <c r="O117" i="45"/>
  <c r="O115" i="51" s="1"/>
  <c r="O121" i="45"/>
  <c r="O115" i="62" s="1"/>
  <c r="O118" i="62" s="1"/>
  <c r="O123" i="45"/>
  <c r="O115" i="52" s="1"/>
  <c r="O122" i="45"/>
  <c r="O115" i="53" s="1"/>
  <c r="Q154" i="45"/>
  <c r="P55" i="38"/>
  <c r="O124" i="45"/>
  <c r="O115" i="67" s="1"/>
  <c r="O118" i="67" s="1"/>
  <c r="O119" i="45"/>
  <c r="P116" i="45"/>
  <c r="P121" i="45" s="1"/>
  <c r="P115" i="62" s="1"/>
  <c r="P118" i="62" s="1"/>
  <c r="P140" i="45"/>
  <c r="Q38" i="45"/>
  <c r="Q39" i="45"/>
  <c r="Q40" i="45"/>
  <c r="Q27" i="45"/>
  <c r="Q28" i="45"/>
  <c r="Q29" i="45"/>
  <c r="P103" i="45"/>
  <c r="P104" i="45"/>
  <c r="O113" i="45"/>
  <c r="O112" i="45"/>
  <c r="O98" i="67" s="1"/>
  <c r="O107" i="45"/>
  <c r="O111" i="45"/>
  <c r="O98" i="52" s="1"/>
  <c r="O110" i="45"/>
  <c r="O98" i="53" s="1"/>
  <c r="O109" i="45"/>
  <c r="O98" i="62" s="1"/>
  <c r="O105" i="45"/>
  <c r="O98" i="51" s="1"/>
  <c r="O106" i="45"/>
  <c r="O98" i="63" s="1"/>
  <c r="O108" i="45"/>
  <c r="Q14" i="45"/>
  <c r="R6" i="45"/>
  <c r="Q4" i="45"/>
  <c r="Q21" i="45"/>
  <c r="Q12" i="45"/>
  <c r="Q19" i="45"/>
  <c r="P52" i="38"/>
  <c r="Q23" i="45"/>
  <c r="Q20" i="45"/>
  <c r="P53" i="38"/>
  <c r="Q5" i="45"/>
  <c r="AB19" i="75" l="1"/>
  <c r="AC19" i="75" s="1"/>
  <c r="C186" i="65"/>
  <c r="C186" i="55"/>
  <c r="C188" i="66"/>
  <c r="AB51" i="75"/>
  <c r="AC51" i="75" s="1"/>
  <c r="C178" i="63"/>
  <c r="AB27" i="75"/>
  <c r="AC27" i="75" s="1"/>
  <c r="M184" i="63"/>
  <c r="AR41" i="2"/>
  <c r="AL41" i="2" s="1"/>
  <c r="J41" i="79" s="1"/>
  <c r="V41" i="79" s="1"/>
  <c r="V46" i="79" s="1"/>
  <c r="M184" i="67"/>
  <c r="AR151" i="2"/>
  <c r="AL151" i="2" s="1"/>
  <c r="J161" i="79" s="1"/>
  <c r="V161" i="79" s="1"/>
  <c r="V166" i="79" s="1"/>
  <c r="M185" i="52"/>
  <c r="AP85" i="2"/>
  <c r="AJ85" i="2" s="1"/>
  <c r="H89" i="79" s="1"/>
  <c r="T89" i="79" s="1"/>
  <c r="T94" i="79" s="1"/>
  <c r="M176" i="51"/>
  <c r="AP63" i="2"/>
  <c r="AJ63" i="2" s="1"/>
  <c r="H65" i="79" s="1"/>
  <c r="T65" i="79" s="1"/>
  <c r="T70" i="79" s="1"/>
  <c r="D11" i="75"/>
  <c r="E11" i="75" s="1"/>
  <c r="AB11" i="75"/>
  <c r="AC11" i="75" s="1"/>
  <c r="C179" i="63"/>
  <c r="C179" i="61"/>
  <c r="D62" i="74"/>
  <c r="C188" i="62"/>
  <c r="D70" i="74"/>
  <c r="C188" i="64"/>
  <c r="D78" i="74"/>
  <c r="C178" i="58"/>
  <c r="D102" i="74"/>
  <c r="E177" i="53"/>
  <c r="E187" i="53"/>
  <c r="C179" i="64"/>
  <c r="C178" i="64"/>
  <c r="C194" i="55"/>
  <c r="C179" i="55"/>
  <c r="C188" i="55"/>
  <c r="C187" i="64"/>
  <c r="C178" i="65"/>
  <c r="C179" i="62"/>
  <c r="C194" i="64"/>
  <c r="E192" i="53"/>
  <c r="E193" i="62"/>
  <c r="C186" i="62"/>
  <c r="C188" i="65"/>
  <c r="C178" i="62"/>
  <c r="C179" i="65"/>
  <c r="C178" i="55"/>
  <c r="C194" i="63"/>
  <c r="C188" i="63"/>
  <c r="C194" i="62"/>
  <c r="C186" i="63"/>
  <c r="C188" i="61"/>
  <c r="D194" i="52"/>
  <c r="D179" i="52"/>
  <c r="D188" i="52"/>
  <c r="D194" i="67"/>
  <c r="D178" i="52"/>
  <c r="D178" i="67"/>
  <c r="D188" i="51"/>
  <c r="D188" i="67"/>
  <c r="D187" i="51"/>
  <c r="D179" i="51"/>
  <c r="D194" i="53"/>
  <c r="D188" i="53"/>
  <c r="D186" i="53"/>
  <c r="E193" i="57"/>
  <c r="E192" i="62"/>
  <c r="C178" i="66"/>
  <c r="C194" i="58"/>
  <c r="D194" i="51"/>
  <c r="E187" i="62"/>
  <c r="C59" i="57"/>
  <c r="C154" i="57" s="1"/>
  <c r="C161" i="57" s="1"/>
  <c r="C163" i="57" s="1"/>
  <c r="C170" i="57" s="1"/>
  <c r="C188" i="58"/>
  <c r="C194" i="66"/>
  <c r="C179" i="58"/>
  <c r="C186" i="66"/>
  <c r="E192" i="64"/>
  <c r="C186" i="58"/>
  <c r="C179" i="66"/>
  <c r="D179" i="67"/>
  <c r="F246" i="45"/>
  <c r="F262" i="45" s="1"/>
  <c r="E59" i="67"/>
  <c r="E154" i="67" s="1"/>
  <c r="E161" i="67" s="1"/>
  <c r="E163" i="67" s="1"/>
  <c r="E170" i="67" s="1"/>
  <c r="E179" i="67" s="1"/>
  <c r="G214" i="45"/>
  <c r="G230" i="45" s="1"/>
  <c r="G213" i="45"/>
  <c r="G229" i="45" s="1"/>
  <c r="E245" i="45"/>
  <c r="E261" i="45" s="1"/>
  <c r="D59" i="66"/>
  <c r="D154" i="66" s="1"/>
  <c r="D161" i="66" s="1"/>
  <c r="D163" i="66" s="1"/>
  <c r="D170" i="66" s="1"/>
  <c r="D179" i="66" s="1"/>
  <c r="G212" i="45"/>
  <c r="G228" i="45" s="1"/>
  <c r="E244" i="45"/>
  <c r="E260" i="45" s="1"/>
  <c r="D59" i="55"/>
  <c r="D154" i="55" s="1"/>
  <c r="D161" i="55" s="1"/>
  <c r="D163" i="55" s="1"/>
  <c r="D170" i="55" s="1"/>
  <c r="D194" i="55" s="1"/>
  <c r="G211" i="45"/>
  <c r="G227" i="45" s="1"/>
  <c r="E243" i="45"/>
  <c r="E259" i="45" s="1"/>
  <c r="D59" i="65"/>
  <c r="D154" i="65" s="1"/>
  <c r="D161" i="65" s="1"/>
  <c r="D163" i="65" s="1"/>
  <c r="D170" i="65" s="1"/>
  <c r="D188" i="65" s="1"/>
  <c r="G210" i="45"/>
  <c r="G226" i="45" s="1"/>
  <c r="E242" i="45"/>
  <c r="E258" i="45" s="1"/>
  <c r="D59" i="58"/>
  <c r="D154" i="58" s="1"/>
  <c r="D161" i="58" s="1"/>
  <c r="D163" i="58" s="1"/>
  <c r="D170" i="58" s="1"/>
  <c r="D186" i="58" s="1"/>
  <c r="G209" i="45"/>
  <c r="G225" i="45" s="1"/>
  <c r="F58" i="57"/>
  <c r="F137" i="57" s="1"/>
  <c r="F144" i="57" s="1"/>
  <c r="F146" i="57" s="1"/>
  <c r="F168" i="57" s="1"/>
  <c r="E192" i="57"/>
  <c r="E187" i="57"/>
  <c r="E241" i="45"/>
  <c r="E257" i="45" s="1"/>
  <c r="D59" i="57"/>
  <c r="D154" i="57" s="1"/>
  <c r="D161" i="57" s="1"/>
  <c r="D163" i="57" s="1"/>
  <c r="D170" i="57" s="1"/>
  <c r="D194" i="57" s="1"/>
  <c r="F240" i="45"/>
  <c r="F256" i="45" s="1"/>
  <c r="E59" i="52"/>
  <c r="E154" i="52" s="1"/>
  <c r="E161" i="52" s="1"/>
  <c r="E163" i="52" s="1"/>
  <c r="E170" i="52" s="1"/>
  <c r="E178" i="52" s="1"/>
  <c r="G208" i="45"/>
  <c r="G224" i="45" s="1"/>
  <c r="D179" i="53"/>
  <c r="F239" i="45"/>
  <c r="F255" i="45" s="1"/>
  <c r="E58" i="53"/>
  <c r="E154" i="53" s="1"/>
  <c r="E161" i="53" s="1"/>
  <c r="E163" i="53" s="1"/>
  <c r="E170" i="53" s="1"/>
  <c r="E194" i="53" s="1"/>
  <c r="G207" i="45"/>
  <c r="G223" i="45" s="1"/>
  <c r="F57" i="53"/>
  <c r="F137" i="53" s="1"/>
  <c r="F144" i="53" s="1"/>
  <c r="F146" i="53" s="1"/>
  <c r="F168" i="53" s="1"/>
  <c r="F177" i="53" s="1"/>
  <c r="F238" i="45"/>
  <c r="F254" i="45" s="1"/>
  <c r="E58" i="51"/>
  <c r="E154" i="51" s="1"/>
  <c r="E161" i="51" s="1"/>
  <c r="E163" i="51" s="1"/>
  <c r="E170" i="51" s="1"/>
  <c r="E179" i="51" s="1"/>
  <c r="G206" i="45"/>
  <c r="G222" i="45" s="1"/>
  <c r="E193" i="64"/>
  <c r="E186" i="64"/>
  <c r="G205" i="45"/>
  <c r="G221" i="45" s="1"/>
  <c r="F57" i="64"/>
  <c r="F137" i="64" s="1"/>
  <c r="F144" i="64" s="1"/>
  <c r="F146" i="64" s="1"/>
  <c r="F168" i="64" s="1"/>
  <c r="F192" i="64" s="1"/>
  <c r="E237" i="45"/>
  <c r="E253" i="45" s="1"/>
  <c r="D58" i="64"/>
  <c r="D154" i="64" s="1"/>
  <c r="D161" i="64" s="1"/>
  <c r="D163" i="64" s="1"/>
  <c r="D170" i="64" s="1"/>
  <c r="D187" i="64" s="1"/>
  <c r="G204" i="45"/>
  <c r="G220" i="45" s="1"/>
  <c r="F57" i="63"/>
  <c r="F137" i="63" s="1"/>
  <c r="F144" i="63" s="1"/>
  <c r="F146" i="63" s="1"/>
  <c r="F168" i="63" s="1"/>
  <c r="F187" i="63" s="1"/>
  <c r="E236" i="45"/>
  <c r="E252" i="45" s="1"/>
  <c r="D58" i="63"/>
  <c r="D154" i="63" s="1"/>
  <c r="D161" i="63" s="1"/>
  <c r="D163" i="63" s="1"/>
  <c r="D170" i="63" s="1"/>
  <c r="D178" i="63" s="1"/>
  <c r="G203" i="45"/>
  <c r="G219" i="45" s="1"/>
  <c r="F57" i="62"/>
  <c r="F137" i="62" s="1"/>
  <c r="F144" i="62" s="1"/>
  <c r="F146" i="62" s="1"/>
  <c r="F168" i="62" s="1"/>
  <c r="E235" i="45"/>
  <c r="E251" i="45" s="1"/>
  <c r="D58" i="62"/>
  <c r="D154" i="62" s="1"/>
  <c r="D161" i="62" s="1"/>
  <c r="D163" i="62" s="1"/>
  <c r="D170" i="62" s="1"/>
  <c r="D186" i="62" s="1"/>
  <c r="G202" i="45"/>
  <c r="G218" i="45" s="1"/>
  <c r="F57" i="38"/>
  <c r="E234" i="45"/>
  <c r="E250" i="45" s="1"/>
  <c r="D58" i="38"/>
  <c r="C194" i="61"/>
  <c r="C178" i="61"/>
  <c r="C187" i="61"/>
  <c r="G201" i="45"/>
  <c r="G217" i="45" s="1"/>
  <c r="E233" i="45"/>
  <c r="E249" i="45" s="1"/>
  <c r="D58" i="61"/>
  <c r="D154" i="61" s="1"/>
  <c r="D161" i="61" s="1"/>
  <c r="D163" i="61" s="1"/>
  <c r="D170" i="61" s="1"/>
  <c r="D187" i="61" s="1"/>
  <c r="E193" i="63"/>
  <c r="E192" i="63"/>
  <c r="E177" i="63"/>
  <c r="E192" i="55"/>
  <c r="E187" i="55"/>
  <c r="E193" i="55"/>
  <c r="E177" i="55"/>
  <c r="O119" i="62"/>
  <c r="O126" i="62" s="1"/>
  <c r="E192" i="66"/>
  <c r="E177" i="66"/>
  <c r="E187" i="66"/>
  <c r="E193" i="66"/>
  <c r="D187" i="58"/>
  <c r="D192" i="58"/>
  <c r="D193" i="58"/>
  <c r="D177" i="58"/>
  <c r="F58" i="66"/>
  <c r="F137" i="66" s="1"/>
  <c r="F144" i="66" s="1"/>
  <c r="F146" i="66" s="1"/>
  <c r="F168" i="66" s="1"/>
  <c r="D177" i="61"/>
  <c r="D186" i="61"/>
  <c r="D192" i="61"/>
  <c r="D193" i="61"/>
  <c r="E58" i="58"/>
  <c r="E137" i="58" s="1"/>
  <c r="E144" i="58" s="1"/>
  <c r="E146" i="58" s="1"/>
  <c r="E168" i="58" s="1"/>
  <c r="AH12" i="14" s="1" a="1"/>
  <c r="AH12" i="14" s="1"/>
  <c r="E57" i="61"/>
  <c r="E137" i="61" s="1"/>
  <c r="E144" i="61" s="1"/>
  <c r="E146" i="61" s="1"/>
  <c r="E168" i="61" s="1"/>
  <c r="E177" i="67"/>
  <c r="E193" i="67"/>
  <c r="E192" i="67"/>
  <c r="E187" i="67"/>
  <c r="D193" i="65"/>
  <c r="D187" i="65"/>
  <c r="D177" i="65"/>
  <c r="D192" i="65"/>
  <c r="F58" i="67"/>
  <c r="F137" i="67" s="1"/>
  <c r="F144" i="67" s="1"/>
  <c r="F146" i="67" s="1"/>
  <c r="F168" i="67" s="1"/>
  <c r="E58" i="65"/>
  <c r="E137" i="65" s="1"/>
  <c r="E144" i="65" s="1"/>
  <c r="E146" i="65" s="1"/>
  <c r="E168" i="65" s="1"/>
  <c r="D186" i="51"/>
  <c r="D193" i="51"/>
  <c r="D192" i="51"/>
  <c r="D177" i="51"/>
  <c r="E57" i="51"/>
  <c r="E137" i="51" s="1"/>
  <c r="E144" i="51" s="1"/>
  <c r="E146" i="51" s="1"/>
  <c r="E168" i="51" s="1"/>
  <c r="F58" i="52"/>
  <c r="F137" i="52" s="1"/>
  <c r="F144" i="52" s="1"/>
  <c r="F146" i="52" s="1"/>
  <c r="F168" i="52" s="1"/>
  <c r="F58" i="55"/>
  <c r="F137" i="55" s="1"/>
  <c r="F144" i="55" s="1"/>
  <c r="F146" i="55" s="1"/>
  <c r="F168" i="55" s="1"/>
  <c r="E177" i="52"/>
  <c r="E193" i="52"/>
  <c r="E186" i="52"/>
  <c r="E192" i="52"/>
  <c r="O174" i="64"/>
  <c r="O180" i="64" s="1"/>
  <c r="O183" i="64"/>
  <c r="O189" i="64" s="1"/>
  <c r="P48" i="64"/>
  <c r="P50" i="64" s="1"/>
  <c r="P119" i="64" s="1"/>
  <c r="P126" i="64" s="1"/>
  <c r="L175" i="58"/>
  <c r="P48" i="51"/>
  <c r="P50" i="51" s="1"/>
  <c r="P48" i="53"/>
  <c r="P50" i="53" s="1"/>
  <c r="P48" i="52"/>
  <c r="P50" i="52" s="1"/>
  <c r="O153" i="65"/>
  <c r="O160" i="65" s="1"/>
  <c r="P48" i="62"/>
  <c r="P50" i="62" s="1"/>
  <c r="P153" i="62" s="1"/>
  <c r="P160" i="62" s="1"/>
  <c r="M129" i="58"/>
  <c r="M169" i="58" s="1"/>
  <c r="P78" i="64"/>
  <c r="P165" i="64" s="1"/>
  <c r="P174" i="64" s="1"/>
  <c r="P180" i="64" s="1"/>
  <c r="N99" i="58"/>
  <c r="N111" i="58" s="1"/>
  <c r="R44" i="62"/>
  <c r="R102" i="62" s="1"/>
  <c r="R109" i="62" s="1"/>
  <c r="R44" i="67"/>
  <c r="R102" i="67" s="1"/>
  <c r="R109" i="67" s="1"/>
  <c r="R44" i="65"/>
  <c r="R102" i="65" s="1"/>
  <c r="R109" i="65" s="1"/>
  <c r="R44" i="66"/>
  <c r="R102" i="66" s="1"/>
  <c r="R109" i="66" s="1"/>
  <c r="R44" i="64"/>
  <c r="R102" i="64" s="1"/>
  <c r="R109" i="64" s="1"/>
  <c r="R44" i="63"/>
  <c r="R102" i="63" s="1"/>
  <c r="R109" i="63" s="1"/>
  <c r="P48" i="57"/>
  <c r="P50" i="57" s="1"/>
  <c r="P48" i="63"/>
  <c r="P50" i="63" s="1"/>
  <c r="P153" i="63" s="1"/>
  <c r="P160" i="63" s="1"/>
  <c r="P174" i="65"/>
  <c r="P180" i="65" s="1"/>
  <c r="P171" i="65"/>
  <c r="P183" i="65"/>
  <c r="P189" i="65" s="1"/>
  <c r="Q43" i="62"/>
  <c r="Q85" i="62" s="1"/>
  <c r="Q92" i="62" s="1"/>
  <c r="Q95" i="62" s="1"/>
  <c r="Q166" i="62" s="1"/>
  <c r="Q43" i="67"/>
  <c r="Q85" i="67" s="1"/>
  <c r="Q92" i="67" s="1"/>
  <c r="Q95" i="67" s="1"/>
  <c r="Q166" i="67" s="1"/>
  <c r="Q43" i="66"/>
  <c r="Q85" i="66" s="1"/>
  <c r="Q92" i="66" s="1"/>
  <c r="Q95" i="66" s="1"/>
  <c r="Q166" i="66" s="1"/>
  <c r="Q43" i="65"/>
  <c r="Q85" i="65" s="1"/>
  <c r="Q92" i="65" s="1"/>
  <c r="Q95" i="65" s="1"/>
  <c r="Q166" i="65" s="1"/>
  <c r="Q43" i="64"/>
  <c r="Q85" i="64" s="1"/>
  <c r="Q92" i="64" s="1"/>
  <c r="Q95" i="64" s="1"/>
  <c r="Q166" i="64" s="1"/>
  <c r="Q43" i="63"/>
  <c r="Q85" i="63" s="1"/>
  <c r="Q92" i="63" s="1"/>
  <c r="Q95" i="63" s="1"/>
  <c r="Q166" i="63" s="1"/>
  <c r="P48" i="65"/>
  <c r="P50" i="65" s="1"/>
  <c r="P119" i="65" s="1"/>
  <c r="P126" i="65" s="1"/>
  <c r="P174" i="67"/>
  <c r="P180" i="67" s="1"/>
  <c r="P183" i="67"/>
  <c r="P189" i="67" s="1"/>
  <c r="P171" i="67"/>
  <c r="P48" i="55"/>
  <c r="P50" i="55" s="1"/>
  <c r="P171" i="63"/>
  <c r="P48" i="66"/>
  <c r="P50" i="66" s="1"/>
  <c r="P119" i="66" s="1"/>
  <c r="P126" i="66" s="1"/>
  <c r="P171" i="66"/>
  <c r="P174" i="66"/>
  <c r="P180" i="66" s="1"/>
  <c r="P183" i="66"/>
  <c r="P189" i="66" s="1"/>
  <c r="Q46" i="62"/>
  <c r="Q46" i="66"/>
  <c r="Q46" i="67"/>
  <c r="Q46" i="65"/>
  <c r="Q46" i="64"/>
  <c r="Q46" i="63"/>
  <c r="Q53" i="66"/>
  <c r="Q53" i="67"/>
  <c r="Q53" i="65"/>
  <c r="Q53" i="63"/>
  <c r="Q53" i="64"/>
  <c r="P183" i="63"/>
  <c r="P189" i="63" s="1"/>
  <c r="P48" i="67"/>
  <c r="P50" i="67" s="1"/>
  <c r="P153" i="67" s="1"/>
  <c r="P160" i="67" s="1"/>
  <c r="Q42" i="62"/>
  <c r="Q68" i="62" s="1"/>
  <c r="Q75" i="62" s="1"/>
  <c r="Q78" i="62" s="1"/>
  <c r="Q165" i="62" s="1"/>
  <c r="Q171" i="62" s="1"/>
  <c r="Q42" i="65"/>
  <c r="Q68" i="65" s="1"/>
  <c r="Q75" i="65" s="1"/>
  <c r="Q78" i="65" s="1"/>
  <c r="Q165" i="65" s="1"/>
  <c r="Q42" i="66"/>
  <c r="Q68" i="66" s="1"/>
  <c r="Q75" i="66" s="1"/>
  <c r="Q78" i="66" s="1"/>
  <c r="Q165" i="66" s="1"/>
  <c r="Q42" i="67"/>
  <c r="Q68" i="67" s="1"/>
  <c r="Q75" i="67" s="1"/>
  <c r="Q78" i="67" s="1"/>
  <c r="Q165" i="67" s="1"/>
  <c r="Q42" i="63"/>
  <c r="Q68" i="63" s="1"/>
  <c r="Q75" i="63" s="1"/>
  <c r="Q78" i="63" s="1"/>
  <c r="Q165" i="63" s="1"/>
  <c r="Q171" i="63" s="1"/>
  <c r="Q42" i="64"/>
  <c r="Q68" i="64" s="1"/>
  <c r="Q75" i="64" s="1"/>
  <c r="Q49" i="65"/>
  <c r="Q49" i="51"/>
  <c r="Q49" i="58"/>
  <c r="Q49" i="67"/>
  <c r="Q49" i="53"/>
  <c r="Q49" i="55"/>
  <c r="Q49" i="66"/>
  <c r="Q49" i="57"/>
  <c r="Q49" i="52"/>
  <c r="P48" i="58"/>
  <c r="P50" i="58" s="1"/>
  <c r="O153" i="67"/>
  <c r="O160" i="67" s="1"/>
  <c r="Q52" i="66"/>
  <c r="Q52" i="67"/>
  <c r="Q52" i="65"/>
  <c r="Q52" i="64"/>
  <c r="Q52" i="63"/>
  <c r="L176" i="58"/>
  <c r="N106" i="58"/>
  <c r="N110" i="58" s="1"/>
  <c r="M112" i="58"/>
  <c r="M167" i="58" s="1"/>
  <c r="O153" i="66"/>
  <c r="O160" i="66" s="1"/>
  <c r="O153" i="63"/>
  <c r="O160" i="63" s="1"/>
  <c r="O119" i="64"/>
  <c r="O126" i="64" s="1"/>
  <c r="N129" i="58"/>
  <c r="N169" i="58" s="1"/>
  <c r="Q45" i="62"/>
  <c r="Q45" i="67"/>
  <c r="Q45" i="66"/>
  <c r="Q45" i="65"/>
  <c r="Q45" i="63"/>
  <c r="Q45" i="64"/>
  <c r="L175" i="66"/>
  <c r="Q51" i="62"/>
  <c r="Q136" i="62" s="1"/>
  <c r="Q143" i="62" s="1"/>
  <c r="Q51" i="66"/>
  <c r="Q136" i="66" s="1"/>
  <c r="Q143" i="66" s="1"/>
  <c r="Q51" i="65"/>
  <c r="Q136" i="65" s="1"/>
  <c r="Q143" i="65" s="1"/>
  <c r="Q51" i="67"/>
  <c r="Q136" i="67" s="1"/>
  <c r="Q143" i="67" s="1"/>
  <c r="Q51" i="63"/>
  <c r="Q136" i="63" s="1"/>
  <c r="Q143" i="63" s="1"/>
  <c r="Q51" i="64"/>
  <c r="Q136" i="64" s="1"/>
  <c r="Q143" i="64" s="1"/>
  <c r="N157" i="55"/>
  <c r="N150" i="55"/>
  <c r="N162" i="55" s="1"/>
  <c r="L175" i="65"/>
  <c r="M175" i="63"/>
  <c r="Q49" i="62"/>
  <c r="Q49" i="64"/>
  <c r="Q49" i="63"/>
  <c r="M175" i="67"/>
  <c r="O135" i="53"/>
  <c r="O142" i="53" s="1"/>
  <c r="O140" i="53"/>
  <c r="O133" i="53"/>
  <c r="O145" i="53" s="1"/>
  <c r="O133" i="51"/>
  <c r="O145" i="51" s="1"/>
  <c r="O135" i="51"/>
  <c r="O142" i="51" s="1"/>
  <c r="O135" i="52"/>
  <c r="O142" i="52" s="1"/>
  <c r="O140" i="52"/>
  <c r="O133" i="52"/>
  <c r="O145" i="52" s="1"/>
  <c r="O133" i="67"/>
  <c r="O145" i="67" s="1"/>
  <c r="O140" i="67"/>
  <c r="O135" i="67"/>
  <c r="O142" i="67" s="1"/>
  <c r="P136" i="45"/>
  <c r="P132" i="67" s="1"/>
  <c r="P135" i="67" s="1"/>
  <c r="P142" i="67" s="1"/>
  <c r="P135" i="45"/>
  <c r="P132" i="52" s="1"/>
  <c r="P134" i="45"/>
  <c r="P132" i="53" s="1"/>
  <c r="O135" i="61"/>
  <c r="O142" i="61" s="1"/>
  <c r="N157" i="58"/>
  <c r="O140" i="61"/>
  <c r="N112" i="63"/>
  <c r="N167" i="63" s="1"/>
  <c r="N176" i="63" s="1"/>
  <c r="O133" i="58"/>
  <c r="O145" i="58" s="1"/>
  <c r="N150" i="58"/>
  <c r="N162" i="58" s="1"/>
  <c r="O140" i="58"/>
  <c r="N129" i="65"/>
  <c r="N169" i="65" s="1"/>
  <c r="N184" i="65" s="1"/>
  <c r="M129" i="65"/>
  <c r="M169" i="65" s="1"/>
  <c r="R157" i="45"/>
  <c r="Q55" i="64"/>
  <c r="Q69" i="64" s="1"/>
  <c r="Q76" i="64" s="1"/>
  <c r="O150" i="67"/>
  <c r="O162" i="67" s="1"/>
  <c r="O152" i="67"/>
  <c r="O159" i="67" s="1"/>
  <c r="O157" i="67"/>
  <c r="P132" i="66"/>
  <c r="P132" i="64"/>
  <c r="N129" i="67"/>
  <c r="N169" i="67" s="1"/>
  <c r="P132" i="58"/>
  <c r="P135" i="58" s="1"/>
  <c r="P142" i="58" s="1"/>
  <c r="P132" i="65"/>
  <c r="N150" i="63"/>
  <c r="N162" i="63" s="1"/>
  <c r="N152" i="63"/>
  <c r="N159" i="63" s="1"/>
  <c r="N157" i="63"/>
  <c r="O133" i="63"/>
  <c r="O145" i="63" s="1"/>
  <c r="O140" i="63"/>
  <c r="O135" i="63"/>
  <c r="O142" i="63" s="1"/>
  <c r="L175" i="64"/>
  <c r="L184" i="64"/>
  <c r="O149" i="58"/>
  <c r="O152" i="58" s="1"/>
  <c r="O159" i="58" s="1"/>
  <c r="O149" i="65"/>
  <c r="O115" i="66"/>
  <c r="O118" i="66" s="1"/>
  <c r="O115" i="64"/>
  <c r="O118" i="64" s="1"/>
  <c r="N152" i="61"/>
  <c r="N159" i="61" s="1"/>
  <c r="N157" i="61"/>
  <c r="P132" i="61"/>
  <c r="P133" i="61" s="1"/>
  <c r="P145" i="61" s="1"/>
  <c r="P132" i="63"/>
  <c r="O116" i="67"/>
  <c r="O128" i="67" s="1"/>
  <c r="O123" i="67"/>
  <c r="O127" i="67" s="1"/>
  <c r="O125" i="67"/>
  <c r="O149" i="66"/>
  <c r="O149" i="64"/>
  <c r="N129" i="63"/>
  <c r="N169" i="63" s="1"/>
  <c r="N116" i="64"/>
  <c r="N128" i="64" s="1"/>
  <c r="N125" i="64"/>
  <c r="N123" i="64"/>
  <c r="N127" i="64" s="1"/>
  <c r="N150" i="64"/>
  <c r="N162" i="64" s="1"/>
  <c r="N157" i="64"/>
  <c r="N152" i="64"/>
  <c r="N159" i="64" s="1"/>
  <c r="O133" i="65"/>
  <c r="O145" i="65" s="1"/>
  <c r="O140" i="65"/>
  <c r="O135" i="65"/>
  <c r="O142" i="65" s="1"/>
  <c r="N116" i="66"/>
  <c r="N128" i="66" s="1"/>
  <c r="N123" i="66"/>
  <c r="N127" i="66" s="1"/>
  <c r="N125" i="66"/>
  <c r="O149" i="61"/>
  <c r="O150" i="61" s="1"/>
  <c r="O162" i="61" s="1"/>
  <c r="O149" i="63"/>
  <c r="N150" i="66"/>
  <c r="N162" i="66" s="1"/>
  <c r="N152" i="66"/>
  <c r="N159" i="66" s="1"/>
  <c r="N157" i="66"/>
  <c r="O133" i="64"/>
  <c r="O145" i="64" s="1"/>
  <c r="O135" i="64"/>
  <c r="O142" i="64" s="1"/>
  <c r="O140" i="64"/>
  <c r="O115" i="58"/>
  <c r="O118" i="58" s="1"/>
  <c r="O125" i="58" s="1"/>
  <c r="O115" i="65"/>
  <c r="M129" i="66"/>
  <c r="M169" i="66" s="1"/>
  <c r="AR140" i="2" s="1"/>
  <c r="AL140" i="2" s="1"/>
  <c r="J149" i="79" s="1"/>
  <c r="V149" i="79" s="1"/>
  <c r="V154" i="79" s="1"/>
  <c r="N150" i="65"/>
  <c r="N162" i="65" s="1"/>
  <c r="N157" i="65"/>
  <c r="N152" i="65"/>
  <c r="N159" i="65" s="1"/>
  <c r="O133" i="66"/>
  <c r="O145" i="66" s="1"/>
  <c r="O135" i="66"/>
  <c r="O142" i="66" s="1"/>
  <c r="O140" i="66"/>
  <c r="M129" i="64"/>
  <c r="M169" i="64" s="1"/>
  <c r="AR52" i="2" s="1"/>
  <c r="AL52" i="2" s="1"/>
  <c r="J53" i="79" s="1"/>
  <c r="V53" i="79" s="1"/>
  <c r="V58" i="79" s="1"/>
  <c r="O129" i="63"/>
  <c r="O169" i="63" s="1"/>
  <c r="O98" i="66"/>
  <c r="O98" i="64"/>
  <c r="O99" i="67"/>
  <c r="O111" i="67" s="1"/>
  <c r="O101" i="67"/>
  <c r="O108" i="67" s="1"/>
  <c r="O106" i="67"/>
  <c r="O110" i="67" s="1"/>
  <c r="M112" i="65"/>
  <c r="M167" i="65" s="1"/>
  <c r="M112" i="66"/>
  <c r="M167" i="66" s="1"/>
  <c r="AP140" i="2" s="1"/>
  <c r="AJ140" i="2" s="1"/>
  <c r="H149" i="79" s="1"/>
  <c r="T149" i="79" s="1"/>
  <c r="T154" i="79" s="1"/>
  <c r="N99" i="65"/>
  <c r="N111" i="65" s="1"/>
  <c r="N101" i="65"/>
  <c r="N108" i="65" s="1"/>
  <c r="N106" i="65"/>
  <c r="N110" i="65" s="1"/>
  <c r="M112" i="64"/>
  <c r="M167" i="64" s="1"/>
  <c r="AP52" i="2" s="1"/>
  <c r="AJ52" i="2" s="1"/>
  <c r="H53" i="79" s="1"/>
  <c r="T53" i="79" s="1"/>
  <c r="T58" i="79" s="1"/>
  <c r="O106" i="63"/>
  <c r="O110" i="63" s="1"/>
  <c r="O99" i="63"/>
  <c r="O111" i="63" s="1"/>
  <c r="O101" i="63"/>
  <c r="O108" i="63" s="1"/>
  <c r="L185" i="66"/>
  <c r="L176" i="66"/>
  <c r="N99" i="64"/>
  <c r="N111" i="64" s="1"/>
  <c r="N106" i="64"/>
  <c r="N110" i="64" s="1"/>
  <c r="N101" i="64"/>
  <c r="N108" i="64" s="1"/>
  <c r="M185" i="67"/>
  <c r="M176" i="67"/>
  <c r="L176" i="65"/>
  <c r="L185" i="65"/>
  <c r="O98" i="58"/>
  <c r="O106" i="58" s="1"/>
  <c r="O110" i="58" s="1"/>
  <c r="O98" i="65"/>
  <c r="N99" i="66"/>
  <c r="N111" i="66" s="1"/>
  <c r="N106" i="66"/>
  <c r="N110" i="66" s="1"/>
  <c r="N101" i="66"/>
  <c r="N108" i="66" s="1"/>
  <c r="L185" i="64"/>
  <c r="L176" i="64"/>
  <c r="M176" i="63"/>
  <c r="M185" i="63"/>
  <c r="N112" i="67"/>
  <c r="N167" i="67" s="1"/>
  <c r="P133" i="51"/>
  <c r="P135" i="51"/>
  <c r="O150" i="51"/>
  <c r="O152" i="51"/>
  <c r="L184" i="61"/>
  <c r="L175" i="61"/>
  <c r="N112" i="62"/>
  <c r="N167" i="62" s="1"/>
  <c r="N185" i="62" s="1"/>
  <c r="N129" i="62"/>
  <c r="N169" i="62" s="1"/>
  <c r="N184" i="62" s="1"/>
  <c r="P132" i="62"/>
  <c r="P132" i="57"/>
  <c r="P135" i="57" s="1"/>
  <c r="O142" i="57"/>
  <c r="O140" i="57"/>
  <c r="O133" i="57"/>
  <c r="O145" i="57" s="1"/>
  <c r="O135" i="62"/>
  <c r="O142" i="62" s="1"/>
  <c r="O140" i="62"/>
  <c r="O133" i="62"/>
  <c r="O145" i="62" s="1"/>
  <c r="Q53" i="61"/>
  <c r="Q70" i="45"/>
  <c r="Q75" i="45"/>
  <c r="Q73" i="45"/>
  <c r="Q77" i="45"/>
  <c r="Q78" i="45"/>
  <c r="Q71" i="45"/>
  <c r="Q76" i="45"/>
  <c r="Q74" i="45"/>
  <c r="Q72" i="45"/>
  <c r="Q53" i="62"/>
  <c r="P48" i="61"/>
  <c r="P50" i="61" s="1"/>
  <c r="P183" i="62"/>
  <c r="P189" i="62" s="1"/>
  <c r="P171" i="62"/>
  <c r="P174" i="62"/>
  <c r="P180" i="62" s="1"/>
  <c r="O99" i="62"/>
  <c r="O111" i="62" s="1"/>
  <c r="O106" i="62"/>
  <c r="O110" i="62" s="1"/>
  <c r="O101" i="62"/>
  <c r="O108" i="62" s="1"/>
  <c r="O116" i="62"/>
  <c r="O128" i="62" s="1"/>
  <c r="O125" i="62"/>
  <c r="O123" i="62"/>
  <c r="O127" i="62" s="1"/>
  <c r="M184" i="62"/>
  <c r="M175" i="62"/>
  <c r="Q52" i="61"/>
  <c r="Q61" i="45"/>
  <c r="Q67" i="45"/>
  <c r="Q60" i="45"/>
  <c r="Q62" i="45"/>
  <c r="Q63" i="45"/>
  <c r="Q64" i="45"/>
  <c r="Q66" i="45"/>
  <c r="Q59" i="45"/>
  <c r="Q65" i="45"/>
  <c r="Q49" i="45"/>
  <c r="Q130" i="45" s="1"/>
  <c r="Q52" i="45"/>
  <c r="Q133" i="45" s="1"/>
  <c r="Q55" i="45"/>
  <c r="Q54" i="45"/>
  <c r="Q50" i="45"/>
  <c r="Q131" i="45" s="1"/>
  <c r="Q53" i="45"/>
  <c r="Q56" i="45"/>
  <c r="Q137" i="45" s="1"/>
  <c r="Q48" i="45"/>
  <c r="Q51" i="45"/>
  <c r="Q132" i="45" s="1"/>
  <c r="Q52" i="62"/>
  <c r="P116" i="62"/>
  <c r="P128" i="62" s="1"/>
  <c r="P125" i="62"/>
  <c r="P123" i="62"/>
  <c r="P127" i="62" s="1"/>
  <c r="M185" i="62"/>
  <c r="M176" i="62"/>
  <c r="O150" i="62"/>
  <c r="O162" i="62" s="1"/>
  <c r="O157" i="62"/>
  <c r="O152" i="62"/>
  <c r="O159" i="62" s="1"/>
  <c r="L185" i="61"/>
  <c r="Q45" i="38"/>
  <c r="Q45" i="61"/>
  <c r="R44" i="61"/>
  <c r="R102" i="61" s="1"/>
  <c r="R109" i="61" s="1"/>
  <c r="R44" i="38"/>
  <c r="O153" i="61"/>
  <c r="O160" i="61" s="1"/>
  <c r="O119" i="61"/>
  <c r="O126" i="61" s="1"/>
  <c r="M112" i="61"/>
  <c r="M167" i="61" s="1"/>
  <c r="AP8" i="2" s="1"/>
  <c r="AJ8" i="2" s="1"/>
  <c r="H5" i="79" s="1"/>
  <c r="T5" i="79" s="1"/>
  <c r="T10" i="79" s="1"/>
  <c r="Q51" i="61"/>
  <c r="Q136" i="61" s="1"/>
  <c r="Q143" i="61" s="1"/>
  <c r="Q51" i="38"/>
  <c r="Q49" i="38"/>
  <c r="Q49" i="61"/>
  <c r="P171" i="61"/>
  <c r="P174" i="61"/>
  <c r="P180" i="61" s="1"/>
  <c r="P183" i="61"/>
  <c r="P189" i="61" s="1"/>
  <c r="Q43" i="38"/>
  <c r="Q43" i="61"/>
  <c r="Q85" i="61" s="1"/>
  <c r="Q92" i="61" s="1"/>
  <c r="Q95" i="61" s="1"/>
  <c r="Q166" i="61" s="1"/>
  <c r="N99" i="61"/>
  <c r="N111" i="61" s="1"/>
  <c r="N101" i="61"/>
  <c r="N108" i="61" s="1"/>
  <c r="N106" i="61"/>
  <c r="N110" i="61" s="1"/>
  <c r="M129" i="61"/>
  <c r="M169" i="61" s="1"/>
  <c r="AR8" i="2" s="1"/>
  <c r="AL8" i="2" s="1"/>
  <c r="J5" i="79" s="1"/>
  <c r="V5" i="79" s="1"/>
  <c r="V10" i="79" s="1"/>
  <c r="O98" i="61"/>
  <c r="Q42" i="38"/>
  <c r="Q42" i="61"/>
  <c r="Q68" i="61" s="1"/>
  <c r="Q75" i="61" s="1"/>
  <c r="Q78" i="61" s="1"/>
  <c r="Q165" i="61" s="1"/>
  <c r="O116" i="61"/>
  <c r="O128" i="61" s="1"/>
  <c r="O123" i="61"/>
  <c r="O127" i="61" s="1"/>
  <c r="O125" i="61"/>
  <c r="N116" i="61"/>
  <c r="N128" i="61" s="1"/>
  <c r="N123" i="61"/>
  <c r="N127" i="61" s="1"/>
  <c r="N125" i="61"/>
  <c r="Q46" i="61"/>
  <c r="Q46" i="38"/>
  <c r="J48" i="38"/>
  <c r="J50" i="38" s="1"/>
  <c r="P75" i="57"/>
  <c r="P78" i="57" s="1"/>
  <c r="P165" i="57" s="1"/>
  <c r="P174" i="57" s="1"/>
  <c r="P180" i="57" s="1"/>
  <c r="L176" i="55"/>
  <c r="M176" i="52"/>
  <c r="M184" i="52"/>
  <c r="M175" i="52"/>
  <c r="P75" i="58"/>
  <c r="P78" i="58" s="1"/>
  <c r="P165" i="58" s="1"/>
  <c r="P174" i="58" s="1"/>
  <c r="P180" i="58" s="1"/>
  <c r="M185" i="51"/>
  <c r="P75" i="51"/>
  <c r="P78" i="51" s="1"/>
  <c r="P165" i="51" s="1"/>
  <c r="P183" i="51" s="1"/>
  <c r="P189" i="51" s="1"/>
  <c r="P75" i="53"/>
  <c r="P78" i="53" s="1"/>
  <c r="P165" i="53" s="1"/>
  <c r="M112" i="55"/>
  <c r="M167" i="55" s="1"/>
  <c r="P75" i="52"/>
  <c r="P78" i="52" s="1"/>
  <c r="P165" i="52" s="1"/>
  <c r="P171" i="52" s="1"/>
  <c r="P75" i="55"/>
  <c r="P78" i="55" s="1"/>
  <c r="P165" i="55" s="1"/>
  <c r="P183" i="55" s="1"/>
  <c r="P189" i="55" s="1"/>
  <c r="O183" i="55"/>
  <c r="O189" i="55" s="1"/>
  <c r="O171" i="55"/>
  <c r="O174" i="55"/>
  <c r="O180" i="55" s="1"/>
  <c r="O174" i="53"/>
  <c r="O180" i="53" s="1"/>
  <c r="O183" i="53"/>
  <c r="O189" i="53" s="1"/>
  <c r="O171" i="53"/>
  <c r="O153" i="53"/>
  <c r="O160" i="53" s="1"/>
  <c r="O119" i="53"/>
  <c r="O126" i="53" s="1"/>
  <c r="R44" i="58"/>
  <c r="R102" i="58" s="1"/>
  <c r="R109" i="58" s="1"/>
  <c r="R44" i="57"/>
  <c r="R102" i="57" s="1"/>
  <c r="R109" i="57" s="1"/>
  <c r="R44" i="55"/>
  <c r="R102" i="55" s="1"/>
  <c r="R109" i="55" s="1"/>
  <c r="R44" i="53"/>
  <c r="R102" i="53" s="1"/>
  <c r="R109" i="53" s="1"/>
  <c r="R44" i="52"/>
  <c r="R102" i="52" s="1"/>
  <c r="R109" i="52" s="1"/>
  <c r="R44" i="51"/>
  <c r="R102" i="51" s="1"/>
  <c r="R109" i="51" s="1"/>
  <c r="Q53" i="58"/>
  <c r="Q53" i="55"/>
  <c r="Q53" i="57"/>
  <c r="Q53" i="53"/>
  <c r="Q53" i="52"/>
  <c r="Q53" i="51"/>
  <c r="Q52" i="58"/>
  <c r="Q52" i="55"/>
  <c r="Q52" i="57"/>
  <c r="Q52" i="53"/>
  <c r="Q52" i="52"/>
  <c r="Q52" i="51"/>
  <c r="M129" i="57"/>
  <c r="M169" i="57" s="1"/>
  <c r="O153" i="55"/>
  <c r="O160" i="55" s="1"/>
  <c r="O119" i="55"/>
  <c r="O126" i="55" s="1"/>
  <c r="Q46" i="58"/>
  <c r="Q46" i="55"/>
  <c r="Q46" i="57"/>
  <c r="Q46" i="53"/>
  <c r="Q46" i="52"/>
  <c r="Q46" i="51"/>
  <c r="Q51" i="58"/>
  <c r="Q136" i="58" s="1"/>
  <c r="Q143" i="58" s="1"/>
  <c r="Q51" i="55"/>
  <c r="Q136" i="55" s="1"/>
  <c r="Q143" i="55" s="1"/>
  <c r="Q51" i="57"/>
  <c r="Q136" i="57" s="1"/>
  <c r="Q143" i="57" s="1"/>
  <c r="Q51" i="53"/>
  <c r="Q136" i="53" s="1"/>
  <c r="Q143" i="53" s="1"/>
  <c r="Q51" i="52"/>
  <c r="Q136" i="52" s="1"/>
  <c r="Q143" i="52" s="1"/>
  <c r="Q51" i="51"/>
  <c r="Q136" i="51" s="1"/>
  <c r="Q143" i="51" s="1"/>
  <c r="O171" i="57"/>
  <c r="O174" i="57"/>
  <c r="O180" i="57" s="1"/>
  <c r="O183" i="57"/>
  <c r="O189" i="57" s="1"/>
  <c r="O174" i="51"/>
  <c r="O180" i="51" s="1"/>
  <c r="O183" i="51"/>
  <c r="O189" i="51" s="1"/>
  <c r="O171" i="51"/>
  <c r="Q43" i="58"/>
  <c r="Q85" i="58" s="1"/>
  <c r="Q92" i="58" s="1"/>
  <c r="Q95" i="58" s="1"/>
  <c r="Q166" i="58" s="1"/>
  <c r="Q43" i="57"/>
  <c r="Q85" i="57" s="1"/>
  <c r="Q92" i="57" s="1"/>
  <c r="Q95" i="57" s="1"/>
  <c r="Q166" i="57" s="1"/>
  <c r="Q43" i="53"/>
  <c r="Q85" i="53" s="1"/>
  <c r="Q92" i="53" s="1"/>
  <c r="Q95" i="53" s="1"/>
  <c r="Q166" i="53" s="1"/>
  <c r="Q43" i="55"/>
  <c r="Q85" i="55" s="1"/>
  <c r="Q92" i="55" s="1"/>
  <c r="Q95" i="55" s="1"/>
  <c r="Q166" i="55" s="1"/>
  <c r="Q43" i="52"/>
  <c r="Q85" i="52" s="1"/>
  <c r="Q92" i="52" s="1"/>
  <c r="Q95" i="52" s="1"/>
  <c r="Q166" i="52" s="1"/>
  <c r="Q43" i="51"/>
  <c r="Q85" i="51" s="1"/>
  <c r="Q92" i="51" s="1"/>
  <c r="Q95" i="51" s="1"/>
  <c r="Q166" i="51" s="1"/>
  <c r="N112" i="51"/>
  <c r="N167" i="51" s="1"/>
  <c r="N185" i="51" s="1"/>
  <c r="O171" i="52"/>
  <c r="O174" i="52"/>
  <c r="O180" i="52" s="1"/>
  <c r="O183" i="52"/>
  <c r="O189" i="52" s="1"/>
  <c r="O119" i="51"/>
  <c r="O126" i="51" s="1"/>
  <c r="O153" i="51"/>
  <c r="O160" i="51" s="1"/>
  <c r="Q45" i="58"/>
  <c r="Q45" i="57"/>
  <c r="Q45" i="55"/>
  <c r="Q45" i="52"/>
  <c r="Q45" i="53"/>
  <c r="Q45" i="51"/>
  <c r="Q41" i="58"/>
  <c r="Q67" i="58" s="1"/>
  <c r="Q41" i="57"/>
  <c r="Q67" i="57" s="1"/>
  <c r="Q41" i="55"/>
  <c r="Q67" i="55" s="1"/>
  <c r="Q41" i="53"/>
  <c r="Q67" i="53" s="1"/>
  <c r="Q41" i="52"/>
  <c r="Q67" i="52" s="1"/>
  <c r="Q41" i="51"/>
  <c r="Q67" i="51" s="1"/>
  <c r="Q42" i="58"/>
  <c r="Q68" i="58" s="1"/>
  <c r="Q42" i="57"/>
  <c r="Q68" i="57" s="1"/>
  <c r="Q42" i="55"/>
  <c r="Q68" i="55" s="1"/>
  <c r="Q42" i="53"/>
  <c r="Q68" i="53" s="1"/>
  <c r="Q42" i="52"/>
  <c r="Q68" i="52" s="1"/>
  <c r="Q42" i="51"/>
  <c r="Q68" i="51" s="1"/>
  <c r="O153" i="57"/>
  <c r="O160" i="57" s="1"/>
  <c r="O119" i="57"/>
  <c r="O126" i="57" s="1"/>
  <c r="O119" i="52"/>
  <c r="O126" i="52" s="1"/>
  <c r="O153" i="52"/>
  <c r="O160" i="52" s="1"/>
  <c r="O183" i="58"/>
  <c r="O189" i="58" s="1"/>
  <c r="O171" i="58"/>
  <c r="O174" i="58"/>
  <c r="O180" i="58" s="1"/>
  <c r="O119" i="58"/>
  <c r="O126" i="58" s="1"/>
  <c r="O153" i="58"/>
  <c r="O160" i="58" s="1"/>
  <c r="O99" i="52"/>
  <c r="O111" i="52" s="1"/>
  <c r="O101" i="52"/>
  <c r="O108" i="52" s="1"/>
  <c r="O106" i="52"/>
  <c r="O110" i="52" s="1"/>
  <c r="O98" i="38"/>
  <c r="O98" i="55"/>
  <c r="O99" i="53"/>
  <c r="O111" i="53" s="1"/>
  <c r="O101" i="53"/>
  <c r="O108" i="53" s="1"/>
  <c r="O106" i="53"/>
  <c r="O110" i="53" s="1"/>
  <c r="O116" i="51"/>
  <c r="O128" i="51" s="1"/>
  <c r="O118" i="51"/>
  <c r="O125" i="51" s="1"/>
  <c r="O123" i="51"/>
  <c r="O127" i="51" s="1"/>
  <c r="O150" i="52"/>
  <c r="O162" i="52" s="1"/>
  <c r="O157" i="52"/>
  <c r="O159" i="52"/>
  <c r="M112" i="57"/>
  <c r="M167" i="57" s="1"/>
  <c r="N116" i="55"/>
  <c r="N128" i="55" s="1"/>
  <c r="N123" i="55"/>
  <c r="N127" i="55" s="1"/>
  <c r="N118" i="55"/>
  <c r="N125" i="55" s="1"/>
  <c r="O133" i="55"/>
  <c r="O145" i="55" s="1"/>
  <c r="O142" i="55"/>
  <c r="O140" i="55"/>
  <c r="N99" i="57"/>
  <c r="N111" i="57" s="1"/>
  <c r="N106" i="57"/>
  <c r="N110" i="57" s="1"/>
  <c r="N101" i="57"/>
  <c r="N108" i="57" s="1"/>
  <c r="N99" i="55"/>
  <c r="N111" i="55" s="1"/>
  <c r="N106" i="55"/>
  <c r="N110" i="55" s="1"/>
  <c r="N101" i="55"/>
  <c r="N108" i="55" s="1"/>
  <c r="N112" i="52"/>
  <c r="N167" i="52" s="1"/>
  <c r="O115" i="38"/>
  <c r="O118" i="38" s="1"/>
  <c r="O115" i="55"/>
  <c r="N129" i="51"/>
  <c r="N169" i="51" s="1"/>
  <c r="L176" i="57"/>
  <c r="L185" i="57"/>
  <c r="M129" i="55"/>
  <c r="M169" i="55" s="1"/>
  <c r="AR129" i="2" s="1"/>
  <c r="AL129" i="2" s="1"/>
  <c r="J137" i="79" s="1"/>
  <c r="V137" i="79" s="1"/>
  <c r="V142" i="79" s="1"/>
  <c r="O149" i="38"/>
  <c r="O152" i="38" s="1"/>
  <c r="O149" i="55"/>
  <c r="O152" i="55" s="1"/>
  <c r="L175" i="55"/>
  <c r="L184" i="55"/>
  <c r="N129" i="52"/>
  <c r="N169" i="52" s="1"/>
  <c r="O116" i="53"/>
  <c r="O128" i="53" s="1"/>
  <c r="O123" i="53"/>
  <c r="O127" i="53" s="1"/>
  <c r="O118" i="53"/>
  <c r="O125" i="53" s="1"/>
  <c r="O116" i="52"/>
  <c r="O128" i="52" s="1"/>
  <c r="O123" i="52"/>
  <c r="O127" i="52" s="1"/>
  <c r="O118" i="52"/>
  <c r="O125" i="52" s="1"/>
  <c r="M184" i="51"/>
  <c r="M175" i="51"/>
  <c r="N116" i="57"/>
  <c r="N128" i="57" s="1"/>
  <c r="N118" i="57"/>
  <c r="N125" i="57" s="1"/>
  <c r="N123" i="57"/>
  <c r="N127" i="57" s="1"/>
  <c r="N129" i="53"/>
  <c r="N169" i="53" s="1"/>
  <c r="P132" i="38"/>
  <c r="P135" i="38" s="1"/>
  <c r="P132" i="55"/>
  <c r="P135" i="55" s="1"/>
  <c r="L184" i="57"/>
  <c r="L175" i="57"/>
  <c r="O150" i="53"/>
  <c r="O162" i="53" s="1"/>
  <c r="O157" i="53"/>
  <c r="O159" i="53"/>
  <c r="M184" i="53"/>
  <c r="M175" i="53"/>
  <c r="P115" i="57"/>
  <c r="M185" i="53"/>
  <c r="M176" i="53"/>
  <c r="O99" i="51"/>
  <c r="O111" i="51" s="1"/>
  <c r="O106" i="51"/>
  <c r="O110" i="51" s="1"/>
  <c r="O101" i="51"/>
  <c r="O108" i="51" s="1"/>
  <c r="N112" i="53"/>
  <c r="N167" i="53" s="1"/>
  <c r="N150" i="57"/>
  <c r="N162" i="57" s="1"/>
  <c r="N159" i="57"/>
  <c r="N157" i="57"/>
  <c r="O98" i="57"/>
  <c r="O115" i="57"/>
  <c r="O149" i="57"/>
  <c r="O152" i="57" s="1"/>
  <c r="O140" i="51"/>
  <c r="R156" i="45"/>
  <c r="R55" i="63" s="1"/>
  <c r="R69" i="63" s="1"/>
  <c r="R76" i="63" s="1"/>
  <c r="R155" i="45"/>
  <c r="R55" i="62" s="1"/>
  <c r="R69" i="62" s="1"/>
  <c r="R76" i="62" s="1"/>
  <c r="P146" i="45"/>
  <c r="P149" i="62" s="1"/>
  <c r="P149" i="45"/>
  <c r="P149" i="67" s="1"/>
  <c r="P150" i="45"/>
  <c r="P147" i="45"/>
  <c r="P149" i="53" s="1"/>
  <c r="P152" i="53" s="1"/>
  <c r="P148" i="45"/>
  <c r="P149" i="52" s="1"/>
  <c r="P152" i="52" s="1"/>
  <c r="P144" i="45"/>
  <c r="P143" i="45"/>
  <c r="P142" i="45"/>
  <c r="P149" i="51" s="1"/>
  <c r="P145" i="45"/>
  <c r="R154" i="45"/>
  <c r="Q55" i="38"/>
  <c r="P122" i="45"/>
  <c r="P115" i="53" s="1"/>
  <c r="P120" i="45"/>
  <c r="P124" i="45"/>
  <c r="P115" i="67" s="1"/>
  <c r="P118" i="67" s="1"/>
  <c r="P123" i="45"/>
  <c r="P115" i="52" s="1"/>
  <c r="P119" i="45"/>
  <c r="P117" i="45"/>
  <c r="P115" i="51" s="1"/>
  <c r="P125" i="45"/>
  <c r="P118" i="45"/>
  <c r="P115" i="63" s="1"/>
  <c r="P118" i="63" s="1"/>
  <c r="Q116" i="45"/>
  <c r="Q122" i="45" s="1"/>
  <c r="Q115" i="53" s="1"/>
  <c r="Q140" i="45"/>
  <c r="R40" i="45"/>
  <c r="R39" i="45"/>
  <c r="R38" i="45"/>
  <c r="R29" i="45"/>
  <c r="R28" i="45"/>
  <c r="R27" i="45"/>
  <c r="Q103" i="45"/>
  <c r="Q104" i="45"/>
  <c r="P113" i="45"/>
  <c r="P112" i="45"/>
  <c r="P98" i="67" s="1"/>
  <c r="P109" i="45"/>
  <c r="P98" i="62" s="1"/>
  <c r="P108" i="45"/>
  <c r="P111" i="45"/>
  <c r="P98" i="52" s="1"/>
  <c r="P105" i="45"/>
  <c r="P98" i="51" s="1"/>
  <c r="P107" i="45"/>
  <c r="P110" i="45"/>
  <c r="P98" i="53" s="1"/>
  <c r="P106" i="45"/>
  <c r="P98" i="63" s="1"/>
  <c r="R21" i="45"/>
  <c r="R12" i="45"/>
  <c r="R5" i="45"/>
  <c r="R4" i="45"/>
  <c r="R20" i="45"/>
  <c r="Q53" i="38"/>
  <c r="R23" i="45"/>
  <c r="S6" i="45"/>
  <c r="R19" i="45"/>
  <c r="Q52" i="38"/>
  <c r="R14" i="45"/>
  <c r="F193" i="62" l="1"/>
  <c r="AE12" i="14" a="1"/>
  <c r="AE12" i="14" s="1"/>
  <c r="M184" i="58"/>
  <c r="AR107" i="2"/>
  <c r="AL107" i="2" s="1"/>
  <c r="J113" i="79" s="1"/>
  <c r="V113" i="79" s="1"/>
  <c r="V118" i="79" s="1"/>
  <c r="M184" i="65"/>
  <c r="AP118" i="2"/>
  <c r="AR118" i="2"/>
  <c r="AR96" i="2"/>
  <c r="AP96" i="2"/>
  <c r="AN96" i="2"/>
  <c r="AO96" i="2"/>
  <c r="AN118" i="2"/>
  <c r="AO118" i="2"/>
  <c r="M185" i="58"/>
  <c r="AP107" i="2"/>
  <c r="AJ107" i="2" s="1"/>
  <c r="H113" i="79" s="1"/>
  <c r="T113" i="79" s="1"/>
  <c r="T118" i="79" s="1"/>
  <c r="M185" i="55"/>
  <c r="AP129" i="2"/>
  <c r="AJ129" i="2" s="1"/>
  <c r="H137" i="79" s="1"/>
  <c r="T137" i="79" s="1"/>
  <c r="T142" i="79" s="1"/>
  <c r="E186" i="67"/>
  <c r="E188" i="67"/>
  <c r="F177" i="57"/>
  <c r="F192" i="57"/>
  <c r="E178" i="67"/>
  <c r="D179" i="65"/>
  <c r="D178" i="65"/>
  <c r="E194" i="67"/>
  <c r="D179" i="64"/>
  <c r="D178" i="62"/>
  <c r="F177" i="62"/>
  <c r="D178" i="58"/>
  <c r="D194" i="66"/>
  <c r="D178" i="66"/>
  <c r="D186" i="65"/>
  <c r="E179" i="53"/>
  <c r="E178" i="53"/>
  <c r="D179" i="63"/>
  <c r="D194" i="58"/>
  <c r="D178" i="55"/>
  <c r="E188" i="53"/>
  <c r="E178" i="51"/>
  <c r="E188" i="51"/>
  <c r="D179" i="58"/>
  <c r="D186" i="66"/>
  <c r="D188" i="66"/>
  <c r="D186" i="63"/>
  <c r="E194" i="51"/>
  <c r="E188" i="52"/>
  <c r="E186" i="53"/>
  <c r="E179" i="52"/>
  <c r="D186" i="55"/>
  <c r="D194" i="63"/>
  <c r="E187" i="52"/>
  <c r="D188" i="55"/>
  <c r="D188" i="63"/>
  <c r="D188" i="58"/>
  <c r="E187" i="51"/>
  <c r="D178" i="57"/>
  <c r="D179" i="62"/>
  <c r="D188" i="62"/>
  <c r="D186" i="57"/>
  <c r="E194" i="52"/>
  <c r="D179" i="57"/>
  <c r="D194" i="65"/>
  <c r="D188" i="57"/>
  <c r="F192" i="62"/>
  <c r="F193" i="57"/>
  <c r="F186" i="64"/>
  <c r="F177" i="64"/>
  <c r="F187" i="62"/>
  <c r="F177" i="63"/>
  <c r="D179" i="55"/>
  <c r="D194" i="62"/>
  <c r="F193" i="63"/>
  <c r="F192" i="63"/>
  <c r="F187" i="57"/>
  <c r="Q48" i="67"/>
  <c r="Q50" i="67" s="1"/>
  <c r="Q153" i="67" s="1"/>
  <c r="Q160" i="67" s="1"/>
  <c r="C194" i="57"/>
  <c r="C178" i="57"/>
  <c r="C179" i="57"/>
  <c r="C188" i="57"/>
  <c r="C186" i="57"/>
  <c r="F192" i="53"/>
  <c r="D178" i="64"/>
  <c r="D188" i="64"/>
  <c r="F193" i="53"/>
  <c r="H214" i="45"/>
  <c r="H230" i="45" s="1"/>
  <c r="G246" i="45"/>
  <c r="G262" i="45" s="1"/>
  <c r="F59" i="67"/>
  <c r="F154" i="67" s="1"/>
  <c r="F161" i="67" s="1"/>
  <c r="F163" i="67" s="1"/>
  <c r="F170" i="67" s="1"/>
  <c r="F179" i="67" s="1"/>
  <c r="F245" i="45"/>
  <c r="F261" i="45" s="1"/>
  <c r="E59" i="66"/>
  <c r="E154" i="66" s="1"/>
  <c r="E161" i="66" s="1"/>
  <c r="E163" i="66" s="1"/>
  <c r="E170" i="66" s="1"/>
  <c r="E188" i="66" s="1"/>
  <c r="H213" i="45"/>
  <c r="H229" i="45" s="1"/>
  <c r="F244" i="45"/>
  <c r="F260" i="45" s="1"/>
  <c r="E59" i="55"/>
  <c r="E154" i="55" s="1"/>
  <c r="E161" i="55" s="1"/>
  <c r="E163" i="55" s="1"/>
  <c r="E170" i="55" s="1"/>
  <c r="E186" i="55" s="1"/>
  <c r="H212" i="45"/>
  <c r="H228" i="45" s="1"/>
  <c r="F243" i="45"/>
  <c r="F259" i="45" s="1"/>
  <c r="E59" i="65"/>
  <c r="E154" i="65" s="1"/>
  <c r="E161" i="65" s="1"/>
  <c r="E163" i="65" s="1"/>
  <c r="E170" i="65" s="1"/>
  <c r="E188" i="65" s="1"/>
  <c r="H211" i="45"/>
  <c r="H227" i="45" s="1"/>
  <c r="F242" i="45"/>
  <c r="F258" i="45" s="1"/>
  <c r="E59" i="58"/>
  <c r="E154" i="58" s="1"/>
  <c r="E161" i="58" s="1"/>
  <c r="E163" i="58" s="1"/>
  <c r="E170" i="58" s="1"/>
  <c r="E188" i="58" s="1"/>
  <c r="H210" i="45"/>
  <c r="H226" i="45" s="1"/>
  <c r="F241" i="45"/>
  <c r="F257" i="45" s="1"/>
  <c r="E59" i="57"/>
  <c r="E154" i="57" s="1"/>
  <c r="E161" i="57" s="1"/>
  <c r="E163" i="57" s="1"/>
  <c r="E170" i="57" s="1"/>
  <c r="E188" i="57" s="1"/>
  <c r="H209" i="45"/>
  <c r="H225" i="45" s="1"/>
  <c r="G58" i="57"/>
  <c r="G137" i="57" s="1"/>
  <c r="G144" i="57" s="1"/>
  <c r="G146" i="57" s="1"/>
  <c r="G168" i="57" s="1"/>
  <c r="AE11" i="14" s="1" a="1"/>
  <c r="AE11" i="14" s="1"/>
  <c r="H208" i="45"/>
  <c r="H224" i="45" s="1"/>
  <c r="G58" i="52"/>
  <c r="G137" i="52" s="1"/>
  <c r="G144" i="52" s="1"/>
  <c r="G146" i="52" s="1"/>
  <c r="G168" i="52" s="1"/>
  <c r="G240" i="45"/>
  <c r="G256" i="45" s="1"/>
  <c r="F59" i="52"/>
  <c r="F154" i="52" s="1"/>
  <c r="F161" i="52" s="1"/>
  <c r="F163" i="52" s="1"/>
  <c r="F170" i="52" s="1"/>
  <c r="F194" i="52" s="1"/>
  <c r="H207" i="45"/>
  <c r="H223" i="45" s="1"/>
  <c r="G57" i="53"/>
  <c r="G137" i="53" s="1"/>
  <c r="G144" i="53" s="1"/>
  <c r="G146" i="53" s="1"/>
  <c r="G168" i="53" s="1"/>
  <c r="G193" i="53" s="1"/>
  <c r="F187" i="53"/>
  <c r="G239" i="45"/>
  <c r="G255" i="45" s="1"/>
  <c r="F58" i="53"/>
  <c r="F154" i="53" s="1"/>
  <c r="F161" i="53" s="1"/>
  <c r="F163" i="53" s="1"/>
  <c r="F170" i="53" s="1"/>
  <c r="F178" i="53" s="1"/>
  <c r="H206" i="45"/>
  <c r="H222" i="45" s="1"/>
  <c r="G238" i="45"/>
  <c r="G254" i="45" s="1"/>
  <c r="F58" i="51"/>
  <c r="F154" i="51" s="1"/>
  <c r="F161" i="51" s="1"/>
  <c r="F163" i="51" s="1"/>
  <c r="F170" i="51" s="1"/>
  <c r="F188" i="51" s="1"/>
  <c r="F237" i="45"/>
  <c r="F253" i="45" s="1"/>
  <c r="E58" i="64"/>
  <c r="E154" i="64" s="1"/>
  <c r="E161" i="64" s="1"/>
  <c r="E163" i="64" s="1"/>
  <c r="E170" i="64" s="1"/>
  <c r="E187" i="64" s="1"/>
  <c r="H205" i="45"/>
  <c r="H221" i="45" s="1"/>
  <c r="G57" i="64"/>
  <c r="G137" i="64" s="1"/>
  <c r="G144" i="64" s="1"/>
  <c r="G146" i="64" s="1"/>
  <c r="G168" i="64" s="1"/>
  <c r="G193" i="64" s="1"/>
  <c r="F193" i="64"/>
  <c r="D194" i="64"/>
  <c r="F236" i="45"/>
  <c r="F252" i="45" s="1"/>
  <c r="E58" i="63"/>
  <c r="E154" i="63" s="1"/>
  <c r="E161" i="63" s="1"/>
  <c r="E163" i="63" s="1"/>
  <c r="E170" i="63" s="1"/>
  <c r="E188" i="63" s="1"/>
  <c r="H204" i="45"/>
  <c r="H220" i="45" s="1"/>
  <c r="G57" i="63"/>
  <c r="G137" i="63" s="1"/>
  <c r="G144" i="63" s="1"/>
  <c r="G146" i="63" s="1"/>
  <c r="G168" i="63" s="1"/>
  <c r="F235" i="45"/>
  <c r="F251" i="45" s="1"/>
  <c r="E58" i="62"/>
  <c r="E154" i="62" s="1"/>
  <c r="E161" i="62" s="1"/>
  <c r="E163" i="62" s="1"/>
  <c r="E170" i="62" s="1"/>
  <c r="E178" i="62" s="1"/>
  <c r="H203" i="45"/>
  <c r="H219" i="45" s="1"/>
  <c r="G57" i="62"/>
  <c r="G137" i="62" s="1"/>
  <c r="G144" i="62" s="1"/>
  <c r="G146" i="62" s="1"/>
  <c r="G168" i="62" s="1"/>
  <c r="G187" i="62" s="1"/>
  <c r="F234" i="45"/>
  <c r="F250" i="45" s="1"/>
  <c r="E58" i="38"/>
  <c r="H202" i="45"/>
  <c r="H218" i="45" s="1"/>
  <c r="G57" i="38"/>
  <c r="F233" i="45"/>
  <c r="F249" i="45" s="1"/>
  <c r="E58" i="61"/>
  <c r="E154" i="61" s="1"/>
  <c r="E161" i="61" s="1"/>
  <c r="E163" i="61" s="1"/>
  <c r="E170" i="61" s="1"/>
  <c r="E188" i="61" s="1"/>
  <c r="D194" i="61"/>
  <c r="D188" i="61"/>
  <c r="H201" i="45"/>
  <c r="H217" i="45" s="1"/>
  <c r="D179" i="61"/>
  <c r="D178" i="61"/>
  <c r="Q48" i="66"/>
  <c r="Q50" i="66" s="1"/>
  <c r="E177" i="65"/>
  <c r="E187" i="65"/>
  <c r="E192" i="65"/>
  <c r="E193" i="65"/>
  <c r="E177" i="61"/>
  <c r="E186" i="61"/>
  <c r="E193" i="61"/>
  <c r="E192" i="61"/>
  <c r="G58" i="67"/>
  <c r="G137" i="67" s="1"/>
  <c r="G144" i="67" s="1"/>
  <c r="G146" i="67" s="1"/>
  <c r="G168" i="67" s="1"/>
  <c r="F58" i="58"/>
  <c r="F137" i="58" s="1"/>
  <c r="F144" i="58" s="1"/>
  <c r="F146" i="58" s="1"/>
  <c r="F168" i="58" s="1"/>
  <c r="F177" i="55"/>
  <c r="F192" i="55"/>
  <c r="F187" i="55"/>
  <c r="F193" i="55"/>
  <c r="F186" i="52"/>
  <c r="F177" i="52"/>
  <c r="F193" i="52"/>
  <c r="F192" i="52"/>
  <c r="F187" i="67"/>
  <c r="F193" i="67"/>
  <c r="F177" i="67"/>
  <c r="F192" i="67"/>
  <c r="E192" i="58"/>
  <c r="E177" i="58"/>
  <c r="E187" i="58"/>
  <c r="E193" i="58"/>
  <c r="F57" i="51"/>
  <c r="F137" i="51" s="1"/>
  <c r="F144" i="51" s="1"/>
  <c r="F146" i="51" s="1"/>
  <c r="F168" i="51" s="1"/>
  <c r="E177" i="51"/>
  <c r="E186" i="51"/>
  <c r="E193" i="51"/>
  <c r="E192" i="51"/>
  <c r="F192" i="66"/>
  <c r="F177" i="66"/>
  <c r="F187" i="66"/>
  <c r="F193" i="66"/>
  <c r="G58" i="66"/>
  <c r="G137" i="66" s="1"/>
  <c r="G144" i="66" s="1"/>
  <c r="G146" i="66" s="1"/>
  <c r="G168" i="66" s="1"/>
  <c r="Q48" i="65"/>
  <c r="Q50" i="65" s="1"/>
  <c r="Q119" i="65" s="1"/>
  <c r="Q126" i="65" s="1"/>
  <c r="G58" i="55"/>
  <c r="G137" i="55" s="1"/>
  <c r="G144" i="55" s="1"/>
  <c r="G146" i="55" s="1"/>
  <c r="G168" i="55" s="1"/>
  <c r="F58" i="65"/>
  <c r="F137" i="65" s="1"/>
  <c r="F144" i="65" s="1"/>
  <c r="F146" i="65" s="1"/>
  <c r="F168" i="65" s="1"/>
  <c r="F57" i="61"/>
  <c r="F137" i="61" s="1"/>
  <c r="F144" i="61" s="1"/>
  <c r="F146" i="61" s="1"/>
  <c r="F168" i="61" s="1"/>
  <c r="P153" i="65"/>
  <c r="P160" i="65" s="1"/>
  <c r="Q48" i="62"/>
  <c r="Q50" i="62" s="1"/>
  <c r="Q119" i="62" s="1"/>
  <c r="Q126" i="62" s="1"/>
  <c r="M175" i="58"/>
  <c r="P171" i="64"/>
  <c r="P183" i="64"/>
  <c r="P189" i="64" s="1"/>
  <c r="Q48" i="57"/>
  <c r="Q50" i="57" s="1"/>
  <c r="Q48" i="58"/>
  <c r="Q50" i="58" s="1"/>
  <c r="N112" i="58"/>
  <c r="N167" i="58" s="1"/>
  <c r="N185" i="58" s="1"/>
  <c r="Q174" i="66"/>
  <c r="Q180" i="66" s="1"/>
  <c r="Q171" i="66"/>
  <c r="Q183" i="66"/>
  <c r="Q189" i="66" s="1"/>
  <c r="P153" i="66"/>
  <c r="P160" i="66" s="1"/>
  <c r="R53" i="66"/>
  <c r="R53" i="67"/>
  <c r="R53" i="65"/>
  <c r="R53" i="63"/>
  <c r="R53" i="64"/>
  <c r="Q174" i="65"/>
  <c r="Q180" i="65" s="1"/>
  <c r="Q171" i="65"/>
  <c r="Q183" i="65"/>
  <c r="Q189" i="65" s="1"/>
  <c r="R52" i="66"/>
  <c r="R52" i="67"/>
  <c r="R52" i="65"/>
  <c r="R52" i="64"/>
  <c r="R52" i="63"/>
  <c r="R42" i="62"/>
  <c r="R68" i="62" s="1"/>
  <c r="R75" i="62" s="1"/>
  <c r="R78" i="62" s="1"/>
  <c r="R165" i="62" s="1"/>
  <c r="BA30" i="2" s="1"/>
  <c r="AU30" i="2" s="1"/>
  <c r="F29" i="77" s="1"/>
  <c r="R29" i="77" s="1"/>
  <c r="R34" i="77" s="1"/>
  <c r="R42" i="65"/>
  <c r="R68" i="65" s="1"/>
  <c r="R75" i="65" s="1"/>
  <c r="R78" i="65" s="1"/>
  <c r="R165" i="65" s="1"/>
  <c r="R42" i="66"/>
  <c r="R68" i="66" s="1"/>
  <c r="R75" i="66" s="1"/>
  <c r="R78" i="66" s="1"/>
  <c r="R165" i="66" s="1"/>
  <c r="BA140" i="2" s="1"/>
  <c r="AU140" i="2" s="1"/>
  <c r="F149" i="77" s="1"/>
  <c r="R149" i="77" s="1"/>
  <c r="R154" i="77" s="1"/>
  <c r="R42" i="67"/>
  <c r="R68" i="67" s="1"/>
  <c r="R75" i="67" s="1"/>
  <c r="R78" i="67" s="1"/>
  <c r="R165" i="67" s="1"/>
  <c r="BA151" i="2" s="1"/>
  <c r="AU151" i="2" s="1"/>
  <c r="F161" i="77" s="1"/>
  <c r="R161" i="77" s="1"/>
  <c r="R166" i="77" s="1"/>
  <c r="R42" i="63"/>
  <c r="R68" i="63" s="1"/>
  <c r="R75" i="63" s="1"/>
  <c r="R78" i="63" s="1"/>
  <c r="R165" i="63" s="1"/>
  <c r="BA41" i="2" s="1"/>
  <c r="AU41" i="2" s="1"/>
  <c r="F41" i="77" s="1"/>
  <c r="R41" i="77" s="1"/>
  <c r="R46" i="77" s="1"/>
  <c r="R42" i="64"/>
  <c r="R68" i="64" s="1"/>
  <c r="R75" i="64" s="1"/>
  <c r="R43" i="62"/>
  <c r="R85" i="62" s="1"/>
  <c r="R92" i="62" s="1"/>
  <c r="R95" i="62" s="1"/>
  <c r="R166" i="62" s="1"/>
  <c r="BB30" i="2" s="1"/>
  <c r="R43" i="67"/>
  <c r="R85" i="67" s="1"/>
  <c r="R92" i="67" s="1"/>
  <c r="R95" i="67" s="1"/>
  <c r="R166" i="67" s="1"/>
  <c r="BB151" i="2" s="1"/>
  <c r="R43" i="65"/>
  <c r="R85" i="65" s="1"/>
  <c r="R92" i="65" s="1"/>
  <c r="R95" i="65" s="1"/>
  <c r="R166" i="65" s="1"/>
  <c r="R43" i="66"/>
  <c r="R85" i="66" s="1"/>
  <c r="R92" i="66" s="1"/>
  <c r="R95" i="66" s="1"/>
  <c r="R166" i="66" s="1"/>
  <c r="BB140" i="2" s="1"/>
  <c r="R43" i="64"/>
  <c r="R85" i="64" s="1"/>
  <c r="R92" i="64" s="1"/>
  <c r="R95" i="64" s="1"/>
  <c r="R166" i="64" s="1"/>
  <c r="BB52" i="2" s="1"/>
  <c r="R43" i="63"/>
  <c r="R85" i="63" s="1"/>
  <c r="R92" i="63" s="1"/>
  <c r="R95" i="63" s="1"/>
  <c r="R166" i="63" s="1"/>
  <c r="BB41" i="2" s="1"/>
  <c r="Q174" i="63"/>
  <c r="Q180" i="63" s="1"/>
  <c r="Q48" i="51"/>
  <c r="Q50" i="51" s="1"/>
  <c r="Q183" i="63"/>
  <c r="Q189" i="63" s="1"/>
  <c r="Q174" i="67"/>
  <c r="Q180" i="67" s="1"/>
  <c r="Q183" i="67"/>
  <c r="Q189" i="67" s="1"/>
  <c r="Q171" i="67"/>
  <c r="R46" i="62"/>
  <c r="R46" i="66"/>
  <c r="R46" i="67"/>
  <c r="R46" i="65"/>
  <c r="R46" i="63"/>
  <c r="R46" i="64"/>
  <c r="Q48" i="53"/>
  <c r="Q50" i="53" s="1"/>
  <c r="S44" i="62"/>
  <c r="S102" i="62" s="1"/>
  <c r="S109" i="62" s="1"/>
  <c r="S44" i="66"/>
  <c r="S102" i="66" s="1"/>
  <c r="S109" i="66" s="1"/>
  <c r="S44" i="67"/>
  <c r="S102" i="67" s="1"/>
  <c r="S109" i="67" s="1"/>
  <c r="S44" i="65"/>
  <c r="S102" i="65" s="1"/>
  <c r="S109" i="65" s="1"/>
  <c r="S44" i="64"/>
  <c r="S102" i="64" s="1"/>
  <c r="S109" i="64" s="1"/>
  <c r="S44" i="63"/>
  <c r="S102" i="63" s="1"/>
  <c r="S109" i="63" s="1"/>
  <c r="Q48" i="52"/>
  <c r="Q50" i="52" s="1"/>
  <c r="Q78" i="64"/>
  <c r="Q165" i="64" s="1"/>
  <c r="Q171" i="64" s="1"/>
  <c r="Q48" i="64"/>
  <c r="Q50" i="64" s="1"/>
  <c r="Q153" i="64" s="1"/>
  <c r="Q160" i="64" s="1"/>
  <c r="R49" i="51"/>
  <c r="R49" i="58"/>
  <c r="R49" i="57"/>
  <c r="R49" i="67"/>
  <c r="R49" i="53"/>
  <c r="R49" i="66"/>
  <c r="R49" i="55"/>
  <c r="R49" i="52"/>
  <c r="R49" i="65"/>
  <c r="Q48" i="55"/>
  <c r="Q50" i="55" s="1"/>
  <c r="Q48" i="63"/>
  <c r="Q50" i="63" s="1"/>
  <c r="Q119" i="63" s="1"/>
  <c r="Q126" i="63" s="1"/>
  <c r="O101" i="58"/>
  <c r="O108" i="58" s="1"/>
  <c r="M176" i="58"/>
  <c r="N185" i="63"/>
  <c r="N175" i="58"/>
  <c r="N184" i="58"/>
  <c r="P153" i="64"/>
  <c r="P160" i="64" s="1"/>
  <c r="P119" i="63"/>
  <c r="P126" i="63" s="1"/>
  <c r="P119" i="67"/>
  <c r="P126" i="67" s="1"/>
  <c r="R45" i="62"/>
  <c r="R45" i="67"/>
  <c r="R45" i="66"/>
  <c r="R45" i="65"/>
  <c r="R45" i="63"/>
  <c r="R45" i="64"/>
  <c r="R51" i="62"/>
  <c r="R136" i="62" s="1"/>
  <c r="R143" i="62" s="1"/>
  <c r="R51" i="66"/>
  <c r="R136" i="66" s="1"/>
  <c r="R143" i="66" s="1"/>
  <c r="R51" i="65"/>
  <c r="R136" i="65" s="1"/>
  <c r="R143" i="65" s="1"/>
  <c r="R51" i="67"/>
  <c r="R136" i="67" s="1"/>
  <c r="R143" i="67" s="1"/>
  <c r="R51" i="63"/>
  <c r="R136" i="63" s="1"/>
  <c r="R143" i="63" s="1"/>
  <c r="R51" i="64"/>
  <c r="R136" i="64" s="1"/>
  <c r="R143" i="64" s="1"/>
  <c r="P135" i="52"/>
  <c r="P142" i="52" s="1"/>
  <c r="P133" i="52"/>
  <c r="P145" i="52" s="1"/>
  <c r="P119" i="62"/>
  <c r="P126" i="62" s="1"/>
  <c r="P129" i="62" s="1"/>
  <c r="P169" i="62" s="1"/>
  <c r="R49" i="62"/>
  <c r="R49" i="64"/>
  <c r="R49" i="63"/>
  <c r="P135" i="53"/>
  <c r="P142" i="53" s="1"/>
  <c r="P140" i="53"/>
  <c r="P133" i="53"/>
  <c r="P145" i="53" s="1"/>
  <c r="Q136" i="45"/>
  <c r="Q132" i="67" s="1"/>
  <c r="P140" i="67"/>
  <c r="P133" i="67"/>
  <c r="P145" i="67" s="1"/>
  <c r="P140" i="52"/>
  <c r="Q129" i="45"/>
  <c r="Q132" i="51" s="1"/>
  <c r="Q134" i="45"/>
  <c r="Q132" i="53" s="1"/>
  <c r="Q135" i="45"/>
  <c r="Q132" i="52" s="1"/>
  <c r="O99" i="58"/>
  <c r="O111" i="58" s="1"/>
  <c r="O129" i="67"/>
  <c r="O169" i="67" s="1"/>
  <c r="O175" i="67" s="1"/>
  <c r="O150" i="58"/>
  <c r="O162" i="58" s="1"/>
  <c r="N175" i="65"/>
  <c r="M175" i="65"/>
  <c r="P140" i="61"/>
  <c r="P135" i="61"/>
  <c r="P142" i="61" s="1"/>
  <c r="P133" i="58"/>
  <c r="P145" i="58" s="1"/>
  <c r="O123" i="58"/>
  <c r="O127" i="58" s="1"/>
  <c r="P140" i="58"/>
  <c r="O116" i="58"/>
  <c r="O128" i="58" s="1"/>
  <c r="O157" i="58"/>
  <c r="N129" i="66"/>
  <c r="N169" i="66" s="1"/>
  <c r="N184" i="66" s="1"/>
  <c r="S157" i="45"/>
  <c r="R55" i="64"/>
  <c r="R69" i="64" s="1"/>
  <c r="R76" i="64" s="1"/>
  <c r="P149" i="61"/>
  <c r="P150" i="61" s="1"/>
  <c r="P162" i="61" s="1"/>
  <c r="P149" i="63"/>
  <c r="O157" i="61"/>
  <c r="O152" i="61"/>
  <c r="O159" i="61" s="1"/>
  <c r="N184" i="67"/>
  <c r="N175" i="67"/>
  <c r="P123" i="63"/>
  <c r="P127" i="63" s="1"/>
  <c r="P116" i="63"/>
  <c r="P128" i="63" s="1"/>
  <c r="P125" i="63"/>
  <c r="P116" i="67"/>
  <c r="P128" i="67" s="1"/>
  <c r="P125" i="67"/>
  <c r="P123" i="67"/>
  <c r="P127" i="67" s="1"/>
  <c r="P149" i="58"/>
  <c r="P152" i="58" s="1"/>
  <c r="P159" i="58" s="1"/>
  <c r="P149" i="65"/>
  <c r="M175" i="66"/>
  <c r="M184" i="66"/>
  <c r="O116" i="64"/>
  <c r="O128" i="64" s="1"/>
  <c r="O125" i="64"/>
  <c r="O123" i="64"/>
  <c r="O127" i="64" s="1"/>
  <c r="P150" i="67"/>
  <c r="P162" i="67" s="1"/>
  <c r="P152" i="67"/>
  <c r="P159" i="67" s="1"/>
  <c r="P157" i="67"/>
  <c r="O116" i="66"/>
  <c r="O128" i="66" s="1"/>
  <c r="O123" i="66"/>
  <c r="O127" i="66" s="1"/>
  <c r="O125" i="66"/>
  <c r="P133" i="64"/>
  <c r="P145" i="64" s="1"/>
  <c r="P135" i="64"/>
  <c r="P142" i="64" s="1"/>
  <c r="P140" i="64"/>
  <c r="O116" i="65"/>
  <c r="O128" i="65" s="1"/>
  <c r="O118" i="65"/>
  <c r="O125" i="65" s="1"/>
  <c r="O123" i="65"/>
  <c r="O127" i="65" s="1"/>
  <c r="O150" i="63"/>
  <c r="O162" i="63" s="1"/>
  <c r="O152" i="63"/>
  <c r="O159" i="63" s="1"/>
  <c r="O157" i="63"/>
  <c r="O150" i="64"/>
  <c r="O162" i="64" s="1"/>
  <c r="O152" i="64"/>
  <c r="O159" i="64" s="1"/>
  <c r="O157" i="64"/>
  <c r="P140" i="63"/>
  <c r="P133" i="63"/>
  <c r="P145" i="63" s="1"/>
  <c r="P135" i="63"/>
  <c r="P142" i="63" s="1"/>
  <c r="P133" i="66"/>
  <c r="P145" i="66" s="1"/>
  <c r="P140" i="66"/>
  <c r="P135" i="66"/>
  <c r="P142" i="66" s="1"/>
  <c r="Q132" i="58"/>
  <c r="Q135" i="58" s="1"/>
  <c r="Q142" i="58" s="1"/>
  <c r="Q132" i="65"/>
  <c r="M184" i="64"/>
  <c r="M175" i="64"/>
  <c r="O150" i="66"/>
  <c r="O162" i="66" s="1"/>
  <c r="O152" i="66"/>
  <c r="O159" i="66" s="1"/>
  <c r="O157" i="66"/>
  <c r="P133" i="65"/>
  <c r="P145" i="65" s="1"/>
  <c r="P140" i="65"/>
  <c r="P135" i="65"/>
  <c r="P142" i="65" s="1"/>
  <c r="O150" i="65"/>
  <c r="O162" i="65" s="1"/>
  <c r="O157" i="65"/>
  <c r="O152" i="65"/>
  <c r="O159" i="65" s="1"/>
  <c r="P115" i="58"/>
  <c r="P118" i="58" s="1"/>
  <c r="P125" i="58" s="1"/>
  <c r="P115" i="65"/>
  <c r="Q132" i="61"/>
  <c r="Q140" i="61" s="1"/>
  <c r="Q132" i="63"/>
  <c r="Q132" i="66"/>
  <c r="Q132" i="64"/>
  <c r="N129" i="64"/>
  <c r="N169" i="64" s="1"/>
  <c r="N112" i="65"/>
  <c r="N167" i="65" s="1"/>
  <c r="N176" i="65" s="1"/>
  <c r="P115" i="66"/>
  <c r="P118" i="66" s="1"/>
  <c r="P115" i="64"/>
  <c r="P118" i="64" s="1"/>
  <c r="O184" i="63"/>
  <c r="O175" i="63"/>
  <c r="N184" i="63"/>
  <c r="N175" i="63"/>
  <c r="P149" i="66"/>
  <c r="P149" i="64"/>
  <c r="P106" i="63"/>
  <c r="P110" i="63" s="1"/>
  <c r="P99" i="63"/>
  <c r="P111" i="63" s="1"/>
  <c r="P101" i="63"/>
  <c r="P108" i="63" s="1"/>
  <c r="P99" i="67"/>
  <c r="P111" i="67" s="1"/>
  <c r="P101" i="67"/>
  <c r="P108" i="67" s="1"/>
  <c r="P106" i="67"/>
  <c r="P110" i="67" s="1"/>
  <c r="P98" i="58"/>
  <c r="P106" i="58" s="1"/>
  <c r="P110" i="58" s="1"/>
  <c r="P98" i="65"/>
  <c r="N185" i="67"/>
  <c r="N176" i="67"/>
  <c r="M176" i="66"/>
  <c r="M185" i="66"/>
  <c r="M185" i="65"/>
  <c r="M176" i="65"/>
  <c r="N112" i="64"/>
  <c r="N167" i="64" s="1"/>
  <c r="P98" i="66"/>
  <c r="P98" i="64"/>
  <c r="O112" i="67"/>
  <c r="O167" i="67" s="1"/>
  <c r="N112" i="66"/>
  <c r="N167" i="66" s="1"/>
  <c r="O99" i="64"/>
  <c r="O111" i="64" s="1"/>
  <c r="O101" i="64"/>
  <c r="O108" i="64" s="1"/>
  <c r="O106" i="64"/>
  <c r="O110" i="64" s="1"/>
  <c r="O99" i="65"/>
  <c r="O111" i="65" s="1"/>
  <c r="O106" i="65"/>
  <c r="O110" i="65" s="1"/>
  <c r="O101" i="65"/>
  <c r="O108" i="65" s="1"/>
  <c r="O99" i="66"/>
  <c r="O111" i="66" s="1"/>
  <c r="O101" i="66"/>
  <c r="O108" i="66" s="1"/>
  <c r="O106" i="66"/>
  <c r="O110" i="66" s="1"/>
  <c r="O112" i="63"/>
  <c r="O167" i="63" s="1"/>
  <c r="M176" i="64"/>
  <c r="M185" i="64"/>
  <c r="P150" i="51"/>
  <c r="P152" i="51"/>
  <c r="N175" i="62"/>
  <c r="Q48" i="61"/>
  <c r="Q50" i="61" s="1"/>
  <c r="N176" i="62"/>
  <c r="Q183" i="62"/>
  <c r="Q189" i="62" s="1"/>
  <c r="Q174" i="62"/>
  <c r="Q180" i="62" s="1"/>
  <c r="P153" i="61"/>
  <c r="P160" i="61" s="1"/>
  <c r="P119" i="61"/>
  <c r="P126" i="61" s="1"/>
  <c r="R52" i="61"/>
  <c r="R60" i="45"/>
  <c r="R66" i="45"/>
  <c r="R61" i="45"/>
  <c r="R67" i="45"/>
  <c r="R62" i="45"/>
  <c r="R63" i="45"/>
  <c r="R64" i="45"/>
  <c r="R59" i="45"/>
  <c r="R65" i="45"/>
  <c r="R48" i="45"/>
  <c r="R51" i="45"/>
  <c r="R132" i="45" s="1"/>
  <c r="R54" i="45"/>
  <c r="R53" i="45"/>
  <c r="R49" i="45"/>
  <c r="R130" i="45" s="1"/>
  <c r="R52" i="45"/>
  <c r="R133" i="45" s="1"/>
  <c r="R55" i="45"/>
  <c r="R50" i="45"/>
  <c r="R131" i="45" s="1"/>
  <c r="R56" i="45"/>
  <c r="R137" i="45" s="1"/>
  <c r="R52" i="62"/>
  <c r="Q132" i="62"/>
  <c r="Q132" i="57"/>
  <c r="Q135" i="57" s="1"/>
  <c r="P142" i="57"/>
  <c r="P140" i="57"/>
  <c r="P133" i="57"/>
  <c r="P145" i="57" s="1"/>
  <c r="O129" i="62"/>
  <c r="O169" i="62" s="1"/>
  <c r="P133" i="62"/>
  <c r="P145" i="62" s="1"/>
  <c r="P140" i="62"/>
  <c r="P135" i="62"/>
  <c r="P142" i="62" s="1"/>
  <c r="R53" i="61"/>
  <c r="R77" i="45"/>
  <c r="R70" i="45"/>
  <c r="R75" i="45"/>
  <c r="R73" i="45"/>
  <c r="R72" i="45"/>
  <c r="R78" i="45"/>
  <c r="R71" i="45"/>
  <c r="R76" i="45"/>
  <c r="R74" i="45"/>
  <c r="R53" i="62"/>
  <c r="Q145" i="45"/>
  <c r="P99" i="62"/>
  <c r="P111" i="62" s="1"/>
  <c r="P106" i="62"/>
  <c r="P110" i="62" s="1"/>
  <c r="P101" i="62"/>
  <c r="P108" i="62" s="1"/>
  <c r="O112" i="62"/>
  <c r="O167" i="62" s="1"/>
  <c r="P150" i="62"/>
  <c r="P162" i="62" s="1"/>
  <c r="P152" i="62"/>
  <c r="P159" i="62" s="1"/>
  <c r="P157" i="62"/>
  <c r="N129" i="61"/>
  <c r="N169" i="61" s="1"/>
  <c r="N175" i="61" s="1"/>
  <c r="R42" i="38"/>
  <c r="R42" i="61"/>
  <c r="R68" i="61" s="1"/>
  <c r="R75" i="61" s="1"/>
  <c r="R78" i="61" s="1"/>
  <c r="R165" i="61" s="1"/>
  <c r="BA8" i="2" s="1"/>
  <c r="AU8" i="2" s="1"/>
  <c r="F5" i="77" s="1"/>
  <c r="R5" i="77" s="1"/>
  <c r="R10" i="77" s="1"/>
  <c r="R43" i="38"/>
  <c r="R43" i="61"/>
  <c r="R85" i="61" s="1"/>
  <c r="R92" i="61" s="1"/>
  <c r="R95" i="61" s="1"/>
  <c r="R166" i="61" s="1"/>
  <c r="BB8" i="2" s="1"/>
  <c r="P115" i="61"/>
  <c r="P118" i="61" s="1"/>
  <c r="Q171" i="61"/>
  <c r="Q174" i="61"/>
  <c r="Q180" i="61" s="1"/>
  <c r="Q183" i="61"/>
  <c r="Q189" i="61" s="1"/>
  <c r="R51" i="61"/>
  <c r="R136" i="61" s="1"/>
  <c r="R143" i="61" s="1"/>
  <c r="R51" i="38"/>
  <c r="O99" i="61"/>
  <c r="O111" i="61" s="1"/>
  <c r="O106" i="61"/>
  <c r="O110" i="61" s="1"/>
  <c r="O101" i="61"/>
  <c r="O108" i="61" s="1"/>
  <c r="M185" i="61"/>
  <c r="M176" i="61"/>
  <c r="R45" i="61"/>
  <c r="R45" i="38"/>
  <c r="R46" i="61"/>
  <c r="R46" i="38"/>
  <c r="R49" i="61"/>
  <c r="R49" i="38"/>
  <c r="M175" i="61"/>
  <c r="M184" i="61"/>
  <c r="P98" i="61"/>
  <c r="O129" i="61"/>
  <c r="O169" i="61" s="1"/>
  <c r="N112" i="61"/>
  <c r="N167" i="61" s="1"/>
  <c r="S44" i="61"/>
  <c r="S102" i="61" s="1"/>
  <c r="S109" i="61" s="1"/>
  <c r="S44" i="38"/>
  <c r="P171" i="57"/>
  <c r="P183" i="57"/>
  <c r="P189" i="57" s="1"/>
  <c r="K48" i="38"/>
  <c r="K50" i="38" s="1"/>
  <c r="P183" i="58"/>
  <c r="P189" i="58" s="1"/>
  <c r="P171" i="58"/>
  <c r="P171" i="53"/>
  <c r="P183" i="52"/>
  <c r="P189" i="52" s="1"/>
  <c r="P171" i="51"/>
  <c r="M176" i="55"/>
  <c r="P174" i="53"/>
  <c r="P180" i="53" s="1"/>
  <c r="P183" i="53"/>
  <c r="P189" i="53" s="1"/>
  <c r="P174" i="52"/>
  <c r="P180" i="52" s="1"/>
  <c r="P174" i="51"/>
  <c r="P180" i="51" s="1"/>
  <c r="N176" i="51"/>
  <c r="Q75" i="57"/>
  <c r="Q78" i="57" s="1"/>
  <c r="Q165" i="57" s="1"/>
  <c r="Q171" i="57" s="1"/>
  <c r="M175" i="57"/>
  <c r="M184" i="57"/>
  <c r="Q75" i="52"/>
  <c r="Q78" i="52" s="1"/>
  <c r="Q165" i="52" s="1"/>
  <c r="Q183" i="52" s="1"/>
  <c r="Q189" i="52" s="1"/>
  <c r="Q75" i="55"/>
  <c r="Q78" i="55" s="1"/>
  <c r="Q165" i="55" s="1"/>
  <c r="Q174" i="55" s="1"/>
  <c r="Q180" i="55" s="1"/>
  <c r="P174" i="55"/>
  <c r="P180" i="55" s="1"/>
  <c r="Q75" i="58"/>
  <c r="Q78" i="58" s="1"/>
  <c r="Q165" i="58" s="1"/>
  <c r="Q174" i="58" s="1"/>
  <c r="Q180" i="58" s="1"/>
  <c r="P171" i="55"/>
  <c r="Q75" i="51"/>
  <c r="Q78" i="51" s="1"/>
  <c r="Q165" i="51" s="1"/>
  <c r="Q174" i="51" s="1"/>
  <c r="Q180" i="51" s="1"/>
  <c r="Q75" i="53"/>
  <c r="Q78" i="53" s="1"/>
  <c r="Q165" i="53" s="1"/>
  <c r="Q174" i="53" s="1"/>
  <c r="Q180" i="53" s="1"/>
  <c r="R46" i="58"/>
  <c r="R46" i="57"/>
  <c r="R46" i="55"/>
  <c r="R46" i="53"/>
  <c r="R46" i="52"/>
  <c r="R46" i="51"/>
  <c r="R52" i="58"/>
  <c r="R52" i="55"/>
  <c r="R52" i="57"/>
  <c r="R52" i="53"/>
  <c r="R52" i="52"/>
  <c r="R52" i="51"/>
  <c r="R45" i="58"/>
  <c r="R45" i="57"/>
  <c r="R45" i="55"/>
  <c r="R45" i="52"/>
  <c r="R45" i="53"/>
  <c r="R45" i="51"/>
  <c r="S44" i="58"/>
  <c r="S102" i="58" s="1"/>
  <c r="S109" i="58" s="1"/>
  <c r="S44" i="55"/>
  <c r="S102" i="55" s="1"/>
  <c r="S109" i="55" s="1"/>
  <c r="S44" i="53"/>
  <c r="S102" i="53" s="1"/>
  <c r="S109" i="53" s="1"/>
  <c r="S44" i="57"/>
  <c r="S102" i="57" s="1"/>
  <c r="S109" i="57" s="1"/>
  <c r="S44" i="52"/>
  <c r="S102" i="52" s="1"/>
  <c r="S109" i="52" s="1"/>
  <c r="S44" i="51"/>
  <c r="S102" i="51" s="1"/>
  <c r="S109" i="51" s="1"/>
  <c r="P119" i="51"/>
  <c r="P126" i="51" s="1"/>
  <c r="P153" i="51"/>
  <c r="P160" i="51" s="1"/>
  <c r="P119" i="52"/>
  <c r="P126" i="52" s="1"/>
  <c r="P153" i="52"/>
  <c r="P160" i="52" s="1"/>
  <c r="P119" i="53"/>
  <c r="P126" i="53" s="1"/>
  <c r="P153" i="53"/>
  <c r="P160" i="53" s="1"/>
  <c r="R41" i="58"/>
  <c r="R67" i="58" s="1"/>
  <c r="R41" i="57"/>
  <c r="R67" i="57" s="1"/>
  <c r="R41" i="53"/>
  <c r="R67" i="53" s="1"/>
  <c r="R41" i="52"/>
  <c r="R67" i="52" s="1"/>
  <c r="R41" i="55"/>
  <c r="R67" i="55" s="1"/>
  <c r="R41" i="51"/>
  <c r="R67" i="51" s="1"/>
  <c r="N129" i="55"/>
  <c r="N169" i="55" s="1"/>
  <c r="N175" i="55" s="1"/>
  <c r="P153" i="57"/>
  <c r="P160" i="57" s="1"/>
  <c r="P119" i="57"/>
  <c r="P126" i="57" s="1"/>
  <c r="P119" i="58"/>
  <c r="P126" i="58" s="1"/>
  <c r="P153" i="58"/>
  <c r="P160" i="58" s="1"/>
  <c r="P153" i="55"/>
  <c r="P160" i="55" s="1"/>
  <c r="P119" i="55"/>
  <c r="P126" i="55" s="1"/>
  <c r="R53" i="58"/>
  <c r="R53" i="55"/>
  <c r="R53" i="57"/>
  <c r="R53" i="53"/>
  <c r="R53" i="52"/>
  <c r="R53" i="51"/>
  <c r="R42" i="58"/>
  <c r="R68" i="58" s="1"/>
  <c r="R42" i="57"/>
  <c r="R68" i="57" s="1"/>
  <c r="R42" i="55"/>
  <c r="R68" i="55" s="1"/>
  <c r="R42" i="52"/>
  <c r="R68" i="52" s="1"/>
  <c r="R42" i="53"/>
  <c r="R68" i="53" s="1"/>
  <c r="R42" i="51"/>
  <c r="R68" i="51" s="1"/>
  <c r="R43" i="58"/>
  <c r="R85" i="58" s="1"/>
  <c r="R92" i="58" s="1"/>
  <c r="R95" i="58" s="1"/>
  <c r="R166" i="58" s="1"/>
  <c r="BB107" i="2" s="1"/>
  <c r="R43" i="57"/>
  <c r="R85" i="57" s="1"/>
  <c r="R92" i="57" s="1"/>
  <c r="R95" i="57" s="1"/>
  <c r="R166" i="57" s="1"/>
  <c r="R43" i="55"/>
  <c r="R85" i="55" s="1"/>
  <c r="R92" i="55" s="1"/>
  <c r="R95" i="55" s="1"/>
  <c r="R166" i="55" s="1"/>
  <c r="BB129" i="2" s="1"/>
  <c r="R43" i="52"/>
  <c r="R85" i="52" s="1"/>
  <c r="R92" i="52" s="1"/>
  <c r="R95" i="52" s="1"/>
  <c r="R166" i="52" s="1"/>
  <c r="BB85" i="2" s="1"/>
  <c r="R43" i="53"/>
  <c r="R85" i="53" s="1"/>
  <c r="R92" i="53" s="1"/>
  <c r="R95" i="53" s="1"/>
  <c r="R166" i="53" s="1"/>
  <c r="BB74" i="2" s="1"/>
  <c r="R43" i="51"/>
  <c r="R85" i="51" s="1"/>
  <c r="R92" i="51" s="1"/>
  <c r="R95" i="51" s="1"/>
  <c r="R166" i="51" s="1"/>
  <c r="BB63" i="2" s="1"/>
  <c r="R51" i="58"/>
  <c r="R136" i="58" s="1"/>
  <c r="R143" i="58" s="1"/>
  <c r="R51" i="55"/>
  <c r="R136" i="55" s="1"/>
  <c r="R143" i="55" s="1"/>
  <c r="R51" i="57"/>
  <c r="R136" i="57" s="1"/>
  <c r="R143" i="57" s="1"/>
  <c r="R51" i="53"/>
  <c r="R136" i="53" s="1"/>
  <c r="R143" i="53" s="1"/>
  <c r="R51" i="52"/>
  <c r="R136" i="52" s="1"/>
  <c r="R143" i="52" s="1"/>
  <c r="R51" i="51"/>
  <c r="R136" i="51" s="1"/>
  <c r="R143" i="51" s="1"/>
  <c r="Q116" i="53"/>
  <c r="Q128" i="53" s="1"/>
  <c r="Q123" i="53"/>
  <c r="Q127" i="53" s="1"/>
  <c r="Q118" i="53"/>
  <c r="Q125" i="53" s="1"/>
  <c r="P149" i="38"/>
  <c r="P152" i="38" s="1"/>
  <c r="P149" i="55"/>
  <c r="P152" i="55" s="1"/>
  <c r="P116" i="53"/>
  <c r="P128" i="53" s="1"/>
  <c r="P123" i="53"/>
  <c r="P127" i="53" s="1"/>
  <c r="P118" i="53"/>
  <c r="P125" i="53" s="1"/>
  <c r="P99" i="51"/>
  <c r="P111" i="51" s="1"/>
  <c r="P106" i="51"/>
  <c r="P110" i="51" s="1"/>
  <c r="P101" i="51"/>
  <c r="P108" i="51" s="1"/>
  <c r="P99" i="52"/>
  <c r="P111" i="52" s="1"/>
  <c r="P106" i="52"/>
  <c r="P110" i="52" s="1"/>
  <c r="P101" i="52"/>
  <c r="P108" i="52" s="1"/>
  <c r="P150" i="53"/>
  <c r="P162" i="53" s="1"/>
  <c r="P159" i="53"/>
  <c r="P157" i="53"/>
  <c r="N175" i="51"/>
  <c r="N184" i="51"/>
  <c r="M185" i="57"/>
  <c r="M176" i="57"/>
  <c r="O99" i="55"/>
  <c r="O111" i="55" s="1"/>
  <c r="O101" i="55"/>
  <c r="O108" i="55" s="1"/>
  <c r="O106" i="55"/>
  <c r="O110" i="55" s="1"/>
  <c r="P98" i="57"/>
  <c r="O150" i="57"/>
  <c r="O162" i="57" s="1"/>
  <c r="O159" i="57"/>
  <c r="O157" i="57"/>
  <c r="P98" i="38"/>
  <c r="P98" i="55"/>
  <c r="P150" i="52"/>
  <c r="P162" i="52" s="1"/>
  <c r="P157" i="52"/>
  <c r="P159" i="52"/>
  <c r="P133" i="55"/>
  <c r="P145" i="55" s="1"/>
  <c r="P142" i="55"/>
  <c r="P140" i="55"/>
  <c r="O116" i="55"/>
  <c r="O128" i="55" s="1"/>
  <c r="O123" i="55"/>
  <c r="O127" i="55" s="1"/>
  <c r="O118" i="55"/>
  <c r="O125" i="55" s="1"/>
  <c r="O150" i="55"/>
  <c r="O162" i="55" s="1"/>
  <c r="O157" i="55"/>
  <c r="O159" i="55"/>
  <c r="O112" i="51"/>
  <c r="O167" i="51" s="1"/>
  <c r="O129" i="52"/>
  <c r="O169" i="52" s="1"/>
  <c r="N176" i="52"/>
  <c r="N185" i="52"/>
  <c r="O116" i="57"/>
  <c r="O128" i="57" s="1"/>
  <c r="O118" i="57"/>
  <c r="O125" i="57" s="1"/>
  <c r="O123" i="57"/>
  <c r="O127" i="57" s="1"/>
  <c r="M175" i="55"/>
  <c r="M184" i="55"/>
  <c r="O112" i="52"/>
  <c r="O167" i="52" s="1"/>
  <c r="P116" i="51"/>
  <c r="P128" i="51" s="1"/>
  <c r="P118" i="51"/>
  <c r="P125" i="51" s="1"/>
  <c r="P123" i="51"/>
  <c r="P127" i="51" s="1"/>
  <c r="P115" i="38"/>
  <c r="P118" i="38" s="1"/>
  <c r="P115" i="55"/>
  <c r="P116" i="57"/>
  <c r="P128" i="57" s="1"/>
  <c r="P118" i="57"/>
  <c r="P125" i="57" s="1"/>
  <c r="P123" i="57"/>
  <c r="P127" i="57" s="1"/>
  <c r="N184" i="53"/>
  <c r="N175" i="53"/>
  <c r="N112" i="55"/>
  <c r="N167" i="55" s="1"/>
  <c r="O129" i="51"/>
  <c r="O169" i="51" s="1"/>
  <c r="N185" i="53"/>
  <c r="N176" i="53"/>
  <c r="P149" i="57"/>
  <c r="P152" i="57" s="1"/>
  <c r="P116" i="52"/>
  <c r="P128" i="52" s="1"/>
  <c r="P118" i="52"/>
  <c r="P125" i="52" s="1"/>
  <c r="P123" i="52"/>
  <c r="P127" i="52" s="1"/>
  <c r="Q132" i="38"/>
  <c r="Q135" i="38" s="1"/>
  <c r="Q132" i="55"/>
  <c r="Q135" i="55" s="1"/>
  <c r="O99" i="57"/>
  <c r="O111" i="57" s="1"/>
  <c r="O106" i="57"/>
  <c r="O110" i="57" s="1"/>
  <c r="O101" i="57"/>
  <c r="O108" i="57" s="1"/>
  <c r="N129" i="57"/>
  <c r="N169" i="57" s="1"/>
  <c r="N184" i="52"/>
  <c r="N175" i="52"/>
  <c r="O129" i="53"/>
  <c r="O169" i="53" s="1"/>
  <c r="P99" i="53"/>
  <c r="P111" i="53" s="1"/>
  <c r="P101" i="53"/>
  <c r="P108" i="53" s="1"/>
  <c r="P106" i="53"/>
  <c r="P110" i="53" s="1"/>
  <c r="N112" i="57"/>
  <c r="N167" i="57" s="1"/>
  <c r="O112" i="53"/>
  <c r="O167" i="53" s="1"/>
  <c r="O162" i="51"/>
  <c r="O157" i="51"/>
  <c r="O159" i="51"/>
  <c r="P145" i="51"/>
  <c r="P140" i="51"/>
  <c r="P142" i="51"/>
  <c r="S156" i="45"/>
  <c r="S55" i="63" s="1"/>
  <c r="S69" i="63" s="1"/>
  <c r="S76" i="63" s="1"/>
  <c r="Q144" i="45"/>
  <c r="S155" i="45"/>
  <c r="S55" i="62" s="1"/>
  <c r="S69" i="62" s="1"/>
  <c r="S76" i="62" s="1"/>
  <c r="Q149" i="45"/>
  <c r="Q149" i="67" s="1"/>
  <c r="Q150" i="45"/>
  <c r="Q146" i="45"/>
  <c r="Q149" i="62" s="1"/>
  <c r="Q147" i="45"/>
  <c r="Q149" i="53" s="1"/>
  <c r="Q152" i="53" s="1"/>
  <c r="Q148" i="45"/>
  <c r="Q149" i="52" s="1"/>
  <c r="Q152" i="52" s="1"/>
  <c r="Q142" i="45"/>
  <c r="Q149" i="51" s="1"/>
  <c r="Q143" i="45"/>
  <c r="S154" i="45"/>
  <c r="R55" i="38"/>
  <c r="Q125" i="45"/>
  <c r="Q120" i="45"/>
  <c r="Q118" i="45"/>
  <c r="Q115" i="63" s="1"/>
  <c r="Q118" i="63" s="1"/>
  <c r="Q121" i="45"/>
  <c r="Q115" i="62" s="1"/>
  <c r="Q118" i="62" s="1"/>
  <c r="Q123" i="45"/>
  <c r="Q115" i="52" s="1"/>
  <c r="Q124" i="45"/>
  <c r="Q115" i="67" s="1"/>
  <c r="Q118" i="67" s="1"/>
  <c r="Q117" i="45"/>
  <c r="Q115" i="51" s="1"/>
  <c r="Q119" i="45"/>
  <c r="R116" i="45"/>
  <c r="R117" i="45" s="1"/>
  <c r="R115" i="51" s="1"/>
  <c r="BE64" i="2" s="1"/>
  <c r="AY64" i="2" s="1"/>
  <c r="J66" i="77" s="1"/>
  <c r="V66" i="77" s="1"/>
  <c r="R140" i="45"/>
  <c r="S38" i="45"/>
  <c r="S39" i="45"/>
  <c r="S40" i="45"/>
  <c r="S27" i="45"/>
  <c r="S28" i="45"/>
  <c r="S29" i="45"/>
  <c r="R103" i="45"/>
  <c r="R104" i="45"/>
  <c r="Q113" i="45"/>
  <c r="Q112" i="45"/>
  <c r="Q98" i="67" s="1"/>
  <c r="Q111" i="45"/>
  <c r="Q98" i="52" s="1"/>
  <c r="Q106" i="45"/>
  <c r="Q98" i="63" s="1"/>
  <c r="Q107" i="45"/>
  <c r="Q109" i="45"/>
  <c r="Q98" i="62" s="1"/>
  <c r="Q105" i="45"/>
  <c r="Q98" i="51" s="1"/>
  <c r="Q110" i="45"/>
  <c r="Q98" i="53" s="1"/>
  <c r="Q108" i="45"/>
  <c r="S14" i="45"/>
  <c r="T6" i="45"/>
  <c r="S5" i="45"/>
  <c r="S19" i="45"/>
  <c r="R52" i="38"/>
  <c r="S23" i="45"/>
  <c r="S20" i="45"/>
  <c r="R53" i="38"/>
  <c r="S12" i="45"/>
  <c r="S4" i="45"/>
  <c r="S21" i="45"/>
  <c r="AE5" i="14" l="1" a="1"/>
  <c r="AE5" i="14" s="1"/>
  <c r="AH5" i="14" a="1"/>
  <c r="AH5" i="14" s="1"/>
  <c r="AH11" i="14" a="1"/>
  <c r="AH11" i="14" s="1"/>
  <c r="AV8" i="2"/>
  <c r="G5" i="77" s="1"/>
  <c r="S5" i="77" s="1"/>
  <c r="S10" i="77" s="1"/>
  <c r="AV41" i="2"/>
  <c r="G41" i="77" s="1"/>
  <c r="S41" i="77" s="1"/>
  <c r="S46" i="77" s="1"/>
  <c r="AV140" i="2"/>
  <c r="G149" i="77" s="1"/>
  <c r="S149" i="77" s="1"/>
  <c r="S154" i="77" s="1"/>
  <c r="AI118" i="2"/>
  <c r="G125" i="79" s="1"/>
  <c r="S125" i="79" s="1"/>
  <c r="S130" i="79" s="1"/>
  <c r="AV151" i="2"/>
  <c r="G161" i="77" s="1"/>
  <c r="S161" i="77" s="1"/>
  <c r="S166" i="77" s="1"/>
  <c r="AI96" i="2"/>
  <c r="G101" i="79" s="1"/>
  <c r="S101" i="79" s="1"/>
  <c r="S106" i="79" s="1"/>
  <c r="AV30" i="2"/>
  <c r="G29" i="77" s="1"/>
  <c r="S29" i="77" s="1"/>
  <c r="S34" i="77" s="1"/>
  <c r="AJ118" i="2"/>
  <c r="H125" i="79" s="1"/>
  <c r="T125" i="79" s="1"/>
  <c r="T130" i="79" s="1"/>
  <c r="AL118" i="2"/>
  <c r="J125" i="79" s="1"/>
  <c r="V125" i="79" s="1"/>
  <c r="V130" i="79" s="1"/>
  <c r="AH118" i="2"/>
  <c r="F125" i="79" s="1"/>
  <c r="R125" i="79" s="1"/>
  <c r="R130" i="79" s="1"/>
  <c r="AL96" i="2"/>
  <c r="J101" i="79" s="1"/>
  <c r="V101" i="79" s="1"/>
  <c r="V106" i="79" s="1"/>
  <c r="AJ96" i="2"/>
  <c r="H101" i="79" s="1"/>
  <c r="T101" i="79" s="1"/>
  <c r="T106" i="79" s="1"/>
  <c r="AH96" i="2"/>
  <c r="F101" i="79" s="1"/>
  <c r="R101" i="79" s="1"/>
  <c r="R106" i="79" s="1"/>
  <c r="G192" i="64"/>
  <c r="G177" i="64"/>
  <c r="R48" i="55"/>
  <c r="R50" i="55" s="1"/>
  <c r="G186" i="64"/>
  <c r="R48" i="57"/>
  <c r="R50" i="57" s="1"/>
  <c r="F188" i="67"/>
  <c r="Q153" i="66"/>
  <c r="Q160" i="66" s="1"/>
  <c r="Q119" i="66"/>
  <c r="Q126" i="66" s="1"/>
  <c r="Q153" i="62"/>
  <c r="Q160" i="62" s="1"/>
  <c r="F178" i="52"/>
  <c r="E178" i="61"/>
  <c r="E194" i="61"/>
  <c r="E179" i="61"/>
  <c r="E187" i="61"/>
  <c r="E178" i="65"/>
  <c r="F188" i="52"/>
  <c r="F186" i="53"/>
  <c r="E179" i="64"/>
  <c r="F187" i="52"/>
  <c r="E186" i="57"/>
  <c r="F179" i="51"/>
  <c r="E194" i="62"/>
  <c r="F187" i="51"/>
  <c r="E179" i="62"/>
  <c r="E188" i="62"/>
  <c r="F178" i="51"/>
  <c r="F186" i="67"/>
  <c r="E188" i="64"/>
  <c r="E194" i="64"/>
  <c r="E178" i="64"/>
  <c r="E179" i="63"/>
  <c r="E179" i="55"/>
  <c r="E188" i="55"/>
  <c r="E178" i="55"/>
  <c r="E186" i="62"/>
  <c r="F188" i="53"/>
  <c r="E194" i="63"/>
  <c r="E178" i="63"/>
  <c r="E194" i="57"/>
  <c r="F179" i="53"/>
  <c r="E194" i="55"/>
  <c r="E178" i="57"/>
  <c r="E179" i="57"/>
  <c r="E179" i="65"/>
  <c r="G193" i="62"/>
  <c r="E194" i="58"/>
  <c r="E186" i="63"/>
  <c r="G187" i="53"/>
  <c r="E179" i="58"/>
  <c r="G177" i="53"/>
  <c r="G192" i="53"/>
  <c r="E186" i="58"/>
  <c r="E194" i="65"/>
  <c r="E178" i="58"/>
  <c r="E186" i="65"/>
  <c r="E194" i="66"/>
  <c r="E186" i="66"/>
  <c r="E178" i="66"/>
  <c r="E179" i="66"/>
  <c r="F178" i="67"/>
  <c r="F179" i="52"/>
  <c r="F194" i="51"/>
  <c r="H246" i="45"/>
  <c r="H262" i="45" s="1"/>
  <c r="G59" i="67"/>
  <c r="G154" i="67" s="1"/>
  <c r="G161" i="67" s="1"/>
  <c r="G163" i="67" s="1"/>
  <c r="G170" i="67" s="1"/>
  <c r="G186" i="67" s="1"/>
  <c r="F194" i="67"/>
  <c r="I214" i="45"/>
  <c r="I230" i="45" s="1"/>
  <c r="H58" i="67"/>
  <c r="H137" i="67" s="1"/>
  <c r="H144" i="67" s="1"/>
  <c r="H146" i="67" s="1"/>
  <c r="H168" i="67" s="1"/>
  <c r="I213" i="45"/>
  <c r="I229" i="45" s="1"/>
  <c r="H58" i="66"/>
  <c r="H137" i="66" s="1"/>
  <c r="H144" i="66" s="1"/>
  <c r="H146" i="66" s="1"/>
  <c r="H168" i="66" s="1"/>
  <c r="G245" i="45"/>
  <c r="G261" i="45" s="1"/>
  <c r="F59" i="66"/>
  <c r="F154" i="66" s="1"/>
  <c r="F161" i="66" s="1"/>
  <c r="F163" i="66" s="1"/>
  <c r="F170" i="66" s="1"/>
  <c r="F188" i="66" s="1"/>
  <c r="I212" i="45"/>
  <c r="I228" i="45" s="1"/>
  <c r="G244" i="45"/>
  <c r="G260" i="45" s="1"/>
  <c r="F59" i="55"/>
  <c r="F154" i="55" s="1"/>
  <c r="F161" i="55" s="1"/>
  <c r="F163" i="55" s="1"/>
  <c r="F170" i="55" s="1"/>
  <c r="F179" i="55" s="1"/>
  <c r="I211" i="45"/>
  <c r="I227" i="45" s="1"/>
  <c r="G243" i="45"/>
  <c r="G259" i="45" s="1"/>
  <c r="F59" i="65"/>
  <c r="F154" i="65" s="1"/>
  <c r="F161" i="65" s="1"/>
  <c r="F163" i="65" s="1"/>
  <c r="F170" i="65" s="1"/>
  <c r="F178" i="65" s="1"/>
  <c r="I210" i="45"/>
  <c r="I226" i="45" s="1"/>
  <c r="G242" i="45"/>
  <c r="G258" i="45" s="1"/>
  <c r="F59" i="58"/>
  <c r="F154" i="58" s="1"/>
  <c r="F161" i="58" s="1"/>
  <c r="F163" i="58" s="1"/>
  <c r="F170" i="58" s="1"/>
  <c r="F186" i="58" s="1"/>
  <c r="G193" i="57"/>
  <c r="G177" i="57"/>
  <c r="G192" i="57"/>
  <c r="G187" i="57"/>
  <c r="I209" i="45"/>
  <c r="I225" i="45" s="1"/>
  <c r="H58" i="57"/>
  <c r="H137" i="57" s="1"/>
  <c r="H144" i="57" s="1"/>
  <c r="H146" i="57" s="1"/>
  <c r="H168" i="57" s="1"/>
  <c r="G241" i="45"/>
  <c r="G257" i="45" s="1"/>
  <c r="F59" i="57"/>
  <c r="F154" i="57" s="1"/>
  <c r="F161" i="57" s="1"/>
  <c r="F163" i="57" s="1"/>
  <c r="F170" i="57" s="1"/>
  <c r="F186" i="57" s="1"/>
  <c r="H240" i="45"/>
  <c r="H256" i="45" s="1"/>
  <c r="G59" i="52"/>
  <c r="G154" i="52" s="1"/>
  <c r="G161" i="52" s="1"/>
  <c r="G163" i="52" s="1"/>
  <c r="G170" i="52" s="1"/>
  <c r="G188" i="52" s="1"/>
  <c r="I208" i="45"/>
  <c r="I224" i="45" s="1"/>
  <c r="H239" i="45"/>
  <c r="H255" i="45" s="1"/>
  <c r="G58" i="53"/>
  <c r="G154" i="53" s="1"/>
  <c r="G161" i="53" s="1"/>
  <c r="G163" i="53" s="1"/>
  <c r="G170" i="53" s="1"/>
  <c r="G194" i="53" s="1"/>
  <c r="F194" i="53"/>
  <c r="I207" i="45"/>
  <c r="I223" i="45" s="1"/>
  <c r="H57" i="53"/>
  <c r="H137" i="53" s="1"/>
  <c r="H144" i="53" s="1"/>
  <c r="H146" i="53" s="1"/>
  <c r="H168" i="53" s="1"/>
  <c r="H187" i="53" s="1"/>
  <c r="H238" i="45"/>
  <c r="H254" i="45" s="1"/>
  <c r="G58" i="51"/>
  <c r="G154" i="51" s="1"/>
  <c r="G161" i="51" s="1"/>
  <c r="G163" i="51" s="1"/>
  <c r="G170" i="51" s="1"/>
  <c r="G178" i="51" s="1"/>
  <c r="I206" i="45"/>
  <c r="I222" i="45" s="1"/>
  <c r="I205" i="45"/>
  <c r="I221" i="45" s="1"/>
  <c r="H57" i="64"/>
  <c r="H137" i="64" s="1"/>
  <c r="H144" i="64" s="1"/>
  <c r="H146" i="64" s="1"/>
  <c r="H168" i="64" s="1"/>
  <c r="H192" i="64" s="1"/>
  <c r="G237" i="45"/>
  <c r="G253" i="45" s="1"/>
  <c r="F58" i="64"/>
  <c r="F154" i="64" s="1"/>
  <c r="F161" i="64" s="1"/>
  <c r="F163" i="64" s="1"/>
  <c r="F170" i="64" s="1"/>
  <c r="F194" i="64" s="1"/>
  <c r="G187" i="63"/>
  <c r="G177" i="63"/>
  <c r="G192" i="63"/>
  <c r="G193" i="63"/>
  <c r="I204" i="45"/>
  <c r="I220" i="45" s="1"/>
  <c r="H57" i="63"/>
  <c r="H137" i="63" s="1"/>
  <c r="H144" i="63" s="1"/>
  <c r="H146" i="63" s="1"/>
  <c r="H168" i="63" s="1"/>
  <c r="G236" i="45"/>
  <c r="G252" i="45" s="1"/>
  <c r="F58" i="63"/>
  <c r="F154" i="63" s="1"/>
  <c r="F161" i="63" s="1"/>
  <c r="F163" i="63" s="1"/>
  <c r="F170" i="63" s="1"/>
  <c r="F186" i="63" s="1"/>
  <c r="G192" i="62"/>
  <c r="G177" i="62"/>
  <c r="I203" i="45"/>
  <c r="I219" i="45" s="1"/>
  <c r="H57" i="62"/>
  <c r="H137" i="62" s="1"/>
  <c r="H144" i="62" s="1"/>
  <c r="H146" i="62" s="1"/>
  <c r="H168" i="62" s="1"/>
  <c r="H187" i="62" s="1"/>
  <c r="G235" i="45"/>
  <c r="G251" i="45" s="1"/>
  <c r="F58" i="62"/>
  <c r="F154" i="62" s="1"/>
  <c r="F161" i="62" s="1"/>
  <c r="F163" i="62" s="1"/>
  <c r="F170" i="62" s="1"/>
  <c r="F179" i="62" s="1"/>
  <c r="I202" i="45"/>
  <c r="I218" i="45" s="1"/>
  <c r="H57" i="38"/>
  <c r="G234" i="45"/>
  <c r="G250" i="45" s="1"/>
  <c r="F58" i="38"/>
  <c r="I201" i="45"/>
  <c r="I217" i="45" s="1"/>
  <c r="G233" i="45"/>
  <c r="G249" i="45" s="1"/>
  <c r="F58" i="61"/>
  <c r="F154" i="61" s="1"/>
  <c r="F161" i="61" s="1"/>
  <c r="F163" i="61" s="1"/>
  <c r="F170" i="61" s="1"/>
  <c r="F187" i="61" s="1"/>
  <c r="F192" i="65"/>
  <c r="F193" i="65"/>
  <c r="F187" i="65"/>
  <c r="F177" i="65"/>
  <c r="H58" i="55"/>
  <c r="H137" i="55" s="1"/>
  <c r="H144" i="55" s="1"/>
  <c r="H146" i="55" s="1"/>
  <c r="H168" i="55" s="1"/>
  <c r="G192" i="55"/>
  <c r="G187" i="55"/>
  <c r="G177" i="55"/>
  <c r="G193" i="55"/>
  <c r="G57" i="51"/>
  <c r="G137" i="51" s="1"/>
  <c r="G144" i="51" s="1"/>
  <c r="G146" i="51" s="1"/>
  <c r="G168" i="51" s="1"/>
  <c r="H58" i="52"/>
  <c r="H137" i="52" s="1"/>
  <c r="H144" i="52" s="1"/>
  <c r="H146" i="52" s="1"/>
  <c r="H168" i="52" s="1"/>
  <c r="F193" i="51"/>
  <c r="F186" i="51"/>
  <c r="F192" i="51"/>
  <c r="F177" i="51"/>
  <c r="G193" i="52"/>
  <c r="G186" i="52"/>
  <c r="G192" i="52"/>
  <c r="G177" i="52"/>
  <c r="G192" i="66"/>
  <c r="G187" i="66"/>
  <c r="G177" i="66"/>
  <c r="G193" i="66"/>
  <c r="G177" i="67"/>
  <c r="G193" i="67"/>
  <c r="G192" i="67"/>
  <c r="G187" i="67"/>
  <c r="F186" i="61"/>
  <c r="F177" i="61"/>
  <c r="F193" i="61"/>
  <c r="F192" i="61"/>
  <c r="G57" i="61"/>
  <c r="G137" i="61" s="1"/>
  <c r="G144" i="61" s="1"/>
  <c r="G146" i="61" s="1"/>
  <c r="G168" i="61" s="1"/>
  <c r="G58" i="58"/>
  <c r="G137" i="58" s="1"/>
  <c r="G144" i="58" s="1"/>
  <c r="G146" i="58" s="1"/>
  <c r="G168" i="58" s="1"/>
  <c r="G58" i="65"/>
  <c r="G137" i="65" s="1"/>
  <c r="G144" i="65" s="1"/>
  <c r="G146" i="65" s="1"/>
  <c r="G168" i="65" s="1"/>
  <c r="F177" i="58"/>
  <c r="F192" i="58"/>
  <c r="F193" i="58"/>
  <c r="F187" i="58"/>
  <c r="R48" i="58"/>
  <c r="R50" i="58" s="1"/>
  <c r="R48" i="51"/>
  <c r="R50" i="51" s="1"/>
  <c r="Q183" i="64"/>
  <c r="Q189" i="64" s="1"/>
  <c r="Q174" i="64"/>
  <c r="Q180" i="64" s="1"/>
  <c r="N176" i="58"/>
  <c r="R48" i="64"/>
  <c r="R50" i="64" s="1"/>
  <c r="R153" i="64" s="1"/>
  <c r="R160" i="64" s="1"/>
  <c r="R48" i="66"/>
  <c r="R50" i="66" s="1"/>
  <c r="R153" i="66" s="1"/>
  <c r="R160" i="66" s="1"/>
  <c r="R48" i="67"/>
  <c r="R50" i="67" s="1"/>
  <c r="R153" i="67" s="1"/>
  <c r="R160" i="67" s="1"/>
  <c r="R48" i="53"/>
  <c r="R50" i="53" s="1"/>
  <c r="R183" i="63"/>
  <c r="R189" i="63" s="1"/>
  <c r="R171" i="63"/>
  <c r="R174" i="63"/>
  <c r="R180" i="63" s="1"/>
  <c r="R171" i="67"/>
  <c r="R174" i="67"/>
  <c r="R180" i="67" s="1"/>
  <c r="R183" i="67"/>
  <c r="R189" i="67" s="1"/>
  <c r="R183" i="65"/>
  <c r="R189" i="65" s="1"/>
  <c r="R171" i="65"/>
  <c r="R174" i="65"/>
  <c r="R180" i="65" s="1"/>
  <c r="S52" i="66"/>
  <c r="S52" i="67"/>
  <c r="S52" i="65"/>
  <c r="S52" i="64"/>
  <c r="S52" i="63"/>
  <c r="R78" i="64"/>
  <c r="R165" i="64" s="1"/>
  <c r="S53" i="66"/>
  <c r="S53" i="65"/>
  <c r="S53" i="67"/>
  <c r="S53" i="63"/>
  <c r="S53" i="64"/>
  <c r="R174" i="66"/>
  <c r="R180" i="66" s="1"/>
  <c r="R183" i="66"/>
  <c r="R189" i="66" s="1"/>
  <c r="R171" i="66"/>
  <c r="S42" i="62"/>
  <c r="S68" i="62" s="1"/>
  <c r="S75" i="62" s="1"/>
  <c r="S78" i="62" s="1"/>
  <c r="S165" i="62" s="1"/>
  <c r="S171" i="62" s="1"/>
  <c r="S42" i="67"/>
  <c r="S68" i="67" s="1"/>
  <c r="S75" i="67" s="1"/>
  <c r="S78" i="67" s="1"/>
  <c r="S165" i="67" s="1"/>
  <c r="S42" i="65"/>
  <c r="S68" i="65" s="1"/>
  <c r="S75" i="65" s="1"/>
  <c r="S78" i="65" s="1"/>
  <c r="S165" i="65" s="1"/>
  <c r="S42" i="66"/>
  <c r="S68" i="66" s="1"/>
  <c r="S75" i="66" s="1"/>
  <c r="S78" i="66" s="1"/>
  <c r="S165" i="66" s="1"/>
  <c r="S42" i="63"/>
  <c r="S68" i="63" s="1"/>
  <c r="S75" i="63" s="1"/>
  <c r="S78" i="63" s="1"/>
  <c r="S165" i="63" s="1"/>
  <c r="S171" i="63" s="1"/>
  <c r="S42" i="64"/>
  <c r="S68" i="64" s="1"/>
  <c r="S75" i="64" s="1"/>
  <c r="S46" i="62"/>
  <c r="S46" i="67"/>
  <c r="S46" i="65"/>
  <c r="S46" i="66"/>
  <c r="S46" i="63"/>
  <c r="S46" i="64"/>
  <c r="R48" i="52"/>
  <c r="R50" i="52" s="1"/>
  <c r="R48" i="62"/>
  <c r="R50" i="62" s="1"/>
  <c r="R153" i="62" s="1"/>
  <c r="R160" i="62" s="1"/>
  <c r="S43" i="62"/>
  <c r="S85" i="62" s="1"/>
  <c r="S92" i="62" s="1"/>
  <c r="S95" i="62" s="1"/>
  <c r="S166" i="62" s="1"/>
  <c r="S43" i="66"/>
  <c r="S85" i="66" s="1"/>
  <c r="S92" i="66" s="1"/>
  <c r="S95" i="66" s="1"/>
  <c r="S166" i="66" s="1"/>
  <c r="S43" i="67"/>
  <c r="S85" i="67" s="1"/>
  <c r="S92" i="67" s="1"/>
  <c r="S95" i="67" s="1"/>
  <c r="S166" i="67" s="1"/>
  <c r="S43" i="65"/>
  <c r="S85" i="65" s="1"/>
  <c r="S92" i="65" s="1"/>
  <c r="S95" i="65" s="1"/>
  <c r="S166" i="65" s="1"/>
  <c r="S43" i="63"/>
  <c r="S85" i="63" s="1"/>
  <c r="S92" i="63" s="1"/>
  <c r="S95" i="63" s="1"/>
  <c r="S166" i="63" s="1"/>
  <c r="S43" i="64"/>
  <c r="S85" i="64" s="1"/>
  <c r="S92" i="64" s="1"/>
  <c r="S95" i="64" s="1"/>
  <c r="S166" i="64" s="1"/>
  <c r="T44" i="62"/>
  <c r="T102" i="62" s="1"/>
  <c r="T109" i="62" s="1"/>
  <c r="T44" i="67"/>
  <c r="T102" i="67" s="1"/>
  <c r="T109" i="67" s="1"/>
  <c r="T44" i="66"/>
  <c r="T102" i="66" s="1"/>
  <c r="T109" i="66" s="1"/>
  <c r="T44" i="65"/>
  <c r="T102" i="65" s="1"/>
  <c r="T109" i="65" s="1"/>
  <c r="T44" i="64"/>
  <c r="T102" i="64" s="1"/>
  <c r="T109" i="64" s="1"/>
  <c r="T44" i="63"/>
  <c r="T102" i="63" s="1"/>
  <c r="T109" i="63" s="1"/>
  <c r="R48" i="63"/>
  <c r="R50" i="63" s="1"/>
  <c r="R153" i="63" s="1"/>
  <c r="R160" i="63" s="1"/>
  <c r="S49" i="58"/>
  <c r="S49" i="67"/>
  <c r="S49" i="53"/>
  <c r="S49" i="55"/>
  <c r="S49" i="66"/>
  <c r="S49" i="57"/>
  <c r="S49" i="65"/>
  <c r="S49" i="52"/>
  <c r="S49" i="51"/>
  <c r="R48" i="65"/>
  <c r="R50" i="65" s="1"/>
  <c r="R119" i="65" s="1"/>
  <c r="R126" i="65" s="1"/>
  <c r="O112" i="58"/>
  <c r="O167" i="58" s="1"/>
  <c r="O185" i="58" s="1"/>
  <c r="P99" i="58"/>
  <c r="P111" i="58" s="1"/>
  <c r="Q153" i="65"/>
  <c r="Q160" i="65" s="1"/>
  <c r="Q119" i="67"/>
  <c r="Q126" i="67" s="1"/>
  <c r="Q119" i="64"/>
  <c r="Q126" i="64" s="1"/>
  <c r="P157" i="61"/>
  <c r="P152" i="61"/>
  <c r="P159" i="61" s="1"/>
  <c r="P123" i="58"/>
  <c r="P127" i="58" s="1"/>
  <c r="Q153" i="63"/>
  <c r="Q160" i="63" s="1"/>
  <c r="S51" i="62"/>
  <c r="S136" i="62" s="1"/>
  <c r="S143" i="62" s="1"/>
  <c r="S51" i="66"/>
  <c r="S136" i="66" s="1"/>
  <c r="S143" i="66" s="1"/>
  <c r="S51" i="65"/>
  <c r="S136" i="65" s="1"/>
  <c r="S143" i="65" s="1"/>
  <c r="S51" i="67"/>
  <c r="S136" i="67" s="1"/>
  <c r="S143" i="67" s="1"/>
  <c r="S51" i="63"/>
  <c r="S136" i="63" s="1"/>
  <c r="S143" i="63" s="1"/>
  <c r="S51" i="64"/>
  <c r="S136" i="64" s="1"/>
  <c r="S143" i="64" s="1"/>
  <c r="P150" i="58"/>
  <c r="P162" i="58" s="1"/>
  <c r="P116" i="58"/>
  <c r="P128" i="58" s="1"/>
  <c r="O184" i="67"/>
  <c r="S49" i="62"/>
  <c r="S49" i="64"/>
  <c r="S49" i="63"/>
  <c r="S45" i="62"/>
  <c r="S45" i="67"/>
  <c r="S45" i="66"/>
  <c r="S45" i="65"/>
  <c r="S45" i="63"/>
  <c r="S45" i="64"/>
  <c r="Q135" i="52"/>
  <c r="Q142" i="52" s="1"/>
  <c r="Q140" i="52"/>
  <c r="Q133" i="52"/>
  <c r="Q145" i="52" s="1"/>
  <c r="Q135" i="53"/>
  <c r="Q142" i="53" s="1"/>
  <c r="Q133" i="53"/>
  <c r="Q145" i="53" s="1"/>
  <c r="Q140" i="53"/>
  <c r="Q133" i="51"/>
  <c r="Q145" i="51" s="1"/>
  <c r="Q135" i="51"/>
  <c r="Q142" i="51" s="1"/>
  <c r="Q133" i="67"/>
  <c r="Q145" i="67" s="1"/>
  <c r="Q135" i="67"/>
  <c r="Q142" i="67" s="1"/>
  <c r="Q140" i="67"/>
  <c r="R136" i="45"/>
  <c r="R132" i="67" s="1"/>
  <c r="R135" i="45"/>
  <c r="R132" i="52" s="1"/>
  <c r="BD86" i="2" s="1"/>
  <c r="AX86" i="2" s="1"/>
  <c r="I90" i="77" s="1"/>
  <c r="U90" i="77" s="1"/>
  <c r="R134" i="45"/>
  <c r="R132" i="53" s="1"/>
  <c r="BD75" i="2" s="1"/>
  <c r="AX75" i="2" s="1"/>
  <c r="I78" i="77" s="1"/>
  <c r="U78" i="77" s="1"/>
  <c r="R129" i="45"/>
  <c r="R132" i="51" s="1"/>
  <c r="BD64" i="2" s="1"/>
  <c r="AX64" i="2" s="1"/>
  <c r="I66" i="77" s="1"/>
  <c r="U66" i="77" s="1"/>
  <c r="N175" i="66"/>
  <c r="Q133" i="61"/>
  <c r="Q145" i="61" s="1"/>
  <c r="Q133" i="58"/>
  <c r="Q145" i="58" s="1"/>
  <c r="Q140" i="58"/>
  <c r="P101" i="58"/>
  <c r="P108" i="58" s="1"/>
  <c r="O129" i="58"/>
  <c r="O169" i="58" s="1"/>
  <c r="O175" i="58" s="1"/>
  <c r="Q135" i="61"/>
  <c r="Q142" i="61" s="1"/>
  <c r="P157" i="58"/>
  <c r="O129" i="66"/>
  <c r="O169" i="66" s="1"/>
  <c r="O184" i="66" s="1"/>
  <c r="O129" i="64"/>
  <c r="O169" i="64" s="1"/>
  <c r="O175" i="64" s="1"/>
  <c r="P129" i="67"/>
  <c r="P169" i="67" s="1"/>
  <c r="P184" i="67" s="1"/>
  <c r="T157" i="45"/>
  <c r="S55" i="64"/>
  <c r="S69" i="64" s="1"/>
  <c r="S76" i="64" s="1"/>
  <c r="Q115" i="66"/>
  <c r="Q118" i="66" s="1"/>
  <c r="Q115" i="64"/>
  <c r="Q118" i="64" s="1"/>
  <c r="O112" i="66"/>
  <c r="O167" i="66" s="1"/>
  <c r="O185" i="66" s="1"/>
  <c r="P112" i="67"/>
  <c r="P167" i="67" s="1"/>
  <c r="P176" i="67" s="1"/>
  <c r="Q133" i="64"/>
  <c r="Q145" i="64" s="1"/>
  <c r="Q135" i="64"/>
  <c r="Q142" i="64" s="1"/>
  <c r="Q140" i="64"/>
  <c r="P129" i="63"/>
  <c r="P169" i="63" s="1"/>
  <c r="R132" i="66"/>
  <c r="BD141" i="2" s="1"/>
  <c r="AX141" i="2" s="1"/>
  <c r="I150" i="77" s="1"/>
  <c r="U150" i="77" s="1"/>
  <c r="R132" i="64"/>
  <c r="BD53" i="2" s="1"/>
  <c r="AX53" i="2" s="1"/>
  <c r="I54" i="77" s="1"/>
  <c r="U54" i="77" s="1"/>
  <c r="R132" i="61"/>
  <c r="R132" i="63"/>
  <c r="BD42" i="2" s="1"/>
  <c r="AX42" i="2" s="1"/>
  <c r="I42" i="77" s="1"/>
  <c r="U42" i="77" s="1"/>
  <c r="R132" i="58"/>
  <c r="R132" i="65"/>
  <c r="BD119" i="2" s="1"/>
  <c r="AX119" i="2" s="1"/>
  <c r="I126" i="77" s="1"/>
  <c r="U126" i="77" s="1"/>
  <c r="Q133" i="66"/>
  <c r="Q145" i="66" s="1"/>
  <c r="Q135" i="66"/>
  <c r="Q142" i="66" s="1"/>
  <c r="Q140" i="66"/>
  <c r="Q116" i="67"/>
  <c r="Q128" i="67" s="1"/>
  <c r="Q123" i="67"/>
  <c r="Q127" i="67" s="1"/>
  <c r="Q125" i="67"/>
  <c r="N185" i="65"/>
  <c r="P116" i="64"/>
  <c r="P128" i="64" s="1"/>
  <c r="P123" i="64"/>
  <c r="P127" i="64" s="1"/>
  <c r="P125" i="64"/>
  <c r="Q140" i="63"/>
  <c r="Q133" i="63"/>
  <c r="Q145" i="63" s="1"/>
  <c r="Q135" i="63"/>
  <c r="Q142" i="63" s="1"/>
  <c r="Q149" i="61"/>
  <c r="Q152" i="61" s="1"/>
  <c r="Q159" i="61" s="1"/>
  <c r="Q149" i="63"/>
  <c r="O112" i="65"/>
  <c r="O167" i="65" s="1"/>
  <c r="O176" i="65" s="1"/>
  <c r="P112" i="63"/>
  <c r="P167" i="63" s="1"/>
  <c r="P185" i="63" s="1"/>
  <c r="P116" i="66"/>
  <c r="P128" i="66" s="1"/>
  <c r="P125" i="66"/>
  <c r="P123" i="66"/>
  <c r="P127" i="66" s="1"/>
  <c r="O129" i="65"/>
  <c r="O169" i="65" s="1"/>
  <c r="P116" i="65"/>
  <c r="P128" i="65" s="1"/>
  <c r="P123" i="65"/>
  <c r="P127" i="65" s="1"/>
  <c r="P118" i="65"/>
  <c r="P125" i="65" s="1"/>
  <c r="P150" i="64"/>
  <c r="P162" i="64" s="1"/>
  <c r="P157" i="64"/>
  <c r="P152" i="64"/>
  <c r="P159" i="64" s="1"/>
  <c r="P150" i="65"/>
  <c r="P162" i="65" s="1"/>
  <c r="P157" i="65"/>
  <c r="P152" i="65"/>
  <c r="P159" i="65" s="1"/>
  <c r="O112" i="64"/>
  <c r="O167" i="64" s="1"/>
  <c r="O176" i="64" s="1"/>
  <c r="P150" i="66"/>
  <c r="P162" i="66" s="1"/>
  <c r="P152" i="66"/>
  <c r="P159" i="66" s="1"/>
  <c r="P157" i="66"/>
  <c r="Q115" i="58"/>
  <c r="Q118" i="58" s="1"/>
  <c r="Q125" i="58" s="1"/>
  <c r="Q115" i="65"/>
  <c r="Q150" i="67"/>
  <c r="Q162" i="67" s="1"/>
  <c r="Q157" i="67"/>
  <c r="Q152" i="67"/>
  <c r="Q159" i="67" s="1"/>
  <c r="Q116" i="63"/>
  <c r="Q128" i="63" s="1"/>
  <c r="Q123" i="63"/>
  <c r="Q127" i="63" s="1"/>
  <c r="Q125" i="63"/>
  <c r="Q149" i="58"/>
  <c r="Q152" i="58" s="1"/>
  <c r="Q159" i="58" s="1"/>
  <c r="Q149" i="65"/>
  <c r="Q149" i="66"/>
  <c r="Q149" i="64"/>
  <c r="Q133" i="65"/>
  <c r="Q145" i="65" s="1"/>
  <c r="Q135" i="65"/>
  <c r="Q142" i="65" s="1"/>
  <c r="Q140" i="65"/>
  <c r="N175" i="64"/>
  <c r="N184" i="64"/>
  <c r="P150" i="63"/>
  <c r="P162" i="63" s="1"/>
  <c r="P157" i="63"/>
  <c r="P152" i="63"/>
  <c r="P159" i="63" s="1"/>
  <c r="N185" i="66"/>
  <c r="N176" i="66"/>
  <c r="O176" i="67"/>
  <c r="O185" i="67"/>
  <c r="P99" i="65"/>
  <c r="P111" i="65" s="1"/>
  <c r="P101" i="65"/>
  <c r="P108" i="65" s="1"/>
  <c r="P106" i="65"/>
  <c r="P110" i="65" s="1"/>
  <c r="Q98" i="66"/>
  <c r="Q98" i="64"/>
  <c r="O185" i="63"/>
  <c r="O176" i="63"/>
  <c r="P99" i="64"/>
  <c r="P111" i="64" s="1"/>
  <c r="P106" i="64"/>
  <c r="P110" i="64" s="1"/>
  <c r="P101" i="64"/>
  <c r="P108" i="64" s="1"/>
  <c r="Q106" i="63"/>
  <c r="Q110" i="63" s="1"/>
  <c r="Q99" i="63"/>
  <c r="Q111" i="63" s="1"/>
  <c r="Q101" i="63"/>
  <c r="Q108" i="63" s="1"/>
  <c r="P99" i="66"/>
  <c r="P111" i="66" s="1"/>
  <c r="P101" i="66"/>
  <c r="P108" i="66" s="1"/>
  <c r="P106" i="66"/>
  <c r="P110" i="66" s="1"/>
  <c r="N185" i="64"/>
  <c r="N176" i="64"/>
  <c r="Q99" i="67"/>
  <c r="Q111" i="67" s="1"/>
  <c r="Q101" i="67"/>
  <c r="Q108" i="67" s="1"/>
  <c r="Q106" i="67"/>
  <c r="Q110" i="67" s="1"/>
  <c r="Q98" i="58"/>
  <c r="Q106" i="58" s="1"/>
  <c r="Q110" i="58" s="1"/>
  <c r="Q98" i="65"/>
  <c r="Q150" i="51"/>
  <c r="Q152" i="51"/>
  <c r="Q99" i="62"/>
  <c r="Q111" i="62" s="1"/>
  <c r="Q106" i="62"/>
  <c r="Q110" i="62" s="1"/>
  <c r="Q101" i="62"/>
  <c r="Q108" i="62" s="1"/>
  <c r="R142" i="45"/>
  <c r="R149" i="51" s="1"/>
  <c r="BF64" i="2" s="1"/>
  <c r="AZ64" i="2" s="1"/>
  <c r="K66" i="77" s="1"/>
  <c r="W66" i="77" s="1"/>
  <c r="O175" i="62"/>
  <c r="O184" i="62"/>
  <c r="S53" i="61"/>
  <c r="S72" i="45"/>
  <c r="S77" i="45"/>
  <c r="S70" i="45"/>
  <c r="S75" i="45"/>
  <c r="S73" i="45"/>
  <c r="S78" i="45"/>
  <c r="S71" i="45"/>
  <c r="S76" i="45"/>
  <c r="S74" i="45"/>
  <c r="S53" i="62"/>
  <c r="P184" i="62"/>
  <c r="P175" i="62"/>
  <c r="S52" i="61"/>
  <c r="S59" i="45"/>
  <c r="S60" i="45"/>
  <c r="S66" i="45"/>
  <c r="S61" i="45"/>
  <c r="S67" i="45"/>
  <c r="S62" i="45"/>
  <c r="S65" i="45"/>
  <c r="S63" i="45"/>
  <c r="S64" i="45"/>
  <c r="S48" i="45"/>
  <c r="S129" i="45" s="1"/>
  <c r="S132" i="51" s="1"/>
  <c r="S51" i="45"/>
  <c r="S132" i="45" s="1"/>
  <c r="S54" i="45"/>
  <c r="S49" i="45"/>
  <c r="S130" i="45" s="1"/>
  <c r="S52" i="45"/>
  <c r="S133" i="45" s="1"/>
  <c r="S55" i="45"/>
  <c r="S50" i="45"/>
  <c r="S131" i="45" s="1"/>
  <c r="S53" i="45"/>
  <c r="S56" i="45"/>
  <c r="S137" i="45" s="1"/>
  <c r="S52" i="62"/>
  <c r="R132" i="62"/>
  <c r="BD31" i="2" s="1"/>
  <c r="AX31" i="2" s="1"/>
  <c r="I30" i="77" s="1"/>
  <c r="U30" i="77" s="1"/>
  <c r="R132" i="57"/>
  <c r="P112" i="62"/>
  <c r="P167" i="62" s="1"/>
  <c r="Q140" i="57"/>
  <c r="Q142" i="57"/>
  <c r="Q133" i="57"/>
  <c r="Q145" i="57" s="1"/>
  <c r="N184" i="61"/>
  <c r="R171" i="62"/>
  <c r="R174" i="62"/>
  <c r="R180" i="62" s="1"/>
  <c r="R183" i="62"/>
  <c r="R189" i="62" s="1"/>
  <c r="Q133" i="62"/>
  <c r="Q145" i="62" s="1"/>
  <c r="Q140" i="62"/>
  <c r="Q135" i="62"/>
  <c r="Q142" i="62" s="1"/>
  <c r="Q116" i="62"/>
  <c r="Q128" i="62" s="1"/>
  <c r="Q123" i="62"/>
  <c r="Q127" i="62" s="1"/>
  <c r="Q125" i="62"/>
  <c r="O176" i="62"/>
  <c r="O185" i="62"/>
  <c r="Q150" i="62"/>
  <c r="Q162" i="62" s="1"/>
  <c r="Q157" i="62"/>
  <c r="Q152" i="62"/>
  <c r="Q159" i="62" s="1"/>
  <c r="O112" i="61"/>
  <c r="O167" i="61" s="1"/>
  <c r="O176" i="61" s="1"/>
  <c r="O184" i="61"/>
  <c r="O175" i="61"/>
  <c r="P116" i="61"/>
  <c r="P128" i="61" s="1"/>
  <c r="P123" i="61"/>
  <c r="P127" i="61" s="1"/>
  <c r="P125" i="61"/>
  <c r="S46" i="61"/>
  <c r="S46" i="38"/>
  <c r="S42" i="61"/>
  <c r="S68" i="61" s="1"/>
  <c r="S75" i="61" s="1"/>
  <c r="S78" i="61" s="1"/>
  <c r="S165" i="61" s="1"/>
  <c r="S42" i="38"/>
  <c r="Q115" i="61"/>
  <c r="Q118" i="61" s="1"/>
  <c r="P99" i="61"/>
  <c r="P111" i="61" s="1"/>
  <c r="P106" i="61"/>
  <c r="P110" i="61" s="1"/>
  <c r="P101" i="61"/>
  <c r="P108" i="61" s="1"/>
  <c r="R183" i="61"/>
  <c r="R189" i="61" s="1"/>
  <c r="R174" i="61"/>
  <c r="R180" i="61" s="1"/>
  <c r="R171" i="61"/>
  <c r="Q98" i="61"/>
  <c r="S51" i="61"/>
  <c r="S136" i="61" s="1"/>
  <c r="S143" i="61" s="1"/>
  <c r="S51" i="38"/>
  <c r="N185" i="61"/>
  <c r="N176" i="61"/>
  <c r="S45" i="61"/>
  <c r="S45" i="38"/>
  <c r="Q153" i="61"/>
  <c r="Q160" i="61" s="1"/>
  <c r="Q119" i="61"/>
  <c r="Q126" i="61" s="1"/>
  <c r="R48" i="61"/>
  <c r="R50" i="61" s="1"/>
  <c r="T44" i="61"/>
  <c r="T102" i="61" s="1"/>
  <c r="T109" i="61" s="1"/>
  <c r="T44" i="38"/>
  <c r="S43" i="61"/>
  <c r="S85" i="61" s="1"/>
  <c r="S92" i="61" s="1"/>
  <c r="S95" i="61" s="1"/>
  <c r="S166" i="61" s="1"/>
  <c r="S43" i="38"/>
  <c r="S49" i="61"/>
  <c r="S49" i="38"/>
  <c r="Q183" i="57"/>
  <c r="Q189" i="57" s="1"/>
  <c r="Q171" i="51"/>
  <c r="Q183" i="55"/>
  <c r="Q189" i="55" s="1"/>
  <c r="Q171" i="53"/>
  <c r="L48" i="38"/>
  <c r="L50" i="38" s="1"/>
  <c r="Q183" i="53"/>
  <c r="Q189" i="53" s="1"/>
  <c r="Q174" i="52"/>
  <c r="Q180" i="52" s="1"/>
  <c r="Q171" i="52"/>
  <c r="Q183" i="58"/>
  <c r="Q189" i="58" s="1"/>
  <c r="Q171" i="55"/>
  <c r="Q171" i="58"/>
  <c r="Q174" i="57"/>
  <c r="Q180" i="57" s="1"/>
  <c r="N184" i="55"/>
  <c r="R75" i="51"/>
  <c r="R78" i="51" s="1"/>
  <c r="R165" i="51" s="1"/>
  <c r="Q183" i="51"/>
  <c r="Q189" i="51" s="1"/>
  <c r="R75" i="55"/>
  <c r="R78" i="55" s="1"/>
  <c r="R165" i="55" s="1"/>
  <c r="R75" i="52"/>
  <c r="R78" i="52" s="1"/>
  <c r="R165" i="52" s="1"/>
  <c r="BA85" i="2" s="1"/>
  <c r="AU85" i="2" s="1"/>
  <c r="F89" i="77" s="1"/>
  <c r="R89" i="77" s="1"/>
  <c r="R94" i="77" s="1"/>
  <c r="O112" i="55"/>
  <c r="O167" i="55" s="1"/>
  <c r="O185" i="55" s="1"/>
  <c r="T44" i="58"/>
  <c r="T102" i="58" s="1"/>
  <c r="T109" i="58" s="1"/>
  <c r="T44" i="57"/>
  <c r="T102" i="57" s="1"/>
  <c r="T109" i="57" s="1"/>
  <c r="T44" i="55"/>
  <c r="T102" i="55" s="1"/>
  <c r="T109" i="55" s="1"/>
  <c r="T44" i="53"/>
  <c r="T102" i="53" s="1"/>
  <c r="T109" i="53" s="1"/>
  <c r="T44" i="52"/>
  <c r="T102" i="52" s="1"/>
  <c r="T109" i="52" s="1"/>
  <c r="T44" i="51"/>
  <c r="T102" i="51" s="1"/>
  <c r="T109" i="51" s="1"/>
  <c r="O129" i="55"/>
  <c r="O169" i="55" s="1"/>
  <c r="O184" i="55" s="1"/>
  <c r="S41" i="58"/>
  <c r="S67" i="58" s="1"/>
  <c r="S41" i="57"/>
  <c r="S67" i="57" s="1"/>
  <c r="S41" i="53"/>
  <c r="S67" i="53" s="1"/>
  <c r="S41" i="55"/>
  <c r="S67" i="55" s="1"/>
  <c r="S41" i="52"/>
  <c r="S67" i="52" s="1"/>
  <c r="S41" i="51"/>
  <c r="S67" i="51" s="1"/>
  <c r="Q119" i="55"/>
  <c r="Q126" i="55" s="1"/>
  <c r="Q153" i="55"/>
  <c r="Q160" i="55" s="1"/>
  <c r="S46" i="58"/>
  <c r="S46" i="57"/>
  <c r="S46" i="53"/>
  <c r="S46" i="55"/>
  <c r="S46" i="52"/>
  <c r="S46" i="51"/>
  <c r="P129" i="53"/>
  <c r="P169" i="53" s="1"/>
  <c r="S53" i="58"/>
  <c r="S53" i="55"/>
  <c r="S53" i="57"/>
  <c r="S53" i="53"/>
  <c r="S53" i="52"/>
  <c r="S53" i="51"/>
  <c r="Q153" i="51"/>
  <c r="Q160" i="51" s="1"/>
  <c r="Q119" i="51"/>
  <c r="Q126" i="51" s="1"/>
  <c r="Q153" i="53"/>
  <c r="Q160" i="53" s="1"/>
  <c r="Q119" i="53"/>
  <c r="Q126" i="53" s="1"/>
  <c r="Q129" i="53" s="1"/>
  <c r="Q169" i="53" s="1"/>
  <c r="Q153" i="58"/>
  <c r="Q160" i="58" s="1"/>
  <c r="Q119" i="58"/>
  <c r="Q126" i="58" s="1"/>
  <c r="Q119" i="52"/>
  <c r="Q126" i="52" s="1"/>
  <c r="Q153" i="52"/>
  <c r="Q160" i="52" s="1"/>
  <c r="R75" i="53"/>
  <c r="R78" i="53" s="1"/>
  <c r="R165" i="53" s="1"/>
  <c r="BA74" i="2" s="1"/>
  <c r="AU74" i="2" s="1"/>
  <c r="F77" i="77" s="1"/>
  <c r="R77" i="77" s="1"/>
  <c r="R82" i="77" s="1"/>
  <c r="S43" i="58"/>
  <c r="S85" i="58" s="1"/>
  <c r="S92" i="58" s="1"/>
  <c r="S95" i="58" s="1"/>
  <c r="S166" i="58" s="1"/>
  <c r="S43" i="57"/>
  <c r="S85" i="57" s="1"/>
  <c r="S92" i="57" s="1"/>
  <c r="S95" i="57" s="1"/>
  <c r="S166" i="57" s="1"/>
  <c r="S43" i="55"/>
  <c r="S85" i="55" s="1"/>
  <c r="S92" i="55" s="1"/>
  <c r="S95" i="55" s="1"/>
  <c r="S166" i="55" s="1"/>
  <c r="S43" i="52"/>
  <c r="S85" i="52" s="1"/>
  <c r="S92" i="52" s="1"/>
  <c r="S95" i="52" s="1"/>
  <c r="S166" i="52" s="1"/>
  <c r="S43" i="53"/>
  <c r="S85" i="53" s="1"/>
  <c r="S92" i="53" s="1"/>
  <c r="S95" i="53" s="1"/>
  <c r="S166" i="53" s="1"/>
  <c r="S43" i="51"/>
  <c r="S85" i="51" s="1"/>
  <c r="S92" i="51" s="1"/>
  <c r="S95" i="51" s="1"/>
  <c r="S166" i="51" s="1"/>
  <c r="R75" i="57"/>
  <c r="R78" i="57" s="1"/>
  <c r="R165" i="57" s="1"/>
  <c r="S51" i="57"/>
  <c r="S136" i="57" s="1"/>
  <c r="S143" i="57" s="1"/>
  <c r="S51" i="58"/>
  <c r="S136" i="58" s="1"/>
  <c r="S143" i="58" s="1"/>
  <c r="S51" i="55"/>
  <c r="S136" i="55" s="1"/>
  <c r="S143" i="55" s="1"/>
  <c r="S51" i="53"/>
  <c r="S136" i="53" s="1"/>
  <c r="S143" i="53" s="1"/>
  <c r="S51" i="52"/>
  <c r="S136" i="52" s="1"/>
  <c r="S143" i="52" s="1"/>
  <c r="S51" i="51"/>
  <c r="S136" i="51" s="1"/>
  <c r="S143" i="51" s="1"/>
  <c r="S42" i="57"/>
  <c r="S68" i="57" s="1"/>
  <c r="S42" i="58"/>
  <c r="S68" i="58" s="1"/>
  <c r="S42" i="55"/>
  <c r="S68" i="55" s="1"/>
  <c r="S42" i="53"/>
  <c r="S68" i="53" s="1"/>
  <c r="S42" i="52"/>
  <c r="S68" i="52" s="1"/>
  <c r="S42" i="51"/>
  <c r="S68" i="51" s="1"/>
  <c r="R75" i="58"/>
  <c r="R78" i="58" s="1"/>
  <c r="R165" i="58" s="1"/>
  <c r="BA107" i="2" s="1"/>
  <c r="AU107" i="2" s="1"/>
  <c r="F113" i="77" s="1"/>
  <c r="R113" i="77" s="1"/>
  <c r="R118" i="77" s="1"/>
  <c r="S52" i="58"/>
  <c r="S52" i="55"/>
  <c r="S52" i="57"/>
  <c r="S52" i="53"/>
  <c r="S52" i="52"/>
  <c r="S52" i="51"/>
  <c r="S45" i="58"/>
  <c r="S45" i="57"/>
  <c r="S45" i="55"/>
  <c r="S45" i="53"/>
  <c r="S45" i="52"/>
  <c r="S45" i="51"/>
  <c r="Q119" i="57"/>
  <c r="Q126" i="57" s="1"/>
  <c r="Q153" i="57"/>
  <c r="Q160" i="57" s="1"/>
  <c r="Q115" i="38"/>
  <c r="Q118" i="38" s="1"/>
  <c r="Q115" i="55"/>
  <c r="P116" i="55"/>
  <c r="P128" i="55" s="1"/>
  <c r="P123" i="55"/>
  <c r="P127" i="55" s="1"/>
  <c r="P118" i="55"/>
  <c r="P125" i="55" s="1"/>
  <c r="P112" i="53"/>
  <c r="P167" i="53" s="1"/>
  <c r="Q116" i="52"/>
  <c r="Q128" i="52" s="1"/>
  <c r="Q118" i="52"/>
  <c r="Q125" i="52" s="1"/>
  <c r="Q123" i="52"/>
  <c r="Q127" i="52" s="1"/>
  <c r="O112" i="57"/>
  <c r="O167" i="57" s="1"/>
  <c r="O175" i="51"/>
  <c r="O184" i="51"/>
  <c r="P99" i="55"/>
  <c r="P111" i="55" s="1"/>
  <c r="P101" i="55"/>
  <c r="P108" i="55" s="1"/>
  <c r="P106" i="55"/>
  <c r="P110" i="55" s="1"/>
  <c r="P150" i="55"/>
  <c r="P162" i="55" s="1"/>
  <c r="P157" i="55"/>
  <c r="P159" i="55"/>
  <c r="Q116" i="51"/>
  <c r="Q128" i="51" s="1"/>
  <c r="Q118" i="51"/>
  <c r="Q125" i="51" s="1"/>
  <c r="Q123" i="51"/>
  <c r="Q127" i="51" s="1"/>
  <c r="O175" i="53"/>
  <c r="O184" i="53"/>
  <c r="Q115" i="57"/>
  <c r="Q133" i="55"/>
  <c r="Q145" i="55" s="1"/>
  <c r="Q142" i="55"/>
  <c r="Q140" i="55"/>
  <c r="N185" i="55"/>
  <c r="N176" i="55"/>
  <c r="O129" i="57"/>
  <c r="O169" i="57" s="1"/>
  <c r="O184" i="52"/>
  <c r="O175" i="52"/>
  <c r="Q98" i="38"/>
  <c r="Q98" i="55"/>
  <c r="Q150" i="52"/>
  <c r="Q162" i="52" s="1"/>
  <c r="Q157" i="52"/>
  <c r="Q159" i="52"/>
  <c r="Q99" i="53"/>
  <c r="Q111" i="53" s="1"/>
  <c r="Q101" i="53"/>
  <c r="Q108" i="53" s="1"/>
  <c r="Q106" i="53"/>
  <c r="Q110" i="53" s="1"/>
  <c r="Q150" i="53"/>
  <c r="Q162" i="53" s="1"/>
  <c r="Q159" i="53"/>
  <c r="Q157" i="53"/>
  <c r="P129" i="51"/>
  <c r="P169" i="51" s="1"/>
  <c r="O185" i="51"/>
  <c r="O176" i="51"/>
  <c r="R132" i="38"/>
  <c r="R132" i="55"/>
  <c r="Q99" i="51"/>
  <c r="Q111" i="51" s="1"/>
  <c r="Q106" i="51"/>
  <c r="Q110" i="51" s="1"/>
  <c r="Q101" i="51"/>
  <c r="Q108" i="51" s="1"/>
  <c r="Q149" i="57"/>
  <c r="Q152" i="57" s="1"/>
  <c r="Q98" i="57"/>
  <c r="P129" i="52"/>
  <c r="P169" i="52" s="1"/>
  <c r="P129" i="57"/>
  <c r="P169" i="57" s="1"/>
  <c r="P99" i="57"/>
  <c r="P111" i="57" s="1"/>
  <c r="P101" i="57"/>
  <c r="P108" i="57" s="1"/>
  <c r="P106" i="57"/>
  <c r="P110" i="57" s="1"/>
  <c r="P112" i="52"/>
  <c r="P167" i="52" s="1"/>
  <c r="Q149" i="38"/>
  <c r="Q152" i="38" s="1"/>
  <c r="Q149" i="55"/>
  <c r="Q152" i="55" s="1"/>
  <c r="O176" i="53"/>
  <c r="O185" i="53"/>
  <c r="Q99" i="52"/>
  <c r="Q111" i="52" s="1"/>
  <c r="Q106" i="52"/>
  <c r="Q110" i="52" s="1"/>
  <c r="Q101" i="52"/>
  <c r="Q108" i="52" s="1"/>
  <c r="R116" i="51"/>
  <c r="R128" i="51" s="1"/>
  <c r="R118" i="51"/>
  <c r="R125" i="51" s="1"/>
  <c r="R123" i="51"/>
  <c r="R127" i="51" s="1"/>
  <c r="N185" i="57"/>
  <c r="N176" i="57"/>
  <c r="P150" i="57"/>
  <c r="P162" i="57" s="1"/>
  <c r="P157" i="57"/>
  <c r="P159" i="57"/>
  <c r="O176" i="52"/>
  <c r="O185" i="52"/>
  <c r="N175" i="57"/>
  <c r="N184" i="57"/>
  <c r="P112" i="51"/>
  <c r="P167" i="51" s="1"/>
  <c r="P162" i="51"/>
  <c r="P157" i="51"/>
  <c r="P159" i="51"/>
  <c r="Q140" i="51"/>
  <c r="T156" i="45"/>
  <c r="T55" i="63" s="1"/>
  <c r="T69" i="63" s="1"/>
  <c r="T76" i="63" s="1"/>
  <c r="R145" i="45"/>
  <c r="T155" i="45"/>
  <c r="T55" i="62" s="1"/>
  <c r="T69" i="62" s="1"/>
  <c r="T76" i="62" s="1"/>
  <c r="R147" i="45"/>
  <c r="R149" i="53" s="1"/>
  <c r="R149" i="45"/>
  <c r="R149" i="67" s="1"/>
  <c r="BF152" i="2" s="1"/>
  <c r="AZ152" i="2" s="1"/>
  <c r="K162" i="77" s="1"/>
  <c r="W162" i="77" s="1"/>
  <c r="R148" i="45"/>
  <c r="R149" i="52" s="1"/>
  <c r="R150" i="45"/>
  <c r="R146" i="45"/>
  <c r="R149" i="62" s="1"/>
  <c r="BF31" i="2" s="1"/>
  <c r="AZ31" i="2" s="1"/>
  <c r="K30" i="77" s="1"/>
  <c r="W30" i="77" s="1"/>
  <c r="R144" i="45"/>
  <c r="R143" i="45"/>
  <c r="T154" i="45"/>
  <c r="S55" i="38"/>
  <c r="R123" i="45"/>
  <c r="R115" i="52" s="1"/>
  <c r="BE86" i="2" s="1"/>
  <c r="AY86" i="2" s="1"/>
  <c r="J90" i="77" s="1"/>
  <c r="V90" i="77" s="1"/>
  <c r="R124" i="45"/>
  <c r="R115" i="67" s="1"/>
  <c r="R125" i="45"/>
  <c r="R118" i="45"/>
  <c r="R115" i="63" s="1"/>
  <c r="S116" i="45"/>
  <c r="S124" i="45" s="1"/>
  <c r="S115" i="67" s="1"/>
  <c r="S118" i="67" s="1"/>
  <c r="S140" i="45"/>
  <c r="R122" i="45"/>
  <c r="R115" i="53" s="1"/>
  <c r="BE75" i="2" s="1"/>
  <c r="AY75" i="2" s="1"/>
  <c r="J78" i="77" s="1"/>
  <c r="V78" i="77" s="1"/>
  <c r="R119" i="45"/>
  <c r="R120" i="45"/>
  <c r="R121" i="45"/>
  <c r="R115" i="62" s="1"/>
  <c r="T40" i="45"/>
  <c r="T39" i="45"/>
  <c r="T38" i="45"/>
  <c r="T29" i="45"/>
  <c r="T28" i="45"/>
  <c r="T27" i="45"/>
  <c r="R112" i="45"/>
  <c r="R98" i="67" s="1"/>
  <c r="BC152" i="2" s="1"/>
  <c r="AW152" i="2" s="1"/>
  <c r="H162" i="77" s="1"/>
  <c r="T162" i="77" s="1"/>
  <c r="R113" i="45"/>
  <c r="S103" i="45"/>
  <c r="S104" i="45"/>
  <c r="R107" i="45"/>
  <c r="R110" i="45"/>
  <c r="R98" i="53" s="1"/>
  <c r="BC75" i="2" s="1"/>
  <c r="AW75" i="2" s="1"/>
  <c r="H78" i="77" s="1"/>
  <c r="T78" i="77" s="1"/>
  <c r="R108" i="45"/>
  <c r="R106" i="45"/>
  <c r="R98" i="63" s="1"/>
  <c r="BC42" i="2" s="1"/>
  <c r="AW42" i="2" s="1"/>
  <c r="H42" i="77" s="1"/>
  <c r="T42" i="77" s="1"/>
  <c r="R109" i="45"/>
  <c r="R98" i="62" s="1"/>
  <c r="BC31" i="2" s="1"/>
  <c r="AW31" i="2" s="1"/>
  <c r="H30" i="77" s="1"/>
  <c r="T30" i="77" s="1"/>
  <c r="R111" i="45"/>
  <c r="R98" i="52" s="1"/>
  <c r="BC86" i="2" s="1"/>
  <c r="AW86" i="2" s="1"/>
  <c r="H90" i="77" s="1"/>
  <c r="T90" i="77" s="1"/>
  <c r="R105" i="45"/>
  <c r="R98" i="51" s="1"/>
  <c r="BC64" i="2" s="1"/>
  <c r="AW64" i="2" s="1"/>
  <c r="H66" i="77" s="1"/>
  <c r="T66" i="77" s="1"/>
  <c r="T19" i="45"/>
  <c r="S52" i="38"/>
  <c r="T5" i="45"/>
  <c r="T12" i="45"/>
  <c r="T4" i="45"/>
  <c r="U6" i="45"/>
  <c r="T20" i="45"/>
  <c r="S53" i="38"/>
  <c r="T21" i="45"/>
  <c r="T14" i="45"/>
  <c r="T23" i="45"/>
  <c r="S48" i="51" l="1"/>
  <c r="R118" i="62"/>
  <c r="BE31" i="2"/>
  <c r="AY31" i="2" s="1"/>
  <c r="J30" i="77" s="1"/>
  <c r="V30" i="77" s="1"/>
  <c r="R174" i="51"/>
  <c r="R180" i="51" s="1"/>
  <c r="BA63" i="2"/>
  <c r="R135" i="58"/>
  <c r="R142" i="58" s="1"/>
  <c r="BD108" i="2"/>
  <c r="AX108" i="2" s="1"/>
  <c r="I114" i="77" s="1"/>
  <c r="U114" i="77" s="1"/>
  <c r="R135" i="61"/>
  <c r="R142" i="61" s="1"/>
  <c r="BD9" i="2"/>
  <c r="AX9" i="2" s="1"/>
  <c r="I6" i="77" s="1"/>
  <c r="U6" i="77" s="1"/>
  <c r="R152" i="53"/>
  <c r="BF75" i="2"/>
  <c r="AZ75" i="2" s="1"/>
  <c r="K78" i="77" s="1"/>
  <c r="W78" i="77" s="1"/>
  <c r="R152" i="52"/>
  <c r="R159" i="52" s="1"/>
  <c r="BF86" i="2"/>
  <c r="AZ86" i="2" s="1"/>
  <c r="K90" i="77" s="1"/>
  <c r="W90" i="77" s="1"/>
  <c r="R133" i="67"/>
  <c r="R145" i="67" s="1"/>
  <c r="BD152" i="2"/>
  <c r="AX152" i="2" s="1"/>
  <c r="I162" i="77" s="1"/>
  <c r="U162" i="77" s="1"/>
  <c r="R171" i="64"/>
  <c r="BA52" i="2"/>
  <c r="AV107" i="2"/>
  <c r="G113" i="77" s="1"/>
  <c r="S113" i="77" s="1"/>
  <c r="S118" i="77" s="1"/>
  <c r="R118" i="63"/>
  <c r="R125" i="63" s="1"/>
  <c r="BE42" i="2"/>
  <c r="AY42" i="2" s="1"/>
  <c r="J42" i="77" s="1"/>
  <c r="V42" i="77" s="1"/>
  <c r="AV85" i="2"/>
  <c r="G89" i="77" s="1"/>
  <c r="S89" i="77" s="1"/>
  <c r="S94" i="77" s="1"/>
  <c r="R135" i="57"/>
  <c r="R142" i="57" s="1"/>
  <c r="BD97" i="2"/>
  <c r="AX97" i="2" s="1"/>
  <c r="I102" i="77" s="1"/>
  <c r="U102" i="77" s="1"/>
  <c r="R118" i="67"/>
  <c r="R125" i="67" s="1"/>
  <c r="BE152" i="2"/>
  <c r="AY152" i="2" s="1"/>
  <c r="J162" i="77" s="1"/>
  <c r="V162" i="77" s="1"/>
  <c r="AV74" i="2"/>
  <c r="G77" i="77" s="1"/>
  <c r="S77" i="77" s="1"/>
  <c r="S82" i="77" s="1"/>
  <c r="R135" i="55"/>
  <c r="BD130" i="2"/>
  <c r="AX130" i="2" s="1"/>
  <c r="I138" i="77" s="1"/>
  <c r="U138" i="77" s="1"/>
  <c r="R135" i="38"/>
  <c r="BD20" i="2"/>
  <c r="AX20" i="2" s="1"/>
  <c r="I18" i="77" s="1"/>
  <c r="U18" i="77" s="1"/>
  <c r="R183" i="55"/>
  <c r="R189" i="55" s="1"/>
  <c r="BA129" i="2"/>
  <c r="H177" i="64"/>
  <c r="H186" i="64"/>
  <c r="S48" i="57"/>
  <c r="S50" i="57" s="1"/>
  <c r="G194" i="51"/>
  <c r="F178" i="61"/>
  <c r="G188" i="67"/>
  <c r="H193" i="64"/>
  <c r="H193" i="53"/>
  <c r="F179" i="61"/>
  <c r="G188" i="53"/>
  <c r="G179" i="53"/>
  <c r="F188" i="61"/>
  <c r="F194" i="66"/>
  <c r="F186" i="66"/>
  <c r="G186" i="53"/>
  <c r="G178" i="53"/>
  <c r="F194" i="58"/>
  <c r="F179" i="58"/>
  <c r="F186" i="65"/>
  <c r="F188" i="65"/>
  <c r="G187" i="51"/>
  <c r="F194" i="62"/>
  <c r="G179" i="67"/>
  <c r="F194" i="57"/>
  <c r="F188" i="58"/>
  <c r="F188" i="57"/>
  <c r="F178" i="58"/>
  <c r="F178" i="62"/>
  <c r="F178" i="66"/>
  <c r="F179" i="66"/>
  <c r="G179" i="51"/>
  <c r="F188" i="55"/>
  <c r="G194" i="67"/>
  <c r="G188" i="51"/>
  <c r="G178" i="67"/>
  <c r="F194" i="65"/>
  <c r="F178" i="64"/>
  <c r="F179" i="64"/>
  <c r="F179" i="65"/>
  <c r="H177" i="62"/>
  <c r="F188" i="64"/>
  <c r="G194" i="52"/>
  <c r="F187" i="64"/>
  <c r="G187" i="52"/>
  <c r="H192" i="62"/>
  <c r="G178" i="52"/>
  <c r="F188" i="62"/>
  <c r="G179" i="52"/>
  <c r="F194" i="55"/>
  <c r="H193" i="62"/>
  <c r="F186" i="55"/>
  <c r="F178" i="55"/>
  <c r="F194" i="61"/>
  <c r="J214" i="45"/>
  <c r="J230" i="45" s="1"/>
  <c r="I246" i="45"/>
  <c r="I262" i="45" s="1"/>
  <c r="H59" i="67"/>
  <c r="H154" i="67" s="1"/>
  <c r="H161" i="67" s="1"/>
  <c r="H163" i="67" s="1"/>
  <c r="H170" i="67" s="1"/>
  <c r="H188" i="67" s="1"/>
  <c r="H245" i="45"/>
  <c r="H261" i="45" s="1"/>
  <c r="G59" i="66"/>
  <c r="G154" i="66" s="1"/>
  <c r="G161" i="66" s="1"/>
  <c r="G163" i="66" s="1"/>
  <c r="G170" i="66" s="1"/>
  <c r="G194" i="66" s="1"/>
  <c r="J213" i="45"/>
  <c r="J229" i="45" s="1"/>
  <c r="H244" i="45"/>
  <c r="H260" i="45" s="1"/>
  <c r="G59" i="55"/>
  <c r="G154" i="55" s="1"/>
  <c r="G161" i="55" s="1"/>
  <c r="G163" i="55" s="1"/>
  <c r="G170" i="55" s="1"/>
  <c r="G186" i="55" s="1"/>
  <c r="J212" i="45"/>
  <c r="J228" i="45" s="1"/>
  <c r="H243" i="45"/>
  <c r="H259" i="45" s="1"/>
  <c r="G59" i="65"/>
  <c r="G154" i="65" s="1"/>
  <c r="G161" i="65" s="1"/>
  <c r="G163" i="65" s="1"/>
  <c r="G170" i="65" s="1"/>
  <c r="G188" i="65" s="1"/>
  <c r="J211" i="45"/>
  <c r="J227" i="45" s="1"/>
  <c r="H242" i="45"/>
  <c r="H258" i="45" s="1"/>
  <c r="G59" i="58"/>
  <c r="G154" i="58" s="1"/>
  <c r="G161" i="58" s="1"/>
  <c r="G163" i="58" s="1"/>
  <c r="G170" i="58" s="1"/>
  <c r="G186" i="58" s="1"/>
  <c r="J210" i="45"/>
  <c r="J226" i="45" s="1"/>
  <c r="F179" i="57"/>
  <c r="H241" i="45"/>
  <c r="H257" i="45" s="1"/>
  <c r="G59" i="57"/>
  <c r="G154" i="57" s="1"/>
  <c r="G161" i="57" s="1"/>
  <c r="G163" i="57" s="1"/>
  <c r="G170" i="57" s="1"/>
  <c r="G186" i="57" s="1"/>
  <c r="F178" i="57"/>
  <c r="H193" i="57"/>
  <c r="H192" i="57"/>
  <c r="H177" i="57"/>
  <c r="H187" i="57"/>
  <c r="J209" i="45"/>
  <c r="J225" i="45" s="1"/>
  <c r="I58" i="57"/>
  <c r="I137" i="57" s="1"/>
  <c r="I144" i="57" s="1"/>
  <c r="I146" i="57" s="1"/>
  <c r="I168" i="57" s="1"/>
  <c r="J208" i="45"/>
  <c r="J224" i="45" s="1"/>
  <c r="I240" i="45"/>
  <c r="I256" i="45" s="1"/>
  <c r="H59" i="52"/>
  <c r="H154" i="52" s="1"/>
  <c r="H161" i="52" s="1"/>
  <c r="H163" i="52" s="1"/>
  <c r="H170" i="52" s="1"/>
  <c r="H178" i="52" s="1"/>
  <c r="H177" i="53"/>
  <c r="J207" i="45"/>
  <c r="J223" i="45" s="1"/>
  <c r="I57" i="53"/>
  <c r="I137" i="53" s="1"/>
  <c r="I144" i="53" s="1"/>
  <c r="I146" i="53" s="1"/>
  <c r="I168" i="53" s="1"/>
  <c r="I177" i="53" s="1"/>
  <c r="H192" i="53"/>
  <c r="I239" i="45"/>
  <c r="I255" i="45" s="1"/>
  <c r="H58" i="53"/>
  <c r="H154" i="53" s="1"/>
  <c r="H161" i="53" s="1"/>
  <c r="H163" i="53" s="1"/>
  <c r="H170" i="53" s="1"/>
  <c r="H188" i="53" s="1"/>
  <c r="J206" i="45"/>
  <c r="J222" i="45" s="1"/>
  <c r="I238" i="45"/>
  <c r="I254" i="45" s="1"/>
  <c r="H58" i="51"/>
  <c r="H154" i="51" s="1"/>
  <c r="H161" i="51" s="1"/>
  <c r="H163" i="51" s="1"/>
  <c r="H170" i="51" s="1"/>
  <c r="H178" i="51" s="1"/>
  <c r="H237" i="45"/>
  <c r="H253" i="45" s="1"/>
  <c r="G58" i="64"/>
  <c r="G154" i="64" s="1"/>
  <c r="G161" i="64" s="1"/>
  <c r="G163" i="64" s="1"/>
  <c r="G170" i="64" s="1"/>
  <c r="G188" i="64" s="1"/>
  <c r="J205" i="45"/>
  <c r="J221" i="45" s="1"/>
  <c r="I57" i="64"/>
  <c r="I137" i="64" s="1"/>
  <c r="I144" i="64" s="1"/>
  <c r="I146" i="64" s="1"/>
  <c r="I168" i="64" s="1"/>
  <c r="H236" i="45"/>
  <c r="H252" i="45" s="1"/>
  <c r="G58" i="63"/>
  <c r="G154" i="63" s="1"/>
  <c r="G161" i="63" s="1"/>
  <c r="G163" i="63" s="1"/>
  <c r="G170" i="63" s="1"/>
  <c r="G186" i="63" s="1"/>
  <c r="H193" i="63"/>
  <c r="H187" i="63"/>
  <c r="H192" i="63"/>
  <c r="H177" i="63"/>
  <c r="F194" i="63"/>
  <c r="J204" i="45"/>
  <c r="J220" i="45" s="1"/>
  <c r="I57" i="63"/>
  <c r="I137" i="63" s="1"/>
  <c r="I144" i="63" s="1"/>
  <c r="I146" i="63" s="1"/>
  <c r="I168" i="63" s="1"/>
  <c r="F188" i="63"/>
  <c r="F178" i="63"/>
  <c r="F179" i="63"/>
  <c r="F186" i="62"/>
  <c r="H235" i="45"/>
  <c r="H251" i="45" s="1"/>
  <c r="G58" i="62"/>
  <c r="G154" i="62" s="1"/>
  <c r="G161" i="62" s="1"/>
  <c r="G163" i="62" s="1"/>
  <c r="G170" i="62" s="1"/>
  <c r="G178" i="62" s="1"/>
  <c r="I57" i="62"/>
  <c r="I137" i="62" s="1"/>
  <c r="I144" i="62" s="1"/>
  <c r="I146" i="62" s="1"/>
  <c r="I168" i="62" s="1"/>
  <c r="I187" i="62" s="1"/>
  <c r="J203" i="45"/>
  <c r="J219" i="45" s="1"/>
  <c r="H234" i="45"/>
  <c r="H250" i="45" s="1"/>
  <c r="G58" i="38"/>
  <c r="J202" i="45"/>
  <c r="J218" i="45" s="1"/>
  <c r="I57" i="38"/>
  <c r="H233" i="45"/>
  <c r="H249" i="45" s="1"/>
  <c r="G58" i="61"/>
  <c r="G154" i="61" s="1"/>
  <c r="G161" i="61" s="1"/>
  <c r="G163" i="61" s="1"/>
  <c r="G170" i="61" s="1"/>
  <c r="G194" i="61" s="1"/>
  <c r="J201" i="45"/>
  <c r="J217" i="45" s="1"/>
  <c r="H58" i="65"/>
  <c r="H137" i="65" s="1"/>
  <c r="H144" i="65" s="1"/>
  <c r="H146" i="65" s="1"/>
  <c r="H168" i="65" s="1"/>
  <c r="H58" i="58"/>
  <c r="H137" i="58" s="1"/>
  <c r="H144" i="58" s="1"/>
  <c r="H146" i="58" s="1"/>
  <c r="H168" i="58" s="1"/>
  <c r="H177" i="66"/>
  <c r="H187" i="66"/>
  <c r="H193" i="66"/>
  <c r="H192" i="66"/>
  <c r="I58" i="67"/>
  <c r="I137" i="67" s="1"/>
  <c r="I144" i="67" s="1"/>
  <c r="I146" i="67" s="1"/>
  <c r="I168" i="67" s="1"/>
  <c r="G187" i="65"/>
  <c r="G177" i="65"/>
  <c r="G192" i="65"/>
  <c r="G193" i="65"/>
  <c r="G193" i="58"/>
  <c r="G187" i="58"/>
  <c r="G192" i="58"/>
  <c r="G177" i="58"/>
  <c r="I58" i="66"/>
  <c r="I137" i="66" s="1"/>
  <c r="I144" i="66" s="1"/>
  <c r="I146" i="66" s="1"/>
  <c r="I168" i="66" s="1"/>
  <c r="H187" i="67"/>
  <c r="H193" i="67"/>
  <c r="H192" i="67"/>
  <c r="H177" i="67"/>
  <c r="H57" i="61"/>
  <c r="H137" i="61" s="1"/>
  <c r="H144" i="61" s="1"/>
  <c r="H146" i="61" s="1"/>
  <c r="H168" i="61" s="1"/>
  <c r="I58" i="55"/>
  <c r="I137" i="55" s="1"/>
  <c r="I144" i="55" s="1"/>
  <c r="I146" i="55" s="1"/>
  <c r="I168" i="55" s="1"/>
  <c r="G186" i="61"/>
  <c r="G192" i="61"/>
  <c r="G177" i="61"/>
  <c r="G193" i="61"/>
  <c r="H177" i="55"/>
  <c r="H187" i="55"/>
  <c r="H192" i="55"/>
  <c r="H193" i="55"/>
  <c r="I58" i="52"/>
  <c r="I137" i="52" s="1"/>
  <c r="I144" i="52" s="1"/>
  <c r="I146" i="52" s="1"/>
  <c r="I168" i="52" s="1"/>
  <c r="H186" i="52"/>
  <c r="H177" i="52"/>
  <c r="H193" i="52"/>
  <c r="H192" i="52"/>
  <c r="H57" i="51"/>
  <c r="H137" i="51" s="1"/>
  <c r="H144" i="51" s="1"/>
  <c r="H146" i="51" s="1"/>
  <c r="H168" i="51" s="1"/>
  <c r="G186" i="51"/>
  <c r="G193" i="51"/>
  <c r="G192" i="51"/>
  <c r="G177" i="51"/>
  <c r="S48" i="62"/>
  <c r="S50" i="62" s="1"/>
  <c r="S153" i="62" s="1"/>
  <c r="S160" i="62" s="1"/>
  <c r="S48" i="64"/>
  <c r="S50" i="64" s="1"/>
  <c r="S153" i="64" s="1"/>
  <c r="S160" i="64" s="1"/>
  <c r="S48" i="58"/>
  <c r="S50" i="58" s="1"/>
  <c r="R153" i="65"/>
  <c r="R160" i="65" s="1"/>
  <c r="O176" i="58"/>
  <c r="S50" i="51"/>
  <c r="S78" i="64"/>
  <c r="S165" i="64" s="1"/>
  <c r="S174" i="64" s="1"/>
  <c r="S180" i="64" s="1"/>
  <c r="R183" i="64"/>
  <c r="R189" i="64" s="1"/>
  <c r="R174" i="64"/>
  <c r="R180" i="64" s="1"/>
  <c r="T42" i="62"/>
  <c r="T68" i="62" s="1"/>
  <c r="T75" i="62" s="1"/>
  <c r="T78" i="62" s="1"/>
  <c r="T165" i="62" s="1"/>
  <c r="T174" i="62" s="1"/>
  <c r="T180" i="62" s="1"/>
  <c r="T42" i="67"/>
  <c r="T68" i="67" s="1"/>
  <c r="T75" i="67" s="1"/>
  <c r="T78" i="67" s="1"/>
  <c r="T165" i="67" s="1"/>
  <c r="T42" i="65"/>
  <c r="T68" i="65" s="1"/>
  <c r="T75" i="65" s="1"/>
  <c r="T78" i="65" s="1"/>
  <c r="T165" i="65" s="1"/>
  <c r="T42" i="66"/>
  <c r="T68" i="66" s="1"/>
  <c r="T75" i="66" s="1"/>
  <c r="T78" i="66" s="1"/>
  <c r="T165" i="66" s="1"/>
  <c r="T42" i="64"/>
  <c r="T68" i="64" s="1"/>
  <c r="T75" i="64" s="1"/>
  <c r="T42" i="63"/>
  <c r="T68" i="63" s="1"/>
  <c r="T75" i="63" s="1"/>
  <c r="T78" i="63" s="1"/>
  <c r="T165" i="63" s="1"/>
  <c r="U44" i="62"/>
  <c r="U102" i="62" s="1"/>
  <c r="U109" i="62" s="1"/>
  <c r="U44" i="67"/>
  <c r="U102" i="67" s="1"/>
  <c r="U109" i="67" s="1"/>
  <c r="U44" i="66"/>
  <c r="U102" i="66" s="1"/>
  <c r="U109" i="66" s="1"/>
  <c r="U44" i="65"/>
  <c r="U102" i="65" s="1"/>
  <c r="U109" i="65" s="1"/>
  <c r="U44" i="64"/>
  <c r="U102" i="64" s="1"/>
  <c r="U109" i="64" s="1"/>
  <c r="U44" i="63"/>
  <c r="U102" i="63" s="1"/>
  <c r="U109" i="63" s="1"/>
  <c r="T46" i="62"/>
  <c r="T46" i="67"/>
  <c r="T46" i="65"/>
  <c r="T46" i="66"/>
  <c r="T46" i="63"/>
  <c r="T46" i="64"/>
  <c r="T43" i="62"/>
  <c r="T85" i="62" s="1"/>
  <c r="T92" i="62" s="1"/>
  <c r="T95" i="62" s="1"/>
  <c r="T166" i="62" s="1"/>
  <c r="T43" i="66"/>
  <c r="T85" i="66" s="1"/>
  <c r="T92" i="66" s="1"/>
  <c r="T95" i="66" s="1"/>
  <c r="T166" i="66" s="1"/>
  <c r="T43" i="67"/>
  <c r="T85" i="67" s="1"/>
  <c r="T92" i="67" s="1"/>
  <c r="T95" i="67" s="1"/>
  <c r="T166" i="67" s="1"/>
  <c r="T43" i="65"/>
  <c r="T85" i="65" s="1"/>
  <c r="T92" i="65" s="1"/>
  <c r="T95" i="65" s="1"/>
  <c r="T166" i="65" s="1"/>
  <c r="T43" i="64"/>
  <c r="T85" i="64" s="1"/>
  <c r="T92" i="64" s="1"/>
  <c r="T95" i="64" s="1"/>
  <c r="T166" i="64" s="1"/>
  <c r="T43" i="63"/>
  <c r="T85" i="63" s="1"/>
  <c r="T92" i="63" s="1"/>
  <c r="T95" i="63" s="1"/>
  <c r="T166" i="63" s="1"/>
  <c r="S48" i="63"/>
  <c r="S50" i="63" s="1"/>
  <c r="S153" i="63" s="1"/>
  <c r="S160" i="63" s="1"/>
  <c r="S171" i="66"/>
  <c r="S174" i="66"/>
  <c r="S180" i="66" s="1"/>
  <c r="S183" i="66"/>
  <c r="S189" i="66" s="1"/>
  <c r="S183" i="63"/>
  <c r="S189" i="63" s="1"/>
  <c r="S48" i="65"/>
  <c r="S50" i="65" s="1"/>
  <c r="S183" i="65"/>
  <c r="S189" i="65" s="1"/>
  <c r="S171" i="65"/>
  <c r="S174" i="65"/>
  <c r="S180" i="65" s="1"/>
  <c r="T53" i="66"/>
  <c r="T53" i="65"/>
  <c r="T53" i="67"/>
  <c r="T53" i="64"/>
  <c r="T53" i="63"/>
  <c r="T52" i="67"/>
  <c r="T52" i="65"/>
  <c r="T52" i="66"/>
  <c r="T52" i="64"/>
  <c r="T52" i="63"/>
  <c r="S48" i="52"/>
  <c r="S50" i="52" s="1"/>
  <c r="S174" i="63"/>
  <c r="S180" i="63" s="1"/>
  <c r="S48" i="66"/>
  <c r="S50" i="66" s="1"/>
  <c r="S171" i="67"/>
  <c r="S174" i="67"/>
  <c r="S180" i="67" s="1"/>
  <c r="S183" i="67"/>
  <c r="S189" i="67" s="1"/>
  <c r="P112" i="58"/>
  <c r="P167" i="58" s="1"/>
  <c r="P185" i="58" s="1"/>
  <c r="S48" i="67"/>
  <c r="S50" i="67" s="1"/>
  <c r="S48" i="53"/>
  <c r="S50" i="53" s="1"/>
  <c r="T49" i="67"/>
  <c r="T49" i="53"/>
  <c r="T49" i="55"/>
  <c r="T49" i="66"/>
  <c r="T49" i="57"/>
  <c r="T49" i="52"/>
  <c r="T49" i="58"/>
  <c r="T49" i="51"/>
  <c r="T49" i="65"/>
  <c r="S48" i="55"/>
  <c r="S50" i="55" s="1"/>
  <c r="P129" i="58"/>
  <c r="P169" i="58" s="1"/>
  <c r="P184" i="58" s="1"/>
  <c r="Q150" i="61"/>
  <c r="Q162" i="61" s="1"/>
  <c r="R119" i="67"/>
  <c r="R126" i="67" s="1"/>
  <c r="R119" i="63"/>
  <c r="R126" i="63" s="1"/>
  <c r="Q116" i="58"/>
  <c r="Q128" i="58" s="1"/>
  <c r="Q123" i="58"/>
  <c r="Q127" i="58" s="1"/>
  <c r="R119" i="66"/>
  <c r="R126" i="66" s="1"/>
  <c r="R119" i="64"/>
  <c r="R126" i="64" s="1"/>
  <c r="R119" i="62"/>
  <c r="R126" i="62" s="1"/>
  <c r="T51" i="62"/>
  <c r="T136" i="62" s="1"/>
  <c r="T143" i="62" s="1"/>
  <c r="T51" i="66"/>
  <c r="T136" i="66" s="1"/>
  <c r="T143" i="66" s="1"/>
  <c r="T51" i="67"/>
  <c r="T136" i="67" s="1"/>
  <c r="T143" i="67" s="1"/>
  <c r="T51" i="65"/>
  <c r="T136" i="65" s="1"/>
  <c r="T143" i="65" s="1"/>
  <c r="T51" i="63"/>
  <c r="T136" i="63" s="1"/>
  <c r="T143" i="63" s="1"/>
  <c r="T51" i="64"/>
  <c r="T136" i="64" s="1"/>
  <c r="T143" i="64" s="1"/>
  <c r="Q157" i="61"/>
  <c r="R140" i="61"/>
  <c r="R133" i="61"/>
  <c r="R145" i="61" s="1"/>
  <c r="O184" i="58"/>
  <c r="T49" i="62"/>
  <c r="T49" i="64"/>
  <c r="T49" i="63"/>
  <c r="T45" i="62"/>
  <c r="T45" i="67"/>
  <c r="T45" i="66"/>
  <c r="T45" i="65"/>
  <c r="T45" i="63"/>
  <c r="T48" i="63" s="1"/>
  <c r="T45" i="64"/>
  <c r="R133" i="51"/>
  <c r="R145" i="51" s="1"/>
  <c r="R135" i="51"/>
  <c r="R142" i="51" s="1"/>
  <c r="R135" i="53"/>
  <c r="R142" i="53" s="1"/>
  <c r="R140" i="53"/>
  <c r="R133" i="53"/>
  <c r="R145" i="53" s="1"/>
  <c r="R135" i="52"/>
  <c r="R142" i="52" s="1"/>
  <c r="R133" i="52"/>
  <c r="R145" i="52" s="1"/>
  <c r="R140" i="52"/>
  <c r="S136" i="45"/>
  <c r="S132" i="67" s="1"/>
  <c r="S135" i="45"/>
  <c r="S132" i="52" s="1"/>
  <c r="R140" i="67"/>
  <c r="R135" i="67"/>
  <c r="R142" i="67" s="1"/>
  <c r="S134" i="45"/>
  <c r="S132" i="53" s="1"/>
  <c r="P175" i="67"/>
  <c r="O175" i="66"/>
  <c r="Q157" i="58"/>
  <c r="Q150" i="58"/>
  <c r="Q162" i="58" s="1"/>
  <c r="Q99" i="58"/>
  <c r="Q111" i="58" s="1"/>
  <c r="O184" i="64"/>
  <c r="P176" i="63"/>
  <c r="O185" i="65"/>
  <c r="Q129" i="63"/>
  <c r="Q169" i="63" s="1"/>
  <c r="Q175" i="63" s="1"/>
  <c r="P129" i="64"/>
  <c r="P169" i="64" s="1"/>
  <c r="P184" i="64" s="1"/>
  <c r="P185" i="67"/>
  <c r="U157" i="45"/>
  <c r="T55" i="64"/>
  <c r="T69" i="64" s="1"/>
  <c r="T76" i="64" s="1"/>
  <c r="O176" i="66"/>
  <c r="S132" i="66"/>
  <c r="S132" i="64"/>
  <c r="O184" i="65"/>
  <c r="O175" i="65"/>
  <c r="S116" i="67"/>
  <c r="S128" i="67" s="1"/>
  <c r="S123" i="67"/>
  <c r="S127" i="67" s="1"/>
  <c r="S125" i="67"/>
  <c r="R116" i="63"/>
  <c r="R128" i="63" s="1"/>
  <c r="R123" i="63"/>
  <c r="R127" i="63" s="1"/>
  <c r="R149" i="58"/>
  <c r="R149" i="65"/>
  <c r="BF119" i="2" s="1"/>
  <c r="AZ119" i="2" s="1"/>
  <c r="K126" i="77" s="1"/>
  <c r="W126" i="77" s="1"/>
  <c r="S132" i="61"/>
  <c r="S133" i="61" s="1"/>
  <c r="S145" i="61" s="1"/>
  <c r="S132" i="63"/>
  <c r="R140" i="58"/>
  <c r="R133" i="64"/>
  <c r="R145" i="64" s="1"/>
  <c r="R135" i="64"/>
  <c r="R142" i="64" s="1"/>
  <c r="R140" i="64"/>
  <c r="R149" i="66"/>
  <c r="BF141" i="2" s="1"/>
  <c r="AZ141" i="2" s="1"/>
  <c r="K150" i="77" s="1"/>
  <c r="W150" i="77" s="1"/>
  <c r="R149" i="64"/>
  <c r="BF53" i="2" s="1"/>
  <c r="AZ53" i="2" s="1"/>
  <c r="K54" i="77" s="1"/>
  <c r="W54" i="77" s="1"/>
  <c r="Q150" i="64"/>
  <c r="Q162" i="64" s="1"/>
  <c r="Q157" i="64"/>
  <c r="Q152" i="64"/>
  <c r="Q159" i="64" s="1"/>
  <c r="Q116" i="65"/>
  <c r="Q128" i="65" s="1"/>
  <c r="Q123" i="65"/>
  <c r="Q127" i="65" s="1"/>
  <c r="Q118" i="65"/>
  <c r="Q125" i="65" s="1"/>
  <c r="R133" i="66"/>
  <c r="R145" i="66" s="1"/>
  <c r="R140" i="66"/>
  <c r="R135" i="66"/>
  <c r="R142" i="66" s="1"/>
  <c r="R115" i="58"/>
  <c r="R115" i="65"/>
  <c r="BE119" i="2" s="1"/>
  <c r="AY119" i="2" s="1"/>
  <c r="J126" i="77" s="1"/>
  <c r="V126" i="77" s="1"/>
  <c r="R116" i="67"/>
  <c r="R128" i="67" s="1"/>
  <c r="R123" i="67"/>
  <c r="R127" i="67" s="1"/>
  <c r="R150" i="67"/>
  <c r="R162" i="67" s="1"/>
  <c r="R157" i="67"/>
  <c r="R152" i="67"/>
  <c r="R159" i="67" s="1"/>
  <c r="Q101" i="58"/>
  <c r="Q108" i="58" s="1"/>
  <c r="Q150" i="66"/>
  <c r="Q162" i="66" s="1"/>
  <c r="Q157" i="66"/>
  <c r="Q152" i="66"/>
  <c r="Q159" i="66" s="1"/>
  <c r="P129" i="66"/>
  <c r="P169" i="66" s="1"/>
  <c r="P184" i="63"/>
  <c r="P175" i="63"/>
  <c r="Q150" i="65"/>
  <c r="Q162" i="65" s="1"/>
  <c r="Q157" i="65"/>
  <c r="Q152" i="65"/>
  <c r="Q159" i="65" s="1"/>
  <c r="P129" i="65"/>
  <c r="P169" i="65" s="1"/>
  <c r="Q129" i="67"/>
  <c r="Q169" i="67" s="1"/>
  <c r="R149" i="61"/>
  <c r="R149" i="63"/>
  <c r="BF42" i="2" s="1"/>
  <c r="AZ42" i="2" s="1"/>
  <c r="K42" i="77" s="1"/>
  <c r="W42" i="77" s="1"/>
  <c r="S132" i="58"/>
  <c r="S135" i="58" s="1"/>
  <c r="S142" i="58" s="1"/>
  <c r="S132" i="65"/>
  <c r="O185" i="64"/>
  <c r="R115" i="66"/>
  <c r="R115" i="64"/>
  <c r="R133" i="65"/>
  <c r="R145" i="65" s="1"/>
  <c r="R135" i="65"/>
  <c r="R142" i="65" s="1"/>
  <c r="R140" i="65"/>
  <c r="Q150" i="63"/>
  <c r="Q162" i="63" s="1"/>
  <c r="Q152" i="63"/>
  <c r="Q159" i="63" s="1"/>
  <c r="Q157" i="63"/>
  <c r="Q116" i="64"/>
  <c r="Q128" i="64" s="1"/>
  <c r="Q123" i="64"/>
  <c r="Q127" i="64" s="1"/>
  <c r="Q125" i="64"/>
  <c r="R133" i="58"/>
  <c r="R145" i="58" s="1"/>
  <c r="R133" i="63"/>
  <c r="R145" i="63" s="1"/>
  <c r="R135" i="63"/>
  <c r="R142" i="63" s="1"/>
  <c r="R140" i="63"/>
  <c r="Q116" i="66"/>
  <c r="Q128" i="66" s="1"/>
  <c r="Q123" i="66"/>
  <c r="Q127" i="66" s="1"/>
  <c r="Q125" i="66"/>
  <c r="R99" i="67"/>
  <c r="R111" i="67" s="1"/>
  <c r="R101" i="67"/>
  <c r="R108" i="67" s="1"/>
  <c r="R106" i="67"/>
  <c r="R110" i="67" s="1"/>
  <c r="P112" i="64"/>
  <c r="P167" i="64" s="1"/>
  <c r="Q99" i="65"/>
  <c r="Q111" i="65" s="1"/>
  <c r="Q106" i="65"/>
  <c r="Q110" i="65" s="1"/>
  <c r="Q101" i="65"/>
  <c r="Q108" i="65" s="1"/>
  <c r="Q99" i="64"/>
  <c r="Q111" i="64" s="1"/>
  <c r="Q106" i="64"/>
  <c r="Q110" i="64" s="1"/>
  <c r="Q101" i="64"/>
  <c r="Q108" i="64" s="1"/>
  <c r="P112" i="66"/>
  <c r="P167" i="66" s="1"/>
  <c r="Q99" i="66"/>
  <c r="Q111" i="66" s="1"/>
  <c r="Q101" i="66"/>
  <c r="Q108" i="66" s="1"/>
  <c r="Q106" i="66"/>
  <c r="Q110" i="66" s="1"/>
  <c r="R99" i="63"/>
  <c r="R111" i="63" s="1"/>
  <c r="R106" i="63"/>
  <c r="R110" i="63" s="1"/>
  <c r="R101" i="63"/>
  <c r="R108" i="63" s="1"/>
  <c r="R98" i="66"/>
  <c r="BC141" i="2" s="1"/>
  <c r="AW141" i="2" s="1"/>
  <c r="H150" i="77" s="1"/>
  <c r="T150" i="77" s="1"/>
  <c r="R98" i="64"/>
  <c r="BC53" i="2" s="1"/>
  <c r="AW53" i="2" s="1"/>
  <c r="H54" i="77" s="1"/>
  <c r="T54" i="77" s="1"/>
  <c r="Q112" i="63"/>
  <c r="Q167" i="63" s="1"/>
  <c r="P112" i="65"/>
  <c r="P167" i="65" s="1"/>
  <c r="Q112" i="67"/>
  <c r="Q167" i="67" s="1"/>
  <c r="R98" i="58"/>
  <c r="R98" i="65"/>
  <c r="BC119" i="2" s="1"/>
  <c r="AW119" i="2" s="1"/>
  <c r="H126" i="77" s="1"/>
  <c r="T126" i="77" s="1"/>
  <c r="R150" i="51"/>
  <c r="R152" i="51"/>
  <c r="S133" i="51"/>
  <c r="S135" i="51"/>
  <c r="S174" i="62"/>
  <c r="S180" i="62" s="1"/>
  <c r="S143" i="45"/>
  <c r="S183" i="62"/>
  <c r="S189" i="62" s="1"/>
  <c r="Q129" i="62"/>
  <c r="Q169" i="62" s="1"/>
  <c r="Q184" i="62" s="1"/>
  <c r="T52" i="61"/>
  <c r="T59" i="45"/>
  <c r="T65" i="45"/>
  <c r="T60" i="45"/>
  <c r="T66" i="45"/>
  <c r="T61" i="45"/>
  <c r="T67" i="45"/>
  <c r="T62" i="45"/>
  <c r="T63" i="45"/>
  <c r="T64" i="45"/>
  <c r="T48" i="45"/>
  <c r="T51" i="45"/>
  <c r="T132" i="45" s="1"/>
  <c r="T54" i="45"/>
  <c r="T56" i="45"/>
  <c r="T137" i="45" s="1"/>
  <c r="T49" i="45"/>
  <c r="T130" i="45" s="1"/>
  <c r="T52" i="45"/>
  <c r="T133" i="45" s="1"/>
  <c r="T55" i="45"/>
  <c r="T50" i="45"/>
  <c r="T131" i="45" s="1"/>
  <c r="T53" i="45"/>
  <c r="T52" i="62"/>
  <c r="P185" i="62"/>
  <c r="P176" i="62"/>
  <c r="R140" i="57"/>
  <c r="R133" i="57"/>
  <c r="R145" i="57" s="1"/>
  <c r="R133" i="62"/>
  <c r="R145" i="62" s="1"/>
  <c r="R140" i="62"/>
  <c r="R135" i="62"/>
  <c r="R142" i="62" s="1"/>
  <c r="Q112" i="62"/>
  <c r="Q167" i="62" s="1"/>
  <c r="S48" i="61"/>
  <c r="S50" i="61" s="1"/>
  <c r="R99" i="62"/>
  <c r="R111" i="62" s="1"/>
  <c r="R106" i="62"/>
  <c r="R110" i="62" s="1"/>
  <c r="R101" i="62"/>
  <c r="R108" i="62" s="1"/>
  <c r="T53" i="61"/>
  <c r="T74" i="45"/>
  <c r="T72" i="45"/>
  <c r="T77" i="45"/>
  <c r="T70" i="45"/>
  <c r="T75" i="45"/>
  <c r="T73" i="45"/>
  <c r="T78" i="45"/>
  <c r="T71" i="45"/>
  <c r="T76" i="45"/>
  <c r="T53" i="62"/>
  <c r="R116" i="62"/>
  <c r="R128" i="62" s="1"/>
  <c r="R125" i="62"/>
  <c r="R123" i="62"/>
  <c r="R127" i="62" s="1"/>
  <c r="P112" i="61"/>
  <c r="P167" i="61" s="1"/>
  <c r="P176" i="61" s="1"/>
  <c r="S132" i="62"/>
  <c r="S132" i="57"/>
  <c r="S135" i="57" s="1"/>
  <c r="R150" i="62"/>
  <c r="R162" i="62" s="1"/>
  <c r="R152" i="62"/>
  <c r="R159" i="62" s="1"/>
  <c r="R157" i="62"/>
  <c r="O185" i="61"/>
  <c r="P129" i="61"/>
  <c r="P169" i="61" s="1"/>
  <c r="T46" i="61"/>
  <c r="T46" i="38"/>
  <c r="T42" i="61"/>
  <c r="T68" i="61" s="1"/>
  <c r="T75" i="61" s="1"/>
  <c r="T78" i="61" s="1"/>
  <c r="T165" i="61" s="1"/>
  <c r="T42" i="38"/>
  <c r="R115" i="61"/>
  <c r="T49" i="61"/>
  <c r="T49" i="38"/>
  <c r="T51" i="61"/>
  <c r="T136" i="61" s="1"/>
  <c r="T143" i="61" s="1"/>
  <c r="T51" i="38"/>
  <c r="T45" i="38"/>
  <c r="T45" i="61"/>
  <c r="T43" i="61"/>
  <c r="T85" i="61" s="1"/>
  <c r="T92" i="61" s="1"/>
  <c r="T95" i="61" s="1"/>
  <c r="T166" i="61" s="1"/>
  <c r="T43" i="38"/>
  <c r="R153" i="61"/>
  <c r="R160" i="61" s="1"/>
  <c r="R119" i="61"/>
  <c r="R126" i="61" s="1"/>
  <c r="Q116" i="61"/>
  <c r="Q128" i="61" s="1"/>
  <c r="Q125" i="61"/>
  <c r="Q123" i="61"/>
  <c r="Q127" i="61" s="1"/>
  <c r="U44" i="61"/>
  <c r="U102" i="61" s="1"/>
  <c r="U109" i="61" s="1"/>
  <c r="U44" i="38"/>
  <c r="R98" i="61"/>
  <c r="BC9" i="2" s="1"/>
  <c r="AW9" i="2" s="1"/>
  <c r="H6" i="77" s="1"/>
  <c r="T6" i="77" s="1"/>
  <c r="Q99" i="61"/>
  <c r="Q111" i="61" s="1"/>
  <c r="Q106" i="61"/>
  <c r="Q110" i="61" s="1"/>
  <c r="Q101" i="61"/>
  <c r="Q108" i="61" s="1"/>
  <c r="S171" i="61"/>
  <c r="S174" i="61"/>
  <c r="S180" i="61" s="1"/>
  <c r="S183" i="61"/>
  <c r="S189" i="61" s="1"/>
  <c r="R183" i="51"/>
  <c r="R189" i="51" s="1"/>
  <c r="O176" i="55"/>
  <c r="O175" i="55"/>
  <c r="R171" i="55"/>
  <c r="R171" i="51"/>
  <c r="M48" i="38"/>
  <c r="M50" i="38" s="1"/>
  <c r="N48" i="38"/>
  <c r="R183" i="52"/>
  <c r="R189" i="52" s="1"/>
  <c r="P184" i="53"/>
  <c r="R174" i="52"/>
  <c r="R180" i="52" s="1"/>
  <c r="R171" i="52"/>
  <c r="R174" i="55"/>
  <c r="R180" i="55" s="1"/>
  <c r="P175" i="53"/>
  <c r="T41" i="58"/>
  <c r="T67" i="58" s="1"/>
  <c r="T41" i="57"/>
  <c r="T67" i="57" s="1"/>
  <c r="T41" i="55"/>
  <c r="T67" i="55" s="1"/>
  <c r="T41" i="53"/>
  <c r="T67" i="53" s="1"/>
  <c r="T41" i="52"/>
  <c r="T67" i="52" s="1"/>
  <c r="T41" i="51"/>
  <c r="T67" i="51" s="1"/>
  <c r="T53" i="58"/>
  <c r="T53" i="55"/>
  <c r="T53" i="57"/>
  <c r="T53" i="53"/>
  <c r="T53" i="52"/>
  <c r="T53" i="51"/>
  <c r="R153" i="58"/>
  <c r="R160" i="58" s="1"/>
  <c r="R119" i="58"/>
  <c r="R126" i="58" s="1"/>
  <c r="R171" i="57"/>
  <c r="R174" i="57"/>
  <c r="R180" i="57" s="1"/>
  <c r="R183" i="57"/>
  <c r="R189" i="57" s="1"/>
  <c r="T46" i="58"/>
  <c r="T46" i="57"/>
  <c r="T46" i="53"/>
  <c r="T46" i="55"/>
  <c r="T46" i="52"/>
  <c r="T46" i="51"/>
  <c r="R183" i="58"/>
  <c r="R189" i="58" s="1"/>
  <c r="R174" i="58"/>
  <c r="R180" i="58" s="1"/>
  <c r="R171" i="58"/>
  <c r="R153" i="55"/>
  <c r="R160" i="55" s="1"/>
  <c r="R119" i="55"/>
  <c r="R126" i="55" s="1"/>
  <c r="T43" i="58"/>
  <c r="T85" i="58" s="1"/>
  <c r="T92" i="58" s="1"/>
  <c r="T95" i="58" s="1"/>
  <c r="T166" i="58" s="1"/>
  <c r="T43" i="57"/>
  <c r="T85" i="57" s="1"/>
  <c r="T92" i="57" s="1"/>
  <c r="T95" i="57" s="1"/>
  <c r="T166" i="57" s="1"/>
  <c r="T43" i="55"/>
  <c r="T85" i="55" s="1"/>
  <c r="T92" i="55" s="1"/>
  <c r="T95" i="55" s="1"/>
  <c r="T166" i="55" s="1"/>
  <c r="T43" i="52"/>
  <c r="T85" i="52" s="1"/>
  <c r="T92" i="52" s="1"/>
  <c r="T95" i="52" s="1"/>
  <c r="T166" i="52" s="1"/>
  <c r="T43" i="53"/>
  <c r="T85" i="53" s="1"/>
  <c r="T92" i="53" s="1"/>
  <c r="T95" i="53" s="1"/>
  <c r="T166" i="53" s="1"/>
  <c r="T43" i="51"/>
  <c r="T85" i="51" s="1"/>
  <c r="T92" i="51" s="1"/>
  <c r="T95" i="51" s="1"/>
  <c r="T166" i="51" s="1"/>
  <c r="R171" i="53"/>
  <c r="R174" i="53"/>
  <c r="R180" i="53" s="1"/>
  <c r="R183" i="53"/>
  <c r="R189" i="53" s="1"/>
  <c r="S75" i="51"/>
  <c r="S78" i="51" s="1"/>
  <c r="S165" i="51" s="1"/>
  <c r="Q112" i="51"/>
  <c r="Q167" i="51" s="1"/>
  <c r="Q176" i="51" s="1"/>
  <c r="Q112" i="53"/>
  <c r="Q167" i="53" s="1"/>
  <c r="Q185" i="53" s="1"/>
  <c r="R119" i="53"/>
  <c r="R126" i="53" s="1"/>
  <c r="R153" i="53"/>
  <c r="R160" i="53" s="1"/>
  <c r="S75" i="52"/>
  <c r="S78" i="52" s="1"/>
  <c r="S165" i="52" s="1"/>
  <c r="S75" i="55"/>
  <c r="S78" i="55" s="1"/>
  <c r="S165" i="55" s="1"/>
  <c r="R153" i="52"/>
  <c r="R160" i="52" s="1"/>
  <c r="R119" i="52"/>
  <c r="R126" i="52" s="1"/>
  <c r="R119" i="51"/>
  <c r="R126" i="51" s="1"/>
  <c r="R129" i="51" s="1"/>
  <c r="R169" i="51" s="1"/>
  <c r="BE63" i="2" s="1"/>
  <c r="AY63" i="2" s="1"/>
  <c r="J65" i="77" s="1"/>
  <c r="V65" i="77" s="1"/>
  <c r="V70" i="77" s="1"/>
  <c r="R153" i="51"/>
  <c r="R160" i="51" s="1"/>
  <c r="S75" i="53"/>
  <c r="S78" i="53" s="1"/>
  <c r="S165" i="53" s="1"/>
  <c r="Q112" i="52"/>
  <c r="Q167" i="52" s="1"/>
  <c r="Q176" i="52" s="1"/>
  <c r="U44" i="58"/>
  <c r="U102" i="58" s="1"/>
  <c r="U109" i="58" s="1"/>
  <c r="U44" i="57"/>
  <c r="U102" i="57" s="1"/>
  <c r="U109" i="57" s="1"/>
  <c r="U44" i="55"/>
  <c r="U102" i="55" s="1"/>
  <c r="U109" i="55" s="1"/>
  <c r="U44" i="53"/>
  <c r="U102" i="53" s="1"/>
  <c r="U109" i="53" s="1"/>
  <c r="U44" i="52"/>
  <c r="U102" i="52" s="1"/>
  <c r="U109" i="52" s="1"/>
  <c r="U44" i="51"/>
  <c r="U102" i="51" s="1"/>
  <c r="U109" i="51" s="1"/>
  <c r="T51" i="58"/>
  <c r="T136" i="58" s="1"/>
  <c r="T143" i="58" s="1"/>
  <c r="T51" i="57"/>
  <c r="T136" i="57" s="1"/>
  <c r="T143" i="57" s="1"/>
  <c r="T51" i="53"/>
  <c r="T136" i="53" s="1"/>
  <c r="T143" i="53" s="1"/>
  <c r="T51" i="55"/>
  <c r="T136" i="55" s="1"/>
  <c r="T143" i="55" s="1"/>
  <c r="T51" i="51"/>
  <c r="T136" i="51" s="1"/>
  <c r="T143" i="51" s="1"/>
  <c r="T51" i="52"/>
  <c r="T136" i="52" s="1"/>
  <c r="T143" i="52" s="1"/>
  <c r="T42" i="58"/>
  <c r="T68" i="58" s="1"/>
  <c r="T42" i="57"/>
  <c r="T68" i="57" s="1"/>
  <c r="T42" i="55"/>
  <c r="T68" i="55" s="1"/>
  <c r="T42" i="53"/>
  <c r="T68" i="53" s="1"/>
  <c r="T42" i="52"/>
  <c r="T68" i="52" s="1"/>
  <c r="T42" i="51"/>
  <c r="T68" i="51" s="1"/>
  <c r="S75" i="57"/>
  <c r="S78" i="57" s="1"/>
  <c r="S165" i="57" s="1"/>
  <c r="T52" i="58"/>
  <c r="T52" i="55"/>
  <c r="T52" i="57"/>
  <c r="T52" i="53"/>
  <c r="T52" i="52"/>
  <c r="T52" i="51"/>
  <c r="R153" i="57"/>
  <c r="R160" i="57" s="1"/>
  <c r="R119" i="57"/>
  <c r="R126" i="57" s="1"/>
  <c r="S75" i="58"/>
  <c r="S78" i="58" s="1"/>
  <c r="S165" i="58" s="1"/>
  <c r="T45" i="58"/>
  <c r="T45" i="57"/>
  <c r="T45" i="55"/>
  <c r="T45" i="53"/>
  <c r="T45" i="52"/>
  <c r="T45" i="51"/>
  <c r="P176" i="51"/>
  <c r="P185" i="51"/>
  <c r="R116" i="53"/>
  <c r="R128" i="53" s="1"/>
  <c r="R118" i="53"/>
  <c r="R125" i="53" s="1"/>
  <c r="R123" i="53"/>
  <c r="R127" i="53" s="1"/>
  <c r="R149" i="57"/>
  <c r="O184" i="57"/>
  <c r="O175" i="57"/>
  <c r="R149" i="38"/>
  <c r="R149" i="55"/>
  <c r="Q99" i="57"/>
  <c r="Q111" i="57" s="1"/>
  <c r="Q101" i="57"/>
  <c r="Q108" i="57" s="1"/>
  <c r="Q106" i="57"/>
  <c r="Q110" i="57" s="1"/>
  <c r="Q129" i="51"/>
  <c r="Q169" i="51" s="1"/>
  <c r="P129" i="55"/>
  <c r="P169" i="55" s="1"/>
  <c r="Q150" i="55"/>
  <c r="Q162" i="55" s="1"/>
  <c r="Q157" i="55"/>
  <c r="Q159" i="55"/>
  <c r="R99" i="52"/>
  <c r="R111" i="52" s="1"/>
  <c r="R101" i="52"/>
  <c r="R108" i="52" s="1"/>
  <c r="R106" i="52"/>
  <c r="R110" i="52" s="1"/>
  <c r="R133" i="55"/>
  <c r="R145" i="55" s="1"/>
  <c r="R142" i="55"/>
  <c r="R140" i="55"/>
  <c r="O176" i="57"/>
  <c r="O185" i="57"/>
  <c r="R150" i="52"/>
  <c r="R162" i="52" s="1"/>
  <c r="R157" i="52"/>
  <c r="R116" i="52"/>
  <c r="R128" i="52" s="1"/>
  <c r="R118" i="52"/>
  <c r="R125" i="52" s="1"/>
  <c r="R123" i="52"/>
  <c r="R127" i="52" s="1"/>
  <c r="Q99" i="55"/>
  <c r="Q111" i="55" s="1"/>
  <c r="Q101" i="55"/>
  <c r="Q108" i="55" s="1"/>
  <c r="Q106" i="55"/>
  <c r="Q110" i="55" s="1"/>
  <c r="Q116" i="57"/>
  <c r="Q128" i="57" s="1"/>
  <c r="Q118" i="57"/>
  <c r="Q125" i="57" s="1"/>
  <c r="Q123" i="57"/>
  <c r="Q127" i="57" s="1"/>
  <c r="Q129" i="52"/>
  <c r="Q169" i="52" s="1"/>
  <c r="Q175" i="53"/>
  <c r="Q184" i="53"/>
  <c r="R115" i="57"/>
  <c r="BE97" i="2" s="1"/>
  <c r="AY97" i="2" s="1"/>
  <c r="J102" i="77" s="1"/>
  <c r="V102" i="77" s="1"/>
  <c r="P184" i="57"/>
  <c r="P175" i="57"/>
  <c r="Q150" i="57"/>
  <c r="Q162" i="57" s="1"/>
  <c r="Q157" i="57"/>
  <c r="Q159" i="57"/>
  <c r="P112" i="55"/>
  <c r="P167" i="55" s="1"/>
  <c r="P185" i="53"/>
  <c r="P176" i="53"/>
  <c r="R99" i="51"/>
  <c r="R111" i="51" s="1"/>
  <c r="R106" i="51"/>
  <c r="R110" i="51" s="1"/>
  <c r="R101" i="51"/>
  <c r="R108" i="51" s="1"/>
  <c r="R98" i="57"/>
  <c r="BC97" i="2" s="1"/>
  <c r="AW97" i="2" s="1"/>
  <c r="H102" i="77" s="1"/>
  <c r="T102" i="77" s="1"/>
  <c r="P112" i="57"/>
  <c r="P167" i="57" s="1"/>
  <c r="P184" i="52"/>
  <c r="P175" i="52"/>
  <c r="P175" i="51"/>
  <c r="P184" i="51"/>
  <c r="Q116" i="55"/>
  <c r="Q128" i="55" s="1"/>
  <c r="Q123" i="55"/>
  <c r="Q127" i="55" s="1"/>
  <c r="Q118" i="55"/>
  <c r="Q125" i="55" s="1"/>
  <c r="R150" i="53"/>
  <c r="R162" i="53" s="1"/>
  <c r="R159" i="53"/>
  <c r="R157" i="53"/>
  <c r="P185" i="52"/>
  <c r="P176" i="52"/>
  <c r="R99" i="53"/>
  <c r="R111" i="53" s="1"/>
  <c r="R106" i="53"/>
  <c r="R110" i="53" s="1"/>
  <c r="R101" i="53"/>
  <c r="R108" i="53" s="1"/>
  <c r="R98" i="38"/>
  <c r="BC20" i="2" s="1"/>
  <c r="AW20" i="2" s="1"/>
  <c r="H18" i="77" s="1"/>
  <c r="T18" i="77" s="1"/>
  <c r="R98" i="55"/>
  <c r="BC130" i="2" s="1"/>
  <c r="AW130" i="2" s="1"/>
  <c r="H138" i="77" s="1"/>
  <c r="T138" i="77" s="1"/>
  <c r="R115" i="38"/>
  <c r="R115" i="55"/>
  <c r="BE130" i="2" s="1"/>
  <c r="AY130" i="2" s="1"/>
  <c r="J138" i="77" s="1"/>
  <c r="V138" i="77" s="1"/>
  <c r="S132" i="38"/>
  <c r="S135" i="38" s="1"/>
  <c r="S132" i="55"/>
  <c r="S135" i="55" s="1"/>
  <c r="R140" i="51"/>
  <c r="Q162" i="51"/>
  <c r="Q157" i="51"/>
  <c r="Q159" i="51"/>
  <c r="U156" i="45"/>
  <c r="U55" i="63" s="1"/>
  <c r="U69" i="63" s="1"/>
  <c r="U76" i="63" s="1"/>
  <c r="U155" i="45"/>
  <c r="U55" i="62" s="1"/>
  <c r="U69" i="62" s="1"/>
  <c r="U76" i="62" s="1"/>
  <c r="S145" i="45"/>
  <c r="S118" i="45"/>
  <c r="S115" i="63" s="1"/>
  <c r="S118" i="63" s="1"/>
  <c r="S125" i="45"/>
  <c r="S149" i="45"/>
  <c r="S149" i="67" s="1"/>
  <c r="S147" i="45"/>
  <c r="S149" i="53" s="1"/>
  <c r="S152" i="53" s="1"/>
  <c r="S150" i="45"/>
  <c r="S146" i="45"/>
  <c r="S149" i="62" s="1"/>
  <c r="S148" i="45"/>
  <c r="S149" i="52" s="1"/>
  <c r="S152" i="52" s="1"/>
  <c r="S144" i="45"/>
  <c r="S142" i="45"/>
  <c r="S149" i="51" s="1"/>
  <c r="U154" i="45"/>
  <c r="T55" i="38"/>
  <c r="S122" i="45"/>
  <c r="S115" i="53" s="1"/>
  <c r="S123" i="45"/>
  <c r="S115" i="52" s="1"/>
  <c r="S121" i="45"/>
  <c r="S115" i="62" s="1"/>
  <c r="S118" i="62" s="1"/>
  <c r="S117" i="45"/>
  <c r="S115" i="51" s="1"/>
  <c r="S120" i="45"/>
  <c r="S119" i="45"/>
  <c r="T116" i="45"/>
  <c r="T124" i="45" s="1"/>
  <c r="T115" i="67" s="1"/>
  <c r="T118" i="67" s="1"/>
  <c r="T140" i="45"/>
  <c r="U39" i="45"/>
  <c r="U38" i="45"/>
  <c r="U40" i="45"/>
  <c r="U27" i="45"/>
  <c r="U28" i="45"/>
  <c r="U29" i="45"/>
  <c r="T103" i="45"/>
  <c r="T104" i="45"/>
  <c r="S112" i="45"/>
  <c r="S98" i="67" s="1"/>
  <c r="S113" i="45"/>
  <c r="S106" i="45"/>
  <c r="S98" i="63" s="1"/>
  <c r="S110" i="45"/>
  <c r="S98" i="53" s="1"/>
  <c r="S108" i="45"/>
  <c r="S109" i="45"/>
  <c r="S98" i="62" s="1"/>
  <c r="S111" i="45"/>
  <c r="S98" i="52" s="1"/>
  <c r="S105" i="45"/>
  <c r="S98" i="51" s="1"/>
  <c r="S107" i="45"/>
  <c r="U14" i="45"/>
  <c r="U23" i="45"/>
  <c r="U21" i="45"/>
  <c r="U5" i="45"/>
  <c r="V6" i="45"/>
  <c r="U4" i="45"/>
  <c r="U12" i="45"/>
  <c r="U20" i="45"/>
  <c r="T53" i="38"/>
  <c r="U19" i="45"/>
  <c r="T52" i="38"/>
  <c r="I177" i="64" l="1"/>
  <c r="AH7" i="14" a="1"/>
  <c r="AH7" i="14" s="1"/>
  <c r="T48" i="55"/>
  <c r="R118" i="61"/>
  <c r="BE9" i="2"/>
  <c r="AY9" i="2" s="1"/>
  <c r="J6" i="77" s="1"/>
  <c r="V6" i="77" s="1"/>
  <c r="R118" i="64"/>
  <c r="BE53" i="2"/>
  <c r="AY53" i="2" s="1"/>
  <c r="J54" i="77" s="1"/>
  <c r="V54" i="77" s="1"/>
  <c r="R118" i="66"/>
  <c r="BE141" i="2"/>
  <c r="AY141" i="2" s="1"/>
  <c r="J150" i="77" s="1"/>
  <c r="V150" i="77" s="1"/>
  <c r="R123" i="58"/>
  <c r="R127" i="58" s="1"/>
  <c r="BE108" i="2"/>
  <c r="AY108" i="2" s="1"/>
  <c r="J114" i="77" s="1"/>
  <c r="V114" i="77" s="1"/>
  <c r="R118" i="38"/>
  <c r="BE20" i="2"/>
  <c r="AY20" i="2" s="1"/>
  <c r="J18" i="77" s="1"/>
  <c r="V18" i="77" s="1"/>
  <c r="R152" i="55"/>
  <c r="R159" i="55" s="1"/>
  <c r="BF130" i="2"/>
  <c r="AZ130" i="2" s="1"/>
  <c r="K138" i="77" s="1"/>
  <c r="W138" i="77" s="1"/>
  <c r="R152" i="38"/>
  <c r="BF20" i="2"/>
  <c r="AZ20" i="2" s="1"/>
  <c r="K18" i="77" s="1"/>
  <c r="W18" i="77" s="1"/>
  <c r="AU129" i="2"/>
  <c r="F137" i="77" s="1"/>
  <c r="R137" i="77" s="1"/>
  <c r="R142" i="77" s="1"/>
  <c r="AV129" i="2"/>
  <c r="G137" i="77" s="1"/>
  <c r="S137" i="77" s="1"/>
  <c r="S142" i="77" s="1"/>
  <c r="R150" i="61"/>
  <c r="R162" i="61" s="1"/>
  <c r="BF9" i="2"/>
  <c r="AZ9" i="2" s="1"/>
  <c r="K6" i="77" s="1"/>
  <c r="W6" i="77" s="1"/>
  <c r="R152" i="57"/>
  <c r="R159" i="57" s="1"/>
  <c r="BF97" i="2"/>
  <c r="AZ97" i="2" s="1"/>
  <c r="K102" i="77" s="1"/>
  <c r="W102" i="77" s="1"/>
  <c r="AU52" i="2"/>
  <c r="F53" i="77" s="1"/>
  <c r="R53" i="77" s="1"/>
  <c r="R58" i="77" s="1"/>
  <c r="AV52" i="2"/>
  <c r="G53" i="77" s="1"/>
  <c r="S53" i="77" s="1"/>
  <c r="S58" i="77" s="1"/>
  <c r="AU63" i="2"/>
  <c r="F65" i="77" s="1"/>
  <c r="R65" i="77" s="1"/>
  <c r="R70" i="77" s="1"/>
  <c r="AV63" i="2"/>
  <c r="G65" i="77" s="1"/>
  <c r="S65" i="77" s="1"/>
  <c r="S70" i="77" s="1"/>
  <c r="R99" i="58"/>
  <c r="R111" i="58" s="1"/>
  <c r="BC108" i="2"/>
  <c r="AW108" i="2" s="1"/>
  <c r="H114" i="77" s="1"/>
  <c r="T114" i="77" s="1"/>
  <c r="R152" i="58"/>
  <c r="R159" i="58" s="1"/>
  <c r="BF108" i="2"/>
  <c r="AZ108" i="2" s="1"/>
  <c r="K114" i="77" s="1"/>
  <c r="W114" i="77" s="1"/>
  <c r="I193" i="64"/>
  <c r="I192" i="53"/>
  <c r="I193" i="53"/>
  <c r="G188" i="55"/>
  <c r="I187" i="53"/>
  <c r="H194" i="67"/>
  <c r="H178" i="67"/>
  <c r="H179" i="67"/>
  <c r="H186" i="67"/>
  <c r="G179" i="62"/>
  <c r="G186" i="65"/>
  <c r="G178" i="65"/>
  <c r="G194" i="58"/>
  <c r="H188" i="52"/>
  <c r="G178" i="66"/>
  <c r="G179" i="65"/>
  <c r="G179" i="66"/>
  <c r="G186" i="66"/>
  <c r="G179" i="63"/>
  <c r="G188" i="66"/>
  <c r="G194" i="63"/>
  <c r="G194" i="62"/>
  <c r="G194" i="65"/>
  <c r="H188" i="51"/>
  <c r="H187" i="51"/>
  <c r="H179" i="51"/>
  <c r="H194" i="51"/>
  <c r="G178" i="63"/>
  <c r="G178" i="55"/>
  <c r="G188" i="63"/>
  <c r="H194" i="53"/>
  <c r="H179" i="53"/>
  <c r="G178" i="58"/>
  <c r="H186" i="53"/>
  <c r="G188" i="58"/>
  <c r="H178" i="53"/>
  <c r="G179" i="58"/>
  <c r="G186" i="62"/>
  <c r="H187" i="52"/>
  <c r="I192" i="62"/>
  <c r="I177" i="62"/>
  <c r="I193" i="62"/>
  <c r="G194" i="57"/>
  <c r="G179" i="57"/>
  <c r="H179" i="52"/>
  <c r="G179" i="55"/>
  <c r="G188" i="57"/>
  <c r="G178" i="57"/>
  <c r="G194" i="64"/>
  <c r="G188" i="61"/>
  <c r="G178" i="64"/>
  <c r="G187" i="61"/>
  <c r="G187" i="64"/>
  <c r="G178" i="61"/>
  <c r="G179" i="64"/>
  <c r="G194" i="55"/>
  <c r="G179" i="61"/>
  <c r="J246" i="45"/>
  <c r="J262" i="45" s="1"/>
  <c r="I59" i="67"/>
  <c r="I154" i="67" s="1"/>
  <c r="I161" i="67" s="1"/>
  <c r="I163" i="67" s="1"/>
  <c r="I170" i="67" s="1"/>
  <c r="I178" i="67" s="1"/>
  <c r="K214" i="45"/>
  <c r="K230" i="45" s="1"/>
  <c r="K213" i="45"/>
  <c r="K229" i="45" s="1"/>
  <c r="I245" i="45"/>
  <c r="I261" i="45" s="1"/>
  <c r="H59" i="66"/>
  <c r="H154" i="66" s="1"/>
  <c r="H161" i="66" s="1"/>
  <c r="H163" i="66" s="1"/>
  <c r="H170" i="66" s="1"/>
  <c r="H188" i="66" s="1"/>
  <c r="K212" i="45"/>
  <c r="K228" i="45" s="1"/>
  <c r="J58" i="55"/>
  <c r="J137" i="55" s="1"/>
  <c r="J144" i="55" s="1"/>
  <c r="J146" i="55" s="1"/>
  <c r="J168" i="55" s="1"/>
  <c r="I244" i="45"/>
  <c r="I260" i="45" s="1"/>
  <c r="H59" i="55"/>
  <c r="H154" i="55" s="1"/>
  <c r="H161" i="55" s="1"/>
  <c r="H163" i="55" s="1"/>
  <c r="H170" i="55" s="1"/>
  <c r="H178" i="55" s="1"/>
  <c r="K211" i="45"/>
  <c r="K227" i="45" s="1"/>
  <c r="I243" i="45"/>
  <c r="I259" i="45" s="1"/>
  <c r="H59" i="65"/>
  <c r="H154" i="65" s="1"/>
  <c r="H161" i="65" s="1"/>
  <c r="H163" i="65" s="1"/>
  <c r="H170" i="65" s="1"/>
  <c r="H178" i="65" s="1"/>
  <c r="K210" i="45"/>
  <c r="K226" i="45" s="1"/>
  <c r="I242" i="45"/>
  <c r="I258" i="45" s="1"/>
  <c r="H59" i="58"/>
  <c r="H154" i="58" s="1"/>
  <c r="H161" i="58" s="1"/>
  <c r="H163" i="58" s="1"/>
  <c r="H170" i="58" s="1"/>
  <c r="H188" i="58" s="1"/>
  <c r="I192" i="57"/>
  <c r="I187" i="57"/>
  <c r="I177" i="57"/>
  <c r="I193" i="57"/>
  <c r="K209" i="45"/>
  <c r="K225" i="45" s="1"/>
  <c r="J58" i="57"/>
  <c r="J137" i="57" s="1"/>
  <c r="J144" i="57" s="1"/>
  <c r="J146" i="57" s="1"/>
  <c r="J168" i="57" s="1"/>
  <c r="I241" i="45"/>
  <c r="I257" i="45" s="1"/>
  <c r="H59" i="57"/>
  <c r="H154" i="57" s="1"/>
  <c r="H161" i="57" s="1"/>
  <c r="H163" i="57" s="1"/>
  <c r="H170" i="57" s="1"/>
  <c r="H179" i="57" s="1"/>
  <c r="J240" i="45"/>
  <c r="J256" i="45" s="1"/>
  <c r="I59" i="52"/>
  <c r="I154" i="52" s="1"/>
  <c r="I161" i="52" s="1"/>
  <c r="I163" i="52" s="1"/>
  <c r="I170" i="52" s="1"/>
  <c r="I188" i="52" s="1"/>
  <c r="H194" i="52"/>
  <c r="J58" i="52"/>
  <c r="J137" i="52" s="1"/>
  <c r="J144" i="52" s="1"/>
  <c r="J146" i="52" s="1"/>
  <c r="J168" i="52" s="1"/>
  <c r="K208" i="45"/>
  <c r="K224" i="45" s="1"/>
  <c r="J239" i="45"/>
  <c r="J255" i="45" s="1"/>
  <c r="I58" i="53"/>
  <c r="I154" i="53" s="1"/>
  <c r="I161" i="53" s="1"/>
  <c r="I163" i="53" s="1"/>
  <c r="I170" i="53" s="1"/>
  <c r="I188" i="53" s="1"/>
  <c r="K207" i="45"/>
  <c r="K223" i="45" s="1"/>
  <c r="J57" i="53"/>
  <c r="J137" i="53" s="1"/>
  <c r="J144" i="53" s="1"/>
  <c r="J146" i="53" s="1"/>
  <c r="J168" i="53" s="1"/>
  <c r="J187" i="53" s="1"/>
  <c r="J238" i="45"/>
  <c r="J254" i="45" s="1"/>
  <c r="I58" i="51"/>
  <c r="I154" i="51" s="1"/>
  <c r="I161" i="51" s="1"/>
  <c r="I163" i="51" s="1"/>
  <c r="I170" i="51" s="1"/>
  <c r="I178" i="51" s="1"/>
  <c r="K206" i="45"/>
  <c r="K222" i="45" s="1"/>
  <c r="I186" i="64"/>
  <c r="K205" i="45"/>
  <c r="K221" i="45" s="1"/>
  <c r="J57" i="64"/>
  <c r="J137" i="64" s="1"/>
  <c r="J144" i="64" s="1"/>
  <c r="J146" i="64" s="1"/>
  <c r="J168" i="64" s="1"/>
  <c r="J193" i="64" s="1"/>
  <c r="I192" i="64"/>
  <c r="I237" i="45"/>
  <c r="I253" i="45" s="1"/>
  <c r="H58" i="64"/>
  <c r="H154" i="64" s="1"/>
  <c r="H161" i="64" s="1"/>
  <c r="H163" i="64" s="1"/>
  <c r="H170" i="64" s="1"/>
  <c r="H188" i="64" s="1"/>
  <c r="I187" i="63"/>
  <c r="I177" i="63"/>
  <c r="I192" i="63"/>
  <c r="I193" i="63"/>
  <c r="K204" i="45"/>
  <c r="K220" i="45" s="1"/>
  <c r="J57" i="63"/>
  <c r="J137" i="63" s="1"/>
  <c r="J144" i="63" s="1"/>
  <c r="J146" i="63" s="1"/>
  <c r="J168" i="63" s="1"/>
  <c r="I236" i="45"/>
  <c r="I252" i="45" s="1"/>
  <c r="H58" i="63"/>
  <c r="H154" i="63" s="1"/>
  <c r="H161" i="63" s="1"/>
  <c r="H163" i="63" s="1"/>
  <c r="H170" i="63" s="1"/>
  <c r="H186" i="63" s="1"/>
  <c r="K203" i="45"/>
  <c r="K219" i="45" s="1"/>
  <c r="J57" i="62"/>
  <c r="J137" i="62" s="1"/>
  <c r="J144" i="62" s="1"/>
  <c r="J146" i="62" s="1"/>
  <c r="J168" i="62" s="1"/>
  <c r="J187" i="62" s="1"/>
  <c r="G188" i="62"/>
  <c r="I235" i="45"/>
  <c r="I251" i="45" s="1"/>
  <c r="H58" i="62"/>
  <c r="H154" i="62" s="1"/>
  <c r="H161" i="62" s="1"/>
  <c r="H163" i="62" s="1"/>
  <c r="H170" i="62" s="1"/>
  <c r="H179" i="62" s="1"/>
  <c r="K202" i="45"/>
  <c r="K218" i="45" s="1"/>
  <c r="J57" i="38"/>
  <c r="I234" i="45"/>
  <c r="I250" i="45" s="1"/>
  <c r="H58" i="38"/>
  <c r="K201" i="45"/>
  <c r="K217" i="45" s="1"/>
  <c r="I233" i="45"/>
  <c r="I249" i="45" s="1"/>
  <c r="H58" i="61"/>
  <c r="H154" i="61" s="1"/>
  <c r="H161" i="61" s="1"/>
  <c r="H163" i="61" s="1"/>
  <c r="H170" i="61" s="1"/>
  <c r="H187" i="61" s="1"/>
  <c r="I57" i="51"/>
  <c r="I137" i="51" s="1"/>
  <c r="I144" i="51" s="1"/>
  <c r="I146" i="51" s="1"/>
  <c r="I168" i="51" s="1"/>
  <c r="J58" i="67"/>
  <c r="J137" i="67" s="1"/>
  <c r="J144" i="67" s="1"/>
  <c r="J146" i="67" s="1"/>
  <c r="J168" i="67" s="1"/>
  <c r="H192" i="51"/>
  <c r="H193" i="51"/>
  <c r="H177" i="51"/>
  <c r="H186" i="51"/>
  <c r="I193" i="67"/>
  <c r="I192" i="67"/>
  <c r="I187" i="67"/>
  <c r="I177" i="67"/>
  <c r="J58" i="66"/>
  <c r="J137" i="66" s="1"/>
  <c r="J144" i="66" s="1"/>
  <c r="J146" i="66" s="1"/>
  <c r="J168" i="66" s="1"/>
  <c r="I187" i="66"/>
  <c r="I177" i="66"/>
  <c r="I192" i="66"/>
  <c r="I193" i="66"/>
  <c r="I58" i="58"/>
  <c r="I137" i="58" s="1"/>
  <c r="I144" i="58" s="1"/>
  <c r="I146" i="58" s="1"/>
  <c r="I168" i="58" s="1"/>
  <c r="I186" i="52"/>
  <c r="I177" i="52"/>
  <c r="I192" i="52"/>
  <c r="I193" i="52"/>
  <c r="I187" i="55"/>
  <c r="I177" i="55"/>
  <c r="I192" i="55"/>
  <c r="I193" i="55"/>
  <c r="H187" i="58"/>
  <c r="H192" i="58"/>
  <c r="H177" i="58"/>
  <c r="H193" i="58"/>
  <c r="H193" i="61"/>
  <c r="H177" i="61"/>
  <c r="H186" i="61"/>
  <c r="H192" i="61"/>
  <c r="H192" i="65"/>
  <c r="H177" i="65"/>
  <c r="H193" i="65"/>
  <c r="H187" i="65"/>
  <c r="I57" i="61"/>
  <c r="I137" i="61" s="1"/>
  <c r="I144" i="61" s="1"/>
  <c r="I146" i="61" s="1"/>
  <c r="I168" i="61" s="1"/>
  <c r="I58" i="65"/>
  <c r="I137" i="65" s="1"/>
  <c r="I144" i="65" s="1"/>
  <c r="I146" i="65" s="1"/>
  <c r="I168" i="65" s="1"/>
  <c r="T48" i="53"/>
  <c r="T50" i="53" s="1"/>
  <c r="T48" i="67"/>
  <c r="T50" i="67" s="1"/>
  <c r="T48" i="62"/>
  <c r="T50" i="62" s="1"/>
  <c r="T153" i="62" s="1"/>
  <c r="T160" i="62" s="1"/>
  <c r="T48" i="51"/>
  <c r="T50" i="51" s="1"/>
  <c r="T48" i="65"/>
  <c r="T50" i="65" s="1"/>
  <c r="T48" i="64"/>
  <c r="T50" i="64" s="1"/>
  <c r="T119" i="64" s="1"/>
  <c r="T126" i="64" s="1"/>
  <c r="T48" i="52"/>
  <c r="T50" i="52" s="1"/>
  <c r="Q129" i="58"/>
  <c r="Q169" i="58" s="1"/>
  <c r="Q175" i="58" s="1"/>
  <c r="S171" i="64"/>
  <c r="S183" i="64"/>
  <c r="S189" i="64" s="1"/>
  <c r="T48" i="66"/>
  <c r="T50" i="66" s="1"/>
  <c r="P176" i="58"/>
  <c r="P175" i="58"/>
  <c r="T78" i="64"/>
  <c r="T165" i="64" s="1"/>
  <c r="T174" i="64" s="1"/>
  <c r="T180" i="64" s="1"/>
  <c r="T174" i="63"/>
  <c r="T180" i="63" s="1"/>
  <c r="T183" i="63"/>
  <c r="T189" i="63" s="1"/>
  <c r="T171" i="63"/>
  <c r="U53" i="65"/>
  <c r="U53" i="67"/>
  <c r="U53" i="66"/>
  <c r="U53" i="64"/>
  <c r="U53" i="63"/>
  <c r="U42" i="62"/>
  <c r="U68" i="62" s="1"/>
  <c r="U75" i="62" s="1"/>
  <c r="U78" i="62" s="1"/>
  <c r="U165" i="62" s="1"/>
  <c r="U174" i="62" s="1"/>
  <c r="U180" i="62" s="1"/>
  <c r="U42" i="66"/>
  <c r="U68" i="66" s="1"/>
  <c r="U75" i="66" s="1"/>
  <c r="U78" i="66" s="1"/>
  <c r="U165" i="66" s="1"/>
  <c r="U42" i="65"/>
  <c r="U68" i="65" s="1"/>
  <c r="U75" i="65" s="1"/>
  <c r="U78" i="65" s="1"/>
  <c r="U165" i="65" s="1"/>
  <c r="U42" i="67"/>
  <c r="U68" i="67" s="1"/>
  <c r="U75" i="67" s="1"/>
  <c r="U78" i="67" s="1"/>
  <c r="U165" i="67" s="1"/>
  <c r="U42" i="64"/>
  <c r="U68" i="64" s="1"/>
  <c r="U75" i="64" s="1"/>
  <c r="U42" i="63"/>
  <c r="U68" i="63" s="1"/>
  <c r="U75" i="63" s="1"/>
  <c r="U78" i="63" s="1"/>
  <c r="U165" i="63" s="1"/>
  <c r="U174" i="63" s="1"/>
  <c r="U180" i="63" s="1"/>
  <c r="U43" i="62"/>
  <c r="U85" i="62" s="1"/>
  <c r="U92" i="62" s="1"/>
  <c r="U95" i="62" s="1"/>
  <c r="U166" i="62" s="1"/>
  <c r="U43" i="66"/>
  <c r="U85" i="66" s="1"/>
  <c r="U92" i="66" s="1"/>
  <c r="U95" i="66" s="1"/>
  <c r="U166" i="66" s="1"/>
  <c r="U43" i="65"/>
  <c r="U85" i="65" s="1"/>
  <c r="U92" i="65" s="1"/>
  <c r="U95" i="65" s="1"/>
  <c r="U166" i="65" s="1"/>
  <c r="U43" i="67"/>
  <c r="U85" i="67" s="1"/>
  <c r="U92" i="67" s="1"/>
  <c r="U95" i="67" s="1"/>
  <c r="U166" i="67" s="1"/>
  <c r="U43" i="63"/>
  <c r="U85" i="63" s="1"/>
  <c r="U92" i="63" s="1"/>
  <c r="U95" i="63" s="1"/>
  <c r="U166" i="63" s="1"/>
  <c r="U43" i="64"/>
  <c r="U85" i="64" s="1"/>
  <c r="U92" i="64" s="1"/>
  <c r="U95" i="64" s="1"/>
  <c r="U166" i="64" s="1"/>
  <c r="T50" i="55"/>
  <c r="T48" i="57"/>
  <c r="T50" i="57" s="1"/>
  <c r="T171" i="66"/>
  <c r="T174" i="66"/>
  <c r="T180" i="66" s="1"/>
  <c r="T183" i="66"/>
  <c r="T189" i="66" s="1"/>
  <c r="U46" i="62"/>
  <c r="U46" i="67"/>
  <c r="U46" i="65"/>
  <c r="U46" i="66"/>
  <c r="U46" i="63"/>
  <c r="U46" i="64"/>
  <c r="V44" i="62"/>
  <c r="V102" i="62" s="1"/>
  <c r="V109" i="62" s="1"/>
  <c r="V44" i="67"/>
  <c r="V102" i="67" s="1"/>
  <c r="V109" i="67" s="1"/>
  <c r="V44" i="66"/>
  <c r="V102" i="66" s="1"/>
  <c r="V109" i="66" s="1"/>
  <c r="V44" i="65"/>
  <c r="V102" i="65" s="1"/>
  <c r="V109" i="65" s="1"/>
  <c r="V44" i="64"/>
  <c r="V102" i="64" s="1"/>
  <c r="V109" i="64" s="1"/>
  <c r="V44" i="63"/>
  <c r="V102" i="63" s="1"/>
  <c r="V109" i="63" s="1"/>
  <c r="R150" i="58"/>
  <c r="R162" i="58" s="1"/>
  <c r="T48" i="58"/>
  <c r="T50" i="58" s="1"/>
  <c r="T174" i="65"/>
  <c r="T180" i="65" s="1"/>
  <c r="T183" i="65"/>
  <c r="T189" i="65" s="1"/>
  <c r="T171" i="65"/>
  <c r="U49" i="67"/>
  <c r="U49" i="53"/>
  <c r="U49" i="55"/>
  <c r="U49" i="66"/>
  <c r="U49" i="65"/>
  <c r="U49" i="57"/>
  <c r="U49" i="52"/>
  <c r="U49" i="51"/>
  <c r="U49" i="58"/>
  <c r="U52" i="65"/>
  <c r="U52" i="66"/>
  <c r="U52" i="67"/>
  <c r="U52" i="64"/>
  <c r="U52" i="63"/>
  <c r="T183" i="67"/>
  <c r="T189" i="67" s="1"/>
  <c r="T171" i="67"/>
  <c r="T174" i="67"/>
  <c r="T180" i="67" s="1"/>
  <c r="R106" i="58"/>
  <c r="R110" i="58" s="1"/>
  <c r="S140" i="58"/>
  <c r="R157" i="61"/>
  <c r="Q112" i="58"/>
  <c r="Q167" i="58" s="1"/>
  <c r="Q185" i="58" s="1"/>
  <c r="R157" i="58"/>
  <c r="U51" i="62"/>
  <c r="U136" i="62" s="1"/>
  <c r="U143" i="62" s="1"/>
  <c r="U51" i="67"/>
  <c r="U136" i="67" s="1"/>
  <c r="U143" i="67" s="1"/>
  <c r="U51" i="66"/>
  <c r="U136" i="66" s="1"/>
  <c r="U143" i="66" s="1"/>
  <c r="U51" i="65"/>
  <c r="U136" i="65" s="1"/>
  <c r="U143" i="65" s="1"/>
  <c r="U51" i="63"/>
  <c r="U136" i="63" s="1"/>
  <c r="U143" i="63" s="1"/>
  <c r="U51" i="64"/>
  <c r="U136" i="64" s="1"/>
  <c r="U143" i="64" s="1"/>
  <c r="R152" i="61"/>
  <c r="R159" i="61" s="1"/>
  <c r="R118" i="58"/>
  <c r="R125" i="58" s="1"/>
  <c r="R116" i="58"/>
  <c r="R128" i="58" s="1"/>
  <c r="S140" i="61"/>
  <c r="S119" i="62"/>
  <c r="S126" i="62" s="1"/>
  <c r="S119" i="64"/>
  <c r="S126" i="64" s="1"/>
  <c r="S119" i="63"/>
  <c r="S126" i="63" s="1"/>
  <c r="T50" i="63"/>
  <c r="T119" i="63" s="1"/>
  <c r="T126" i="63" s="1"/>
  <c r="U49" i="62"/>
  <c r="U49" i="64"/>
  <c r="U49" i="63"/>
  <c r="S153" i="65"/>
  <c r="S160" i="65" s="1"/>
  <c r="S119" i="65"/>
  <c r="S126" i="65" s="1"/>
  <c r="S119" i="66"/>
  <c r="S126" i="66" s="1"/>
  <c r="S153" i="66"/>
  <c r="S160" i="66" s="1"/>
  <c r="U45" i="62"/>
  <c r="U48" i="62" s="1"/>
  <c r="U45" i="67"/>
  <c r="U45" i="66"/>
  <c r="U45" i="65"/>
  <c r="U45" i="63"/>
  <c r="U45" i="64"/>
  <c r="S119" i="67"/>
  <c r="S126" i="67" s="1"/>
  <c r="S129" i="67" s="1"/>
  <c r="S169" i="67" s="1"/>
  <c r="S184" i="67" s="1"/>
  <c r="S153" i="67"/>
  <c r="S160" i="67" s="1"/>
  <c r="S135" i="52"/>
  <c r="S142" i="52" s="1"/>
  <c r="S140" i="52"/>
  <c r="S133" i="52"/>
  <c r="S145" i="52" s="1"/>
  <c r="S133" i="67"/>
  <c r="S145" i="67" s="1"/>
  <c r="S135" i="67"/>
  <c r="S142" i="67" s="1"/>
  <c r="S140" i="67"/>
  <c r="S135" i="53"/>
  <c r="S142" i="53" s="1"/>
  <c r="S140" i="53"/>
  <c r="S133" i="53"/>
  <c r="S145" i="53" s="1"/>
  <c r="T136" i="45"/>
  <c r="T132" i="67" s="1"/>
  <c r="T134" i="45"/>
  <c r="T132" i="53" s="1"/>
  <c r="T135" i="45"/>
  <c r="T132" i="52" s="1"/>
  <c r="T129" i="45"/>
  <c r="T132" i="51" s="1"/>
  <c r="R101" i="58"/>
  <c r="R108" i="58" s="1"/>
  <c r="P175" i="64"/>
  <c r="Q184" i="63"/>
  <c r="S135" i="61"/>
  <c r="S142" i="61" s="1"/>
  <c r="T143" i="45"/>
  <c r="T149" i="61" s="1"/>
  <c r="T150" i="61" s="1"/>
  <c r="T162" i="61" s="1"/>
  <c r="R129" i="63"/>
  <c r="R169" i="63" s="1"/>
  <c r="Q112" i="66"/>
  <c r="Q167" i="66" s="1"/>
  <c r="Q185" i="66" s="1"/>
  <c r="V157" i="45"/>
  <c r="U55" i="64"/>
  <c r="U69" i="64" s="1"/>
  <c r="U76" i="64" s="1"/>
  <c r="S149" i="58"/>
  <c r="S152" i="58" s="1"/>
  <c r="S159" i="58" s="1"/>
  <c r="S149" i="65"/>
  <c r="Q129" i="64"/>
  <c r="Q169" i="64" s="1"/>
  <c r="Q129" i="65"/>
  <c r="Q169" i="65" s="1"/>
  <c r="S150" i="67"/>
  <c r="S162" i="67" s="1"/>
  <c r="S152" i="67"/>
  <c r="S159" i="67" s="1"/>
  <c r="S157" i="67"/>
  <c r="S115" i="58"/>
  <c r="S116" i="58" s="1"/>
  <c r="S128" i="58" s="1"/>
  <c r="S115" i="65"/>
  <c r="T132" i="58"/>
  <c r="T135" i="58" s="1"/>
  <c r="T142" i="58" s="1"/>
  <c r="T132" i="65"/>
  <c r="T132" i="61"/>
  <c r="T133" i="61" s="1"/>
  <c r="T145" i="61" s="1"/>
  <c r="T132" i="63"/>
  <c r="P175" i="66"/>
  <c r="P184" i="66"/>
  <c r="R129" i="67"/>
  <c r="R169" i="67" s="1"/>
  <c r="BE151" i="2" s="1"/>
  <c r="AY151" i="2" s="1"/>
  <c r="J161" i="77" s="1"/>
  <c r="V161" i="77" s="1"/>
  <c r="V166" i="77" s="1"/>
  <c r="T132" i="66"/>
  <c r="T132" i="64"/>
  <c r="S133" i="58"/>
  <c r="S145" i="58" s="1"/>
  <c r="S133" i="65"/>
  <c r="S145" i="65" s="1"/>
  <c r="S135" i="65"/>
  <c r="S142" i="65" s="1"/>
  <c r="S140" i="65"/>
  <c r="P184" i="65"/>
  <c r="P175" i="65"/>
  <c r="R116" i="65"/>
  <c r="R128" i="65" s="1"/>
  <c r="R123" i="65"/>
  <c r="R127" i="65" s="1"/>
  <c r="R118" i="65"/>
  <c r="R125" i="65" s="1"/>
  <c r="S133" i="63"/>
  <c r="S145" i="63" s="1"/>
  <c r="S140" i="63"/>
  <c r="S135" i="63"/>
  <c r="S142" i="63" s="1"/>
  <c r="S149" i="64"/>
  <c r="S157" i="64" s="1"/>
  <c r="S149" i="66"/>
  <c r="T116" i="67"/>
  <c r="T128" i="67" s="1"/>
  <c r="T125" i="67"/>
  <c r="T123" i="67"/>
  <c r="T127" i="67" s="1"/>
  <c r="R150" i="63"/>
  <c r="R162" i="63" s="1"/>
  <c r="R152" i="63"/>
  <c r="R159" i="63" s="1"/>
  <c r="R157" i="63"/>
  <c r="R150" i="64"/>
  <c r="R162" i="64" s="1"/>
  <c r="R157" i="64"/>
  <c r="R152" i="64"/>
  <c r="R159" i="64" s="1"/>
  <c r="S115" i="64"/>
  <c r="S115" i="66"/>
  <c r="S118" i="66" s="1"/>
  <c r="Q129" i="66"/>
  <c r="Q169" i="66" s="1"/>
  <c r="R150" i="66"/>
  <c r="R162" i="66" s="1"/>
  <c r="R157" i="66"/>
  <c r="R152" i="66"/>
  <c r="R159" i="66" s="1"/>
  <c r="R150" i="65"/>
  <c r="R162" i="65" s="1"/>
  <c r="R157" i="65"/>
  <c r="R152" i="65"/>
  <c r="R159" i="65" s="1"/>
  <c r="R116" i="64"/>
  <c r="R128" i="64" s="1"/>
  <c r="R123" i="64"/>
  <c r="R127" i="64" s="1"/>
  <c r="R125" i="64"/>
  <c r="Q184" i="67"/>
  <c r="Q175" i="67"/>
  <c r="S133" i="64"/>
  <c r="S145" i="64" s="1"/>
  <c r="S140" i="64"/>
  <c r="S135" i="64"/>
  <c r="S142" i="64" s="1"/>
  <c r="R116" i="66"/>
  <c r="R128" i="66" s="1"/>
  <c r="R125" i="66"/>
  <c r="R123" i="66"/>
  <c r="R127" i="66" s="1"/>
  <c r="S133" i="66"/>
  <c r="S145" i="66" s="1"/>
  <c r="S135" i="66"/>
  <c r="S142" i="66" s="1"/>
  <c r="S140" i="66"/>
  <c r="S98" i="66"/>
  <c r="S98" i="64"/>
  <c r="R99" i="65"/>
  <c r="R111" i="65" s="1"/>
  <c r="R101" i="65"/>
  <c r="R108" i="65" s="1"/>
  <c r="R106" i="65"/>
  <c r="R110" i="65" s="1"/>
  <c r="P185" i="66"/>
  <c r="P176" i="66"/>
  <c r="P185" i="65"/>
  <c r="P176" i="65"/>
  <c r="Q185" i="67"/>
  <c r="Q176" i="67"/>
  <c r="Q176" i="63"/>
  <c r="Q185" i="63"/>
  <c r="Q112" i="64"/>
  <c r="Q167" i="64" s="1"/>
  <c r="R99" i="64"/>
  <c r="R111" i="64" s="1"/>
  <c r="R106" i="64"/>
  <c r="R110" i="64" s="1"/>
  <c r="R101" i="64"/>
  <c r="R108" i="64" s="1"/>
  <c r="R99" i="66"/>
  <c r="R111" i="66" s="1"/>
  <c r="R101" i="66"/>
  <c r="R108" i="66" s="1"/>
  <c r="R106" i="66"/>
  <c r="R110" i="66" s="1"/>
  <c r="Q112" i="65"/>
  <c r="Q167" i="65" s="1"/>
  <c r="R112" i="63"/>
  <c r="R167" i="63" s="1"/>
  <c r="BC41" i="2" s="1"/>
  <c r="AW41" i="2" s="1"/>
  <c r="H41" i="77" s="1"/>
  <c r="T41" i="77" s="1"/>
  <c r="T46" i="77" s="1"/>
  <c r="P185" i="64"/>
  <c r="P176" i="64"/>
  <c r="S99" i="63"/>
  <c r="S111" i="63" s="1"/>
  <c r="S106" i="63"/>
  <c r="S110" i="63" s="1"/>
  <c r="S101" i="63"/>
  <c r="S108" i="63" s="1"/>
  <c r="S98" i="58"/>
  <c r="S101" i="58" s="1"/>
  <c r="S108" i="58" s="1"/>
  <c r="S98" i="65"/>
  <c r="S99" i="67"/>
  <c r="S111" i="67" s="1"/>
  <c r="S106" i="67"/>
  <c r="S110" i="67" s="1"/>
  <c r="S101" i="67"/>
  <c r="S108" i="67" s="1"/>
  <c r="R112" i="67"/>
  <c r="R167" i="67" s="1"/>
  <c r="BC151" i="2" s="1"/>
  <c r="AW151" i="2" s="1"/>
  <c r="H161" i="77" s="1"/>
  <c r="T161" i="77" s="1"/>
  <c r="T166" i="77" s="1"/>
  <c r="S150" i="51"/>
  <c r="S162" i="51" s="1"/>
  <c r="S152" i="51"/>
  <c r="S159" i="51" s="1"/>
  <c r="S149" i="61"/>
  <c r="S149" i="63"/>
  <c r="S125" i="63"/>
  <c r="S116" i="63"/>
  <c r="S128" i="63" s="1"/>
  <c r="S123" i="63"/>
  <c r="S127" i="63" s="1"/>
  <c r="T171" i="62"/>
  <c r="T183" i="62"/>
  <c r="T189" i="62" s="1"/>
  <c r="P185" i="61"/>
  <c r="Q175" i="62"/>
  <c r="R112" i="62"/>
  <c r="R167" i="62" s="1"/>
  <c r="BC30" i="2" s="1"/>
  <c r="AW30" i="2" s="1"/>
  <c r="H29" i="77" s="1"/>
  <c r="T29" i="77" s="1"/>
  <c r="T34" i="77" s="1"/>
  <c r="T132" i="62"/>
  <c r="T132" i="57"/>
  <c r="T135" i="57" s="1"/>
  <c r="U53" i="61"/>
  <c r="U74" i="45"/>
  <c r="U72" i="45"/>
  <c r="U77" i="45"/>
  <c r="U70" i="45"/>
  <c r="U75" i="45"/>
  <c r="U73" i="45"/>
  <c r="U78" i="45"/>
  <c r="U71" i="45"/>
  <c r="U76" i="45"/>
  <c r="U53" i="62"/>
  <c r="S99" i="62"/>
  <c r="S111" i="62" s="1"/>
  <c r="S101" i="62"/>
  <c r="S108" i="62" s="1"/>
  <c r="S106" i="62"/>
  <c r="S110" i="62" s="1"/>
  <c r="S116" i="62"/>
  <c r="S128" i="62" s="1"/>
  <c r="S123" i="62"/>
  <c r="S127" i="62" s="1"/>
  <c r="S125" i="62"/>
  <c r="S140" i="57"/>
  <c r="S142" i="57"/>
  <c r="S133" i="57"/>
  <c r="S145" i="57" s="1"/>
  <c r="R129" i="62"/>
  <c r="R169" i="62" s="1"/>
  <c r="BE30" i="2" s="1"/>
  <c r="AY30" i="2" s="1"/>
  <c r="J29" i="77" s="1"/>
  <c r="V29" i="77" s="1"/>
  <c r="V34" i="77" s="1"/>
  <c r="Q185" i="62"/>
  <c r="Q176" i="62"/>
  <c r="U52" i="61"/>
  <c r="U59" i="45"/>
  <c r="U65" i="45"/>
  <c r="U60" i="45"/>
  <c r="U66" i="45"/>
  <c r="U64" i="45"/>
  <c r="U61" i="45"/>
  <c r="U67" i="45"/>
  <c r="U62" i="45"/>
  <c r="U63" i="45"/>
  <c r="U48" i="45"/>
  <c r="U51" i="45"/>
  <c r="U132" i="45" s="1"/>
  <c r="U54" i="45"/>
  <c r="U50" i="45"/>
  <c r="U131" i="45" s="1"/>
  <c r="U56" i="45"/>
  <c r="U137" i="45" s="1"/>
  <c r="U49" i="45"/>
  <c r="U130" i="45" s="1"/>
  <c r="U52" i="45"/>
  <c r="U133" i="45" s="1"/>
  <c r="U55" i="45"/>
  <c r="U53" i="45"/>
  <c r="U52" i="62"/>
  <c r="S133" i="62"/>
  <c r="S145" i="62" s="1"/>
  <c r="S135" i="62"/>
  <c r="S142" i="62" s="1"/>
  <c r="S140" i="62"/>
  <c r="S150" i="62"/>
  <c r="S162" i="62" s="1"/>
  <c r="S157" i="62"/>
  <c r="S152" i="62"/>
  <c r="S159" i="62" s="1"/>
  <c r="T48" i="61"/>
  <c r="T50" i="61" s="1"/>
  <c r="T119" i="61" s="1"/>
  <c r="T126" i="61" s="1"/>
  <c r="P175" i="61"/>
  <c r="P184" i="61"/>
  <c r="R99" i="61"/>
  <c r="R111" i="61" s="1"/>
  <c r="R106" i="61"/>
  <c r="R110" i="61" s="1"/>
  <c r="R101" i="61"/>
  <c r="R108" i="61" s="1"/>
  <c r="S115" i="61"/>
  <c r="S118" i="61" s="1"/>
  <c r="V44" i="38"/>
  <c r="V44" i="61"/>
  <c r="V102" i="61" s="1"/>
  <c r="V109" i="61" s="1"/>
  <c r="Q112" i="61"/>
  <c r="Q167" i="61" s="1"/>
  <c r="Q129" i="61"/>
  <c r="Q169" i="61" s="1"/>
  <c r="U46" i="61"/>
  <c r="U46" i="38"/>
  <c r="U43" i="61"/>
  <c r="U85" i="61" s="1"/>
  <c r="U92" i="61" s="1"/>
  <c r="U95" i="61" s="1"/>
  <c r="U166" i="61" s="1"/>
  <c r="U43" i="38"/>
  <c r="S98" i="61"/>
  <c r="U42" i="61"/>
  <c r="U68" i="61" s="1"/>
  <c r="U75" i="61" s="1"/>
  <c r="U78" i="61" s="1"/>
  <c r="U165" i="61" s="1"/>
  <c r="U42" i="38"/>
  <c r="U51" i="61"/>
  <c r="U136" i="61" s="1"/>
  <c r="U143" i="61" s="1"/>
  <c r="U51" i="38"/>
  <c r="S153" i="61"/>
  <c r="S160" i="61" s="1"/>
  <c r="S119" i="61"/>
  <c r="S126" i="61" s="1"/>
  <c r="T171" i="61"/>
  <c r="T174" i="61"/>
  <c r="T180" i="61" s="1"/>
  <c r="T183" i="61"/>
  <c r="T189" i="61" s="1"/>
  <c r="U45" i="38"/>
  <c r="U45" i="61"/>
  <c r="U49" i="61"/>
  <c r="U49" i="38"/>
  <c r="R116" i="61"/>
  <c r="R128" i="61" s="1"/>
  <c r="R125" i="61"/>
  <c r="R123" i="61"/>
  <c r="R127" i="61" s="1"/>
  <c r="Q185" i="51"/>
  <c r="N50" i="38"/>
  <c r="Q176" i="53"/>
  <c r="S119" i="51"/>
  <c r="S126" i="51" s="1"/>
  <c r="S153" i="51"/>
  <c r="S160" i="51" s="1"/>
  <c r="U41" i="58"/>
  <c r="U67" i="58" s="1"/>
  <c r="U41" i="57"/>
  <c r="U67" i="57" s="1"/>
  <c r="U41" i="55"/>
  <c r="U67" i="55" s="1"/>
  <c r="U41" i="52"/>
  <c r="U67" i="52" s="1"/>
  <c r="U41" i="53"/>
  <c r="U67" i="53" s="1"/>
  <c r="U41" i="51"/>
  <c r="U67" i="51" s="1"/>
  <c r="U42" i="58"/>
  <c r="U68" i="58" s="1"/>
  <c r="U42" i="55"/>
  <c r="U68" i="55" s="1"/>
  <c r="U42" i="53"/>
  <c r="U68" i="53" s="1"/>
  <c r="U42" i="57"/>
  <c r="U68" i="57" s="1"/>
  <c r="U42" i="52"/>
  <c r="U68" i="52" s="1"/>
  <c r="U42" i="51"/>
  <c r="U68" i="51" s="1"/>
  <c r="S171" i="52"/>
  <c r="S174" i="52"/>
  <c r="S180" i="52" s="1"/>
  <c r="S183" i="52"/>
  <c r="S189" i="52" s="1"/>
  <c r="S183" i="57"/>
  <c r="S189" i="57" s="1"/>
  <c r="S174" i="57"/>
  <c r="S180" i="57" s="1"/>
  <c r="S171" i="57"/>
  <c r="S153" i="52"/>
  <c r="S160" i="52" s="1"/>
  <c r="S119" i="52"/>
  <c r="S126" i="52" s="1"/>
  <c r="U43" i="58"/>
  <c r="U85" i="58" s="1"/>
  <c r="U92" i="58" s="1"/>
  <c r="U95" i="58" s="1"/>
  <c r="U166" i="58" s="1"/>
  <c r="U43" i="57"/>
  <c r="U85" i="57" s="1"/>
  <c r="U92" i="57" s="1"/>
  <c r="U95" i="57" s="1"/>
  <c r="U166" i="57" s="1"/>
  <c r="U43" i="55"/>
  <c r="U85" i="55" s="1"/>
  <c r="U92" i="55" s="1"/>
  <c r="U95" i="55" s="1"/>
  <c r="U166" i="55" s="1"/>
  <c r="U43" i="53"/>
  <c r="U85" i="53" s="1"/>
  <c r="U92" i="53" s="1"/>
  <c r="U95" i="53" s="1"/>
  <c r="U166" i="53" s="1"/>
  <c r="U43" i="52"/>
  <c r="U85" i="52" s="1"/>
  <c r="U92" i="52" s="1"/>
  <c r="U95" i="52" s="1"/>
  <c r="U166" i="52" s="1"/>
  <c r="U43" i="51"/>
  <c r="U85" i="51" s="1"/>
  <c r="U92" i="51" s="1"/>
  <c r="U95" i="51" s="1"/>
  <c r="U166" i="51" s="1"/>
  <c r="U52" i="58"/>
  <c r="U52" i="57"/>
  <c r="U52" i="53"/>
  <c r="U52" i="55"/>
  <c r="U52" i="52"/>
  <c r="U52" i="51"/>
  <c r="Q129" i="57"/>
  <c r="Q169" i="57" s="1"/>
  <c r="Q175" i="57" s="1"/>
  <c r="S153" i="53"/>
  <c r="S160" i="53" s="1"/>
  <c r="S119" i="53"/>
  <c r="S126" i="53" s="1"/>
  <c r="S183" i="51"/>
  <c r="S189" i="51" s="1"/>
  <c r="S171" i="51"/>
  <c r="S174" i="51"/>
  <c r="S180" i="51" s="1"/>
  <c r="T75" i="51"/>
  <c r="T78" i="51" s="1"/>
  <c r="T165" i="51" s="1"/>
  <c r="U53" i="57"/>
  <c r="U53" i="58"/>
  <c r="U53" i="53"/>
  <c r="U53" i="55"/>
  <c r="U53" i="52"/>
  <c r="U53" i="51"/>
  <c r="U45" i="58"/>
  <c r="U45" i="57"/>
  <c r="U45" i="55"/>
  <c r="U45" i="53"/>
  <c r="U45" i="52"/>
  <c r="U45" i="51"/>
  <c r="U46" i="58"/>
  <c r="U46" i="57"/>
  <c r="U46" i="55"/>
  <c r="U46" i="52"/>
  <c r="U46" i="53"/>
  <c r="U46" i="51"/>
  <c r="S171" i="53"/>
  <c r="S174" i="53"/>
  <c r="S180" i="53" s="1"/>
  <c r="S183" i="53"/>
  <c r="S189" i="53" s="1"/>
  <c r="S171" i="55"/>
  <c r="S183" i="55"/>
  <c r="S189" i="55" s="1"/>
  <c r="S174" i="55"/>
  <c r="S180" i="55" s="1"/>
  <c r="T75" i="52"/>
  <c r="T78" i="52" s="1"/>
  <c r="T165" i="52" s="1"/>
  <c r="S153" i="58"/>
  <c r="S160" i="58" s="1"/>
  <c r="S119" i="58"/>
  <c r="S126" i="58" s="1"/>
  <c r="T75" i="53"/>
  <c r="T78" i="53" s="1"/>
  <c r="T165" i="53" s="1"/>
  <c r="T75" i="55"/>
  <c r="T78" i="55" s="1"/>
  <c r="T165" i="55" s="1"/>
  <c r="S174" i="58"/>
  <c r="S180" i="58" s="1"/>
  <c r="S183" i="58"/>
  <c r="S189" i="58" s="1"/>
  <c r="S171" i="58"/>
  <c r="T75" i="57"/>
  <c r="T78" i="57" s="1"/>
  <c r="T165" i="57" s="1"/>
  <c r="T75" i="58"/>
  <c r="T78" i="58" s="1"/>
  <c r="T165" i="58" s="1"/>
  <c r="R112" i="51"/>
  <c r="R167" i="51" s="1"/>
  <c r="Q112" i="55"/>
  <c r="Q167" i="55" s="1"/>
  <c r="Q176" i="55" s="1"/>
  <c r="Q185" i="52"/>
  <c r="S153" i="57"/>
  <c r="S160" i="57" s="1"/>
  <c r="S119" i="57"/>
  <c r="S126" i="57" s="1"/>
  <c r="V44" i="58"/>
  <c r="V102" i="58" s="1"/>
  <c r="V109" i="58" s="1"/>
  <c r="V44" i="57"/>
  <c r="V102" i="57" s="1"/>
  <c r="V109" i="57" s="1"/>
  <c r="V44" i="53"/>
  <c r="V102" i="53" s="1"/>
  <c r="V109" i="53" s="1"/>
  <c r="V44" i="55"/>
  <c r="V102" i="55" s="1"/>
  <c r="V109" i="55" s="1"/>
  <c r="V44" i="52"/>
  <c r="V102" i="52" s="1"/>
  <c r="V109" i="52" s="1"/>
  <c r="V44" i="51"/>
  <c r="V102" i="51" s="1"/>
  <c r="V109" i="51" s="1"/>
  <c r="U51" i="58"/>
  <c r="U136" i="58" s="1"/>
  <c r="U143" i="58" s="1"/>
  <c r="U51" i="55"/>
  <c r="U136" i="55" s="1"/>
  <c r="U143" i="55" s="1"/>
  <c r="U51" i="57"/>
  <c r="U136" i="57" s="1"/>
  <c r="U143" i="57" s="1"/>
  <c r="U51" i="53"/>
  <c r="U136" i="53" s="1"/>
  <c r="U143" i="53" s="1"/>
  <c r="U51" i="52"/>
  <c r="U136" i="52" s="1"/>
  <c r="U143" i="52" s="1"/>
  <c r="U51" i="51"/>
  <c r="U136" i="51" s="1"/>
  <c r="U143" i="51" s="1"/>
  <c r="R129" i="52"/>
  <c r="R169" i="52" s="1"/>
  <c r="R112" i="52"/>
  <c r="R167" i="52" s="1"/>
  <c r="S119" i="55"/>
  <c r="S126" i="55" s="1"/>
  <c r="S153" i="55"/>
  <c r="S160" i="55" s="1"/>
  <c r="S115" i="38"/>
  <c r="S118" i="38" s="1"/>
  <c r="S115" i="55"/>
  <c r="S98" i="38"/>
  <c r="S98" i="55"/>
  <c r="S116" i="53"/>
  <c r="S128" i="53" s="1"/>
  <c r="S118" i="53"/>
  <c r="S125" i="53" s="1"/>
  <c r="S123" i="53"/>
  <c r="S127" i="53" s="1"/>
  <c r="R116" i="57"/>
  <c r="R128" i="57" s="1"/>
  <c r="R123" i="57"/>
  <c r="R127" i="57" s="1"/>
  <c r="R118" i="57"/>
  <c r="R125" i="57" s="1"/>
  <c r="P175" i="55"/>
  <c r="P184" i="55"/>
  <c r="Q184" i="51"/>
  <c r="Q175" i="51"/>
  <c r="R150" i="55"/>
  <c r="R162" i="55" s="1"/>
  <c r="R157" i="55"/>
  <c r="R150" i="57"/>
  <c r="R162" i="57" s="1"/>
  <c r="R157" i="57"/>
  <c r="R116" i="55"/>
  <c r="R128" i="55" s="1"/>
  <c r="R123" i="55"/>
  <c r="R127" i="55" s="1"/>
  <c r="R118" i="55"/>
  <c r="R125" i="55" s="1"/>
  <c r="S99" i="51"/>
  <c r="S111" i="51" s="1"/>
  <c r="S106" i="51"/>
  <c r="S110" i="51" s="1"/>
  <c r="S101" i="51"/>
  <c r="S108" i="51" s="1"/>
  <c r="S133" i="55"/>
  <c r="S145" i="55" s="1"/>
  <c r="S140" i="55"/>
  <c r="S142" i="55"/>
  <c r="S99" i="52"/>
  <c r="S111" i="52" s="1"/>
  <c r="S106" i="52"/>
  <c r="S110" i="52" s="1"/>
  <c r="S101" i="52"/>
  <c r="S108" i="52" s="1"/>
  <c r="P185" i="55"/>
  <c r="P176" i="55"/>
  <c r="Q112" i="57"/>
  <c r="Q167" i="57" s="1"/>
  <c r="R99" i="55"/>
  <c r="R111" i="55" s="1"/>
  <c r="R106" i="55"/>
  <c r="R110" i="55" s="1"/>
  <c r="R101" i="55"/>
  <c r="R108" i="55" s="1"/>
  <c r="Q129" i="55"/>
  <c r="Q169" i="55" s="1"/>
  <c r="R99" i="57"/>
  <c r="R111" i="57" s="1"/>
  <c r="R106" i="57"/>
  <c r="R110" i="57" s="1"/>
  <c r="R101" i="57"/>
  <c r="R108" i="57" s="1"/>
  <c r="S150" i="52"/>
  <c r="S162" i="52" s="1"/>
  <c r="S157" i="52"/>
  <c r="S159" i="52"/>
  <c r="S99" i="53"/>
  <c r="S111" i="53" s="1"/>
  <c r="S106" i="53"/>
  <c r="S110" i="53" s="1"/>
  <c r="S101" i="53"/>
  <c r="S108" i="53" s="1"/>
  <c r="P185" i="57"/>
  <c r="P176" i="57"/>
  <c r="Q175" i="52"/>
  <c r="Q184" i="52"/>
  <c r="T132" i="38"/>
  <c r="T135" i="38" s="1"/>
  <c r="T132" i="55"/>
  <c r="T135" i="55" s="1"/>
  <c r="S149" i="57"/>
  <c r="S152" i="57" s="1"/>
  <c r="S116" i="51"/>
  <c r="S128" i="51" s="1"/>
  <c r="S123" i="51"/>
  <c r="S127" i="51" s="1"/>
  <c r="S118" i="51"/>
  <c r="S125" i="51" s="1"/>
  <c r="S150" i="53"/>
  <c r="S162" i="53" s="1"/>
  <c r="S159" i="53"/>
  <c r="S157" i="53"/>
  <c r="R112" i="53"/>
  <c r="R167" i="53" s="1"/>
  <c r="BC74" i="2" s="1"/>
  <c r="AW74" i="2" s="1"/>
  <c r="H77" i="77" s="1"/>
  <c r="T77" i="77" s="1"/>
  <c r="T82" i="77" s="1"/>
  <c r="S98" i="57"/>
  <c r="S115" i="57"/>
  <c r="R129" i="53"/>
  <c r="R169" i="53" s="1"/>
  <c r="BE74" i="2" s="1"/>
  <c r="AY74" i="2" s="1"/>
  <c r="J77" i="77" s="1"/>
  <c r="V77" i="77" s="1"/>
  <c r="V82" i="77" s="1"/>
  <c r="S149" i="38"/>
  <c r="S152" i="38" s="1"/>
  <c r="S149" i="55"/>
  <c r="S152" i="55" s="1"/>
  <c r="S116" i="52"/>
  <c r="S128" i="52" s="1"/>
  <c r="S123" i="52"/>
  <c r="S127" i="52" s="1"/>
  <c r="S118" i="52"/>
  <c r="S125" i="52" s="1"/>
  <c r="R175" i="51"/>
  <c r="R184" i="51"/>
  <c r="S140" i="51"/>
  <c r="S145" i="51"/>
  <c r="S142" i="51"/>
  <c r="R162" i="51"/>
  <c r="R157" i="51"/>
  <c r="R159" i="51"/>
  <c r="S157" i="51"/>
  <c r="V156" i="45"/>
  <c r="V55" i="63" s="1"/>
  <c r="V69" i="63" s="1"/>
  <c r="V76" i="63" s="1"/>
  <c r="T142" i="45"/>
  <c r="T149" i="51" s="1"/>
  <c r="V155" i="45"/>
  <c r="V55" i="62" s="1"/>
  <c r="V69" i="62" s="1"/>
  <c r="V76" i="62" s="1"/>
  <c r="T149" i="45"/>
  <c r="T149" i="67" s="1"/>
  <c r="T150" i="45"/>
  <c r="T146" i="45"/>
  <c r="T149" i="62" s="1"/>
  <c r="T147" i="45"/>
  <c r="T149" i="53" s="1"/>
  <c r="T152" i="53" s="1"/>
  <c r="T148" i="45"/>
  <c r="T149" i="52" s="1"/>
  <c r="T152" i="52" s="1"/>
  <c r="T145" i="45"/>
  <c r="T144" i="45"/>
  <c r="V154" i="45"/>
  <c r="U55" i="38"/>
  <c r="T122" i="45"/>
  <c r="T115" i="53" s="1"/>
  <c r="T118" i="45"/>
  <c r="T115" i="63" s="1"/>
  <c r="T118" i="63" s="1"/>
  <c r="T121" i="45"/>
  <c r="T115" i="62" s="1"/>
  <c r="T118" i="62" s="1"/>
  <c r="T123" i="45"/>
  <c r="T115" i="52" s="1"/>
  <c r="T120" i="45"/>
  <c r="T125" i="45"/>
  <c r="T119" i="45"/>
  <c r="T117" i="45"/>
  <c r="T115" i="51" s="1"/>
  <c r="U116" i="45"/>
  <c r="U118" i="45" s="1"/>
  <c r="U115" i="63" s="1"/>
  <c r="U118" i="63" s="1"/>
  <c r="U140" i="45"/>
  <c r="V40" i="45"/>
  <c r="V38" i="45"/>
  <c r="V39" i="45"/>
  <c r="V29" i="45"/>
  <c r="V28" i="45"/>
  <c r="V27" i="45"/>
  <c r="T112" i="45"/>
  <c r="T98" i="67" s="1"/>
  <c r="T113" i="45"/>
  <c r="U104" i="45"/>
  <c r="U103" i="45"/>
  <c r="T108" i="45"/>
  <c r="T110" i="45"/>
  <c r="T98" i="53" s="1"/>
  <c r="T109" i="45"/>
  <c r="T98" i="62" s="1"/>
  <c r="T106" i="45"/>
  <c r="T98" i="63" s="1"/>
  <c r="T111" i="45"/>
  <c r="T98" i="52" s="1"/>
  <c r="T107" i="45"/>
  <c r="T105" i="45"/>
  <c r="T98" i="51" s="1"/>
  <c r="V19" i="45"/>
  <c r="U52" i="38"/>
  <c r="V20" i="45"/>
  <c r="U53" i="38"/>
  <c r="V12" i="45"/>
  <c r="V21" i="45"/>
  <c r="V4" i="45"/>
  <c r="W6" i="45"/>
  <c r="V14" i="45"/>
  <c r="V23" i="45"/>
  <c r="V5" i="45"/>
  <c r="R184" i="63" l="1"/>
  <c r="BE41" i="2"/>
  <c r="AY41" i="2" s="1"/>
  <c r="J41" i="77" s="1"/>
  <c r="V41" i="77" s="1"/>
  <c r="V46" i="77" s="1"/>
  <c r="R175" i="52"/>
  <c r="BE85" i="2"/>
  <c r="AY85" i="2" s="1"/>
  <c r="J89" i="77" s="1"/>
  <c r="V89" i="77" s="1"/>
  <c r="V94" i="77" s="1"/>
  <c r="R176" i="51"/>
  <c r="BC63" i="2"/>
  <c r="AW63" i="2" s="1"/>
  <c r="H65" i="77" s="1"/>
  <c r="T65" i="77" s="1"/>
  <c r="T70" i="77" s="1"/>
  <c r="R176" i="52"/>
  <c r="BC85" i="2"/>
  <c r="AW85" i="2" s="1"/>
  <c r="H89" i="77" s="1"/>
  <c r="T89" i="77" s="1"/>
  <c r="T94" i="77" s="1"/>
  <c r="J186" i="64"/>
  <c r="H186" i="55"/>
  <c r="J192" i="53"/>
  <c r="J177" i="53"/>
  <c r="H186" i="57"/>
  <c r="H188" i="55"/>
  <c r="J193" i="53"/>
  <c r="J192" i="62"/>
  <c r="H179" i="61"/>
  <c r="J177" i="64"/>
  <c r="J192" i="64"/>
  <c r="H179" i="55"/>
  <c r="H178" i="61"/>
  <c r="H194" i="61"/>
  <c r="H188" i="61"/>
  <c r="I178" i="52"/>
  <c r="I187" i="52"/>
  <c r="I179" i="51"/>
  <c r="H194" i="55"/>
  <c r="I178" i="53"/>
  <c r="I194" i="53"/>
  <c r="H186" i="62"/>
  <c r="H188" i="62"/>
  <c r="H186" i="58"/>
  <c r="H179" i="58"/>
  <c r="I194" i="52"/>
  <c r="H194" i="65"/>
  <c r="H194" i="58"/>
  <c r="H179" i="64"/>
  <c r="I179" i="52"/>
  <c r="H194" i="63"/>
  <c r="H188" i="65"/>
  <c r="H188" i="63"/>
  <c r="H179" i="65"/>
  <c r="H179" i="66"/>
  <c r="J193" i="62"/>
  <c r="J177" i="62"/>
  <c r="H186" i="66"/>
  <c r="I194" i="67"/>
  <c r="H178" i="58"/>
  <c r="H186" i="65"/>
  <c r="I194" i="51"/>
  <c r="I188" i="67"/>
  <c r="H178" i="66"/>
  <c r="I186" i="67"/>
  <c r="I179" i="53"/>
  <c r="I179" i="67"/>
  <c r="H194" i="64"/>
  <c r="I186" i="53"/>
  <c r="I187" i="51"/>
  <c r="I188" i="51"/>
  <c r="L214" i="45"/>
  <c r="L230" i="45" s="1"/>
  <c r="K58" i="67"/>
  <c r="K137" i="67" s="1"/>
  <c r="K144" i="67" s="1"/>
  <c r="K146" i="67" s="1"/>
  <c r="K168" i="67" s="1"/>
  <c r="K246" i="45"/>
  <c r="K262" i="45" s="1"/>
  <c r="J59" i="67"/>
  <c r="J154" i="67" s="1"/>
  <c r="J161" i="67" s="1"/>
  <c r="J163" i="67" s="1"/>
  <c r="J170" i="67" s="1"/>
  <c r="J188" i="67" s="1"/>
  <c r="J245" i="45"/>
  <c r="J261" i="45" s="1"/>
  <c r="I59" i="66"/>
  <c r="I154" i="66" s="1"/>
  <c r="I161" i="66" s="1"/>
  <c r="I163" i="66" s="1"/>
  <c r="I170" i="66" s="1"/>
  <c r="I178" i="66" s="1"/>
  <c r="H194" i="66"/>
  <c r="L213" i="45"/>
  <c r="L229" i="45" s="1"/>
  <c r="K58" i="66"/>
  <c r="K137" i="66" s="1"/>
  <c r="K144" i="66" s="1"/>
  <c r="K146" i="66" s="1"/>
  <c r="K168" i="66" s="1"/>
  <c r="J244" i="45"/>
  <c r="J260" i="45" s="1"/>
  <c r="I59" i="55"/>
  <c r="I154" i="55" s="1"/>
  <c r="I161" i="55" s="1"/>
  <c r="I163" i="55" s="1"/>
  <c r="I170" i="55" s="1"/>
  <c r="I178" i="55" s="1"/>
  <c r="L212" i="45"/>
  <c r="L228" i="45" s="1"/>
  <c r="J243" i="45"/>
  <c r="J259" i="45" s="1"/>
  <c r="I59" i="65"/>
  <c r="I154" i="65" s="1"/>
  <c r="I161" i="65" s="1"/>
  <c r="I163" i="65" s="1"/>
  <c r="I170" i="65" s="1"/>
  <c r="I178" i="65" s="1"/>
  <c r="L211" i="45"/>
  <c r="L227" i="45" s="1"/>
  <c r="J242" i="45"/>
  <c r="J258" i="45" s="1"/>
  <c r="I59" i="58"/>
  <c r="I154" i="58" s="1"/>
  <c r="I161" i="58" s="1"/>
  <c r="I163" i="58" s="1"/>
  <c r="I170" i="58" s="1"/>
  <c r="I186" i="58" s="1"/>
  <c r="L210" i="45"/>
  <c r="L226" i="45" s="1"/>
  <c r="H194" i="57"/>
  <c r="H188" i="57"/>
  <c r="J241" i="45"/>
  <c r="J257" i="45" s="1"/>
  <c r="I59" i="57"/>
  <c r="I154" i="57" s="1"/>
  <c r="I161" i="57" s="1"/>
  <c r="I163" i="57" s="1"/>
  <c r="I170" i="57" s="1"/>
  <c r="I186" i="57" s="1"/>
  <c r="H178" i="57"/>
  <c r="J187" i="57"/>
  <c r="J192" i="57"/>
  <c r="J177" i="57"/>
  <c r="J193" i="57"/>
  <c r="L209" i="45"/>
  <c r="L225" i="45" s="1"/>
  <c r="K58" i="57"/>
  <c r="K137" i="57" s="1"/>
  <c r="K144" i="57" s="1"/>
  <c r="K146" i="57" s="1"/>
  <c r="K168" i="57" s="1"/>
  <c r="L208" i="45"/>
  <c r="L224" i="45" s="1"/>
  <c r="K240" i="45"/>
  <c r="K256" i="45" s="1"/>
  <c r="J59" i="52"/>
  <c r="J154" i="52" s="1"/>
  <c r="J161" i="52" s="1"/>
  <c r="J163" i="52" s="1"/>
  <c r="J170" i="52" s="1"/>
  <c r="J178" i="52" s="1"/>
  <c r="L207" i="45"/>
  <c r="L223" i="45" s="1"/>
  <c r="K57" i="53"/>
  <c r="K137" i="53" s="1"/>
  <c r="K144" i="53" s="1"/>
  <c r="K146" i="53" s="1"/>
  <c r="K168" i="53" s="1"/>
  <c r="K193" i="53" s="1"/>
  <c r="K239" i="45"/>
  <c r="K255" i="45" s="1"/>
  <c r="J58" i="53"/>
  <c r="J154" i="53" s="1"/>
  <c r="J161" i="53" s="1"/>
  <c r="J163" i="53" s="1"/>
  <c r="J170" i="53" s="1"/>
  <c r="J179" i="53" s="1"/>
  <c r="L206" i="45"/>
  <c r="L222" i="45" s="1"/>
  <c r="K238" i="45"/>
  <c r="K254" i="45" s="1"/>
  <c r="J58" i="51"/>
  <c r="J154" i="51" s="1"/>
  <c r="J161" i="51" s="1"/>
  <c r="J163" i="51" s="1"/>
  <c r="J170" i="51" s="1"/>
  <c r="J178" i="51" s="1"/>
  <c r="H178" i="64"/>
  <c r="H187" i="64"/>
  <c r="J237" i="45"/>
  <c r="J253" i="45" s="1"/>
  <c r="I58" i="64"/>
  <c r="I154" i="64" s="1"/>
  <c r="I161" i="64" s="1"/>
  <c r="I163" i="64" s="1"/>
  <c r="I170" i="64" s="1"/>
  <c r="I178" i="64" s="1"/>
  <c r="L205" i="45"/>
  <c r="L221" i="45" s="1"/>
  <c r="K57" i="64"/>
  <c r="K137" i="64" s="1"/>
  <c r="K144" i="64" s="1"/>
  <c r="K146" i="64" s="1"/>
  <c r="K168" i="64" s="1"/>
  <c r="K177" i="64" s="1"/>
  <c r="H179" i="63"/>
  <c r="J236" i="45"/>
  <c r="J252" i="45" s="1"/>
  <c r="I58" i="63"/>
  <c r="I154" i="63" s="1"/>
  <c r="I161" i="63" s="1"/>
  <c r="I163" i="63" s="1"/>
  <c r="I170" i="63" s="1"/>
  <c r="I178" i="63" s="1"/>
  <c r="H178" i="63"/>
  <c r="J193" i="63"/>
  <c r="J177" i="63"/>
  <c r="J187" i="63"/>
  <c r="J192" i="63"/>
  <c r="L204" i="45"/>
  <c r="L220" i="45" s="1"/>
  <c r="K57" i="63"/>
  <c r="K137" i="63" s="1"/>
  <c r="K144" i="63" s="1"/>
  <c r="K146" i="63" s="1"/>
  <c r="K168" i="63" s="1"/>
  <c r="J235" i="45"/>
  <c r="J251" i="45" s="1"/>
  <c r="I58" i="62"/>
  <c r="I154" i="62" s="1"/>
  <c r="I161" i="62" s="1"/>
  <c r="I163" i="62" s="1"/>
  <c r="I170" i="62" s="1"/>
  <c r="I188" i="62" s="1"/>
  <c r="H194" i="62"/>
  <c r="H178" i="62"/>
  <c r="K57" i="62"/>
  <c r="K137" i="62" s="1"/>
  <c r="K144" i="62" s="1"/>
  <c r="K146" i="62" s="1"/>
  <c r="K168" i="62" s="1"/>
  <c r="K193" i="62" s="1"/>
  <c r="L203" i="45"/>
  <c r="L219" i="45" s="1"/>
  <c r="J234" i="45"/>
  <c r="J250" i="45" s="1"/>
  <c r="I58" i="38"/>
  <c r="K57" i="38"/>
  <c r="L202" i="45"/>
  <c r="L218" i="45" s="1"/>
  <c r="J233" i="45"/>
  <c r="J249" i="45" s="1"/>
  <c r="I58" i="61"/>
  <c r="I154" i="61" s="1"/>
  <c r="I161" i="61" s="1"/>
  <c r="I163" i="61" s="1"/>
  <c r="I170" i="61" s="1"/>
  <c r="I178" i="61" s="1"/>
  <c r="L201" i="45"/>
  <c r="L217" i="45" s="1"/>
  <c r="U48" i="64"/>
  <c r="U50" i="64" s="1"/>
  <c r="U119" i="64" s="1"/>
  <c r="U126" i="64" s="1"/>
  <c r="I186" i="61"/>
  <c r="I177" i="61"/>
  <c r="I192" i="61"/>
  <c r="I193" i="61"/>
  <c r="K58" i="55"/>
  <c r="K137" i="55" s="1"/>
  <c r="K144" i="55" s="1"/>
  <c r="K146" i="55" s="1"/>
  <c r="K168" i="55" s="1"/>
  <c r="J57" i="61"/>
  <c r="J137" i="61" s="1"/>
  <c r="J144" i="61" s="1"/>
  <c r="J146" i="61" s="1"/>
  <c r="J168" i="61" s="1"/>
  <c r="J192" i="55"/>
  <c r="J187" i="55"/>
  <c r="J177" i="55"/>
  <c r="J193" i="55"/>
  <c r="K58" i="52"/>
  <c r="K137" i="52" s="1"/>
  <c r="K144" i="52" s="1"/>
  <c r="K146" i="52" s="1"/>
  <c r="K168" i="52" s="1"/>
  <c r="J192" i="52"/>
  <c r="J177" i="52"/>
  <c r="J193" i="52"/>
  <c r="J186" i="52"/>
  <c r="J187" i="67"/>
  <c r="J177" i="67"/>
  <c r="J193" i="67"/>
  <c r="J192" i="67"/>
  <c r="J192" i="66"/>
  <c r="J193" i="66"/>
  <c r="J187" i="66"/>
  <c r="J177" i="66"/>
  <c r="I187" i="65"/>
  <c r="I192" i="65"/>
  <c r="I177" i="65"/>
  <c r="I193" i="65"/>
  <c r="J58" i="58"/>
  <c r="J137" i="58" s="1"/>
  <c r="J144" i="58" s="1"/>
  <c r="J146" i="58" s="1"/>
  <c r="J168" i="58" s="1"/>
  <c r="I186" i="51"/>
  <c r="I193" i="51"/>
  <c r="I177" i="51"/>
  <c r="I192" i="51"/>
  <c r="J58" i="65"/>
  <c r="J137" i="65" s="1"/>
  <c r="J144" i="65" s="1"/>
  <c r="J146" i="65" s="1"/>
  <c r="J168" i="65" s="1"/>
  <c r="I187" i="58"/>
  <c r="I193" i="58"/>
  <c r="I192" i="58"/>
  <c r="I177" i="58"/>
  <c r="J57" i="51"/>
  <c r="J137" i="51" s="1"/>
  <c r="J144" i="51" s="1"/>
  <c r="J146" i="51" s="1"/>
  <c r="J168" i="51" s="1"/>
  <c r="U48" i="63"/>
  <c r="U50" i="63" s="1"/>
  <c r="U119" i="63" s="1"/>
  <c r="U126" i="63" s="1"/>
  <c r="U48" i="58"/>
  <c r="U50" i="58" s="1"/>
  <c r="U48" i="67"/>
  <c r="U50" i="67" s="1"/>
  <c r="Q184" i="58"/>
  <c r="U78" i="64"/>
  <c r="U165" i="64" s="1"/>
  <c r="U183" i="64" s="1"/>
  <c r="U189" i="64" s="1"/>
  <c r="U48" i="66"/>
  <c r="U50" i="66" s="1"/>
  <c r="T171" i="64"/>
  <c r="T183" i="64"/>
  <c r="T189" i="64" s="1"/>
  <c r="U48" i="57"/>
  <c r="U50" i="57" s="1"/>
  <c r="U171" i="63"/>
  <c r="U48" i="65"/>
  <c r="U50" i="65" s="1"/>
  <c r="U183" i="63"/>
  <c r="U189" i="63" s="1"/>
  <c r="V46" i="62"/>
  <c r="V46" i="67"/>
  <c r="V46" i="65"/>
  <c r="V46" i="66"/>
  <c r="V46" i="64"/>
  <c r="V46" i="63"/>
  <c r="V42" i="62"/>
  <c r="V68" i="62" s="1"/>
  <c r="V75" i="62" s="1"/>
  <c r="V78" i="62" s="1"/>
  <c r="V165" i="62" s="1"/>
  <c r="V42" i="67"/>
  <c r="V68" i="67" s="1"/>
  <c r="V75" i="67" s="1"/>
  <c r="V78" i="67" s="1"/>
  <c r="V165" i="67" s="1"/>
  <c r="V42" i="66"/>
  <c r="V68" i="66" s="1"/>
  <c r="V75" i="66" s="1"/>
  <c r="V78" i="66" s="1"/>
  <c r="V165" i="66" s="1"/>
  <c r="V42" i="65"/>
  <c r="V68" i="65" s="1"/>
  <c r="V75" i="65" s="1"/>
  <c r="V78" i="65" s="1"/>
  <c r="V165" i="65" s="1"/>
  <c r="V42" i="64"/>
  <c r="V68" i="64" s="1"/>
  <c r="V75" i="64" s="1"/>
  <c r="V42" i="63"/>
  <c r="V68" i="63" s="1"/>
  <c r="V75" i="63" s="1"/>
  <c r="V78" i="63" s="1"/>
  <c r="V165" i="63" s="1"/>
  <c r="U48" i="51"/>
  <c r="U50" i="51" s="1"/>
  <c r="V49" i="55"/>
  <c r="V49" i="65"/>
  <c r="V49" i="66"/>
  <c r="V49" i="57"/>
  <c r="V49" i="52"/>
  <c r="V49" i="67"/>
  <c r="V49" i="53"/>
  <c r="V49" i="51"/>
  <c r="V49" i="58"/>
  <c r="W44" i="62"/>
  <c r="W102" i="62" s="1"/>
  <c r="W109" i="62" s="1"/>
  <c r="W44" i="66"/>
  <c r="W102" i="66" s="1"/>
  <c r="W109" i="66" s="1"/>
  <c r="W44" i="65"/>
  <c r="W102" i="65" s="1"/>
  <c r="W109" i="65" s="1"/>
  <c r="W44" i="67"/>
  <c r="W102" i="67" s="1"/>
  <c r="W109" i="67" s="1"/>
  <c r="W44" i="64"/>
  <c r="W102" i="64" s="1"/>
  <c r="W109" i="64" s="1"/>
  <c r="W44" i="63"/>
  <c r="W102" i="63" s="1"/>
  <c r="W109" i="63" s="1"/>
  <c r="U48" i="52"/>
  <c r="U50" i="52" s="1"/>
  <c r="U48" i="53"/>
  <c r="U50" i="53" s="1"/>
  <c r="U171" i="67"/>
  <c r="U174" i="67"/>
  <c r="U180" i="67" s="1"/>
  <c r="U183" i="67"/>
  <c r="U189" i="67" s="1"/>
  <c r="V43" i="62"/>
  <c r="V85" i="62" s="1"/>
  <c r="V92" i="62" s="1"/>
  <c r="V95" i="62" s="1"/>
  <c r="V166" i="62" s="1"/>
  <c r="V43" i="67"/>
  <c r="V85" i="67" s="1"/>
  <c r="V92" i="67" s="1"/>
  <c r="V95" i="67" s="1"/>
  <c r="V166" i="67" s="1"/>
  <c r="V43" i="65"/>
  <c r="V85" i="65" s="1"/>
  <c r="V92" i="65" s="1"/>
  <c r="V95" i="65" s="1"/>
  <c r="V166" i="65" s="1"/>
  <c r="V43" i="66"/>
  <c r="V85" i="66" s="1"/>
  <c r="V92" i="66" s="1"/>
  <c r="V95" i="66" s="1"/>
  <c r="V166" i="66" s="1"/>
  <c r="V43" i="63"/>
  <c r="V85" i="63" s="1"/>
  <c r="V92" i="63" s="1"/>
  <c r="V95" i="63" s="1"/>
  <c r="V166" i="63" s="1"/>
  <c r="V43" i="64"/>
  <c r="V85" i="64" s="1"/>
  <c r="V92" i="64" s="1"/>
  <c r="V95" i="64" s="1"/>
  <c r="V166" i="64" s="1"/>
  <c r="U171" i="66"/>
  <c r="U174" i="66"/>
  <c r="U180" i="66" s="1"/>
  <c r="U183" i="66"/>
  <c r="U189" i="66" s="1"/>
  <c r="V53" i="67"/>
  <c r="V53" i="65"/>
  <c r="V53" i="66"/>
  <c r="V53" i="64"/>
  <c r="V53" i="63"/>
  <c r="V52" i="67"/>
  <c r="V52" i="65"/>
  <c r="V52" i="66"/>
  <c r="V52" i="64"/>
  <c r="V52" i="63"/>
  <c r="U48" i="55"/>
  <c r="U50" i="55" s="1"/>
  <c r="U183" i="65"/>
  <c r="U189" i="65" s="1"/>
  <c r="U171" i="65"/>
  <c r="U174" i="65"/>
  <c r="U180" i="65" s="1"/>
  <c r="R129" i="58"/>
  <c r="R169" i="58" s="1"/>
  <c r="BE107" i="2" s="1"/>
  <c r="AY107" i="2" s="1"/>
  <c r="J113" i="77" s="1"/>
  <c r="V113" i="77" s="1"/>
  <c r="V118" i="77" s="1"/>
  <c r="R112" i="58"/>
  <c r="R167" i="58" s="1"/>
  <c r="Q176" i="58"/>
  <c r="S106" i="58"/>
  <c r="S110" i="58" s="1"/>
  <c r="T119" i="62"/>
  <c r="T126" i="62" s="1"/>
  <c r="S157" i="58"/>
  <c r="S150" i="58"/>
  <c r="S162" i="58" s="1"/>
  <c r="S123" i="58"/>
  <c r="S127" i="58" s="1"/>
  <c r="S118" i="58"/>
  <c r="S125" i="58" s="1"/>
  <c r="S116" i="64"/>
  <c r="S128" i="64" s="1"/>
  <c r="S118" i="64"/>
  <c r="S125" i="64" s="1"/>
  <c r="V51" i="62"/>
  <c r="V136" i="62" s="1"/>
  <c r="V143" i="62" s="1"/>
  <c r="V51" i="67"/>
  <c r="V136" i="67" s="1"/>
  <c r="V143" i="67" s="1"/>
  <c r="V51" i="66"/>
  <c r="V136" i="66" s="1"/>
  <c r="V143" i="66" s="1"/>
  <c r="V51" i="65"/>
  <c r="V136" i="65" s="1"/>
  <c r="V143" i="65" s="1"/>
  <c r="V51" i="64"/>
  <c r="V136" i="64" s="1"/>
  <c r="V143" i="64" s="1"/>
  <c r="V51" i="63"/>
  <c r="V136" i="63" s="1"/>
  <c r="V143" i="63" s="1"/>
  <c r="S152" i="64"/>
  <c r="S159" i="64" s="1"/>
  <c r="S150" i="64"/>
  <c r="S162" i="64" s="1"/>
  <c r="Q176" i="66"/>
  <c r="T140" i="58"/>
  <c r="T135" i="53"/>
  <c r="T142" i="53" s="1"/>
  <c r="T140" i="53"/>
  <c r="T149" i="63"/>
  <c r="T150" i="63" s="1"/>
  <c r="T162" i="63" s="1"/>
  <c r="T140" i="61"/>
  <c r="R175" i="63"/>
  <c r="T153" i="63"/>
  <c r="T160" i="63" s="1"/>
  <c r="T153" i="64"/>
  <c r="T160" i="64" s="1"/>
  <c r="U50" i="62"/>
  <c r="U153" i="62" s="1"/>
  <c r="U160" i="62" s="1"/>
  <c r="V49" i="62"/>
  <c r="V49" i="63"/>
  <c r="V49" i="64"/>
  <c r="T119" i="66"/>
  <c r="T126" i="66" s="1"/>
  <c r="T153" i="66"/>
  <c r="T160" i="66" s="1"/>
  <c r="T153" i="67"/>
  <c r="T160" i="67" s="1"/>
  <c r="T119" i="67"/>
  <c r="T126" i="67" s="1"/>
  <c r="T129" i="67" s="1"/>
  <c r="T169" i="67" s="1"/>
  <c r="T153" i="65"/>
  <c r="T160" i="65" s="1"/>
  <c r="T119" i="65"/>
  <c r="T126" i="65" s="1"/>
  <c r="V45" i="62"/>
  <c r="V45" i="67"/>
  <c r="V45" i="66"/>
  <c r="V45" i="65"/>
  <c r="V45" i="63"/>
  <c r="V45" i="64"/>
  <c r="T153" i="61"/>
  <c r="T160" i="61" s="1"/>
  <c r="T133" i="67"/>
  <c r="T145" i="67" s="1"/>
  <c r="T135" i="67"/>
  <c r="T142" i="67" s="1"/>
  <c r="T140" i="67"/>
  <c r="T133" i="51"/>
  <c r="T145" i="51" s="1"/>
  <c r="T135" i="51"/>
  <c r="T142" i="51" s="1"/>
  <c r="T135" i="52"/>
  <c r="T142" i="52" s="1"/>
  <c r="T140" i="52"/>
  <c r="T133" i="52"/>
  <c r="T145" i="52" s="1"/>
  <c r="U135" i="45"/>
  <c r="U132" i="52" s="1"/>
  <c r="U129" i="45"/>
  <c r="U132" i="51" s="1"/>
  <c r="U133" i="51" s="1"/>
  <c r="U134" i="45"/>
  <c r="U132" i="53" s="1"/>
  <c r="U136" i="45"/>
  <c r="U132" i="67" s="1"/>
  <c r="T133" i="53"/>
  <c r="T145" i="53" s="1"/>
  <c r="T133" i="58"/>
  <c r="T145" i="58" s="1"/>
  <c r="S123" i="64"/>
  <c r="S127" i="64" s="1"/>
  <c r="T135" i="61"/>
  <c r="T142" i="61" s="1"/>
  <c r="T157" i="61"/>
  <c r="S112" i="63"/>
  <c r="S167" i="63" s="1"/>
  <c r="S176" i="63" s="1"/>
  <c r="R129" i="65"/>
  <c r="R169" i="65" s="1"/>
  <c r="S175" i="67"/>
  <c r="W157" i="45"/>
  <c r="V55" i="64"/>
  <c r="V69" i="64" s="1"/>
  <c r="V76" i="64" s="1"/>
  <c r="R184" i="67"/>
  <c r="R175" i="67"/>
  <c r="S99" i="58"/>
  <c r="S111" i="58" s="1"/>
  <c r="T149" i="64"/>
  <c r="T157" i="64" s="1"/>
  <c r="T149" i="66"/>
  <c r="S150" i="66"/>
  <c r="S162" i="66" s="1"/>
  <c r="S152" i="66"/>
  <c r="S159" i="66" s="1"/>
  <c r="S157" i="66"/>
  <c r="T133" i="65"/>
  <c r="T145" i="65" s="1"/>
  <c r="T140" i="65"/>
  <c r="T135" i="65"/>
  <c r="T142" i="65" s="1"/>
  <c r="T140" i="63"/>
  <c r="T133" i="63"/>
  <c r="T145" i="63" s="1"/>
  <c r="T135" i="63"/>
  <c r="T142" i="63" s="1"/>
  <c r="S116" i="65"/>
  <c r="S128" i="65" s="1"/>
  <c r="S118" i="65"/>
  <c r="S125" i="65" s="1"/>
  <c r="S123" i="65"/>
  <c r="S127" i="65" s="1"/>
  <c r="T115" i="58"/>
  <c r="T118" i="58" s="1"/>
  <c r="T125" i="58" s="1"/>
  <c r="T115" i="65"/>
  <c r="Q184" i="65"/>
  <c r="Q175" i="65"/>
  <c r="T149" i="58"/>
  <c r="T152" i="58" s="1"/>
  <c r="T159" i="58" s="1"/>
  <c r="T149" i="65"/>
  <c r="U132" i="61"/>
  <c r="U133" i="61" s="1"/>
  <c r="U145" i="61" s="1"/>
  <c r="U132" i="63"/>
  <c r="Q175" i="64"/>
  <c r="Q184" i="64"/>
  <c r="U132" i="58"/>
  <c r="U135" i="58" s="1"/>
  <c r="U142" i="58" s="1"/>
  <c r="U132" i="65"/>
  <c r="R129" i="66"/>
  <c r="R169" i="66" s="1"/>
  <c r="BE140" i="2" s="1"/>
  <c r="AY140" i="2" s="1"/>
  <c r="J149" i="77" s="1"/>
  <c r="V149" i="77" s="1"/>
  <c r="V154" i="77" s="1"/>
  <c r="Q175" i="66"/>
  <c r="Q184" i="66"/>
  <c r="U132" i="66"/>
  <c r="U132" i="64"/>
  <c r="S112" i="67"/>
  <c r="S167" i="67" s="1"/>
  <c r="S176" i="67" s="1"/>
  <c r="R112" i="66"/>
  <c r="R167" i="66" s="1"/>
  <c r="S116" i="66"/>
  <c r="S128" i="66" s="1"/>
  <c r="S123" i="66"/>
  <c r="S127" i="66" s="1"/>
  <c r="S125" i="66"/>
  <c r="T133" i="64"/>
  <c r="T145" i="64" s="1"/>
  <c r="T140" i="64"/>
  <c r="T135" i="64"/>
  <c r="T142" i="64" s="1"/>
  <c r="S150" i="65"/>
  <c r="S162" i="65" s="1"/>
  <c r="S152" i="65"/>
  <c r="S159" i="65" s="1"/>
  <c r="S157" i="65"/>
  <c r="T115" i="64"/>
  <c r="T115" i="66"/>
  <c r="T118" i="66" s="1"/>
  <c r="T150" i="67"/>
  <c r="T162" i="67" s="1"/>
  <c r="T157" i="67"/>
  <c r="T152" i="67"/>
  <c r="T159" i="67" s="1"/>
  <c r="R129" i="64"/>
  <c r="R169" i="64" s="1"/>
  <c r="BE52" i="2" s="1"/>
  <c r="AY52" i="2" s="1"/>
  <c r="J53" i="77" s="1"/>
  <c r="V53" i="77" s="1"/>
  <c r="V58" i="77" s="1"/>
  <c r="T133" i="66"/>
  <c r="T145" i="66" s="1"/>
  <c r="T135" i="66"/>
  <c r="T142" i="66" s="1"/>
  <c r="T140" i="66"/>
  <c r="T98" i="58"/>
  <c r="T106" i="58" s="1"/>
  <c r="T110" i="58" s="1"/>
  <c r="T98" i="65"/>
  <c r="R176" i="63"/>
  <c r="R185" i="63"/>
  <c r="R185" i="67"/>
  <c r="R176" i="67"/>
  <c r="Q176" i="65"/>
  <c r="Q185" i="65"/>
  <c r="T99" i="67"/>
  <c r="T111" i="67" s="1"/>
  <c r="T106" i="67"/>
  <c r="T110" i="67" s="1"/>
  <c r="T101" i="67"/>
  <c r="T108" i="67" s="1"/>
  <c r="S99" i="65"/>
  <c r="S111" i="65" s="1"/>
  <c r="S106" i="65"/>
  <c r="S110" i="65" s="1"/>
  <c r="S101" i="65"/>
  <c r="S108" i="65" s="1"/>
  <c r="T99" i="63"/>
  <c r="T111" i="63" s="1"/>
  <c r="T106" i="63"/>
  <c r="T110" i="63" s="1"/>
  <c r="T101" i="63"/>
  <c r="T108" i="63" s="1"/>
  <c r="T98" i="66"/>
  <c r="T98" i="64"/>
  <c r="R112" i="64"/>
  <c r="R167" i="64" s="1"/>
  <c r="BC52" i="2" s="1"/>
  <c r="AW52" i="2" s="1"/>
  <c r="H53" i="77" s="1"/>
  <c r="T53" i="77" s="1"/>
  <c r="T58" i="77" s="1"/>
  <c r="Q185" i="64"/>
  <c r="Q176" i="64"/>
  <c r="R112" i="65"/>
  <c r="R167" i="65" s="1"/>
  <c r="S99" i="64"/>
  <c r="S111" i="64" s="1"/>
  <c r="S101" i="64"/>
  <c r="S108" i="64" s="1"/>
  <c r="S106" i="64"/>
  <c r="S110" i="64" s="1"/>
  <c r="S99" i="66"/>
  <c r="S111" i="66" s="1"/>
  <c r="S101" i="66"/>
  <c r="S108" i="66" s="1"/>
  <c r="S106" i="66"/>
  <c r="S110" i="66" s="1"/>
  <c r="T150" i="51"/>
  <c r="T162" i="51" s="1"/>
  <c r="T152" i="51"/>
  <c r="T159" i="51" s="1"/>
  <c r="S129" i="63"/>
  <c r="S169" i="63" s="1"/>
  <c r="U123" i="63"/>
  <c r="U127" i="63" s="1"/>
  <c r="U125" i="63"/>
  <c r="U116" i="63"/>
  <c r="U128" i="63" s="1"/>
  <c r="T152" i="61"/>
  <c r="T159" i="61" s="1"/>
  <c r="S150" i="61"/>
  <c r="S162" i="61" s="1"/>
  <c r="S157" i="61"/>
  <c r="S152" i="61"/>
  <c r="S159" i="61" s="1"/>
  <c r="S150" i="63"/>
  <c r="S162" i="63" s="1"/>
  <c r="S152" i="63"/>
  <c r="S159" i="63" s="1"/>
  <c r="S157" i="63"/>
  <c r="T125" i="63"/>
  <c r="T123" i="63"/>
  <c r="T127" i="63" s="1"/>
  <c r="T116" i="63"/>
  <c r="T128" i="63" s="1"/>
  <c r="U171" i="62"/>
  <c r="U143" i="45"/>
  <c r="U183" i="62"/>
  <c r="U189" i="62" s="1"/>
  <c r="S129" i="62"/>
  <c r="S169" i="62" s="1"/>
  <c r="S184" i="62" s="1"/>
  <c r="R184" i="62"/>
  <c r="R175" i="62"/>
  <c r="R185" i="62"/>
  <c r="R176" i="62"/>
  <c r="T140" i="57"/>
  <c r="T142" i="57"/>
  <c r="T133" i="57"/>
  <c r="T145" i="57" s="1"/>
  <c r="V53" i="61"/>
  <c r="V76" i="45"/>
  <c r="V74" i="45"/>
  <c r="V72" i="45"/>
  <c r="V77" i="45"/>
  <c r="V70" i="45"/>
  <c r="V75" i="45"/>
  <c r="V73" i="45"/>
  <c r="V78" i="45"/>
  <c r="V71" i="45"/>
  <c r="V53" i="62"/>
  <c r="V52" i="61"/>
  <c r="V64" i="45"/>
  <c r="V59" i="45"/>
  <c r="V65" i="45"/>
  <c r="V60" i="45"/>
  <c r="V66" i="45"/>
  <c r="V61" i="45"/>
  <c r="V67" i="45"/>
  <c r="V62" i="45"/>
  <c r="V63" i="45"/>
  <c r="V50" i="45"/>
  <c r="V131" i="45" s="1"/>
  <c r="V53" i="45"/>
  <c r="V56" i="45"/>
  <c r="V137" i="45" s="1"/>
  <c r="V48" i="45"/>
  <c r="V51" i="45"/>
  <c r="V132" i="45" s="1"/>
  <c r="V54" i="45"/>
  <c r="V49" i="45"/>
  <c r="V130" i="45" s="1"/>
  <c r="V52" i="45"/>
  <c r="V133" i="45" s="1"/>
  <c r="V55" i="45"/>
  <c r="V52" i="62"/>
  <c r="T116" i="62"/>
  <c r="T128" i="62" s="1"/>
  <c r="T123" i="62"/>
  <c r="T127" i="62" s="1"/>
  <c r="T125" i="62"/>
  <c r="T140" i="62"/>
  <c r="T135" i="62"/>
  <c r="T142" i="62" s="1"/>
  <c r="T133" i="62"/>
  <c r="T145" i="62" s="1"/>
  <c r="U132" i="62"/>
  <c r="U132" i="57"/>
  <c r="U135" i="57" s="1"/>
  <c r="U48" i="61"/>
  <c r="U50" i="61" s="1"/>
  <c r="T99" i="62"/>
  <c r="T111" i="62" s="1"/>
  <c r="T101" i="62"/>
  <c r="T108" i="62" s="1"/>
  <c r="T106" i="62"/>
  <c r="T110" i="62" s="1"/>
  <c r="S112" i="62"/>
  <c r="S167" i="62" s="1"/>
  <c r="T150" i="62"/>
  <c r="T162" i="62" s="1"/>
  <c r="T152" i="62"/>
  <c r="T159" i="62" s="1"/>
  <c r="T157" i="62"/>
  <c r="V42" i="38"/>
  <c r="V42" i="61"/>
  <c r="V68" i="61" s="1"/>
  <c r="V75" i="61" s="1"/>
  <c r="V78" i="61" s="1"/>
  <c r="V165" i="61" s="1"/>
  <c r="V46" i="38"/>
  <c r="V46" i="61"/>
  <c r="S99" i="61"/>
  <c r="S111" i="61" s="1"/>
  <c r="S101" i="61"/>
  <c r="S108" i="61" s="1"/>
  <c r="S106" i="61"/>
  <c r="S110" i="61" s="1"/>
  <c r="R129" i="61"/>
  <c r="R169" i="61" s="1"/>
  <c r="BE8" i="2" s="1"/>
  <c r="AY8" i="2" s="1"/>
  <c r="J5" i="77" s="1"/>
  <c r="V5" i="77" s="1"/>
  <c r="V10" i="77" s="1"/>
  <c r="Q184" i="61"/>
  <c r="Q175" i="61"/>
  <c r="Q176" i="61"/>
  <c r="Q185" i="61"/>
  <c r="T98" i="61"/>
  <c r="S116" i="61"/>
  <c r="S128" i="61" s="1"/>
  <c r="S123" i="61"/>
  <c r="S127" i="61" s="1"/>
  <c r="S125" i="61"/>
  <c r="W44" i="38"/>
  <c r="W44" i="61"/>
  <c r="W102" i="61" s="1"/>
  <c r="W109" i="61" s="1"/>
  <c r="R112" i="61"/>
  <c r="R167" i="61" s="1"/>
  <c r="BC8" i="2" s="1"/>
  <c r="AW8" i="2" s="1"/>
  <c r="H5" i="77" s="1"/>
  <c r="T5" i="77" s="1"/>
  <c r="T10" i="77" s="1"/>
  <c r="V51" i="61"/>
  <c r="V136" i="61" s="1"/>
  <c r="V143" i="61" s="1"/>
  <c r="V51" i="38"/>
  <c r="U183" i="61"/>
  <c r="U189" i="61" s="1"/>
  <c r="U174" i="61"/>
  <c r="U180" i="61" s="1"/>
  <c r="U171" i="61"/>
  <c r="T115" i="61"/>
  <c r="T118" i="61" s="1"/>
  <c r="U115" i="61"/>
  <c r="U118" i="61" s="1"/>
  <c r="V45" i="61"/>
  <c r="V45" i="38"/>
  <c r="V43" i="38"/>
  <c r="V43" i="61"/>
  <c r="V85" i="61" s="1"/>
  <c r="V92" i="61" s="1"/>
  <c r="V95" i="61" s="1"/>
  <c r="V166" i="61" s="1"/>
  <c r="V49" i="61"/>
  <c r="V49" i="38"/>
  <c r="O48" i="38"/>
  <c r="O50" i="38" s="1"/>
  <c r="R185" i="51"/>
  <c r="Q184" i="57"/>
  <c r="U75" i="53"/>
  <c r="U78" i="53" s="1"/>
  <c r="U165" i="53" s="1"/>
  <c r="R112" i="55"/>
  <c r="R167" i="55" s="1"/>
  <c r="R129" i="55"/>
  <c r="R169" i="55" s="1"/>
  <c r="R185" i="52"/>
  <c r="V42" i="58"/>
  <c r="V68" i="58" s="1"/>
  <c r="V42" i="57"/>
  <c r="V68" i="57" s="1"/>
  <c r="V42" i="55"/>
  <c r="V68" i="55" s="1"/>
  <c r="V42" i="53"/>
  <c r="V68" i="53" s="1"/>
  <c r="V42" i="52"/>
  <c r="V68" i="52" s="1"/>
  <c r="V42" i="51"/>
  <c r="V68" i="51" s="1"/>
  <c r="S112" i="51"/>
  <c r="S167" i="51" s="1"/>
  <c r="S185" i="51" s="1"/>
  <c r="Q185" i="55"/>
  <c r="R184" i="52"/>
  <c r="T171" i="52"/>
  <c r="T174" i="52"/>
  <c r="T180" i="52" s="1"/>
  <c r="T183" i="52"/>
  <c r="T189" i="52" s="1"/>
  <c r="V41" i="58"/>
  <c r="V67" i="58" s="1"/>
  <c r="V41" i="57"/>
  <c r="V67" i="57" s="1"/>
  <c r="V41" i="55"/>
  <c r="V67" i="55" s="1"/>
  <c r="V41" i="52"/>
  <c r="V67" i="52" s="1"/>
  <c r="V41" i="53"/>
  <c r="V67" i="53" s="1"/>
  <c r="V41" i="51"/>
  <c r="V67" i="51" s="1"/>
  <c r="V52" i="58"/>
  <c r="V52" i="57"/>
  <c r="V52" i="53"/>
  <c r="V52" i="55"/>
  <c r="V52" i="51"/>
  <c r="V52" i="52"/>
  <c r="V51" i="58"/>
  <c r="V136" i="58" s="1"/>
  <c r="V143" i="58" s="1"/>
  <c r="V51" i="57"/>
  <c r="V136" i="57" s="1"/>
  <c r="V143" i="57" s="1"/>
  <c r="V51" i="53"/>
  <c r="V136" i="53" s="1"/>
  <c r="V143" i="53" s="1"/>
  <c r="V51" i="55"/>
  <c r="V136" i="55" s="1"/>
  <c r="V143" i="55" s="1"/>
  <c r="V51" i="52"/>
  <c r="V136" i="52" s="1"/>
  <c r="V143" i="52" s="1"/>
  <c r="V51" i="51"/>
  <c r="V136" i="51" s="1"/>
  <c r="V143" i="51" s="1"/>
  <c r="T119" i="51"/>
  <c r="T126" i="51" s="1"/>
  <c r="T153" i="51"/>
  <c r="T160" i="51" s="1"/>
  <c r="V43" i="58"/>
  <c r="V85" i="58" s="1"/>
  <c r="V92" i="58" s="1"/>
  <c r="V95" i="58" s="1"/>
  <c r="V166" i="58" s="1"/>
  <c r="V43" i="57"/>
  <c r="V85" i="57" s="1"/>
  <c r="V92" i="57" s="1"/>
  <c r="V95" i="57" s="1"/>
  <c r="V166" i="57" s="1"/>
  <c r="V43" i="55"/>
  <c r="V85" i="55" s="1"/>
  <c r="V92" i="55" s="1"/>
  <c r="V95" i="55" s="1"/>
  <c r="V166" i="55" s="1"/>
  <c r="V43" i="53"/>
  <c r="V85" i="53" s="1"/>
  <c r="V92" i="53" s="1"/>
  <c r="V95" i="53" s="1"/>
  <c r="V166" i="53" s="1"/>
  <c r="V43" i="52"/>
  <c r="V85" i="52" s="1"/>
  <c r="V92" i="52" s="1"/>
  <c r="V95" i="52" s="1"/>
  <c r="V166" i="52" s="1"/>
  <c r="V43" i="51"/>
  <c r="V85" i="51" s="1"/>
  <c r="V92" i="51" s="1"/>
  <c r="V95" i="51" s="1"/>
  <c r="V166" i="51" s="1"/>
  <c r="V46" i="58"/>
  <c r="V46" i="57"/>
  <c r="V46" i="55"/>
  <c r="V46" i="53"/>
  <c r="V46" i="52"/>
  <c r="V46" i="51"/>
  <c r="T119" i="53"/>
  <c r="T126" i="53" s="1"/>
  <c r="T153" i="53"/>
  <c r="T160" i="53" s="1"/>
  <c r="V53" i="58"/>
  <c r="V53" i="57"/>
  <c r="V53" i="53"/>
  <c r="V53" i="55"/>
  <c r="V53" i="52"/>
  <c r="V53" i="51"/>
  <c r="S112" i="52"/>
  <c r="S167" i="52" s="1"/>
  <c r="S185" i="52" s="1"/>
  <c r="T171" i="55"/>
  <c r="T174" i="55"/>
  <c r="T180" i="55" s="1"/>
  <c r="T183" i="55"/>
  <c r="T189" i="55" s="1"/>
  <c r="U75" i="51"/>
  <c r="U78" i="51" s="1"/>
  <c r="U165" i="51" s="1"/>
  <c r="T153" i="57"/>
  <c r="T160" i="57" s="1"/>
  <c r="T119" i="57"/>
  <c r="T126" i="57" s="1"/>
  <c r="T174" i="58"/>
  <c r="T180" i="58" s="1"/>
  <c r="T183" i="58"/>
  <c r="T189" i="58" s="1"/>
  <c r="T171" i="58"/>
  <c r="T171" i="53"/>
  <c r="T183" i="53"/>
  <c r="T189" i="53" s="1"/>
  <c r="T174" i="53"/>
  <c r="T180" i="53" s="1"/>
  <c r="V45" i="57"/>
  <c r="V45" i="55"/>
  <c r="V45" i="53"/>
  <c r="V45" i="58"/>
  <c r="V45" i="52"/>
  <c r="V45" i="51"/>
  <c r="T171" i="51"/>
  <c r="T174" i="51"/>
  <c r="T180" i="51" s="1"/>
  <c r="T183" i="51"/>
  <c r="T189" i="51" s="1"/>
  <c r="T153" i="52"/>
  <c r="T160" i="52" s="1"/>
  <c r="T119" i="52"/>
  <c r="T126" i="52" s="1"/>
  <c r="U75" i="52"/>
  <c r="U78" i="52" s="1"/>
  <c r="U165" i="52" s="1"/>
  <c r="T171" i="57"/>
  <c r="T183" i="57"/>
  <c r="T189" i="57" s="1"/>
  <c r="T174" i="57"/>
  <c r="T180" i="57" s="1"/>
  <c r="T119" i="55"/>
  <c r="T126" i="55" s="1"/>
  <c r="T153" i="55"/>
  <c r="T160" i="55" s="1"/>
  <c r="U75" i="55"/>
  <c r="U78" i="55" s="1"/>
  <c r="U165" i="55" s="1"/>
  <c r="W44" i="58"/>
  <c r="W102" i="58" s="1"/>
  <c r="W109" i="58" s="1"/>
  <c r="W44" i="57"/>
  <c r="W102" i="57" s="1"/>
  <c r="W109" i="57" s="1"/>
  <c r="W44" i="55"/>
  <c r="W102" i="55" s="1"/>
  <c r="W109" i="55" s="1"/>
  <c r="W44" i="53"/>
  <c r="W102" i="53" s="1"/>
  <c r="W109" i="53" s="1"/>
  <c r="W44" i="52"/>
  <c r="W102" i="52" s="1"/>
  <c r="W109" i="52" s="1"/>
  <c r="W44" i="51"/>
  <c r="W102" i="51" s="1"/>
  <c r="W109" i="51" s="1"/>
  <c r="U75" i="57"/>
  <c r="U78" i="57" s="1"/>
  <c r="U165" i="57" s="1"/>
  <c r="S129" i="51"/>
  <c r="S169" i="51" s="1"/>
  <c r="S184" i="51" s="1"/>
  <c r="T153" i="58"/>
  <c r="T160" i="58" s="1"/>
  <c r="T119" i="58"/>
  <c r="T126" i="58" s="1"/>
  <c r="U75" i="58"/>
  <c r="U78" i="58" s="1"/>
  <c r="U165" i="58" s="1"/>
  <c r="S150" i="57"/>
  <c r="S162" i="57" s="1"/>
  <c r="S159" i="57"/>
  <c r="S157" i="57"/>
  <c r="T99" i="52"/>
  <c r="T111" i="52" s="1"/>
  <c r="T106" i="52"/>
  <c r="T110" i="52" s="1"/>
  <c r="T101" i="52"/>
  <c r="T108" i="52" s="1"/>
  <c r="S150" i="55"/>
  <c r="S162" i="55" s="1"/>
  <c r="S157" i="55"/>
  <c r="S159" i="55"/>
  <c r="S99" i="57"/>
  <c r="S111" i="57" s="1"/>
  <c r="S106" i="57"/>
  <c r="S110" i="57" s="1"/>
  <c r="S101" i="57"/>
  <c r="S108" i="57" s="1"/>
  <c r="T133" i="55"/>
  <c r="T145" i="55" s="1"/>
  <c r="T140" i="55"/>
  <c r="T142" i="55"/>
  <c r="R112" i="57"/>
  <c r="R167" i="57" s="1"/>
  <c r="T150" i="53"/>
  <c r="T162" i="53" s="1"/>
  <c r="T159" i="53"/>
  <c r="T157" i="53"/>
  <c r="T98" i="38"/>
  <c r="T98" i="55"/>
  <c r="U132" i="38"/>
  <c r="U135" i="38" s="1"/>
  <c r="U132" i="55"/>
  <c r="U135" i="55" s="1"/>
  <c r="Q184" i="55"/>
  <c r="Q175" i="55"/>
  <c r="T99" i="53"/>
  <c r="T111" i="53" s="1"/>
  <c r="T106" i="53"/>
  <c r="T110" i="53" s="1"/>
  <c r="T101" i="53"/>
  <c r="T108" i="53" s="1"/>
  <c r="T116" i="51"/>
  <c r="T128" i="51" s="1"/>
  <c r="T118" i="51"/>
  <c r="T125" i="51" s="1"/>
  <c r="T123" i="51"/>
  <c r="T127" i="51" s="1"/>
  <c r="T149" i="38"/>
  <c r="T152" i="38" s="1"/>
  <c r="T149" i="55"/>
  <c r="T152" i="55" s="1"/>
  <c r="R129" i="57"/>
  <c r="R169" i="57" s="1"/>
  <c r="T98" i="57"/>
  <c r="T115" i="38"/>
  <c r="T118" i="38" s="1"/>
  <c r="T115" i="55"/>
  <c r="R175" i="53"/>
  <c r="R184" i="53"/>
  <c r="S112" i="53"/>
  <c r="S167" i="53" s="1"/>
  <c r="R176" i="53"/>
  <c r="R185" i="53"/>
  <c r="T116" i="52"/>
  <c r="T128" i="52" s="1"/>
  <c r="T123" i="52"/>
  <c r="T127" i="52" s="1"/>
  <c r="T118" i="52"/>
  <c r="T125" i="52" s="1"/>
  <c r="T150" i="52"/>
  <c r="T162" i="52" s="1"/>
  <c r="T157" i="52"/>
  <c r="T159" i="52"/>
  <c r="S129" i="53"/>
  <c r="S169" i="53" s="1"/>
  <c r="S99" i="55"/>
  <c r="S111" i="55" s="1"/>
  <c r="S106" i="55"/>
  <c r="S110" i="55" s="1"/>
  <c r="S101" i="55"/>
  <c r="S108" i="55" s="1"/>
  <c r="T115" i="57"/>
  <c r="S116" i="57"/>
  <c r="S128" i="57" s="1"/>
  <c r="S123" i="57"/>
  <c r="S127" i="57" s="1"/>
  <c r="S118" i="57"/>
  <c r="S125" i="57" s="1"/>
  <c r="T149" i="57"/>
  <c r="T152" i="57" s="1"/>
  <c r="Q185" i="57"/>
  <c r="Q176" i="57"/>
  <c r="T99" i="51"/>
  <c r="T111" i="51" s="1"/>
  <c r="T106" i="51"/>
  <c r="T110" i="51" s="1"/>
  <c r="T101" i="51"/>
  <c r="T108" i="51" s="1"/>
  <c r="T116" i="53"/>
  <c r="T128" i="53" s="1"/>
  <c r="T118" i="53"/>
  <c r="T125" i="53" s="1"/>
  <c r="T123" i="53"/>
  <c r="T127" i="53" s="1"/>
  <c r="S129" i="52"/>
  <c r="S169" i="52" s="1"/>
  <c r="S116" i="55"/>
  <c r="S128" i="55" s="1"/>
  <c r="S123" i="55"/>
  <c r="S127" i="55" s="1"/>
  <c r="S118" i="55"/>
  <c r="S125" i="55" s="1"/>
  <c r="T140" i="51"/>
  <c r="T157" i="51"/>
  <c r="W156" i="45"/>
  <c r="W55" i="63" s="1"/>
  <c r="W69" i="63" s="1"/>
  <c r="W76" i="63" s="1"/>
  <c r="U145" i="45"/>
  <c r="W155" i="45"/>
  <c r="W55" i="62" s="1"/>
  <c r="W69" i="62" s="1"/>
  <c r="W76" i="62" s="1"/>
  <c r="U146" i="45"/>
  <c r="U149" i="62" s="1"/>
  <c r="U148" i="45"/>
  <c r="U149" i="52" s="1"/>
  <c r="U152" i="52" s="1"/>
  <c r="U150" i="45"/>
  <c r="U149" i="45"/>
  <c r="U149" i="67" s="1"/>
  <c r="U147" i="45"/>
  <c r="U149" i="53" s="1"/>
  <c r="U152" i="53" s="1"/>
  <c r="U144" i="45"/>
  <c r="U142" i="45"/>
  <c r="U149" i="51" s="1"/>
  <c r="W154" i="45"/>
  <c r="V55" i="38"/>
  <c r="U122" i="45"/>
  <c r="U115" i="53" s="1"/>
  <c r="U119" i="45"/>
  <c r="U125" i="45"/>
  <c r="U117" i="45"/>
  <c r="U115" i="51" s="1"/>
  <c r="U123" i="45"/>
  <c r="U115" i="52" s="1"/>
  <c r="U124" i="45"/>
  <c r="U115" i="67" s="1"/>
  <c r="U118" i="67" s="1"/>
  <c r="V116" i="45"/>
  <c r="V125" i="45" s="1"/>
  <c r="V140" i="45"/>
  <c r="U120" i="45"/>
  <c r="U121" i="45"/>
  <c r="U115" i="62" s="1"/>
  <c r="U118" i="62" s="1"/>
  <c r="W39" i="45"/>
  <c r="W38" i="45"/>
  <c r="W40" i="45"/>
  <c r="W27" i="45"/>
  <c r="W28" i="45"/>
  <c r="W29" i="45"/>
  <c r="U111" i="45"/>
  <c r="U98" i="52" s="1"/>
  <c r="U108" i="45"/>
  <c r="U109" i="45"/>
  <c r="U98" i="62" s="1"/>
  <c r="U105" i="45"/>
  <c r="U98" i="51" s="1"/>
  <c r="U106" i="45"/>
  <c r="U98" i="63" s="1"/>
  <c r="U110" i="45"/>
  <c r="U98" i="53" s="1"/>
  <c r="U107" i="45"/>
  <c r="V103" i="45"/>
  <c r="V104" i="45"/>
  <c r="U113" i="45"/>
  <c r="U112" i="45"/>
  <c r="U98" i="67" s="1"/>
  <c r="W23" i="45"/>
  <c r="W14" i="45"/>
  <c r="W20" i="45"/>
  <c r="V53" i="38"/>
  <c r="W21" i="45"/>
  <c r="W5" i="45"/>
  <c r="X6" i="45"/>
  <c r="W12" i="45"/>
  <c r="W4" i="45"/>
  <c r="W19" i="45"/>
  <c r="V52" i="38"/>
  <c r="R175" i="55" l="1"/>
  <c r="BE129" i="2"/>
  <c r="AY129" i="2" s="1"/>
  <c r="J137" i="77" s="1"/>
  <c r="V137" i="77" s="1"/>
  <c r="V142" i="77" s="1"/>
  <c r="BE118" i="2"/>
  <c r="BC118" i="2"/>
  <c r="BE96" i="2"/>
  <c r="BC96" i="2"/>
  <c r="R185" i="66"/>
  <c r="BC140" i="2"/>
  <c r="AW140" i="2" s="1"/>
  <c r="H149" i="77" s="1"/>
  <c r="T149" i="77" s="1"/>
  <c r="T154" i="77" s="1"/>
  <c r="R176" i="58"/>
  <c r="BC107" i="2"/>
  <c r="AW107" i="2" s="1"/>
  <c r="H113" i="77" s="1"/>
  <c r="T113" i="77" s="1"/>
  <c r="T118" i="77" s="1"/>
  <c r="R176" i="55"/>
  <c r="BC129" i="2"/>
  <c r="AW129" i="2" s="1"/>
  <c r="H137" i="77" s="1"/>
  <c r="T137" i="77" s="1"/>
  <c r="T142" i="77" s="1"/>
  <c r="BB118" i="2"/>
  <c r="BA118" i="2"/>
  <c r="BA96" i="2"/>
  <c r="BB96" i="2"/>
  <c r="V48" i="64"/>
  <c r="V50" i="64" s="1"/>
  <c r="V153" i="64" s="1"/>
  <c r="V160" i="64" s="1"/>
  <c r="K186" i="64"/>
  <c r="K187" i="53"/>
  <c r="K192" i="53"/>
  <c r="K177" i="53"/>
  <c r="K193" i="64"/>
  <c r="I188" i="66"/>
  <c r="I178" i="58"/>
  <c r="I179" i="62"/>
  <c r="J194" i="52"/>
  <c r="J187" i="52"/>
  <c r="J179" i="52"/>
  <c r="J188" i="52"/>
  <c r="I194" i="66"/>
  <c r="I186" i="66"/>
  <c r="I179" i="58"/>
  <c r="I188" i="58"/>
  <c r="I179" i="66"/>
  <c r="J178" i="67"/>
  <c r="I188" i="57"/>
  <c r="J186" i="67"/>
  <c r="I178" i="57"/>
  <c r="I194" i="57"/>
  <c r="I179" i="57"/>
  <c r="I194" i="55"/>
  <c r="J194" i="67"/>
  <c r="I188" i="63"/>
  <c r="J186" i="53"/>
  <c r="I186" i="55"/>
  <c r="J178" i="53"/>
  <c r="J188" i="53"/>
  <c r="I194" i="64"/>
  <c r="I187" i="64"/>
  <c r="I186" i="63"/>
  <c r="I194" i="62"/>
  <c r="I178" i="62"/>
  <c r="I179" i="63"/>
  <c r="I194" i="61"/>
  <c r="I179" i="61"/>
  <c r="J179" i="67"/>
  <c r="I188" i="55"/>
  <c r="I179" i="64"/>
  <c r="I186" i="62"/>
  <c r="I179" i="55"/>
  <c r="J194" i="53"/>
  <c r="I188" i="64"/>
  <c r="I194" i="65"/>
  <c r="I194" i="63"/>
  <c r="I188" i="65"/>
  <c r="I179" i="65"/>
  <c r="I186" i="65"/>
  <c r="I188" i="61"/>
  <c r="I187" i="61"/>
  <c r="K192" i="64"/>
  <c r="I194" i="58"/>
  <c r="J194" i="51"/>
  <c r="J188" i="51"/>
  <c r="J179" i="51"/>
  <c r="J187" i="51"/>
  <c r="L246" i="45"/>
  <c r="L262" i="45" s="1"/>
  <c r="K59" i="67"/>
  <c r="H79" i="67" s="1"/>
  <c r="M214" i="45"/>
  <c r="M230" i="45" s="1"/>
  <c r="L58" i="66"/>
  <c r="L137" i="66" s="1"/>
  <c r="L144" i="66" s="1"/>
  <c r="L146" i="66" s="1"/>
  <c r="L168" i="66" s="1"/>
  <c r="M213" i="45"/>
  <c r="M229" i="45" s="1"/>
  <c r="K245" i="45"/>
  <c r="K261" i="45" s="1"/>
  <c r="J59" i="66"/>
  <c r="J154" i="66" s="1"/>
  <c r="J161" i="66" s="1"/>
  <c r="J163" i="66" s="1"/>
  <c r="J170" i="66" s="1"/>
  <c r="J194" i="66" s="1"/>
  <c r="M212" i="45"/>
  <c r="M228" i="45" s="1"/>
  <c r="K244" i="45"/>
  <c r="K260" i="45" s="1"/>
  <c r="J59" i="55"/>
  <c r="J154" i="55" s="1"/>
  <c r="J161" i="55" s="1"/>
  <c r="J163" i="55" s="1"/>
  <c r="J170" i="55" s="1"/>
  <c r="J179" i="55" s="1"/>
  <c r="M211" i="45"/>
  <c r="M227" i="45" s="1"/>
  <c r="K243" i="45"/>
  <c r="K259" i="45" s="1"/>
  <c r="J59" i="65"/>
  <c r="J154" i="65" s="1"/>
  <c r="J161" i="65" s="1"/>
  <c r="J163" i="65" s="1"/>
  <c r="J170" i="65" s="1"/>
  <c r="J178" i="65" s="1"/>
  <c r="M210" i="45"/>
  <c r="M226" i="45" s="1"/>
  <c r="K242" i="45"/>
  <c r="K258" i="45" s="1"/>
  <c r="J59" i="58"/>
  <c r="J154" i="58" s="1"/>
  <c r="J161" i="58" s="1"/>
  <c r="J163" i="58" s="1"/>
  <c r="J170" i="58" s="1"/>
  <c r="J179" i="58" s="1"/>
  <c r="K177" i="57"/>
  <c r="K192" i="57"/>
  <c r="K187" i="57"/>
  <c r="K193" i="57"/>
  <c r="M209" i="45"/>
  <c r="M225" i="45" s="1"/>
  <c r="L58" i="57"/>
  <c r="L137" i="57" s="1"/>
  <c r="L144" i="57" s="1"/>
  <c r="L146" i="57" s="1"/>
  <c r="L168" i="57" s="1"/>
  <c r="K241" i="45"/>
  <c r="K257" i="45" s="1"/>
  <c r="J59" i="57"/>
  <c r="J154" i="57" s="1"/>
  <c r="J161" i="57" s="1"/>
  <c r="J163" i="57" s="1"/>
  <c r="J170" i="57" s="1"/>
  <c r="J178" i="57" s="1"/>
  <c r="L240" i="45"/>
  <c r="L256" i="45" s="1"/>
  <c r="K59" i="52"/>
  <c r="K154" i="52" s="1"/>
  <c r="K161" i="52" s="1"/>
  <c r="K163" i="52" s="1"/>
  <c r="K170" i="52" s="1"/>
  <c r="M208" i="45"/>
  <c r="M224" i="45" s="1"/>
  <c r="L58" i="52"/>
  <c r="L137" i="52" s="1"/>
  <c r="L144" i="52" s="1"/>
  <c r="L146" i="52" s="1"/>
  <c r="L168" i="52" s="1"/>
  <c r="L239" i="45"/>
  <c r="L255" i="45" s="1"/>
  <c r="K58" i="53"/>
  <c r="K154" i="53" s="1"/>
  <c r="K161" i="53" s="1"/>
  <c r="K163" i="53" s="1"/>
  <c r="K170" i="53" s="1"/>
  <c r="M207" i="45"/>
  <c r="M223" i="45" s="1"/>
  <c r="L57" i="53"/>
  <c r="L137" i="53" s="1"/>
  <c r="L144" i="53" s="1"/>
  <c r="L146" i="53" s="1"/>
  <c r="L168" i="53" s="1"/>
  <c r="L177" i="53" s="1"/>
  <c r="L238" i="45"/>
  <c r="L254" i="45" s="1"/>
  <c r="K58" i="51"/>
  <c r="K154" i="51" s="1"/>
  <c r="K161" i="51" s="1"/>
  <c r="K163" i="51" s="1"/>
  <c r="K170" i="51" s="1"/>
  <c r="M206" i="45"/>
  <c r="M222" i="45" s="1"/>
  <c r="M205" i="45"/>
  <c r="M221" i="45" s="1"/>
  <c r="L57" i="64"/>
  <c r="L137" i="64" s="1"/>
  <c r="L144" i="64" s="1"/>
  <c r="L146" i="64" s="1"/>
  <c r="L168" i="64" s="1"/>
  <c r="L192" i="64" s="1"/>
  <c r="K237" i="45"/>
  <c r="K253" i="45" s="1"/>
  <c r="J58" i="64"/>
  <c r="J154" i="64" s="1"/>
  <c r="J161" i="64" s="1"/>
  <c r="J163" i="64" s="1"/>
  <c r="J170" i="64" s="1"/>
  <c r="J187" i="64" s="1"/>
  <c r="K177" i="63"/>
  <c r="K187" i="63"/>
  <c r="K193" i="63"/>
  <c r="K192" i="63"/>
  <c r="L57" i="63"/>
  <c r="L137" i="63" s="1"/>
  <c r="L144" i="63" s="1"/>
  <c r="L146" i="63" s="1"/>
  <c r="L168" i="63" s="1"/>
  <c r="M204" i="45"/>
  <c r="M220" i="45" s="1"/>
  <c r="K236" i="45"/>
  <c r="K252" i="45" s="1"/>
  <c r="J58" i="63"/>
  <c r="J154" i="63" s="1"/>
  <c r="J161" i="63" s="1"/>
  <c r="J163" i="63" s="1"/>
  <c r="J170" i="63" s="1"/>
  <c r="J188" i="63" s="1"/>
  <c r="M203" i="45"/>
  <c r="M219" i="45" s="1"/>
  <c r="L57" i="62"/>
  <c r="L137" i="62" s="1"/>
  <c r="L144" i="62" s="1"/>
  <c r="L146" i="62" s="1"/>
  <c r="L168" i="62" s="1"/>
  <c r="L192" i="62" s="1"/>
  <c r="K177" i="62"/>
  <c r="K187" i="62"/>
  <c r="K192" i="62"/>
  <c r="K235" i="45"/>
  <c r="K251" i="45" s="1"/>
  <c r="J58" i="62"/>
  <c r="J154" i="62" s="1"/>
  <c r="J161" i="62" s="1"/>
  <c r="J163" i="62" s="1"/>
  <c r="J170" i="62" s="1"/>
  <c r="J188" i="62" s="1"/>
  <c r="M202" i="45"/>
  <c r="M218" i="45" s="1"/>
  <c r="L57" i="38"/>
  <c r="K234" i="45"/>
  <c r="K250" i="45" s="1"/>
  <c r="J58" i="38"/>
  <c r="M201" i="45"/>
  <c r="M217" i="45" s="1"/>
  <c r="K233" i="45"/>
  <c r="K249" i="45" s="1"/>
  <c r="J58" i="61"/>
  <c r="J154" i="61" s="1"/>
  <c r="J161" i="61" s="1"/>
  <c r="J163" i="61" s="1"/>
  <c r="J170" i="61" s="1"/>
  <c r="J179" i="61" s="1"/>
  <c r="V48" i="67"/>
  <c r="V50" i="67" s="1"/>
  <c r="V48" i="62"/>
  <c r="V50" i="62" s="1"/>
  <c r="V119" i="62" s="1"/>
  <c r="V126" i="62" s="1"/>
  <c r="K58" i="65"/>
  <c r="K137" i="65" s="1"/>
  <c r="K144" i="65" s="1"/>
  <c r="K146" i="65" s="1"/>
  <c r="K168" i="65" s="1"/>
  <c r="K192" i="66"/>
  <c r="K187" i="66"/>
  <c r="K177" i="66"/>
  <c r="K193" i="66"/>
  <c r="L58" i="67"/>
  <c r="L137" i="67" s="1"/>
  <c r="L144" i="67" s="1"/>
  <c r="L146" i="67" s="1"/>
  <c r="L168" i="67" s="1"/>
  <c r="J177" i="61"/>
  <c r="J193" i="61"/>
  <c r="J192" i="61"/>
  <c r="J186" i="61"/>
  <c r="J192" i="65"/>
  <c r="J177" i="65"/>
  <c r="J187" i="65"/>
  <c r="J193" i="65"/>
  <c r="K177" i="67"/>
  <c r="K192" i="67"/>
  <c r="K187" i="67"/>
  <c r="K193" i="67"/>
  <c r="K57" i="61"/>
  <c r="K137" i="61" s="1"/>
  <c r="K144" i="61" s="1"/>
  <c r="K146" i="61" s="1"/>
  <c r="K168" i="61" s="1"/>
  <c r="L58" i="55"/>
  <c r="L137" i="55" s="1"/>
  <c r="L144" i="55" s="1"/>
  <c r="L146" i="55" s="1"/>
  <c r="L168" i="55" s="1"/>
  <c r="K187" i="55"/>
  <c r="K192" i="55"/>
  <c r="K177" i="55"/>
  <c r="K193" i="55"/>
  <c r="K57" i="51"/>
  <c r="K137" i="51" s="1"/>
  <c r="K144" i="51" s="1"/>
  <c r="K146" i="51" s="1"/>
  <c r="K168" i="51" s="1"/>
  <c r="K58" i="58"/>
  <c r="K137" i="58" s="1"/>
  <c r="K144" i="58" s="1"/>
  <c r="K146" i="58" s="1"/>
  <c r="K168" i="58" s="1"/>
  <c r="J192" i="51"/>
  <c r="J193" i="51"/>
  <c r="J177" i="51"/>
  <c r="J186" i="51"/>
  <c r="J187" i="58"/>
  <c r="J177" i="58"/>
  <c r="J192" i="58"/>
  <c r="J193" i="58"/>
  <c r="K186" i="52"/>
  <c r="K192" i="52"/>
  <c r="K177" i="52"/>
  <c r="K193" i="52"/>
  <c r="V48" i="66"/>
  <c r="V50" i="66" s="1"/>
  <c r="V48" i="52"/>
  <c r="V50" i="52" s="1"/>
  <c r="V48" i="65"/>
  <c r="V50" i="65" s="1"/>
  <c r="U171" i="64"/>
  <c r="U174" i="64"/>
  <c r="U180" i="64" s="1"/>
  <c r="R185" i="58"/>
  <c r="V78" i="64"/>
  <c r="V165" i="64" s="1"/>
  <c r="V171" i="64" s="1"/>
  <c r="T157" i="63"/>
  <c r="R175" i="58"/>
  <c r="R184" i="58"/>
  <c r="V171" i="63"/>
  <c r="V183" i="63"/>
  <c r="V189" i="63" s="1"/>
  <c r="V174" i="63"/>
  <c r="V180" i="63" s="1"/>
  <c r="V48" i="51"/>
  <c r="V50" i="51" s="1"/>
  <c r="V48" i="63"/>
  <c r="V50" i="63" s="1"/>
  <c r="V119" i="63" s="1"/>
  <c r="V126" i="63" s="1"/>
  <c r="V48" i="61"/>
  <c r="V50" i="61" s="1"/>
  <c r="V153" i="61" s="1"/>
  <c r="V160" i="61" s="1"/>
  <c r="V48" i="58"/>
  <c r="V50" i="58" s="1"/>
  <c r="W42" i="62"/>
  <c r="W68" i="62" s="1"/>
  <c r="W75" i="62" s="1"/>
  <c r="W78" i="62" s="1"/>
  <c r="W165" i="62" s="1"/>
  <c r="BN30" i="2" s="1"/>
  <c r="W42" i="67"/>
  <c r="W68" i="67" s="1"/>
  <c r="W75" i="67" s="1"/>
  <c r="W78" i="67" s="1"/>
  <c r="W165" i="67" s="1"/>
  <c r="BN151" i="2" s="1"/>
  <c r="W42" i="66"/>
  <c r="W68" i="66" s="1"/>
  <c r="W75" i="66" s="1"/>
  <c r="W78" i="66" s="1"/>
  <c r="W165" i="66" s="1"/>
  <c r="BN140" i="2" s="1"/>
  <c r="W42" i="65"/>
  <c r="W68" i="65" s="1"/>
  <c r="W75" i="65" s="1"/>
  <c r="W78" i="65" s="1"/>
  <c r="W165" i="65" s="1"/>
  <c r="W42" i="64"/>
  <c r="W68" i="64" s="1"/>
  <c r="W75" i="64" s="1"/>
  <c r="W42" i="63"/>
  <c r="W68" i="63" s="1"/>
  <c r="W75" i="63" s="1"/>
  <c r="W78" i="63" s="1"/>
  <c r="W165" i="63" s="1"/>
  <c r="BN41" i="2" s="1"/>
  <c r="W46" i="62"/>
  <c r="W46" i="65"/>
  <c r="W46" i="66"/>
  <c r="W46" i="67"/>
  <c r="W46" i="64"/>
  <c r="W46" i="63"/>
  <c r="V48" i="53"/>
  <c r="V50" i="53" s="1"/>
  <c r="V171" i="66"/>
  <c r="V174" i="66"/>
  <c r="V180" i="66" s="1"/>
  <c r="V183" i="66"/>
  <c r="V189" i="66" s="1"/>
  <c r="W52" i="67"/>
  <c r="W52" i="65"/>
  <c r="W52" i="66"/>
  <c r="W52" i="64"/>
  <c r="W52" i="63"/>
  <c r="V48" i="55"/>
  <c r="V50" i="55" s="1"/>
  <c r="W49" i="66"/>
  <c r="W49" i="58"/>
  <c r="W49" i="57"/>
  <c r="W49" i="65"/>
  <c r="W49" i="52"/>
  <c r="W49" i="51"/>
  <c r="W49" i="67"/>
  <c r="W49" i="55"/>
  <c r="W49" i="53"/>
  <c r="V48" i="57"/>
  <c r="V50" i="57" s="1"/>
  <c r="V174" i="67"/>
  <c r="V180" i="67" s="1"/>
  <c r="V183" i="67"/>
  <c r="V189" i="67" s="1"/>
  <c r="V171" i="67"/>
  <c r="W53" i="67"/>
  <c r="W53" i="65"/>
  <c r="W53" i="66"/>
  <c r="W53" i="64"/>
  <c r="W53" i="63"/>
  <c r="X44" i="62"/>
  <c r="X102" i="62" s="1"/>
  <c r="X109" i="62" s="1"/>
  <c r="X44" i="66"/>
  <c r="X102" i="66" s="1"/>
  <c r="X109" i="66" s="1"/>
  <c r="X44" i="65"/>
  <c r="X102" i="65" s="1"/>
  <c r="X109" i="65" s="1"/>
  <c r="X44" i="67"/>
  <c r="X102" i="67" s="1"/>
  <c r="X109" i="67" s="1"/>
  <c r="X44" i="64"/>
  <c r="X102" i="64" s="1"/>
  <c r="X109" i="64" s="1"/>
  <c r="X44" i="63"/>
  <c r="X102" i="63" s="1"/>
  <c r="X109" i="63" s="1"/>
  <c r="W43" i="62"/>
  <c r="W85" i="62" s="1"/>
  <c r="W92" i="62" s="1"/>
  <c r="W95" i="62" s="1"/>
  <c r="W166" i="62" s="1"/>
  <c r="BO30" i="2" s="1"/>
  <c r="W43" i="67"/>
  <c r="W85" i="67" s="1"/>
  <c r="W92" i="67" s="1"/>
  <c r="W95" i="67" s="1"/>
  <c r="W166" i="67" s="1"/>
  <c r="BO151" i="2" s="1"/>
  <c r="W43" i="65"/>
  <c r="W85" i="65" s="1"/>
  <c r="W92" i="65" s="1"/>
  <c r="W95" i="65" s="1"/>
  <c r="W166" i="65" s="1"/>
  <c r="W43" i="66"/>
  <c r="W85" i="66" s="1"/>
  <c r="W92" i="66" s="1"/>
  <c r="W95" i="66" s="1"/>
  <c r="W166" i="66" s="1"/>
  <c r="BO140" i="2" s="1"/>
  <c r="W43" i="63"/>
  <c r="W85" i="63" s="1"/>
  <c r="W92" i="63" s="1"/>
  <c r="W95" i="63" s="1"/>
  <c r="W166" i="63" s="1"/>
  <c r="BO41" i="2" s="1"/>
  <c r="W43" i="64"/>
  <c r="W85" i="64" s="1"/>
  <c r="W92" i="64" s="1"/>
  <c r="W95" i="64" s="1"/>
  <c r="W166" i="64" s="1"/>
  <c r="BO52" i="2" s="1"/>
  <c r="V171" i="65"/>
  <c r="V174" i="65"/>
  <c r="V180" i="65" s="1"/>
  <c r="V183" i="65"/>
  <c r="V189" i="65" s="1"/>
  <c r="S112" i="58"/>
  <c r="S167" i="58" s="1"/>
  <c r="S176" i="58" s="1"/>
  <c r="S129" i="58"/>
  <c r="S169" i="58" s="1"/>
  <c r="S184" i="58" s="1"/>
  <c r="T157" i="58"/>
  <c r="T116" i="58"/>
  <c r="T128" i="58" s="1"/>
  <c r="T123" i="58"/>
  <c r="T127" i="58" s="1"/>
  <c r="S185" i="67"/>
  <c r="S129" i="64"/>
  <c r="S169" i="64" s="1"/>
  <c r="S184" i="64" s="1"/>
  <c r="T123" i="64"/>
  <c r="T127" i="64" s="1"/>
  <c r="T118" i="64"/>
  <c r="T125" i="64" s="1"/>
  <c r="W51" i="62"/>
  <c r="W136" i="62" s="1"/>
  <c r="W143" i="62" s="1"/>
  <c r="W51" i="67"/>
  <c r="W136" i="67" s="1"/>
  <c r="W143" i="67" s="1"/>
  <c r="W51" i="66"/>
  <c r="W136" i="66" s="1"/>
  <c r="W143" i="66" s="1"/>
  <c r="W51" i="65"/>
  <c r="W136" i="65" s="1"/>
  <c r="W143" i="65" s="1"/>
  <c r="W51" i="64"/>
  <c r="W136" i="64" s="1"/>
  <c r="W143" i="64" s="1"/>
  <c r="W51" i="63"/>
  <c r="W136" i="63" s="1"/>
  <c r="W143" i="63" s="1"/>
  <c r="T152" i="63"/>
  <c r="T159" i="63" s="1"/>
  <c r="T152" i="64"/>
  <c r="T159" i="64" s="1"/>
  <c r="T150" i="64"/>
  <c r="T162" i="64" s="1"/>
  <c r="U119" i="62"/>
  <c r="U126" i="62" s="1"/>
  <c r="U153" i="63"/>
  <c r="U160" i="63" s="1"/>
  <c r="U153" i="64"/>
  <c r="U160" i="64" s="1"/>
  <c r="W49" i="62"/>
  <c r="W49" i="64"/>
  <c r="W49" i="63"/>
  <c r="R184" i="65"/>
  <c r="U153" i="67"/>
  <c r="U160" i="67" s="1"/>
  <c r="U119" i="67"/>
  <c r="U126" i="67" s="1"/>
  <c r="U119" i="66"/>
  <c r="U126" i="66" s="1"/>
  <c r="U153" i="66"/>
  <c r="U160" i="66" s="1"/>
  <c r="U153" i="65"/>
  <c r="U160" i="65" s="1"/>
  <c r="U119" i="65"/>
  <c r="U126" i="65" s="1"/>
  <c r="W45" i="62"/>
  <c r="W45" i="67"/>
  <c r="W45" i="66"/>
  <c r="W45" i="65"/>
  <c r="W45" i="63"/>
  <c r="W45" i="64"/>
  <c r="U135" i="52"/>
  <c r="U142" i="52" s="1"/>
  <c r="U140" i="52"/>
  <c r="U133" i="52"/>
  <c r="U145" i="52" s="1"/>
  <c r="U133" i="67"/>
  <c r="U145" i="67" s="1"/>
  <c r="U135" i="67"/>
  <c r="U142" i="67" s="1"/>
  <c r="U140" i="67"/>
  <c r="U135" i="53"/>
  <c r="U142" i="53" s="1"/>
  <c r="U140" i="53"/>
  <c r="U133" i="53"/>
  <c r="U145" i="53" s="1"/>
  <c r="V135" i="45"/>
  <c r="V132" i="52" s="1"/>
  <c r="V129" i="45"/>
  <c r="V132" i="51" s="1"/>
  <c r="V134" i="45"/>
  <c r="V132" i="53" s="1"/>
  <c r="U135" i="51"/>
  <c r="U142" i="51" s="1"/>
  <c r="V136" i="45"/>
  <c r="V132" i="67" s="1"/>
  <c r="U133" i="58"/>
  <c r="U145" i="58" s="1"/>
  <c r="U140" i="58"/>
  <c r="T101" i="58"/>
  <c r="T108" i="58" s="1"/>
  <c r="T99" i="58"/>
  <c r="T111" i="58" s="1"/>
  <c r="T116" i="64"/>
  <c r="T128" i="64" s="1"/>
  <c r="S185" i="63"/>
  <c r="R175" i="65"/>
  <c r="T150" i="58"/>
  <c r="T162" i="58" s="1"/>
  <c r="U135" i="61"/>
  <c r="U142" i="61" s="1"/>
  <c r="U140" i="61"/>
  <c r="R176" i="66"/>
  <c r="X157" i="45"/>
  <c r="W55" i="64"/>
  <c r="W69" i="64" s="1"/>
  <c r="W76" i="64" s="1"/>
  <c r="S129" i="66"/>
  <c r="S169" i="66" s="1"/>
  <c r="S175" i="66" s="1"/>
  <c r="U149" i="58"/>
  <c r="U152" i="58" s="1"/>
  <c r="U159" i="58" s="1"/>
  <c r="U149" i="65"/>
  <c r="U115" i="64"/>
  <c r="U123" i="64" s="1"/>
  <c r="U127" i="64" s="1"/>
  <c r="U115" i="66"/>
  <c r="U118" i="66" s="1"/>
  <c r="T116" i="65"/>
  <c r="T128" i="65" s="1"/>
  <c r="T118" i="65"/>
  <c r="T125" i="65" s="1"/>
  <c r="T123" i="65"/>
  <c r="T127" i="65" s="1"/>
  <c r="V132" i="58"/>
  <c r="V135" i="58" s="1"/>
  <c r="V142" i="58" s="1"/>
  <c r="V132" i="65"/>
  <c r="T184" i="67"/>
  <c r="T175" i="67"/>
  <c r="U133" i="63"/>
  <c r="U145" i="63" s="1"/>
  <c r="U140" i="63"/>
  <c r="U135" i="63"/>
  <c r="U142" i="63" s="1"/>
  <c r="V132" i="66"/>
  <c r="V132" i="64"/>
  <c r="R184" i="64"/>
  <c r="R175" i="64"/>
  <c r="S129" i="65"/>
  <c r="S169" i="65" s="1"/>
  <c r="T150" i="65"/>
  <c r="T162" i="65" s="1"/>
  <c r="T157" i="65"/>
  <c r="T152" i="65"/>
  <c r="T159" i="65" s="1"/>
  <c r="R175" i="66"/>
  <c r="R184" i="66"/>
  <c r="V115" i="58"/>
  <c r="V123" i="58" s="1"/>
  <c r="V127" i="58" s="1"/>
  <c r="V115" i="65"/>
  <c r="T116" i="66"/>
  <c r="T128" i="66" s="1"/>
  <c r="T125" i="66"/>
  <c r="T123" i="66"/>
  <c r="T127" i="66" s="1"/>
  <c r="T150" i="66"/>
  <c r="T162" i="66" s="1"/>
  <c r="T157" i="66"/>
  <c r="T152" i="66"/>
  <c r="T159" i="66" s="1"/>
  <c r="T129" i="63"/>
  <c r="T169" i="63" s="1"/>
  <c r="T184" i="63" s="1"/>
  <c r="U133" i="65"/>
  <c r="U145" i="65" s="1"/>
  <c r="U140" i="65"/>
  <c r="U135" i="65"/>
  <c r="U142" i="65" s="1"/>
  <c r="U149" i="64"/>
  <c r="U152" i="64" s="1"/>
  <c r="U159" i="64" s="1"/>
  <c r="U149" i="66"/>
  <c r="U116" i="67"/>
  <c r="U128" i="67" s="1"/>
  <c r="U125" i="67"/>
  <c r="U123" i="67"/>
  <c r="U127" i="67" s="1"/>
  <c r="U150" i="67"/>
  <c r="U162" i="67" s="1"/>
  <c r="U152" i="67"/>
  <c r="U159" i="67" s="1"/>
  <c r="U157" i="67"/>
  <c r="V132" i="61"/>
  <c r="V135" i="61" s="1"/>
  <c r="V142" i="61" s="1"/>
  <c r="V132" i="63"/>
  <c r="S112" i="64"/>
  <c r="S167" i="64" s="1"/>
  <c r="S176" i="64" s="1"/>
  <c r="U133" i="64"/>
  <c r="U145" i="64" s="1"/>
  <c r="U140" i="64"/>
  <c r="U135" i="64"/>
  <c r="U142" i="64" s="1"/>
  <c r="U115" i="58"/>
  <c r="U116" i="58" s="1"/>
  <c r="U128" i="58" s="1"/>
  <c r="U115" i="65"/>
  <c r="U133" i="66"/>
  <c r="U145" i="66" s="1"/>
  <c r="U135" i="66"/>
  <c r="U142" i="66" s="1"/>
  <c r="U140" i="66"/>
  <c r="S175" i="62"/>
  <c r="U99" i="67"/>
  <c r="U111" i="67" s="1"/>
  <c r="U101" i="67"/>
  <c r="U108" i="67" s="1"/>
  <c r="U106" i="67"/>
  <c r="U110" i="67" s="1"/>
  <c r="R185" i="64"/>
  <c r="R176" i="64"/>
  <c r="T99" i="64"/>
  <c r="T111" i="64" s="1"/>
  <c r="T106" i="64"/>
  <c r="T110" i="64" s="1"/>
  <c r="T101" i="64"/>
  <c r="T108" i="64" s="1"/>
  <c r="S112" i="66"/>
  <c r="S167" i="66" s="1"/>
  <c r="T112" i="67"/>
  <c r="T167" i="67" s="1"/>
  <c r="U98" i="66"/>
  <c r="U98" i="64"/>
  <c r="T112" i="63"/>
  <c r="T167" i="63" s="1"/>
  <c r="R176" i="65"/>
  <c r="R185" i="65"/>
  <c r="S112" i="65"/>
  <c r="S167" i="65" s="1"/>
  <c r="T99" i="66"/>
  <c r="T111" i="66" s="1"/>
  <c r="T101" i="66"/>
  <c r="T108" i="66" s="1"/>
  <c r="T106" i="66"/>
  <c r="T110" i="66" s="1"/>
  <c r="U99" i="63"/>
  <c r="U111" i="63" s="1"/>
  <c r="U101" i="63"/>
  <c r="U108" i="63" s="1"/>
  <c r="U106" i="63"/>
  <c r="U110" i="63" s="1"/>
  <c r="T99" i="65"/>
  <c r="T111" i="65" s="1"/>
  <c r="T101" i="65"/>
  <c r="T108" i="65" s="1"/>
  <c r="T106" i="65"/>
  <c r="T110" i="65" s="1"/>
  <c r="U98" i="58"/>
  <c r="U106" i="58" s="1"/>
  <c r="U110" i="58" s="1"/>
  <c r="U98" i="65"/>
  <c r="U150" i="51"/>
  <c r="U162" i="51" s="1"/>
  <c r="U152" i="51"/>
  <c r="U159" i="51" s="1"/>
  <c r="U149" i="61"/>
  <c r="U149" i="63"/>
  <c r="U129" i="63"/>
  <c r="U169" i="63" s="1"/>
  <c r="S175" i="63"/>
  <c r="S184" i="63"/>
  <c r="V143" i="45"/>
  <c r="U99" i="62"/>
  <c r="U111" i="62" s="1"/>
  <c r="U101" i="62"/>
  <c r="U108" i="62" s="1"/>
  <c r="U106" i="62"/>
  <c r="U110" i="62" s="1"/>
  <c r="W53" i="61"/>
  <c r="W76" i="45"/>
  <c r="W74" i="45"/>
  <c r="W72" i="45"/>
  <c r="W77" i="45"/>
  <c r="W70" i="45"/>
  <c r="W75" i="45"/>
  <c r="W71" i="45"/>
  <c r="W73" i="45"/>
  <c r="W78" i="45"/>
  <c r="W53" i="62"/>
  <c r="W52" i="61"/>
  <c r="W63" i="45"/>
  <c r="W64" i="45"/>
  <c r="W59" i="45"/>
  <c r="W65" i="45"/>
  <c r="W60" i="45"/>
  <c r="W66" i="45"/>
  <c r="W61" i="45"/>
  <c r="W67" i="45"/>
  <c r="W62" i="45"/>
  <c r="W50" i="45"/>
  <c r="W131" i="45" s="1"/>
  <c r="W53" i="45"/>
  <c r="W56" i="45"/>
  <c r="W137" i="45" s="1"/>
  <c r="W48" i="45"/>
  <c r="W51" i="45"/>
  <c r="W132" i="45" s="1"/>
  <c r="W54" i="45"/>
  <c r="W49" i="45"/>
  <c r="W130" i="45" s="1"/>
  <c r="W52" i="45"/>
  <c r="W133" i="45" s="1"/>
  <c r="W55" i="45"/>
  <c r="W52" i="62"/>
  <c r="S185" i="62"/>
  <c r="S176" i="62"/>
  <c r="T129" i="62"/>
  <c r="T169" i="62" s="1"/>
  <c r="V171" i="62"/>
  <c r="V174" i="62"/>
  <c r="V180" i="62" s="1"/>
  <c r="V183" i="62"/>
  <c r="V189" i="62" s="1"/>
  <c r="T112" i="62"/>
  <c r="T167" i="62" s="1"/>
  <c r="U142" i="57"/>
  <c r="U140" i="57"/>
  <c r="U133" i="57"/>
  <c r="U145" i="57" s="1"/>
  <c r="U140" i="62"/>
  <c r="U135" i="62"/>
  <c r="U142" i="62" s="1"/>
  <c r="U133" i="62"/>
  <c r="U145" i="62" s="1"/>
  <c r="U116" i="62"/>
  <c r="U128" i="62" s="1"/>
  <c r="U125" i="62"/>
  <c r="U123" i="62"/>
  <c r="U127" i="62" s="1"/>
  <c r="V132" i="62"/>
  <c r="V132" i="57"/>
  <c r="V135" i="57" s="1"/>
  <c r="U150" i="62"/>
  <c r="U162" i="62" s="1"/>
  <c r="U157" i="62"/>
  <c r="U152" i="62"/>
  <c r="U159" i="62" s="1"/>
  <c r="S129" i="61"/>
  <c r="S169" i="61" s="1"/>
  <c r="T99" i="61"/>
  <c r="T111" i="61" s="1"/>
  <c r="T101" i="61"/>
  <c r="T108" i="61" s="1"/>
  <c r="T106" i="61"/>
  <c r="T110" i="61" s="1"/>
  <c r="U116" i="61"/>
  <c r="U128" i="61" s="1"/>
  <c r="U123" i="61"/>
  <c r="U127" i="61" s="1"/>
  <c r="U125" i="61"/>
  <c r="R176" i="61"/>
  <c r="R185" i="61"/>
  <c r="V171" i="61"/>
  <c r="V174" i="61"/>
  <c r="V180" i="61" s="1"/>
  <c r="V183" i="61"/>
  <c r="V189" i="61" s="1"/>
  <c r="T116" i="61"/>
  <c r="T128" i="61" s="1"/>
  <c r="T123" i="61"/>
  <c r="T127" i="61" s="1"/>
  <c r="T125" i="61"/>
  <c r="S112" i="61"/>
  <c r="S167" i="61" s="1"/>
  <c r="W49" i="38"/>
  <c r="W49" i="61"/>
  <c r="W46" i="61"/>
  <c r="W46" i="38"/>
  <c r="U153" i="61"/>
  <c r="U160" i="61" s="1"/>
  <c r="U119" i="61"/>
  <c r="U126" i="61" s="1"/>
  <c r="W42" i="38"/>
  <c r="W42" i="61"/>
  <c r="W68" i="61" s="1"/>
  <c r="W75" i="61" s="1"/>
  <c r="W78" i="61" s="1"/>
  <c r="W165" i="61" s="1"/>
  <c r="BN8" i="2" s="1"/>
  <c r="W51" i="61"/>
  <c r="W136" i="61" s="1"/>
  <c r="W143" i="61" s="1"/>
  <c r="W51" i="38"/>
  <c r="W45" i="38"/>
  <c r="W45" i="61"/>
  <c r="X44" i="61"/>
  <c r="X102" i="61" s="1"/>
  <c r="X109" i="61" s="1"/>
  <c r="X44" i="38"/>
  <c r="W43" i="38"/>
  <c r="W43" i="61"/>
  <c r="W85" i="61" s="1"/>
  <c r="W92" i="61" s="1"/>
  <c r="W95" i="61" s="1"/>
  <c r="W166" i="61" s="1"/>
  <c r="BO8" i="2" s="1"/>
  <c r="U98" i="61"/>
  <c r="R175" i="61"/>
  <c r="R184" i="61"/>
  <c r="U174" i="53"/>
  <c r="U180" i="53" s="1"/>
  <c r="R184" i="55"/>
  <c r="U183" i="53"/>
  <c r="U189" i="53" s="1"/>
  <c r="U171" i="53"/>
  <c r="S176" i="52"/>
  <c r="P48" i="38"/>
  <c r="P50" i="38" s="1"/>
  <c r="R185" i="55"/>
  <c r="S176" i="51"/>
  <c r="V75" i="51"/>
  <c r="V78" i="51" s="1"/>
  <c r="V165" i="51" s="1"/>
  <c r="V183" i="51" s="1"/>
  <c r="V189" i="51" s="1"/>
  <c r="V75" i="53"/>
  <c r="V78" i="53" s="1"/>
  <c r="V165" i="53" s="1"/>
  <c r="V174" i="53" s="1"/>
  <c r="V180" i="53" s="1"/>
  <c r="V75" i="58"/>
  <c r="V78" i="58" s="1"/>
  <c r="V165" i="58" s="1"/>
  <c r="V171" i="58" s="1"/>
  <c r="U171" i="57"/>
  <c r="U174" i="57"/>
  <c r="U180" i="57" s="1"/>
  <c r="U183" i="57"/>
  <c r="U189" i="57" s="1"/>
  <c r="W42" i="58"/>
  <c r="W68" i="58" s="1"/>
  <c r="W42" i="57"/>
  <c r="W68" i="57" s="1"/>
  <c r="W42" i="55"/>
  <c r="W68" i="55" s="1"/>
  <c r="W42" i="53"/>
  <c r="W68" i="53" s="1"/>
  <c r="W42" i="52"/>
  <c r="W68" i="52" s="1"/>
  <c r="W42" i="51"/>
  <c r="W68" i="51" s="1"/>
  <c r="U119" i="53"/>
  <c r="U126" i="53" s="1"/>
  <c r="U153" i="53"/>
  <c r="U160" i="53" s="1"/>
  <c r="W41" i="58"/>
  <c r="W67" i="58" s="1"/>
  <c r="W41" i="57"/>
  <c r="W67" i="57" s="1"/>
  <c r="W41" i="55"/>
  <c r="W67" i="55" s="1"/>
  <c r="W41" i="52"/>
  <c r="W67" i="52" s="1"/>
  <c r="W41" i="53"/>
  <c r="W67" i="53" s="1"/>
  <c r="W41" i="51"/>
  <c r="W67" i="51" s="1"/>
  <c r="U171" i="51"/>
  <c r="U174" i="51"/>
  <c r="U180" i="51" s="1"/>
  <c r="U183" i="51"/>
  <c r="U189" i="51" s="1"/>
  <c r="W51" i="58"/>
  <c r="W136" i="58" s="1"/>
  <c r="W143" i="58" s="1"/>
  <c r="W51" i="57"/>
  <c r="W136" i="57" s="1"/>
  <c r="W143" i="57" s="1"/>
  <c r="W51" i="53"/>
  <c r="W136" i="53" s="1"/>
  <c r="W143" i="53" s="1"/>
  <c r="W51" i="55"/>
  <c r="W136" i="55" s="1"/>
  <c r="W143" i="55" s="1"/>
  <c r="W51" i="52"/>
  <c r="W136" i="52" s="1"/>
  <c r="W143" i="52" s="1"/>
  <c r="W51" i="51"/>
  <c r="W136" i="51" s="1"/>
  <c r="W143" i="51" s="1"/>
  <c r="T129" i="53"/>
  <c r="T169" i="53" s="1"/>
  <c r="U119" i="52"/>
  <c r="U126" i="52" s="1"/>
  <c r="U153" i="52"/>
  <c r="U160" i="52" s="1"/>
  <c r="W53" i="58"/>
  <c r="W53" i="55"/>
  <c r="W53" i="53"/>
  <c r="W53" i="57"/>
  <c r="W53" i="52"/>
  <c r="W53" i="51"/>
  <c r="U119" i="51"/>
  <c r="U126" i="51" s="1"/>
  <c r="U153" i="51"/>
  <c r="U160" i="51" s="1"/>
  <c r="U119" i="58"/>
  <c r="U126" i="58" s="1"/>
  <c r="U153" i="58"/>
  <c r="U160" i="58" s="1"/>
  <c r="U183" i="58"/>
  <c r="U189" i="58" s="1"/>
  <c r="U171" i="58"/>
  <c r="U174" i="58"/>
  <c r="U180" i="58" s="1"/>
  <c r="W45" i="58"/>
  <c r="W45" i="57"/>
  <c r="W45" i="55"/>
  <c r="W45" i="53"/>
  <c r="W45" i="51"/>
  <c r="W45" i="52"/>
  <c r="U171" i="52"/>
  <c r="U174" i="52"/>
  <c r="U180" i="52" s="1"/>
  <c r="U183" i="52"/>
  <c r="U189" i="52" s="1"/>
  <c r="V75" i="52"/>
  <c r="V78" i="52" s="1"/>
  <c r="V165" i="52" s="1"/>
  <c r="W46" i="58"/>
  <c r="W46" i="57"/>
  <c r="W46" i="55"/>
  <c r="W46" i="52"/>
  <c r="W46" i="53"/>
  <c r="W46" i="51"/>
  <c r="X44" i="58"/>
  <c r="X102" i="58" s="1"/>
  <c r="X109" i="58" s="1"/>
  <c r="X44" i="57"/>
  <c r="X102" i="57" s="1"/>
  <c r="X109" i="57" s="1"/>
  <c r="X44" i="55"/>
  <c r="X102" i="55" s="1"/>
  <c r="X109" i="55" s="1"/>
  <c r="X44" i="53"/>
  <c r="X102" i="53" s="1"/>
  <c r="X109" i="53" s="1"/>
  <c r="X44" i="52"/>
  <c r="X102" i="52" s="1"/>
  <c r="X109" i="52" s="1"/>
  <c r="X44" i="51"/>
  <c r="X102" i="51" s="1"/>
  <c r="X109" i="51" s="1"/>
  <c r="V75" i="55"/>
  <c r="V78" i="55" s="1"/>
  <c r="V165" i="55" s="1"/>
  <c r="U153" i="55"/>
  <c r="U160" i="55" s="1"/>
  <c r="U119" i="55"/>
  <c r="U126" i="55" s="1"/>
  <c r="S175" i="51"/>
  <c r="U153" i="57"/>
  <c r="U160" i="57" s="1"/>
  <c r="U119" i="57"/>
  <c r="U126" i="57" s="1"/>
  <c r="V75" i="57"/>
  <c r="V78" i="57" s="1"/>
  <c r="V165" i="57" s="1"/>
  <c r="W52" i="58"/>
  <c r="W52" i="55"/>
  <c r="W52" i="53"/>
  <c r="W52" i="57"/>
  <c r="W52" i="52"/>
  <c r="W52" i="51"/>
  <c r="W43" i="58"/>
  <c r="W85" i="58" s="1"/>
  <c r="W92" i="58" s="1"/>
  <c r="W95" i="58" s="1"/>
  <c r="W166" i="58" s="1"/>
  <c r="BO107" i="2" s="1"/>
  <c r="W43" i="57"/>
  <c r="W85" i="57" s="1"/>
  <c r="W92" i="57" s="1"/>
  <c r="W95" i="57" s="1"/>
  <c r="W166" i="57" s="1"/>
  <c r="W43" i="55"/>
  <c r="W85" i="55" s="1"/>
  <c r="W92" i="55" s="1"/>
  <c r="W95" i="55" s="1"/>
  <c r="W166" i="55" s="1"/>
  <c r="BO129" i="2" s="1"/>
  <c r="W43" i="52"/>
  <c r="W85" i="52" s="1"/>
  <c r="W92" i="52" s="1"/>
  <c r="W95" i="52" s="1"/>
  <c r="W43" i="53"/>
  <c r="W85" i="53" s="1"/>
  <c r="W92" i="53" s="1"/>
  <c r="W95" i="53" s="1"/>
  <c r="W166" i="53" s="1"/>
  <c r="BO74" i="2" s="1"/>
  <c r="W43" i="51"/>
  <c r="W85" i="51" s="1"/>
  <c r="W92" i="51" s="1"/>
  <c r="W95" i="51" s="1"/>
  <c r="W166" i="51" s="1"/>
  <c r="BO63" i="2" s="1"/>
  <c r="U183" i="55"/>
  <c r="U189" i="55" s="1"/>
  <c r="U171" i="55"/>
  <c r="U174" i="55"/>
  <c r="U180" i="55" s="1"/>
  <c r="U115" i="38"/>
  <c r="U118" i="38" s="1"/>
  <c r="U115" i="55"/>
  <c r="U150" i="52"/>
  <c r="U162" i="52" s="1"/>
  <c r="U157" i="52"/>
  <c r="U159" i="52"/>
  <c r="T99" i="57"/>
  <c r="T111" i="57" s="1"/>
  <c r="T106" i="57"/>
  <c r="T110" i="57" s="1"/>
  <c r="T101" i="57"/>
  <c r="T108" i="57" s="1"/>
  <c r="T112" i="51"/>
  <c r="T167" i="51" s="1"/>
  <c r="R184" i="57"/>
  <c r="R175" i="57"/>
  <c r="U115" i="57"/>
  <c r="U116" i="53"/>
  <c r="U128" i="53" s="1"/>
  <c r="U118" i="53"/>
  <c r="U125" i="53" s="1"/>
  <c r="U123" i="53"/>
  <c r="U127" i="53" s="1"/>
  <c r="U149" i="57"/>
  <c r="U152" i="57" s="1"/>
  <c r="S112" i="55"/>
  <c r="S167" i="55" s="1"/>
  <c r="S184" i="52"/>
  <c r="S175" i="52"/>
  <c r="U98" i="38"/>
  <c r="U98" i="55"/>
  <c r="V132" i="38"/>
  <c r="V135" i="38" s="1"/>
  <c r="V132" i="55"/>
  <c r="V135" i="55" s="1"/>
  <c r="T112" i="52"/>
  <c r="T167" i="52" s="1"/>
  <c r="T150" i="55"/>
  <c r="T162" i="55" s="1"/>
  <c r="T157" i="55"/>
  <c r="T159" i="55"/>
  <c r="S112" i="57"/>
  <c r="S167" i="57" s="1"/>
  <c r="U99" i="51"/>
  <c r="U111" i="51" s="1"/>
  <c r="U106" i="51"/>
  <c r="U110" i="51" s="1"/>
  <c r="U101" i="51"/>
  <c r="U108" i="51" s="1"/>
  <c r="S184" i="53"/>
  <c r="S175" i="53"/>
  <c r="T129" i="52"/>
  <c r="T169" i="52" s="1"/>
  <c r="T99" i="55"/>
  <c r="T111" i="55" s="1"/>
  <c r="T106" i="55"/>
  <c r="T110" i="55" s="1"/>
  <c r="T101" i="55"/>
  <c r="T108" i="55" s="1"/>
  <c r="T150" i="57"/>
  <c r="T162" i="57" s="1"/>
  <c r="T159" i="57"/>
  <c r="T157" i="57"/>
  <c r="U98" i="57"/>
  <c r="U149" i="38"/>
  <c r="U152" i="38" s="1"/>
  <c r="U149" i="55"/>
  <c r="U152" i="55" s="1"/>
  <c r="S129" i="55"/>
  <c r="S169" i="55" s="1"/>
  <c r="S129" i="57"/>
  <c r="S169" i="57" s="1"/>
  <c r="T129" i="51"/>
  <c r="T169" i="51" s="1"/>
  <c r="U116" i="52"/>
  <c r="U128" i="52" s="1"/>
  <c r="U118" i="52"/>
  <c r="U125" i="52" s="1"/>
  <c r="U123" i="52"/>
  <c r="U127" i="52" s="1"/>
  <c r="T116" i="55"/>
  <c r="T128" i="55" s="1"/>
  <c r="T123" i="55"/>
  <c r="T127" i="55" s="1"/>
  <c r="T118" i="55"/>
  <c r="T125" i="55" s="1"/>
  <c r="U99" i="53"/>
  <c r="U111" i="53" s="1"/>
  <c r="U106" i="53"/>
  <c r="U110" i="53" s="1"/>
  <c r="U101" i="53"/>
  <c r="U108" i="53" s="1"/>
  <c r="S176" i="53"/>
  <c r="S185" i="53"/>
  <c r="U99" i="52"/>
  <c r="U111" i="52" s="1"/>
  <c r="U106" i="52"/>
  <c r="U110" i="52" s="1"/>
  <c r="U101" i="52"/>
  <c r="U108" i="52" s="1"/>
  <c r="U150" i="53"/>
  <c r="U162" i="53" s="1"/>
  <c r="U157" i="53"/>
  <c r="U159" i="53"/>
  <c r="U116" i="51"/>
  <c r="U128" i="51" s="1"/>
  <c r="U123" i="51"/>
  <c r="U127" i="51" s="1"/>
  <c r="U118" i="51"/>
  <c r="U125" i="51" s="1"/>
  <c r="T116" i="57"/>
  <c r="T128" i="57" s="1"/>
  <c r="T123" i="57"/>
  <c r="T127" i="57" s="1"/>
  <c r="T118" i="57"/>
  <c r="T125" i="57" s="1"/>
  <c r="T112" i="53"/>
  <c r="T167" i="53" s="1"/>
  <c r="U133" i="55"/>
  <c r="U145" i="55" s="1"/>
  <c r="U142" i="55"/>
  <c r="U140" i="55"/>
  <c r="R176" i="57"/>
  <c r="R185" i="57"/>
  <c r="U145" i="51"/>
  <c r="U140" i="51"/>
  <c r="U157" i="51"/>
  <c r="X156" i="45"/>
  <c r="X55" i="63" s="1"/>
  <c r="X69" i="63" s="1"/>
  <c r="X76" i="63" s="1"/>
  <c r="X155" i="45"/>
  <c r="X55" i="62" s="1"/>
  <c r="X69" i="62" s="1"/>
  <c r="X76" i="62" s="1"/>
  <c r="V120" i="45"/>
  <c r="V147" i="45"/>
  <c r="V149" i="53" s="1"/>
  <c r="V152" i="53" s="1"/>
  <c r="V146" i="45"/>
  <c r="V149" i="62" s="1"/>
  <c r="V150" i="45"/>
  <c r="V148" i="45"/>
  <c r="V149" i="52" s="1"/>
  <c r="V152" i="52" s="1"/>
  <c r="V149" i="45"/>
  <c r="V149" i="67" s="1"/>
  <c r="V142" i="45"/>
  <c r="V149" i="51" s="1"/>
  <c r="V145" i="45"/>
  <c r="V144" i="45"/>
  <c r="X154" i="45"/>
  <c r="W55" i="38"/>
  <c r="V121" i="45"/>
  <c r="V115" i="62" s="1"/>
  <c r="V118" i="62" s="1"/>
  <c r="V122" i="45"/>
  <c r="V115" i="53" s="1"/>
  <c r="V123" i="45"/>
  <c r="V115" i="52" s="1"/>
  <c r="V124" i="45"/>
  <c r="V115" i="67" s="1"/>
  <c r="V118" i="67" s="1"/>
  <c r="V117" i="45"/>
  <c r="V115" i="51" s="1"/>
  <c r="V119" i="45"/>
  <c r="W116" i="45"/>
  <c r="W121" i="45" s="1"/>
  <c r="W115" i="62" s="1"/>
  <c r="W140" i="45"/>
  <c r="V118" i="45"/>
  <c r="V115" i="63" s="1"/>
  <c r="V118" i="63" s="1"/>
  <c r="X40" i="45"/>
  <c r="X38" i="45"/>
  <c r="X39" i="45"/>
  <c r="X29" i="45"/>
  <c r="X28" i="45"/>
  <c r="X27" i="45"/>
  <c r="W104" i="45"/>
  <c r="W103" i="45"/>
  <c r="V113" i="45"/>
  <c r="V112" i="45"/>
  <c r="V98" i="67" s="1"/>
  <c r="V105" i="45"/>
  <c r="V98" i="51" s="1"/>
  <c r="V111" i="45"/>
  <c r="V98" i="52" s="1"/>
  <c r="V106" i="45"/>
  <c r="V98" i="63" s="1"/>
  <c r="V108" i="45"/>
  <c r="V110" i="45"/>
  <c r="V98" i="53" s="1"/>
  <c r="V107" i="45"/>
  <c r="V109" i="45"/>
  <c r="V98" i="62" s="1"/>
  <c r="X5" i="45"/>
  <c r="X21" i="45"/>
  <c r="X20" i="45"/>
  <c r="W53" i="38"/>
  <c r="X14" i="45"/>
  <c r="X4" i="45"/>
  <c r="X12" i="45"/>
  <c r="X19" i="45"/>
  <c r="W52" i="38"/>
  <c r="Y6" i="45"/>
  <c r="X23" i="45"/>
  <c r="W118" i="62" l="1"/>
  <c r="BR31" i="2"/>
  <c r="AV96" i="2"/>
  <c r="G101" i="77" s="1"/>
  <c r="S101" i="77" s="1"/>
  <c r="S106" i="77" s="1"/>
  <c r="AU96" i="2"/>
  <c r="F101" i="77" s="1"/>
  <c r="R101" i="77" s="1"/>
  <c r="R106" i="77" s="1"/>
  <c r="AW96" i="2"/>
  <c r="H101" i="77" s="1"/>
  <c r="T101" i="77" s="1"/>
  <c r="T106" i="77" s="1"/>
  <c r="AY96" i="2"/>
  <c r="J101" i="77" s="1"/>
  <c r="V101" i="77" s="1"/>
  <c r="V106" i="77" s="1"/>
  <c r="AY118" i="2"/>
  <c r="J125" i="77" s="1"/>
  <c r="V125" i="77" s="1"/>
  <c r="V130" i="77" s="1"/>
  <c r="AW118" i="2"/>
  <c r="H125" i="77" s="1"/>
  <c r="T125" i="77" s="1"/>
  <c r="T130" i="77" s="1"/>
  <c r="AU118" i="2"/>
  <c r="F125" i="77" s="1"/>
  <c r="R125" i="77" s="1"/>
  <c r="R130" i="77" s="1"/>
  <c r="AV118" i="2"/>
  <c r="G125" i="77" s="1"/>
  <c r="S125" i="77" s="1"/>
  <c r="S130" i="77" s="1"/>
  <c r="L193" i="53"/>
  <c r="V119" i="64"/>
  <c r="V126" i="64" s="1"/>
  <c r="L187" i="62"/>
  <c r="L186" i="64"/>
  <c r="J186" i="65"/>
  <c r="L177" i="64"/>
  <c r="L193" i="64"/>
  <c r="L187" i="53"/>
  <c r="L192" i="53"/>
  <c r="K154" i="67"/>
  <c r="K161" i="67" s="1"/>
  <c r="K163" i="67" s="1"/>
  <c r="K170" i="67" s="1"/>
  <c r="K194" i="67" s="1"/>
  <c r="J186" i="66"/>
  <c r="J178" i="66"/>
  <c r="J188" i="66"/>
  <c r="J194" i="62"/>
  <c r="J186" i="58"/>
  <c r="J179" i="65"/>
  <c r="J178" i="55"/>
  <c r="H79" i="51"/>
  <c r="J188" i="55"/>
  <c r="J194" i="64"/>
  <c r="J178" i="64"/>
  <c r="J188" i="64"/>
  <c r="H79" i="52"/>
  <c r="J194" i="65"/>
  <c r="J188" i="65"/>
  <c r="J194" i="61"/>
  <c r="J178" i="61"/>
  <c r="J187" i="61"/>
  <c r="J188" i="61"/>
  <c r="J179" i="66"/>
  <c r="J188" i="58"/>
  <c r="L177" i="62"/>
  <c r="J194" i="55"/>
  <c r="H79" i="53"/>
  <c r="J194" i="63"/>
  <c r="J186" i="55"/>
  <c r="J186" i="63"/>
  <c r="J178" i="58"/>
  <c r="N214" i="45"/>
  <c r="N230" i="45" s="1"/>
  <c r="M246" i="45"/>
  <c r="M262" i="45" s="1"/>
  <c r="L59" i="67"/>
  <c r="L154" i="67" s="1"/>
  <c r="L161" i="67" s="1"/>
  <c r="L163" i="67" s="1"/>
  <c r="L170" i="67" s="1"/>
  <c r="L188" i="67" s="1"/>
  <c r="L245" i="45"/>
  <c r="L261" i="45" s="1"/>
  <c r="K59" i="66"/>
  <c r="H79" i="66" s="1"/>
  <c r="N213" i="45"/>
  <c r="N229" i="45" s="1"/>
  <c r="M58" i="66"/>
  <c r="M137" i="66" s="1"/>
  <c r="M144" i="66" s="1"/>
  <c r="M146" i="66" s="1"/>
  <c r="M168" i="66" s="1"/>
  <c r="AQ140" i="2" s="1"/>
  <c r="AK140" i="2" s="1"/>
  <c r="I149" i="79" s="1"/>
  <c r="U149" i="79" s="1"/>
  <c r="U154" i="79" s="1"/>
  <c r="L244" i="45"/>
  <c r="L260" i="45" s="1"/>
  <c r="K59" i="55"/>
  <c r="H79" i="55" s="1"/>
  <c r="N212" i="45"/>
  <c r="N228" i="45" s="1"/>
  <c r="L243" i="45"/>
  <c r="L259" i="45" s="1"/>
  <c r="K59" i="65"/>
  <c r="K154" i="65" s="1"/>
  <c r="K161" i="65" s="1"/>
  <c r="K163" i="65" s="1"/>
  <c r="K170" i="65" s="1"/>
  <c r="N211" i="45"/>
  <c r="N227" i="45" s="1"/>
  <c r="L242" i="45"/>
  <c r="L258" i="45" s="1"/>
  <c r="K59" i="58"/>
  <c r="K154" i="58" s="1"/>
  <c r="K161" i="58" s="1"/>
  <c r="K163" i="58" s="1"/>
  <c r="K170" i="58" s="1"/>
  <c r="J194" i="58"/>
  <c r="N210" i="45"/>
  <c r="N226" i="45" s="1"/>
  <c r="L241" i="45"/>
  <c r="L257" i="45" s="1"/>
  <c r="K59" i="57"/>
  <c r="K154" i="57" s="1"/>
  <c r="K161" i="57" s="1"/>
  <c r="K163" i="57" s="1"/>
  <c r="K170" i="57" s="1"/>
  <c r="J194" i="57"/>
  <c r="L192" i="57"/>
  <c r="L187" i="57"/>
  <c r="L177" i="57"/>
  <c r="L193" i="57"/>
  <c r="J186" i="57"/>
  <c r="M58" i="57"/>
  <c r="M137" i="57" s="1"/>
  <c r="M144" i="57" s="1"/>
  <c r="M146" i="57" s="1"/>
  <c r="M168" i="57" s="1"/>
  <c r="AQ96" i="2" s="1"/>
  <c r="AK96" i="2" s="1"/>
  <c r="I101" i="79" s="1"/>
  <c r="U101" i="79" s="1"/>
  <c r="U106" i="79" s="1"/>
  <c r="N209" i="45"/>
  <c r="N225" i="45" s="1"/>
  <c r="J179" i="57"/>
  <c r="J188" i="57"/>
  <c r="N208" i="45"/>
  <c r="N224" i="45" s="1"/>
  <c r="M240" i="45"/>
  <c r="M256" i="45" s="1"/>
  <c r="L59" i="52"/>
  <c r="L154" i="52" s="1"/>
  <c r="L161" i="52" s="1"/>
  <c r="L163" i="52" s="1"/>
  <c r="L170" i="52" s="1"/>
  <c r="L187" i="52" s="1"/>
  <c r="N207" i="45"/>
  <c r="N223" i="45" s="1"/>
  <c r="M57" i="53"/>
  <c r="M137" i="53" s="1"/>
  <c r="M144" i="53" s="1"/>
  <c r="M146" i="53" s="1"/>
  <c r="M168" i="53" s="1"/>
  <c r="M239" i="45"/>
  <c r="M255" i="45" s="1"/>
  <c r="L58" i="53"/>
  <c r="L154" i="53" s="1"/>
  <c r="L161" i="53" s="1"/>
  <c r="L163" i="53" s="1"/>
  <c r="L170" i="53" s="1"/>
  <c r="L194" i="53" s="1"/>
  <c r="N206" i="45"/>
  <c r="N222" i="45" s="1"/>
  <c r="M238" i="45"/>
  <c r="M254" i="45" s="1"/>
  <c r="L58" i="51"/>
  <c r="L154" i="51" s="1"/>
  <c r="L161" i="51" s="1"/>
  <c r="L163" i="51" s="1"/>
  <c r="L170" i="51" s="1"/>
  <c r="L188" i="51" s="1"/>
  <c r="J179" i="64"/>
  <c r="L237" i="45"/>
  <c r="L253" i="45" s="1"/>
  <c r="K58" i="64"/>
  <c r="H79" i="64" s="1"/>
  <c r="N205" i="45"/>
  <c r="N221" i="45" s="1"/>
  <c r="M57" i="64"/>
  <c r="M137" i="64" s="1"/>
  <c r="M144" i="64" s="1"/>
  <c r="M146" i="64" s="1"/>
  <c r="M168" i="64" s="1"/>
  <c r="L236" i="45"/>
  <c r="L252" i="45" s="1"/>
  <c r="K58" i="63"/>
  <c r="K154" i="63" s="1"/>
  <c r="K161" i="63" s="1"/>
  <c r="K163" i="63" s="1"/>
  <c r="K170" i="63" s="1"/>
  <c r="J178" i="63"/>
  <c r="N204" i="45"/>
  <c r="N220" i="45" s="1"/>
  <c r="M57" i="63"/>
  <c r="M137" i="63" s="1"/>
  <c r="M144" i="63" s="1"/>
  <c r="M146" i="63" s="1"/>
  <c r="M168" i="63" s="1"/>
  <c r="AQ41" i="2" s="1"/>
  <c r="AK41" i="2" s="1"/>
  <c r="I41" i="79" s="1"/>
  <c r="U41" i="79" s="1"/>
  <c r="U46" i="79" s="1"/>
  <c r="J179" i="63"/>
  <c r="L187" i="63"/>
  <c r="L192" i="63"/>
  <c r="L193" i="63"/>
  <c r="L177" i="63"/>
  <c r="J186" i="62"/>
  <c r="L235" i="45"/>
  <c r="L251" i="45" s="1"/>
  <c r="K58" i="62"/>
  <c r="H79" i="62" s="1"/>
  <c r="J179" i="62"/>
  <c r="J178" i="62"/>
  <c r="L193" i="62"/>
  <c r="N203" i="45"/>
  <c r="N219" i="45" s="1"/>
  <c r="M57" i="62"/>
  <c r="M137" i="62" s="1"/>
  <c r="M144" i="62" s="1"/>
  <c r="M146" i="62" s="1"/>
  <c r="M168" i="62" s="1"/>
  <c r="L234" i="45"/>
  <c r="L250" i="45" s="1"/>
  <c r="K58" i="38"/>
  <c r="N202" i="45"/>
  <c r="N218" i="45" s="1"/>
  <c r="M57" i="38"/>
  <c r="L233" i="45"/>
  <c r="L249" i="45" s="1"/>
  <c r="K58" i="61"/>
  <c r="H79" i="61" s="1"/>
  <c r="N201" i="45"/>
  <c r="N217" i="45" s="1"/>
  <c r="L58" i="58"/>
  <c r="L137" i="58" s="1"/>
  <c r="L144" i="58" s="1"/>
  <c r="L146" i="58" s="1"/>
  <c r="L168" i="58" s="1"/>
  <c r="L57" i="61"/>
  <c r="L137" i="61" s="1"/>
  <c r="L144" i="61" s="1"/>
  <c r="L146" i="61" s="1"/>
  <c r="L168" i="61" s="1"/>
  <c r="K177" i="58"/>
  <c r="K187" i="58"/>
  <c r="K192" i="58"/>
  <c r="K193" i="58"/>
  <c r="K193" i="61"/>
  <c r="K192" i="61"/>
  <c r="K186" i="61"/>
  <c r="K177" i="61"/>
  <c r="L57" i="51"/>
  <c r="L137" i="51" s="1"/>
  <c r="L144" i="51" s="1"/>
  <c r="L146" i="51" s="1"/>
  <c r="L168" i="51" s="1"/>
  <c r="K177" i="51"/>
  <c r="K193" i="51"/>
  <c r="K186" i="51"/>
  <c r="K192" i="51"/>
  <c r="M58" i="67"/>
  <c r="M137" i="67" s="1"/>
  <c r="M144" i="67" s="1"/>
  <c r="M146" i="67" s="1"/>
  <c r="M168" i="67" s="1"/>
  <c r="AQ151" i="2" s="1"/>
  <c r="AK151" i="2" s="1"/>
  <c r="I161" i="79" s="1"/>
  <c r="U161" i="79" s="1"/>
  <c r="U166" i="79" s="1"/>
  <c r="L187" i="67"/>
  <c r="L193" i="67"/>
  <c r="L192" i="67"/>
  <c r="L177" i="67"/>
  <c r="L177" i="66"/>
  <c r="L187" i="66"/>
  <c r="L192" i="66"/>
  <c r="L193" i="66"/>
  <c r="M58" i="52"/>
  <c r="M137" i="52" s="1"/>
  <c r="M144" i="52" s="1"/>
  <c r="M146" i="52" s="1"/>
  <c r="M168" i="52" s="1"/>
  <c r="AQ85" i="2" s="1"/>
  <c r="AK85" i="2" s="1"/>
  <c r="I89" i="79" s="1"/>
  <c r="U89" i="79" s="1"/>
  <c r="U94" i="79" s="1"/>
  <c r="M58" i="55"/>
  <c r="M137" i="55" s="1"/>
  <c r="M144" i="55" s="1"/>
  <c r="M146" i="55" s="1"/>
  <c r="M168" i="55" s="1"/>
  <c r="AQ129" i="2" s="1"/>
  <c r="AK129" i="2" s="1"/>
  <c r="I137" i="79" s="1"/>
  <c r="U137" i="79" s="1"/>
  <c r="U142" i="79" s="1"/>
  <c r="L58" i="65"/>
  <c r="L137" i="65" s="1"/>
  <c r="L144" i="65" s="1"/>
  <c r="L146" i="65" s="1"/>
  <c r="L168" i="65" s="1"/>
  <c r="L177" i="52"/>
  <c r="L192" i="52"/>
  <c r="L186" i="52"/>
  <c r="L193" i="52"/>
  <c r="L192" i="55"/>
  <c r="L187" i="55"/>
  <c r="L177" i="55"/>
  <c r="L193" i="55"/>
  <c r="K192" i="65"/>
  <c r="K187" i="65"/>
  <c r="K177" i="65"/>
  <c r="K193" i="65"/>
  <c r="W48" i="55"/>
  <c r="W50" i="55" s="1"/>
  <c r="V183" i="64"/>
  <c r="V189" i="64" s="1"/>
  <c r="W48" i="63"/>
  <c r="W50" i="63" s="1"/>
  <c r="W119" i="63" s="1"/>
  <c r="W126" i="63" s="1"/>
  <c r="W48" i="64"/>
  <c r="W50" i="64" s="1"/>
  <c r="W119" i="64" s="1"/>
  <c r="W126" i="64" s="1"/>
  <c r="K188" i="53"/>
  <c r="K179" i="53"/>
  <c r="K178" i="53"/>
  <c r="K186" i="53"/>
  <c r="K194" i="53"/>
  <c r="K187" i="51"/>
  <c r="K179" i="51"/>
  <c r="K188" i="51"/>
  <c r="K178" i="51"/>
  <c r="K194" i="51"/>
  <c r="K178" i="52"/>
  <c r="K187" i="52"/>
  <c r="K179" i="52"/>
  <c r="K188" i="52"/>
  <c r="K194" i="52"/>
  <c r="V174" i="64"/>
  <c r="V180" i="64" s="1"/>
  <c r="W48" i="65"/>
  <c r="W50" i="65" s="1"/>
  <c r="W48" i="51"/>
  <c r="W50" i="51" s="1"/>
  <c r="W48" i="66"/>
  <c r="W50" i="66" s="1"/>
  <c r="W48" i="67"/>
  <c r="W50" i="67" s="1"/>
  <c r="W48" i="57"/>
  <c r="W50" i="57" s="1"/>
  <c r="W48" i="58"/>
  <c r="W50" i="58" s="1"/>
  <c r="S175" i="58"/>
  <c r="S185" i="58"/>
  <c r="W174" i="63"/>
  <c r="W180" i="63" s="1"/>
  <c r="W183" i="63"/>
  <c r="W189" i="63" s="1"/>
  <c r="W171" i="63"/>
  <c r="X43" i="62"/>
  <c r="X85" i="62" s="1"/>
  <c r="X92" i="62" s="1"/>
  <c r="X95" i="62" s="1"/>
  <c r="X166" i="62" s="1"/>
  <c r="X43" i="67"/>
  <c r="X85" i="67" s="1"/>
  <c r="X92" i="67" s="1"/>
  <c r="X95" i="67" s="1"/>
  <c r="X166" i="67" s="1"/>
  <c r="X43" i="65"/>
  <c r="X85" i="65" s="1"/>
  <c r="X92" i="65" s="1"/>
  <c r="X95" i="65" s="1"/>
  <c r="X166" i="65" s="1"/>
  <c r="X43" i="66"/>
  <c r="X85" i="66" s="1"/>
  <c r="X92" i="66" s="1"/>
  <c r="X95" i="66" s="1"/>
  <c r="X166" i="66" s="1"/>
  <c r="X43" i="63"/>
  <c r="X85" i="63" s="1"/>
  <c r="X92" i="63" s="1"/>
  <c r="X95" i="63" s="1"/>
  <c r="X166" i="63" s="1"/>
  <c r="X43" i="64"/>
  <c r="X85" i="64" s="1"/>
  <c r="X92" i="64" s="1"/>
  <c r="X95" i="64" s="1"/>
  <c r="X166" i="64" s="1"/>
  <c r="Y44" i="62"/>
  <c r="Y102" i="62" s="1"/>
  <c r="Y109" i="62" s="1"/>
  <c r="Y44" i="66"/>
  <c r="Y102" i="66" s="1"/>
  <c r="Y109" i="66" s="1"/>
  <c r="Y44" i="65"/>
  <c r="Y102" i="65" s="1"/>
  <c r="Y109" i="65" s="1"/>
  <c r="Y44" i="67"/>
  <c r="Y102" i="67" s="1"/>
  <c r="Y109" i="67" s="1"/>
  <c r="Y44" i="64"/>
  <c r="Y102" i="64" s="1"/>
  <c r="Y109" i="64" s="1"/>
  <c r="Y44" i="63"/>
  <c r="Y102" i="63" s="1"/>
  <c r="Y109" i="63" s="1"/>
  <c r="W183" i="65"/>
  <c r="W189" i="65" s="1"/>
  <c r="W171" i="65"/>
  <c r="W174" i="65"/>
  <c r="W180" i="65" s="1"/>
  <c r="X52" i="65"/>
  <c r="X52" i="66"/>
  <c r="X52" i="67"/>
  <c r="X52" i="63"/>
  <c r="X52" i="64"/>
  <c r="W78" i="64"/>
  <c r="W165" i="64" s="1"/>
  <c r="W174" i="66"/>
  <c r="W180" i="66" s="1"/>
  <c r="W171" i="66"/>
  <c r="W183" i="66"/>
  <c r="W189" i="66" s="1"/>
  <c r="W48" i="62"/>
  <c r="W50" i="62" s="1"/>
  <c r="W153" i="62" s="1"/>
  <c r="W160" i="62" s="1"/>
  <c r="W183" i="67"/>
  <c r="W189" i="67" s="1"/>
  <c r="W171" i="67"/>
  <c r="W174" i="67"/>
  <c r="W180" i="67" s="1"/>
  <c r="X42" i="62"/>
  <c r="X68" i="62" s="1"/>
  <c r="X75" i="62" s="1"/>
  <c r="X78" i="62" s="1"/>
  <c r="X165" i="62" s="1"/>
  <c r="X42" i="67"/>
  <c r="X68" i="67" s="1"/>
  <c r="X75" i="67" s="1"/>
  <c r="X78" i="67" s="1"/>
  <c r="X165" i="67" s="1"/>
  <c r="X42" i="66"/>
  <c r="X68" i="66" s="1"/>
  <c r="X75" i="66" s="1"/>
  <c r="X78" i="66" s="1"/>
  <c r="X165" i="66" s="1"/>
  <c r="X42" i="65"/>
  <c r="X68" i="65" s="1"/>
  <c r="X75" i="65" s="1"/>
  <c r="X78" i="65" s="1"/>
  <c r="X165" i="65" s="1"/>
  <c r="X42" i="64"/>
  <c r="X68" i="64" s="1"/>
  <c r="X75" i="64" s="1"/>
  <c r="X42" i="63"/>
  <c r="X68" i="63" s="1"/>
  <c r="X75" i="63" s="1"/>
  <c r="X78" i="63" s="1"/>
  <c r="X165" i="63" s="1"/>
  <c r="X49" i="66"/>
  <c r="X49" i="58"/>
  <c r="X49" i="57"/>
  <c r="X49" i="51"/>
  <c r="X49" i="52"/>
  <c r="X49" i="65"/>
  <c r="X49" i="55"/>
  <c r="X49" i="53"/>
  <c r="X49" i="67"/>
  <c r="X46" i="62"/>
  <c r="X46" i="67"/>
  <c r="X46" i="65"/>
  <c r="X46" i="66"/>
  <c r="X46" i="64"/>
  <c r="X46" i="63"/>
  <c r="W48" i="52"/>
  <c r="W50" i="52" s="1"/>
  <c r="X53" i="66"/>
  <c r="X53" i="65"/>
  <c r="X53" i="67"/>
  <c r="X53" i="64"/>
  <c r="X53" i="63"/>
  <c r="W48" i="53"/>
  <c r="W50" i="53" s="1"/>
  <c r="S175" i="64"/>
  <c r="T129" i="58"/>
  <c r="T169" i="58" s="1"/>
  <c r="U123" i="58"/>
  <c r="U127" i="58" s="1"/>
  <c r="U101" i="58"/>
  <c r="U108" i="58" s="1"/>
  <c r="V118" i="58"/>
  <c r="V125" i="58" s="1"/>
  <c r="T112" i="58"/>
  <c r="T167" i="58" s="1"/>
  <c r="T185" i="58" s="1"/>
  <c r="U157" i="58"/>
  <c r="U150" i="58"/>
  <c r="U162" i="58" s="1"/>
  <c r="V116" i="58"/>
  <c r="V128" i="58" s="1"/>
  <c r="U116" i="64"/>
  <c r="U128" i="64" s="1"/>
  <c r="U118" i="64"/>
  <c r="U125" i="64" s="1"/>
  <c r="V140" i="58"/>
  <c r="X51" i="62"/>
  <c r="X136" i="62" s="1"/>
  <c r="X143" i="62" s="1"/>
  <c r="X51" i="67"/>
  <c r="X136" i="67" s="1"/>
  <c r="X143" i="67" s="1"/>
  <c r="X51" i="66"/>
  <c r="X136" i="66" s="1"/>
  <c r="X143" i="66" s="1"/>
  <c r="X51" i="65"/>
  <c r="X136" i="65" s="1"/>
  <c r="X143" i="65" s="1"/>
  <c r="X51" i="64"/>
  <c r="X136" i="64" s="1"/>
  <c r="X143" i="64" s="1"/>
  <c r="X51" i="63"/>
  <c r="X136" i="63" s="1"/>
  <c r="X143" i="63" s="1"/>
  <c r="V133" i="51"/>
  <c r="V145" i="51" s="1"/>
  <c r="V135" i="51"/>
  <c r="V142" i="51" s="1"/>
  <c r="U150" i="64"/>
  <c r="U162" i="64" s="1"/>
  <c r="V133" i="58"/>
  <c r="V145" i="58" s="1"/>
  <c r="V135" i="52"/>
  <c r="V142" i="52" s="1"/>
  <c r="V140" i="52"/>
  <c r="V133" i="52"/>
  <c r="V145" i="52" s="1"/>
  <c r="T129" i="64"/>
  <c r="T169" i="64" s="1"/>
  <c r="U99" i="58"/>
  <c r="U111" i="58" s="1"/>
  <c r="V153" i="63"/>
  <c r="V160" i="63" s="1"/>
  <c r="V153" i="62"/>
  <c r="V160" i="62" s="1"/>
  <c r="X49" i="62"/>
  <c r="X49" i="64"/>
  <c r="X49" i="63"/>
  <c r="V153" i="67"/>
  <c r="V160" i="67" s="1"/>
  <c r="V119" i="67"/>
  <c r="V126" i="67" s="1"/>
  <c r="V153" i="65"/>
  <c r="V160" i="65" s="1"/>
  <c r="V119" i="65"/>
  <c r="V126" i="65" s="1"/>
  <c r="V119" i="66"/>
  <c r="V126" i="66" s="1"/>
  <c r="V153" i="66"/>
  <c r="V160" i="66" s="1"/>
  <c r="X45" i="62"/>
  <c r="X45" i="67"/>
  <c r="X45" i="66"/>
  <c r="X45" i="65"/>
  <c r="X45" i="64"/>
  <c r="X45" i="63"/>
  <c r="V133" i="67"/>
  <c r="V145" i="67" s="1"/>
  <c r="V135" i="67"/>
  <c r="V142" i="67" s="1"/>
  <c r="V140" i="67"/>
  <c r="V135" i="53"/>
  <c r="V142" i="53" s="1"/>
  <c r="V133" i="53"/>
  <c r="V145" i="53" s="1"/>
  <c r="V140" i="53"/>
  <c r="W135" i="45"/>
  <c r="W132" i="52" s="1"/>
  <c r="BQ86" i="2" s="1"/>
  <c r="W129" i="45"/>
  <c r="W132" i="51" s="1"/>
  <c r="BQ64" i="2" s="1"/>
  <c r="W136" i="45"/>
  <c r="W132" i="67" s="1"/>
  <c r="BQ152" i="2" s="1"/>
  <c r="W134" i="45"/>
  <c r="W132" i="53" s="1"/>
  <c r="BQ75" i="2" s="1"/>
  <c r="V133" i="61"/>
  <c r="V145" i="61" s="1"/>
  <c r="U157" i="64"/>
  <c r="T175" i="63"/>
  <c r="V140" i="61"/>
  <c r="S185" i="64"/>
  <c r="T129" i="66"/>
  <c r="T169" i="66" s="1"/>
  <c r="T175" i="66" s="1"/>
  <c r="U129" i="67"/>
  <c r="U169" i="67" s="1"/>
  <c r="S184" i="66"/>
  <c r="Y157" i="45"/>
  <c r="X55" i="64"/>
  <c r="X69" i="64" s="1"/>
  <c r="X76" i="64" s="1"/>
  <c r="V150" i="67"/>
  <c r="V162" i="67" s="1"/>
  <c r="V157" i="67"/>
  <c r="V152" i="67"/>
  <c r="V159" i="67" s="1"/>
  <c r="V149" i="58"/>
  <c r="V152" i="58" s="1"/>
  <c r="V159" i="58" s="1"/>
  <c r="V149" i="65"/>
  <c r="W132" i="58"/>
  <c r="W132" i="65"/>
  <c r="BQ119" i="2" s="1"/>
  <c r="U150" i="66"/>
  <c r="U162" i="66" s="1"/>
  <c r="U157" i="66"/>
  <c r="U152" i="66"/>
  <c r="U159" i="66" s="1"/>
  <c r="V116" i="65"/>
  <c r="V128" i="65" s="1"/>
  <c r="V118" i="65"/>
  <c r="V125" i="65" s="1"/>
  <c r="V123" i="65"/>
  <c r="V127" i="65" s="1"/>
  <c r="V116" i="67"/>
  <c r="V128" i="67" s="1"/>
  <c r="V125" i="67"/>
  <c r="V123" i="67"/>
  <c r="V127" i="67" s="1"/>
  <c r="V133" i="64"/>
  <c r="V145" i="64" s="1"/>
  <c r="V135" i="64"/>
  <c r="V142" i="64" s="1"/>
  <c r="V140" i="64"/>
  <c r="W132" i="61"/>
  <c r="W132" i="63"/>
  <c r="BQ42" i="2" s="1"/>
  <c r="V133" i="66"/>
  <c r="V145" i="66" s="1"/>
  <c r="V140" i="66"/>
  <c r="V135" i="66"/>
  <c r="V142" i="66" s="1"/>
  <c r="U116" i="65"/>
  <c r="U128" i="65" s="1"/>
  <c r="U123" i="65"/>
  <c r="U127" i="65" s="1"/>
  <c r="U118" i="65"/>
  <c r="U125" i="65" s="1"/>
  <c r="T129" i="65"/>
  <c r="T169" i="65" s="1"/>
  <c r="V133" i="63"/>
  <c r="V145" i="63" s="1"/>
  <c r="V140" i="63"/>
  <c r="V135" i="63"/>
  <c r="V142" i="63" s="1"/>
  <c r="W132" i="55"/>
  <c r="W132" i="66"/>
  <c r="BQ141" i="2" s="1"/>
  <c r="W132" i="64"/>
  <c r="BQ53" i="2" s="1"/>
  <c r="U116" i="66"/>
  <c r="U128" i="66" s="1"/>
  <c r="U125" i="66"/>
  <c r="U123" i="66"/>
  <c r="U127" i="66" s="1"/>
  <c r="V115" i="64"/>
  <c r="V115" i="66"/>
  <c r="V118" i="66" s="1"/>
  <c r="V149" i="64"/>
  <c r="V150" i="64" s="1"/>
  <c r="V162" i="64" s="1"/>
  <c r="V149" i="66"/>
  <c r="U118" i="58"/>
  <c r="U125" i="58" s="1"/>
  <c r="V133" i="65"/>
  <c r="V145" i="65" s="1"/>
  <c r="V140" i="65"/>
  <c r="V135" i="65"/>
  <c r="V142" i="65" s="1"/>
  <c r="U150" i="65"/>
  <c r="U162" i="65" s="1"/>
  <c r="U157" i="65"/>
  <c r="U152" i="65"/>
  <c r="U159" i="65" s="1"/>
  <c r="T112" i="65"/>
  <c r="T167" i="65" s="1"/>
  <c r="T176" i="65" s="1"/>
  <c r="U112" i="67"/>
  <c r="U167" i="67" s="1"/>
  <c r="U176" i="67" s="1"/>
  <c r="S184" i="65"/>
  <c r="S175" i="65"/>
  <c r="BH8" i="2"/>
  <c r="U112" i="63"/>
  <c r="U167" i="63" s="1"/>
  <c r="U99" i="64"/>
  <c r="U111" i="64" s="1"/>
  <c r="U106" i="64"/>
  <c r="U110" i="64" s="1"/>
  <c r="U101" i="64"/>
  <c r="U108" i="64" s="1"/>
  <c r="V98" i="66"/>
  <c r="V98" i="64"/>
  <c r="U99" i="66"/>
  <c r="U111" i="66" s="1"/>
  <c r="U106" i="66"/>
  <c r="U110" i="66" s="1"/>
  <c r="U101" i="66"/>
  <c r="U108" i="66" s="1"/>
  <c r="T185" i="67"/>
  <c r="T176" i="67"/>
  <c r="S185" i="66"/>
  <c r="S176" i="66"/>
  <c r="T112" i="66"/>
  <c r="T167" i="66" s="1"/>
  <c r="S176" i="65"/>
  <c r="S185" i="65"/>
  <c r="T112" i="64"/>
  <c r="T167" i="64" s="1"/>
  <c r="V101" i="63"/>
  <c r="V108" i="63" s="1"/>
  <c r="V106" i="63"/>
  <c r="V110" i="63" s="1"/>
  <c r="V99" i="63"/>
  <c r="V111" i="63" s="1"/>
  <c r="V99" i="67"/>
  <c r="V111" i="67" s="1"/>
  <c r="V101" i="67"/>
  <c r="V108" i="67" s="1"/>
  <c r="V106" i="67"/>
  <c r="V110" i="67" s="1"/>
  <c r="U99" i="65"/>
  <c r="U111" i="65" s="1"/>
  <c r="U101" i="65"/>
  <c r="U108" i="65" s="1"/>
  <c r="U106" i="65"/>
  <c r="U110" i="65" s="1"/>
  <c r="V98" i="58"/>
  <c r="V101" i="58" s="1"/>
  <c r="V108" i="58" s="1"/>
  <c r="V98" i="65"/>
  <c r="T176" i="63"/>
  <c r="T185" i="63"/>
  <c r="W166" i="52"/>
  <c r="BO85" i="2" s="1"/>
  <c r="V150" i="51"/>
  <c r="V162" i="51" s="1"/>
  <c r="V152" i="51"/>
  <c r="V159" i="51" s="1"/>
  <c r="V149" i="61"/>
  <c r="V152" i="61" s="1"/>
  <c r="V159" i="61" s="1"/>
  <c r="V149" i="63"/>
  <c r="V123" i="63"/>
  <c r="V127" i="63" s="1"/>
  <c r="V125" i="63"/>
  <c r="V116" i="63"/>
  <c r="V128" i="63" s="1"/>
  <c r="U150" i="63"/>
  <c r="U162" i="63" s="1"/>
  <c r="U152" i="63"/>
  <c r="U159" i="63" s="1"/>
  <c r="U157" i="63"/>
  <c r="U150" i="61"/>
  <c r="U162" i="61" s="1"/>
  <c r="U157" i="61"/>
  <c r="U152" i="61"/>
  <c r="U159" i="61" s="1"/>
  <c r="U184" i="63"/>
  <c r="U175" i="63"/>
  <c r="S175" i="61"/>
  <c r="S184" i="61"/>
  <c r="V119" i="61"/>
  <c r="V126" i="61" s="1"/>
  <c r="U112" i="62"/>
  <c r="U167" i="62" s="1"/>
  <c r="U176" i="62" s="1"/>
  <c r="W48" i="61"/>
  <c r="W50" i="61" s="1"/>
  <c r="V99" i="62"/>
  <c r="V111" i="62" s="1"/>
  <c r="V101" i="62"/>
  <c r="V108" i="62" s="1"/>
  <c r="V106" i="62"/>
  <c r="V110" i="62" s="1"/>
  <c r="U129" i="62"/>
  <c r="U169" i="62" s="1"/>
  <c r="T185" i="62"/>
  <c r="T176" i="62"/>
  <c r="W132" i="62"/>
  <c r="BQ31" i="2" s="1"/>
  <c r="W132" i="57"/>
  <c r="BQ97" i="2" s="1"/>
  <c r="X52" i="61"/>
  <c r="X63" i="45"/>
  <c r="X64" i="45"/>
  <c r="X59" i="45"/>
  <c r="X65" i="45"/>
  <c r="X60" i="45"/>
  <c r="X66" i="45"/>
  <c r="X61" i="45"/>
  <c r="X67" i="45"/>
  <c r="X62" i="45"/>
  <c r="X50" i="45"/>
  <c r="X131" i="45" s="1"/>
  <c r="X53" i="45"/>
  <c r="X56" i="45"/>
  <c r="X137" i="45" s="1"/>
  <c r="X48" i="45"/>
  <c r="X51" i="45"/>
  <c r="X132" i="45" s="1"/>
  <c r="X54" i="45"/>
  <c r="X49" i="45"/>
  <c r="X130" i="45" s="1"/>
  <c r="X52" i="45"/>
  <c r="X133" i="45" s="1"/>
  <c r="X55" i="45"/>
  <c r="X52" i="62"/>
  <c r="W144" i="45"/>
  <c r="W149" i="66" s="1"/>
  <c r="BS141" i="2" s="1"/>
  <c r="W116" i="62"/>
  <c r="W128" i="62" s="1"/>
  <c r="BL31" i="2"/>
  <c r="W123" i="62"/>
  <c r="W127" i="62" s="1"/>
  <c r="W125" i="62"/>
  <c r="V142" i="57"/>
  <c r="V140" i="57"/>
  <c r="V133" i="57"/>
  <c r="V145" i="57" s="1"/>
  <c r="T175" i="62"/>
  <c r="T184" i="62"/>
  <c r="X53" i="61"/>
  <c r="X71" i="45"/>
  <c r="X76" i="45"/>
  <c r="X74" i="45"/>
  <c r="X72" i="45"/>
  <c r="X77" i="45"/>
  <c r="X70" i="45"/>
  <c r="X78" i="45"/>
  <c r="X75" i="45"/>
  <c r="X73" i="45"/>
  <c r="X53" i="62"/>
  <c r="V133" i="62"/>
  <c r="V145" i="62" s="1"/>
  <c r="V140" i="62"/>
  <c r="V135" i="62"/>
  <c r="V142" i="62" s="1"/>
  <c r="V116" i="62"/>
  <c r="V128" i="62" s="1"/>
  <c r="V123" i="62"/>
  <c r="V127" i="62" s="1"/>
  <c r="V125" i="62"/>
  <c r="W171" i="62"/>
  <c r="W174" i="62"/>
  <c r="W180" i="62" s="1"/>
  <c r="W183" i="62"/>
  <c r="W189" i="62" s="1"/>
  <c r="V150" i="62"/>
  <c r="V162" i="62" s="1"/>
  <c r="V152" i="62"/>
  <c r="V159" i="62" s="1"/>
  <c r="V157" i="62"/>
  <c r="T112" i="61"/>
  <c r="T167" i="61" s="1"/>
  <c r="T176" i="61" s="1"/>
  <c r="S185" i="61"/>
  <c r="S176" i="61"/>
  <c r="X49" i="61"/>
  <c r="X49" i="38"/>
  <c r="V115" i="61"/>
  <c r="V118" i="61" s="1"/>
  <c r="U99" i="61"/>
  <c r="U111" i="61" s="1"/>
  <c r="U106" i="61"/>
  <c r="U110" i="61" s="1"/>
  <c r="U101" i="61"/>
  <c r="U108" i="61" s="1"/>
  <c r="W171" i="61"/>
  <c r="W174" i="61"/>
  <c r="W180" i="61" s="1"/>
  <c r="W183" i="61"/>
  <c r="W189" i="61" s="1"/>
  <c r="X45" i="61"/>
  <c r="X45" i="38"/>
  <c r="X51" i="61"/>
  <c r="X136" i="61" s="1"/>
  <c r="X143" i="61" s="1"/>
  <c r="X51" i="38"/>
  <c r="T129" i="61"/>
  <c r="T169" i="61" s="1"/>
  <c r="U129" i="61"/>
  <c r="U169" i="61" s="1"/>
  <c r="X43" i="38"/>
  <c r="X43" i="61"/>
  <c r="X85" i="61" s="1"/>
  <c r="X92" i="61" s="1"/>
  <c r="X95" i="61" s="1"/>
  <c r="X166" i="61" s="1"/>
  <c r="X46" i="61"/>
  <c r="X46" i="38"/>
  <c r="X42" i="38"/>
  <c r="X42" i="61"/>
  <c r="X68" i="61" s="1"/>
  <c r="X75" i="61" s="1"/>
  <c r="X78" i="61" s="1"/>
  <c r="X165" i="61" s="1"/>
  <c r="V98" i="61"/>
  <c r="Y44" i="61"/>
  <c r="Y102" i="61" s="1"/>
  <c r="Y109" i="61" s="1"/>
  <c r="Y44" i="38"/>
  <c r="Q48" i="38"/>
  <c r="Q50" i="38" s="1"/>
  <c r="T184" i="53"/>
  <c r="T175" i="53"/>
  <c r="V183" i="58"/>
  <c r="V189" i="58" s="1"/>
  <c r="V174" i="58"/>
  <c r="V180" i="58" s="1"/>
  <c r="V171" i="51"/>
  <c r="V183" i="53"/>
  <c r="V189" i="53" s="1"/>
  <c r="V174" i="51"/>
  <c r="V180" i="51" s="1"/>
  <c r="W75" i="53"/>
  <c r="W78" i="53" s="1"/>
  <c r="W165" i="53" s="1"/>
  <c r="BN74" i="2" s="1"/>
  <c r="W75" i="58"/>
  <c r="W78" i="58" s="1"/>
  <c r="W165" i="58" s="1"/>
  <c r="BN107" i="2" s="1"/>
  <c r="W75" i="52"/>
  <c r="W78" i="52" s="1"/>
  <c r="W75" i="55"/>
  <c r="W78" i="55" s="1"/>
  <c r="W165" i="55" s="1"/>
  <c r="BN129" i="2" s="1"/>
  <c r="W75" i="57"/>
  <c r="W78" i="57" s="1"/>
  <c r="W165" i="57" s="1"/>
  <c r="W183" i="57" s="1"/>
  <c r="W189" i="57" s="1"/>
  <c r="V171" i="53"/>
  <c r="T129" i="57"/>
  <c r="T169" i="57" s="1"/>
  <c r="T184" i="57" s="1"/>
  <c r="W75" i="51"/>
  <c r="W78" i="51" s="1"/>
  <c r="W165" i="51" s="1"/>
  <c r="BN63" i="2" s="1"/>
  <c r="X43" i="57"/>
  <c r="X85" i="57" s="1"/>
  <c r="X92" i="57" s="1"/>
  <c r="X95" i="57" s="1"/>
  <c r="X166" i="57" s="1"/>
  <c r="X43" i="58"/>
  <c r="X85" i="58" s="1"/>
  <c r="X92" i="58" s="1"/>
  <c r="X95" i="58" s="1"/>
  <c r="X166" i="58" s="1"/>
  <c r="X43" i="55"/>
  <c r="X85" i="55" s="1"/>
  <c r="X92" i="55" s="1"/>
  <c r="X95" i="55" s="1"/>
  <c r="X166" i="55" s="1"/>
  <c r="X43" i="53"/>
  <c r="X85" i="53" s="1"/>
  <c r="X92" i="53" s="1"/>
  <c r="X95" i="53" s="1"/>
  <c r="X166" i="53" s="1"/>
  <c r="X43" i="52"/>
  <c r="X85" i="52" s="1"/>
  <c r="X92" i="52" s="1"/>
  <c r="X95" i="52" s="1"/>
  <c r="X166" i="52" s="1"/>
  <c r="X43" i="51"/>
  <c r="X85" i="51" s="1"/>
  <c r="X92" i="51" s="1"/>
  <c r="X95" i="51" s="1"/>
  <c r="X166" i="51" s="1"/>
  <c r="X41" i="58"/>
  <c r="X67" i="58" s="1"/>
  <c r="X41" i="57"/>
  <c r="X67" i="57" s="1"/>
  <c r="X41" i="55"/>
  <c r="X67" i="55" s="1"/>
  <c r="X41" i="53"/>
  <c r="X67" i="53" s="1"/>
  <c r="X41" i="52"/>
  <c r="X67" i="52" s="1"/>
  <c r="X41" i="51"/>
  <c r="X67" i="51" s="1"/>
  <c r="V153" i="53"/>
  <c r="V160" i="53" s="1"/>
  <c r="V119" i="53"/>
  <c r="V126" i="53" s="1"/>
  <c r="V153" i="58"/>
  <c r="V160" i="58" s="1"/>
  <c r="V119" i="58"/>
  <c r="V126" i="58" s="1"/>
  <c r="V119" i="51"/>
  <c r="V126" i="51" s="1"/>
  <c r="V153" i="51"/>
  <c r="V160" i="51" s="1"/>
  <c r="X52" i="58"/>
  <c r="X52" i="57"/>
  <c r="X52" i="53"/>
  <c r="X52" i="55"/>
  <c r="X52" i="52"/>
  <c r="X52" i="51"/>
  <c r="X51" i="58"/>
  <c r="X136" i="58" s="1"/>
  <c r="X143" i="58" s="1"/>
  <c r="X51" i="57"/>
  <c r="X136" i="57" s="1"/>
  <c r="X143" i="57" s="1"/>
  <c r="X51" i="53"/>
  <c r="X136" i="53" s="1"/>
  <c r="X143" i="53" s="1"/>
  <c r="X51" i="55"/>
  <c r="X136" i="55" s="1"/>
  <c r="X143" i="55" s="1"/>
  <c r="X51" i="52"/>
  <c r="X136" i="52" s="1"/>
  <c r="X143" i="52" s="1"/>
  <c r="X51" i="51"/>
  <c r="X136" i="51" s="1"/>
  <c r="X143" i="51" s="1"/>
  <c r="W132" i="38"/>
  <c r="BQ20" i="2" s="1"/>
  <c r="V153" i="55"/>
  <c r="V160" i="55" s="1"/>
  <c r="V119" i="55"/>
  <c r="V126" i="55" s="1"/>
  <c r="X46" i="58"/>
  <c r="X46" i="57"/>
  <c r="X46" i="55"/>
  <c r="X46" i="53"/>
  <c r="X46" i="52"/>
  <c r="X46" i="51"/>
  <c r="X53" i="58"/>
  <c r="X53" i="57"/>
  <c r="X53" i="53"/>
  <c r="X53" i="55"/>
  <c r="X53" i="52"/>
  <c r="X53" i="51"/>
  <c r="V153" i="57"/>
  <c r="V160" i="57" s="1"/>
  <c r="V119" i="57"/>
  <c r="V126" i="57" s="1"/>
  <c r="V183" i="52"/>
  <c r="V189" i="52" s="1"/>
  <c r="V171" i="52"/>
  <c r="V174" i="52"/>
  <c r="V180" i="52" s="1"/>
  <c r="V119" i="52"/>
  <c r="V126" i="52" s="1"/>
  <c r="V153" i="52"/>
  <c r="V160" i="52" s="1"/>
  <c r="X42" i="58"/>
  <c r="X68" i="58" s="1"/>
  <c r="X42" i="57"/>
  <c r="X68" i="57" s="1"/>
  <c r="X42" i="53"/>
  <c r="X68" i="53" s="1"/>
  <c r="X42" i="55"/>
  <c r="X68" i="55" s="1"/>
  <c r="X42" i="52"/>
  <c r="X68" i="52" s="1"/>
  <c r="X42" i="51"/>
  <c r="X68" i="51" s="1"/>
  <c r="V174" i="57"/>
  <c r="V180" i="57" s="1"/>
  <c r="V183" i="57"/>
  <c r="V189" i="57" s="1"/>
  <c r="V171" i="57"/>
  <c r="Y44" i="58"/>
  <c r="Y102" i="58" s="1"/>
  <c r="Y109" i="58" s="1"/>
  <c r="Y44" i="57"/>
  <c r="Y102" i="57" s="1"/>
  <c r="Y109" i="57" s="1"/>
  <c r="Y44" i="55"/>
  <c r="Y102" i="55" s="1"/>
  <c r="Y109" i="55" s="1"/>
  <c r="Y44" i="53"/>
  <c r="Y102" i="53" s="1"/>
  <c r="Y109" i="53" s="1"/>
  <c r="Y44" i="52"/>
  <c r="Y102" i="52" s="1"/>
  <c r="Y109" i="52" s="1"/>
  <c r="Y44" i="51"/>
  <c r="Y102" i="51" s="1"/>
  <c r="Y109" i="51" s="1"/>
  <c r="X45" i="58"/>
  <c r="X45" i="55"/>
  <c r="X45" i="53"/>
  <c r="X45" i="57"/>
  <c r="X45" i="52"/>
  <c r="X45" i="51"/>
  <c r="V183" i="55"/>
  <c r="V189" i="55" s="1"/>
  <c r="V171" i="55"/>
  <c r="V174" i="55"/>
  <c r="V180" i="55" s="1"/>
  <c r="V116" i="52"/>
  <c r="V128" i="52" s="1"/>
  <c r="V123" i="52"/>
  <c r="V127" i="52" s="1"/>
  <c r="V118" i="52"/>
  <c r="V125" i="52" s="1"/>
  <c r="V99" i="52"/>
  <c r="V111" i="52" s="1"/>
  <c r="V106" i="52"/>
  <c r="V110" i="52" s="1"/>
  <c r="V101" i="52"/>
  <c r="V108" i="52" s="1"/>
  <c r="V99" i="51"/>
  <c r="V111" i="51" s="1"/>
  <c r="V106" i="51"/>
  <c r="V110" i="51" s="1"/>
  <c r="V101" i="51"/>
  <c r="V108" i="51" s="1"/>
  <c r="U112" i="52"/>
  <c r="U167" i="52" s="1"/>
  <c r="T184" i="51"/>
  <c r="T175" i="51"/>
  <c r="U99" i="55"/>
  <c r="U111" i="55" s="1"/>
  <c r="U106" i="55"/>
  <c r="U110" i="55" s="1"/>
  <c r="U101" i="55"/>
  <c r="U108" i="55" s="1"/>
  <c r="V149" i="38"/>
  <c r="V152" i="38" s="1"/>
  <c r="V149" i="55"/>
  <c r="V152" i="55" s="1"/>
  <c r="W115" i="57"/>
  <c r="S184" i="57"/>
  <c r="S175" i="57"/>
  <c r="U116" i="57"/>
  <c r="U128" i="57" s="1"/>
  <c r="U118" i="57"/>
  <c r="U125" i="57" s="1"/>
  <c r="U123" i="57"/>
  <c r="U127" i="57" s="1"/>
  <c r="S184" i="55"/>
  <c r="S175" i="55"/>
  <c r="U112" i="51"/>
  <c r="U167" i="51" s="1"/>
  <c r="U116" i="55"/>
  <c r="U128" i="55" s="1"/>
  <c r="U118" i="55"/>
  <c r="U125" i="55" s="1"/>
  <c r="U123" i="55"/>
  <c r="U127" i="55" s="1"/>
  <c r="V116" i="53"/>
  <c r="V128" i="53" s="1"/>
  <c r="V118" i="53"/>
  <c r="V125" i="53" s="1"/>
  <c r="V123" i="53"/>
  <c r="V127" i="53" s="1"/>
  <c r="V115" i="38"/>
  <c r="V118" i="38" s="1"/>
  <c r="V115" i="55"/>
  <c r="S185" i="57"/>
  <c r="S176" i="57"/>
  <c r="U150" i="57"/>
  <c r="U162" i="57" s="1"/>
  <c r="U157" i="57"/>
  <c r="U159" i="57"/>
  <c r="V98" i="57"/>
  <c r="V98" i="38"/>
  <c r="V98" i="55"/>
  <c r="V116" i="51"/>
  <c r="V128" i="51" s="1"/>
  <c r="V118" i="51"/>
  <c r="V125" i="51" s="1"/>
  <c r="V123" i="51"/>
  <c r="V127" i="51" s="1"/>
  <c r="T176" i="53"/>
  <c r="T185" i="53"/>
  <c r="S185" i="55"/>
  <c r="S176" i="55"/>
  <c r="T112" i="57"/>
  <c r="T167" i="57" s="1"/>
  <c r="V150" i="52"/>
  <c r="V162" i="52" s="1"/>
  <c r="V157" i="52"/>
  <c r="V159" i="52"/>
  <c r="U129" i="51"/>
  <c r="U169" i="51" s="1"/>
  <c r="V115" i="57"/>
  <c r="U112" i="53"/>
  <c r="U167" i="53" s="1"/>
  <c r="T175" i="52"/>
  <c r="T184" i="52"/>
  <c r="T185" i="51"/>
  <c r="T176" i="51"/>
  <c r="U150" i="55"/>
  <c r="U162" i="55" s="1"/>
  <c r="U157" i="55"/>
  <c r="U159" i="55"/>
  <c r="T112" i="55"/>
  <c r="T167" i="55" s="1"/>
  <c r="V99" i="53"/>
  <c r="V111" i="53" s="1"/>
  <c r="V106" i="53"/>
  <c r="V110" i="53" s="1"/>
  <c r="V101" i="53"/>
  <c r="V108" i="53" s="1"/>
  <c r="V149" i="57"/>
  <c r="V152" i="57" s="1"/>
  <c r="V150" i="53"/>
  <c r="V162" i="53" s="1"/>
  <c r="V157" i="53"/>
  <c r="V159" i="53"/>
  <c r="U129" i="53"/>
  <c r="U169" i="53" s="1"/>
  <c r="T129" i="55"/>
  <c r="T169" i="55" s="1"/>
  <c r="U129" i="52"/>
  <c r="U169" i="52" s="1"/>
  <c r="U99" i="57"/>
  <c r="U111" i="57" s="1"/>
  <c r="U106" i="57"/>
  <c r="U110" i="57" s="1"/>
  <c r="U101" i="57"/>
  <c r="U108" i="57" s="1"/>
  <c r="V133" i="55"/>
  <c r="V145" i="55" s="1"/>
  <c r="V140" i="55"/>
  <c r="V142" i="55"/>
  <c r="T176" i="52"/>
  <c r="T185" i="52"/>
  <c r="V140" i="51"/>
  <c r="V157" i="51"/>
  <c r="Y156" i="45"/>
  <c r="Y55" i="63" s="1"/>
  <c r="Y69" i="63" s="1"/>
  <c r="Y76" i="63" s="1"/>
  <c r="W145" i="45"/>
  <c r="W122" i="45"/>
  <c r="W115" i="53" s="1"/>
  <c r="W123" i="45"/>
  <c r="W115" i="52" s="1"/>
  <c r="BR86" i="2" s="1"/>
  <c r="Y155" i="45"/>
  <c r="Y55" i="62" s="1"/>
  <c r="Y69" i="62" s="1"/>
  <c r="Y76" i="62" s="1"/>
  <c r="W120" i="45"/>
  <c r="W146" i="45"/>
  <c r="W149" i="62" s="1"/>
  <c r="BS31" i="2" s="1"/>
  <c r="W150" i="45"/>
  <c r="W149" i="45"/>
  <c r="W149" i="67" s="1"/>
  <c r="BS152" i="2" s="1"/>
  <c r="W148" i="45"/>
  <c r="W149" i="52" s="1"/>
  <c r="BS86" i="2" s="1"/>
  <c r="W147" i="45"/>
  <c r="W149" i="53" s="1"/>
  <c r="BS75" i="2" s="1"/>
  <c r="W143" i="45"/>
  <c r="W142" i="45"/>
  <c r="W149" i="51" s="1"/>
  <c r="W118" i="45"/>
  <c r="W115" i="63" s="1"/>
  <c r="W124" i="45"/>
  <c r="W115" i="67" s="1"/>
  <c r="Y154" i="45"/>
  <c r="X55" i="38"/>
  <c r="W117" i="45"/>
  <c r="W115" i="51" s="1"/>
  <c r="W119" i="45"/>
  <c r="W125" i="45"/>
  <c r="X116" i="45"/>
  <c r="X125" i="45" s="1"/>
  <c r="X140" i="45"/>
  <c r="Y39" i="45"/>
  <c r="Y38" i="45"/>
  <c r="Y40" i="45"/>
  <c r="Y27" i="45"/>
  <c r="Y28" i="45"/>
  <c r="Y29" i="45"/>
  <c r="W107" i="45"/>
  <c r="W109" i="45"/>
  <c r="W98" i="62" s="1"/>
  <c r="BP31" i="2" s="1"/>
  <c r="W111" i="45"/>
  <c r="W98" i="52" s="1"/>
  <c r="W105" i="45"/>
  <c r="W98" i="51" s="1"/>
  <c r="W106" i="45"/>
  <c r="W98" i="63" s="1"/>
  <c r="BP42" i="2" s="1"/>
  <c r="W110" i="45"/>
  <c r="W98" i="53" s="1"/>
  <c r="W108" i="45"/>
  <c r="X104" i="45"/>
  <c r="X103" i="45"/>
  <c r="W113" i="45"/>
  <c r="W112" i="45"/>
  <c r="W98" i="67" s="1"/>
  <c r="BP152" i="2" s="1"/>
  <c r="Y23" i="45"/>
  <c r="Y19" i="45"/>
  <c r="X52" i="38"/>
  <c r="Y14" i="45"/>
  <c r="Z6" i="45"/>
  <c r="Y12" i="45"/>
  <c r="Y21" i="45"/>
  <c r="Y20" i="45"/>
  <c r="X53" i="38"/>
  <c r="Y4" i="45"/>
  <c r="Y5" i="45"/>
  <c r="X183" i="62" l="1"/>
  <c r="X189" i="62" s="1"/>
  <c r="BP64" i="2"/>
  <c r="BJ64" i="2" s="1"/>
  <c r="H66" i="3" s="1"/>
  <c r="T66" i="3" s="1"/>
  <c r="BR64" i="2"/>
  <c r="BL64" i="2" s="1"/>
  <c r="J66" i="3" s="1"/>
  <c r="V66" i="3" s="1"/>
  <c r="BR97" i="2"/>
  <c r="BL97" i="2" s="1"/>
  <c r="J102" i="3" s="1"/>
  <c r="V102" i="3" s="1"/>
  <c r="W118" i="67"/>
  <c r="BR152" i="2"/>
  <c r="BP86" i="2"/>
  <c r="BJ86" i="2" s="1"/>
  <c r="H90" i="3" s="1"/>
  <c r="T90" i="3" s="1"/>
  <c r="BR75" i="2"/>
  <c r="BL75" i="2" s="1"/>
  <c r="J78" i="3" s="1"/>
  <c r="V78" i="3" s="1"/>
  <c r="BS64" i="2"/>
  <c r="BM64" i="2" s="1"/>
  <c r="K66" i="3" s="1"/>
  <c r="W66" i="3" s="1"/>
  <c r="W174" i="64"/>
  <c r="W180" i="64" s="1"/>
  <c r="BN52" i="2"/>
  <c r="W133" i="55"/>
  <c r="W145" i="55" s="1"/>
  <c r="BQ130" i="2"/>
  <c r="BK130" i="2" s="1"/>
  <c r="I138" i="3" s="1"/>
  <c r="U138" i="3" s="1"/>
  <c r="BQ9" i="2"/>
  <c r="BK9" i="2" s="1"/>
  <c r="I6" i="3" s="1"/>
  <c r="U6" i="3" s="1"/>
  <c r="W118" i="63"/>
  <c r="BR42" i="2"/>
  <c r="BP75" i="2"/>
  <c r="BJ75" i="2" s="1"/>
  <c r="H78" i="3" s="1"/>
  <c r="T78" i="3" s="1"/>
  <c r="W133" i="58"/>
  <c r="W145" i="58" s="1"/>
  <c r="BQ108" i="2"/>
  <c r="BK108" i="2" s="1"/>
  <c r="I114" i="3" s="1"/>
  <c r="M186" i="64"/>
  <c r="AQ52" i="2"/>
  <c r="AK52" i="2" s="1"/>
  <c r="I53" i="79" s="1"/>
  <c r="U53" i="79" s="1"/>
  <c r="U58" i="79" s="1"/>
  <c r="M177" i="62"/>
  <c r="AQ30" i="2"/>
  <c r="AK30" i="2" s="1"/>
  <c r="I29" i="79" s="1"/>
  <c r="U29" i="79" s="1"/>
  <c r="U34" i="79" s="1"/>
  <c r="M177" i="53"/>
  <c r="AQ74" i="2"/>
  <c r="AK74" i="2" s="1"/>
  <c r="I77" i="79" s="1"/>
  <c r="U77" i="79" s="1"/>
  <c r="U82" i="79" s="1"/>
  <c r="BI8" i="2"/>
  <c r="BH41" i="2"/>
  <c r="F41" i="3" s="1"/>
  <c r="R41" i="3" s="1"/>
  <c r="R46" i="3" s="1"/>
  <c r="BH151" i="2"/>
  <c r="F161" i="3" s="1"/>
  <c r="R161" i="3" s="1"/>
  <c r="R166" i="3" s="1"/>
  <c r="BH140" i="2"/>
  <c r="F149" i="3" s="1"/>
  <c r="R149" i="3" s="1"/>
  <c r="R154" i="3" s="1"/>
  <c r="K154" i="62"/>
  <c r="K161" i="62" s="1"/>
  <c r="K163" i="62" s="1"/>
  <c r="K170" i="62" s="1"/>
  <c r="K179" i="62" s="1"/>
  <c r="K186" i="67"/>
  <c r="K188" i="67"/>
  <c r="K178" i="67"/>
  <c r="K179" i="67"/>
  <c r="X48" i="62"/>
  <c r="X50" i="62" s="1"/>
  <c r="X153" i="62" s="1"/>
  <c r="X160" i="62" s="1"/>
  <c r="M177" i="64"/>
  <c r="K154" i="55"/>
  <c r="K161" i="55" s="1"/>
  <c r="K163" i="55" s="1"/>
  <c r="K170" i="55" s="1"/>
  <c r="K154" i="61"/>
  <c r="K161" i="61" s="1"/>
  <c r="K163" i="61" s="1"/>
  <c r="K170" i="61" s="1"/>
  <c r="K188" i="61" s="1"/>
  <c r="M192" i="53"/>
  <c r="M193" i="53"/>
  <c r="M187" i="53"/>
  <c r="H79" i="65"/>
  <c r="K154" i="64"/>
  <c r="K161" i="64" s="1"/>
  <c r="K163" i="64" s="1"/>
  <c r="K170" i="64" s="1"/>
  <c r="K194" i="64" s="1"/>
  <c r="K154" i="66"/>
  <c r="K161" i="66" s="1"/>
  <c r="K163" i="66" s="1"/>
  <c r="K170" i="66" s="1"/>
  <c r="K186" i="66" s="1"/>
  <c r="L179" i="67"/>
  <c r="L186" i="53"/>
  <c r="L178" i="67"/>
  <c r="H79" i="57"/>
  <c r="L188" i="52"/>
  <c r="L179" i="52"/>
  <c r="L178" i="52"/>
  <c r="H79" i="58"/>
  <c r="L194" i="67"/>
  <c r="L178" i="53"/>
  <c r="L179" i="53"/>
  <c r="L188" i="53"/>
  <c r="X48" i="57"/>
  <c r="X50" i="57" s="1"/>
  <c r="M193" i="64"/>
  <c r="M192" i="64"/>
  <c r="H79" i="63"/>
  <c r="L186" i="67"/>
  <c r="X48" i="58"/>
  <c r="X50" i="58" s="1"/>
  <c r="L179" i="51"/>
  <c r="L178" i="51"/>
  <c r="L187" i="51"/>
  <c r="L194" i="51"/>
  <c r="N246" i="45"/>
  <c r="N262" i="45" s="1"/>
  <c r="M59" i="67"/>
  <c r="M154" i="67" s="1"/>
  <c r="M161" i="67" s="1"/>
  <c r="M163" i="67" s="1"/>
  <c r="M170" i="67" s="1"/>
  <c r="O214" i="45"/>
  <c r="O230" i="45" s="1"/>
  <c r="O213" i="45"/>
  <c r="O229" i="45" s="1"/>
  <c r="M245" i="45"/>
  <c r="M261" i="45" s="1"/>
  <c r="L59" i="66"/>
  <c r="L154" i="66" s="1"/>
  <c r="L161" i="66" s="1"/>
  <c r="L163" i="66" s="1"/>
  <c r="L170" i="66" s="1"/>
  <c r="L179" i="66" s="1"/>
  <c r="O212" i="45"/>
  <c r="O228" i="45" s="1"/>
  <c r="N58" i="55"/>
  <c r="N137" i="55" s="1"/>
  <c r="N144" i="55" s="1"/>
  <c r="N146" i="55" s="1"/>
  <c r="N168" i="55" s="1"/>
  <c r="M244" i="45"/>
  <c r="M260" i="45" s="1"/>
  <c r="L59" i="55"/>
  <c r="L154" i="55" s="1"/>
  <c r="L161" i="55" s="1"/>
  <c r="L163" i="55" s="1"/>
  <c r="L170" i="55" s="1"/>
  <c r="L186" i="55" s="1"/>
  <c r="O211" i="45"/>
  <c r="O227" i="45" s="1"/>
  <c r="M243" i="45"/>
  <c r="M259" i="45" s="1"/>
  <c r="L59" i="65"/>
  <c r="L154" i="65" s="1"/>
  <c r="L161" i="65" s="1"/>
  <c r="L163" i="65" s="1"/>
  <c r="L170" i="65" s="1"/>
  <c r="L188" i="65" s="1"/>
  <c r="O210" i="45"/>
  <c r="O226" i="45" s="1"/>
  <c r="M242" i="45"/>
  <c r="M258" i="45" s="1"/>
  <c r="L59" i="58"/>
  <c r="L154" i="58" s="1"/>
  <c r="L161" i="58" s="1"/>
  <c r="L163" i="58" s="1"/>
  <c r="L170" i="58" s="1"/>
  <c r="L179" i="58" s="1"/>
  <c r="N58" i="57"/>
  <c r="N137" i="57" s="1"/>
  <c r="N144" i="57" s="1"/>
  <c r="N146" i="57" s="1"/>
  <c r="N168" i="57" s="1"/>
  <c r="O209" i="45"/>
  <c r="O225" i="45" s="1"/>
  <c r="M177" i="57"/>
  <c r="M187" i="57"/>
  <c r="M192" i="57"/>
  <c r="M193" i="57"/>
  <c r="M241" i="45"/>
  <c r="M257" i="45" s="1"/>
  <c r="L59" i="57"/>
  <c r="L154" i="57" s="1"/>
  <c r="L161" i="57" s="1"/>
  <c r="L163" i="57" s="1"/>
  <c r="L170" i="57" s="1"/>
  <c r="L188" i="57" s="1"/>
  <c r="N240" i="45"/>
  <c r="N256" i="45" s="1"/>
  <c r="M59" i="52"/>
  <c r="M154" i="52" s="1"/>
  <c r="M161" i="52" s="1"/>
  <c r="M163" i="52" s="1"/>
  <c r="M170" i="52" s="1"/>
  <c r="L194" i="52"/>
  <c r="O208" i="45"/>
  <c r="O224" i="45" s="1"/>
  <c r="N239" i="45"/>
  <c r="N255" i="45" s="1"/>
  <c r="M58" i="53"/>
  <c r="M154" i="53" s="1"/>
  <c r="M161" i="53" s="1"/>
  <c r="M163" i="53" s="1"/>
  <c r="M170" i="53" s="1"/>
  <c r="O207" i="45"/>
  <c r="O223" i="45" s="1"/>
  <c r="N57" i="53"/>
  <c r="N137" i="53" s="1"/>
  <c r="N144" i="53" s="1"/>
  <c r="N146" i="53" s="1"/>
  <c r="N168" i="53" s="1"/>
  <c r="N187" i="53" s="1"/>
  <c r="N238" i="45"/>
  <c r="N254" i="45" s="1"/>
  <c r="M58" i="51"/>
  <c r="M154" i="51" s="1"/>
  <c r="M161" i="51" s="1"/>
  <c r="M163" i="51" s="1"/>
  <c r="M170" i="51" s="1"/>
  <c r="O206" i="45"/>
  <c r="O222" i="45" s="1"/>
  <c r="O205" i="45"/>
  <c r="O221" i="45" s="1"/>
  <c r="N57" i="64"/>
  <c r="N137" i="64" s="1"/>
  <c r="N144" i="64" s="1"/>
  <c r="N146" i="64" s="1"/>
  <c r="N168" i="64" s="1"/>
  <c r="N192" i="64" s="1"/>
  <c r="M237" i="45"/>
  <c r="M253" i="45" s="1"/>
  <c r="L58" i="64"/>
  <c r="L154" i="64" s="1"/>
  <c r="L161" i="64" s="1"/>
  <c r="L163" i="64" s="1"/>
  <c r="L170" i="64" s="1"/>
  <c r="L178" i="64" s="1"/>
  <c r="M177" i="63"/>
  <c r="M192" i="63"/>
  <c r="M193" i="63"/>
  <c r="M187" i="63"/>
  <c r="O204" i="45"/>
  <c r="O220" i="45" s="1"/>
  <c r="N57" i="63"/>
  <c r="N137" i="63" s="1"/>
  <c r="N144" i="63" s="1"/>
  <c r="N146" i="63" s="1"/>
  <c r="N168" i="63" s="1"/>
  <c r="M236" i="45"/>
  <c r="M252" i="45" s="1"/>
  <c r="L58" i="63"/>
  <c r="L154" i="63" s="1"/>
  <c r="L161" i="63" s="1"/>
  <c r="L163" i="63" s="1"/>
  <c r="L170" i="63" s="1"/>
  <c r="L179" i="63" s="1"/>
  <c r="O203" i="45"/>
  <c r="O219" i="45" s="1"/>
  <c r="N57" i="62"/>
  <c r="N137" i="62" s="1"/>
  <c r="N144" i="62" s="1"/>
  <c r="N146" i="62" s="1"/>
  <c r="N168" i="62" s="1"/>
  <c r="N177" i="62" s="1"/>
  <c r="M192" i="62"/>
  <c r="M187" i="62"/>
  <c r="M193" i="62"/>
  <c r="M235" i="45"/>
  <c r="M251" i="45" s="1"/>
  <c r="L58" i="62"/>
  <c r="L154" i="62" s="1"/>
  <c r="L161" i="62" s="1"/>
  <c r="L163" i="62" s="1"/>
  <c r="L170" i="62" s="1"/>
  <c r="L194" i="62" s="1"/>
  <c r="O202" i="45"/>
  <c r="O218" i="45" s="1"/>
  <c r="N57" i="38"/>
  <c r="M234" i="45"/>
  <c r="M250" i="45" s="1"/>
  <c r="L58" i="38"/>
  <c r="O201" i="45"/>
  <c r="O217" i="45" s="1"/>
  <c r="M233" i="45"/>
  <c r="M249" i="45" s="1"/>
  <c r="L58" i="61"/>
  <c r="L154" i="61" s="1"/>
  <c r="L161" i="61" s="1"/>
  <c r="L163" i="61" s="1"/>
  <c r="L170" i="61" s="1"/>
  <c r="L178" i="61" s="1"/>
  <c r="M177" i="55"/>
  <c r="M192" i="55"/>
  <c r="M193" i="55"/>
  <c r="M187" i="55"/>
  <c r="M192" i="52"/>
  <c r="M177" i="52"/>
  <c r="M186" i="52"/>
  <c r="M193" i="52"/>
  <c r="N58" i="52"/>
  <c r="N137" i="52" s="1"/>
  <c r="N144" i="52" s="1"/>
  <c r="N146" i="52" s="1"/>
  <c r="N168" i="52" s="1"/>
  <c r="N58" i="67"/>
  <c r="N137" i="67" s="1"/>
  <c r="N144" i="67" s="1"/>
  <c r="N146" i="67" s="1"/>
  <c r="N168" i="67" s="1"/>
  <c r="M192" i="67"/>
  <c r="M177" i="67"/>
  <c r="M187" i="67"/>
  <c r="M193" i="67"/>
  <c r="L186" i="61"/>
  <c r="L192" i="61"/>
  <c r="L177" i="61"/>
  <c r="L193" i="61"/>
  <c r="M57" i="61"/>
  <c r="M137" i="61" s="1"/>
  <c r="M144" i="61" s="1"/>
  <c r="M146" i="61" s="1"/>
  <c r="M168" i="61" s="1"/>
  <c r="AQ8" i="2" s="1"/>
  <c r="AK8" i="2" s="1"/>
  <c r="I5" i="79" s="1"/>
  <c r="U5" i="79" s="1"/>
  <c r="U10" i="79" s="1"/>
  <c r="M58" i="65"/>
  <c r="M137" i="65" s="1"/>
  <c r="M144" i="65" s="1"/>
  <c r="M146" i="65" s="1"/>
  <c r="M168" i="65" s="1"/>
  <c r="AQ118" i="2" s="1"/>
  <c r="AK118" i="2" s="1"/>
  <c r="I125" i="79" s="1"/>
  <c r="U125" i="79" s="1"/>
  <c r="U130" i="79" s="1"/>
  <c r="N58" i="66"/>
  <c r="N137" i="66" s="1"/>
  <c r="N144" i="66" s="1"/>
  <c r="N146" i="66" s="1"/>
  <c r="N168" i="66" s="1"/>
  <c r="M57" i="51"/>
  <c r="M137" i="51" s="1"/>
  <c r="M144" i="51" s="1"/>
  <c r="M146" i="51" s="1"/>
  <c r="M168" i="51" s="1"/>
  <c r="AQ63" i="2" s="1"/>
  <c r="AK63" i="2" s="1"/>
  <c r="I65" i="79" s="1"/>
  <c r="U65" i="79" s="1"/>
  <c r="U70" i="79" s="1"/>
  <c r="M58" i="58"/>
  <c r="M137" i="58" s="1"/>
  <c r="M144" i="58" s="1"/>
  <c r="M146" i="58" s="1"/>
  <c r="M168" i="58" s="1"/>
  <c r="AQ107" i="2" s="1"/>
  <c r="AK107" i="2" s="1"/>
  <c r="I113" i="79" s="1"/>
  <c r="U113" i="79" s="1"/>
  <c r="U118" i="79" s="1"/>
  <c r="L177" i="65"/>
  <c r="L187" i="65"/>
  <c r="L192" i="65"/>
  <c r="L193" i="65"/>
  <c r="M187" i="66"/>
  <c r="M192" i="66"/>
  <c r="M177" i="66"/>
  <c r="M193" i="66"/>
  <c r="L193" i="51"/>
  <c r="L192" i="51"/>
  <c r="L177" i="51"/>
  <c r="L186" i="51"/>
  <c r="L192" i="58"/>
  <c r="L187" i="58"/>
  <c r="L177" i="58"/>
  <c r="L193" i="58"/>
  <c r="X48" i="55"/>
  <c r="X50" i="55" s="1"/>
  <c r="X48" i="66"/>
  <c r="X50" i="66" s="1"/>
  <c r="X48" i="51"/>
  <c r="X50" i="51" s="1"/>
  <c r="K178" i="63"/>
  <c r="K179" i="63"/>
  <c r="K186" i="63"/>
  <c r="K188" i="63"/>
  <c r="K194" i="63"/>
  <c r="K186" i="58"/>
  <c r="K178" i="58"/>
  <c r="K179" i="58"/>
  <c r="K188" i="58"/>
  <c r="K194" i="58"/>
  <c r="K179" i="65"/>
  <c r="K178" i="65"/>
  <c r="K186" i="65"/>
  <c r="K188" i="65"/>
  <c r="K194" i="65"/>
  <c r="K179" i="57"/>
  <c r="K188" i="57"/>
  <c r="K178" i="57"/>
  <c r="K186" i="57"/>
  <c r="K194" i="57"/>
  <c r="W171" i="64"/>
  <c r="U129" i="64"/>
  <c r="U169" i="64" s="1"/>
  <c r="U184" i="64" s="1"/>
  <c r="BI140" i="2"/>
  <c r="G149" i="3" s="1"/>
  <c r="S149" i="3" s="1"/>
  <c r="S154" i="3" s="1"/>
  <c r="W183" i="64"/>
  <c r="W189" i="64" s="1"/>
  <c r="BI41" i="2"/>
  <c r="G41" i="3" s="1"/>
  <c r="S41" i="3" s="1"/>
  <c r="S46" i="3" s="1"/>
  <c r="X171" i="63"/>
  <c r="X174" i="63"/>
  <c r="X180" i="63" s="1"/>
  <c r="X183" i="63"/>
  <c r="X189" i="63" s="1"/>
  <c r="X48" i="63"/>
  <c r="X50" i="63" s="1"/>
  <c r="X119" i="63" s="1"/>
  <c r="X126" i="63" s="1"/>
  <c r="X48" i="52"/>
  <c r="X50" i="52" s="1"/>
  <c r="Z44" i="62"/>
  <c r="Z102" i="62" s="1"/>
  <c r="Z109" i="62" s="1"/>
  <c r="Z44" i="66"/>
  <c r="Z102" i="66" s="1"/>
  <c r="Z109" i="66" s="1"/>
  <c r="Z44" i="65"/>
  <c r="Z102" i="65" s="1"/>
  <c r="Z109" i="65" s="1"/>
  <c r="Z44" i="67"/>
  <c r="Z102" i="67" s="1"/>
  <c r="Z109" i="67" s="1"/>
  <c r="Z44" i="63"/>
  <c r="Z102" i="63" s="1"/>
  <c r="Z109" i="63" s="1"/>
  <c r="Z44" i="64"/>
  <c r="Z102" i="64" s="1"/>
  <c r="Z109" i="64" s="1"/>
  <c r="Y43" i="62"/>
  <c r="Y85" i="62" s="1"/>
  <c r="Y92" i="62" s="1"/>
  <c r="Y95" i="62" s="1"/>
  <c r="Y166" i="62" s="1"/>
  <c r="Y43" i="67"/>
  <c r="Y85" i="67" s="1"/>
  <c r="Y92" i="67" s="1"/>
  <c r="Y95" i="67" s="1"/>
  <c r="Y166" i="67" s="1"/>
  <c r="Y43" i="65"/>
  <c r="Y85" i="65" s="1"/>
  <c r="Y92" i="65" s="1"/>
  <c r="Y95" i="65" s="1"/>
  <c r="Y166" i="65" s="1"/>
  <c r="Y43" i="66"/>
  <c r="Y85" i="66" s="1"/>
  <c r="Y92" i="66" s="1"/>
  <c r="Y95" i="66" s="1"/>
  <c r="Y166" i="66" s="1"/>
  <c r="Y43" i="64"/>
  <c r="Y85" i="64" s="1"/>
  <c r="Y92" i="64" s="1"/>
  <c r="Y95" i="64" s="1"/>
  <c r="Y166" i="64" s="1"/>
  <c r="Y43" i="63"/>
  <c r="Y85" i="63" s="1"/>
  <c r="Y92" i="63" s="1"/>
  <c r="Y95" i="63" s="1"/>
  <c r="Y166" i="63" s="1"/>
  <c r="X48" i="65"/>
  <c r="X50" i="65" s="1"/>
  <c r="Y42" i="62"/>
  <c r="Y68" i="62" s="1"/>
  <c r="Y75" i="62" s="1"/>
  <c r="Y78" i="62" s="1"/>
  <c r="Y165" i="62" s="1"/>
  <c r="Y174" i="62" s="1"/>
  <c r="Y180" i="62" s="1"/>
  <c r="Y42" i="66"/>
  <c r="Y68" i="66" s="1"/>
  <c r="Y75" i="66" s="1"/>
  <c r="Y78" i="66" s="1"/>
  <c r="Y165" i="66" s="1"/>
  <c r="Y42" i="65"/>
  <c r="Y68" i="65" s="1"/>
  <c r="Y75" i="65" s="1"/>
  <c r="Y78" i="65" s="1"/>
  <c r="Y165" i="65" s="1"/>
  <c r="Y42" i="67"/>
  <c r="Y68" i="67" s="1"/>
  <c r="Y75" i="67" s="1"/>
  <c r="Y78" i="67" s="1"/>
  <c r="Y165" i="67" s="1"/>
  <c r="Y42" i="64"/>
  <c r="Y68" i="64" s="1"/>
  <c r="Y75" i="64" s="1"/>
  <c r="Y42" i="63"/>
  <c r="Y68" i="63" s="1"/>
  <c r="Y75" i="63" s="1"/>
  <c r="Y78" i="63" s="1"/>
  <c r="Y165" i="63" s="1"/>
  <c r="X48" i="53"/>
  <c r="X50" i="53" s="1"/>
  <c r="X174" i="65"/>
  <c r="X180" i="65" s="1"/>
  <c r="X171" i="65"/>
  <c r="X183" i="65"/>
  <c r="X189" i="65" s="1"/>
  <c r="X48" i="67"/>
  <c r="X50" i="67" s="1"/>
  <c r="X171" i="66"/>
  <c r="X174" i="66"/>
  <c r="X180" i="66" s="1"/>
  <c r="X183" i="66"/>
  <c r="X189" i="66" s="1"/>
  <c r="X174" i="67"/>
  <c r="X180" i="67" s="1"/>
  <c r="X171" i="67"/>
  <c r="X183" i="67"/>
  <c r="X189" i="67" s="1"/>
  <c r="Y49" i="57"/>
  <c r="Y49" i="52"/>
  <c r="Y49" i="67"/>
  <c r="Y49" i="65"/>
  <c r="Y49" i="58"/>
  <c r="Y49" i="51"/>
  <c r="Y49" i="55"/>
  <c r="Y49" i="66"/>
  <c r="Y49" i="53"/>
  <c r="BI151" i="2"/>
  <c r="G161" i="3" s="1"/>
  <c r="S161" i="3" s="1"/>
  <c r="S166" i="3" s="1"/>
  <c r="X78" i="64"/>
  <c r="X165" i="64" s="1"/>
  <c r="Y46" i="62"/>
  <c r="Y46" i="67"/>
  <c r="Y46" i="66"/>
  <c r="Y46" i="65"/>
  <c r="Y46" i="64"/>
  <c r="Y46" i="63"/>
  <c r="T176" i="58"/>
  <c r="Y52" i="67"/>
  <c r="Y52" i="66"/>
  <c r="Y52" i="65"/>
  <c r="Y52" i="63"/>
  <c r="Y52" i="64"/>
  <c r="X48" i="64"/>
  <c r="X50" i="64" s="1"/>
  <c r="X153" i="64" s="1"/>
  <c r="X160" i="64" s="1"/>
  <c r="Y53" i="67"/>
  <c r="Y53" i="65"/>
  <c r="Y53" i="66"/>
  <c r="Y53" i="64"/>
  <c r="Y53" i="63"/>
  <c r="T184" i="58"/>
  <c r="T175" i="58"/>
  <c r="U129" i="58"/>
  <c r="U169" i="58" s="1"/>
  <c r="U184" i="58" s="1"/>
  <c r="U112" i="58"/>
  <c r="U167" i="58" s="1"/>
  <c r="U176" i="58" s="1"/>
  <c r="V157" i="64"/>
  <c r="W149" i="38"/>
  <c r="V129" i="58"/>
  <c r="V169" i="58" s="1"/>
  <c r="W133" i="61"/>
  <c r="W145" i="61" s="1"/>
  <c r="W140" i="55"/>
  <c r="W140" i="58"/>
  <c r="W153" i="64"/>
  <c r="W160" i="64" s="1"/>
  <c r="V118" i="64"/>
  <c r="V125" i="64" s="1"/>
  <c r="T175" i="64"/>
  <c r="Y51" i="62"/>
  <c r="Y136" i="62" s="1"/>
  <c r="Y143" i="62" s="1"/>
  <c r="Y51" i="67"/>
  <c r="Y136" i="67" s="1"/>
  <c r="Y143" i="67" s="1"/>
  <c r="Y51" i="66"/>
  <c r="Y136" i="66" s="1"/>
  <c r="Y143" i="66" s="1"/>
  <c r="Y51" i="65"/>
  <c r="Y136" i="65" s="1"/>
  <c r="Y143" i="65" s="1"/>
  <c r="Y51" i="64"/>
  <c r="Y136" i="64" s="1"/>
  <c r="Y143" i="64" s="1"/>
  <c r="Y51" i="63"/>
  <c r="Y136" i="63" s="1"/>
  <c r="Y143" i="63" s="1"/>
  <c r="T184" i="64"/>
  <c r="W140" i="61"/>
  <c r="BK152" i="2"/>
  <c r="I162" i="3" s="1"/>
  <c r="U162" i="3" s="1"/>
  <c r="W133" i="67"/>
  <c r="W145" i="67" s="1"/>
  <c r="W135" i="67"/>
  <c r="W142" i="67" s="1"/>
  <c r="BK64" i="2"/>
  <c r="I66" i="3" s="1"/>
  <c r="U66" i="3" s="1"/>
  <c r="W133" i="51"/>
  <c r="W145" i="51" s="1"/>
  <c r="W133" i="52"/>
  <c r="W145" i="52" s="1"/>
  <c r="W140" i="52"/>
  <c r="W135" i="52"/>
  <c r="W142" i="52" s="1"/>
  <c r="W135" i="53"/>
  <c r="W142" i="53" s="1"/>
  <c r="W140" i="53"/>
  <c r="BK75" i="2"/>
  <c r="I78" i="3" s="1"/>
  <c r="U78" i="3" s="1"/>
  <c r="W133" i="53"/>
  <c r="W145" i="53" s="1"/>
  <c r="W119" i="62"/>
  <c r="W126" i="62" s="1"/>
  <c r="W129" i="62" s="1"/>
  <c r="W169" i="62" s="1"/>
  <c r="BR30" i="2" s="1"/>
  <c r="W153" i="63"/>
  <c r="W160" i="63" s="1"/>
  <c r="Y49" i="62"/>
  <c r="Y49" i="63"/>
  <c r="Y49" i="64"/>
  <c r="W153" i="67"/>
  <c r="W160" i="67" s="1"/>
  <c r="W119" i="67"/>
  <c r="W126" i="67" s="1"/>
  <c r="W119" i="66"/>
  <c r="W126" i="66" s="1"/>
  <c r="W153" i="66"/>
  <c r="W160" i="66" s="1"/>
  <c r="W153" i="65"/>
  <c r="W160" i="65" s="1"/>
  <c r="W119" i="65"/>
  <c r="W126" i="65" s="1"/>
  <c r="Y45" i="62"/>
  <c r="Y45" i="65"/>
  <c r="Y45" i="66"/>
  <c r="Y45" i="67"/>
  <c r="Y45" i="63"/>
  <c r="Y45" i="64"/>
  <c r="X129" i="45"/>
  <c r="X132" i="51" s="1"/>
  <c r="X134" i="45"/>
  <c r="X132" i="53" s="1"/>
  <c r="X136" i="45"/>
  <c r="X132" i="67" s="1"/>
  <c r="W140" i="67"/>
  <c r="W135" i="51"/>
  <c r="W142" i="51" s="1"/>
  <c r="X135" i="45"/>
  <c r="X132" i="52" s="1"/>
  <c r="V157" i="58"/>
  <c r="V150" i="58"/>
  <c r="V162" i="58" s="1"/>
  <c r="V106" i="58"/>
  <c r="V110" i="58" s="1"/>
  <c r="V152" i="64"/>
  <c r="V159" i="64" s="1"/>
  <c r="T185" i="65"/>
  <c r="T184" i="66"/>
  <c r="V116" i="64"/>
  <c r="V128" i="64" s="1"/>
  <c r="U175" i="67"/>
  <c r="U184" i="67"/>
  <c r="V129" i="67"/>
  <c r="V169" i="67" s="1"/>
  <c r="V175" i="67" s="1"/>
  <c r="Z157" i="45"/>
  <c r="Y55" i="64"/>
  <c r="Y69" i="64" s="1"/>
  <c r="Y76" i="64" s="1"/>
  <c r="U129" i="65"/>
  <c r="U169" i="65" s="1"/>
  <c r="U184" i="65" s="1"/>
  <c r="W133" i="64"/>
  <c r="W145" i="64" s="1"/>
  <c r="BK53" i="2"/>
  <c r="I54" i="3" s="1"/>
  <c r="U54" i="3" s="1"/>
  <c r="W135" i="64"/>
  <c r="W142" i="64" s="1"/>
  <c r="W140" i="64"/>
  <c r="BK42" i="2"/>
  <c r="I42" i="3" s="1"/>
  <c r="U42" i="3" s="1"/>
  <c r="W133" i="63"/>
  <c r="W145" i="63" s="1"/>
  <c r="W140" i="63"/>
  <c r="W135" i="63"/>
  <c r="W142" i="63" s="1"/>
  <c r="V129" i="65"/>
  <c r="V169" i="65" s="1"/>
  <c r="W150" i="66"/>
  <c r="W162" i="66" s="1"/>
  <c r="BM141" i="2"/>
  <c r="K150" i="3" s="1"/>
  <c r="W157" i="66"/>
  <c r="W152" i="66"/>
  <c r="W159" i="66" s="1"/>
  <c r="W133" i="66"/>
  <c r="W145" i="66" s="1"/>
  <c r="BK141" i="2"/>
  <c r="I150" i="3" s="1"/>
  <c r="U150" i="3" s="1"/>
  <c r="W135" i="66"/>
  <c r="W142" i="66" s="1"/>
  <c r="W140" i="66"/>
  <c r="W133" i="65"/>
  <c r="W145" i="65" s="1"/>
  <c r="BK119" i="2"/>
  <c r="I126" i="3" s="1"/>
  <c r="U126" i="3" s="1"/>
  <c r="W140" i="65"/>
  <c r="W135" i="65"/>
  <c r="W142" i="65" s="1"/>
  <c r="X132" i="61"/>
  <c r="X133" i="61" s="1"/>
  <c r="X145" i="61" s="1"/>
  <c r="X132" i="63"/>
  <c r="X115" i="58"/>
  <c r="X116" i="58" s="1"/>
  <c r="X128" i="58" s="1"/>
  <c r="X115" i="65"/>
  <c r="U185" i="67"/>
  <c r="W135" i="55"/>
  <c r="W142" i="55" s="1"/>
  <c r="W135" i="58"/>
  <c r="W142" i="58" s="1"/>
  <c r="W115" i="58"/>
  <c r="W115" i="65"/>
  <c r="BR119" i="2" s="1"/>
  <c r="W152" i="53"/>
  <c r="W159" i="53" s="1"/>
  <c r="BM75" i="2"/>
  <c r="K78" i="3" s="1"/>
  <c r="W78" i="3" s="1"/>
  <c r="V150" i="66"/>
  <c r="V162" i="66" s="1"/>
  <c r="V152" i="66"/>
  <c r="V159" i="66" s="1"/>
  <c r="V157" i="66"/>
  <c r="W115" i="64"/>
  <c r="BR53" i="2" s="1"/>
  <c r="W115" i="66"/>
  <c r="W152" i="52"/>
  <c r="W159" i="52" s="1"/>
  <c r="W135" i="61"/>
  <c r="W142" i="61" s="1"/>
  <c r="V123" i="64"/>
  <c r="V127" i="64" s="1"/>
  <c r="V150" i="65"/>
  <c r="V162" i="65" s="1"/>
  <c r="V157" i="65"/>
  <c r="V152" i="65"/>
  <c r="V159" i="65" s="1"/>
  <c r="V116" i="66"/>
  <c r="V128" i="66" s="1"/>
  <c r="V125" i="66"/>
  <c r="V123" i="66"/>
  <c r="V127" i="66" s="1"/>
  <c r="W149" i="58"/>
  <c r="W149" i="65"/>
  <c r="BS119" i="2" s="1"/>
  <c r="T184" i="65"/>
  <c r="T175" i="65"/>
  <c r="X132" i="66"/>
  <c r="X132" i="64"/>
  <c r="W150" i="67"/>
  <c r="W162" i="67" s="1"/>
  <c r="BM152" i="2"/>
  <c r="K162" i="3" s="1"/>
  <c r="W152" i="67"/>
  <c r="W159" i="67" s="1"/>
  <c r="W157" i="67"/>
  <c r="X132" i="58"/>
  <c r="X135" i="58" s="1"/>
  <c r="X142" i="58" s="1"/>
  <c r="X132" i="65"/>
  <c r="U129" i="66"/>
  <c r="U169" i="66" s="1"/>
  <c r="W135" i="57"/>
  <c r="W142" i="57" s="1"/>
  <c r="BK97" i="2"/>
  <c r="I102" i="3" s="1"/>
  <c r="U102" i="3" s="1"/>
  <c r="W116" i="67"/>
  <c r="W128" i="67" s="1"/>
  <c r="BL152" i="2"/>
  <c r="J162" i="3" s="1"/>
  <c r="V162" i="3" s="1"/>
  <c r="W125" i="67"/>
  <c r="W123" i="67"/>
  <c r="W127" i="67" s="1"/>
  <c r="W183" i="51"/>
  <c r="W189" i="51" s="1"/>
  <c r="W183" i="53"/>
  <c r="W189" i="53" s="1"/>
  <c r="W174" i="58"/>
  <c r="W180" i="58" s="1"/>
  <c r="W183" i="55"/>
  <c r="W189" i="55" s="1"/>
  <c r="U112" i="65"/>
  <c r="U167" i="65" s="1"/>
  <c r="V99" i="58"/>
  <c r="V111" i="58" s="1"/>
  <c r="W99" i="67"/>
  <c r="W111" i="67" s="1"/>
  <c r="BJ152" i="2"/>
  <c r="H162" i="3" s="1"/>
  <c r="T162" i="3" s="1"/>
  <c r="W106" i="67"/>
  <c r="W110" i="67" s="1"/>
  <c r="W101" i="67"/>
  <c r="W108" i="67" s="1"/>
  <c r="W98" i="58"/>
  <c r="W98" i="65"/>
  <c r="BP119" i="2" s="1"/>
  <c r="V112" i="67"/>
  <c r="V167" i="67" s="1"/>
  <c r="V112" i="63"/>
  <c r="V167" i="63" s="1"/>
  <c r="U112" i="66"/>
  <c r="U167" i="66" s="1"/>
  <c r="W98" i="66"/>
  <c r="BP141" i="2" s="1"/>
  <c r="W98" i="64"/>
  <c r="BP53" i="2" s="1"/>
  <c r="V99" i="64"/>
  <c r="V111" i="64" s="1"/>
  <c r="V101" i="64"/>
  <c r="V108" i="64" s="1"/>
  <c r="V106" i="64"/>
  <c r="V110" i="64" s="1"/>
  <c r="T185" i="64"/>
  <c r="T176" i="64"/>
  <c r="V99" i="66"/>
  <c r="V111" i="66" s="1"/>
  <c r="V106" i="66"/>
  <c r="V110" i="66" s="1"/>
  <c r="V101" i="66"/>
  <c r="V108" i="66" s="1"/>
  <c r="BJ42" i="2"/>
  <c r="H42" i="3" s="1"/>
  <c r="T42" i="3" s="1"/>
  <c r="W101" i="63"/>
  <c r="W108" i="63" s="1"/>
  <c r="W106" i="63"/>
  <c r="W110" i="63" s="1"/>
  <c r="W99" i="63"/>
  <c r="W111" i="63" s="1"/>
  <c r="V99" i="65"/>
  <c r="V111" i="65" s="1"/>
  <c r="V106" i="65"/>
  <c r="V110" i="65" s="1"/>
  <c r="V101" i="65"/>
  <c r="V108" i="65" s="1"/>
  <c r="T185" i="66"/>
  <c r="T176" i="66"/>
  <c r="U112" i="64"/>
  <c r="U167" i="64" s="1"/>
  <c r="U176" i="63"/>
  <c r="U185" i="63"/>
  <c r="W165" i="52"/>
  <c r="BN85" i="2" s="1"/>
  <c r="BI86" i="2"/>
  <c r="G90" i="3" s="1"/>
  <c r="S90" i="3" s="1"/>
  <c r="W150" i="51"/>
  <c r="W152" i="51"/>
  <c r="W149" i="55"/>
  <c r="W149" i="64"/>
  <c r="BS53" i="2" s="1"/>
  <c r="BL42" i="2"/>
  <c r="J42" i="3" s="1"/>
  <c r="V42" i="3" s="1"/>
  <c r="W123" i="63"/>
  <c r="W127" i="63" s="1"/>
  <c r="W125" i="63"/>
  <c r="W116" i="63"/>
  <c r="W128" i="63" s="1"/>
  <c r="V129" i="63"/>
  <c r="V169" i="63" s="1"/>
  <c r="V150" i="63"/>
  <c r="V162" i="63" s="1"/>
  <c r="V152" i="63"/>
  <c r="V159" i="63" s="1"/>
  <c r="V157" i="63"/>
  <c r="V150" i="61"/>
  <c r="V162" i="61" s="1"/>
  <c r="V157" i="61"/>
  <c r="W149" i="61"/>
  <c r="BS9" i="2" s="1"/>
  <c r="W149" i="63"/>
  <c r="BS42" i="2" s="1"/>
  <c r="X174" i="62"/>
  <c r="X180" i="62" s="1"/>
  <c r="X171" i="62"/>
  <c r="U185" i="62"/>
  <c r="X48" i="61"/>
  <c r="X50" i="61" s="1"/>
  <c r="V129" i="62"/>
  <c r="V169" i="62" s="1"/>
  <c r="V184" i="62" s="1"/>
  <c r="T185" i="61"/>
  <c r="Y53" i="61"/>
  <c r="Y78" i="45"/>
  <c r="Y71" i="45"/>
  <c r="Y73" i="45"/>
  <c r="Y76" i="45"/>
  <c r="Y74" i="45"/>
  <c r="Y72" i="45"/>
  <c r="Y77" i="45"/>
  <c r="Y70" i="45"/>
  <c r="Y75" i="45"/>
  <c r="Y53" i="62"/>
  <c r="BH30" i="2"/>
  <c r="BI30" i="2"/>
  <c r="G29" i="3" s="1"/>
  <c r="U175" i="62"/>
  <c r="U184" i="62"/>
  <c r="X145" i="45"/>
  <c r="J30" i="3"/>
  <c r="V112" i="62"/>
  <c r="V167" i="62" s="1"/>
  <c r="X132" i="62"/>
  <c r="X132" i="57"/>
  <c r="X135" i="57" s="1"/>
  <c r="BJ31" i="2"/>
  <c r="H30" i="3" s="1"/>
  <c r="W99" i="62"/>
  <c r="W111" i="62" s="1"/>
  <c r="W106" i="62"/>
  <c r="W110" i="62" s="1"/>
  <c r="W101" i="62"/>
  <c r="W108" i="62" s="1"/>
  <c r="Y52" i="61"/>
  <c r="Y63" i="45"/>
  <c r="Y62" i="45"/>
  <c r="Y64" i="45"/>
  <c r="Y59" i="45"/>
  <c r="Y65" i="45"/>
  <c r="Y60" i="45"/>
  <c r="Y66" i="45"/>
  <c r="Y61" i="45"/>
  <c r="Y67" i="45"/>
  <c r="Y49" i="45"/>
  <c r="Y130" i="45" s="1"/>
  <c r="Y55" i="45"/>
  <c r="Y50" i="45"/>
  <c r="Y131" i="45" s="1"/>
  <c r="Y53" i="45"/>
  <c r="Y56" i="45"/>
  <c r="Y137" i="45" s="1"/>
  <c r="Y48" i="45"/>
  <c r="Y129" i="45" s="1"/>
  <c r="Y132" i="51" s="1"/>
  <c r="Y51" i="45"/>
  <c r="Y132" i="45" s="1"/>
  <c r="Y54" i="45"/>
  <c r="Y52" i="45"/>
  <c r="Y133" i="45" s="1"/>
  <c r="Y52" i="62"/>
  <c r="W140" i="57"/>
  <c r="W133" i="57"/>
  <c r="W145" i="57" s="1"/>
  <c r="W140" i="62"/>
  <c r="W135" i="62"/>
  <c r="W142" i="62" s="1"/>
  <c r="BK31" i="2"/>
  <c r="I30" i="3" s="1"/>
  <c r="W133" i="62"/>
  <c r="W145" i="62" s="1"/>
  <c r="BM31" i="2"/>
  <c r="W150" i="62"/>
  <c r="W162" i="62" s="1"/>
  <c r="W152" i="62"/>
  <c r="W159" i="62" s="1"/>
  <c r="W157" i="62"/>
  <c r="W135" i="38"/>
  <c r="BK20" i="2"/>
  <c r="I18" i="3" s="1"/>
  <c r="Y42" i="61"/>
  <c r="Y68" i="61" s="1"/>
  <c r="Y75" i="61" s="1"/>
  <c r="Y78" i="61" s="1"/>
  <c r="Y165" i="61" s="1"/>
  <c r="Y42" i="38"/>
  <c r="X183" i="61"/>
  <c r="X189" i="61" s="1"/>
  <c r="X174" i="61"/>
  <c r="X180" i="61" s="1"/>
  <c r="X171" i="61"/>
  <c r="Y43" i="61"/>
  <c r="Y85" i="61" s="1"/>
  <c r="Y92" i="61" s="1"/>
  <c r="Y95" i="61" s="1"/>
  <c r="Y166" i="61" s="1"/>
  <c r="Y43" i="38"/>
  <c r="W115" i="61"/>
  <c r="BR9" i="2" s="1"/>
  <c r="Y46" i="38"/>
  <c r="Y46" i="61"/>
  <c r="U175" i="61"/>
  <c r="U184" i="61"/>
  <c r="U112" i="61"/>
  <c r="U167" i="61" s="1"/>
  <c r="V99" i="61"/>
  <c r="V111" i="61" s="1"/>
  <c r="V106" i="61"/>
  <c r="V110" i="61" s="1"/>
  <c r="V101" i="61"/>
  <c r="V108" i="61" s="1"/>
  <c r="Y45" i="61"/>
  <c r="Y45" i="38"/>
  <c r="W153" i="61"/>
  <c r="W160" i="61" s="1"/>
  <c r="W119" i="61"/>
  <c r="W126" i="61" s="1"/>
  <c r="T175" i="61"/>
  <c r="T184" i="61"/>
  <c r="Z44" i="61"/>
  <c r="Z102" i="61" s="1"/>
  <c r="Z109" i="61" s="1"/>
  <c r="Z44" i="38"/>
  <c r="W98" i="61"/>
  <c r="BP9" i="2" s="1"/>
  <c r="Y51" i="61"/>
  <c r="Y136" i="61" s="1"/>
  <c r="Y143" i="61" s="1"/>
  <c r="Y51" i="38"/>
  <c r="Y49" i="61"/>
  <c r="Y49" i="38"/>
  <c r="V116" i="61"/>
  <c r="V128" i="61" s="1"/>
  <c r="V123" i="61"/>
  <c r="V127" i="61" s="1"/>
  <c r="V125" i="61"/>
  <c r="W174" i="53"/>
  <c r="W180" i="53" s="1"/>
  <c r="R48" i="38"/>
  <c r="R50" i="38" s="1"/>
  <c r="T175" i="57"/>
  <c r="W171" i="53"/>
  <c r="W174" i="57"/>
  <c r="W180" i="57" s="1"/>
  <c r="W171" i="57"/>
  <c r="S48" i="38"/>
  <c r="W171" i="55"/>
  <c r="W174" i="55"/>
  <c r="W180" i="55" s="1"/>
  <c r="W171" i="58"/>
  <c r="W183" i="58"/>
  <c r="W189" i="58" s="1"/>
  <c r="W171" i="51"/>
  <c r="U129" i="57"/>
  <c r="U169" i="57" s="1"/>
  <c r="U175" i="57" s="1"/>
  <c r="W174" i="51"/>
  <c r="W180" i="51" s="1"/>
  <c r="W153" i="58"/>
  <c r="W160" i="58" s="1"/>
  <c r="W119" i="58"/>
  <c r="W126" i="58" s="1"/>
  <c r="W153" i="53"/>
  <c r="W160" i="53" s="1"/>
  <c r="W119" i="53"/>
  <c r="W126" i="53" s="1"/>
  <c r="W153" i="52"/>
  <c r="W160" i="52" s="1"/>
  <c r="W119" i="52"/>
  <c r="W126" i="52" s="1"/>
  <c r="Y43" i="58"/>
  <c r="Y85" i="58" s="1"/>
  <c r="Y92" i="58" s="1"/>
  <c r="Y95" i="58" s="1"/>
  <c r="Y166" i="58" s="1"/>
  <c r="Y43" i="57"/>
  <c r="Y85" i="57" s="1"/>
  <c r="Y92" i="57" s="1"/>
  <c r="Y95" i="57" s="1"/>
  <c r="Y166" i="57" s="1"/>
  <c r="Y43" i="55"/>
  <c r="Y85" i="55" s="1"/>
  <c r="Y92" i="55" s="1"/>
  <c r="Y95" i="55" s="1"/>
  <c r="Y166" i="55" s="1"/>
  <c r="Y43" i="53"/>
  <c r="Y85" i="53" s="1"/>
  <c r="Y92" i="53" s="1"/>
  <c r="Y95" i="53" s="1"/>
  <c r="Y166" i="53" s="1"/>
  <c r="Y43" i="52"/>
  <c r="Y85" i="52" s="1"/>
  <c r="Y92" i="52" s="1"/>
  <c r="Y95" i="52" s="1"/>
  <c r="Y166" i="52" s="1"/>
  <c r="Y43" i="51"/>
  <c r="Y85" i="51" s="1"/>
  <c r="Y92" i="51" s="1"/>
  <c r="Y95" i="51" s="1"/>
  <c r="Y166" i="51" s="1"/>
  <c r="X75" i="51"/>
  <c r="X78" i="51" s="1"/>
  <c r="X165" i="51" s="1"/>
  <c r="V129" i="52"/>
  <c r="V169" i="52" s="1"/>
  <c r="V175" i="52" s="1"/>
  <c r="X75" i="52"/>
  <c r="X78" i="52" s="1"/>
  <c r="X165" i="52" s="1"/>
  <c r="X75" i="53"/>
  <c r="X78" i="53" s="1"/>
  <c r="X165" i="53" s="1"/>
  <c r="X75" i="55"/>
  <c r="X78" i="55" s="1"/>
  <c r="X165" i="55" s="1"/>
  <c r="W153" i="55"/>
  <c r="W160" i="55" s="1"/>
  <c r="W119" i="55"/>
  <c r="W126" i="55" s="1"/>
  <c r="X75" i="57"/>
  <c r="X78" i="57" s="1"/>
  <c r="X165" i="57" s="1"/>
  <c r="Y52" i="58"/>
  <c r="Y52" i="57"/>
  <c r="Y52" i="53"/>
  <c r="Y52" i="55"/>
  <c r="Y52" i="52"/>
  <c r="Y52" i="51"/>
  <c r="X75" i="58"/>
  <c r="X78" i="58" s="1"/>
  <c r="X165" i="58" s="1"/>
  <c r="Y42" i="58"/>
  <c r="Y68" i="58" s="1"/>
  <c r="Y42" i="57"/>
  <c r="Y68" i="57" s="1"/>
  <c r="Y42" i="55"/>
  <c r="Y68" i="55" s="1"/>
  <c r="Y42" i="53"/>
  <c r="Y68" i="53" s="1"/>
  <c r="Y42" i="52"/>
  <c r="Y68" i="52" s="1"/>
  <c r="Y42" i="51"/>
  <c r="Y68" i="51" s="1"/>
  <c r="Y46" i="58"/>
  <c r="Y46" i="57"/>
  <c r="Y46" i="55"/>
  <c r="Y46" i="53"/>
  <c r="Y46" i="52"/>
  <c r="Y46" i="51"/>
  <c r="Y41" i="58"/>
  <c r="Y67" i="58" s="1"/>
  <c r="Y41" i="57"/>
  <c r="Y67" i="57" s="1"/>
  <c r="Y41" i="55"/>
  <c r="Y67" i="55" s="1"/>
  <c r="Y41" i="52"/>
  <c r="Y67" i="52" s="1"/>
  <c r="Y41" i="53"/>
  <c r="Y67" i="53" s="1"/>
  <c r="Y41" i="51"/>
  <c r="Y67" i="51" s="1"/>
  <c r="V129" i="51"/>
  <c r="V169" i="51" s="1"/>
  <c r="V175" i="51" s="1"/>
  <c r="Z44" i="58"/>
  <c r="Z102" i="58" s="1"/>
  <c r="Z109" i="58" s="1"/>
  <c r="Z44" i="57"/>
  <c r="Z102" i="57" s="1"/>
  <c r="Z109" i="57" s="1"/>
  <c r="Z44" i="55"/>
  <c r="Z102" i="55" s="1"/>
  <c r="Z109" i="55" s="1"/>
  <c r="Z44" i="53"/>
  <c r="Z102" i="53" s="1"/>
  <c r="Z109" i="53" s="1"/>
  <c r="Z44" i="52"/>
  <c r="Z102" i="52" s="1"/>
  <c r="Z109" i="52" s="1"/>
  <c r="Z44" i="51"/>
  <c r="Z102" i="51" s="1"/>
  <c r="Z109" i="51" s="1"/>
  <c r="Y53" i="58"/>
  <c r="Y53" i="57"/>
  <c r="Y53" i="53"/>
  <c r="Y53" i="55"/>
  <c r="Y53" i="52"/>
  <c r="Y53" i="51"/>
  <c r="V112" i="51"/>
  <c r="V167" i="51" s="1"/>
  <c r="V176" i="51" s="1"/>
  <c r="W119" i="57"/>
  <c r="W126" i="57" s="1"/>
  <c r="W153" i="57"/>
  <c r="W160" i="57" s="1"/>
  <c r="W119" i="51"/>
  <c r="W126" i="51" s="1"/>
  <c r="W153" i="51"/>
  <c r="W160" i="51" s="1"/>
  <c r="Y51" i="58"/>
  <c r="Y136" i="58" s="1"/>
  <c r="Y143" i="58" s="1"/>
  <c r="Y51" i="55"/>
  <c r="Y136" i="55" s="1"/>
  <c r="Y143" i="55" s="1"/>
  <c r="Y51" i="57"/>
  <c r="Y136" i="57" s="1"/>
  <c r="Y143" i="57" s="1"/>
  <c r="Y51" i="53"/>
  <c r="Y136" i="53" s="1"/>
  <c r="Y143" i="53" s="1"/>
  <c r="Y51" i="52"/>
  <c r="Y136" i="52" s="1"/>
  <c r="Y143" i="52" s="1"/>
  <c r="Y51" i="51"/>
  <c r="Y136" i="51" s="1"/>
  <c r="Y143" i="51" s="1"/>
  <c r="Y45" i="58"/>
  <c r="Y45" i="57"/>
  <c r="Y45" i="55"/>
  <c r="Y45" i="53"/>
  <c r="Y45" i="52"/>
  <c r="Y45" i="51"/>
  <c r="U175" i="52"/>
  <c r="U184" i="52"/>
  <c r="T184" i="55"/>
  <c r="T175" i="55"/>
  <c r="U184" i="51"/>
  <c r="U175" i="51"/>
  <c r="U129" i="55"/>
  <c r="U169" i="55" s="1"/>
  <c r="W116" i="51"/>
  <c r="W128" i="51" s="1"/>
  <c r="W123" i="51"/>
  <c r="W127" i="51" s="1"/>
  <c r="W118" i="51"/>
  <c r="W125" i="51" s="1"/>
  <c r="W99" i="53"/>
  <c r="W111" i="53" s="1"/>
  <c r="W106" i="53"/>
  <c r="W110" i="53" s="1"/>
  <c r="W101" i="53"/>
  <c r="W108" i="53" s="1"/>
  <c r="V116" i="57"/>
  <c r="V128" i="57" s="1"/>
  <c r="V118" i="57"/>
  <c r="V125" i="57" s="1"/>
  <c r="V123" i="57"/>
  <c r="V127" i="57" s="1"/>
  <c r="V112" i="52"/>
  <c r="V167" i="52" s="1"/>
  <c r="W99" i="51"/>
  <c r="W111" i="51" s="1"/>
  <c r="W106" i="51"/>
  <c r="W110" i="51" s="1"/>
  <c r="W101" i="51"/>
  <c r="W108" i="51" s="1"/>
  <c r="U184" i="53"/>
  <c r="U175" i="53"/>
  <c r="V99" i="55"/>
  <c r="V111" i="55" s="1"/>
  <c r="V106" i="55"/>
  <c r="V110" i="55" s="1"/>
  <c r="V101" i="55"/>
  <c r="V108" i="55" s="1"/>
  <c r="W99" i="52"/>
  <c r="W111" i="52" s="1"/>
  <c r="W101" i="52"/>
  <c r="W108" i="52" s="1"/>
  <c r="W106" i="52"/>
  <c r="W110" i="52" s="1"/>
  <c r="W115" i="38"/>
  <c r="BR20" i="2" s="1"/>
  <c r="W115" i="55"/>
  <c r="W150" i="53"/>
  <c r="W162" i="53" s="1"/>
  <c r="W157" i="53"/>
  <c r="W116" i="52"/>
  <c r="W128" i="52" s="1"/>
  <c r="W118" i="52"/>
  <c r="W125" i="52" s="1"/>
  <c r="W123" i="52"/>
  <c r="W127" i="52" s="1"/>
  <c r="V150" i="57"/>
  <c r="V162" i="57" s="1"/>
  <c r="V157" i="57"/>
  <c r="V159" i="57"/>
  <c r="T185" i="57"/>
  <c r="T176" i="57"/>
  <c r="V116" i="55"/>
  <c r="V128" i="55" s="1"/>
  <c r="V118" i="55"/>
  <c r="V125" i="55" s="1"/>
  <c r="V123" i="55"/>
  <c r="V127" i="55" s="1"/>
  <c r="U176" i="51"/>
  <c r="U185" i="51"/>
  <c r="U112" i="55"/>
  <c r="U167" i="55" s="1"/>
  <c r="W98" i="38"/>
  <c r="W98" i="55"/>
  <c r="V99" i="57"/>
  <c r="V111" i="57" s="1"/>
  <c r="V101" i="57"/>
  <c r="V108" i="57" s="1"/>
  <c r="V106" i="57"/>
  <c r="V110" i="57" s="1"/>
  <c r="V112" i="53"/>
  <c r="V167" i="53" s="1"/>
  <c r="U185" i="52"/>
  <c r="U176" i="52"/>
  <c r="W150" i="52"/>
  <c r="W162" i="52" s="1"/>
  <c r="W157" i="52"/>
  <c r="W149" i="57"/>
  <c r="BS97" i="2" s="1"/>
  <c r="T185" i="55"/>
  <c r="T176" i="55"/>
  <c r="W116" i="57"/>
  <c r="W128" i="57" s="1"/>
  <c r="W123" i="57"/>
  <c r="W127" i="57" s="1"/>
  <c r="W118" i="57"/>
  <c r="W125" i="57" s="1"/>
  <c r="W98" i="57"/>
  <c r="X132" i="38"/>
  <c r="X135" i="38" s="1"/>
  <c r="X132" i="55"/>
  <c r="X135" i="55" s="1"/>
  <c r="W116" i="53"/>
  <c r="W128" i="53" s="1"/>
  <c r="W123" i="53"/>
  <c r="W127" i="53" s="1"/>
  <c r="W118" i="53"/>
  <c r="W125" i="53" s="1"/>
  <c r="U112" i="57"/>
  <c r="U167" i="57" s="1"/>
  <c r="U185" i="53"/>
  <c r="U176" i="53"/>
  <c r="V129" i="53"/>
  <c r="V169" i="53" s="1"/>
  <c r="V150" i="55"/>
  <c r="V162" i="55" s="1"/>
  <c r="V157" i="55"/>
  <c r="V159" i="55"/>
  <c r="W140" i="51"/>
  <c r="Z156" i="45"/>
  <c r="Z55" i="63" s="1"/>
  <c r="Z69" i="63" s="1"/>
  <c r="Z76" i="63" s="1"/>
  <c r="Z155" i="45"/>
  <c r="Z55" i="62" s="1"/>
  <c r="Z69" i="62" s="1"/>
  <c r="Z76" i="62" s="1"/>
  <c r="X143" i="45"/>
  <c r="X150" i="45"/>
  <c r="X147" i="45"/>
  <c r="X149" i="53" s="1"/>
  <c r="X152" i="53" s="1"/>
  <c r="X148" i="45"/>
  <c r="X149" i="52" s="1"/>
  <c r="X152" i="52" s="1"/>
  <c r="X149" i="45"/>
  <c r="X149" i="67" s="1"/>
  <c r="X146" i="45"/>
  <c r="X149" i="62" s="1"/>
  <c r="X142" i="45"/>
  <c r="X149" i="51" s="1"/>
  <c r="X144" i="45"/>
  <c r="Z154" i="45"/>
  <c r="Y55" i="38"/>
  <c r="X117" i="45"/>
  <c r="X115" i="51" s="1"/>
  <c r="X121" i="45"/>
  <c r="X115" i="62" s="1"/>
  <c r="X118" i="62" s="1"/>
  <c r="X122" i="45"/>
  <c r="X115" i="53" s="1"/>
  <c r="X123" i="45"/>
  <c r="X115" i="52" s="1"/>
  <c r="X120" i="45"/>
  <c r="X124" i="45"/>
  <c r="X115" i="67" s="1"/>
  <c r="X118" i="67" s="1"/>
  <c r="X119" i="45"/>
  <c r="X118" i="45"/>
  <c r="X115" i="63" s="1"/>
  <c r="X118" i="63" s="1"/>
  <c r="Y116" i="45"/>
  <c r="Y123" i="45" s="1"/>
  <c r="Y115" i="52" s="1"/>
  <c r="Y140" i="45"/>
  <c r="Z40" i="45"/>
  <c r="Z38" i="45"/>
  <c r="Z39" i="45"/>
  <c r="Z28" i="45"/>
  <c r="Z29" i="45"/>
  <c r="Z27" i="45"/>
  <c r="X110" i="45"/>
  <c r="X98" i="53" s="1"/>
  <c r="X107" i="45"/>
  <c r="X105" i="45"/>
  <c r="X98" i="51" s="1"/>
  <c r="X106" i="45"/>
  <c r="X98" i="63" s="1"/>
  <c r="X111" i="45"/>
  <c r="X98" i="52" s="1"/>
  <c r="X108" i="45"/>
  <c r="X109" i="45"/>
  <c r="X98" i="62" s="1"/>
  <c r="X113" i="45"/>
  <c r="X112" i="45"/>
  <c r="X98" i="67" s="1"/>
  <c r="Y104" i="45"/>
  <c r="Y103" i="45"/>
  <c r="AA6" i="45"/>
  <c r="Z5" i="45"/>
  <c r="Z4" i="45"/>
  <c r="Z20" i="45"/>
  <c r="Y53" i="38"/>
  <c r="Z21" i="45"/>
  <c r="Z19" i="45"/>
  <c r="Y52" i="38"/>
  <c r="Z14" i="45"/>
  <c r="Z12" i="45"/>
  <c r="Z23" i="45"/>
  <c r="X183" i="64" l="1"/>
  <c r="X189" i="64" s="1"/>
  <c r="BS130" i="2"/>
  <c r="BM130" i="2" s="1"/>
  <c r="K138" i="3" s="1"/>
  <c r="W138" i="3" s="1"/>
  <c r="W150" i="58"/>
  <c r="W162" i="58" s="1"/>
  <c r="BS108" i="2"/>
  <c r="W118" i="66"/>
  <c r="W125" i="66" s="1"/>
  <c r="BR141" i="2"/>
  <c r="BL141" i="2" s="1"/>
  <c r="J150" i="3" s="1"/>
  <c r="V150" i="3" s="1"/>
  <c r="BP130" i="2"/>
  <c r="BJ130" i="2" s="1"/>
  <c r="H138" i="3" s="1"/>
  <c r="T138" i="3" s="1"/>
  <c r="Y48" i="53"/>
  <c r="Y50" i="53" s="1"/>
  <c r="BR130" i="2"/>
  <c r="BL130" i="2" s="1"/>
  <c r="J138" i="3" s="1"/>
  <c r="V138" i="3" s="1"/>
  <c r="W152" i="38"/>
  <c r="BS20" i="2"/>
  <c r="BM20" i="2" s="1"/>
  <c r="K18" i="3" s="1"/>
  <c r="BR108" i="2"/>
  <c r="BL108" i="2" s="1"/>
  <c r="J114" i="3" s="1"/>
  <c r="V114" i="3" s="1"/>
  <c r="BP97" i="2"/>
  <c r="BJ97" i="2" s="1"/>
  <c r="H102" i="3" s="1"/>
  <c r="T102" i="3" s="1"/>
  <c r="BP108" i="2"/>
  <c r="BJ108" i="2" s="1"/>
  <c r="H114" i="3" s="1"/>
  <c r="T114" i="3" s="1"/>
  <c r="BP20" i="2"/>
  <c r="BJ20" i="2" s="1"/>
  <c r="H18" i="3" s="1"/>
  <c r="M186" i="67"/>
  <c r="AS151" i="2"/>
  <c r="AM151" i="2" s="1"/>
  <c r="K161" i="79" s="1"/>
  <c r="W161" i="79" s="1"/>
  <c r="W166" i="79" s="1"/>
  <c r="M179" i="51"/>
  <c r="AS63" i="2"/>
  <c r="AM63" i="2" s="1"/>
  <c r="K65" i="79" s="1"/>
  <c r="W65" i="79" s="1"/>
  <c r="W70" i="79" s="1"/>
  <c r="W71" i="79" s="1"/>
  <c r="W73" i="79" s="1"/>
  <c r="W74" i="79" s="1"/>
  <c r="M178" i="52"/>
  <c r="AS85" i="2"/>
  <c r="AM85" i="2" s="1"/>
  <c r="K89" i="79" s="1"/>
  <c r="W89" i="79" s="1"/>
  <c r="W94" i="79" s="1"/>
  <c r="M178" i="53"/>
  <c r="AS74" i="2"/>
  <c r="AM74" i="2" s="1"/>
  <c r="K77" i="79" s="1"/>
  <c r="W77" i="79" s="1"/>
  <c r="W82" i="79" s="1"/>
  <c r="W83" i="79" s="1"/>
  <c r="W85" i="79" s="1"/>
  <c r="W86" i="79" s="1"/>
  <c r="BH52" i="2"/>
  <c r="F53" i="3" s="1"/>
  <c r="R53" i="3" s="1"/>
  <c r="R58" i="3" s="1"/>
  <c r="K188" i="62"/>
  <c r="K186" i="62"/>
  <c r="K194" i="62"/>
  <c r="K178" i="62"/>
  <c r="Y48" i="51"/>
  <c r="Y50" i="51" s="1"/>
  <c r="K178" i="61"/>
  <c r="K179" i="66"/>
  <c r="K186" i="55"/>
  <c r="K179" i="55"/>
  <c r="K178" i="55"/>
  <c r="K188" i="55"/>
  <c r="K194" i="55"/>
  <c r="K179" i="61"/>
  <c r="K179" i="64"/>
  <c r="K187" i="64"/>
  <c r="N186" i="64"/>
  <c r="K178" i="64"/>
  <c r="K188" i="64"/>
  <c r="K178" i="66"/>
  <c r="L188" i="55"/>
  <c r="K187" i="61"/>
  <c r="K194" i="61"/>
  <c r="K188" i="66"/>
  <c r="L186" i="58"/>
  <c r="L178" i="58"/>
  <c r="M194" i="67"/>
  <c r="M179" i="67"/>
  <c r="K194" i="66"/>
  <c r="L188" i="58"/>
  <c r="M188" i="52"/>
  <c r="L188" i="62"/>
  <c r="M194" i="53"/>
  <c r="M188" i="53"/>
  <c r="N192" i="53"/>
  <c r="N177" i="64"/>
  <c r="N193" i="53"/>
  <c r="L194" i="58"/>
  <c r="M178" i="67"/>
  <c r="M194" i="52"/>
  <c r="M188" i="67"/>
  <c r="L179" i="64"/>
  <c r="L179" i="55"/>
  <c r="L186" i="62"/>
  <c r="L194" i="65"/>
  <c r="L179" i="65"/>
  <c r="M186" i="53"/>
  <c r="M187" i="52"/>
  <c r="L178" i="62"/>
  <c r="L179" i="62"/>
  <c r="L187" i="64"/>
  <c r="L188" i="64"/>
  <c r="M194" i="51"/>
  <c r="L178" i="65"/>
  <c r="L194" i="57"/>
  <c r="L194" i="64"/>
  <c r="M188" i="51"/>
  <c r="M187" i="51"/>
  <c r="L194" i="63"/>
  <c r="L178" i="63"/>
  <c r="L186" i="63"/>
  <c r="L194" i="66"/>
  <c r="M179" i="53"/>
  <c r="L178" i="55"/>
  <c r="L188" i="61"/>
  <c r="L187" i="61"/>
  <c r="L179" i="61"/>
  <c r="L186" i="65"/>
  <c r="L188" i="66"/>
  <c r="L178" i="66"/>
  <c r="M179" i="52"/>
  <c r="L186" i="66"/>
  <c r="L194" i="61"/>
  <c r="N193" i="64"/>
  <c r="L186" i="57"/>
  <c r="L188" i="63"/>
  <c r="N187" i="62"/>
  <c r="N193" i="62"/>
  <c r="N192" i="62"/>
  <c r="M178" i="51"/>
  <c r="P214" i="45"/>
  <c r="P230" i="45" s="1"/>
  <c r="O246" i="45"/>
  <c r="O262" i="45" s="1"/>
  <c r="N59" i="67"/>
  <c r="N154" i="67" s="1"/>
  <c r="N161" i="67" s="1"/>
  <c r="N163" i="67" s="1"/>
  <c r="N170" i="67" s="1"/>
  <c r="N188" i="67" s="1"/>
  <c r="N245" i="45"/>
  <c r="N261" i="45" s="1"/>
  <c r="M59" i="66"/>
  <c r="M154" i="66" s="1"/>
  <c r="M161" i="66" s="1"/>
  <c r="M163" i="66" s="1"/>
  <c r="M170" i="66" s="1"/>
  <c r="P213" i="45"/>
  <c r="P229" i="45" s="1"/>
  <c r="N244" i="45"/>
  <c r="N260" i="45" s="1"/>
  <c r="M59" i="55"/>
  <c r="M154" i="55" s="1"/>
  <c r="M161" i="55" s="1"/>
  <c r="M163" i="55" s="1"/>
  <c r="M170" i="55" s="1"/>
  <c r="L194" i="55"/>
  <c r="P212" i="45"/>
  <c r="P228" i="45" s="1"/>
  <c r="N243" i="45"/>
  <c r="N259" i="45" s="1"/>
  <c r="M59" i="65"/>
  <c r="M154" i="65" s="1"/>
  <c r="M161" i="65" s="1"/>
  <c r="M163" i="65" s="1"/>
  <c r="M170" i="65" s="1"/>
  <c r="P211" i="45"/>
  <c r="P227" i="45" s="1"/>
  <c r="N242" i="45"/>
  <c r="N258" i="45" s="1"/>
  <c r="M59" i="58"/>
  <c r="M154" i="58" s="1"/>
  <c r="M161" i="58" s="1"/>
  <c r="M163" i="58" s="1"/>
  <c r="M170" i="58" s="1"/>
  <c r="P210" i="45"/>
  <c r="P226" i="45" s="1"/>
  <c r="L179" i="57"/>
  <c r="N241" i="45"/>
  <c r="N257" i="45" s="1"/>
  <c r="M59" i="57"/>
  <c r="M154" i="57" s="1"/>
  <c r="M161" i="57" s="1"/>
  <c r="M163" i="57" s="1"/>
  <c r="M170" i="57" s="1"/>
  <c r="L178" i="57"/>
  <c r="P209" i="45"/>
  <c r="P225" i="45" s="1"/>
  <c r="O58" i="57"/>
  <c r="O137" i="57" s="1"/>
  <c r="O144" i="57" s="1"/>
  <c r="O146" i="57" s="1"/>
  <c r="O168" i="57" s="1"/>
  <c r="N193" i="57"/>
  <c r="N192" i="57"/>
  <c r="N187" i="57"/>
  <c r="N177" i="57"/>
  <c r="P208" i="45"/>
  <c r="P224" i="45" s="1"/>
  <c r="O240" i="45"/>
  <c r="O256" i="45" s="1"/>
  <c r="N59" i="52"/>
  <c r="N154" i="52" s="1"/>
  <c r="N161" i="52" s="1"/>
  <c r="N163" i="52" s="1"/>
  <c r="N170" i="52" s="1"/>
  <c r="N187" i="52" s="1"/>
  <c r="N177" i="53"/>
  <c r="P207" i="45"/>
  <c r="P223" i="45" s="1"/>
  <c r="O57" i="53"/>
  <c r="O137" i="53" s="1"/>
  <c r="O144" i="53" s="1"/>
  <c r="O146" i="53" s="1"/>
  <c r="O168" i="53" s="1"/>
  <c r="O177" i="53" s="1"/>
  <c r="O239" i="45"/>
  <c r="O255" i="45" s="1"/>
  <c r="N58" i="53"/>
  <c r="N154" i="53" s="1"/>
  <c r="N161" i="53" s="1"/>
  <c r="N163" i="53" s="1"/>
  <c r="N170" i="53" s="1"/>
  <c r="N178" i="53" s="1"/>
  <c r="P206" i="45"/>
  <c r="P222" i="45" s="1"/>
  <c r="O238" i="45"/>
  <c r="O254" i="45" s="1"/>
  <c r="N58" i="51"/>
  <c r="N154" i="51" s="1"/>
  <c r="N161" i="51" s="1"/>
  <c r="N163" i="51" s="1"/>
  <c r="N170" i="51" s="1"/>
  <c r="N188" i="51" s="1"/>
  <c r="N237" i="45"/>
  <c r="N253" i="45" s="1"/>
  <c r="M58" i="64"/>
  <c r="M154" i="64" s="1"/>
  <c r="M161" i="64" s="1"/>
  <c r="M163" i="64" s="1"/>
  <c r="M170" i="64" s="1"/>
  <c r="P205" i="45"/>
  <c r="P221" i="45" s="1"/>
  <c r="O57" i="64"/>
  <c r="O137" i="64" s="1"/>
  <c r="O144" i="64" s="1"/>
  <c r="O146" i="64" s="1"/>
  <c r="O168" i="64" s="1"/>
  <c r="O177" i="64" s="1"/>
  <c r="N192" i="63"/>
  <c r="N187" i="63"/>
  <c r="N193" i="63"/>
  <c r="N177" i="63"/>
  <c r="N236" i="45"/>
  <c r="N252" i="45" s="1"/>
  <c r="M58" i="63"/>
  <c r="M154" i="63" s="1"/>
  <c r="M161" i="63" s="1"/>
  <c r="M163" i="63" s="1"/>
  <c r="M170" i="63" s="1"/>
  <c r="P204" i="45"/>
  <c r="P220" i="45" s="1"/>
  <c r="O57" i="63"/>
  <c r="O137" i="63" s="1"/>
  <c r="O144" i="63" s="1"/>
  <c r="O146" i="63" s="1"/>
  <c r="O168" i="63" s="1"/>
  <c r="N235" i="45"/>
  <c r="N251" i="45" s="1"/>
  <c r="M58" i="62"/>
  <c r="M154" i="62" s="1"/>
  <c r="M161" i="62" s="1"/>
  <c r="M163" i="62" s="1"/>
  <c r="M170" i="62" s="1"/>
  <c r="P203" i="45"/>
  <c r="P219" i="45" s="1"/>
  <c r="O57" i="62"/>
  <c r="O137" i="62" s="1"/>
  <c r="O144" i="62" s="1"/>
  <c r="O146" i="62" s="1"/>
  <c r="O168" i="62" s="1"/>
  <c r="O187" i="62" s="1"/>
  <c r="N234" i="45"/>
  <c r="N250" i="45" s="1"/>
  <c r="M58" i="38"/>
  <c r="P202" i="45"/>
  <c r="P218" i="45" s="1"/>
  <c r="O57" i="38"/>
  <c r="N233" i="45"/>
  <c r="N249" i="45" s="1"/>
  <c r="M58" i="61"/>
  <c r="M154" i="61" s="1"/>
  <c r="M161" i="61" s="1"/>
  <c r="M163" i="61" s="1"/>
  <c r="M170" i="61" s="1"/>
  <c r="P201" i="45"/>
  <c r="P217" i="45" s="1"/>
  <c r="Y48" i="55"/>
  <c r="Y50" i="55" s="1"/>
  <c r="O58" i="52"/>
  <c r="O137" i="52" s="1"/>
  <c r="O144" i="52" s="1"/>
  <c r="O146" i="52" s="1"/>
  <c r="O168" i="52" s="1"/>
  <c r="N177" i="52"/>
  <c r="N192" i="52"/>
  <c r="N186" i="52"/>
  <c r="N193" i="52"/>
  <c r="N58" i="58"/>
  <c r="N137" i="58" s="1"/>
  <c r="N144" i="58" s="1"/>
  <c r="N146" i="58" s="1"/>
  <c r="N168" i="58" s="1"/>
  <c r="M193" i="58"/>
  <c r="M177" i="58"/>
  <c r="M187" i="58"/>
  <c r="M192" i="58"/>
  <c r="N57" i="51"/>
  <c r="N137" i="51" s="1"/>
  <c r="N144" i="51" s="1"/>
  <c r="N146" i="51" s="1"/>
  <c r="N168" i="51" s="1"/>
  <c r="M186" i="51"/>
  <c r="M177" i="51"/>
  <c r="M192" i="51"/>
  <c r="M193" i="51"/>
  <c r="N192" i="66"/>
  <c r="N177" i="66"/>
  <c r="N187" i="66"/>
  <c r="N193" i="66"/>
  <c r="O58" i="66"/>
  <c r="O137" i="66" s="1"/>
  <c r="O144" i="66" s="1"/>
  <c r="O146" i="66" s="1"/>
  <c r="O168" i="66" s="1"/>
  <c r="M177" i="65"/>
  <c r="M187" i="65"/>
  <c r="M192" i="65"/>
  <c r="M193" i="65"/>
  <c r="N58" i="65"/>
  <c r="N137" i="65" s="1"/>
  <c r="N144" i="65" s="1"/>
  <c r="N146" i="65" s="1"/>
  <c r="N168" i="65" s="1"/>
  <c r="N57" i="61"/>
  <c r="N137" i="61" s="1"/>
  <c r="N144" i="61" s="1"/>
  <c r="N146" i="61" s="1"/>
  <c r="N168" i="61" s="1"/>
  <c r="N193" i="67"/>
  <c r="N177" i="67"/>
  <c r="N192" i="67"/>
  <c r="N187" i="67"/>
  <c r="N187" i="55"/>
  <c r="N192" i="55"/>
  <c r="N177" i="55"/>
  <c r="N193" i="55"/>
  <c r="M177" i="61"/>
  <c r="M192" i="61"/>
  <c r="M193" i="61"/>
  <c r="M186" i="61"/>
  <c r="O58" i="67"/>
  <c r="O137" i="67" s="1"/>
  <c r="O144" i="67" s="1"/>
  <c r="O146" i="67" s="1"/>
  <c r="O168" i="67" s="1"/>
  <c r="O58" i="55"/>
  <c r="O137" i="55" s="1"/>
  <c r="O144" i="55" s="1"/>
  <c r="O146" i="55" s="1"/>
  <c r="O168" i="55" s="1"/>
  <c r="Y48" i="58"/>
  <c r="Y50" i="58" s="1"/>
  <c r="Y48" i="62"/>
  <c r="Y50" i="62" s="1"/>
  <c r="Y153" i="62" s="1"/>
  <c r="Y160" i="62" s="1"/>
  <c r="Y48" i="52"/>
  <c r="Y50" i="52" s="1"/>
  <c r="Y48" i="63"/>
  <c r="Y50" i="63" s="1"/>
  <c r="Y119" i="63" s="1"/>
  <c r="Y126" i="63" s="1"/>
  <c r="BI52" i="2"/>
  <c r="G53" i="3" s="1"/>
  <c r="S53" i="3" s="1"/>
  <c r="S58" i="3" s="1"/>
  <c r="Y183" i="63"/>
  <c r="Y189" i="63" s="1"/>
  <c r="Y174" i="63"/>
  <c r="Y180" i="63" s="1"/>
  <c r="Y171" i="63"/>
  <c r="U175" i="64"/>
  <c r="X119" i="62"/>
  <c r="X126" i="62" s="1"/>
  <c r="Y48" i="64"/>
  <c r="Y50" i="64" s="1"/>
  <c r="Y153" i="64" s="1"/>
  <c r="Y160" i="64" s="1"/>
  <c r="Y48" i="67"/>
  <c r="Y50" i="67" s="1"/>
  <c r="Y48" i="66"/>
  <c r="Y50" i="66" s="1"/>
  <c r="X171" i="64"/>
  <c r="Y174" i="67"/>
  <c r="Y180" i="67" s="1"/>
  <c r="Y183" i="67"/>
  <c r="Y189" i="67" s="1"/>
  <c r="Y171" i="67"/>
  <c r="X174" i="64"/>
  <c r="X180" i="64" s="1"/>
  <c r="U185" i="58"/>
  <c r="Y48" i="65"/>
  <c r="Y50" i="65" s="1"/>
  <c r="Y183" i="65"/>
  <c r="Y189" i="65" s="1"/>
  <c r="Y171" i="65"/>
  <c r="Y174" i="65"/>
  <c r="Y180" i="65" s="1"/>
  <c r="Z52" i="67"/>
  <c r="Z52" i="66"/>
  <c r="Z52" i="65"/>
  <c r="Z52" i="63"/>
  <c r="Z52" i="64"/>
  <c r="Z53" i="67"/>
  <c r="Z53" i="66"/>
  <c r="Z53" i="65"/>
  <c r="Z53" i="64"/>
  <c r="Z53" i="63"/>
  <c r="Y78" i="64"/>
  <c r="Y165" i="64" s="1"/>
  <c r="Y171" i="64" s="1"/>
  <c r="Z49" i="57"/>
  <c r="Z49" i="52"/>
  <c r="Z49" i="53"/>
  <c r="Z49" i="55"/>
  <c r="Z49" i="65"/>
  <c r="Z49" i="67"/>
  <c r="Z49" i="51"/>
  <c r="Z49" i="58"/>
  <c r="Z49" i="66"/>
  <c r="Z42" i="62"/>
  <c r="Z68" i="62" s="1"/>
  <c r="Z75" i="62" s="1"/>
  <c r="Z78" i="62" s="1"/>
  <c r="Z165" i="62" s="1"/>
  <c r="Z42" i="66"/>
  <c r="Z68" i="66" s="1"/>
  <c r="Z75" i="66" s="1"/>
  <c r="Z78" i="66" s="1"/>
  <c r="Z165" i="66" s="1"/>
  <c r="Z42" i="65"/>
  <c r="Z68" i="65" s="1"/>
  <c r="Z75" i="65" s="1"/>
  <c r="Z78" i="65" s="1"/>
  <c r="Z165" i="65" s="1"/>
  <c r="Z42" i="67"/>
  <c r="Z68" i="67" s="1"/>
  <c r="Z75" i="67" s="1"/>
  <c r="Z78" i="67" s="1"/>
  <c r="Z165" i="67" s="1"/>
  <c r="Z42" i="64"/>
  <c r="Z68" i="64" s="1"/>
  <c r="Z75" i="64" s="1"/>
  <c r="Z42" i="63"/>
  <c r="Z68" i="63" s="1"/>
  <c r="Z75" i="63" s="1"/>
  <c r="Z78" i="63" s="1"/>
  <c r="Z165" i="63" s="1"/>
  <c r="Z183" i="63" s="1"/>
  <c r="Z189" i="63" s="1"/>
  <c r="Z43" i="62"/>
  <c r="Z85" i="62" s="1"/>
  <c r="Z92" i="62" s="1"/>
  <c r="Z95" i="62" s="1"/>
  <c r="Z166" i="62" s="1"/>
  <c r="Z43" i="66"/>
  <c r="Z85" i="66" s="1"/>
  <c r="Z92" i="66" s="1"/>
  <c r="Z95" i="66" s="1"/>
  <c r="Z166" i="66" s="1"/>
  <c r="Z43" i="67"/>
  <c r="Z85" i="67" s="1"/>
  <c r="Z92" i="67" s="1"/>
  <c r="Z95" i="67" s="1"/>
  <c r="Z166" i="67" s="1"/>
  <c r="Z43" i="65"/>
  <c r="Z85" i="65" s="1"/>
  <c r="Z92" i="65" s="1"/>
  <c r="Z95" i="65" s="1"/>
  <c r="Z166" i="65" s="1"/>
  <c r="Z43" i="64"/>
  <c r="Z85" i="64" s="1"/>
  <c r="Z92" i="64" s="1"/>
  <c r="Z95" i="64" s="1"/>
  <c r="Z166" i="64" s="1"/>
  <c r="Z43" i="63"/>
  <c r="Z85" i="63" s="1"/>
  <c r="Z92" i="63" s="1"/>
  <c r="Z95" i="63" s="1"/>
  <c r="Z166" i="63" s="1"/>
  <c r="U175" i="58"/>
  <c r="Y48" i="57"/>
  <c r="Y50" i="57" s="1"/>
  <c r="Y171" i="66"/>
  <c r="Y174" i="66"/>
  <c r="Y180" i="66" s="1"/>
  <c r="Y183" i="66"/>
  <c r="Y189" i="66" s="1"/>
  <c r="AA44" i="62"/>
  <c r="AA102" i="62" s="1"/>
  <c r="AA109" i="62" s="1"/>
  <c r="AA44" i="66"/>
  <c r="AA102" i="66" s="1"/>
  <c r="AA109" i="66" s="1"/>
  <c r="AA44" i="67"/>
  <c r="AA102" i="67" s="1"/>
  <c r="AA109" i="67" s="1"/>
  <c r="AA44" i="65"/>
  <c r="AA102" i="65" s="1"/>
  <c r="AA109" i="65" s="1"/>
  <c r="AA44" i="63"/>
  <c r="AA102" i="63" s="1"/>
  <c r="AA109" i="63" s="1"/>
  <c r="AA44" i="64"/>
  <c r="AA102" i="64" s="1"/>
  <c r="AA109" i="64" s="1"/>
  <c r="Z46" i="62"/>
  <c r="Z46" i="67"/>
  <c r="Z46" i="66"/>
  <c r="Z46" i="65"/>
  <c r="Z46" i="64"/>
  <c r="Z46" i="63"/>
  <c r="V184" i="58"/>
  <c r="V175" i="58"/>
  <c r="W116" i="58"/>
  <c r="W128" i="58" s="1"/>
  <c r="X140" i="61"/>
  <c r="X119" i="64"/>
  <c r="X126" i="64" s="1"/>
  <c r="X135" i="61"/>
  <c r="X142" i="61" s="1"/>
  <c r="V112" i="58"/>
  <c r="V167" i="58" s="1"/>
  <c r="V185" i="58" s="1"/>
  <c r="BL20" i="2"/>
  <c r="W118" i="38"/>
  <c r="W123" i="58"/>
  <c r="W127" i="58" s="1"/>
  <c r="BL9" i="2"/>
  <c r="W118" i="61"/>
  <c r="W125" i="61" s="1"/>
  <c r="W118" i="58"/>
  <c r="W125" i="58" s="1"/>
  <c r="BL53" i="2"/>
  <c r="J54" i="3" s="1"/>
  <c r="V54" i="3" s="1"/>
  <c r="W118" i="64"/>
  <c r="W125" i="64" s="1"/>
  <c r="Z51" i="62"/>
  <c r="Z136" i="62" s="1"/>
  <c r="Z143" i="62" s="1"/>
  <c r="Z51" i="66"/>
  <c r="Z136" i="66" s="1"/>
  <c r="Z143" i="66" s="1"/>
  <c r="Z51" i="65"/>
  <c r="Z136" i="65" s="1"/>
  <c r="Z143" i="65" s="1"/>
  <c r="Z51" i="67"/>
  <c r="Z136" i="67" s="1"/>
  <c r="Z143" i="67" s="1"/>
  <c r="Z51" i="64"/>
  <c r="Z136" i="64" s="1"/>
  <c r="Z143" i="64" s="1"/>
  <c r="Z51" i="63"/>
  <c r="Z136" i="63" s="1"/>
  <c r="Z143" i="63" s="1"/>
  <c r="W152" i="61"/>
  <c r="W159" i="61" s="1"/>
  <c r="V129" i="64"/>
  <c r="V169" i="64" s="1"/>
  <c r="V175" i="64" s="1"/>
  <c r="X153" i="63"/>
  <c r="X160" i="63" s="1"/>
  <c r="Z49" i="62"/>
  <c r="Z49" i="64"/>
  <c r="Z49" i="63"/>
  <c r="U175" i="65"/>
  <c r="X153" i="66"/>
  <c r="X160" i="66" s="1"/>
  <c r="X119" i="66"/>
  <c r="X126" i="66" s="1"/>
  <c r="X153" i="65"/>
  <c r="X160" i="65" s="1"/>
  <c r="X119" i="65"/>
  <c r="X126" i="65" s="1"/>
  <c r="Z45" i="62"/>
  <c r="Z45" i="65"/>
  <c r="Z45" i="67"/>
  <c r="Z45" i="66"/>
  <c r="Z45" i="64"/>
  <c r="Z45" i="63"/>
  <c r="X153" i="67"/>
  <c r="X160" i="67" s="1"/>
  <c r="X119" i="67"/>
  <c r="X126" i="67" s="1"/>
  <c r="X135" i="52"/>
  <c r="X142" i="52" s="1"/>
  <c r="X140" i="52"/>
  <c r="X133" i="52"/>
  <c r="X145" i="52" s="1"/>
  <c r="X133" i="67"/>
  <c r="X145" i="67" s="1"/>
  <c r="X140" i="67"/>
  <c r="X135" i="67"/>
  <c r="X142" i="67" s="1"/>
  <c r="X135" i="53"/>
  <c r="X142" i="53" s="1"/>
  <c r="X140" i="53"/>
  <c r="X133" i="53"/>
  <c r="X145" i="53" s="1"/>
  <c r="X133" i="51"/>
  <c r="X145" i="51" s="1"/>
  <c r="X135" i="51"/>
  <c r="X142" i="51" s="1"/>
  <c r="Y136" i="45"/>
  <c r="Y132" i="67" s="1"/>
  <c r="Y133" i="67" s="1"/>
  <c r="Y145" i="67" s="1"/>
  <c r="X133" i="58"/>
  <c r="X145" i="58" s="1"/>
  <c r="Y135" i="45"/>
  <c r="Y132" i="52" s="1"/>
  <c r="Y134" i="45"/>
  <c r="Y132" i="53" s="1"/>
  <c r="W157" i="61"/>
  <c r="X118" i="58"/>
  <c r="X125" i="58" s="1"/>
  <c r="W150" i="61"/>
  <c r="W162" i="61" s="1"/>
  <c r="X123" i="58"/>
  <c r="X127" i="58" s="1"/>
  <c r="W157" i="58"/>
  <c r="W123" i="64"/>
  <c r="W127" i="64" s="1"/>
  <c r="W116" i="64"/>
  <c r="W128" i="64" s="1"/>
  <c r="W162" i="3"/>
  <c r="V184" i="67"/>
  <c r="W112" i="63"/>
  <c r="W167" i="63" s="1"/>
  <c r="V129" i="66"/>
  <c r="V169" i="66" s="1"/>
  <c r="AA157" i="45"/>
  <c r="Z55" i="64"/>
  <c r="Z69" i="64" s="1"/>
  <c r="Z76" i="64" s="1"/>
  <c r="Y132" i="55"/>
  <c r="Y135" i="55" s="1"/>
  <c r="Y142" i="55" s="1"/>
  <c r="Y132" i="66"/>
  <c r="Y132" i="64"/>
  <c r="X133" i="63"/>
  <c r="X145" i="63" s="1"/>
  <c r="X140" i="63"/>
  <c r="X135" i="63"/>
  <c r="X142" i="63" s="1"/>
  <c r="V175" i="65"/>
  <c r="V184" i="65"/>
  <c r="X116" i="67"/>
  <c r="X128" i="67" s="1"/>
  <c r="X123" i="67"/>
  <c r="X127" i="67" s="1"/>
  <c r="X125" i="67"/>
  <c r="W152" i="57"/>
  <c r="W159" i="57" s="1"/>
  <c r="BM97" i="2"/>
  <c r="K102" i="3" s="1"/>
  <c r="W102" i="3" s="1"/>
  <c r="X140" i="58"/>
  <c r="W129" i="67"/>
  <c r="W169" i="67" s="1"/>
  <c r="BR151" i="2" s="1"/>
  <c r="U184" i="66"/>
  <c r="U175" i="66"/>
  <c r="X133" i="64"/>
  <c r="X145" i="64" s="1"/>
  <c r="X135" i="64"/>
  <c r="X142" i="64" s="1"/>
  <c r="X140" i="64"/>
  <c r="W150" i="65"/>
  <c r="W162" i="65" s="1"/>
  <c r="BM119" i="2"/>
  <c r="K126" i="3" s="1"/>
  <c r="W157" i="65"/>
  <c r="W152" i="65"/>
  <c r="W159" i="65" s="1"/>
  <c r="X133" i="66"/>
  <c r="X145" i="66" s="1"/>
  <c r="X140" i="66"/>
  <c r="X135" i="66"/>
  <c r="X142" i="66" s="1"/>
  <c r="W152" i="58"/>
  <c r="W159" i="58" s="1"/>
  <c r="BM108" i="2"/>
  <c r="K114" i="3" s="1"/>
  <c r="W114" i="3" s="1"/>
  <c r="W116" i="66"/>
  <c r="W128" i="66" s="1"/>
  <c r="W123" i="66"/>
  <c r="W127" i="66" s="1"/>
  <c r="V112" i="66"/>
  <c r="V167" i="66" s="1"/>
  <c r="V185" i="66" s="1"/>
  <c r="W116" i="65"/>
  <c r="W128" i="65" s="1"/>
  <c r="BL119" i="2"/>
  <c r="J126" i="3" s="1"/>
  <c r="V126" i="3" s="1"/>
  <c r="W123" i="65"/>
  <c r="W127" i="65" s="1"/>
  <c r="W118" i="65"/>
  <c r="W125" i="65" s="1"/>
  <c r="X115" i="64"/>
  <c r="X115" i="66"/>
  <c r="X118" i="66" s="1"/>
  <c r="Y132" i="61"/>
  <c r="Y133" i="61" s="1"/>
  <c r="Y145" i="61" s="1"/>
  <c r="Y132" i="63"/>
  <c r="Y132" i="58"/>
  <c r="Y135" i="58" s="1"/>
  <c r="Y142" i="58" s="1"/>
  <c r="Y132" i="65"/>
  <c r="X116" i="65"/>
  <c r="X128" i="65" s="1"/>
  <c r="X118" i="65"/>
  <c r="X125" i="65" s="1"/>
  <c r="X123" i="65"/>
  <c r="X127" i="65" s="1"/>
  <c r="X150" i="67"/>
  <c r="X162" i="67" s="1"/>
  <c r="X157" i="67"/>
  <c r="X152" i="67"/>
  <c r="X159" i="67" s="1"/>
  <c r="X149" i="58"/>
  <c r="X152" i="58" s="1"/>
  <c r="X159" i="58" s="1"/>
  <c r="X149" i="65"/>
  <c r="X149" i="64"/>
  <c r="X150" i="64" s="1"/>
  <c r="X162" i="64" s="1"/>
  <c r="X149" i="66"/>
  <c r="X133" i="65"/>
  <c r="X145" i="65" s="1"/>
  <c r="X140" i="65"/>
  <c r="X135" i="65"/>
  <c r="X142" i="65" s="1"/>
  <c r="BH107" i="2"/>
  <c r="BI107" i="2"/>
  <c r="G113" i="3" s="1"/>
  <c r="S113" i="3" s="1"/>
  <c r="S118" i="3" s="1"/>
  <c r="BI129" i="2"/>
  <c r="G137" i="3" s="1"/>
  <c r="S137" i="3" s="1"/>
  <c r="S142" i="3" s="1"/>
  <c r="BH129" i="2"/>
  <c r="F137" i="3" s="1"/>
  <c r="R137" i="3" s="1"/>
  <c r="R142" i="3" s="1"/>
  <c r="BI74" i="2"/>
  <c r="BH74" i="2"/>
  <c r="BI63" i="2"/>
  <c r="G65" i="3" s="1"/>
  <c r="S65" i="3" s="1"/>
  <c r="S70" i="3" s="1"/>
  <c r="BH63" i="2"/>
  <c r="F65" i="3" s="1"/>
  <c r="R65" i="3" s="1"/>
  <c r="R70" i="3" s="1"/>
  <c r="W99" i="66"/>
  <c r="W111" i="66" s="1"/>
  <c r="BJ141" i="2"/>
  <c r="H150" i="3" s="1"/>
  <c r="T150" i="3" s="1"/>
  <c r="W150" i="3" s="1"/>
  <c r="W101" i="66"/>
  <c r="W108" i="66" s="1"/>
  <c r="W106" i="66"/>
  <c r="W110" i="66" s="1"/>
  <c r="U185" i="66"/>
  <c r="U176" i="66"/>
  <c r="V176" i="63"/>
  <c r="V185" i="63"/>
  <c r="V185" i="67"/>
  <c r="V176" i="67"/>
  <c r="W99" i="65"/>
  <c r="W111" i="65" s="1"/>
  <c r="BJ119" i="2"/>
  <c r="H126" i="3" s="1"/>
  <c r="T126" i="3" s="1"/>
  <c r="W106" i="65"/>
  <c r="W110" i="65" s="1"/>
  <c r="W101" i="65"/>
  <c r="W108" i="65" s="1"/>
  <c r="X99" i="67"/>
  <c r="X111" i="67" s="1"/>
  <c r="X106" i="67"/>
  <c r="X110" i="67" s="1"/>
  <c r="X101" i="67"/>
  <c r="X108" i="67" s="1"/>
  <c r="W99" i="58"/>
  <c r="W111" i="58" s="1"/>
  <c r="U185" i="64"/>
  <c r="U176" i="64"/>
  <c r="X101" i="63"/>
  <c r="X108" i="63" s="1"/>
  <c r="X99" i="63"/>
  <c r="X111" i="63" s="1"/>
  <c r="X106" i="63"/>
  <c r="X110" i="63" s="1"/>
  <c r="X98" i="58"/>
  <c r="X106" i="58" s="1"/>
  <c r="X110" i="58" s="1"/>
  <c r="X98" i="65"/>
  <c r="X98" i="66"/>
  <c r="X98" i="64"/>
  <c r="W101" i="58"/>
  <c r="W108" i="58" s="1"/>
  <c r="W112" i="67"/>
  <c r="W167" i="67" s="1"/>
  <c r="BP151" i="2" s="1"/>
  <c r="W106" i="58"/>
  <c r="W110" i="58" s="1"/>
  <c r="V112" i="65"/>
  <c r="V167" i="65" s="1"/>
  <c r="V112" i="64"/>
  <c r="V167" i="64" s="1"/>
  <c r="BJ53" i="2"/>
  <c r="H54" i="3" s="1"/>
  <c r="T54" i="3" s="1"/>
  <c r="W99" i="64"/>
  <c r="W111" i="64" s="1"/>
  <c r="W106" i="64"/>
  <c r="W110" i="64" s="1"/>
  <c r="W101" i="64"/>
  <c r="W108" i="64" s="1"/>
  <c r="U185" i="65"/>
  <c r="U176" i="65"/>
  <c r="W157" i="55"/>
  <c r="W152" i="55"/>
  <c r="W159" i="55" s="1"/>
  <c r="W183" i="52"/>
  <c r="W189" i="52" s="1"/>
  <c r="W171" i="52"/>
  <c r="W174" i="52"/>
  <c r="W180" i="52" s="1"/>
  <c r="BM86" i="2"/>
  <c r="K90" i="3" s="1"/>
  <c r="W90" i="3" s="1"/>
  <c r="BH85" i="2"/>
  <c r="BM9" i="2"/>
  <c r="Y133" i="51"/>
  <c r="Y135" i="51"/>
  <c r="X150" i="51"/>
  <c r="X152" i="51"/>
  <c r="BM42" i="2"/>
  <c r="K42" i="3" s="1"/>
  <c r="W42" i="3" s="1"/>
  <c r="W150" i="63"/>
  <c r="W162" i="63" s="1"/>
  <c r="W157" i="63"/>
  <c r="W152" i="63"/>
  <c r="W159" i="63" s="1"/>
  <c r="W150" i="64"/>
  <c r="W162" i="64" s="1"/>
  <c r="BM53" i="2"/>
  <c r="K54" i="3" s="1"/>
  <c r="W157" i="64"/>
  <c r="W152" i="64"/>
  <c r="W159" i="64" s="1"/>
  <c r="W150" i="55"/>
  <c r="W162" i="55" s="1"/>
  <c r="V184" i="63"/>
  <c r="V175" i="63"/>
  <c r="X149" i="61"/>
  <c r="X150" i="61" s="1"/>
  <c r="X162" i="61" s="1"/>
  <c r="X149" i="63"/>
  <c r="X123" i="63"/>
  <c r="X127" i="63" s="1"/>
  <c r="X116" i="63"/>
  <c r="X128" i="63" s="1"/>
  <c r="X125" i="63"/>
  <c r="W129" i="63"/>
  <c r="W169" i="63" s="1"/>
  <c r="BR41" i="2" s="1"/>
  <c r="Y171" i="62"/>
  <c r="Y183" i="62"/>
  <c r="Y189" i="62" s="1"/>
  <c r="V175" i="62"/>
  <c r="W112" i="62"/>
  <c r="W167" i="62" s="1"/>
  <c r="Y143" i="45"/>
  <c r="X116" i="62"/>
  <c r="X128" i="62" s="1"/>
  <c r="X123" i="62"/>
  <c r="X127" i="62" s="1"/>
  <c r="X125" i="62"/>
  <c r="X142" i="57"/>
  <c r="X140" i="57"/>
  <c r="X133" i="57"/>
  <c r="X145" i="57" s="1"/>
  <c r="X133" i="62"/>
  <c r="X145" i="62" s="1"/>
  <c r="X140" i="62"/>
  <c r="X135" i="62"/>
  <c r="X142" i="62" s="1"/>
  <c r="W184" i="62"/>
  <c r="W175" i="62"/>
  <c r="BJ9" i="2"/>
  <c r="H6" i="3" s="1"/>
  <c r="T6" i="3" s="1"/>
  <c r="V176" i="62"/>
  <c r="V185" i="62"/>
  <c r="X99" i="62"/>
  <c r="X111" i="62" s="1"/>
  <c r="X106" i="62"/>
  <c r="X110" i="62" s="1"/>
  <c r="X101" i="62"/>
  <c r="X108" i="62" s="1"/>
  <c r="Y132" i="62"/>
  <c r="Y132" i="57"/>
  <c r="Y135" i="57" s="1"/>
  <c r="F29" i="3"/>
  <c r="Z52" i="61"/>
  <c r="Z62" i="45"/>
  <c r="Z63" i="45"/>
  <c r="Z64" i="45"/>
  <c r="Z59" i="45"/>
  <c r="Z65" i="45"/>
  <c r="Z60" i="45"/>
  <c r="Z66" i="45"/>
  <c r="Z61" i="45"/>
  <c r="Z67" i="45"/>
  <c r="Z49" i="45"/>
  <c r="Z130" i="45" s="1"/>
  <c r="Z52" i="45"/>
  <c r="Z133" i="45" s="1"/>
  <c r="Z55" i="45"/>
  <c r="Z48" i="45"/>
  <c r="Z50" i="45"/>
  <c r="Z131" i="45" s="1"/>
  <c r="Z53" i="45"/>
  <c r="Z56" i="45"/>
  <c r="Z137" i="45" s="1"/>
  <c r="Z51" i="45"/>
  <c r="Z132" i="45" s="1"/>
  <c r="Z54" i="45"/>
  <c r="Z52" i="62"/>
  <c r="Z53" i="61"/>
  <c r="Z73" i="45"/>
  <c r="Z78" i="45"/>
  <c r="Z71" i="45"/>
  <c r="Z76" i="45"/>
  <c r="Z74" i="45"/>
  <c r="Z72" i="45"/>
  <c r="Z77" i="45"/>
  <c r="Z70" i="45"/>
  <c r="Z75" i="45"/>
  <c r="Z53" i="62"/>
  <c r="X150" i="62"/>
  <c r="X162" i="62" s="1"/>
  <c r="X157" i="62"/>
  <c r="X152" i="62"/>
  <c r="X159" i="62" s="1"/>
  <c r="K30" i="3"/>
  <c r="Y48" i="61"/>
  <c r="Y50" i="61" s="1"/>
  <c r="Y119" i="61" s="1"/>
  <c r="Y126" i="61" s="1"/>
  <c r="V129" i="61"/>
  <c r="V169" i="61" s="1"/>
  <c r="V112" i="61"/>
  <c r="V167" i="61" s="1"/>
  <c r="V176" i="61" s="1"/>
  <c r="W116" i="61"/>
  <c r="W128" i="61" s="1"/>
  <c r="W123" i="61"/>
  <c r="W127" i="61" s="1"/>
  <c r="Z49" i="61"/>
  <c r="Z49" i="38"/>
  <c r="W99" i="61"/>
  <c r="W111" i="61" s="1"/>
  <c r="W106" i="61"/>
  <c r="W110" i="61" s="1"/>
  <c r="W101" i="61"/>
  <c r="W108" i="61" s="1"/>
  <c r="X115" i="61"/>
  <c r="X118" i="61" s="1"/>
  <c r="X98" i="61"/>
  <c r="Z46" i="61"/>
  <c r="Z46" i="38"/>
  <c r="Z42" i="61"/>
  <c r="Z68" i="61" s="1"/>
  <c r="Z75" i="61" s="1"/>
  <c r="Z78" i="61" s="1"/>
  <c r="Z165" i="61" s="1"/>
  <c r="Z42" i="38"/>
  <c r="U185" i="61"/>
  <c r="U176" i="61"/>
  <c r="Z43" i="61"/>
  <c r="Z85" i="61" s="1"/>
  <c r="Z92" i="61" s="1"/>
  <c r="Z95" i="61" s="1"/>
  <c r="Z166" i="61" s="1"/>
  <c r="Z43" i="38"/>
  <c r="Z51" i="61"/>
  <c r="Z136" i="61" s="1"/>
  <c r="Z143" i="61" s="1"/>
  <c r="Z51" i="38"/>
  <c r="AA44" i="38"/>
  <c r="AA44" i="61"/>
  <c r="AA102" i="61" s="1"/>
  <c r="AA109" i="61" s="1"/>
  <c r="Y171" i="61"/>
  <c r="Y174" i="61"/>
  <c r="Y180" i="61" s="1"/>
  <c r="Y183" i="61"/>
  <c r="Y189" i="61" s="1"/>
  <c r="Z45" i="61"/>
  <c r="Z45" i="38"/>
  <c r="X119" i="61"/>
  <c r="X126" i="61" s="1"/>
  <c r="X153" i="61"/>
  <c r="X160" i="61" s="1"/>
  <c r="V184" i="52"/>
  <c r="U184" i="57"/>
  <c r="S50" i="38"/>
  <c r="V185" i="51"/>
  <c r="Y75" i="57"/>
  <c r="Y78" i="57" s="1"/>
  <c r="Y165" i="57" s="1"/>
  <c r="Y75" i="58"/>
  <c r="Y78" i="58" s="1"/>
  <c r="Y165" i="58" s="1"/>
  <c r="Y171" i="58" s="1"/>
  <c r="Y75" i="52"/>
  <c r="Y78" i="52" s="1"/>
  <c r="Y165" i="52" s="1"/>
  <c r="Y171" i="52" s="1"/>
  <c r="W129" i="57"/>
  <c r="W169" i="57" s="1"/>
  <c r="W129" i="53"/>
  <c r="W169" i="53" s="1"/>
  <c r="BR74" i="2" s="1"/>
  <c r="V112" i="55"/>
  <c r="V167" i="55" s="1"/>
  <c r="V176" i="55" s="1"/>
  <c r="Z52" i="58"/>
  <c r="Z52" i="55"/>
  <c r="Z52" i="57"/>
  <c r="Z52" i="53"/>
  <c r="Z52" i="52"/>
  <c r="Z52" i="51"/>
  <c r="W112" i="53"/>
  <c r="W167" i="53" s="1"/>
  <c r="BP74" i="2" s="1"/>
  <c r="X171" i="53"/>
  <c r="X183" i="53"/>
  <c r="X189" i="53" s="1"/>
  <c r="X174" i="53"/>
  <c r="X180" i="53" s="1"/>
  <c r="Z45" i="58"/>
  <c r="Z45" i="57"/>
  <c r="Z45" i="53"/>
  <c r="Z45" i="55"/>
  <c r="Z45" i="52"/>
  <c r="Z45" i="51"/>
  <c r="V184" i="51"/>
  <c r="X119" i="57"/>
  <c r="X126" i="57" s="1"/>
  <c r="X153" i="57"/>
  <c r="X160" i="57" s="1"/>
  <c r="X174" i="57"/>
  <c r="X180" i="57" s="1"/>
  <c r="X183" i="57"/>
  <c r="X189" i="57" s="1"/>
  <c r="X171" i="57"/>
  <c r="Y75" i="51"/>
  <c r="Y78" i="51" s="1"/>
  <c r="Y165" i="51" s="1"/>
  <c r="X171" i="52"/>
  <c r="X174" i="52"/>
  <c r="X180" i="52" s="1"/>
  <c r="X183" i="52"/>
  <c r="X189" i="52" s="1"/>
  <c r="Z53" i="58"/>
  <c r="Z53" i="55"/>
  <c r="Z53" i="57"/>
  <c r="Z53" i="53"/>
  <c r="Z53" i="52"/>
  <c r="Z53" i="51"/>
  <c r="Z46" i="58"/>
  <c r="Z46" i="57"/>
  <c r="Z46" i="55"/>
  <c r="Z46" i="53"/>
  <c r="Z46" i="52"/>
  <c r="Z46" i="51"/>
  <c r="X153" i="58"/>
  <c r="X160" i="58" s="1"/>
  <c r="X119" i="58"/>
  <c r="X126" i="58" s="1"/>
  <c r="Y75" i="53"/>
  <c r="Y78" i="53" s="1"/>
  <c r="Y165" i="53" s="1"/>
  <c r="Z51" i="58"/>
  <c r="Z136" i="58" s="1"/>
  <c r="Z143" i="58" s="1"/>
  <c r="Z51" i="55"/>
  <c r="Z136" i="55" s="1"/>
  <c r="Z143" i="55" s="1"/>
  <c r="Z51" i="57"/>
  <c r="Z136" i="57" s="1"/>
  <c r="Z143" i="57" s="1"/>
  <c r="Z51" i="53"/>
  <c r="Z136" i="53" s="1"/>
  <c r="Z143" i="53" s="1"/>
  <c r="Z51" i="52"/>
  <c r="Z136" i="52" s="1"/>
  <c r="Z143" i="52" s="1"/>
  <c r="Z51" i="51"/>
  <c r="Z136" i="51" s="1"/>
  <c r="Z143" i="51" s="1"/>
  <c r="X153" i="55"/>
  <c r="X160" i="55" s="1"/>
  <c r="X119" i="55"/>
  <c r="X126" i="55" s="1"/>
  <c r="Y132" i="38"/>
  <c r="Y135" i="38" s="1"/>
  <c r="Z41" i="58"/>
  <c r="Z67" i="58" s="1"/>
  <c r="Z41" i="57"/>
  <c r="Z67" i="57" s="1"/>
  <c r="Z41" i="55"/>
  <c r="Z67" i="55" s="1"/>
  <c r="Z41" i="52"/>
  <c r="Z67" i="52" s="1"/>
  <c r="Z41" i="53"/>
  <c r="Z67" i="53" s="1"/>
  <c r="Z41" i="51"/>
  <c r="Z67" i="51" s="1"/>
  <c r="Y75" i="55"/>
  <c r="Y78" i="55" s="1"/>
  <c r="Y165" i="55" s="1"/>
  <c r="X119" i="52"/>
  <c r="X126" i="52" s="1"/>
  <c r="X153" i="52"/>
  <c r="X160" i="52" s="1"/>
  <c r="X183" i="51"/>
  <c r="X189" i="51" s="1"/>
  <c r="X174" i="51"/>
  <c r="X180" i="51" s="1"/>
  <c r="X171" i="51"/>
  <c r="Z42" i="58"/>
  <c r="Z68" i="58" s="1"/>
  <c r="Z42" i="57"/>
  <c r="Z68" i="57" s="1"/>
  <c r="Z42" i="55"/>
  <c r="Z68" i="55" s="1"/>
  <c r="Z42" i="53"/>
  <c r="Z68" i="53" s="1"/>
  <c r="Z42" i="52"/>
  <c r="Z68" i="52" s="1"/>
  <c r="Z42" i="51"/>
  <c r="Z68" i="51" s="1"/>
  <c r="Z43" i="58"/>
  <c r="Z85" i="58" s="1"/>
  <c r="Z92" i="58" s="1"/>
  <c r="Z95" i="58" s="1"/>
  <c r="Z166" i="58" s="1"/>
  <c r="Z43" i="57"/>
  <c r="Z85" i="57" s="1"/>
  <c r="Z92" i="57" s="1"/>
  <c r="Z95" i="57" s="1"/>
  <c r="Z166" i="57" s="1"/>
  <c r="Z43" i="55"/>
  <c r="Z85" i="55" s="1"/>
  <c r="Z92" i="55" s="1"/>
  <c r="Z95" i="55" s="1"/>
  <c r="Z166" i="55" s="1"/>
  <c r="Z43" i="53"/>
  <c r="Z85" i="53" s="1"/>
  <c r="Z92" i="53" s="1"/>
  <c r="Z95" i="53" s="1"/>
  <c r="Z166" i="53" s="1"/>
  <c r="Z43" i="52"/>
  <c r="Z85" i="52" s="1"/>
  <c r="Z92" i="52" s="1"/>
  <c r="Z95" i="52" s="1"/>
  <c r="Z166" i="52" s="1"/>
  <c r="Z43" i="51"/>
  <c r="Z85" i="51" s="1"/>
  <c r="Z92" i="51" s="1"/>
  <c r="Z95" i="51" s="1"/>
  <c r="Z166" i="51" s="1"/>
  <c r="V129" i="57"/>
  <c r="V169" i="57" s="1"/>
  <c r="X153" i="51"/>
  <c r="X160" i="51" s="1"/>
  <c r="X119" i="51"/>
  <c r="X126" i="51" s="1"/>
  <c r="X171" i="55"/>
  <c r="X174" i="55"/>
  <c r="X180" i="55" s="1"/>
  <c r="X183" i="55"/>
  <c r="X189" i="55" s="1"/>
  <c r="X153" i="53"/>
  <c r="X160" i="53" s="1"/>
  <c r="X119" i="53"/>
  <c r="X126" i="53" s="1"/>
  <c r="X183" i="58"/>
  <c r="X189" i="58" s="1"/>
  <c r="X171" i="58"/>
  <c r="X174" i="58"/>
  <c r="X180" i="58" s="1"/>
  <c r="AA44" i="58"/>
  <c r="AA102" i="58" s="1"/>
  <c r="AA109" i="58" s="1"/>
  <c r="AA44" i="57"/>
  <c r="AA102" i="57" s="1"/>
  <c r="AA109" i="57" s="1"/>
  <c r="AA44" i="55"/>
  <c r="AA102" i="55" s="1"/>
  <c r="AA109" i="55" s="1"/>
  <c r="AA44" i="53"/>
  <c r="AA102" i="53" s="1"/>
  <c r="AA109" i="53" s="1"/>
  <c r="AA44" i="52"/>
  <c r="AA102" i="52" s="1"/>
  <c r="AA109" i="52" s="1"/>
  <c r="AA44" i="51"/>
  <c r="AA102" i="51" s="1"/>
  <c r="AA109" i="51" s="1"/>
  <c r="X116" i="52"/>
  <c r="X128" i="52" s="1"/>
  <c r="X123" i="52"/>
  <c r="X127" i="52" s="1"/>
  <c r="X118" i="52"/>
  <c r="X125" i="52" s="1"/>
  <c r="X149" i="38"/>
  <c r="X152" i="38" s="1"/>
  <c r="X149" i="55"/>
  <c r="X152" i="55" s="1"/>
  <c r="X133" i="55"/>
  <c r="X145" i="55" s="1"/>
  <c r="X140" i="55"/>
  <c r="X142" i="55"/>
  <c r="X150" i="53"/>
  <c r="X162" i="53" s="1"/>
  <c r="X157" i="53"/>
  <c r="X159" i="53"/>
  <c r="X99" i="51"/>
  <c r="X111" i="51" s="1"/>
  <c r="X106" i="51"/>
  <c r="X110" i="51" s="1"/>
  <c r="X101" i="51"/>
  <c r="X108" i="51" s="1"/>
  <c r="W112" i="52"/>
  <c r="X98" i="38"/>
  <c r="X98" i="55"/>
  <c r="X115" i="38"/>
  <c r="X118" i="38" s="1"/>
  <c r="X115" i="55"/>
  <c r="X149" i="57"/>
  <c r="X152" i="57" s="1"/>
  <c r="V175" i="53"/>
  <c r="V184" i="53"/>
  <c r="X99" i="53"/>
  <c r="X111" i="53" s="1"/>
  <c r="X106" i="53"/>
  <c r="X110" i="53" s="1"/>
  <c r="X101" i="53"/>
  <c r="X108" i="53" s="1"/>
  <c r="U176" i="55"/>
  <c r="U185" i="55"/>
  <c r="V129" i="55"/>
  <c r="V169" i="55" s="1"/>
  <c r="W129" i="51"/>
  <c r="W169" i="51" s="1"/>
  <c r="W129" i="52"/>
  <c r="U184" i="55"/>
  <c r="U175" i="55"/>
  <c r="X116" i="53"/>
  <c r="X128" i="53" s="1"/>
  <c r="X123" i="53"/>
  <c r="X127" i="53" s="1"/>
  <c r="X118" i="53"/>
  <c r="X125" i="53" s="1"/>
  <c r="X116" i="51"/>
  <c r="X128" i="51" s="1"/>
  <c r="X123" i="51"/>
  <c r="X127" i="51" s="1"/>
  <c r="X118" i="51"/>
  <c r="X125" i="51" s="1"/>
  <c r="U176" i="57"/>
  <c r="U185" i="57"/>
  <c r="V112" i="57"/>
  <c r="V167" i="57" s="1"/>
  <c r="W116" i="55"/>
  <c r="W128" i="55" s="1"/>
  <c r="W123" i="55"/>
  <c r="W127" i="55" s="1"/>
  <c r="W118" i="55"/>
  <c r="W125" i="55" s="1"/>
  <c r="X98" i="57"/>
  <c r="W150" i="57"/>
  <c r="W162" i="57" s="1"/>
  <c r="W157" i="57"/>
  <c r="V185" i="53"/>
  <c r="V176" i="53"/>
  <c r="W99" i="55"/>
  <c r="W111" i="55" s="1"/>
  <c r="W101" i="55"/>
  <c r="W108" i="55" s="1"/>
  <c r="W106" i="55"/>
  <c r="W110" i="55" s="1"/>
  <c r="W112" i="51"/>
  <c r="W167" i="51" s="1"/>
  <c r="X150" i="52"/>
  <c r="X162" i="52" s="1"/>
  <c r="X157" i="52"/>
  <c r="X159" i="52"/>
  <c r="X115" i="57"/>
  <c r="X99" i="52"/>
  <c r="X111" i="52" s="1"/>
  <c r="X101" i="52"/>
  <c r="X108" i="52" s="1"/>
  <c r="X106" i="52"/>
  <c r="X110" i="52" s="1"/>
  <c r="Y116" i="52"/>
  <c r="Y128" i="52" s="1"/>
  <c r="Y123" i="52"/>
  <c r="Y127" i="52" s="1"/>
  <c r="Y118" i="52"/>
  <c r="Y125" i="52" s="1"/>
  <c r="W99" i="57"/>
  <c r="W111" i="57" s="1"/>
  <c r="W101" i="57"/>
  <c r="W108" i="57" s="1"/>
  <c r="W106" i="57"/>
  <c r="W110" i="57" s="1"/>
  <c r="V176" i="52"/>
  <c r="V185" i="52"/>
  <c r="W157" i="51"/>
  <c r="W162" i="51"/>
  <c r="W159" i="51"/>
  <c r="X140" i="51"/>
  <c r="AA156" i="45"/>
  <c r="AA55" i="63" s="1"/>
  <c r="AA69" i="63" s="1"/>
  <c r="AA76" i="63" s="1"/>
  <c r="AA155" i="45"/>
  <c r="AA55" i="62" s="1"/>
  <c r="AA69" i="62" s="1"/>
  <c r="AA76" i="62" s="1"/>
  <c r="Y148" i="45"/>
  <c r="Y149" i="52" s="1"/>
  <c r="Y152" i="52" s="1"/>
  <c r="Y150" i="45"/>
  <c r="Y147" i="45"/>
  <c r="Y149" i="53" s="1"/>
  <c r="Y152" i="53" s="1"/>
  <c r="Y149" i="45"/>
  <c r="Y149" i="67" s="1"/>
  <c r="Y146" i="45"/>
  <c r="Y149" i="62" s="1"/>
  <c r="Y142" i="45"/>
  <c r="Y149" i="51" s="1"/>
  <c r="Y144" i="45"/>
  <c r="Y145" i="45"/>
  <c r="AA154" i="45"/>
  <c r="Z55" i="38"/>
  <c r="Y121" i="45"/>
  <c r="Y115" i="62" s="1"/>
  <c r="Y118" i="62" s="1"/>
  <c r="Y118" i="45"/>
  <c r="Y115" i="63" s="1"/>
  <c r="Y118" i="63" s="1"/>
  <c r="Y124" i="45"/>
  <c r="Y115" i="67" s="1"/>
  <c r="Y118" i="67" s="1"/>
  <c r="Y120" i="45"/>
  <c r="Y117" i="45"/>
  <c r="Y115" i="51" s="1"/>
  <c r="Y119" i="45"/>
  <c r="Z116" i="45"/>
  <c r="Z122" i="45" s="1"/>
  <c r="Z115" i="53" s="1"/>
  <c r="Z140" i="45"/>
  <c r="Y125" i="45"/>
  <c r="Y122" i="45"/>
  <c r="Y115" i="53" s="1"/>
  <c r="AA39" i="45"/>
  <c r="AA38" i="45"/>
  <c r="AA40" i="45"/>
  <c r="AA29" i="45"/>
  <c r="AA27" i="45"/>
  <c r="AA28" i="45"/>
  <c r="Y107" i="45"/>
  <c r="Y110" i="45"/>
  <c r="Y98" i="53" s="1"/>
  <c r="Y111" i="45"/>
  <c r="Y98" i="52" s="1"/>
  <c r="Y109" i="45"/>
  <c r="Y98" i="62" s="1"/>
  <c r="Y105" i="45"/>
  <c r="Y98" i="51" s="1"/>
  <c r="Y108" i="45"/>
  <c r="Y106" i="45"/>
  <c r="Y98" i="63" s="1"/>
  <c r="Z103" i="45"/>
  <c r="Z104" i="45"/>
  <c r="Y113" i="45"/>
  <c r="Y112" i="45"/>
  <c r="Y98" i="67" s="1"/>
  <c r="AA23" i="45"/>
  <c r="AA19" i="45"/>
  <c r="Z52" i="38"/>
  <c r="AA4" i="45"/>
  <c r="AA21" i="45"/>
  <c r="AA20" i="45"/>
  <c r="Z53" i="38"/>
  <c r="AA5" i="45"/>
  <c r="AA12" i="45"/>
  <c r="AA14" i="45"/>
  <c r="AB6" i="45"/>
  <c r="V175" i="61" l="1"/>
  <c r="T71" i="79"/>
  <c r="T73" i="79" s="1"/>
  <c r="T74" i="79" s="1"/>
  <c r="M178" i="61"/>
  <c r="AS8" i="2"/>
  <c r="AM8" i="2" s="1"/>
  <c r="K5" i="79" s="1"/>
  <c r="W5" i="79" s="1"/>
  <c r="W10" i="79" s="1"/>
  <c r="M178" i="63"/>
  <c r="AS41" i="2"/>
  <c r="AM41" i="2" s="1"/>
  <c r="K41" i="79" s="1"/>
  <c r="W41" i="79" s="1"/>
  <c r="W46" i="79" s="1"/>
  <c r="R71" i="79"/>
  <c r="R73" i="79" s="1"/>
  <c r="R74" i="79" s="1"/>
  <c r="M186" i="55"/>
  <c r="AS129" i="2"/>
  <c r="AM129" i="2" s="1"/>
  <c r="K137" i="79" s="1"/>
  <c r="W137" i="79" s="1"/>
  <c r="W142" i="79" s="1"/>
  <c r="W95" i="79"/>
  <c r="W97" i="79" s="1"/>
  <c r="W98" i="79" s="1"/>
  <c r="R95" i="79"/>
  <c r="R97" i="79" s="1"/>
  <c r="R98" i="79" s="1"/>
  <c r="T95" i="79"/>
  <c r="T97" i="79" s="1"/>
  <c r="T98" i="79" s="1"/>
  <c r="S95" i="79"/>
  <c r="S97" i="79" s="1"/>
  <c r="S98" i="79" s="1"/>
  <c r="V95" i="79"/>
  <c r="V97" i="79" s="1"/>
  <c r="V98" i="79" s="1"/>
  <c r="U95" i="79"/>
  <c r="U97" i="79" s="1"/>
  <c r="U98" i="79" s="1"/>
  <c r="T83" i="79"/>
  <c r="T85" i="79" s="1"/>
  <c r="T86" i="79" s="1"/>
  <c r="M194" i="66"/>
  <c r="AS140" i="2"/>
  <c r="AM140" i="2" s="1"/>
  <c r="K149" i="79" s="1"/>
  <c r="W149" i="79" s="1"/>
  <c r="W154" i="79" s="1"/>
  <c r="U83" i="79"/>
  <c r="U85" i="79" s="1"/>
  <c r="U86" i="79" s="1"/>
  <c r="BR63" i="2"/>
  <c r="BL63" i="2" s="1"/>
  <c r="J65" i="3" s="1"/>
  <c r="V65" i="3" s="1"/>
  <c r="V70" i="3" s="1"/>
  <c r="R83" i="79"/>
  <c r="R85" i="79" s="1"/>
  <c r="R86" i="79" s="1"/>
  <c r="W167" i="79"/>
  <c r="W169" i="79" s="1"/>
  <c r="W170" i="79" s="1"/>
  <c r="U167" i="79"/>
  <c r="U169" i="79" s="1"/>
  <c r="U170" i="79" s="1"/>
  <c r="R167" i="79"/>
  <c r="R169" i="79" s="1"/>
  <c r="R170" i="79" s="1"/>
  <c r="S167" i="79"/>
  <c r="S169" i="79" s="1"/>
  <c r="S170" i="79" s="1"/>
  <c r="T167" i="79"/>
  <c r="T169" i="79" s="1"/>
  <c r="T170" i="79" s="1"/>
  <c r="V167" i="79"/>
  <c r="V169" i="79" s="1"/>
  <c r="V170" i="79" s="1"/>
  <c r="M178" i="62"/>
  <c r="AS30" i="2"/>
  <c r="AM30" i="2" s="1"/>
  <c r="K29" i="79" s="1"/>
  <c r="W29" i="79" s="1"/>
  <c r="W34" i="79" s="1"/>
  <c r="M188" i="64"/>
  <c r="AS52" i="2"/>
  <c r="AM52" i="2" s="1"/>
  <c r="K53" i="79" s="1"/>
  <c r="W53" i="79" s="1"/>
  <c r="W58" i="79" s="1"/>
  <c r="M188" i="58"/>
  <c r="AS107" i="2"/>
  <c r="AM107" i="2" s="1"/>
  <c r="K113" i="79" s="1"/>
  <c r="W113" i="79" s="1"/>
  <c r="W118" i="79" s="1"/>
  <c r="V83" i="79"/>
  <c r="V85" i="79" s="1"/>
  <c r="V86" i="79" s="1"/>
  <c r="S83" i="79"/>
  <c r="S85" i="79" s="1"/>
  <c r="S86" i="79" s="1"/>
  <c r="U71" i="79"/>
  <c r="U73" i="79" s="1"/>
  <c r="U74" i="79" s="1"/>
  <c r="S71" i="79"/>
  <c r="S73" i="79" s="1"/>
  <c r="S74" i="79" s="1"/>
  <c r="BR96" i="2"/>
  <c r="M178" i="57"/>
  <c r="AS96" i="2"/>
  <c r="AM96" i="2" s="1"/>
  <c r="K101" i="79" s="1"/>
  <c r="W101" i="79" s="1"/>
  <c r="W106" i="79" s="1"/>
  <c r="M188" i="65"/>
  <c r="AS118" i="2"/>
  <c r="AM118" i="2" s="1"/>
  <c r="K125" i="79" s="1"/>
  <c r="W125" i="79" s="1"/>
  <c r="W130" i="79" s="1"/>
  <c r="V71" i="79"/>
  <c r="V73" i="79" s="1"/>
  <c r="V74" i="79" s="1"/>
  <c r="BP41" i="2"/>
  <c r="BJ41" i="2" s="1"/>
  <c r="H41" i="3" s="1"/>
  <c r="T41" i="3" s="1"/>
  <c r="T46" i="3" s="1"/>
  <c r="BP63" i="2"/>
  <c r="BJ63" i="2" s="1"/>
  <c r="H65" i="3" s="1"/>
  <c r="T65" i="3" s="1"/>
  <c r="T70" i="3" s="1"/>
  <c r="BP30" i="2"/>
  <c r="BJ30" i="2" s="1"/>
  <c r="H29" i="3" s="1"/>
  <c r="F77" i="3"/>
  <c r="R77" i="3" s="1"/>
  <c r="R82" i="3" s="1"/>
  <c r="G77" i="3"/>
  <c r="S77" i="3" s="1"/>
  <c r="S82" i="3" s="1"/>
  <c r="F89" i="3"/>
  <c r="R89" i="3" s="1"/>
  <c r="R94" i="3" s="1"/>
  <c r="O193" i="64"/>
  <c r="O192" i="53"/>
  <c r="M179" i="65"/>
  <c r="M178" i="66"/>
  <c r="M186" i="66"/>
  <c r="O187" i="53"/>
  <c r="O193" i="53"/>
  <c r="O177" i="62"/>
  <c r="O193" i="62"/>
  <c r="O192" i="64"/>
  <c r="O192" i="62"/>
  <c r="M179" i="66"/>
  <c r="M194" i="61"/>
  <c r="M179" i="61"/>
  <c r="M179" i="55"/>
  <c r="N194" i="51"/>
  <c r="M179" i="57"/>
  <c r="M188" i="57"/>
  <c r="M179" i="63"/>
  <c r="M186" i="63"/>
  <c r="M188" i="66"/>
  <c r="M186" i="58"/>
  <c r="M188" i="62"/>
  <c r="N188" i="52"/>
  <c r="N178" i="52"/>
  <c r="N194" i="67"/>
  <c r="N179" i="52"/>
  <c r="N178" i="67"/>
  <c r="N186" i="53"/>
  <c r="M178" i="65"/>
  <c r="M186" i="65"/>
  <c r="M194" i="55"/>
  <c r="M179" i="62"/>
  <c r="N194" i="53"/>
  <c r="M179" i="64"/>
  <c r="M186" i="62"/>
  <c r="M194" i="63"/>
  <c r="M188" i="63"/>
  <c r="M178" i="58"/>
  <c r="N194" i="52"/>
  <c r="M194" i="65"/>
  <c r="M194" i="58"/>
  <c r="M188" i="55"/>
  <c r="N179" i="67"/>
  <c r="M179" i="58"/>
  <c r="M178" i="55"/>
  <c r="M194" i="64"/>
  <c r="M187" i="64"/>
  <c r="N186" i="67"/>
  <c r="M194" i="62"/>
  <c r="M188" i="61"/>
  <c r="M187" i="61"/>
  <c r="M178" i="64"/>
  <c r="N187" i="51"/>
  <c r="N178" i="51"/>
  <c r="N179" i="51"/>
  <c r="P246" i="45"/>
  <c r="P262" i="45" s="1"/>
  <c r="O59" i="67"/>
  <c r="O154" i="67" s="1"/>
  <c r="O161" i="67" s="1"/>
  <c r="O163" i="67" s="1"/>
  <c r="O170" i="67" s="1"/>
  <c r="O178" i="67" s="1"/>
  <c r="Q214" i="45"/>
  <c r="Q230" i="45" s="1"/>
  <c r="Q213" i="45"/>
  <c r="Q229" i="45" s="1"/>
  <c r="P58" i="66"/>
  <c r="P137" i="66" s="1"/>
  <c r="P144" i="66" s="1"/>
  <c r="P146" i="66" s="1"/>
  <c r="P168" i="66" s="1"/>
  <c r="O245" i="45"/>
  <c r="O261" i="45" s="1"/>
  <c r="N59" i="66"/>
  <c r="N154" i="66" s="1"/>
  <c r="N161" i="66" s="1"/>
  <c r="N163" i="66" s="1"/>
  <c r="N170" i="66" s="1"/>
  <c r="N178" i="66" s="1"/>
  <c r="Q212" i="45"/>
  <c r="Q228" i="45" s="1"/>
  <c r="O244" i="45"/>
  <c r="O260" i="45" s="1"/>
  <c r="N59" i="55"/>
  <c r="N154" i="55" s="1"/>
  <c r="N161" i="55" s="1"/>
  <c r="N163" i="55" s="1"/>
  <c r="N170" i="55" s="1"/>
  <c r="N178" i="55" s="1"/>
  <c r="Q211" i="45"/>
  <c r="Q227" i="45" s="1"/>
  <c r="O243" i="45"/>
  <c r="O259" i="45" s="1"/>
  <c r="N59" i="65"/>
  <c r="N154" i="65" s="1"/>
  <c r="N161" i="65" s="1"/>
  <c r="N163" i="65" s="1"/>
  <c r="N170" i="65" s="1"/>
  <c r="N178" i="65" s="1"/>
  <c r="Q210" i="45"/>
  <c r="Q226" i="45" s="1"/>
  <c r="O242" i="45"/>
  <c r="O258" i="45" s="1"/>
  <c r="N59" i="58"/>
  <c r="N154" i="58" s="1"/>
  <c r="N161" i="58" s="1"/>
  <c r="N163" i="58" s="1"/>
  <c r="N170" i="58" s="1"/>
  <c r="N178" i="58" s="1"/>
  <c r="O177" i="57"/>
  <c r="O187" i="57"/>
  <c r="O192" i="57"/>
  <c r="O193" i="57"/>
  <c r="Q209" i="45"/>
  <c r="Q225" i="45" s="1"/>
  <c r="P58" i="57"/>
  <c r="P137" i="57" s="1"/>
  <c r="P144" i="57" s="1"/>
  <c r="P146" i="57" s="1"/>
  <c r="P168" i="57" s="1"/>
  <c r="M194" i="57"/>
  <c r="M186" i="57"/>
  <c r="O241" i="45"/>
  <c r="O257" i="45" s="1"/>
  <c r="N59" i="57"/>
  <c r="N154" i="57" s="1"/>
  <c r="N161" i="57" s="1"/>
  <c r="N163" i="57" s="1"/>
  <c r="N170" i="57" s="1"/>
  <c r="N186" i="57" s="1"/>
  <c r="P240" i="45"/>
  <c r="P256" i="45" s="1"/>
  <c r="O59" i="52"/>
  <c r="O154" i="52" s="1"/>
  <c r="O161" i="52" s="1"/>
  <c r="O163" i="52" s="1"/>
  <c r="O170" i="52" s="1"/>
  <c r="O187" i="52" s="1"/>
  <c r="Q208" i="45"/>
  <c r="Q224" i="45" s="1"/>
  <c r="N188" i="53"/>
  <c r="P239" i="45"/>
  <c r="P255" i="45" s="1"/>
  <c r="O58" i="53"/>
  <c r="O154" i="53" s="1"/>
  <c r="O161" i="53" s="1"/>
  <c r="O163" i="53" s="1"/>
  <c r="O170" i="53" s="1"/>
  <c r="N179" i="53"/>
  <c r="Q207" i="45"/>
  <c r="Q223" i="45" s="1"/>
  <c r="P57" i="53"/>
  <c r="P137" i="53" s="1"/>
  <c r="P144" i="53" s="1"/>
  <c r="P146" i="53" s="1"/>
  <c r="P168" i="53" s="1"/>
  <c r="P177" i="53" s="1"/>
  <c r="P238" i="45"/>
  <c r="P254" i="45" s="1"/>
  <c r="O58" i="51"/>
  <c r="O154" i="51" s="1"/>
  <c r="O161" i="51" s="1"/>
  <c r="O163" i="51" s="1"/>
  <c r="O170" i="51" s="1"/>
  <c r="O179" i="51" s="1"/>
  <c r="Q206" i="45"/>
  <c r="Q222" i="45" s="1"/>
  <c r="O186" i="64"/>
  <c r="Q205" i="45"/>
  <c r="Q221" i="45" s="1"/>
  <c r="P57" i="64"/>
  <c r="P137" i="64" s="1"/>
  <c r="P144" i="64" s="1"/>
  <c r="P146" i="64" s="1"/>
  <c r="P168" i="64" s="1"/>
  <c r="P193" i="64" s="1"/>
  <c r="O237" i="45"/>
  <c r="O253" i="45" s="1"/>
  <c r="N58" i="64"/>
  <c r="N154" i="64" s="1"/>
  <c r="N161" i="64" s="1"/>
  <c r="N163" i="64" s="1"/>
  <c r="N170" i="64" s="1"/>
  <c r="N178" i="64" s="1"/>
  <c r="O177" i="63"/>
  <c r="O193" i="63"/>
  <c r="O187" i="63"/>
  <c r="O192" i="63"/>
  <c r="Q204" i="45"/>
  <c r="Q220" i="45" s="1"/>
  <c r="P57" i="63"/>
  <c r="P137" i="63" s="1"/>
  <c r="P144" i="63" s="1"/>
  <c r="P146" i="63" s="1"/>
  <c r="P168" i="63" s="1"/>
  <c r="O236" i="45"/>
  <c r="O252" i="45" s="1"/>
  <c r="N58" i="63"/>
  <c r="N154" i="63" s="1"/>
  <c r="N161" i="63" s="1"/>
  <c r="N163" i="63" s="1"/>
  <c r="N170" i="63" s="1"/>
  <c r="N178" i="63" s="1"/>
  <c r="P57" i="62"/>
  <c r="P137" i="62" s="1"/>
  <c r="P144" i="62" s="1"/>
  <c r="P146" i="62" s="1"/>
  <c r="P168" i="62" s="1"/>
  <c r="P192" i="62" s="1"/>
  <c r="Q203" i="45"/>
  <c r="Q219" i="45" s="1"/>
  <c r="O235" i="45"/>
  <c r="O251" i="45" s="1"/>
  <c r="N58" i="62"/>
  <c r="N154" i="62" s="1"/>
  <c r="N161" i="62" s="1"/>
  <c r="N163" i="62" s="1"/>
  <c r="N170" i="62" s="1"/>
  <c r="Q202" i="45"/>
  <c r="Q218" i="45" s="1"/>
  <c r="P57" i="38"/>
  <c r="O234" i="45"/>
  <c r="O250" i="45" s="1"/>
  <c r="N58" i="38"/>
  <c r="Q201" i="45"/>
  <c r="Q217" i="45" s="1"/>
  <c r="O233" i="45"/>
  <c r="O249" i="45" s="1"/>
  <c r="N58" i="61"/>
  <c r="N154" i="61" s="1"/>
  <c r="N161" i="61" s="1"/>
  <c r="N163" i="61" s="1"/>
  <c r="N170" i="61" s="1"/>
  <c r="N188" i="61" s="1"/>
  <c r="O177" i="67"/>
  <c r="O192" i="67"/>
  <c r="O193" i="67"/>
  <c r="O187" i="67"/>
  <c r="O193" i="66"/>
  <c r="O187" i="66"/>
  <c r="O192" i="66"/>
  <c r="O177" i="66"/>
  <c r="N193" i="61"/>
  <c r="N186" i="61"/>
  <c r="N177" i="61"/>
  <c r="N192" i="61"/>
  <c r="P58" i="67"/>
  <c r="P137" i="67" s="1"/>
  <c r="P144" i="67" s="1"/>
  <c r="P146" i="67" s="1"/>
  <c r="P168" i="67" s="1"/>
  <c r="O57" i="61"/>
  <c r="O137" i="61" s="1"/>
  <c r="O144" i="61" s="1"/>
  <c r="O146" i="61" s="1"/>
  <c r="O168" i="61" s="1"/>
  <c r="N193" i="65"/>
  <c r="N177" i="65"/>
  <c r="N187" i="65"/>
  <c r="N192" i="65"/>
  <c r="O58" i="58"/>
  <c r="O137" i="58" s="1"/>
  <c r="O144" i="58" s="1"/>
  <c r="O146" i="58" s="1"/>
  <c r="O168" i="58" s="1"/>
  <c r="O58" i="65"/>
  <c r="O137" i="65" s="1"/>
  <c r="O144" i="65" s="1"/>
  <c r="O146" i="65" s="1"/>
  <c r="O168" i="65" s="1"/>
  <c r="N192" i="58"/>
  <c r="N187" i="58"/>
  <c r="N177" i="58"/>
  <c r="N193" i="58"/>
  <c r="P58" i="55"/>
  <c r="P137" i="55" s="1"/>
  <c r="P144" i="55" s="1"/>
  <c r="P146" i="55" s="1"/>
  <c r="P168" i="55" s="1"/>
  <c r="O57" i="51"/>
  <c r="O137" i="51" s="1"/>
  <c r="O144" i="51" s="1"/>
  <c r="O146" i="51" s="1"/>
  <c r="O168" i="51" s="1"/>
  <c r="P58" i="52"/>
  <c r="P137" i="52" s="1"/>
  <c r="P144" i="52" s="1"/>
  <c r="P146" i="52" s="1"/>
  <c r="P168" i="52" s="1"/>
  <c r="O187" i="55"/>
  <c r="O192" i="55"/>
  <c r="O177" i="55"/>
  <c r="O193" i="55"/>
  <c r="N193" i="51"/>
  <c r="N186" i="51"/>
  <c r="N192" i="51"/>
  <c r="N177" i="51"/>
  <c r="O192" i="52"/>
  <c r="O186" i="52"/>
  <c r="O193" i="52"/>
  <c r="O177" i="52"/>
  <c r="Z48" i="62"/>
  <c r="Z50" i="62" s="1"/>
  <c r="Z119" i="62" s="1"/>
  <c r="Z126" i="62" s="1"/>
  <c r="Z48" i="55"/>
  <c r="Z50" i="55" s="1"/>
  <c r="Z48" i="57"/>
  <c r="Z50" i="57" s="1"/>
  <c r="Z48" i="58"/>
  <c r="Z50" i="58" s="1"/>
  <c r="Y183" i="64"/>
  <c r="Y189" i="64" s="1"/>
  <c r="Z48" i="63"/>
  <c r="Z50" i="63" s="1"/>
  <c r="Z153" i="63" s="1"/>
  <c r="Z160" i="63" s="1"/>
  <c r="Z48" i="64"/>
  <c r="Z50" i="64" s="1"/>
  <c r="Z119" i="64" s="1"/>
  <c r="Z126" i="64" s="1"/>
  <c r="Z48" i="51"/>
  <c r="Z50" i="51" s="1"/>
  <c r="AA46" i="62"/>
  <c r="AA46" i="66"/>
  <c r="AA46" i="65"/>
  <c r="AA46" i="67"/>
  <c r="AA46" i="64"/>
  <c r="AA46" i="63"/>
  <c r="Z48" i="66"/>
  <c r="Z50" i="66" s="1"/>
  <c r="Z183" i="65"/>
  <c r="Z189" i="65" s="1"/>
  <c r="Z171" i="65"/>
  <c r="Z174" i="65"/>
  <c r="Z180" i="65" s="1"/>
  <c r="AA43" i="62"/>
  <c r="AA85" i="62" s="1"/>
  <c r="AA92" i="62" s="1"/>
  <c r="AA95" i="62" s="1"/>
  <c r="AA166" i="62" s="1"/>
  <c r="AA43" i="67"/>
  <c r="AA85" i="67" s="1"/>
  <c r="AA92" i="67" s="1"/>
  <c r="AA95" i="67" s="1"/>
  <c r="AA166" i="67" s="1"/>
  <c r="AA43" i="65"/>
  <c r="AA85" i="65" s="1"/>
  <c r="AA92" i="65" s="1"/>
  <c r="AA95" i="65" s="1"/>
  <c r="AA166" i="65" s="1"/>
  <c r="AA43" i="66"/>
  <c r="AA85" i="66" s="1"/>
  <c r="AA92" i="66" s="1"/>
  <c r="AA95" i="66" s="1"/>
  <c r="AA166" i="66" s="1"/>
  <c r="AA43" i="64"/>
  <c r="AA85" i="64" s="1"/>
  <c r="AA92" i="64" s="1"/>
  <c r="AA95" i="64" s="1"/>
  <c r="AA166" i="64" s="1"/>
  <c r="AA43" i="63"/>
  <c r="AA85" i="63" s="1"/>
  <c r="AA92" i="63" s="1"/>
  <c r="AA95" i="63" s="1"/>
  <c r="AA166" i="63" s="1"/>
  <c r="Y174" i="64"/>
  <c r="Y180" i="64" s="1"/>
  <c r="Z48" i="67"/>
  <c r="Z50" i="67" s="1"/>
  <c r="Z183" i="66"/>
  <c r="Z189" i="66" s="1"/>
  <c r="Z171" i="66"/>
  <c r="Z174" i="66"/>
  <c r="Z180" i="66" s="1"/>
  <c r="Z48" i="65"/>
  <c r="Z50" i="65" s="1"/>
  <c r="Z48" i="52"/>
  <c r="Z50" i="52" s="1"/>
  <c r="AA49" i="67"/>
  <c r="AA49" i="52"/>
  <c r="AA49" i="65"/>
  <c r="AA49" i="53"/>
  <c r="AA49" i="55"/>
  <c r="AA49" i="51"/>
  <c r="AA49" i="58"/>
  <c r="AA49" i="57"/>
  <c r="AA49" i="66"/>
  <c r="Z48" i="53"/>
  <c r="Z50" i="53" s="1"/>
  <c r="Z171" i="63"/>
  <c r="Z174" i="63"/>
  <c r="Z180" i="63" s="1"/>
  <c r="Z78" i="64"/>
  <c r="Z165" i="64" s="1"/>
  <c r="Z171" i="64" s="1"/>
  <c r="Z174" i="67"/>
  <c r="Z180" i="67" s="1"/>
  <c r="Z183" i="67"/>
  <c r="Z189" i="67" s="1"/>
  <c r="Z171" i="67"/>
  <c r="AA53" i="67"/>
  <c r="AA53" i="66"/>
  <c r="AA53" i="65"/>
  <c r="AA53" i="64"/>
  <c r="AA53" i="63"/>
  <c r="AA42" i="62"/>
  <c r="AA68" i="62" s="1"/>
  <c r="AA75" i="62" s="1"/>
  <c r="AA78" i="62" s="1"/>
  <c r="AA165" i="62" s="1"/>
  <c r="AA42" i="66"/>
  <c r="AA68" i="66" s="1"/>
  <c r="AA75" i="66" s="1"/>
  <c r="AA78" i="66" s="1"/>
  <c r="AA165" i="66" s="1"/>
  <c r="AA42" i="65"/>
  <c r="AA68" i="65" s="1"/>
  <c r="AA75" i="65" s="1"/>
  <c r="AA78" i="65" s="1"/>
  <c r="AA165" i="65" s="1"/>
  <c r="AA42" i="67"/>
  <c r="AA68" i="67" s="1"/>
  <c r="AA75" i="67" s="1"/>
  <c r="AA78" i="67" s="1"/>
  <c r="AA165" i="67" s="1"/>
  <c r="AA42" i="64"/>
  <c r="AA68" i="64" s="1"/>
  <c r="AA75" i="64" s="1"/>
  <c r="AA42" i="63"/>
  <c r="AA68" i="63" s="1"/>
  <c r="AA75" i="63" s="1"/>
  <c r="AA78" i="63" s="1"/>
  <c r="AA165" i="63" s="1"/>
  <c r="AA52" i="67"/>
  <c r="AA52" i="66"/>
  <c r="AA52" i="65"/>
  <c r="AA52" i="63"/>
  <c r="AA52" i="64"/>
  <c r="AB44" i="62"/>
  <c r="AB102" i="62" s="1"/>
  <c r="AB109" i="62" s="1"/>
  <c r="AB44" i="66"/>
  <c r="AB102" i="66" s="1"/>
  <c r="AB109" i="66" s="1"/>
  <c r="AB44" i="65"/>
  <c r="AB102" i="65" s="1"/>
  <c r="AB109" i="65" s="1"/>
  <c r="AB44" i="67"/>
  <c r="AB102" i="67" s="1"/>
  <c r="AB109" i="67" s="1"/>
  <c r="AB44" i="63"/>
  <c r="AB102" i="63" s="1"/>
  <c r="AB109" i="63" s="1"/>
  <c r="AB44" i="64"/>
  <c r="AB102" i="64" s="1"/>
  <c r="AB109" i="64" s="1"/>
  <c r="X101" i="58"/>
  <c r="X108" i="58" s="1"/>
  <c r="X99" i="58"/>
  <c r="X111" i="58" s="1"/>
  <c r="Y133" i="55"/>
  <c r="Y145" i="55" s="1"/>
  <c r="J18" i="3"/>
  <c r="V176" i="58"/>
  <c r="W129" i="58"/>
  <c r="W169" i="58" s="1"/>
  <c r="Y140" i="61"/>
  <c r="Z48" i="61"/>
  <c r="Z50" i="61" s="1"/>
  <c r="Z153" i="61" s="1"/>
  <c r="Z160" i="61" s="1"/>
  <c r="V184" i="64"/>
  <c r="Y133" i="58"/>
  <c r="Y145" i="58" s="1"/>
  <c r="Y140" i="58"/>
  <c r="X116" i="64"/>
  <c r="X128" i="64" s="1"/>
  <c r="X118" i="64"/>
  <c r="X125" i="64" s="1"/>
  <c r="X129" i="58"/>
  <c r="X169" i="58" s="1"/>
  <c r="X184" i="58" s="1"/>
  <c r="AA51" i="62"/>
  <c r="AA136" i="62" s="1"/>
  <c r="AA143" i="62" s="1"/>
  <c r="AA51" i="66"/>
  <c r="AA136" i="66" s="1"/>
  <c r="AA143" i="66" s="1"/>
  <c r="AA51" i="65"/>
  <c r="AA136" i="65" s="1"/>
  <c r="AA143" i="65" s="1"/>
  <c r="AA51" i="67"/>
  <c r="AA136" i="67" s="1"/>
  <c r="AA143" i="67" s="1"/>
  <c r="AA51" i="63"/>
  <c r="AA136" i="63" s="1"/>
  <c r="AA143" i="63" s="1"/>
  <c r="AA51" i="64"/>
  <c r="AA136" i="64" s="1"/>
  <c r="AA143" i="64" s="1"/>
  <c r="X157" i="58"/>
  <c r="X150" i="58"/>
  <c r="X162" i="58" s="1"/>
  <c r="Y119" i="62"/>
  <c r="Y126" i="62" s="1"/>
  <c r="Y153" i="63"/>
  <c r="Y160" i="63" s="1"/>
  <c r="Y119" i="64"/>
  <c r="Y126" i="64" s="1"/>
  <c r="AA49" i="62"/>
  <c r="AA49" i="64"/>
  <c r="AA49" i="63"/>
  <c r="AA45" i="62"/>
  <c r="AA45" i="65"/>
  <c r="AA45" i="67"/>
  <c r="AA45" i="66"/>
  <c r="AA45" i="63"/>
  <c r="AA45" i="64"/>
  <c r="Y153" i="66"/>
  <c r="Y160" i="66" s="1"/>
  <c r="Y119" i="66"/>
  <c r="Y126" i="66" s="1"/>
  <c r="Y153" i="67"/>
  <c r="Y160" i="67" s="1"/>
  <c r="Y119" i="67"/>
  <c r="Y126" i="67" s="1"/>
  <c r="Y153" i="65"/>
  <c r="Y160" i="65" s="1"/>
  <c r="Y119" i="65"/>
  <c r="Y126" i="65" s="1"/>
  <c r="Y135" i="53"/>
  <c r="Y142" i="53" s="1"/>
  <c r="Y140" i="53"/>
  <c r="Y133" i="53"/>
  <c r="Y145" i="53" s="1"/>
  <c r="Y135" i="52"/>
  <c r="Y142" i="52" s="1"/>
  <c r="Y133" i="52"/>
  <c r="Y145" i="52" s="1"/>
  <c r="Y140" i="52"/>
  <c r="Z134" i="45"/>
  <c r="Z132" i="53" s="1"/>
  <c r="Z129" i="45"/>
  <c r="Z132" i="51" s="1"/>
  <c r="Z136" i="45"/>
  <c r="Z132" i="67" s="1"/>
  <c r="Z133" i="67" s="1"/>
  <c r="Z145" i="67" s="1"/>
  <c r="Y140" i="67"/>
  <c r="Y135" i="67"/>
  <c r="Y142" i="67" s="1"/>
  <c r="Y135" i="61"/>
  <c r="Y142" i="61" s="1"/>
  <c r="Z135" i="45"/>
  <c r="Z132" i="52" s="1"/>
  <c r="W129" i="64"/>
  <c r="W169" i="64" s="1"/>
  <c r="W112" i="58"/>
  <c r="W167" i="58" s="1"/>
  <c r="Y140" i="55"/>
  <c r="X152" i="61"/>
  <c r="X159" i="61" s="1"/>
  <c r="V184" i="66"/>
  <c r="W176" i="63"/>
  <c r="W185" i="63"/>
  <c r="V176" i="66"/>
  <c r="V175" i="66"/>
  <c r="AB157" i="45"/>
  <c r="AA55" i="64"/>
  <c r="AA69" i="64" s="1"/>
  <c r="AA76" i="64" s="1"/>
  <c r="Y149" i="58"/>
  <c r="Y152" i="58" s="1"/>
  <c r="Y159" i="58" s="1"/>
  <c r="Y149" i="65"/>
  <c r="BL151" i="2"/>
  <c r="J161" i="3" s="1"/>
  <c r="V161" i="3" s="1"/>
  <c r="V166" i="3" s="1"/>
  <c r="W184" i="67"/>
  <c r="W175" i="67"/>
  <c r="Y133" i="63"/>
  <c r="Y145" i="63" s="1"/>
  <c r="Y140" i="63"/>
  <c r="Y135" i="63"/>
  <c r="Y142" i="63" s="1"/>
  <c r="Y150" i="67"/>
  <c r="Y162" i="67" s="1"/>
  <c r="Y157" i="67"/>
  <c r="Y152" i="67"/>
  <c r="Y159" i="67" s="1"/>
  <c r="Z132" i="66"/>
  <c r="Z132" i="64"/>
  <c r="X157" i="61"/>
  <c r="Y133" i="65"/>
  <c r="Y145" i="65" s="1"/>
  <c r="Y135" i="65"/>
  <c r="Y142" i="65" s="1"/>
  <c r="Y140" i="65"/>
  <c r="X129" i="67"/>
  <c r="X169" i="67" s="1"/>
  <c r="AF16" i="14" s="1" a="1"/>
  <c r="AF16" i="14" s="1"/>
  <c r="X112" i="63"/>
  <c r="X167" i="63" s="1"/>
  <c r="X176" i="63" s="1"/>
  <c r="X150" i="66"/>
  <c r="X162" i="66" s="1"/>
  <c r="X157" i="66"/>
  <c r="X152" i="66"/>
  <c r="X159" i="66" s="1"/>
  <c r="X129" i="65"/>
  <c r="X169" i="65" s="1"/>
  <c r="X116" i="66"/>
  <c r="X128" i="66" s="1"/>
  <c r="X125" i="66"/>
  <c r="X123" i="66"/>
  <c r="X127" i="66" s="1"/>
  <c r="Y116" i="67"/>
  <c r="Y128" i="67" s="1"/>
  <c r="Y125" i="67"/>
  <c r="Y123" i="67"/>
  <c r="Y127" i="67" s="1"/>
  <c r="Z132" i="58"/>
  <c r="Z135" i="58" s="1"/>
  <c r="Z142" i="58" s="1"/>
  <c r="Z132" i="65"/>
  <c r="W126" i="3"/>
  <c r="Z142" i="45"/>
  <c r="Z149" i="51" s="1"/>
  <c r="Z152" i="51" s="1"/>
  <c r="W54" i="3"/>
  <c r="X150" i="65"/>
  <c r="X162" i="65" s="1"/>
  <c r="X152" i="65"/>
  <c r="X159" i="65" s="1"/>
  <c r="X157" i="65"/>
  <c r="W129" i="66"/>
  <c r="W169" i="66" s="1"/>
  <c r="BR140" i="2" s="1"/>
  <c r="X123" i="64"/>
  <c r="X127" i="64" s="1"/>
  <c r="X152" i="64"/>
  <c r="X159" i="64" s="1"/>
  <c r="Y133" i="64"/>
  <c r="Y145" i="64" s="1"/>
  <c r="Y140" i="64"/>
  <c r="Y135" i="64"/>
  <c r="Y142" i="64" s="1"/>
  <c r="Z132" i="61"/>
  <c r="Z135" i="61" s="1"/>
  <c r="Z142" i="61" s="1"/>
  <c r="Z132" i="63"/>
  <c r="Y115" i="64"/>
  <c r="Y115" i="66"/>
  <c r="Y118" i="66" s="1"/>
  <c r="Y149" i="64"/>
  <c r="Y157" i="64" s="1"/>
  <c r="Y149" i="66"/>
  <c r="X157" i="64"/>
  <c r="Y133" i="66"/>
  <c r="Y145" i="66" s="1"/>
  <c r="Y140" i="66"/>
  <c r="Y135" i="66"/>
  <c r="Y142" i="66" s="1"/>
  <c r="Y115" i="58"/>
  <c r="Y116" i="58" s="1"/>
  <c r="Y128" i="58" s="1"/>
  <c r="Y115" i="65"/>
  <c r="W129" i="65"/>
  <c r="W169" i="65" s="1"/>
  <c r="W184" i="53"/>
  <c r="BL74" i="2"/>
  <c r="J77" i="3" s="1"/>
  <c r="V77" i="3" s="1"/>
  <c r="V82" i="3" s="1"/>
  <c r="W184" i="57"/>
  <c r="R114" i="3"/>
  <c r="U114" i="3" s="1"/>
  <c r="F113" i="3"/>
  <c r="R113" i="3" s="1"/>
  <c r="Y98" i="58"/>
  <c r="Y99" i="58" s="1"/>
  <c r="Y111" i="58" s="1"/>
  <c r="Y98" i="65"/>
  <c r="V176" i="65"/>
  <c r="V185" i="65"/>
  <c r="W185" i="53"/>
  <c r="BJ74" i="2"/>
  <c r="H77" i="3" s="1"/>
  <c r="T77" i="3" s="1"/>
  <c r="T82" i="3" s="1"/>
  <c r="BJ151" i="2"/>
  <c r="H161" i="3" s="1"/>
  <c r="T161" i="3" s="1"/>
  <c r="T166" i="3" s="1"/>
  <c r="W185" i="67"/>
  <c r="W176" i="67"/>
  <c r="Y101" i="63"/>
  <c r="Y108" i="63" s="1"/>
  <c r="Y106" i="63"/>
  <c r="Y110" i="63" s="1"/>
  <c r="Y99" i="63"/>
  <c r="Y111" i="63" s="1"/>
  <c r="X99" i="64"/>
  <c r="X111" i="64" s="1"/>
  <c r="X106" i="64"/>
  <c r="X110" i="64" s="1"/>
  <c r="X101" i="64"/>
  <c r="X108" i="64" s="1"/>
  <c r="X99" i="66"/>
  <c r="X111" i="66" s="1"/>
  <c r="X106" i="66"/>
  <c r="X110" i="66" s="1"/>
  <c r="X101" i="66"/>
  <c r="X108" i="66" s="1"/>
  <c r="X99" i="65"/>
  <c r="X111" i="65" s="1"/>
  <c r="X101" i="65"/>
  <c r="X108" i="65" s="1"/>
  <c r="X106" i="65"/>
  <c r="X110" i="65" s="1"/>
  <c r="X112" i="67"/>
  <c r="X167" i="67" s="1"/>
  <c r="W112" i="66"/>
  <c r="W167" i="66" s="1"/>
  <c r="BP140" i="2" s="1"/>
  <c r="W112" i="64"/>
  <c r="W167" i="64" s="1"/>
  <c r="BP52" i="2" s="1"/>
  <c r="Y98" i="66"/>
  <c r="Y98" i="64"/>
  <c r="W112" i="65"/>
  <c r="W167" i="65" s="1"/>
  <c r="Y99" i="67"/>
  <c r="Y111" i="67" s="1"/>
  <c r="Y106" i="67"/>
  <c r="Y110" i="67" s="1"/>
  <c r="Y101" i="67"/>
  <c r="Y108" i="67" s="1"/>
  <c r="V185" i="64"/>
  <c r="V176" i="64"/>
  <c r="W167" i="52"/>
  <c r="BL86" i="2"/>
  <c r="J90" i="3" s="1"/>
  <c r="V90" i="3" s="1"/>
  <c r="BI85" i="2"/>
  <c r="W169" i="52"/>
  <c r="BK86" i="2"/>
  <c r="I90" i="3" s="1"/>
  <c r="U90" i="3" s="1"/>
  <c r="K6" i="3"/>
  <c r="W6" i="3" s="1"/>
  <c r="Y150" i="51"/>
  <c r="Y162" i="51" s="1"/>
  <c r="Y152" i="51"/>
  <c r="Y159" i="51" s="1"/>
  <c r="BL41" i="2"/>
  <c r="J41" i="3" s="1"/>
  <c r="V41" i="3" s="1"/>
  <c r="V46" i="3" s="1"/>
  <c r="W184" i="63"/>
  <c r="W175" i="63"/>
  <c r="X150" i="63"/>
  <c r="X162" i="63" s="1"/>
  <c r="X152" i="63"/>
  <c r="X159" i="63" s="1"/>
  <c r="X157" i="63"/>
  <c r="X129" i="63"/>
  <c r="X169" i="63" s="1"/>
  <c r="AI6" i="14" s="1" a="1"/>
  <c r="AI6" i="14" s="1"/>
  <c r="Y149" i="61"/>
  <c r="Y150" i="61" s="1"/>
  <c r="Y162" i="61" s="1"/>
  <c r="Y149" i="63"/>
  <c r="Y116" i="63"/>
  <c r="Y128" i="63" s="1"/>
  <c r="Y123" i="63"/>
  <c r="Y127" i="63" s="1"/>
  <c r="Y125" i="63"/>
  <c r="W175" i="53"/>
  <c r="V184" i="61"/>
  <c r="Y153" i="61"/>
  <c r="Y160" i="61" s="1"/>
  <c r="W176" i="62"/>
  <c r="W185" i="62"/>
  <c r="V185" i="61"/>
  <c r="X112" i="62"/>
  <c r="X167" i="62" s="1"/>
  <c r="X185" i="62" s="1"/>
  <c r="J6" i="3"/>
  <c r="V6" i="3" s="1"/>
  <c r="BL30" i="2"/>
  <c r="Z171" i="62"/>
  <c r="Z174" i="62"/>
  <c r="Z180" i="62" s="1"/>
  <c r="Z183" i="62"/>
  <c r="Z189" i="62" s="1"/>
  <c r="AA52" i="61"/>
  <c r="AA62" i="45"/>
  <c r="AA63" i="45"/>
  <c r="AA64" i="45"/>
  <c r="AA67" i="45"/>
  <c r="AA59" i="45"/>
  <c r="AA65" i="45"/>
  <c r="AA60" i="45"/>
  <c r="AA66" i="45"/>
  <c r="AA61" i="45"/>
  <c r="AA49" i="45"/>
  <c r="AA130" i="45" s="1"/>
  <c r="AA52" i="45"/>
  <c r="AA133" i="45" s="1"/>
  <c r="AA55" i="45"/>
  <c r="AA50" i="45"/>
  <c r="AA131" i="45" s="1"/>
  <c r="AA53" i="45"/>
  <c r="AA56" i="45"/>
  <c r="AA137" i="45" s="1"/>
  <c r="AA48" i="45"/>
  <c r="AA51" i="45"/>
  <c r="AA132" i="45" s="1"/>
  <c r="AA54" i="45"/>
  <c r="AA52" i="62"/>
  <c r="Y140" i="57"/>
  <c r="Y142" i="57"/>
  <c r="Y133" i="57"/>
  <c r="Y145" i="57" s="1"/>
  <c r="X129" i="62"/>
  <c r="X169" i="62" s="1"/>
  <c r="Y133" i="62"/>
  <c r="Y145" i="62" s="1"/>
  <c r="Y135" i="62"/>
  <c r="Y142" i="62" s="1"/>
  <c r="Y140" i="62"/>
  <c r="AA53" i="61"/>
  <c r="AA73" i="45"/>
  <c r="AA78" i="45"/>
  <c r="AA71" i="45"/>
  <c r="AA75" i="45"/>
  <c r="AA76" i="45"/>
  <c r="AA74" i="45"/>
  <c r="AA72" i="45"/>
  <c r="AA77" i="45"/>
  <c r="AA70" i="45"/>
  <c r="AA53" i="62"/>
  <c r="Y116" i="62"/>
  <c r="Y128" i="62" s="1"/>
  <c r="Y125" i="62"/>
  <c r="Y123" i="62"/>
  <c r="Y127" i="62" s="1"/>
  <c r="Y99" i="62"/>
  <c r="Y111" i="62" s="1"/>
  <c r="Y106" i="62"/>
  <c r="Y110" i="62" s="1"/>
  <c r="Y101" i="62"/>
  <c r="Y108" i="62" s="1"/>
  <c r="Z132" i="62"/>
  <c r="Z132" i="57"/>
  <c r="Z135" i="57" s="1"/>
  <c r="Y150" i="62"/>
  <c r="Y162" i="62" s="1"/>
  <c r="Y157" i="62"/>
  <c r="Y152" i="62"/>
  <c r="Y159" i="62" s="1"/>
  <c r="W112" i="61"/>
  <c r="W167" i="61" s="1"/>
  <c r="BP8" i="2" s="1"/>
  <c r="W129" i="61"/>
  <c r="W169" i="61" s="1"/>
  <c r="BR8" i="2" s="1"/>
  <c r="AB44" i="61"/>
  <c r="AB102" i="61" s="1"/>
  <c r="AB109" i="61" s="1"/>
  <c r="AB44" i="38"/>
  <c r="AA49" i="61"/>
  <c r="AA49" i="38"/>
  <c r="X99" i="61"/>
  <c r="X111" i="61" s="1"/>
  <c r="X101" i="61"/>
  <c r="X108" i="61" s="1"/>
  <c r="X106" i="61"/>
  <c r="X110" i="61" s="1"/>
  <c r="AA46" i="38"/>
  <c r="AA46" i="61"/>
  <c r="Y115" i="61"/>
  <c r="Y118" i="61" s="1"/>
  <c r="X116" i="61"/>
  <c r="X128" i="61" s="1"/>
  <c r="X123" i="61"/>
  <c r="X127" i="61" s="1"/>
  <c r="X125" i="61"/>
  <c r="AA45" i="61"/>
  <c r="AA45" i="38"/>
  <c r="AA43" i="61"/>
  <c r="AA85" i="61" s="1"/>
  <c r="AA92" i="61" s="1"/>
  <c r="AA95" i="61" s="1"/>
  <c r="AA166" i="61" s="1"/>
  <c r="AA43" i="38"/>
  <c r="AA42" i="61"/>
  <c r="AA68" i="61" s="1"/>
  <c r="AA75" i="61" s="1"/>
  <c r="AA78" i="61" s="1"/>
  <c r="AA165" i="61" s="1"/>
  <c r="AA42" i="38"/>
  <c r="AA51" i="38"/>
  <c r="AA51" i="61"/>
  <c r="AA136" i="61" s="1"/>
  <c r="AA143" i="61" s="1"/>
  <c r="Z171" i="61"/>
  <c r="Z174" i="61"/>
  <c r="Z180" i="61" s="1"/>
  <c r="Z183" i="61"/>
  <c r="Z189" i="61" s="1"/>
  <c r="Y98" i="61"/>
  <c r="W175" i="57"/>
  <c r="T48" i="38"/>
  <c r="T50" i="38" s="1"/>
  <c r="Y183" i="58"/>
  <c r="Y189" i="58" s="1"/>
  <c r="Y171" i="57"/>
  <c r="Y174" i="58"/>
  <c r="Y180" i="58" s="1"/>
  <c r="Y174" i="57"/>
  <c r="Y180" i="57" s="1"/>
  <c r="Y183" i="57"/>
  <c r="Y189" i="57" s="1"/>
  <c r="W176" i="53"/>
  <c r="Y183" i="52"/>
  <c r="Y189" i="52" s="1"/>
  <c r="Y174" i="52"/>
  <c r="Y180" i="52" s="1"/>
  <c r="V185" i="55"/>
  <c r="Z75" i="57"/>
  <c r="Z78" i="57" s="1"/>
  <c r="Z165" i="57" s="1"/>
  <c r="Z174" i="57" s="1"/>
  <c r="Z180" i="57" s="1"/>
  <c r="W112" i="55"/>
  <c r="W167" i="55" s="1"/>
  <c r="BP129" i="2" s="1"/>
  <c r="X112" i="53"/>
  <c r="X167" i="53" s="1"/>
  <c r="X176" i="53" s="1"/>
  <c r="V175" i="57"/>
  <c r="V184" i="57"/>
  <c r="Y171" i="51"/>
  <c r="Y183" i="51"/>
  <c r="Y189" i="51" s="1"/>
  <c r="Y174" i="51"/>
  <c r="Y180" i="51" s="1"/>
  <c r="Y174" i="55"/>
  <c r="Y180" i="55" s="1"/>
  <c r="Y171" i="55"/>
  <c r="Y183" i="55"/>
  <c r="Y189" i="55" s="1"/>
  <c r="Y171" i="53"/>
  <c r="Y174" i="53"/>
  <c r="Y180" i="53" s="1"/>
  <c r="Y183" i="53"/>
  <c r="Y189" i="53" s="1"/>
  <c r="AA43" i="58"/>
  <c r="AA85" i="58" s="1"/>
  <c r="AA92" i="58" s="1"/>
  <c r="AA95" i="58" s="1"/>
  <c r="AA166" i="58" s="1"/>
  <c r="AA43" i="57"/>
  <c r="AA85" i="57" s="1"/>
  <c r="AA92" i="57" s="1"/>
  <c r="AA95" i="57" s="1"/>
  <c r="AA166" i="57" s="1"/>
  <c r="AA43" i="55"/>
  <c r="AA85" i="55" s="1"/>
  <c r="AA92" i="55" s="1"/>
  <c r="AA95" i="55" s="1"/>
  <c r="AA166" i="55" s="1"/>
  <c r="AA43" i="53"/>
  <c r="AA85" i="53" s="1"/>
  <c r="AA92" i="53" s="1"/>
  <c r="AA95" i="53" s="1"/>
  <c r="AA166" i="53" s="1"/>
  <c r="AA43" i="52"/>
  <c r="AA85" i="52" s="1"/>
  <c r="AA92" i="52" s="1"/>
  <c r="AA95" i="52" s="1"/>
  <c r="AA166" i="52" s="1"/>
  <c r="AA43" i="51"/>
  <c r="AA85" i="51" s="1"/>
  <c r="AA92" i="51" s="1"/>
  <c r="AA95" i="51" s="1"/>
  <c r="AA166" i="51" s="1"/>
  <c r="Y153" i="58"/>
  <c r="Y160" i="58" s="1"/>
  <c r="Y119" i="58"/>
  <c r="Y126" i="58" s="1"/>
  <c r="Y119" i="51"/>
  <c r="Y126" i="51" s="1"/>
  <c r="Y153" i="51"/>
  <c r="Y160" i="51" s="1"/>
  <c r="AA46" i="57"/>
  <c r="AA46" i="58"/>
  <c r="AA46" i="55"/>
  <c r="AA46" i="53"/>
  <c r="AA46" i="52"/>
  <c r="AA46" i="51"/>
  <c r="AB44" i="58"/>
  <c r="AB102" i="58" s="1"/>
  <c r="AB109" i="58" s="1"/>
  <c r="AB44" i="57"/>
  <c r="AB102" i="57" s="1"/>
  <c r="AB109" i="57" s="1"/>
  <c r="AB44" i="55"/>
  <c r="AB102" i="55" s="1"/>
  <c r="AB109" i="55" s="1"/>
  <c r="AB44" i="53"/>
  <c r="AB102" i="53" s="1"/>
  <c r="AB109" i="53" s="1"/>
  <c r="AB44" i="52"/>
  <c r="AB102" i="52" s="1"/>
  <c r="AB109" i="52" s="1"/>
  <c r="AB44" i="51"/>
  <c r="AB102" i="51" s="1"/>
  <c r="AB109" i="51" s="1"/>
  <c r="Y153" i="53"/>
  <c r="Y160" i="53" s="1"/>
  <c r="Y119" i="53"/>
  <c r="Y126" i="53" s="1"/>
  <c r="Z75" i="51"/>
  <c r="Z78" i="51" s="1"/>
  <c r="Z165" i="51" s="1"/>
  <c r="AA52" i="58"/>
  <c r="AA52" i="55"/>
  <c r="AA52" i="57"/>
  <c r="AA52" i="53"/>
  <c r="AA52" i="52"/>
  <c r="AA52" i="51"/>
  <c r="AA45" i="58"/>
  <c r="AA45" i="57"/>
  <c r="AA45" i="53"/>
  <c r="AA45" i="55"/>
  <c r="AA45" i="52"/>
  <c r="AA45" i="51"/>
  <c r="AA53" i="58"/>
  <c r="AA53" i="55"/>
  <c r="AA53" i="57"/>
  <c r="AA53" i="53"/>
  <c r="AA53" i="52"/>
  <c r="AA53" i="51"/>
  <c r="Z75" i="53"/>
  <c r="Z78" i="53" s="1"/>
  <c r="Z165" i="53" s="1"/>
  <c r="W112" i="57"/>
  <c r="W167" i="57" s="1"/>
  <c r="AA51" i="58"/>
  <c r="AA136" i="58" s="1"/>
  <c r="AA143" i="58" s="1"/>
  <c r="AA51" i="55"/>
  <c r="AA136" i="55" s="1"/>
  <c r="AA143" i="55" s="1"/>
  <c r="AA51" i="57"/>
  <c r="AA136" i="57" s="1"/>
  <c r="AA143" i="57" s="1"/>
  <c r="AA51" i="53"/>
  <c r="AA136" i="53" s="1"/>
  <c r="AA143" i="53" s="1"/>
  <c r="AA51" i="52"/>
  <c r="AA136" i="52" s="1"/>
  <c r="AA143" i="52" s="1"/>
  <c r="AA51" i="51"/>
  <c r="AA136" i="51" s="1"/>
  <c r="AA143" i="51" s="1"/>
  <c r="Y153" i="57"/>
  <c r="Y160" i="57" s="1"/>
  <c r="Y119" i="57"/>
  <c r="Y126" i="57" s="1"/>
  <c r="Z75" i="52"/>
  <c r="Z78" i="52" s="1"/>
  <c r="Z165" i="52" s="1"/>
  <c r="AA41" i="58"/>
  <c r="AA67" i="58" s="1"/>
  <c r="AA41" i="57"/>
  <c r="AA67" i="57" s="1"/>
  <c r="AA41" i="55"/>
  <c r="AA67" i="55" s="1"/>
  <c r="AA41" i="53"/>
  <c r="AA67" i="53" s="1"/>
  <c r="AA41" i="52"/>
  <c r="AA67" i="52" s="1"/>
  <c r="AA41" i="51"/>
  <c r="AA67" i="51" s="1"/>
  <c r="Y153" i="52"/>
  <c r="Y160" i="52" s="1"/>
  <c r="Y119" i="52"/>
  <c r="Y126" i="52" s="1"/>
  <c r="Y129" i="52" s="1"/>
  <c r="Y169" i="52" s="1"/>
  <c r="Z75" i="55"/>
  <c r="Z78" i="55" s="1"/>
  <c r="Z165" i="55" s="1"/>
  <c r="AA42" i="58"/>
  <c r="AA68" i="58" s="1"/>
  <c r="AA42" i="57"/>
  <c r="AA68" i="57" s="1"/>
  <c r="AA42" i="55"/>
  <c r="AA68" i="55" s="1"/>
  <c r="AA42" i="53"/>
  <c r="AA68" i="53" s="1"/>
  <c r="AA42" i="52"/>
  <c r="AA68" i="52" s="1"/>
  <c r="AA42" i="51"/>
  <c r="AA68" i="51" s="1"/>
  <c r="X112" i="52"/>
  <c r="X167" i="52" s="1"/>
  <c r="X185" i="52" s="1"/>
  <c r="X129" i="51"/>
  <c r="X169" i="51" s="1"/>
  <c r="X184" i="51" s="1"/>
  <c r="Y153" i="55"/>
  <c r="Y160" i="55" s="1"/>
  <c r="Y119" i="55"/>
  <c r="Y126" i="55" s="1"/>
  <c r="Z75" i="58"/>
  <c r="Z78" i="58" s="1"/>
  <c r="Z165" i="58" s="1"/>
  <c r="Y116" i="51"/>
  <c r="Y128" i="51" s="1"/>
  <c r="Y123" i="51"/>
  <c r="Y127" i="51" s="1"/>
  <c r="Y118" i="51"/>
  <c r="Y125" i="51" s="1"/>
  <c r="Y149" i="57"/>
  <c r="Y152" i="57" s="1"/>
  <c r="X116" i="57"/>
  <c r="X128" i="57" s="1"/>
  <c r="X123" i="57"/>
  <c r="X127" i="57" s="1"/>
  <c r="X118" i="57"/>
  <c r="X125" i="57" s="1"/>
  <c r="W184" i="51"/>
  <c r="W175" i="51"/>
  <c r="X150" i="55"/>
  <c r="X162" i="55" s="1"/>
  <c r="X157" i="55"/>
  <c r="X159" i="55"/>
  <c r="Y150" i="53"/>
  <c r="Y162" i="53" s="1"/>
  <c r="Y157" i="53"/>
  <c r="Y159" i="53"/>
  <c r="W129" i="55"/>
  <c r="W169" i="55" s="1"/>
  <c r="V184" i="55"/>
  <c r="V175" i="55"/>
  <c r="Y150" i="52"/>
  <c r="Y162" i="52" s="1"/>
  <c r="Y159" i="52"/>
  <c r="Y157" i="52"/>
  <c r="Y115" i="57"/>
  <c r="X99" i="57"/>
  <c r="X111" i="57" s="1"/>
  <c r="X101" i="57"/>
  <c r="X108" i="57" s="1"/>
  <c r="X106" i="57"/>
  <c r="X110" i="57" s="1"/>
  <c r="X150" i="57"/>
  <c r="X162" i="57" s="1"/>
  <c r="X159" i="57"/>
  <c r="X157" i="57"/>
  <c r="X129" i="53"/>
  <c r="X169" i="53" s="1"/>
  <c r="AI9" i="14" s="1" a="1"/>
  <c r="AI9" i="14" s="1"/>
  <c r="X116" i="55"/>
  <c r="X128" i="55" s="1"/>
  <c r="X123" i="55"/>
  <c r="X127" i="55" s="1"/>
  <c r="X118" i="55"/>
  <c r="X125" i="55" s="1"/>
  <c r="X112" i="51"/>
  <c r="X167" i="51" s="1"/>
  <c r="Z132" i="38"/>
  <c r="Z135" i="38" s="1"/>
  <c r="Z132" i="55"/>
  <c r="Z135" i="55" s="1"/>
  <c r="W185" i="51"/>
  <c r="W176" i="51"/>
  <c r="V185" i="57"/>
  <c r="V176" i="57"/>
  <c r="X99" i="55"/>
  <c r="X111" i="55" s="1"/>
  <c r="X101" i="55"/>
  <c r="X108" i="55" s="1"/>
  <c r="X106" i="55"/>
  <c r="X110" i="55" s="1"/>
  <c r="Y116" i="53"/>
  <c r="Y128" i="53" s="1"/>
  <c r="Y123" i="53"/>
  <c r="Y127" i="53" s="1"/>
  <c r="Y118" i="53"/>
  <c r="Y125" i="53" s="1"/>
  <c r="Y99" i="52"/>
  <c r="Y111" i="52" s="1"/>
  <c r="Y101" i="52"/>
  <c r="Y108" i="52" s="1"/>
  <c r="Y106" i="52"/>
  <c r="Y110" i="52" s="1"/>
  <c r="Y98" i="57"/>
  <c r="Z116" i="53"/>
  <c r="Z128" i="53" s="1"/>
  <c r="Z123" i="53"/>
  <c r="Z127" i="53" s="1"/>
  <c r="Z118" i="53"/>
  <c r="Z125" i="53" s="1"/>
  <c r="Y99" i="53"/>
  <c r="Y111" i="53" s="1"/>
  <c r="Y101" i="53"/>
  <c r="Y108" i="53" s="1"/>
  <c r="Y106" i="53"/>
  <c r="Y110" i="53" s="1"/>
  <c r="Y115" i="38"/>
  <c r="Y118" i="38" s="1"/>
  <c r="Y115" i="55"/>
  <c r="Y149" i="38"/>
  <c r="Y152" i="38" s="1"/>
  <c r="Y149" i="55"/>
  <c r="Y152" i="55" s="1"/>
  <c r="Y99" i="51"/>
  <c r="Y111" i="51" s="1"/>
  <c r="Y106" i="51"/>
  <c r="Y110" i="51" s="1"/>
  <c r="Y101" i="51"/>
  <c r="Y108" i="51" s="1"/>
  <c r="Y98" i="38"/>
  <c r="Y98" i="55"/>
  <c r="X129" i="52"/>
  <c r="X169" i="52" s="1"/>
  <c r="X157" i="51"/>
  <c r="X162" i="51"/>
  <c r="X159" i="51"/>
  <c r="Y140" i="51"/>
  <c r="Y145" i="51"/>
  <c r="Y142" i="51"/>
  <c r="Y157" i="51"/>
  <c r="AB156" i="45"/>
  <c r="AB55" i="63" s="1"/>
  <c r="AB69" i="63" s="1"/>
  <c r="AB76" i="63" s="1"/>
  <c r="AB155" i="45"/>
  <c r="AB55" i="62" s="1"/>
  <c r="AB69" i="62" s="1"/>
  <c r="AB76" i="62" s="1"/>
  <c r="Z150" i="45"/>
  <c r="Z149" i="45"/>
  <c r="Z149" i="67" s="1"/>
  <c r="Z146" i="45"/>
  <c r="Z149" i="62" s="1"/>
  <c r="Z147" i="45"/>
  <c r="Z149" i="53" s="1"/>
  <c r="Z152" i="53" s="1"/>
  <c r="Z148" i="45"/>
  <c r="Z149" i="52" s="1"/>
  <c r="Z152" i="52" s="1"/>
  <c r="Z144" i="45"/>
  <c r="Z143" i="45"/>
  <c r="Z145" i="45"/>
  <c r="AB154" i="45"/>
  <c r="AA55" i="38"/>
  <c r="Z117" i="45"/>
  <c r="Z115" i="51" s="1"/>
  <c r="Z125" i="45"/>
  <c r="Z120" i="45"/>
  <c r="Z119" i="45"/>
  <c r="Z121" i="45"/>
  <c r="Z115" i="62" s="1"/>
  <c r="Z118" i="62" s="1"/>
  <c r="Z123" i="45"/>
  <c r="Z115" i="52" s="1"/>
  <c r="Z124" i="45"/>
  <c r="Z115" i="67" s="1"/>
  <c r="Z118" i="67" s="1"/>
  <c r="Z118" i="45"/>
  <c r="Z115" i="63" s="1"/>
  <c r="Z118" i="63" s="1"/>
  <c r="AA116" i="45"/>
  <c r="AA123" i="45" s="1"/>
  <c r="AA115" i="52" s="1"/>
  <c r="AA140" i="45"/>
  <c r="AB40" i="45"/>
  <c r="AB38" i="45"/>
  <c r="AB39" i="45"/>
  <c r="AB28" i="45"/>
  <c r="AB27" i="45"/>
  <c r="AB29" i="45"/>
  <c r="Z112" i="45"/>
  <c r="Z98" i="67" s="1"/>
  <c r="Z113" i="45"/>
  <c r="AA103" i="45"/>
  <c r="AA104" i="45"/>
  <c r="Z110" i="45"/>
  <c r="Z98" i="53" s="1"/>
  <c r="Z108" i="45"/>
  <c r="Z105" i="45"/>
  <c r="Z98" i="51" s="1"/>
  <c r="Z106" i="45"/>
  <c r="Z98" i="63" s="1"/>
  <c r="Z107" i="45"/>
  <c r="Z111" i="45"/>
  <c r="Z98" i="52" s="1"/>
  <c r="Z109" i="45"/>
  <c r="Z98" i="62" s="1"/>
  <c r="AB21" i="45"/>
  <c r="AB20" i="45"/>
  <c r="AA53" i="38"/>
  <c r="AB4" i="45"/>
  <c r="AC6" i="45"/>
  <c r="AB14" i="45"/>
  <c r="AB19" i="45"/>
  <c r="AA52" i="38"/>
  <c r="AB12" i="45"/>
  <c r="AB5" i="45"/>
  <c r="AB23" i="45"/>
  <c r="AI13" i="14" l="1" a="1"/>
  <c r="AI13" i="14" s="1"/>
  <c r="AF13" i="14" a="1"/>
  <c r="AF13" i="14" s="1"/>
  <c r="AI16" i="14" a="1"/>
  <c r="AI16" i="14" s="1"/>
  <c r="AF6" i="14" a="1"/>
  <c r="AF6" i="14" s="1"/>
  <c r="AF9" i="14" a="1"/>
  <c r="AF9" i="14" s="1"/>
  <c r="AF8" i="14" a="1"/>
  <c r="AF8" i="14" s="1"/>
  <c r="AF5" i="14" a="1"/>
  <c r="AF5" i="14" s="1"/>
  <c r="AI5" i="14" a="1"/>
  <c r="AI5" i="14" s="1"/>
  <c r="AF12" i="14" a="1"/>
  <c r="AF12" i="14" s="1"/>
  <c r="AI12" i="14" a="1"/>
  <c r="AI12" i="14" s="1"/>
  <c r="O178" i="53"/>
  <c r="AF10" i="14" a="1"/>
  <c r="AF10" i="14" s="1"/>
  <c r="AI10" i="14" a="1"/>
  <c r="AI10" i="14" s="1"/>
  <c r="N188" i="62"/>
  <c r="AI8" i="14" a="1"/>
  <c r="AI8" i="14" s="1"/>
  <c r="W75" i="79"/>
  <c r="W76" i="79" s="1"/>
  <c r="T99" i="79"/>
  <c r="T100" i="79" s="1"/>
  <c r="R87" i="79"/>
  <c r="R88" i="79" s="1"/>
  <c r="V75" i="79"/>
  <c r="V76" i="79" s="1"/>
  <c r="V171" i="79"/>
  <c r="V172" i="79" s="1"/>
  <c r="V87" i="79"/>
  <c r="V88" i="79" s="1"/>
  <c r="W171" i="79"/>
  <c r="W172" i="79" s="1"/>
  <c r="S99" i="79"/>
  <c r="S100" i="79" s="1"/>
  <c r="W119" i="79"/>
  <c r="W121" i="79" s="1"/>
  <c r="W122" i="79" s="1"/>
  <c r="U119" i="79"/>
  <c r="U121" i="79" s="1"/>
  <c r="U122" i="79" s="1"/>
  <c r="S119" i="79"/>
  <c r="S121" i="79" s="1"/>
  <c r="S122" i="79" s="1"/>
  <c r="V119" i="79"/>
  <c r="V121" i="79" s="1"/>
  <c r="V122" i="79" s="1"/>
  <c r="R119" i="79"/>
  <c r="R121" i="79" s="1"/>
  <c r="R122" i="79" s="1"/>
  <c r="T119" i="79"/>
  <c r="T121" i="79" s="1"/>
  <c r="T122" i="79" s="1"/>
  <c r="R99" i="79"/>
  <c r="R100" i="79" s="1"/>
  <c r="W131" i="79"/>
  <c r="W133" i="79" s="1"/>
  <c r="W134" i="79" s="1"/>
  <c r="S131" i="79"/>
  <c r="S133" i="79" s="1"/>
  <c r="S134" i="79" s="1"/>
  <c r="T131" i="79"/>
  <c r="T133" i="79" s="1"/>
  <c r="T134" i="79" s="1"/>
  <c r="U131" i="79"/>
  <c r="U133" i="79" s="1"/>
  <c r="U134" i="79" s="1"/>
  <c r="V131" i="79"/>
  <c r="V133" i="79" s="1"/>
  <c r="V134" i="79" s="1"/>
  <c r="R131" i="79"/>
  <c r="R133" i="79" s="1"/>
  <c r="R134" i="79" s="1"/>
  <c r="W59" i="79"/>
  <c r="W61" i="79" s="1"/>
  <c r="W62" i="79" s="1"/>
  <c r="T59" i="79"/>
  <c r="T61" i="79" s="1"/>
  <c r="T62" i="79" s="1"/>
  <c r="R59" i="79"/>
  <c r="R61" i="79" s="1"/>
  <c r="R62" i="79" s="1"/>
  <c r="S59" i="79"/>
  <c r="S61" i="79" s="1"/>
  <c r="S62" i="79" s="1"/>
  <c r="V59" i="79"/>
  <c r="V61" i="79" s="1"/>
  <c r="V62" i="79" s="1"/>
  <c r="U59" i="79"/>
  <c r="U61" i="79" s="1"/>
  <c r="U62" i="79" s="1"/>
  <c r="W99" i="79"/>
  <c r="W100" i="79" s="1"/>
  <c r="BR129" i="2"/>
  <c r="BK129" i="2" s="1"/>
  <c r="I137" i="3" s="1"/>
  <c r="U137" i="3" s="1"/>
  <c r="U142" i="3" s="1"/>
  <c r="BR52" i="2"/>
  <c r="BL52" i="2" s="1"/>
  <c r="J53" i="3" s="1"/>
  <c r="V53" i="3" s="1"/>
  <c r="V58" i="3" s="1"/>
  <c r="BR107" i="2"/>
  <c r="BL107" i="2" s="1"/>
  <c r="J113" i="3" s="1"/>
  <c r="V113" i="3" s="1"/>
  <c r="V118" i="3" s="1"/>
  <c r="U87" i="79"/>
  <c r="U88" i="79" s="1"/>
  <c r="W87" i="79"/>
  <c r="W88" i="79" s="1"/>
  <c r="BR85" i="2"/>
  <c r="BL85" i="2" s="1"/>
  <c r="J89" i="3" s="1"/>
  <c r="V89" i="3" s="1"/>
  <c r="V94" i="3" s="1"/>
  <c r="W107" i="79"/>
  <c r="W109" i="79" s="1"/>
  <c r="W110" i="79" s="1"/>
  <c r="R107" i="79"/>
  <c r="R109" i="79" s="1"/>
  <c r="R110" i="79" s="1"/>
  <c r="T107" i="79"/>
  <c r="T109" i="79" s="1"/>
  <c r="T110" i="79" s="1"/>
  <c r="S107" i="79"/>
  <c r="S109" i="79" s="1"/>
  <c r="S110" i="79" s="1"/>
  <c r="V107" i="79"/>
  <c r="V109" i="79" s="1"/>
  <c r="V110" i="79" s="1"/>
  <c r="U107" i="79"/>
  <c r="U109" i="79" s="1"/>
  <c r="U110" i="79" s="1"/>
  <c r="W35" i="79"/>
  <c r="W37" i="79" s="1"/>
  <c r="W38" i="79" s="1"/>
  <c r="U35" i="79"/>
  <c r="U37" i="79" s="1"/>
  <c r="U38" i="79" s="1"/>
  <c r="R35" i="79"/>
  <c r="R37" i="79" s="1"/>
  <c r="R38" i="79" s="1"/>
  <c r="T35" i="79"/>
  <c r="T37" i="79" s="1"/>
  <c r="T38" i="79" s="1"/>
  <c r="S35" i="79"/>
  <c r="S37" i="79" s="1"/>
  <c r="S38" i="79" s="1"/>
  <c r="V35" i="79"/>
  <c r="V37" i="79" s="1"/>
  <c r="V38" i="79" s="1"/>
  <c r="W155" i="79"/>
  <c r="W157" i="79" s="1"/>
  <c r="W158" i="79" s="1"/>
  <c r="U155" i="79"/>
  <c r="U157" i="79" s="1"/>
  <c r="U158" i="79" s="1"/>
  <c r="T155" i="79"/>
  <c r="T157" i="79" s="1"/>
  <c r="T158" i="79" s="1"/>
  <c r="S155" i="79"/>
  <c r="S157" i="79" s="1"/>
  <c r="S158" i="79" s="1"/>
  <c r="V155" i="79"/>
  <c r="V157" i="79" s="1"/>
  <c r="V158" i="79" s="1"/>
  <c r="R155" i="79"/>
  <c r="R157" i="79" s="1"/>
  <c r="R158" i="79" s="1"/>
  <c r="W143" i="79"/>
  <c r="W145" i="79" s="1"/>
  <c r="W146" i="79" s="1"/>
  <c r="R143" i="79"/>
  <c r="R145" i="79" s="1"/>
  <c r="R146" i="79" s="1"/>
  <c r="U143" i="79"/>
  <c r="U145" i="79" s="1"/>
  <c r="U146" i="79" s="1"/>
  <c r="V143" i="79"/>
  <c r="V145" i="79" s="1"/>
  <c r="V146" i="79" s="1"/>
  <c r="S143" i="79"/>
  <c r="S145" i="79" s="1"/>
  <c r="S146" i="79" s="1"/>
  <c r="T143" i="79"/>
  <c r="T145" i="79" s="1"/>
  <c r="T146" i="79" s="1"/>
  <c r="R75" i="79"/>
  <c r="R76" i="79" s="1"/>
  <c r="T171" i="79"/>
  <c r="T172" i="79" s="1"/>
  <c r="T87" i="79"/>
  <c r="T88" i="79" s="1"/>
  <c r="W47" i="79"/>
  <c r="W49" i="79" s="1"/>
  <c r="W50" i="79" s="1"/>
  <c r="R47" i="79"/>
  <c r="R49" i="79" s="1"/>
  <c r="R50" i="79" s="1"/>
  <c r="V47" i="79"/>
  <c r="V49" i="79" s="1"/>
  <c r="V50" i="79" s="1"/>
  <c r="S47" i="79"/>
  <c r="S49" i="79" s="1"/>
  <c r="S50" i="79" s="1"/>
  <c r="T47" i="79"/>
  <c r="T49" i="79" s="1"/>
  <c r="T50" i="79" s="1"/>
  <c r="U47" i="79"/>
  <c r="U49" i="79" s="1"/>
  <c r="U50" i="79" s="1"/>
  <c r="S75" i="79"/>
  <c r="S76" i="79" s="1"/>
  <c r="S171" i="79"/>
  <c r="S172" i="79" s="1"/>
  <c r="T75" i="79"/>
  <c r="T76" i="79" s="1"/>
  <c r="BR118" i="2"/>
  <c r="U75" i="79"/>
  <c r="U76" i="79" s="1"/>
  <c r="R171" i="79"/>
  <c r="R172" i="79" s="1"/>
  <c r="U99" i="79"/>
  <c r="U100" i="79" s="1"/>
  <c r="W11" i="79"/>
  <c r="W13" i="79" s="1"/>
  <c r="W14" i="79" s="1"/>
  <c r="T11" i="79"/>
  <c r="T13" i="79" s="1"/>
  <c r="T14" i="79" s="1"/>
  <c r="R11" i="79"/>
  <c r="R13" i="79" s="1"/>
  <c r="R14" i="79" s="1"/>
  <c r="U11" i="79"/>
  <c r="U13" i="79" s="1"/>
  <c r="U14" i="79" s="1"/>
  <c r="S11" i="79"/>
  <c r="S13" i="79" s="1"/>
  <c r="S14" i="79" s="1"/>
  <c r="V11" i="79"/>
  <c r="V13" i="79" s="1"/>
  <c r="V14" i="79" s="1"/>
  <c r="S87" i="79"/>
  <c r="S88" i="79" s="1"/>
  <c r="U171" i="79"/>
  <c r="U172" i="79" s="1"/>
  <c r="V99" i="79"/>
  <c r="V100" i="79" s="1"/>
  <c r="BP85" i="2"/>
  <c r="BJ85" i="2" s="1"/>
  <c r="H89" i="3" s="1"/>
  <c r="T89" i="3" s="1"/>
  <c r="T94" i="3" s="1"/>
  <c r="BP107" i="2"/>
  <c r="BJ107" i="2" s="1"/>
  <c r="H113" i="3" s="1"/>
  <c r="T113" i="3" s="1"/>
  <c r="T118" i="3" s="1"/>
  <c r="G89" i="3"/>
  <c r="S89" i="3" s="1"/>
  <c r="S94" i="3" s="1"/>
  <c r="AA48" i="66"/>
  <c r="AA50" i="66" s="1"/>
  <c r="P192" i="64"/>
  <c r="N179" i="65"/>
  <c r="O186" i="67"/>
  <c r="N179" i="66"/>
  <c r="P187" i="62"/>
  <c r="N186" i="63"/>
  <c r="N179" i="61"/>
  <c r="P177" i="62"/>
  <c r="N186" i="58"/>
  <c r="P193" i="62"/>
  <c r="N179" i="55"/>
  <c r="N186" i="55"/>
  <c r="N186" i="65"/>
  <c r="O178" i="52"/>
  <c r="O188" i="52"/>
  <c r="P177" i="64"/>
  <c r="O179" i="67"/>
  <c r="P186" i="64"/>
  <c r="O188" i="67"/>
  <c r="N194" i="57"/>
  <c r="N179" i="58"/>
  <c r="O194" i="52"/>
  <c r="N188" i="55"/>
  <c r="O179" i="52"/>
  <c r="N194" i="66"/>
  <c r="N188" i="66"/>
  <c r="N188" i="57"/>
  <c r="N179" i="63"/>
  <c r="N194" i="55"/>
  <c r="N188" i="58"/>
  <c r="N194" i="64"/>
  <c r="O186" i="53"/>
  <c r="N194" i="61"/>
  <c r="N178" i="61"/>
  <c r="N187" i="61"/>
  <c r="O194" i="67"/>
  <c r="N194" i="58"/>
  <c r="N186" i="66"/>
  <c r="N179" i="64"/>
  <c r="O194" i="53"/>
  <c r="N187" i="64"/>
  <c r="O179" i="53"/>
  <c r="N188" i="64"/>
  <c r="N188" i="65"/>
  <c r="O188" i="53"/>
  <c r="O178" i="51"/>
  <c r="O187" i="51"/>
  <c r="P187" i="53"/>
  <c r="N194" i="62"/>
  <c r="N186" i="62"/>
  <c r="N179" i="62"/>
  <c r="N178" i="62"/>
  <c r="N194" i="65"/>
  <c r="O188" i="51"/>
  <c r="O194" i="51"/>
  <c r="R214" i="45"/>
  <c r="R230" i="45" s="1"/>
  <c r="Q246" i="45"/>
  <c r="Q262" i="45" s="1"/>
  <c r="P59" i="67"/>
  <c r="P154" i="67" s="1"/>
  <c r="P161" i="67" s="1"/>
  <c r="P163" i="67" s="1"/>
  <c r="P170" i="67" s="1"/>
  <c r="P188" i="67" s="1"/>
  <c r="P245" i="45"/>
  <c r="P261" i="45" s="1"/>
  <c r="O59" i="66"/>
  <c r="O154" i="66" s="1"/>
  <c r="O161" i="66" s="1"/>
  <c r="O163" i="66" s="1"/>
  <c r="O170" i="66" s="1"/>
  <c r="R213" i="45"/>
  <c r="R229" i="45" s="1"/>
  <c r="P244" i="45"/>
  <c r="P260" i="45" s="1"/>
  <c r="O59" i="55"/>
  <c r="O154" i="55" s="1"/>
  <c r="O161" i="55" s="1"/>
  <c r="O163" i="55" s="1"/>
  <c r="O170" i="55" s="1"/>
  <c r="O179" i="55" s="1"/>
  <c r="R212" i="45"/>
  <c r="R228" i="45" s="1"/>
  <c r="P243" i="45"/>
  <c r="P259" i="45" s="1"/>
  <c r="O59" i="65"/>
  <c r="O154" i="65" s="1"/>
  <c r="O161" i="65" s="1"/>
  <c r="O163" i="65" s="1"/>
  <c r="O170" i="65" s="1"/>
  <c r="O194" i="65" s="1"/>
  <c r="R211" i="45"/>
  <c r="R227" i="45" s="1"/>
  <c r="P242" i="45"/>
  <c r="P258" i="45" s="1"/>
  <c r="O59" i="58"/>
  <c r="O154" i="58" s="1"/>
  <c r="O161" i="58" s="1"/>
  <c r="O163" i="58" s="1"/>
  <c r="O170" i="58" s="1"/>
  <c r="O188" i="58" s="1"/>
  <c r="R210" i="45"/>
  <c r="R226" i="45" s="1"/>
  <c r="N178" i="57"/>
  <c r="P241" i="45"/>
  <c r="P257" i="45" s="1"/>
  <c r="O59" i="57"/>
  <c r="O154" i="57" s="1"/>
  <c r="O161" i="57" s="1"/>
  <c r="O163" i="57" s="1"/>
  <c r="O170" i="57" s="1"/>
  <c r="N179" i="57"/>
  <c r="P187" i="57"/>
  <c r="P193" i="57"/>
  <c r="P192" i="57"/>
  <c r="P177" i="57"/>
  <c r="R209" i="45"/>
  <c r="R225" i="45" s="1"/>
  <c r="Q58" i="57"/>
  <c r="Q137" i="57" s="1"/>
  <c r="Q144" i="57" s="1"/>
  <c r="Q146" i="57" s="1"/>
  <c r="Q168" i="57" s="1"/>
  <c r="R208" i="45"/>
  <c r="R224" i="45" s="1"/>
  <c r="Q240" i="45"/>
  <c r="Q256" i="45" s="1"/>
  <c r="P59" i="52"/>
  <c r="P154" i="52" s="1"/>
  <c r="P161" i="52" s="1"/>
  <c r="P163" i="52" s="1"/>
  <c r="P170" i="52" s="1"/>
  <c r="P193" i="53"/>
  <c r="P192" i="53"/>
  <c r="Q57" i="53"/>
  <c r="Q137" i="53" s="1"/>
  <c r="Q144" i="53" s="1"/>
  <c r="Q146" i="53" s="1"/>
  <c r="Q168" i="53" s="1"/>
  <c r="Q193" i="53" s="1"/>
  <c r="R207" i="45"/>
  <c r="R223" i="45" s="1"/>
  <c r="Q239" i="45"/>
  <c r="Q255" i="45" s="1"/>
  <c r="P58" i="53"/>
  <c r="P154" i="53" s="1"/>
  <c r="P161" i="53" s="1"/>
  <c r="P163" i="53" s="1"/>
  <c r="P170" i="53" s="1"/>
  <c r="P186" i="53" s="1"/>
  <c r="R206" i="45"/>
  <c r="R222" i="45" s="1"/>
  <c r="Q238" i="45"/>
  <c r="Q254" i="45" s="1"/>
  <c r="P58" i="51"/>
  <c r="P154" i="51" s="1"/>
  <c r="P161" i="51" s="1"/>
  <c r="P163" i="51" s="1"/>
  <c r="P170" i="51" s="1"/>
  <c r="P187" i="51" s="1"/>
  <c r="P237" i="45"/>
  <c r="P253" i="45" s="1"/>
  <c r="O58" i="64"/>
  <c r="O154" i="64" s="1"/>
  <c r="O161" i="64" s="1"/>
  <c r="O163" i="64" s="1"/>
  <c r="O170" i="64" s="1"/>
  <c r="R205" i="45"/>
  <c r="R221" i="45" s="1"/>
  <c r="Q57" i="64"/>
  <c r="Q137" i="64" s="1"/>
  <c r="Q144" i="64" s="1"/>
  <c r="Q146" i="64" s="1"/>
  <c r="Q168" i="64" s="1"/>
  <c r="Q193" i="64" s="1"/>
  <c r="P236" i="45"/>
  <c r="P252" i="45" s="1"/>
  <c r="O58" i="63"/>
  <c r="O154" i="63" s="1"/>
  <c r="O161" i="63" s="1"/>
  <c r="O163" i="63" s="1"/>
  <c r="O170" i="63" s="1"/>
  <c r="P187" i="63"/>
  <c r="P177" i="63"/>
  <c r="P193" i="63"/>
  <c r="P192" i="63"/>
  <c r="Q57" i="63"/>
  <c r="Q137" i="63" s="1"/>
  <c r="Q144" i="63" s="1"/>
  <c r="Q146" i="63" s="1"/>
  <c r="Q168" i="63" s="1"/>
  <c r="R204" i="45"/>
  <c r="R220" i="45" s="1"/>
  <c r="N194" i="63"/>
  <c r="N188" i="63"/>
  <c r="P235" i="45"/>
  <c r="P251" i="45" s="1"/>
  <c r="O58" i="62"/>
  <c r="O154" i="62" s="1"/>
  <c r="O161" i="62" s="1"/>
  <c r="O163" i="62" s="1"/>
  <c r="O170" i="62" s="1"/>
  <c r="O179" i="62" s="1"/>
  <c r="R203" i="45"/>
  <c r="R219" i="45" s="1"/>
  <c r="Q57" i="62"/>
  <c r="Q137" i="62" s="1"/>
  <c r="Q144" i="62" s="1"/>
  <c r="Q146" i="62" s="1"/>
  <c r="Q168" i="62" s="1"/>
  <c r="Q192" i="62" s="1"/>
  <c r="P234" i="45"/>
  <c r="P250" i="45" s="1"/>
  <c r="O58" i="38"/>
  <c r="R202" i="45"/>
  <c r="R218" i="45" s="1"/>
  <c r="Q57" i="38"/>
  <c r="P233" i="45"/>
  <c r="P249" i="45" s="1"/>
  <c r="O58" i="61"/>
  <c r="O154" i="61" s="1"/>
  <c r="O161" i="61" s="1"/>
  <c r="O163" i="61" s="1"/>
  <c r="O170" i="61" s="1"/>
  <c r="R201" i="45"/>
  <c r="R217" i="45" s="1"/>
  <c r="Z153" i="64"/>
  <c r="Z160" i="64" s="1"/>
  <c r="AA48" i="62"/>
  <c r="AA50" i="62" s="1"/>
  <c r="AA119" i="62" s="1"/>
  <c r="AA126" i="62" s="1"/>
  <c r="O192" i="51"/>
  <c r="O193" i="51"/>
  <c r="O177" i="51"/>
  <c r="O186" i="51"/>
  <c r="O177" i="58"/>
  <c r="O192" i="58"/>
  <c r="O193" i="58"/>
  <c r="O187" i="58"/>
  <c r="Q58" i="55"/>
  <c r="Q137" i="55" s="1"/>
  <c r="Q144" i="55" s="1"/>
  <c r="Q146" i="55" s="1"/>
  <c r="Q168" i="55" s="1"/>
  <c r="P177" i="55"/>
  <c r="P192" i="55"/>
  <c r="P193" i="55"/>
  <c r="P187" i="55"/>
  <c r="P58" i="58"/>
  <c r="P137" i="58" s="1"/>
  <c r="P144" i="58" s="1"/>
  <c r="P146" i="58" s="1"/>
  <c r="P168" i="58" s="1"/>
  <c r="P187" i="66"/>
  <c r="P192" i="66"/>
  <c r="P177" i="66"/>
  <c r="P193" i="66"/>
  <c r="Q58" i="66"/>
  <c r="Q137" i="66" s="1"/>
  <c r="Q144" i="66" s="1"/>
  <c r="Q146" i="66" s="1"/>
  <c r="Q168" i="66" s="1"/>
  <c r="P57" i="61"/>
  <c r="P137" i="61" s="1"/>
  <c r="P144" i="61" s="1"/>
  <c r="P146" i="61" s="1"/>
  <c r="P168" i="61" s="1"/>
  <c r="O193" i="61"/>
  <c r="O192" i="61"/>
  <c r="O186" i="61"/>
  <c r="O177" i="61"/>
  <c r="Q58" i="52"/>
  <c r="Q137" i="52" s="1"/>
  <c r="Q144" i="52" s="1"/>
  <c r="Q146" i="52" s="1"/>
  <c r="Q168" i="52" s="1"/>
  <c r="O187" i="65"/>
  <c r="O177" i="65"/>
  <c r="O193" i="65"/>
  <c r="O192" i="65"/>
  <c r="Q58" i="67"/>
  <c r="Q137" i="67" s="1"/>
  <c r="Q144" i="67" s="1"/>
  <c r="Q146" i="67" s="1"/>
  <c r="Q168" i="67" s="1"/>
  <c r="P57" i="51"/>
  <c r="P137" i="51" s="1"/>
  <c r="P144" i="51" s="1"/>
  <c r="P146" i="51" s="1"/>
  <c r="P168" i="51" s="1"/>
  <c r="P186" i="52"/>
  <c r="P192" i="52"/>
  <c r="P193" i="52"/>
  <c r="P177" i="52"/>
  <c r="P58" i="65"/>
  <c r="P137" i="65" s="1"/>
  <c r="P144" i="65" s="1"/>
  <c r="P146" i="65" s="1"/>
  <c r="P168" i="65" s="1"/>
  <c r="P187" i="67"/>
  <c r="P192" i="67"/>
  <c r="P177" i="67"/>
  <c r="P193" i="67"/>
  <c r="AA48" i="55"/>
  <c r="AA50" i="55" s="1"/>
  <c r="AA48" i="67"/>
  <c r="AA50" i="67" s="1"/>
  <c r="AA48" i="53"/>
  <c r="AA50" i="53" s="1"/>
  <c r="AA48" i="58"/>
  <c r="AA50" i="58" s="1"/>
  <c r="AA48" i="64"/>
  <c r="AA50" i="64" s="1"/>
  <c r="AA153" i="64" s="1"/>
  <c r="AA160" i="64" s="1"/>
  <c r="AA48" i="63"/>
  <c r="AA50" i="63" s="1"/>
  <c r="AA153" i="63" s="1"/>
  <c r="AA160" i="63" s="1"/>
  <c r="AA48" i="65"/>
  <c r="AA50" i="65" s="1"/>
  <c r="Z183" i="64"/>
  <c r="Z189" i="64" s="1"/>
  <c r="AA78" i="64"/>
  <c r="AA165" i="64" s="1"/>
  <c r="AA183" i="64" s="1"/>
  <c r="AA189" i="64" s="1"/>
  <c r="Z174" i="64"/>
  <c r="Z180" i="64" s="1"/>
  <c r="AA183" i="63"/>
  <c r="AA189" i="63" s="1"/>
  <c r="AA171" i="63"/>
  <c r="AA174" i="63"/>
  <c r="AA180" i="63" s="1"/>
  <c r="AB49" i="52"/>
  <c r="AB49" i="65"/>
  <c r="AB49" i="51"/>
  <c r="AB49" i="58"/>
  <c r="AB49" i="66"/>
  <c r="AB49" i="67"/>
  <c r="AB49" i="53"/>
  <c r="AB49" i="55"/>
  <c r="AB49" i="57"/>
  <c r="AB53" i="67"/>
  <c r="AB53" i="65"/>
  <c r="AB53" i="66"/>
  <c r="AB53" i="63"/>
  <c r="AB53" i="64"/>
  <c r="AC44" i="62"/>
  <c r="AC102" i="62" s="1"/>
  <c r="AC109" i="62" s="1"/>
  <c r="AC44" i="67"/>
  <c r="AC102" i="67" s="1"/>
  <c r="AC109" i="67" s="1"/>
  <c r="AC44" i="65"/>
  <c r="AC102" i="65" s="1"/>
  <c r="AC109" i="65" s="1"/>
  <c r="AC44" i="66"/>
  <c r="AC102" i="66" s="1"/>
  <c r="AC109" i="66" s="1"/>
  <c r="AC44" i="63"/>
  <c r="AC102" i="63" s="1"/>
  <c r="AC109" i="63" s="1"/>
  <c r="AC44" i="64"/>
  <c r="AC102" i="64" s="1"/>
  <c r="AC109" i="64" s="1"/>
  <c r="AA48" i="57"/>
  <c r="AA50" i="57" s="1"/>
  <c r="AB43" i="62"/>
  <c r="AB85" i="62" s="1"/>
  <c r="AB92" i="62" s="1"/>
  <c r="AB95" i="62" s="1"/>
  <c r="AB166" i="62" s="1"/>
  <c r="CB30" i="2" s="1"/>
  <c r="AB43" i="67"/>
  <c r="AB85" i="67" s="1"/>
  <c r="AB92" i="67" s="1"/>
  <c r="AB95" i="67" s="1"/>
  <c r="AB166" i="67" s="1"/>
  <c r="CB151" i="2" s="1"/>
  <c r="AB43" i="66"/>
  <c r="AB85" i="66" s="1"/>
  <c r="AB92" i="66" s="1"/>
  <c r="AB95" i="66" s="1"/>
  <c r="AB166" i="66" s="1"/>
  <c r="CB140" i="2" s="1"/>
  <c r="AB43" i="65"/>
  <c r="AB85" i="65" s="1"/>
  <c r="AB92" i="65" s="1"/>
  <c r="AB95" i="65" s="1"/>
  <c r="AB166" i="65" s="1"/>
  <c r="AB43" i="64"/>
  <c r="AB85" i="64" s="1"/>
  <c r="AB92" i="64" s="1"/>
  <c r="AB95" i="64" s="1"/>
  <c r="AB166" i="64" s="1"/>
  <c r="CB52" i="2" s="1"/>
  <c r="AB43" i="63"/>
  <c r="AB85" i="63" s="1"/>
  <c r="AB92" i="63" s="1"/>
  <c r="AB95" i="63" s="1"/>
  <c r="AB166" i="63" s="1"/>
  <c r="CB41" i="2" s="1"/>
  <c r="X112" i="58"/>
  <c r="X167" i="58" s="1"/>
  <c r="X176" i="58" s="1"/>
  <c r="AA171" i="67"/>
  <c r="AA174" i="67"/>
  <c r="AA180" i="67" s="1"/>
  <c r="AA183" i="67"/>
  <c r="AA189" i="67" s="1"/>
  <c r="AB42" i="62"/>
  <c r="AB68" i="62" s="1"/>
  <c r="AB75" i="62" s="1"/>
  <c r="AB78" i="62" s="1"/>
  <c r="AB165" i="62" s="1"/>
  <c r="CA30" i="2" s="1"/>
  <c r="BU30" i="2" s="1"/>
  <c r="F29" i="78" s="1"/>
  <c r="R29" i="78" s="1"/>
  <c r="R34" i="78" s="1"/>
  <c r="AB42" i="66"/>
  <c r="AB68" i="66" s="1"/>
  <c r="AB75" i="66" s="1"/>
  <c r="AB78" i="66" s="1"/>
  <c r="AB165" i="66" s="1"/>
  <c r="CA140" i="2" s="1"/>
  <c r="BU140" i="2" s="1"/>
  <c r="F149" i="78" s="1"/>
  <c r="R149" i="78" s="1"/>
  <c r="R154" i="78" s="1"/>
  <c r="AB42" i="67"/>
  <c r="AB68" i="67" s="1"/>
  <c r="AB75" i="67" s="1"/>
  <c r="AB78" i="67" s="1"/>
  <c r="AB165" i="67" s="1"/>
  <c r="CA151" i="2" s="1"/>
  <c r="BU151" i="2" s="1"/>
  <c r="F161" i="78" s="1"/>
  <c r="R161" i="78" s="1"/>
  <c r="R166" i="78" s="1"/>
  <c r="AB42" i="65"/>
  <c r="AB68" i="65" s="1"/>
  <c r="AB75" i="65" s="1"/>
  <c r="AB78" i="65" s="1"/>
  <c r="AB165" i="65" s="1"/>
  <c r="AB42" i="63"/>
  <c r="AB68" i="63" s="1"/>
  <c r="AB75" i="63" s="1"/>
  <c r="AB78" i="63" s="1"/>
  <c r="AB165" i="63" s="1"/>
  <c r="AB42" i="64"/>
  <c r="AB68" i="64" s="1"/>
  <c r="AB75" i="64" s="1"/>
  <c r="AB46" i="62"/>
  <c r="AB46" i="66"/>
  <c r="AB46" i="67"/>
  <c r="AB46" i="65"/>
  <c r="AB46" i="64"/>
  <c r="AB46" i="63"/>
  <c r="AA48" i="51"/>
  <c r="AA50" i="51" s="1"/>
  <c r="R118" i="3"/>
  <c r="AA183" i="65"/>
  <c r="AA189" i="65" s="1"/>
  <c r="AA171" i="65"/>
  <c r="AA174" i="65"/>
  <c r="AA180" i="65" s="1"/>
  <c r="AB52" i="65"/>
  <c r="AB52" i="66"/>
  <c r="AB52" i="67"/>
  <c r="AB52" i="64"/>
  <c r="AB52" i="63"/>
  <c r="AA48" i="52"/>
  <c r="AA50" i="52" s="1"/>
  <c r="AA174" i="66"/>
  <c r="AA180" i="66" s="1"/>
  <c r="AA171" i="66"/>
  <c r="AA183" i="66"/>
  <c r="AA189" i="66" s="1"/>
  <c r="W185" i="58"/>
  <c r="W176" i="58"/>
  <c r="W175" i="58"/>
  <c r="W184" i="58"/>
  <c r="Z150" i="51"/>
  <c r="Z119" i="63"/>
  <c r="Z126" i="63" s="1"/>
  <c r="X175" i="58"/>
  <c r="Z140" i="61"/>
  <c r="X185" i="63"/>
  <c r="Y157" i="58"/>
  <c r="Y150" i="58"/>
  <c r="Y162" i="58" s="1"/>
  <c r="Y116" i="64"/>
  <c r="Y128" i="64" s="1"/>
  <c r="Y118" i="64"/>
  <c r="Y125" i="64" s="1"/>
  <c r="AB51" i="62"/>
  <c r="AB136" i="62" s="1"/>
  <c r="AB143" i="62" s="1"/>
  <c r="AB51" i="66"/>
  <c r="AB136" i="66" s="1"/>
  <c r="AB143" i="66" s="1"/>
  <c r="AB51" i="65"/>
  <c r="AB136" i="65" s="1"/>
  <c r="AB143" i="65" s="1"/>
  <c r="AB51" i="67"/>
  <c r="AB136" i="67" s="1"/>
  <c r="AB143" i="67" s="1"/>
  <c r="AB51" i="63"/>
  <c r="AB136" i="63" s="1"/>
  <c r="AB143" i="63" s="1"/>
  <c r="AB51" i="64"/>
  <c r="AB136" i="64" s="1"/>
  <c r="AB143" i="64" s="1"/>
  <c r="Z133" i="61"/>
  <c r="Z145" i="61" s="1"/>
  <c r="Z140" i="67"/>
  <c r="Z153" i="62"/>
  <c r="Z160" i="62" s="1"/>
  <c r="Z119" i="61"/>
  <c r="Z126" i="61" s="1"/>
  <c r="AB49" i="62"/>
  <c r="AB49" i="64"/>
  <c r="AB49" i="63"/>
  <c r="Z119" i="65"/>
  <c r="Z126" i="65" s="1"/>
  <c r="Z153" i="65"/>
  <c r="Z160" i="65" s="1"/>
  <c r="AB45" i="62"/>
  <c r="AB45" i="65"/>
  <c r="AB45" i="67"/>
  <c r="AB45" i="66"/>
  <c r="AB45" i="63"/>
  <c r="AB45" i="64"/>
  <c r="Z153" i="67"/>
  <c r="Z160" i="67" s="1"/>
  <c r="Z119" i="67"/>
  <c r="Z126" i="67" s="1"/>
  <c r="Z153" i="66"/>
  <c r="Z160" i="66" s="1"/>
  <c r="Z119" i="66"/>
  <c r="Z126" i="66" s="1"/>
  <c r="W184" i="64"/>
  <c r="W175" i="64"/>
  <c r="Z133" i="51"/>
  <c r="Z145" i="51" s="1"/>
  <c r="Z135" i="51"/>
  <c r="Z142" i="51" s="1"/>
  <c r="Z135" i="53"/>
  <c r="Z142" i="53" s="1"/>
  <c r="Z140" i="53"/>
  <c r="Z133" i="53"/>
  <c r="Z145" i="53" s="1"/>
  <c r="Z135" i="52"/>
  <c r="Z142" i="52" s="1"/>
  <c r="Z140" i="52"/>
  <c r="Z133" i="52"/>
  <c r="Z145" i="52" s="1"/>
  <c r="AA129" i="45"/>
  <c r="AA132" i="51" s="1"/>
  <c r="AA134" i="45"/>
  <c r="AA132" i="53" s="1"/>
  <c r="AA135" i="53" s="1"/>
  <c r="AA142" i="53" s="1"/>
  <c r="Z135" i="67"/>
  <c r="Z142" i="67" s="1"/>
  <c r="AA136" i="45"/>
  <c r="AA132" i="67" s="1"/>
  <c r="Z133" i="58"/>
  <c r="Z145" i="58" s="1"/>
  <c r="AA135" i="45"/>
  <c r="AA132" i="52" s="1"/>
  <c r="Y106" i="58"/>
  <c r="Y110" i="58" s="1"/>
  <c r="Y152" i="64"/>
  <c r="Y159" i="64" s="1"/>
  <c r="Y150" i="64"/>
  <c r="Y162" i="64" s="1"/>
  <c r="Y123" i="64"/>
  <c r="Y127" i="64" s="1"/>
  <c r="Z140" i="58"/>
  <c r="Y101" i="58"/>
  <c r="Y108" i="58" s="1"/>
  <c r="X129" i="64"/>
  <c r="X169" i="64" s="1"/>
  <c r="AI7" i="14" s="1" a="1"/>
  <c r="AI7" i="14" s="1"/>
  <c r="X129" i="66"/>
  <c r="X169" i="66" s="1"/>
  <c r="X184" i="66" s="1"/>
  <c r="Y118" i="58"/>
  <c r="Y125" i="58" s="1"/>
  <c r="Y123" i="58"/>
  <c r="Y127" i="58" s="1"/>
  <c r="Y129" i="67"/>
  <c r="Y169" i="67" s="1"/>
  <c r="Y175" i="67" s="1"/>
  <c r="AC157" i="45"/>
  <c r="AB55" i="64"/>
  <c r="AB69" i="64" s="1"/>
  <c r="AB76" i="64" s="1"/>
  <c r="Y116" i="66"/>
  <c r="Y128" i="66" s="1"/>
  <c r="Y123" i="66"/>
  <c r="Y127" i="66" s="1"/>
  <c r="Y125" i="66"/>
  <c r="BL140" i="2"/>
  <c r="J149" i="3" s="1"/>
  <c r="V149" i="3" s="1"/>
  <c r="V154" i="3" s="1"/>
  <c r="W184" i="66"/>
  <c r="W175" i="66"/>
  <c r="Z140" i="63"/>
  <c r="Z133" i="63"/>
  <c r="Z145" i="63" s="1"/>
  <c r="Z135" i="63"/>
  <c r="Z142" i="63" s="1"/>
  <c r="Y116" i="65"/>
  <c r="Y128" i="65" s="1"/>
  <c r="Y123" i="65"/>
  <c r="Y127" i="65" s="1"/>
  <c r="Y118" i="65"/>
  <c r="Y125" i="65" s="1"/>
  <c r="Z133" i="64"/>
  <c r="Z145" i="64" s="1"/>
  <c r="Z135" i="64"/>
  <c r="Z142" i="64" s="1"/>
  <c r="Z140" i="64"/>
  <c r="Z116" i="67"/>
  <c r="Z128" i="67" s="1"/>
  <c r="Z123" i="67"/>
  <c r="Z127" i="67" s="1"/>
  <c r="Z125" i="67"/>
  <c r="AA132" i="61"/>
  <c r="AA135" i="61" s="1"/>
  <c r="AA142" i="61" s="1"/>
  <c r="AA132" i="63"/>
  <c r="AA132" i="58"/>
  <c r="AA135" i="58" s="1"/>
  <c r="AA142" i="58" s="1"/>
  <c r="AA132" i="65"/>
  <c r="Z133" i="66"/>
  <c r="Z145" i="66" s="1"/>
  <c r="Z135" i="66"/>
  <c r="Z142" i="66" s="1"/>
  <c r="Z140" i="66"/>
  <c r="Z133" i="65"/>
  <c r="Z145" i="65" s="1"/>
  <c r="Z135" i="65"/>
  <c r="Z142" i="65" s="1"/>
  <c r="Z140" i="65"/>
  <c r="X184" i="65"/>
  <c r="X175" i="65"/>
  <c r="Z149" i="64"/>
  <c r="Z152" i="64" s="1"/>
  <c r="Z159" i="64" s="1"/>
  <c r="Z149" i="66"/>
  <c r="AA132" i="66"/>
  <c r="AA132" i="64"/>
  <c r="W175" i="65"/>
  <c r="W184" i="65"/>
  <c r="Z115" i="64"/>
  <c r="Z115" i="66"/>
  <c r="Z118" i="66" s="1"/>
  <c r="Z115" i="58"/>
  <c r="Z118" i="58" s="1"/>
  <c r="Z125" i="58" s="1"/>
  <c r="Z115" i="65"/>
  <c r="Z150" i="67"/>
  <c r="Z162" i="67" s="1"/>
  <c r="Z157" i="67"/>
  <c r="Z152" i="67"/>
  <c r="Z159" i="67" s="1"/>
  <c r="Y150" i="66"/>
  <c r="Y162" i="66" s="1"/>
  <c r="Y157" i="66"/>
  <c r="Y152" i="66"/>
  <c r="Y159" i="66" s="1"/>
  <c r="X184" i="67"/>
  <c r="X175" i="67"/>
  <c r="Y150" i="65"/>
  <c r="Y162" i="65" s="1"/>
  <c r="Y157" i="65"/>
  <c r="Y152" i="65"/>
  <c r="Y159" i="65" s="1"/>
  <c r="Z149" i="58"/>
  <c r="Z152" i="58" s="1"/>
  <c r="Z159" i="58" s="1"/>
  <c r="Z149" i="65"/>
  <c r="BL8" i="2"/>
  <c r="Z98" i="58"/>
  <c r="Z99" i="58" s="1"/>
  <c r="Z111" i="58" s="1"/>
  <c r="Z98" i="65"/>
  <c r="Z99" i="67"/>
  <c r="Z111" i="67" s="1"/>
  <c r="Z106" i="67"/>
  <c r="Z110" i="67" s="1"/>
  <c r="Z101" i="67"/>
  <c r="Z108" i="67" s="1"/>
  <c r="X112" i="66"/>
  <c r="X167" i="66" s="1"/>
  <c r="W176" i="61"/>
  <c r="BJ8" i="2"/>
  <c r="X112" i="64"/>
  <c r="X167" i="64" s="1"/>
  <c r="W185" i="55"/>
  <c r="BJ129" i="2"/>
  <c r="H137" i="3" s="1"/>
  <c r="T137" i="3" s="1"/>
  <c r="T142" i="3" s="1"/>
  <c r="Y112" i="67"/>
  <c r="Y167" i="67" s="1"/>
  <c r="W185" i="65"/>
  <c r="W176" i="65"/>
  <c r="Y112" i="63"/>
  <c r="Y167" i="63" s="1"/>
  <c r="Z106" i="63"/>
  <c r="Z110" i="63" s="1"/>
  <c r="Z101" i="63"/>
  <c r="Z108" i="63" s="1"/>
  <c r="Z99" i="63"/>
  <c r="Z111" i="63" s="1"/>
  <c r="Y99" i="64"/>
  <c r="Y111" i="64" s="1"/>
  <c r="Y106" i="64"/>
  <c r="Y110" i="64" s="1"/>
  <c r="Y101" i="64"/>
  <c r="Y108" i="64" s="1"/>
  <c r="X185" i="67"/>
  <c r="X176" i="67"/>
  <c r="Z98" i="66"/>
  <c r="Z98" i="64"/>
  <c r="Y99" i="66"/>
  <c r="Y111" i="66" s="1"/>
  <c r="Y106" i="66"/>
  <c r="Y110" i="66" s="1"/>
  <c r="Y101" i="66"/>
  <c r="Y108" i="66" s="1"/>
  <c r="W185" i="57"/>
  <c r="BJ52" i="2"/>
  <c r="H53" i="3" s="1"/>
  <c r="T53" i="3" s="1"/>
  <c r="W176" i="64"/>
  <c r="W185" i="64"/>
  <c r="Y99" i="65"/>
  <c r="Y111" i="65" s="1"/>
  <c r="Y101" i="65"/>
  <c r="Y108" i="65" s="1"/>
  <c r="Y106" i="65"/>
  <c r="Y110" i="65" s="1"/>
  <c r="BJ140" i="2"/>
  <c r="H149" i="3" s="1"/>
  <c r="T149" i="3" s="1"/>
  <c r="T154" i="3" s="1"/>
  <c r="W176" i="66"/>
  <c r="W185" i="66"/>
  <c r="X112" i="65"/>
  <c r="X167" i="65" s="1"/>
  <c r="W185" i="52"/>
  <c r="W176" i="52"/>
  <c r="W184" i="52"/>
  <c r="W175" i="52"/>
  <c r="Y152" i="61"/>
  <c r="Y159" i="61" s="1"/>
  <c r="X184" i="63"/>
  <c r="X175" i="63"/>
  <c r="Y157" i="61"/>
  <c r="Z149" i="61"/>
  <c r="Z150" i="61" s="1"/>
  <c r="Z162" i="61" s="1"/>
  <c r="Z149" i="63"/>
  <c r="Z116" i="63"/>
  <c r="Z128" i="63" s="1"/>
  <c r="Z123" i="63"/>
  <c r="Z127" i="63" s="1"/>
  <c r="Z125" i="63"/>
  <c r="Y129" i="63"/>
  <c r="Y169" i="63" s="1"/>
  <c r="Y150" i="63"/>
  <c r="Y162" i="63" s="1"/>
  <c r="Y152" i="63"/>
  <c r="Y159" i="63" s="1"/>
  <c r="Y157" i="63"/>
  <c r="X176" i="62"/>
  <c r="AA144" i="45"/>
  <c r="AA149" i="66" s="1"/>
  <c r="W184" i="61"/>
  <c r="W175" i="61"/>
  <c r="Y129" i="62"/>
  <c r="Y169" i="62" s="1"/>
  <c r="Y184" i="62" s="1"/>
  <c r="J29" i="3"/>
  <c r="AA132" i="62"/>
  <c r="AA132" i="57"/>
  <c r="AA135" i="57" s="1"/>
  <c r="Z116" i="62"/>
  <c r="Z128" i="62" s="1"/>
  <c r="Z123" i="62"/>
  <c r="Z127" i="62" s="1"/>
  <c r="Z125" i="62"/>
  <c r="W185" i="61"/>
  <c r="Z142" i="57"/>
  <c r="Z140" i="57"/>
  <c r="Z133" i="57"/>
  <c r="Z145" i="57" s="1"/>
  <c r="Z133" i="62"/>
  <c r="Z145" i="62" s="1"/>
  <c r="Z135" i="62"/>
  <c r="Z142" i="62" s="1"/>
  <c r="Z140" i="62"/>
  <c r="Z99" i="62"/>
  <c r="Z111" i="62" s="1"/>
  <c r="Z101" i="62"/>
  <c r="Z108" i="62" s="1"/>
  <c r="Z106" i="62"/>
  <c r="Z110" i="62" s="1"/>
  <c r="AB53" i="61"/>
  <c r="AB75" i="45"/>
  <c r="AB73" i="45"/>
  <c r="AB78" i="45"/>
  <c r="AB71" i="45"/>
  <c r="AB76" i="45"/>
  <c r="AB74" i="45"/>
  <c r="AB72" i="45"/>
  <c r="AB70" i="45"/>
  <c r="AB77" i="45"/>
  <c r="AB53" i="62"/>
  <c r="Y112" i="62"/>
  <c r="Y167" i="62" s="1"/>
  <c r="AB52" i="61"/>
  <c r="AB61" i="45"/>
  <c r="AB67" i="45"/>
  <c r="AB62" i="45"/>
  <c r="AB63" i="45"/>
  <c r="AB64" i="45"/>
  <c r="AB59" i="45"/>
  <c r="AB65" i="45"/>
  <c r="AB60" i="45"/>
  <c r="AB66" i="45"/>
  <c r="AB49" i="45"/>
  <c r="AB130" i="45" s="1"/>
  <c r="AB52" i="45"/>
  <c r="AB133" i="45" s="1"/>
  <c r="AB55" i="45"/>
  <c r="AB50" i="45"/>
  <c r="AB131" i="45" s="1"/>
  <c r="AB53" i="45"/>
  <c r="AB56" i="45"/>
  <c r="AB137" i="45" s="1"/>
  <c r="AB48" i="45"/>
  <c r="AB51" i="45"/>
  <c r="AB132" i="45" s="1"/>
  <c r="AB54" i="45"/>
  <c r="AB52" i="62"/>
  <c r="AA48" i="61"/>
  <c r="AA50" i="61" s="1"/>
  <c r="AA119" i="61" s="1"/>
  <c r="AA126" i="61" s="1"/>
  <c r="AA171" i="62"/>
  <c r="AA174" i="62"/>
  <c r="AA180" i="62" s="1"/>
  <c r="AA183" i="62"/>
  <c r="AA189" i="62" s="1"/>
  <c r="X184" i="62"/>
  <c r="X175" i="62"/>
  <c r="Z150" i="62"/>
  <c r="Z162" i="62" s="1"/>
  <c r="Z157" i="62"/>
  <c r="Z152" i="62"/>
  <c r="Z159" i="62" s="1"/>
  <c r="X129" i="61"/>
  <c r="X169" i="61" s="1"/>
  <c r="AI3" i="14" s="1" a="1"/>
  <c r="AI3" i="14" s="1"/>
  <c r="Z115" i="61"/>
  <c r="Z118" i="61" s="1"/>
  <c r="AA183" i="61"/>
  <c r="AA189" i="61" s="1"/>
  <c r="AA171" i="61"/>
  <c r="AA174" i="61"/>
  <c r="AA180" i="61" s="1"/>
  <c r="AB49" i="61"/>
  <c r="AB49" i="38"/>
  <c r="AC44" i="38"/>
  <c r="AC44" i="61"/>
  <c r="AC102" i="61" s="1"/>
  <c r="AC109" i="61" s="1"/>
  <c r="AB42" i="61"/>
  <c r="AB68" i="61" s="1"/>
  <c r="AB75" i="61" s="1"/>
  <c r="AB78" i="61" s="1"/>
  <c r="AB165" i="61" s="1"/>
  <c r="CA8" i="2" s="1"/>
  <c r="BU8" i="2" s="1"/>
  <c r="F5" i="78" s="1"/>
  <c r="R5" i="78" s="1"/>
  <c r="R10" i="78" s="1"/>
  <c r="AB42" i="38"/>
  <c r="AB51" i="38"/>
  <c r="AB51" i="61"/>
  <c r="AB136" i="61" s="1"/>
  <c r="AB143" i="61" s="1"/>
  <c r="Y116" i="61"/>
  <c r="Y128" i="61" s="1"/>
  <c r="Y123" i="61"/>
  <c r="Y127" i="61" s="1"/>
  <c r="Y125" i="61"/>
  <c r="Y99" i="61"/>
  <c r="Y111" i="61" s="1"/>
  <c r="Y101" i="61"/>
  <c r="Y108" i="61" s="1"/>
  <c r="Y106" i="61"/>
  <c r="Y110" i="61" s="1"/>
  <c r="AB43" i="38"/>
  <c r="AB43" i="61"/>
  <c r="AB85" i="61" s="1"/>
  <c r="AB92" i="61" s="1"/>
  <c r="AB95" i="61" s="1"/>
  <c r="AB166" i="61" s="1"/>
  <c r="CB8" i="2" s="1"/>
  <c r="AB46" i="61"/>
  <c r="AB46" i="38"/>
  <c r="Z98" i="61"/>
  <c r="AB45" i="38"/>
  <c r="AB45" i="61"/>
  <c r="X112" i="61"/>
  <c r="X167" i="61" s="1"/>
  <c r="U48" i="38"/>
  <c r="U50" i="38" s="1"/>
  <c r="Z171" i="57"/>
  <c r="W176" i="55"/>
  <c r="X185" i="53"/>
  <c r="X176" i="52"/>
  <c r="Z183" i="57"/>
  <c r="Z189" i="57" s="1"/>
  <c r="W176" i="57"/>
  <c r="X175" i="51"/>
  <c r="AA75" i="52"/>
  <c r="AA78" i="52" s="1"/>
  <c r="AA165" i="52" s="1"/>
  <c r="AA174" i="52" s="1"/>
  <c r="AA180" i="52" s="1"/>
  <c r="AA75" i="57"/>
  <c r="AA78" i="57" s="1"/>
  <c r="AA165" i="57" s="1"/>
  <c r="AA75" i="58"/>
  <c r="AA78" i="58" s="1"/>
  <c r="AA165" i="58" s="1"/>
  <c r="AA174" i="58" s="1"/>
  <c r="AA180" i="58" s="1"/>
  <c r="AC44" i="57"/>
  <c r="AC102" i="57" s="1"/>
  <c r="AC109" i="57" s="1"/>
  <c r="AC44" i="58"/>
  <c r="AC102" i="58" s="1"/>
  <c r="AC109" i="58" s="1"/>
  <c r="AC44" i="55"/>
  <c r="AC102" i="55" s="1"/>
  <c r="AC109" i="55" s="1"/>
  <c r="AC44" i="53"/>
  <c r="AC102" i="53" s="1"/>
  <c r="AC109" i="53" s="1"/>
  <c r="AC44" i="52"/>
  <c r="AC102" i="52" s="1"/>
  <c r="AC109" i="52" s="1"/>
  <c r="AC44" i="51"/>
  <c r="AC102" i="51" s="1"/>
  <c r="AC109" i="51" s="1"/>
  <c r="Z153" i="58"/>
  <c r="Z160" i="58" s="1"/>
  <c r="Z119" i="58"/>
  <c r="Z126" i="58" s="1"/>
  <c r="AB43" i="58"/>
  <c r="AB85" i="58" s="1"/>
  <c r="AB92" i="58" s="1"/>
  <c r="AB95" i="58" s="1"/>
  <c r="AB166" i="58" s="1"/>
  <c r="CB107" i="2" s="1"/>
  <c r="AB43" i="57"/>
  <c r="AB85" i="57" s="1"/>
  <c r="AB92" i="57" s="1"/>
  <c r="AB95" i="57" s="1"/>
  <c r="AB166" i="57" s="1"/>
  <c r="AB43" i="55"/>
  <c r="AB85" i="55" s="1"/>
  <c r="AB92" i="55" s="1"/>
  <c r="AB95" i="55" s="1"/>
  <c r="AB166" i="55" s="1"/>
  <c r="CB129" i="2" s="1"/>
  <c r="AB43" i="53"/>
  <c r="AB85" i="53" s="1"/>
  <c r="AB92" i="53" s="1"/>
  <c r="AB95" i="53" s="1"/>
  <c r="AB166" i="53" s="1"/>
  <c r="CB74" i="2" s="1"/>
  <c r="AB43" i="52"/>
  <c r="AB85" i="52" s="1"/>
  <c r="AB92" i="52" s="1"/>
  <c r="AB95" i="52" s="1"/>
  <c r="AB166" i="52" s="1"/>
  <c r="CB85" i="2" s="1"/>
  <c r="AB43" i="51"/>
  <c r="AB85" i="51" s="1"/>
  <c r="AB92" i="51" s="1"/>
  <c r="AB95" i="51" s="1"/>
  <c r="AB166" i="51" s="1"/>
  <c r="CB63" i="2" s="1"/>
  <c r="Z171" i="58"/>
  <c r="Z174" i="58"/>
  <c r="Z180" i="58" s="1"/>
  <c r="Z183" i="58"/>
  <c r="Z189" i="58" s="1"/>
  <c r="Z174" i="51"/>
  <c r="Z180" i="51" s="1"/>
  <c r="Z171" i="51"/>
  <c r="Z183" i="51"/>
  <c r="Z189" i="51" s="1"/>
  <c r="Z153" i="53"/>
  <c r="Z160" i="53" s="1"/>
  <c r="Z119" i="53"/>
  <c r="Z126" i="53" s="1"/>
  <c r="Z129" i="53" s="1"/>
  <c r="Z169" i="53" s="1"/>
  <c r="AB46" i="58"/>
  <c r="AB46" i="57"/>
  <c r="AB46" i="55"/>
  <c r="AB46" i="53"/>
  <c r="AB46" i="52"/>
  <c r="AB46" i="51"/>
  <c r="Z174" i="55"/>
  <c r="Z180" i="55" s="1"/>
  <c r="Z183" i="55"/>
  <c r="Z189" i="55" s="1"/>
  <c r="Z171" i="55"/>
  <c r="Z174" i="52"/>
  <c r="Z180" i="52" s="1"/>
  <c r="Z171" i="52"/>
  <c r="Z183" i="52"/>
  <c r="Z189" i="52" s="1"/>
  <c r="Z174" i="53"/>
  <c r="Z180" i="53" s="1"/>
  <c r="Z183" i="53"/>
  <c r="Z189" i="53" s="1"/>
  <c r="Z171" i="53"/>
  <c r="AB52" i="58"/>
  <c r="AB52" i="55"/>
  <c r="AB52" i="57"/>
  <c r="AB52" i="53"/>
  <c r="AB52" i="52"/>
  <c r="AB52" i="51"/>
  <c r="AB53" i="58"/>
  <c r="AB53" i="55"/>
  <c r="AB53" i="57"/>
  <c r="AB53" i="53"/>
  <c r="AB53" i="52"/>
  <c r="AB53" i="51"/>
  <c r="Z153" i="55"/>
  <c r="Z160" i="55" s="1"/>
  <c r="Z119" i="55"/>
  <c r="Z126" i="55" s="1"/>
  <c r="AA75" i="51"/>
  <c r="AA78" i="51" s="1"/>
  <c r="AA165" i="51" s="1"/>
  <c r="Z153" i="51"/>
  <c r="Z160" i="51" s="1"/>
  <c r="Z119" i="51"/>
  <c r="Z126" i="51" s="1"/>
  <c r="AB42" i="58"/>
  <c r="AB68" i="58" s="1"/>
  <c r="AB42" i="57"/>
  <c r="AB68" i="57" s="1"/>
  <c r="AB42" i="55"/>
  <c r="AB68" i="55" s="1"/>
  <c r="AB42" i="53"/>
  <c r="AB68" i="53" s="1"/>
  <c r="AB42" i="52"/>
  <c r="AB68" i="52" s="1"/>
  <c r="AB42" i="51"/>
  <c r="AB68" i="51" s="1"/>
  <c r="AB51" i="58"/>
  <c r="AB136" i="58" s="1"/>
  <c r="AB143" i="58" s="1"/>
  <c r="AB51" i="55"/>
  <c r="AB136" i="55" s="1"/>
  <c r="AB143" i="55" s="1"/>
  <c r="AB51" i="57"/>
  <c r="AB136" i="57" s="1"/>
  <c r="AB143" i="57" s="1"/>
  <c r="AB51" i="53"/>
  <c r="AB136" i="53" s="1"/>
  <c r="AB143" i="53" s="1"/>
  <c r="AB51" i="52"/>
  <c r="AB136" i="52" s="1"/>
  <c r="AB143" i="52" s="1"/>
  <c r="AB51" i="51"/>
  <c r="AB136" i="51" s="1"/>
  <c r="AB143" i="51" s="1"/>
  <c r="Z119" i="52"/>
  <c r="Z126" i="52" s="1"/>
  <c r="Z153" i="52"/>
  <c r="Z160" i="52" s="1"/>
  <c r="Y112" i="51"/>
  <c r="Y167" i="51" s="1"/>
  <c r="Y176" i="51" s="1"/>
  <c r="Y112" i="52"/>
  <c r="Y167" i="52" s="1"/>
  <c r="Y176" i="52" s="1"/>
  <c r="Y129" i="53"/>
  <c r="Y169" i="53" s="1"/>
  <c r="Z153" i="57"/>
  <c r="Z160" i="57" s="1"/>
  <c r="Z119" i="57"/>
  <c r="Z126" i="57" s="1"/>
  <c r="AB45" i="58"/>
  <c r="AB45" i="57"/>
  <c r="AB45" i="55"/>
  <c r="AB45" i="53"/>
  <c r="AB45" i="52"/>
  <c r="AB45" i="51"/>
  <c r="AB41" i="58"/>
  <c r="AB67" i="58" s="1"/>
  <c r="AB41" i="55"/>
  <c r="AB67" i="55" s="1"/>
  <c r="AB41" i="53"/>
  <c r="AB67" i="53" s="1"/>
  <c r="AB41" i="57"/>
  <c r="AB67" i="57" s="1"/>
  <c r="AB41" i="52"/>
  <c r="AB67" i="52" s="1"/>
  <c r="AB41" i="51"/>
  <c r="AB67" i="51" s="1"/>
  <c r="AA75" i="53"/>
  <c r="AA78" i="53" s="1"/>
  <c r="AA165" i="53" s="1"/>
  <c r="AA75" i="55"/>
  <c r="AA78" i="55" s="1"/>
  <c r="AA165" i="55" s="1"/>
  <c r="Y150" i="55"/>
  <c r="Y162" i="55" s="1"/>
  <c r="Y157" i="55"/>
  <c r="Y159" i="55"/>
  <c r="X184" i="52"/>
  <c r="X175" i="52"/>
  <c r="Y112" i="53"/>
  <c r="Y167" i="53" s="1"/>
  <c r="Z116" i="52"/>
  <c r="Z128" i="52" s="1"/>
  <c r="Z123" i="52"/>
  <c r="Z127" i="52" s="1"/>
  <c r="Z118" i="52"/>
  <c r="Z125" i="52" s="1"/>
  <c r="Y99" i="55"/>
  <c r="Y111" i="55" s="1"/>
  <c r="Y106" i="55"/>
  <c r="Y110" i="55" s="1"/>
  <c r="Y101" i="55"/>
  <c r="Y108" i="55" s="1"/>
  <c r="Z99" i="51"/>
  <c r="Z111" i="51" s="1"/>
  <c r="Z106" i="51"/>
  <c r="Z110" i="51" s="1"/>
  <c r="Z101" i="51"/>
  <c r="Z108" i="51" s="1"/>
  <c r="X176" i="51"/>
  <c r="X185" i="51"/>
  <c r="Z99" i="52"/>
  <c r="Z111" i="52" s="1"/>
  <c r="Z101" i="52"/>
  <c r="Z108" i="52" s="1"/>
  <c r="Z106" i="52"/>
  <c r="Z110" i="52" s="1"/>
  <c r="Z99" i="53"/>
  <c r="Z111" i="53" s="1"/>
  <c r="Z101" i="53"/>
  <c r="Z108" i="53" s="1"/>
  <c r="Z106" i="53"/>
  <c r="Z110" i="53" s="1"/>
  <c r="AA116" i="52"/>
  <c r="AA128" i="52" s="1"/>
  <c r="AA123" i="52"/>
  <c r="AA127" i="52" s="1"/>
  <c r="AA118" i="52"/>
  <c r="AA125" i="52" s="1"/>
  <c r="X129" i="55"/>
  <c r="X169" i="55" s="1"/>
  <c r="AF14" i="14" s="1" a="1"/>
  <c r="AF14" i="14" s="1"/>
  <c r="X129" i="57"/>
  <c r="X169" i="57" s="1"/>
  <c r="X112" i="55"/>
  <c r="X167" i="55" s="1"/>
  <c r="X112" i="57"/>
  <c r="X167" i="57" s="1"/>
  <c r="Y99" i="57"/>
  <c r="Y111" i="57" s="1"/>
  <c r="Y106" i="57"/>
  <c r="Y110" i="57" s="1"/>
  <c r="Y101" i="57"/>
  <c r="Y108" i="57" s="1"/>
  <c r="X175" i="53"/>
  <c r="X184" i="53"/>
  <c r="Y150" i="57"/>
  <c r="Y162" i="57" s="1"/>
  <c r="Y159" i="57"/>
  <c r="Y157" i="57"/>
  <c r="Z115" i="57"/>
  <c r="Z115" i="38"/>
  <c r="Z118" i="38" s="1"/>
  <c r="Z115" i="55"/>
  <c r="Y116" i="55"/>
  <c r="Y128" i="55" s="1"/>
  <c r="Y123" i="55"/>
  <c r="Y127" i="55" s="1"/>
  <c r="Y118" i="55"/>
  <c r="Y125" i="55" s="1"/>
  <c r="Y175" i="52"/>
  <c r="Y184" i="52"/>
  <c r="W175" i="55"/>
  <c r="W184" i="55"/>
  <c r="Z149" i="38"/>
  <c r="Z152" i="38" s="1"/>
  <c r="Z149" i="55"/>
  <c r="Z152" i="55" s="1"/>
  <c r="Z98" i="57"/>
  <c r="Z150" i="52"/>
  <c r="Z162" i="52" s="1"/>
  <c r="Z157" i="52"/>
  <c r="Z159" i="52"/>
  <c r="Y129" i="51"/>
  <c r="Y169" i="51" s="1"/>
  <c r="Y116" i="57"/>
  <c r="Y128" i="57" s="1"/>
  <c r="Y123" i="57"/>
  <c r="Y127" i="57" s="1"/>
  <c r="Y118" i="57"/>
  <c r="Y125" i="57" s="1"/>
  <c r="AA132" i="38"/>
  <c r="AA135" i="38" s="1"/>
  <c r="AA132" i="55"/>
  <c r="AA135" i="55" s="1"/>
  <c r="Z150" i="53"/>
  <c r="Z162" i="53" s="1"/>
  <c r="Z157" i="53"/>
  <c r="Z159" i="53"/>
  <c r="Z98" i="38"/>
  <c r="Z98" i="55"/>
  <c r="Z116" i="51"/>
  <c r="Z128" i="51" s="1"/>
  <c r="Z123" i="51"/>
  <c r="Z127" i="51" s="1"/>
  <c r="Z118" i="51"/>
  <c r="Z125" i="51" s="1"/>
  <c r="Z149" i="57"/>
  <c r="Z152" i="57" s="1"/>
  <c r="Z133" i="55"/>
  <c r="Z145" i="55" s="1"/>
  <c r="Z140" i="55"/>
  <c r="Z142" i="55"/>
  <c r="Z140" i="51"/>
  <c r="AC156" i="45"/>
  <c r="AC55" i="63" s="1"/>
  <c r="AC69" i="63" s="1"/>
  <c r="AC76" i="63" s="1"/>
  <c r="AA142" i="45"/>
  <c r="AA149" i="51" s="1"/>
  <c r="AC155" i="45"/>
  <c r="AC55" i="62" s="1"/>
  <c r="AC69" i="62" s="1"/>
  <c r="AC76" i="62" s="1"/>
  <c r="AA149" i="45"/>
  <c r="AA149" i="67" s="1"/>
  <c r="AA146" i="45"/>
  <c r="AA149" i="62" s="1"/>
  <c r="AA150" i="45"/>
  <c r="AA147" i="45"/>
  <c r="AA149" i="53" s="1"/>
  <c r="AA152" i="53" s="1"/>
  <c r="AA148" i="45"/>
  <c r="AA149" i="52" s="1"/>
  <c r="AA152" i="52" s="1"/>
  <c r="AA143" i="45"/>
  <c r="AA145" i="45"/>
  <c r="AC154" i="45"/>
  <c r="AB55" i="38"/>
  <c r="AA117" i="45"/>
  <c r="AA115" i="51" s="1"/>
  <c r="AA118" i="45"/>
  <c r="AA115" i="63" s="1"/>
  <c r="AA118" i="63" s="1"/>
  <c r="AA119" i="45"/>
  <c r="AA122" i="45"/>
  <c r="AA115" i="53" s="1"/>
  <c r="AA124" i="45"/>
  <c r="AA115" i="67" s="1"/>
  <c r="AA118" i="67" s="1"/>
  <c r="AA121" i="45"/>
  <c r="AA115" i="62" s="1"/>
  <c r="AA118" i="62" s="1"/>
  <c r="AA120" i="45"/>
  <c r="AA125" i="45"/>
  <c r="AB116" i="45"/>
  <c r="AB121" i="45" s="1"/>
  <c r="AB115" i="62" s="1"/>
  <c r="AB140" i="45"/>
  <c r="AC39" i="45"/>
  <c r="AC38" i="45"/>
  <c r="AC40" i="45"/>
  <c r="AC29" i="45"/>
  <c r="AC28" i="45"/>
  <c r="AC27" i="45"/>
  <c r="AB103" i="45"/>
  <c r="AB104" i="45"/>
  <c r="AA112" i="45"/>
  <c r="AA98" i="67" s="1"/>
  <c r="AA113" i="45"/>
  <c r="AA106" i="45"/>
  <c r="AA98" i="63" s="1"/>
  <c r="AA105" i="45"/>
  <c r="AA98" i="51" s="1"/>
  <c r="AA109" i="45"/>
  <c r="AA98" i="62" s="1"/>
  <c r="AA107" i="45"/>
  <c r="AA111" i="45"/>
  <c r="AA98" i="52" s="1"/>
  <c r="AA108" i="45"/>
  <c r="AA110" i="45"/>
  <c r="AA98" i="53" s="1"/>
  <c r="AC23" i="45"/>
  <c r="AC4" i="45"/>
  <c r="AC20" i="45"/>
  <c r="AB53" i="38"/>
  <c r="AC5" i="45"/>
  <c r="AC21" i="45"/>
  <c r="AC14" i="45"/>
  <c r="AD6" i="45"/>
  <c r="AC12" i="45"/>
  <c r="AC19" i="45"/>
  <c r="AB52" i="38"/>
  <c r="AC41" i="38"/>
  <c r="AF7" i="14" l="1" a="1"/>
  <c r="AF7" i="14" s="1"/>
  <c r="AI15" i="14" a="1"/>
  <c r="AI15" i="14" s="1"/>
  <c r="P194" i="52"/>
  <c r="O187" i="64"/>
  <c r="AF11" i="14" a="1"/>
  <c r="AF11" i="14" s="1"/>
  <c r="AI11" i="14" a="1"/>
  <c r="AI11" i="14" s="1"/>
  <c r="O178" i="57"/>
  <c r="O178" i="66"/>
  <c r="O188" i="61"/>
  <c r="AF3" i="14" a="1"/>
  <c r="AF3" i="14" s="1"/>
  <c r="O179" i="63"/>
  <c r="AI14" i="14" a="1"/>
  <c r="AI14" i="14" s="1"/>
  <c r="BV30" i="2"/>
  <c r="G29" i="78" s="1"/>
  <c r="S29" i="78" s="1"/>
  <c r="S34" i="78" s="1"/>
  <c r="AB171" i="63"/>
  <c r="CA41" i="2"/>
  <c r="BU41" i="2" s="1"/>
  <c r="F41" i="78" s="1"/>
  <c r="R41" i="78" s="1"/>
  <c r="R46" i="78" s="1"/>
  <c r="BV140" i="2"/>
  <c r="G149" i="78" s="1"/>
  <c r="S149" i="78" s="1"/>
  <c r="S154" i="78" s="1"/>
  <c r="AB118" i="62"/>
  <c r="CE31" i="2"/>
  <c r="BY31" i="2" s="1"/>
  <c r="J30" i="78" s="1"/>
  <c r="V30" i="78" s="1"/>
  <c r="BV151" i="2"/>
  <c r="G161" i="78" s="1"/>
  <c r="S161" i="78" s="1"/>
  <c r="S166" i="78" s="1"/>
  <c r="BV8" i="2"/>
  <c r="G5" i="78" s="1"/>
  <c r="S5" i="78" s="1"/>
  <c r="S10" i="78" s="1"/>
  <c r="T147" i="79"/>
  <c r="T148" i="79" s="1"/>
  <c r="V39" i="79"/>
  <c r="V40" i="79" s="1"/>
  <c r="V15" i="79"/>
  <c r="V16" i="79" s="1"/>
  <c r="T51" i="79"/>
  <c r="T52" i="79" s="1"/>
  <c r="S135" i="79"/>
  <c r="S136" i="79" s="1"/>
  <c r="T159" i="79"/>
  <c r="T160" i="79" s="1"/>
  <c r="T111" i="79"/>
  <c r="T112" i="79" s="1"/>
  <c r="V63" i="79"/>
  <c r="V64" i="79" s="1"/>
  <c r="T123" i="79"/>
  <c r="T124" i="79" s="1"/>
  <c r="U159" i="79"/>
  <c r="U160" i="79" s="1"/>
  <c r="R111" i="79"/>
  <c r="R112" i="79" s="1"/>
  <c r="W135" i="79"/>
  <c r="W136" i="79" s="1"/>
  <c r="W159" i="79"/>
  <c r="W160" i="79" s="1"/>
  <c r="W111" i="79"/>
  <c r="W112" i="79" s="1"/>
  <c r="U63" i="79"/>
  <c r="U64" i="79" s="1"/>
  <c r="S147" i="79"/>
  <c r="S148" i="79" s="1"/>
  <c r="S39" i="79"/>
  <c r="S40" i="79" s="1"/>
  <c r="S63" i="79"/>
  <c r="S64" i="79" s="1"/>
  <c r="R123" i="79"/>
  <c r="R124" i="79" s="1"/>
  <c r="S15" i="79"/>
  <c r="S16" i="79" s="1"/>
  <c r="V147" i="79"/>
  <c r="V148" i="79" s="1"/>
  <c r="T39" i="79"/>
  <c r="T40" i="79" s="1"/>
  <c r="R63" i="79"/>
  <c r="R64" i="79" s="1"/>
  <c r="V123" i="79"/>
  <c r="V124" i="79" s="1"/>
  <c r="U15" i="79"/>
  <c r="U16" i="79" s="1"/>
  <c r="U51" i="79"/>
  <c r="U52" i="79" s="1"/>
  <c r="U147" i="79"/>
  <c r="U148" i="79" s="1"/>
  <c r="R39" i="79"/>
  <c r="R40" i="79" s="1"/>
  <c r="T63" i="79"/>
  <c r="T64" i="79" s="1"/>
  <c r="S123" i="79"/>
  <c r="S124" i="79" s="1"/>
  <c r="R15" i="79"/>
  <c r="R16" i="79" s="1"/>
  <c r="R147" i="79"/>
  <c r="R148" i="79" s="1"/>
  <c r="U39" i="79"/>
  <c r="U40" i="79" s="1"/>
  <c r="W63" i="79"/>
  <c r="W64" i="79" s="1"/>
  <c r="U123" i="79"/>
  <c r="U124" i="79" s="1"/>
  <c r="T15" i="79"/>
  <c r="T16" i="79" s="1"/>
  <c r="S51" i="79"/>
  <c r="S52" i="79" s="1"/>
  <c r="W147" i="79"/>
  <c r="W148" i="79" s="1"/>
  <c r="W39" i="79"/>
  <c r="W40" i="79" s="1"/>
  <c r="R135" i="79"/>
  <c r="R136" i="79" s="1"/>
  <c r="W123" i="79"/>
  <c r="W124" i="79" s="1"/>
  <c r="W15" i="79"/>
  <c r="W16" i="79" s="1"/>
  <c r="V51" i="79"/>
  <c r="V52" i="79" s="1"/>
  <c r="R159" i="79"/>
  <c r="R160" i="79" s="1"/>
  <c r="U111" i="79"/>
  <c r="U112" i="79" s="1"/>
  <c r="V135" i="79"/>
  <c r="V136" i="79" s="1"/>
  <c r="R51" i="79"/>
  <c r="R52" i="79" s="1"/>
  <c r="V159" i="79"/>
  <c r="V160" i="79" s="1"/>
  <c r="V111" i="79"/>
  <c r="V112" i="79" s="1"/>
  <c r="U135" i="79"/>
  <c r="U136" i="79" s="1"/>
  <c r="W51" i="79"/>
  <c r="W52" i="79" s="1"/>
  <c r="S159" i="79"/>
  <c r="S160" i="79" s="1"/>
  <c r="S111" i="79"/>
  <c r="S112" i="79" s="1"/>
  <c r="T135" i="79"/>
  <c r="T136" i="79" s="1"/>
  <c r="Q177" i="62"/>
  <c r="Q193" i="62"/>
  <c r="P194" i="67"/>
  <c r="O188" i="57"/>
  <c r="P186" i="67"/>
  <c r="O179" i="57"/>
  <c r="O188" i="55"/>
  <c r="O186" i="55"/>
  <c r="O178" i="58"/>
  <c r="O186" i="57"/>
  <c r="O188" i="64"/>
  <c r="P178" i="67"/>
  <c r="P179" i="67"/>
  <c r="O186" i="63"/>
  <c r="O179" i="66"/>
  <c r="O188" i="63"/>
  <c r="P187" i="52"/>
  <c r="O194" i="57"/>
  <c r="P188" i="52"/>
  <c r="O194" i="62"/>
  <c r="O188" i="66"/>
  <c r="O186" i="65"/>
  <c r="O178" i="55"/>
  <c r="O179" i="65"/>
  <c r="O188" i="65"/>
  <c r="P179" i="53"/>
  <c r="P178" i="53"/>
  <c r="O178" i="65"/>
  <c r="O194" i="55"/>
  <c r="O178" i="61"/>
  <c r="O187" i="61"/>
  <c r="O179" i="61"/>
  <c r="O194" i="61"/>
  <c r="O186" i="66"/>
  <c r="O194" i="58"/>
  <c r="O179" i="58"/>
  <c r="P179" i="51"/>
  <c r="O186" i="58"/>
  <c r="Q186" i="64"/>
  <c r="O194" i="66"/>
  <c r="O188" i="62"/>
  <c r="O178" i="63"/>
  <c r="Q192" i="53"/>
  <c r="Q177" i="53"/>
  <c r="O194" i="63"/>
  <c r="Q187" i="53"/>
  <c r="O194" i="64"/>
  <c r="Q187" i="62"/>
  <c r="P179" i="52"/>
  <c r="O179" i="64"/>
  <c r="P178" i="52"/>
  <c r="O178" i="64"/>
  <c r="P194" i="51"/>
  <c r="P178" i="51"/>
  <c r="P188" i="51"/>
  <c r="R246" i="45"/>
  <c r="R262" i="45" s="1"/>
  <c r="Q59" i="67"/>
  <c r="Q154" i="67" s="1"/>
  <c r="Q161" i="67" s="1"/>
  <c r="Q163" i="67" s="1"/>
  <c r="Q170" i="67" s="1"/>
  <c r="Q188" i="67" s="1"/>
  <c r="S214" i="45"/>
  <c r="S230" i="45" s="1"/>
  <c r="S213" i="45"/>
  <c r="S229" i="45" s="1"/>
  <c r="Q245" i="45"/>
  <c r="Q261" i="45" s="1"/>
  <c r="P59" i="66"/>
  <c r="P154" i="66" s="1"/>
  <c r="P161" i="66" s="1"/>
  <c r="P163" i="66" s="1"/>
  <c r="P170" i="66" s="1"/>
  <c r="P188" i="66" s="1"/>
  <c r="S212" i="45"/>
  <c r="S228" i="45" s="1"/>
  <c r="Q244" i="45"/>
  <c r="Q260" i="45" s="1"/>
  <c r="P59" i="55"/>
  <c r="P154" i="55" s="1"/>
  <c r="P161" i="55" s="1"/>
  <c r="P163" i="55" s="1"/>
  <c r="P170" i="55" s="1"/>
  <c r="P188" i="55" s="1"/>
  <c r="S211" i="45"/>
  <c r="S227" i="45" s="1"/>
  <c r="Q243" i="45"/>
  <c r="Q259" i="45" s="1"/>
  <c r="P59" i="65"/>
  <c r="P154" i="65" s="1"/>
  <c r="P161" i="65" s="1"/>
  <c r="P163" i="65" s="1"/>
  <c r="P170" i="65" s="1"/>
  <c r="S210" i="45"/>
  <c r="S226" i="45" s="1"/>
  <c r="Q242" i="45"/>
  <c r="Q258" i="45" s="1"/>
  <c r="P59" i="58"/>
  <c r="P154" i="58" s="1"/>
  <c r="P161" i="58" s="1"/>
  <c r="P163" i="58" s="1"/>
  <c r="P170" i="58" s="1"/>
  <c r="P188" i="58" s="1"/>
  <c r="Q177" i="57"/>
  <c r="Q187" i="57"/>
  <c r="Q192" i="57"/>
  <c r="Q193" i="57"/>
  <c r="S209" i="45"/>
  <c r="S225" i="45" s="1"/>
  <c r="R58" i="57"/>
  <c r="R137" i="57" s="1"/>
  <c r="R144" i="57" s="1"/>
  <c r="R146" i="57" s="1"/>
  <c r="R168" i="57" s="1"/>
  <c r="BD96" i="2" s="1"/>
  <c r="AX96" i="2" s="1"/>
  <c r="I101" i="77" s="1"/>
  <c r="U101" i="77" s="1"/>
  <c r="U106" i="77" s="1"/>
  <c r="Q241" i="45"/>
  <c r="Q257" i="45" s="1"/>
  <c r="P59" i="57"/>
  <c r="P154" i="57" s="1"/>
  <c r="P161" i="57" s="1"/>
  <c r="P163" i="57" s="1"/>
  <c r="P170" i="57" s="1"/>
  <c r="P178" i="57" s="1"/>
  <c r="R240" i="45"/>
  <c r="R256" i="45" s="1"/>
  <c r="Q59" i="52"/>
  <c r="Q154" i="52" s="1"/>
  <c r="Q161" i="52" s="1"/>
  <c r="Q163" i="52" s="1"/>
  <c r="Q170" i="52" s="1"/>
  <c r="Q187" i="52" s="1"/>
  <c r="S208" i="45"/>
  <c r="S224" i="45" s="1"/>
  <c r="R239" i="45"/>
  <c r="R255" i="45" s="1"/>
  <c r="Q58" i="53"/>
  <c r="Q154" i="53" s="1"/>
  <c r="Q161" i="53" s="1"/>
  <c r="Q163" i="53" s="1"/>
  <c r="Q170" i="53" s="1"/>
  <c r="Q188" i="53" s="1"/>
  <c r="S207" i="45"/>
  <c r="S223" i="45" s="1"/>
  <c r="R57" i="53"/>
  <c r="R137" i="53" s="1"/>
  <c r="R144" i="53" s="1"/>
  <c r="R146" i="53" s="1"/>
  <c r="R168" i="53" s="1"/>
  <c r="P194" i="53"/>
  <c r="P188" i="53"/>
  <c r="R238" i="45"/>
  <c r="R254" i="45" s="1"/>
  <c r="Q58" i="51"/>
  <c r="Q154" i="51" s="1"/>
  <c r="Q161" i="51" s="1"/>
  <c r="Q163" i="51" s="1"/>
  <c r="Q170" i="51" s="1"/>
  <c r="Q187" i="51" s="1"/>
  <c r="S206" i="45"/>
  <c r="S222" i="45" s="1"/>
  <c r="Q177" i="64"/>
  <c r="Q192" i="64"/>
  <c r="S205" i="45"/>
  <c r="S221" i="45" s="1"/>
  <c r="R57" i="64"/>
  <c r="R137" i="64" s="1"/>
  <c r="R144" i="64" s="1"/>
  <c r="R146" i="64" s="1"/>
  <c r="R168" i="64" s="1"/>
  <c r="Q237" i="45"/>
  <c r="Q253" i="45" s="1"/>
  <c r="P58" i="64"/>
  <c r="P154" i="64" s="1"/>
  <c r="P161" i="64" s="1"/>
  <c r="P163" i="64" s="1"/>
  <c r="P170" i="64" s="1"/>
  <c r="P179" i="64" s="1"/>
  <c r="S204" i="45"/>
  <c r="S220" i="45" s="1"/>
  <c r="R57" i="63"/>
  <c r="R137" i="63" s="1"/>
  <c r="R144" i="63" s="1"/>
  <c r="R146" i="63" s="1"/>
  <c r="R168" i="63" s="1"/>
  <c r="BD41" i="2" s="1"/>
  <c r="AX41" i="2" s="1"/>
  <c r="I41" i="77" s="1"/>
  <c r="U41" i="77" s="1"/>
  <c r="U46" i="77" s="1"/>
  <c r="Q192" i="63"/>
  <c r="Q177" i="63"/>
  <c r="Q193" i="63"/>
  <c r="Q187" i="63"/>
  <c r="Q236" i="45"/>
  <c r="Q252" i="45" s="1"/>
  <c r="P58" i="63"/>
  <c r="P154" i="63" s="1"/>
  <c r="P161" i="63" s="1"/>
  <c r="P163" i="63" s="1"/>
  <c r="P170" i="63" s="1"/>
  <c r="O186" i="62"/>
  <c r="O178" i="62"/>
  <c r="S203" i="45"/>
  <c r="S219" i="45" s="1"/>
  <c r="R57" i="62"/>
  <c r="R137" i="62" s="1"/>
  <c r="R144" i="62" s="1"/>
  <c r="R146" i="62" s="1"/>
  <c r="R168" i="62" s="1"/>
  <c r="Q235" i="45"/>
  <c r="Q251" i="45" s="1"/>
  <c r="P58" i="62"/>
  <c r="P154" i="62" s="1"/>
  <c r="P161" i="62" s="1"/>
  <c r="P163" i="62" s="1"/>
  <c r="P170" i="62" s="1"/>
  <c r="S202" i="45"/>
  <c r="S218" i="45" s="1"/>
  <c r="R57" i="38"/>
  <c r="Q234" i="45"/>
  <c r="Q250" i="45" s="1"/>
  <c r="P58" i="38"/>
  <c r="S201" i="45"/>
  <c r="S217" i="45" s="1"/>
  <c r="Q233" i="45"/>
  <c r="Q249" i="45" s="1"/>
  <c r="P58" i="61"/>
  <c r="P154" i="61" s="1"/>
  <c r="P161" i="61" s="1"/>
  <c r="P163" i="61" s="1"/>
  <c r="P170" i="61" s="1"/>
  <c r="P178" i="61" s="1"/>
  <c r="Q193" i="66"/>
  <c r="Q192" i="66"/>
  <c r="Q177" i="66"/>
  <c r="Q187" i="66"/>
  <c r="R58" i="66"/>
  <c r="R137" i="66" s="1"/>
  <c r="R144" i="66" s="1"/>
  <c r="R146" i="66" s="1"/>
  <c r="R168" i="66" s="1"/>
  <c r="BD140" i="2" s="1"/>
  <c r="AX140" i="2" s="1"/>
  <c r="I149" i="77" s="1"/>
  <c r="U149" i="77" s="1"/>
  <c r="U154" i="77" s="1"/>
  <c r="P187" i="65"/>
  <c r="P177" i="65"/>
  <c r="P192" i="65"/>
  <c r="P193" i="65"/>
  <c r="R58" i="55"/>
  <c r="R137" i="55" s="1"/>
  <c r="R144" i="55" s="1"/>
  <c r="R146" i="55" s="1"/>
  <c r="R168" i="55" s="1"/>
  <c r="BD129" i="2" s="1"/>
  <c r="AX129" i="2" s="1"/>
  <c r="I137" i="77" s="1"/>
  <c r="U137" i="77" s="1"/>
  <c r="U142" i="77" s="1"/>
  <c r="Q58" i="65"/>
  <c r="Q137" i="65" s="1"/>
  <c r="Q144" i="65" s="1"/>
  <c r="Q146" i="65" s="1"/>
  <c r="Q168" i="65" s="1"/>
  <c r="Q193" i="55"/>
  <c r="Q192" i="55"/>
  <c r="Q177" i="55"/>
  <c r="Q187" i="55"/>
  <c r="Q192" i="52"/>
  <c r="Q177" i="52"/>
  <c r="Q193" i="52"/>
  <c r="Q186" i="52"/>
  <c r="R58" i="52"/>
  <c r="R137" i="52" s="1"/>
  <c r="R144" i="52" s="1"/>
  <c r="R146" i="52" s="1"/>
  <c r="R168" i="52" s="1"/>
  <c r="BD85" i="2" s="1"/>
  <c r="AX85" i="2" s="1"/>
  <c r="I89" i="77" s="1"/>
  <c r="U89" i="77" s="1"/>
  <c r="U94" i="77" s="1"/>
  <c r="Q58" i="58"/>
  <c r="Q137" i="58" s="1"/>
  <c r="Q144" i="58" s="1"/>
  <c r="Q146" i="58" s="1"/>
  <c r="Q168" i="58" s="1"/>
  <c r="P177" i="58"/>
  <c r="P192" i="58"/>
  <c r="P187" i="58"/>
  <c r="P193" i="58"/>
  <c r="AB48" i="66"/>
  <c r="AB50" i="66" s="1"/>
  <c r="Q57" i="51"/>
  <c r="Q137" i="51" s="1"/>
  <c r="Q144" i="51" s="1"/>
  <c r="Q146" i="51" s="1"/>
  <c r="Q168" i="51" s="1"/>
  <c r="P186" i="51"/>
  <c r="P192" i="51"/>
  <c r="P193" i="51"/>
  <c r="P177" i="51"/>
  <c r="Q187" i="67"/>
  <c r="Q193" i="67"/>
  <c r="Q177" i="67"/>
  <c r="Q192" i="67"/>
  <c r="P177" i="61"/>
  <c r="P192" i="61"/>
  <c r="P193" i="61"/>
  <c r="P186" i="61"/>
  <c r="R58" i="67"/>
  <c r="R137" i="67" s="1"/>
  <c r="R144" i="67" s="1"/>
  <c r="R146" i="67" s="1"/>
  <c r="R168" i="67" s="1"/>
  <c r="BD151" i="2" s="1"/>
  <c r="AX151" i="2" s="1"/>
  <c r="I161" i="77" s="1"/>
  <c r="U161" i="77" s="1"/>
  <c r="U166" i="77" s="1"/>
  <c r="Q57" i="61"/>
  <c r="Q137" i="61" s="1"/>
  <c r="Q144" i="61" s="1"/>
  <c r="Q146" i="61" s="1"/>
  <c r="Q168" i="61" s="1"/>
  <c r="AA174" i="64"/>
  <c r="AA180" i="64" s="1"/>
  <c r="AB48" i="64"/>
  <c r="AB50" i="64" s="1"/>
  <c r="AB119" i="64" s="1"/>
  <c r="AB126" i="64" s="1"/>
  <c r="AB48" i="62"/>
  <c r="AB50" i="62" s="1"/>
  <c r="AB153" i="62" s="1"/>
  <c r="AB160" i="62" s="1"/>
  <c r="AB48" i="63"/>
  <c r="AB50" i="63" s="1"/>
  <c r="AB153" i="63" s="1"/>
  <c r="AB160" i="63" s="1"/>
  <c r="AA171" i="64"/>
  <c r="AB78" i="64"/>
  <c r="AB165" i="64" s="1"/>
  <c r="AB48" i="51"/>
  <c r="AB50" i="51" s="1"/>
  <c r="AB48" i="52"/>
  <c r="AB50" i="52" s="1"/>
  <c r="AB48" i="53"/>
  <c r="AB50" i="53" s="1"/>
  <c r="AB48" i="55"/>
  <c r="AB50" i="55" s="1"/>
  <c r="AB48" i="57"/>
  <c r="AB50" i="57" s="1"/>
  <c r="X185" i="58"/>
  <c r="AC43" i="62"/>
  <c r="AC85" i="62" s="1"/>
  <c r="AC92" i="62" s="1"/>
  <c r="AC95" i="62" s="1"/>
  <c r="AC166" i="62" s="1"/>
  <c r="AC43" i="67"/>
  <c r="AC85" i="67" s="1"/>
  <c r="AC92" i="67" s="1"/>
  <c r="AC95" i="67" s="1"/>
  <c r="AC166" i="67" s="1"/>
  <c r="AC43" i="66"/>
  <c r="AC85" i="66" s="1"/>
  <c r="AC92" i="66" s="1"/>
  <c r="AC95" i="66" s="1"/>
  <c r="AC166" i="66" s="1"/>
  <c r="AC43" i="65"/>
  <c r="AC85" i="65" s="1"/>
  <c r="AC92" i="65" s="1"/>
  <c r="AC95" i="65" s="1"/>
  <c r="AC166" i="65" s="1"/>
  <c r="AC43" i="64"/>
  <c r="AC85" i="64" s="1"/>
  <c r="AC92" i="64" s="1"/>
  <c r="AC95" i="64" s="1"/>
  <c r="AC166" i="64" s="1"/>
  <c r="AC43" i="63"/>
  <c r="AC85" i="63" s="1"/>
  <c r="AC92" i="63" s="1"/>
  <c r="AC95" i="63" s="1"/>
  <c r="AC166" i="63" s="1"/>
  <c r="AB174" i="63"/>
  <c r="AB180" i="63" s="1"/>
  <c r="AB183" i="63"/>
  <c r="AB189" i="63" s="1"/>
  <c r="AB48" i="67"/>
  <c r="AB50" i="67" s="1"/>
  <c r="AC52" i="66"/>
  <c r="AC52" i="65"/>
  <c r="AC52" i="67"/>
  <c r="AC52" i="64"/>
  <c r="AC52" i="63"/>
  <c r="AB48" i="65"/>
  <c r="AB50" i="65" s="1"/>
  <c r="AC42" i="62"/>
  <c r="AC68" i="62" s="1"/>
  <c r="AC75" i="62" s="1"/>
  <c r="AC78" i="62" s="1"/>
  <c r="AC165" i="62" s="1"/>
  <c r="AC42" i="66"/>
  <c r="AC68" i="66" s="1"/>
  <c r="AC75" i="66" s="1"/>
  <c r="AC78" i="66" s="1"/>
  <c r="AC165" i="66" s="1"/>
  <c r="AC42" i="67"/>
  <c r="AC68" i="67" s="1"/>
  <c r="AC75" i="67" s="1"/>
  <c r="AC78" i="67" s="1"/>
  <c r="AC165" i="67" s="1"/>
  <c r="AC42" i="65"/>
  <c r="AC68" i="65" s="1"/>
  <c r="AC75" i="65" s="1"/>
  <c r="AC78" i="65" s="1"/>
  <c r="AC165" i="65" s="1"/>
  <c r="AC42" i="63"/>
  <c r="AC68" i="63" s="1"/>
  <c r="AC75" i="63" s="1"/>
  <c r="AC78" i="63" s="1"/>
  <c r="AC165" i="63" s="1"/>
  <c r="AC174" i="63" s="1"/>
  <c r="AC180" i="63" s="1"/>
  <c r="AC42" i="64"/>
  <c r="AC68" i="64" s="1"/>
  <c r="AC75" i="64" s="1"/>
  <c r="AC53" i="66"/>
  <c r="AC53" i="67"/>
  <c r="AC53" i="65"/>
  <c r="AC53" i="63"/>
  <c r="AC53" i="64"/>
  <c r="AD44" i="62"/>
  <c r="AD102" i="62" s="1"/>
  <c r="AD109" i="62" s="1"/>
  <c r="AD44" i="67"/>
  <c r="AD102" i="67" s="1"/>
  <c r="AD109" i="67" s="1"/>
  <c r="AD44" i="65"/>
  <c r="AD102" i="65" s="1"/>
  <c r="AD109" i="65" s="1"/>
  <c r="AD44" i="66"/>
  <c r="AD102" i="66" s="1"/>
  <c r="AD109" i="66" s="1"/>
  <c r="AD44" i="64"/>
  <c r="AD102" i="64" s="1"/>
  <c r="AD109" i="64" s="1"/>
  <c r="AD44" i="63"/>
  <c r="AD102" i="63" s="1"/>
  <c r="AD109" i="63" s="1"/>
  <c r="AB174" i="65"/>
  <c r="AB180" i="65" s="1"/>
  <c r="AB183" i="65"/>
  <c r="AB189" i="65" s="1"/>
  <c r="AB171" i="65"/>
  <c r="AB48" i="58"/>
  <c r="AB50" i="58" s="1"/>
  <c r="AC49" i="65"/>
  <c r="AC49" i="51"/>
  <c r="AC49" i="58"/>
  <c r="AC49" i="66"/>
  <c r="AC49" i="67"/>
  <c r="AC49" i="53"/>
  <c r="AC49" i="55"/>
  <c r="AC49" i="57"/>
  <c r="AC49" i="52"/>
  <c r="AA153" i="62"/>
  <c r="AA160" i="62" s="1"/>
  <c r="AB174" i="67"/>
  <c r="AB180" i="67" s="1"/>
  <c r="AB183" i="67"/>
  <c r="AB189" i="67" s="1"/>
  <c r="AB171" i="67"/>
  <c r="AC46" i="62"/>
  <c r="AC46" i="66"/>
  <c r="AC46" i="65"/>
  <c r="AC46" i="67"/>
  <c r="AC46" i="64"/>
  <c r="AC46" i="63"/>
  <c r="AB174" i="66"/>
  <c r="AB180" i="66" s="1"/>
  <c r="AB183" i="66"/>
  <c r="AB189" i="66" s="1"/>
  <c r="AB171" i="66"/>
  <c r="AA133" i="58"/>
  <c r="AA145" i="58" s="1"/>
  <c r="Y112" i="58"/>
  <c r="Y167" i="58" s="1"/>
  <c r="Y176" i="58" s="1"/>
  <c r="Z157" i="58"/>
  <c r="Z150" i="58"/>
  <c r="Z162" i="58" s="1"/>
  <c r="Z118" i="64"/>
  <c r="Z125" i="64" s="1"/>
  <c r="AA119" i="64"/>
  <c r="AA126" i="64" s="1"/>
  <c r="AC51" i="62"/>
  <c r="AC136" i="62" s="1"/>
  <c r="AC143" i="62" s="1"/>
  <c r="AC51" i="66"/>
  <c r="AC136" i="66" s="1"/>
  <c r="AC143" i="66" s="1"/>
  <c r="AC51" i="65"/>
  <c r="AC136" i="65" s="1"/>
  <c r="AC143" i="65" s="1"/>
  <c r="AC51" i="67"/>
  <c r="AC136" i="67" s="1"/>
  <c r="AC143" i="67" s="1"/>
  <c r="AC51" i="63"/>
  <c r="AC136" i="63" s="1"/>
  <c r="AC143" i="63" s="1"/>
  <c r="AC51" i="64"/>
  <c r="AC136" i="64" s="1"/>
  <c r="AC143" i="64" s="1"/>
  <c r="Z157" i="64"/>
  <c r="Z150" i="64"/>
  <c r="Z162" i="64" s="1"/>
  <c r="AA140" i="58"/>
  <c r="Y129" i="58"/>
  <c r="Y169" i="58" s="1"/>
  <c r="Y184" i="58" s="1"/>
  <c r="Y129" i="64"/>
  <c r="Y169" i="64" s="1"/>
  <c r="Y175" i="64" s="1"/>
  <c r="AA119" i="63"/>
  <c r="AA126" i="63" s="1"/>
  <c r="AA153" i="61"/>
  <c r="AA160" i="61" s="1"/>
  <c r="AC49" i="62"/>
  <c r="AC49" i="64"/>
  <c r="AC49" i="63"/>
  <c r="AA153" i="67"/>
  <c r="AA160" i="67" s="1"/>
  <c r="AA119" i="67"/>
  <c r="AA126" i="67" s="1"/>
  <c r="AA153" i="66"/>
  <c r="AA160" i="66" s="1"/>
  <c r="AA119" i="66"/>
  <c r="AA126" i="66" s="1"/>
  <c r="AA153" i="65"/>
  <c r="AA160" i="65" s="1"/>
  <c r="AA119" i="65"/>
  <c r="AA126" i="65" s="1"/>
  <c r="AC45" i="62"/>
  <c r="AC45" i="67"/>
  <c r="AC45" i="65"/>
  <c r="AC45" i="66"/>
  <c r="AC45" i="64"/>
  <c r="AC45" i="63"/>
  <c r="AA133" i="51"/>
  <c r="AA145" i="51" s="1"/>
  <c r="AA135" i="51"/>
  <c r="AA142" i="51" s="1"/>
  <c r="AA135" i="52"/>
  <c r="AA142" i="52" s="1"/>
  <c r="AA140" i="52"/>
  <c r="AA133" i="52"/>
  <c r="AA145" i="52" s="1"/>
  <c r="AA133" i="67"/>
  <c r="AA145" i="67" s="1"/>
  <c r="AA135" i="67"/>
  <c r="AA142" i="67" s="1"/>
  <c r="AA140" i="67"/>
  <c r="AB135" i="45"/>
  <c r="AB132" i="52" s="1"/>
  <c r="CD86" i="2" s="1"/>
  <c r="BX86" i="2" s="1"/>
  <c r="I90" i="78" s="1"/>
  <c r="U90" i="78" s="1"/>
  <c r="AB129" i="45"/>
  <c r="AB132" i="51" s="1"/>
  <c r="AB134" i="45"/>
  <c r="AB132" i="53" s="1"/>
  <c r="CD75" i="2" s="1"/>
  <c r="BX75" i="2" s="1"/>
  <c r="I78" i="78" s="1"/>
  <c r="U78" i="78" s="1"/>
  <c r="AA133" i="53"/>
  <c r="AA145" i="53" s="1"/>
  <c r="AB136" i="45"/>
  <c r="AB132" i="67" s="1"/>
  <c r="CD152" i="2" s="1"/>
  <c r="BX152" i="2" s="1"/>
  <c r="I162" i="78" s="1"/>
  <c r="U162" i="78" s="1"/>
  <c r="AA140" i="53"/>
  <c r="X184" i="64"/>
  <c r="Z106" i="58"/>
  <c r="Z110" i="58" s="1"/>
  <c r="Z101" i="58"/>
  <c r="Z108" i="58" s="1"/>
  <c r="X175" i="66"/>
  <c r="Z116" i="58"/>
  <c r="Z128" i="58" s="1"/>
  <c r="Y184" i="67"/>
  <c r="Z123" i="58"/>
  <c r="Z127" i="58" s="1"/>
  <c r="AA149" i="38"/>
  <c r="AA152" i="38" s="1"/>
  <c r="Z123" i="64"/>
  <c r="Z127" i="64" s="1"/>
  <c r="X175" i="64"/>
  <c r="Z116" i="64"/>
  <c r="Z128" i="64" s="1"/>
  <c r="Z152" i="61"/>
  <c r="Z159" i="61" s="1"/>
  <c r="Z157" i="61"/>
  <c r="AD157" i="45"/>
  <c r="AC55" i="64"/>
  <c r="AC69" i="64" s="1"/>
  <c r="AC76" i="64" s="1"/>
  <c r="Y129" i="66"/>
  <c r="Y169" i="66" s="1"/>
  <c r="AB132" i="61"/>
  <c r="AB132" i="63"/>
  <c r="CD42" i="2" s="1"/>
  <c r="BX42" i="2" s="1"/>
  <c r="I42" i="78" s="1"/>
  <c r="U42" i="78" s="1"/>
  <c r="AA116" i="67"/>
  <c r="AA128" i="67" s="1"/>
  <c r="AA125" i="67"/>
  <c r="AA123" i="67"/>
  <c r="AA127" i="67" s="1"/>
  <c r="Z116" i="65"/>
  <c r="Z128" i="65" s="1"/>
  <c r="Z118" i="65"/>
  <c r="Z125" i="65" s="1"/>
  <c r="Z123" i="65"/>
  <c r="Z127" i="65" s="1"/>
  <c r="AA115" i="64"/>
  <c r="AA118" i="64" s="1"/>
  <c r="AA125" i="64" s="1"/>
  <c r="AA115" i="66"/>
  <c r="AA118" i="66" s="1"/>
  <c r="AA133" i="64"/>
  <c r="AA145" i="64" s="1"/>
  <c r="AA135" i="64"/>
  <c r="AA142" i="64" s="1"/>
  <c r="AA140" i="64"/>
  <c r="AA133" i="65"/>
  <c r="AA145" i="65" s="1"/>
  <c r="AA140" i="65"/>
  <c r="AA135" i="65"/>
  <c r="AA142" i="65" s="1"/>
  <c r="AA133" i="66"/>
  <c r="AA145" i="66" s="1"/>
  <c r="AA135" i="66"/>
  <c r="AA142" i="66" s="1"/>
  <c r="AA140" i="66"/>
  <c r="AA149" i="58"/>
  <c r="AA152" i="58" s="1"/>
  <c r="AA159" i="58" s="1"/>
  <c r="AA149" i="65"/>
  <c r="AA133" i="63"/>
  <c r="AA145" i="63" s="1"/>
  <c r="AA140" i="63"/>
  <c r="AA135" i="63"/>
  <c r="AA142" i="63" s="1"/>
  <c r="AA150" i="67"/>
  <c r="AA162" i="67" s="1"/>
  <c r="AA157" i="67"/>
  <c r="AA152" i="67"/>
  <c r="AA159" i="67" s="1"/>
  <c r="AA140" i="61"/>
  <c r="Z150" i="66"/>
  <c r="Z162" i="66" s="1"/>
  <c r="Z152" i="66"/>
  <c r="Z159" i="66" s="1"/>
  <c r="Z157" i="66"/>
  <c r="Z129" i="67"/>
  <c r="Z169" i="67" s="1"/>
  <c r="Y129" i="65"/>
  <c r="Y169" i="65" s="1"/>
  <c r="AA133" i="61"/>
  <c r="AA145" i="61" s="1"/>
  <c r="Z116" i="66"/>
  <c r="Z128" i="66" s="1"/>
  <c r="Z123" i="66"/>
  <c r="Z127" i="66" s="1"/>
  <c r="Z125" i="66"/>
  <c r="AB132" i="58"/>
  <c r="AB132" i="65"/>
  <c r="CD119" i="2" s="1"/>
  <c r="BX119" i="2" s="1"/>
  <c r="I126" i="78" s="1"/>
  <c r="U126" i="78" s="1"/>
  <c r="AA115" i="58"/>
  <c r="AA118" i="58" s="1"/>
  <c r="AA125" i="58" s="1"/>
  <c r="AA115" i="65"/>
  <c r="AB132" i="66"/>
  <c r="CD141" i="2" s="1"/>
  <c r="BX141" i="2" s="1"/>
  <c r="I150" i="78" s="1"/>
  <c r="U150" i="78" s="1"/>
  <c r="AB132" i="64"/>
  <c r="CD53" i="2" s="1"/>
  <c r="BX53" i="2" s="1"/>
  <c r="I54" i="78" s="1"/>
  <c r="U54" i="78" s="1"/>
  <c r="Z150" i="65"/>
  <c r="Z162" i="65" s="1"/>
  <c r="Z157" i="65"/>
  <c r="Z152" i="65"/>
  <c r="Z159" i="65" s="1"/>
  <c r="AA150" i="66"/>
  <c r="AA162" i="66" s="1"/>
  <c r="AA152" i="66"/>
  <c r="AA159" i="66" s="1"/>
  <c r="AA157" i="66"/>
  <c r="Z129" i="63"/>
  <c r="Z169" i="63" s="1"/>
  <c r="Z175" i="63" s="1"/>
  <c r="BI118" i="2"/>
  <c r="G125" i="3" s="1"/>
  <c r="S125" i="3" s="1"/>
  <c r="S130" i="3" s="1"/>
  <c r="BH118" i="2"/>
  <c r="F125" i="3" s="1"/>
  <c r="R125" i="3" s="1"/>
  <c r="R130" i="3" s="1"/>
  <c r="BJ118" i="2"/>
  <c r="H125" i="3" s="1"/>
  <c r="T125" i="3" s="1"/>
  <c r="T130" i="3" s="1"/>
  <c r="X176" i="64"/>
  <c r="X185" i="64"/>
  <c r="Z112" i="67"/>
  <c r="Z167" i="67" s="1"/>
  <c r="BI96" i="2"/>
  <c r="G101" i="3" s="1"/>
  <c r="S101" i="3" s="1"/>
  <c r="S106" i="3" s="1"/>
  <c r="Y112" i="64"/>
  <c r="Y167" i="64" s="1"/>
  <c r="BH96" i="2"/>
  <c r="F101" i="3" s="1"/>
  <c r="R101" i="3" s="1"/>
  <c r="R106" i="3" s="1"/>
  <c r="BJ96" i="2"/>
  <c r="H101" i="3" s="1"/>
  <c r="T101" i="3" s="1"/>
  <c r="T106" i="3" s="1"/>
  <c r="X176" i="65"/>
  <c r="X185" i="65"/>
  <c r="T58" i="3"/>
  <c r="Z112" i="63"/>
  <c r="Z167" i="63" s="1"/>
  <c r="AA99" i="67"/>
  <c r="AA111" i="67" s="1"/>
  <c r="AA101" i="67"/>
  <c r="AA108" i="67" s="1"/>
  <c r="AA106" i="67"/>
  <c r="AA110" i="67" s="1"/>
  <c r="AA98" i="66"/>
  <c r="AA98" i="64"/>
  <c r="Y112" i="66"/>
  <c r="Y167" i="66" s="1"/>
  <c r="Y185" i="63"/>
  <c r="Y176" i="63"/>
  <c r="Z99" i="64"/>
  <c r="Z111" i="64" s="1"/>
  <c r="Z101" i="64"/>
  <c r="Z108" i="64" s="1"/>
  <c r="Z106" i="64"/>
  <c r="Z110" i="64" s="1"/>
  <c r="Y185" i="67"/>
  <c r="Y176" i="67"/>
  <c r="X185" i="66"/>
  <c r="X176" i="66"/>
  <c r="AA106" i="63"/>
  <c r="AA110" i="63" s="1"/>
  <c r="AA99" i="63"/>
  <c r="AA111" i="63" s="1"/>
  <c r="AA101" i="63"/>
  <c r="AA108" i="63" s="1"/>
  <c r="Z99" i="66"/>
  <c r="Z111" i="66" s="1"/>
  <c r="Z106" i="66"/>
  <c r="Z110" i="66" s="1"/>
  <c r="Z101" i="66"/>
  <c r="Z108" i="66" s="1"/>
  <c r="Z99" i="65"/>
  <c r="Z111" i="65" s="1"/>
  <c r="Z101" i="65"/>
  <c r="Z108" i="65" s="1"/>
  <c r="Z106" i="65"/>
  <c r="Z110" i="65" s="1"/>
  <c r="AA98" i="58"/>
  <c r="AA99" i="58" s="1"/>
  <c r="AA111" i="58" s="1"/>
  <c r="AA98" i="65"/>
  <c r="Y112" i="65"/>
  <c r="Y167" i="65" s="1"/>
  <c r="AA150" i="51"/>
  <c r="AA152" i="51"/>
  <c r="AA149" i="61"/>
  <c r="AA152" i="61" s="1"/>
  <c r="AA159" i="61" s="1"/>
  <c r="AA149" i="63"/>
  <c r="AA116" i="63"/>
  <c r="AA128" i="63" s="1"/>
  <c r="AA123" i="63"/>
  <c r="AA127" i="63" s="1"/>
  <c r="AA125" i="63"/>
  <c r="Y175" i="63"/>
  <c r="Y184" i="63"/>
  <c r="AA149" i="55"/>
  <c r="AA152" i="55" s="1"/>
  <c r="AA149" i="64"/>
  <c r="Z150" i="63"/>
  <c r="Z162" i="63" s="1"/>
  <c r="Z152" i="63"/>
  <c r="Z159" i="63" s="1"/>
  <c r="Z157" i="63"/>
  <c r="AB143" i="45"/>
  <c r="Y175" i="62"/>
  <c r="AA99" i="62"/>
  <c r="AA111" i="62" s="1"/>
  <c r="AA101" i="62"/>
  <c r="AA108" i="62" s="1"/>
  <c r="AA106" i="62"/>
  <c r="AA110" i="62" s="1"/>
  <c r="Z112" i="62"/>
  <c r="Z167" i="62" s="1"/>
  <c r="AA142" i="57"/>
  <c r="AA140" i="57"/>
  <c r="AA133" i="57"/>
  <c r="AA145" i="57" s="1"/>
  <c r="AA133" i="62"/>
  <c r="AA145" i="62" s="1"/>
  <c r="AA135" i="62"/>
  <c r="AA142" i="62" s="1"/>
  <c r="AA140" i="62"/>
  <c r="AB116" i="62"/>
  <c r="AB128" i="62" s="1"/>
  <c r="AB113" i="62"/>
  <c r="AB123" i="62"/>
  <c r="AB127" i="62" s="1"/>
  <c r="AB125" i="62"/>
  <c r="X175" i="61"/>
  <c r="X184" i="61"/>
  <c r="AB132" i="62"/>
  <c r="CD31" i="2" s="1"/>
  <c r="BX31" i="2" s="1"/>
  <c r="I30" i="78" s="1"/>
  <c r="U30" i="78" s="1"/>
  <c r="AB132" i="57"/>
  <c r="Y185" i="62"/>
  <c r="Y176" i="62"/>
  <c r="Z129" i="62"/>
  <c r="Z169" i="62" s="1"/>
  <c r="AB183" i="62"/>
  <c r="AB189" i="62" s="1"/>
  <c r="AB171" i="62"/>
  <c r="AB174" i="62"/>
  <c r="AB180" i="62" s="1"/>
  <c r="AA116" i="62"/>
  <c r="AA128" i="62" s="1"/>
  <c r="AA123" i="62"/>
  <c r="AA127" i="62" s="1"/>
  <c r="AA125" i="62"/>
  <c r="AC53" i="61"/>
  <c r="AC70" i="45"/>
  <c r="AC75" i="45"/>
  <c r="AC73" i="45"/>
  <c r="AC78" i="45"/>
  <c r="AC71" i="45"/>
  <c r="AC77" i="45"/>
  <c r="AC76" i="45"/>
  <c r="AC74" i="45"/>
  <c r="AC72" i="45"/>
  <c r="AC53" i="62"/>
  <c r="AC52" i="61"/>
  <c r="AC61" i="45"/>
  <c r="AC67" i="45"/>
  <c r="AC62" i="45"/>
  <c r="AC66" i="45"/>
  <c r="AC63" i="45"/>
  <c r="AC64" i="45"/>
  <c r="AC59" i="45"/>
  <c r="AC65" i="45"/>
  <c r="AC60" i="45"/>
  <c r="AC49" i="45"/>
  <c r="AC130" i="45" s="1"/>
  <c r="AC52" i="45"/>
  <c r="AC133" i="45" s="1"/>
  <c r="AC55" i="45"/>
  <c r="AC54" i="45"/>
  <c r="AC48" i="45"/>
  <c r="AC50" i="45"/>
  <c r="AC131" i="45" s="1"/>
  <c r="AC53" i="45"/>
  <c r="AC56" i="45"/>
  <c r="AC137" i="45" s="1"/>
  <c r="AC51" i="45"/>
  <c r="AC132" i="45" s="1"/>
  <c r="AC52" i="62"/>
  <c r="AA150" i="62"/>
  <c r="AA162" i="62" s="1"/>
  <c r="AA157" i="62"/>
  <c r="AA152" i="62"/>
  <c r="AA159" i="62" s="1"/>
  <c r="AC45" i="38"/>
  <c r="AC45" i="61"/>
  <c r="AA98" i="61"/>
  <c r="AC43" i="38"/>
  <c r="AC43" i="61"/>
  <c r="AC85" i="61" s="1"/>
  <c r="AC92" i="61" s="1"/>
  <c r="AC95" i="61" s="1"/>
  <c r="AC166" i="61" s="1"/>
  <c r="X185" i="61"/>
  <c r="X176" i="61"/>
  <c r="AB171" i="61"/>
  <c r="AB174" i="61"/>
  <c r="AB180" i="61" s="1"/>
  <c r="AB183" i="61"/>
  <c r="AB189" i="61" s="1"/>
  <c r="AB48" i="61"/>
  <c r="AB50" i="61" s="1"/>
  <c r="AC51" i="61"/>
  <c r="AC136" i="61" s="1"/>
  <c r="AC143" i="61" s="1"/>
  <c r="AC51" i="38"/>
  <c r="AC42" i="38"/>
  <c r="AC42" i="61"/>
  <c r="AC68" i="61" s="1"/>
  <c r="AC75" i="61" s="1"/>
  <c r="AC78" i="61" s="1"/>
  <c r="AC165" i="61" s="1"/>
  <c r="Z99" i="61"/>
  <c r="Z111" i="61" s="1"/>
  <c r="Z101" i="61"/>
  <c r="Z108" i="61" s="1"/>
  <c r="Z106" i="61"/>
  <c r="Z110" i="61" s="1"/>
  <c r="Y112" i="61"/>
  <c r="Y167" i="61" s="1"/>
  <c r="Y129" i="61"/>
  <c r="Y169" i="61" s="1"/>
  <c r="AC46" i="61"/>
  <c r="AC46" i="38"/>
  <c r="AA115" i="61"/>
  <c r="AA118" i="61" s="1"/>
  <c r="AD44" i="61"/>
  <c r="AD102" i="61" s="1"/>
  <c r="AD109" i="61" s="1"/>
  <c r="AD44" i="38"/>
  <c r="Z116" i="61"/>
  <c r="Z128" i="61" s="1"/>
  <c r="Z123" i="61"/>
  <c r="Z127" i="61" s="1"/>
  <c r="Z125" i="61"/>
  <c r="AC49" i="38"/>
  <c r="AC49" i="61"/>
  <c r="V48" i="38"/>
  <c r="V50" i="38" s="1"/>
  <c r="AA174" i="57"/>
  <c r="AA180" i="57" s="1"/>
  <c r="AA183" i="58"/>
  <c r="AA189" i="58" s="1"/>
  <c r="AA171" i="52"/>
  <c r="AA183" i="52"/>
  <c r="AA189" i="52" s="1"/>
  <c r="AB75" i="57"/>
  <c r="AB78" i="57" s="1"/>
  <c r="AB165" i="57" s="1"/>
  <c r="AB171" i="57" s="1"/>
  <c r="Y185" i="51"/>
  <c r="AB75" i="58"/>
  <c r="AB78" i="58" s="1"/>
  <c r="AB165" i="58" s="1"/>
  <c r="AB75" i="53"/>
  <c r="AB78" i="53" s="1"/>
  <c r="AB165" i="53" s="1"/>
  <c r="CA74" i="2" s="1"/>
  <c r="BU74" i="2" s="1"/>
  <c r="F77" i="78" s="1"/>
  <c r="R77" i="78" s="1"/>
  <c r="R82" i="78" s="1"/>
  <c r="AB75" i="51"/>
  <c r="AB78" i="51" s="1"/>
  <c r="AB165" i="51" s="1"/>
  <c r="AB75" i="52"/>
  <c r="AB78" i="52" s="1"/>
  <c r="AB165" i="52" s="1"/>
  <c r="CA85" i="2" s="1"/>
  <c r="BU85" i="2" s="1"/>
  <c r="F89" i="78" s="1"/>
  <c r="R89" i="78" s="1"/>
  <c r="R94" i="78" s="1"/>
  <c r="Y185" i="52"/>
  <c r="Y184" i="53"/>
  <c r="Y129" i="55"/>
  <c r="Y169" i="55" s="1"/>
  <c r="Y175" i="53"/>
  <c r="AA171" i="58"/>
  <c r="AA171" i="57"/>
  <c r="AA183" i="57"/>
  <c r="AA189" i="57" s="1"/>
  <c r="AA174" i="55"/>
  <c r="AA180" i="55" s="1"/>
  <c r="AA183" i="55"/>
  <c r="AA189" i="55" s="1"/>
  <c r="AA171" i="55"/>
  <c r="AC52" i="58"/>
  <c r="AC52" i="55"/>
  <c r="AC52" i="57"/>
  <c r="AC52" i="53"/>
  <c r="AC52" i="52"/>
  <c r="AC52" i="51"/>
  <c r="AA119" i="51"/>
  <c r="AA126" i="51" s="1"/>
  <c r="AA153" i="51"/>
  <c r="AA160" i="51" s="1"/>
  <c r="AB75" i="55"/>
  <c r="AB78" i="55" s="1"/>
  <c r="AB165" i="55" s="1"/>
  <c r="CA129" i="2" s="1"/>
  <c r="BU129" i="2" s="1"/>
  <c r="F137" i="78" s="1"/>
  <c r="R137" i="78" s="1"/>
  <c r="R142" i="78" s="1"/>
  <c r="AA153" i="53"/>
  <c r="AA160" i="53" s="1"/>
  <c r="AA119" i="53"/>
  <c r="AA126" i="53" s="1"/>
  <c r="AC53" i="58"/>
  <c r="AC53" i="55"/>
  <c r="AC53" i="57"/>
  <c r="AC53" i="53"/>
  <c r="AC53" i="52"/>
  <c r="AC53" i="51"/>
  <c r="AC46" i="58"/>
  <c r="AC46" i="57"/>
  <c r="AC46" i="55"/>
  <c r="AC46" i="53"/>
  <c r="AC46" i="52"/>
  <c r="AC46" i="51"/>
  <c r="AA153" i="57"/>
  <c r="AA160" i="57" s="1"/>
  <c r="AA119" i="57"/>
  <c r="AA126" i="57" s="1"/>
  <c r="Z112" i="53"/>
  <c r="Z167" i="53" s="1"/>
  <c r="Z185" i="53" s="1"/>
  <c r="AC41" i="58"/>
  <c r="AC67" i="58" s="1"/>
  <c r="AC41" i="57"/>
  <c r="AC67" i="57" s="1"/>
  <c r="AC41" i="55"/>
  <c r="AC67" i="55" s="1"/>
  <c r="AC41" i="53"/>
  <c r="AC67" i="53" s="1"/>
  <c r="AC41" i="52"/>
  <c r="AC67" i="52" s="1"/>
  <c r="AC41" i="51"/>
  <c r="AC67" i="51" s="1"/>
  <c r="AD44" i="58"/>
  <c r="AD102" i="58" s="1"/>
  <c r="AD109" i="58" s="1"/>
  <c r="AD44" i="57"/>
  <c r="AD102" i="57" s="1"/>
  <c r="AD109" i="57" s="1"/>
  <c r="AD44" i="55"/>
  <c r="AD102" i="55" s="1"/>
  <c r="AD109" i="55" s="1"/>
  <c r="AD44" i="53"/>
  <c r="AD102" i="53" s="1"/>
  <c r="AD109" i="53" s="1"/>
  <c r="AD44" i="52"/>
  <c r="AD102" i="52" s="1"/>
  <c r="AD109" i="52" s="1"/>
  <c r="AD44" i="51"/>
  <c r="AD102" i="51" s="1"/>
  <c r="AD109" i="51" s="1"/>
  <c r="AB142" i="45"/>
  <c r="AB149" i="51" s="1"/>
  <c r="CF64" i="2" s="1"/>
  <c r="BZ64" i="2" s="1"/>
  <c r="K66" i="78" s="1"/>
  <c r="W66" i="78" s="1"/>
  <c r="AA183" i="53"/>
  <c r="AA189" i="53" s="1"/>
  <c r="AA174" i="53"/>
  <c r="AA180" i="53" s="1"/>
  <c r="AA171" i="53"/>
  <c r="AA119" i="52"/>
  <c r="AA126" i="52" s="1"/>
  <c r="AA129" i="52" s="1"/>
  <c r="AA169" i="52" s="1"/>
  <c r="AA153" i="52"/>
  <c r="AA160" i="52" s="1"/>
  <c r="AA153" i="55"/>
  <c r="AA160" i="55" s="1"/>
  <c r="AA119" i="55"/>
  <c r="AA126" i="55" s="1"/>
  <c r="AC42" i="58"/>
  <c r="AC68" i="58" s="1"/>
  <c r="AC42" i="57"/>
  <c r="AC68" i="57" s="1"/>
  <c r="AC42" i="55"/>
  <c r="AC68" i="55" s="1"/>
  <c r="AC42" i="53"/>
  <c r="AC68" i="53" s="1"/>
  <c r="AC42" i="52"/>
  <c r="AC68" i="52" s="1"/>
  <c r="AC42" i="51"/>
  <c r="AC68" i="51" s="1"/>
  <c r="AA119" i="58"/>
  <c r="AA126" i="58" s="1"/>
  <c r="AA153" i="58"/>
  <c r="AA160" i="58" s="1"/>
  <c r="AC43" i="58"/>
  <c r="AC85" i="58" s="1"/>
  <c r="AC92" i="58" s="1"/>
  <c r="AC95" i="58" s="1"/>
  <c r="AC166" i="58" s="1"/>
  <c r="AC43" i="57"/>
  <c r="AC85" i="57" s="1"/>
  <c r="AC92" i="57" s="1"/>
  <c r="AC95" i="57" s="1"/>
  <c r="AC166" i="57" s="1"/>
  <c r="AC43" i="53"/>
  <c r="AC85" i="53" s="1"/>
  <c r="AC92" i="53" s="1"/>
  <c r="AC95" i="53" s="1"/>
  <c r="AC166" i="53" s="1"/>
  <c r="AC43" i="55"/>
  <c r="AC85" i="55" s="1"/>
  <c r="AC92" i="55" s="1"/>
  <c r="AC95" i="55" s="1"/>
  <c r="AC166" i="55" s="1"/>
  <c r="AC43" i="52"/>
  <c r="AC85" i="52" s="1"/>
  <c r="AC92" i="52" s="1"/>
  <c r="AC95" i="52" s="1"/>
  <c r="AC166" i="52" s="1"/>
  <c r="AC43" i="51"/>
  <c r="AC85" i="51" s="1"/>
  <c r="AC92" i="51" s="1"/>
  <c r="AC95" i="51" s="1"/>
  <c r="AC166" i="51" s="1"/>
  <c r="Y112" i="57"/>
  <c r="Y167" i="57" s="1"/>
  <c r="Y176" i="57" s="1"/>
  <c r="AC51" i="58"/>
  <c r="AC136" i="58" s="1"/>
  <c r="AC143" i="58" s="1"/>
  <c r="AC51" i="55"/>
  <c r="AC136" i="55" s="1"/>
  <c r="AC143" i="55" s="1"/>
  <c r="AC51" i="57"/>
  <c r="AC136" i="57" s="1"/>
  <c r="AC143" i="57" s="1"/>
  <c r="AC51" i="53"/>
  <c r="AC136" i="53" s="1"/>
  <c r="AC143" i="53" s="1"/>
  <c r="AC51" i="52"/>
  <c r="AC136" i="52" s="1"/>
  <c r="AC143" i="52" s="1"/>
  <c r="AC51" i="51"/>
  <c r="AC136" i="51" s="1"/>
  <c r="AC143" i="51" s="1"/>
  <c r="AA183" i="51"/>
  <c r="AA189" i="51" s="1"/>
  <c r="AA174" i="51"/>
  <c r="AA180" i="51" s="1"/>
  <c r="AA171" i="51"/>
  <c r="AC45" i="58"/>
  <c r="AC45" i="57"/>
  <c r="AC45" i="55"/>
  <c r="AC45" i="53"/>
  <c r="AC45" i="52"/>
  <c r="AC45" i="51"/>
  <c r="Z129" i="51"/>
  <c r="Z169" i="51" s="1"/>
  <c r="Y129" i="57"/>
  <c r="Y169" i="57" s="1"/>
  <c r="X176" i="55"/>
  <c r="X185" i="55"/>
  <c r="Z99" i="55"/>
  <c r="Z111" i="55" s="1"/>
  <c r="Z106" i="55"/>
  <c r="Z110" i="55" s="1"/>
  <c r="Z101" i="55"/>
  <c r="Z108" i="55" s="1"/>
  <c r="Z129" i="52"/>
  <c r="Z169" i="52" s="1"/>
  <c r="AB132" i="38"/>
  <c r="AB132" i="55"/>
  <c r="AA115" i="57"/>
  <c r="Y175" i="51"/>
  <c r="Y184" i="51"/>
  <c r="Z116" i="55"/>
  <c r="Z128" i="55" s="1"/>
  <c r="Z123" i="55"/>
  <c r="Z127" i="55" s="1"/>
  <c r="Z118" i="55"/>
  <c r="Z125" i="55" s="1"/>
  <c r="X184" i="55"/>
  <c r="X175" i="55"/>
  <c r="Y176" i="53"/>
  <c r="Y185" i="53"/>
  <c r="Z112" i="51"/>
  <c r="Z167" i="51" s="1"/>
  <c r="AA149" i="57"/>
  <c r="AA152" i="57" s="1"/>
  <c r="AA116" i="53"/>
  <c r="AA128" i="53" s="1"/>
  <c r="AA123" i="53"/>
  <c r="AA127" i="53" s="1"/>
  <c r="AA118" i="53"/>
  <c r="AA125" i="53" s="1"/>
  <c r="Z112" i="52"/>
  <c r="Z167" i="52" s="1"/>
  <c r="AB115" i="57"/>
  <c r="CE97" i="2" s="1"/>
  <c r="BY97" i="2" s="1"/>
  <c r="J102" i="78" s="1"/>
  <c r="V102" i="78" s="1"/>
  <c r="AA99" i="53"/>
  <c r="AA111" i="53" s="1"/>
  <c r="AA101" i="53"/>
  <c r="AA108" i="53" s="1"/>
  <c r="AA106" i="53"/>
  <c r="AA110" i="53" s="1"/>
  <c r="AA115" i="38"/>
  <c r="AA118" i="38" s="1"/>
  <c r="AA115" i="55"/>
  <c r="AA99" i="52"/>
  <c r="AA111" i="52" s="1"/>
  <c r="AA101" i="52"/>
  <c r="AA108" i="52" s="1"/>
  <c r="AA106" i="52"/>
  <c r="AA110" i="52" s="1"/>
  <c r="AA98" i="38"/>
  <c r="AA98" i="55"/>
  <c r="AA116" i="51"/>
  <c r="AA128" i="51" s="1"/>
  <c r="AA123" i="51"/>
  <c r="AA127" i="51" s="1"/>
  <c r="AA118" i="51"/>
  <c r="AA125" i="51" s="1"/>
  <c r="AA150" i="52"/>
  <c r="AA162" i="52" s="1"/>
  <c r="AA157" i="52"/>
  <c r="AA159" i="52"/>
  <c r="AA150" i="53"/>
  <c r="AA162" i="53" s="1"/>
  <c r="AA157" i="53"/>
  <c r="AA159" i="53"/>
  <c r="Z150" i="57"/>
  <c r="Z162" i="57" s="1"/>
  <c r="Z159" i="57"/>
  <c r="Z157" i="57"/>
  <c r="AA133" i="55"/>
  <c r="AA145" i="55" s="1"/>
  <c r="AA140" i="55"/>
  <c r="AA142" i="55"/>
  <c r="Z99" i="57"/>
  <c r="Z111" i="57" s="1"/>
  <c r="Z106" i="57"/>
  <c r="Z110" i="57" s="1"/>
  <c r="Z101" i="57"/>
  <c r="Z108" i="57" s="1"/>
  <c r="Z184" i="53"/>
  <c r="Z175" i="53"/>
  <c r="AA98" i="57"/>
  <c r="AA99" i="51"/>
  <c r="AA111" i="51" s="1"/>
  <c r="AA101" i="51"/>
  <c r="AA108" i="51" s="1"/>
  <c r="AA106" i="51"/>
  <c r="AA110" i="51" s="1"/>
  <c r="Z150" i="55"/>
  <c r="Z162" i="55" s="1"/>
  <c r="Z157" i="55"/>
  <c r="Z159" i="55"/>
  <c r="Z116" i="57"/>
  <c r="Z128" i="57" s="1"/>
  <c r="Z123" i="57"/>
  <c r="Z127" i="57" s="1"/>
  <c r="Z118" i="57"/>
  <c r="Z125" i="57" s="1"/>
  <c r="Y112" i="55"/>
  <c r="Y167" i="55" s="1"/>
  <c r="X176" i="57"/>
  <c r="X185" i="57"/>
  <c r="X184" i="57"/>
  <c r="X175" i="57"/>
  <c r="AA140" i="51"/>
  <c r="Z162" i="51"/>
  <c r="Z157" i="51"/>
  <c r="Z159" i="51"/>
  <c r="AD156" i="45"/>
  <c r="AD55" i="63" s="1"/>
  <c r="AD69" i="63" s="1"/>
  <c r="AD76" i="63" s="1"/>
  <c r="AD155" i="45"/>
  <c r="AD55" i="62" s="1"/>
  <c r="AD69" i="62" s="1"/>
  <c r="AD76" i="62" s="1"/>
  <c r="AB150" i="45"/>
  <c r="AB149" i="45"/>
  <c r="AB149" i="67" s="1"/>
  <c r="CF152" i="2" s="1"/>
  <c r="BZ152" i="2" s="1"/>
  <c r="K162" i="78" s="1"/>
  <c r="W162" i="78" s="1"/>
  <c r="AB148" i="45"/>
  <c r="AB149" i="52" s="1"/>
  <c r="AB147" i="45"/>
  <c r="AB149" i="53" s="1"/>
  <c r="AB146" i="45"/>
  <c r="AB149" i="62" s="1"/>
  <c r="CF31" i="2" s="1"/>
  <c r="BZ31" i="2" s="1"/>
  <c r="K30" i="78" s="1"/>
  <c r="W30" i="78" s="1"/>
  <c r="AB145" i="45"/>
  <c r="AB144" i="45"/>
  <c r="AD154" i="45"/>
  <c r="AC55" i="38"/>
  <c r="AB122" i="45"/>
  <c r="AB115" i="53" s="1"/>
  <c r="CE75" i="2" s="1"/>
  <c r="BY75" i="2" s="1"/>
  <c r="J78" i="78" s="1"/>
  <c r="V78" i="78" s="1"/>
  <c r="AB120" i="45"/>
  <c r="AB125" i="45"/>
  <c r="AB124" i="45"/>
  <c r="AB115" i="67" s="1"/>
  <c r="AB119" i="45"/>
  <c r="AB117" i="45"/>
  <c r="AB115" i="51" s="1"/>
  <c r="CE64" i="2" s="1"/>
  <c r="BY64" i="2" s="1"/>
  <c r="J66" i="78" s="1"/>
  <c r="V66" i="78" s="1"/>
  <c r="AC116" i="45"/>
  <c r="AC125" i="45" s="1"/>
  <c r="AC140" i="45"/>
  <c r="AB123" i="45"/>
  <c r="AB115" i="52" s="1"/>
  <c r="CE86" i="2" s="1"/>
  <c r="BY86" i="2" s="1"/>
  <c r="J90" i="78" s="1"/>
  <c r="V90" i="78" s="1"/>
  <c r="AB118" i="45"/>
  <c r="AB115" i="63" s="1"/>
  <c r="AD40" i="45"/>
  <c r="AD38" i="45"/>
  <c r="AD39" i="45"/>
  <c r="AD28" i="45"/>
  <c r="AD27" i="45"/>
  <c r="AD29" i="45"/>
  <c r="AC103" i="45"/>
  <c r="AC104" i="45"/>
  <c r="AB113" i="45"/>
  <c r="AB112" i="45"/>
  <c r="AB98" i="67" s="1"/>
  <c r="CC152" i="2" s="1"/>
  <c r="BW152" i="2" s="1"/>
  <c r="H162" i="78" s="1"/>
  <c r="T162" i="78" s="1"/>
  <c r="AB105" i="45"/>
  <c r="AB98" i="51" s="1"/>
  <c r="CC64" i="2" s="1"/>
  <c r="BW64" i="2" s="1"/>
  <c r="H66" i="78" s="1"/>
  <c r="T66" i="78" s="1"/>
  <c r="AB108" i="45"/>
  <c r="AB106" i="45"/>
  <c r="AB98" i="63" s="1"/>
  <c r="CC42" i="2" s="1"/>
  <c r="BW42" i="2" s="1"/>
  <c r="H42" i="78" s="1"/>
  <c r="T42" i="78" s="1"/>
  <c r="AB110" i="45"/>
  <c r="AB98" i="53" s="1"/>
  <c r="CC75" i="2" s="1"/>
  <c r="BW75" i="2" s="1"/>
  <c r="H78" i="78" s="1"/>
  <c r="T78" i="78" s="1"/>
  <c r="AB111" i="45"/>
  <c r="AB98" i="52" s="1"/>
  <c r="CC86" i="2" s="1"/>
  <c r="BW86" i="2" s="1"/>
  <c r="H90" i="78" s="1"/>
  <c r="T90" i="78" s="1"/>
  <c r="AB107" i="45"/>
  <c r="AB109" i="45"/>
  <c r="AB98" i="62" s="1"/>
  <c r="CC31" i="2" s="1"/>
  <c r="BW31" i="2" s="1"/>
  <c r="H30" i="78" s="1"/>
  <c r="T30" i="78" s="1"/>
  <c r="AD19" i="45"/>
  <c r="AC52" i="38"/>
  <c r="AD20" i="45"/>
  <c r="AC53" i="38"/>
  <c r="AD21" i="45"/>
  <c r="AD41" i="38"/>
  <c r="AE6" i="45"/>
  <c r="AD4" i="45"/>
  <c r="AD5" i="45"/>
  <c r="AD12" i="45"/>
  <c r="AD14" i="45"/>
  <c r="AD23" i="45"/>
  <c r="P179" i="62" l="1"/>
  <c r="P179" i="63"/>
  <c r="P186" i="65"/>
  <c r="BV41" i="2"/>
  <c r="G41" i="78" s="1"/>
  <c r="S41" i="78" s="1"/>
  <c r="S46" i="78" s="1"/>
  <c r="AB118" i="67"/>
  <c r="AB125" i="67" s="1"/>
  <c r="CE152" i="2"/>
  <c r="BY152" i="2" s="1"/>
  <c r="J162" i="78" s="1"/>
  <c r="V162" i="78" s="1"/>
  <c r="BV129" i="2"/>
  <c r="G137" i="78" s="1"/>
  <c r="S137" i="78" s="1"/>
  <c r="S142" i="78" s="1"/>
  <c r="BV74" i="2"/>
  <c r="G77" i="78" s="1"/>
  <c r="S77" i="78" s="1"/>
  <c r="S82" i="78" s="1"/>
  <c r="BV85" i="2"/>
  <c r="G89" i="78" s="1"/>
  <c r="S89" i="78" s="1"/>
  <c r="S94" i="78" s="1"/>
  <c r="AB118" i="63"/>
  <c r="AB125" i="63" s="1"/>
  <c r="CE42" i="2"/>
  <c r="BY42" i="2" s="1"/>
  <c r="J42" i="78" s="1"/>
  <c r="V42" i="78" s="1"/>
  <c r="AB152" i="53"/>
  <c r="AB159" i="53" s="1"/>
  <c r="CF75" i="2"/>
  <c r="BZ75" i="2" s="1"/>
  <c r="K78" i="78" s="1"/>
  <c r="W78" i="78" s="1"/>
  <c r="AB135" i="57"/>
  <c r="CD97" i="2"/>
  <c r="BX97" i="2" s="1"/>
  <c r="I102" i="78" s="1"/>
  <c r="U102" i="78" s="1"/>
  <c r="AB135" i="55"/>
  <c r="AB142" i="55" s="1"/>
  <c r="CD130" i="2"/>
  <c r="BX130" i="2" s="1"/>
  <c r="I138" i="78" s="1"/>
  <c r="U138" i="78" s="1"/>
  <c r="AB152" i="52"/>
  <c r="CF86" i="2"/>
  <c r="BZ86" i="2" s="1"/>
  <c r="K90" i="78" s="1"/>
  <c r="W90" i="78" s="1"/>
  <c r="AB135" i="38"/>
  <c r="CD20" i="2"/>
  <c r="BX20" i="2" s="1"/>
  <c r="I18" i="78" s="1"/>
  <c r="U18" i="78" s="1"/>
  <c r="AB174" i="51"/>
  <c r="AB180" i="51" s="1"/>
  <c r="CA63" i="2"/>
  <c r="AB133" i="51"/>
  <c r="AB145" i="51" s="1"/>
  <c r="CD64" i="2"/>
  <c r="BX64" i="2" s="1"/>
  <c r="I66" i="78" s="1"/>
  <c r="U66" i="78" s="1"/>
  <c r="AB174" i="64"/>
  <c r="AB180" i="64" s="1"/>
  <c r="CA52" i="2"/>
  <c r="AB135" i="58"/>
  <c r="AB142" i="58" s="1"/>
  <c r="CD108" i="2"/>
  <c r="BX108" i="2" s="1"/>
  <c r="I114" i="78" s="1"/>
  <c r="U114" i="78" s="1"/>
  <c r="AB174" i="58"/>
  <c r="AB180" i="58" s="1"/>
  <c r="CA107" i="2"/>
  <c r="AB133" i="61"/>
  <c r="AB145" i="61" s="1"/>
  <c r="CD9" i="2"/>
  <c r="BX9" i="2" s="1"/>
  <c r="I6" i="78" s="1"/>
  <c r="U6" i="78" s="1"/>
  <c r="R192" i="53"/>
  <c r="BD74" i="2"/>
  <c r="AX74" i="2" s="1"/>
  <c r="I77" i="77" s="1"/>
  <c r="U77" i="77" s="1"/>
  <c r="U82" i="77" s="1"/>
  <c r="R193" i="62"/>
  <c r="BD30" i="2"/>
  <c r="AX30" i="2" s="1"/>
  <c r="I29" i="77" s="1"/>
  <c r="U29" i="77" s="1"/>
  <c r="U34" i="77" s="1"/>
  <c r="R177" i="64"/>
  <c r="BD52" i="2"/>
  <c r="AX52" i="2" s="1"/>
  <c r="I53" i="77" s="1"/>
  <c r="U53" i="77" s="1"/>
  <c r="U58" i="77" s="1"/>
  <c r="Q186" i="67"/>
  <c r="R177" i="62"/>
  <c r="R192" i="64"/>
  <c r="P194" i="61"/>
  <c r="P188" i="61"/>
  <c r="P188" i="65"/>
  <c r="P194" i="62"/>
  <c r="P178" i="62"/>
  <c r="Q178" i="53"/>
  <c r="P179" i="65"/>
  <c r="R177" i="53"/>
  <c r="P188" i="62"/>
  <c r="P186" i="62"/>
  <c r="P194" i="65"/>
  <c r="P178" i="65"/>
  <c r="R187" i="62"/>
  <c r="P187" i="61"/>
  <c r="P194" i="57"/>
  <c r="P194" i="55"/>
  <c r="P178" i="55"/>
  <c r="P194" i="64"/>
  <c r="P178" i="64"/>
  <c r="Q179" i="52"/>
  <c r="Q186" i="53"/>
  <c r="P188" i="64"/>
  <c r="P178" i="58"/>
  <c r="Q194" i="52"/>
  <c r="Q178" i="52"/>
  <c r="Q188" i="52"/>
  <c r="Q194" i="53"/>
  <c r="P186" i="55"/>
  <c r="Q179" i="53"/>
  <c r="Q179" i="67"/>
  <c r="Q178" i="67"/>
  <c r="P186" i="57"/>
  <c r="Q194" i="67"/>
  <c r="P179" i="57"/>
  <c r="P188" i="57"/>
  <c r="P187" i="64"/>
  <c r="R187" i="53"/>
  <c r="R193" i="53"/>
  <c r="P179" i="61"/>
  <c r="R192" i="62"/>
  <c r="P179" i="55"/>
  <c r="P194" i="58"/>
  <c r="P179" i="58"/>
  <c r="P186" i="58"/>
  <c r="P194" i="66"/>
  <c r="P186" i="66"/>
  <c r="P178" i="66"/>
  <c r="P188" i="63"/>
  <c r="P179" i="66"/>
  <c r="P178" i="63"/>
  <c r="P186" i="63"/>
  <c r="P194" i="63"/>
  <c r="Q188" i="51"/>
  <c r="Q179" i="51"/>
  <c r="Q178" i="51"/>
  <c r="T214" i="45"/>
  <c r="T230" i="45" s="1"/>
  <c r="S246" i="45"/>
  <c r="S262" i="45" s="1"/>
  <c r="R59" i="67"/>
  <c r="R154" i="67" s="1"/>
  <c r="R161" i="67" s="1"/>
  <c r="R163" i="67" s="1"/>
  <c r="R170" i="67" s="1"/>
  <c r="R245" i="45"/>
  <c r="R261" i="45" s="1"/>
  <c r="Q59" i="66"/>
  <c r="Q154" i="66" s="1"/>
  <c r="Q161" i="66" s="1"/>
  <c r="Q163" i="66" s="1"/>
  <c r="Q170" i="66" s="1"/>
  <c r="Q188" i="66" s="1"/>
  <c r="T213" i="45"/>
  <c r="T229" i="45" s="1"/>
  <c r="S58" i="66"/>
  <c r="S137" i="66" s="1"/>
  <c r="S144" i="66" s="1"/>
  <c r="S146" i="66" s="1"/>
  <c r="S168" i="66" s="1"/>
  <c r="R244" i="45"/>
  <c r="R260" i="45" s="1"/>
  <c r="Q59" i="55"/>
  <c r="Q154" i="55" s="1"/>
  <c r="Q161" i="55" s="1"/>
  <c r="Q163" i="55" s="1"/>
  <c r="Q170" i="55" s="1"/>
  <c r="T212" i="45"/>
  <c r="T228" i="45" s="1"/>
  <c r="R243" i="45"/>
  <c r="R259" i="45" s="1"/>
  <c r="Q59" i="65"/>
  <c r="Q154" i="65" s="1"/>
  <c r="Q161" i="65" s="1"/>
  <c r="Q163" i="65" s="1"/>
  <c r="Q170" i="65" s="1"/>
  <c r="Q178" i="65" s="1"/>
  <c r="T211" i="45"/>
  <c r="T227" i="45" s="1"/>
  <c r="R242" i="45"/>
  <c r="R258" i="45" s="1"/>
  <c r="Q59" i="58"/>
  <c r="Q154" i="58" s="1"/>
  <c r="Q161" i="58" s="1"/>
  <c r="Q163" i="58" s="1"/>
  <c r="Q170" i="58" s="1"/>
  <c r="T210" i="45"/>
  <c r="T226" i="45" s="1"/>
  <c r="R241" i="45"/>
  <c r="R257" i="45" s="1"/>
  <c r="Q59" i="57"/>
  <c r="Q154" i="57" s="1"/>
  <c r="Q161" i="57" s="1"/>
  <c r="Q163" i="57" s="1"/>
  <c r="Q170" i="57" s="1"/>
  <c r="Q186" i="57" s="1"/>
  <c r="R192" i="57"/>
  <c r="R187" i="57"/>
  <c r="R177" i="57"/>
  <c r="R193" i="57"/>
  <c r="T209" i="45"/>
  <c r="T225" i="45" s="1"/>
  <c r="S58" i="57"/>
  <c r="S137" i="57" s="1"/>
  <c r="S144" i="57" s="1"/>
  <c r="S146" i="57" s="1"/>
  <c r="S168" i="57" s="1"/>
  <c r="T208" i="45"/>
  <c r="T224" i="45" s="1"/>
  <c r="S58" i="52"/>
  <c r="S137" i="52" s="1"/>
  <c r="S144" i="52" s="1"/>
  <c r="S146" i="52" s="1"/>
  <c r="S168" i="52" s="1"/>
  <c r="S240" i="45"/>
  <c r="S256" i="45" s="1"/>
  <c r="R59" i="52"/>
  <c r="R154" i="52" s="1"/>
  <c r="R161" i="52" s="1"/>
  <c r="R163" i="52" s="1"/>
  <c r="R170" i="52" s="1"/>
  <c r="T207" i="45"/>
  <c r="T223" i="45" s="1"/>
  <c r="S57" i="53"/>
  <c r="S137" i="53" s="1"/>
  <c r="S144" i="53" s="1"/>
  <c r="S146" i="53" s="1"/>
  <c r="S168" i="53" s="1"/>
  <c r="S192" i="53" s="1"/>
  <c r="S239" i="45"/>
  <c r="S255" i="45" s="1"/>
  <c r="R58" i="53"/>
  <c r="R154" i="53" s="1"/>
  <c r="R161" i="53" s="1"/>
  <c r="R163" i="53" s="1"/>
  <c r="R170" i="53" s="1"/>
  <c r="T206" i="45"/>
  <c r="T222" i="45" s="1"/>
  <c r="S238" i="45"/>
  <c r="S254" i="45" s="1"/>
  <c r="R58" i="51"/>
  <c r="R154" i="51" s="1"/>
  <c r="R161" i="51" s="1"/>
  <c r="R163" i="51" s="1"/>
  <c r="R170" i="51" s="1"/>
  <c r="R237" i="45"/>
  <c r="R253" i="45" s="1"/>
  <c r="Q58" i="64"/>
  <c r="Q154" i="64" s="1"/>
  <c r="Q161" i="64" s="1"/>
  <c r="Q163" i="64" s="1"/>
  <c r="Q170" i="64" s="1"/>
  <c r="Q188" i="64" s="1"/>
  <c r="R193" i="64"/>
  <c r="T205" i="45"/>
  <c r="T221" i="45" s="1"/>
  <c r="S57" i="64"/>
  <c r="S137" i="64" s="1"/>
  <c r="S144" i="64" s="1"/>
  <c r="S146" i="64" s="1"/>
  <c r="S168" i="64" s="1"/>
  <c r="S177" i="64" s="1"/>
  <c r="R186" i="64"/>
  <c r="R236" i="45"/>
  <c r="R252" i="45" s="1"/>
  <c r="Q58" i="63"/>
  <c r="Q154" i="63" s="1"/>
  <c r="Q161" i="63" s="1"/>
  <c r="Q163" i="63" s="1"/>
  <c r="Q170" i="63" s="1"/>
  <c r="Q194" i="63" s="1"/>
  <c r="R177" i="63"/>
  <c r="R192" i="63"/>
  <c r="R187" i="63"/>
  <c r="R193" i="63"/>
  <c r="S57" i="63"/>
  <c r="S137" i="63" s="1"/>
  <c r="S144" i="63" s="1"/>
  <c r="S146" i="63" s="1"/>
  <c r="S168" i="63" s="1"/>
  <c r="T204" i="45"/>
  <c r="T220" i="45" s="1"/>
  <c r="R235" i="45"/>
  <c r="R251" i="45" s="1"/>
  <c r="Q58" i="62"/>
  <c r="Q154" i="62" s="1"/>
  <c r="Q161" i="62" s="1"/>
  <c r="Q163" i="62" s="1"/>
  <c r="Q170" i="62" s="1"/>
  <c r="Q194" i="62" s="1"/>
  <c r="T203" i="45"/>
  <c r="T219" i="45" s="1"/>
  <c r="S57" i="62"/>
  <c r="S137" i="62" s="1"/>
  <c r="S144" i="62" s="1"/>
  <c r="S146" i="62" s="1"/>
  <c r="S168" i="62" s="1"/>
  <c r="S192" i="62" s="1"/>
  <c r="R234" i="45"/>
  <c r="R250" i="45" s="1"/>
  <c r="Q58" i="38"/>
  <c r="S57" i="38"/>
  <c r="T202" i="45"/>
  <c r="T218" i="45" s="1"/>
  <c r="R233" i="45"/>
  <c r="R249" i="45" s="1"/>
  <c r="Q58" i="61"/>
  <c r="Q154" i="61" s="1"/>
  <c r="Q161" i="61" s="1"/>
  <c r="Q163" i="61" s="1"/>
  <c r="Q170" i="61" s="1"/>
  <c r="Q178" i="61" s="1"/>
  <c r="T201" i="45"/>
  <c r="T217" i="45" s="1"/>
  <c r="R177" i="67"/>
  <c r="R187" i="67"/>
  <c r="R192" i="67"/>
  <c r="R193" i="67"/>
  <c r="S58" i="55"/>
  <c r="S137" i="55" s="1"/>
  <c r="S144" i="55" s="1"/>
  <c r="S146" i="55" s="1"/>
  <c r="S168" i="55" s="1"/>
  <c r="R186" i="52"/>
  <c r="R193" i="52"/>
  <c r="R177" i="52"/>
  <c r="R192" i="52"/>
  <c r="R193" i="55"/>
  <c r="R177" i="55"/>
  <c r="R192" i="55"/>
  <c r="R187" i="55"/>
  <c r="R57" i="51"/>
  <c r="R137" i="51" s="1"/>
  <c r="R144" i="51" s="1"/>
  <c r="R146" i="51" s="1"/>
  <c r="R168" i="51" s="1"/>
  <c r="BD63" i="2" s="1"/>
  <c r="AX63" i="2" s="1"/>
  <c r="I65" i="77" s="1"/>
  <c r="U65" i="77" s="1"/>
  <c r="U70" i="77" s="1"/>
  <c r="Q192" i="51"/>
  <c r="Q177" i="51"/>
  <c r="Q186" i="51"/>
  <c r="Q193" i="51"/>
  <c r="Q194" i="51"/>
  <c r="R177" i="66"/>
  <c r="R192" i="66"/>
  <c r="R193" i="66"/>
  <c r="R187" i="66"/>
  <c r="Q186" i="61"/>
  <c r="Q193" i="61"/>
  <c r="Q177" i="61"/>
  <c r="Q192" i="61"/>
  <c r="R57" i="61"/>
  <c r="R137" i="61" s="1"/>
  <c r="R144" i="61" s="1"/>
  <c r="R146" i="61" s="1"/>
  <c r="R168" i="61" s="1"/>
  <c r="BD8" i="2" s="1"/>
  <c r="AX8" i="2" s="1"/>
  <c r="I5" i="77" s="1"/>
  <c r="U5" i="77" s="1"/>
  <c r="U10" i="77" s="1"/>
  <c r="R58" i="58"/>
  <c r="R137" i="58" s="1"/>
  <c r="R144" i="58" s="1"/>
  <c r="R146" i="58" s="1"/>
  <c r="R168" i="58" s="1"/>
  <c r="BD107" i="2" s="1"/>
  <c r="AX107" i="2" s="1"/>
  <c r="I113" i="77" s="1"/>
  <c r="U113" i="77" s="1"/>
  <c r="U118" i="77" s="1"/>
  <c r="R58" i="65"/>
  <c r="R137" i="65" s="1"/>
  <c r="R144" i="65" s="1"/>
  <c r="R146" i="65" s="1"/>
  <c r="R168" i="65" s="1"/>
  <c r="BD118" i="2" s="1"/>
  <c r="AX118" i="2" s="1"/>
  <c r="I125" i="77" s="1"/>
  <c r="U125" i="77" s="1"/>
  <c r="U130" i="77" s="1"/>
  <c r="S58" i="67"/>
  <c r="S137" i="67" s="1"/>
  <c r="S144" i="67" s="1"/>
  <c r="S146" i="67" s="1"/>
  <c r="S168" i="67" s="1"/>
  <c r="Q177" i="58"/>
  <c r="Q187" i="58"/>
  <c r="Q193" i="58"/>
  <c r="Q192" i="58"/>
  <c r="Q187" i="65"/>
  <c r="Q192" i="65"/>
  <c r="Q177" i="65"/>
  <c r="Q193" i="65"/>
  <c r="AC48" i="55"/>
  <c r="AC50" i="55" s="1"/>
  <c r="AC48" i="57"/>
  <c r="AC50" i="57" s="1"/>
  <c r="AC48" i="58"/>
  <c r="AC50" i="58" s="1"/>
  <c r="AC48" i="64"/>
  <c r="AC50" i="64" s="1"/>
  <c r="AC153" i="64" s="1"/>
  <c r="AC160" i="64" s="1"/>
  <c r="AC48" i="65"/>
  <c r="AC50" i="65" s="1"/>
  <c r="AB183" i="64"/>
  <c r="AB189" i="64" s="1"/>
  <c r="AB171" i="64"/>
  <c r="AC48" i="62"/>
  <c r="AC50" i="62" s="1"/>
  <c r="AC153" i="62" s="1"/>
  <c r="AC160" i="62" s="1"/>
  <c r="AB119" i="62"/>
  <c r="AB126" i="62" s="1"/>
  <c r="AB129" i="62" s="1"/>
  <c r="AB169" i="62" s="1"/>
  <c r="AA123" i="64"/>
  <c r="AA127" i="64" s="1"/>
  <c r="AC174" i="65"/>
  <c r="AC180" i="65" s="1"/>
  <c r="AC183" i="65"/>
  <c r="AC189" i="65" s="1"/>
  <c r="AC171" i="65"/>
  <c r="AD53" i="66"/>
  <c r="AD53" i="65"/>
  <c r="AD53" i="67"/>
  <c r="AD53" i="63"/>
  <c r="AD53" i="64"/>
  <c r="AC48" i="63"/>
  <c r="AC50" i="63" s="1"/>
  <c r="AC153" i="63" s="1"/>
  <c r="AC160" i="63" s="1"/>
  <c r="AC183" i="67"/>
  <c r="AC189" i="67" s="1"/>
  <c r="AC174" i="67"/>
  <c r="AC180" i="67" s="1"/>
  <c r="AC171" i="67"/>
  <c r="AC174" i="66"/>
  <c r="AC180" i="66" s="1"/>
  <c r="AC183" i="66"/>
  <c r="AC189" i="66" s="1"/>
  <c r="AC171" i="66"/>
  <c r="AD52" i="66"/>
  <c r="AD52" i="65"/>
  <c r="AD52" i="67"/>
  <c r="AD52" i="64"/>
  <c r="AD52" i="63"/>
  <c r="AC183" i="63"/>
  <c r="AC189" i="63" s="1"/>
  <c r="AC48" i="66"/>
  <c r="AC50" i="66" s="1"/>
  <c r="AC171" i="63"/>
  <c r="AD49" i="51"/>
  <c r="AD49" i="57"/>
  <c r="AD49" i="58"/>
  <c r="AD49" i="66"/>
  <c r="AD49" i="67"/>
  <c r="AD49" i="53"/>
  <c r="AD49" i="55"/>
  <c r="AD49" i="65"/>
  <c r="AD49" i="52"/>
  <c r="AD46" i="62"/>
  <c r="AD46" i="66"/>
  <c r="AD46" i="65"/>
  <c r="AD46" i="67"/>
  <c r="AD46" i="63"/>
  <c r="AD46" i="64"/>
  <c r="AC48" i="67"/>
  <c r="AC50" i="67" s="1"/>
  <c r="AC48" i="51"/>
  <c r="AC50" i="51" s="1"/>
  <c r="AC78" i="64"/>
  <c r="AC165" i="64" s="1"/>
  <c r="AC171" i="64" s="1"/>
  <c r="AC48" i="52"/>
  <c r="AC50" i="52" s="1"/>
  <c r="AD43" i="62"/>
  <c r="AD85" i="62" s="1"/>
  <c r="AD92" i="62" s="1"/>
  <c r="AD95" i="62" s="1"/>
  <c r="AD166" i="62" s="1"/>
  <c r="AD43" i="66"/>
  <c r="AD85" i="66" s="1"/>
  <c r="AD92" i="66" s="1"/>
  <c r="AD95" i="66" s="1"/>
  <c r="AD166" i="66" s="1"/>
  <c r="AD43" i="67"/>
  <c r="AD85" i="67" s="1"/>
  <c r="AD92" i="67" s="1"/>
  <c r="AD95" i="67" s="1"/>
  <c r="AD166" i="67" s="1"/>
  <c r="AD43" i="65"/>
  <c r="AD85" i="65" s="1"/>
  <c r="AD92" i="65" s="1"/>
  <c r="AD95" i="65" s="1"/>
  <c r="AD166" i="65" s="1"/>
  <c r="AD43" i="64"/>
  <c r="AD85" i="64" s="1"/>
  <c r="AD92" i="64" s="1"/>
  <c r="AD95" i="64" s="1"/>
  <c r="AD166" i="64" s="1"/>
  <c r="AD43" i="63"/>
  <c r="AD85" i="63" s="1"/>
  <c r="AD92" i="63" s="1"/>
  <c r="AD95" i="63" s="1"/>
  <c r="AD166" i="63" s="1"/>
  <c r="AD42" i="62"/>
  <c r="AD68" i="62" s="1"/>
  <c r="AD75" i="62" s="1"/>
  <c r="AD78" i="62" s="1"/>
  <c r="AD165" i="62" s="1"/>
  <c r="AD183" i="62" s="1"/>
  <c r="AD189" i="62" s="1"/>
  <c r="AD42" i="65"/>
  <c r="AD68" i="65" s="1"/>
  <c r="AD75" i="65" s="1"/>
  <c r="AD78" i="65" s="1"/>
  <c r="AD165" i="65" s="1"/>
  <c r="AD42" i="67"/>
  <c r="AD68" i="67" s="1"/>
  <c r="AD75" i="67" s="1"/>
  <c r="AD78" i="67" s="1"/>
  <c r="AD165" i="67" s="1"/>
  <c r="AD42" i="66"/>
  <c r="AD68" i="66" s="1"/>
  <c r="AD75" i="66" s="1"/>
  <c r="AD78" i="66" s="1"/>
  <c r="AD165" i="66" s="1"/>
  <c r="AD42" i="63"/>
  <c r="AD68" i="63" s="1"/>
  <c r="AD75" i="63" s="1"/>
  <c r="AD78" i="63" s="1"/>
  <c r="AD165" i="63" s="1"/>
  <c r="AD42" i="64"/>
  <c r="AD68" i="64" s="1"/>
  <c r="AD75" i="64" s="1"/>
  <c r="AE44" i="62"/>
  <c r="AE102" i="62" s="1"/>
  <c r="AE109" i="62" s="1"/>
  <c r="AE44" i="67"/>
  <c r="AE102" i="67" s="1"/>
  <c r="AE109" i="67" s="1"/>
  <c r="AE44" i="65"/>
  <c r="AE102" i="65" s="1"/>
  <c r="AE109" i="65" s="1"/>
  <c r="AE44" i="66"/>
  <c r="AE102" i="66" s="1"/>
  <c r="AE109" i="66" s="1"/>
  <c r="AE44" i="64"/>
  <c r="AE102" i="64" s="1"/>
  <c r="AE109" i="64" s="1"/>
  <c r="AE44" i="63"/>
  <c r="AE102" i="63" s="1"/>
  <c r="AE109" i="63" s="1"/>
  <c r="AC48" i="53"/>
  <c r="AC50" i="53" s="1"/>
  <c r="AA116" i="64"/>
  <c r="AA128" i="64" s="1"/>
  <c r="Y185" i="58"/>
  <c r="Y175" i="58"/>
  <c r="AA157" i="58"/>
  <c r="AA123" i="58"/>
  <c r="AA127" i="58" s="1"/>
  <c r="AA150" i="58"/>
  <c r="AA162" i="58" s="1"/>
  <c r="AA116" i="58"/>
  <c r="AA128" i="58" s="1"/>
  <c r="AA101" i="58"/>
  <c r="AA108" i="58" s="1"/>
  <c r="AD51" i="62"/>
  <c r="AD136" i="62" s="1"/>
  <c r="AD143" i="62" s="1"/>
  <c r="AD51" i="66"/>
  <c r="AD136" i="66" s="1"/>
  <c r="AD143" i="66" s="1"/>
  <c r="AD51" i="65"/>
  <c r="AD136" i="65" s="1"/>
  <c r="AD143" i="65" s="1"/>
  <c r="AD51" i="67"/>
  <c r="AD136" i="67" s="1"/>
  <c r="AD143" i="67" s="1"/>
  <c r="AD51" i="63"/>
  <c r="AD136" i="63" s="1"/>
  <c r="AD143" i="63" s="1"/>
  <c r="AD51" i="64"/>
  <c r="AD136" i="64" s="1"/>
  <c r="AD143" i="64" s="1"/>
  <c r="Y184" i="64"/>
  <c r="Z129" i="58"/>
  <c r="Z169" i="58" s="1"/>
  <c r="Z184" i="58" s="1"/>
  <c r="AA106" i="58"/>
  <c r="AA110" i="58" s="1"/>
  <c r="Z112" i="58"/>
  <c r="Z167" i="58" s="1"/>
  <c r="Z176" i="58" s="1"/>
  <c r="AB135" i="61"/>
  <c r="AB142" i="61" s="1"/>
  <c r="AB140" i="61"/>
  <c r="AB135" i="51"/>
  <c r="AB142" i="51" s="1"/>
  <c r="AB153" i="64"/>
  <c r="AB160" i="64" s="1"/>
  <c r="AD49" i="62"/>
  <c r="AD49" i="64"/>
  <c r="AD49" i="63"/>
  <c r="AB119" i="63"/>
  <c r="AB126" i="63" s="1"/>
  <c r="Y184" i="66"/>
  <c r="AB153" i="67"/>
  <c r="AB160" i="67" s="1"/>
  <c r="AB119" i="67"/>
  <c r="AB126" i="67" s="1"/>
  <c r="AB119" i="66"/>
  <c r="AB126" i="66" s="1"/>
  <c r="AB153" i="66"/>
  <c r="AB160" i="66" s="1"/>
  <c r="AB153" i="65"/>
  <c r="AB160" i="65" s="1"/>
  <c r="AB119" i="65"/>
  <c r="AB126" i="65" s="1"/>
  <c r="Y175" i="66"/>
  <c r="AD45" i="62"/>
  <c r="AD45" i="65"/>
  <c r="AD45" i="66"/>
  <c r="AD45" i="67"/>
  <c r="AD45" i="64"/>
  <c r="AD45" i="63"/>
  <c r="AB135" i="53"/>
  <c r="AB142" i="53" s="1"/>
  <c r="AB140" i="53"/>
  <c r="AB133" i="53"/>
  <c r="AB145" i="53" s="1"/>
  <c r="AB135" i="52"/>
  <c r="AB142" i="52" s="1"/>
  <c r="AB140" i="52"/>
  <c r="AB133" i="52"/>
  <c r="AB145" i="52" s="1"/>
  <c r="AB133" i="67"/>
  <c r="AB145" i="67" s="1"/>
  <c r="AB140" i="67"/>
  <c r="AB135" i="67"/>
  <c r="AB142" i="67" s="1"/>
  <c r="AC136" i="45"/>
  <c r="AC132" i="67" s="1"/>
  <c r="AC134" i="45"/>
  <c r="AC132" i="53" s="1"/>
  <c r="AC129" i="45"/>
  <c r="AC132" i="51" s="1"/>
  <c r="AC135" i="45"/>
  <c r="AC132" i="52" s="1"/>
  <c r="AB133" i="58"/>
  <c r="AB145" i="58" s="1"/>
  <c r="AB140" i="58"/>
  <c r="Z129" i="64"/>
  <c r="Z169" i="64" s="1"/>
  <c r="Z184" i="64" s="1"/>
  <c r="Z112" i="66"/>
  <c r="Z167" i="66" s="1"/>
  <c r="Z185" i="66" s="1"/>
  <c r="AC143" i="45"/>
  <c r="AC149" i="63" s="1"/>
  <c r="Z184" i="63"/>
  <c r="AA129" i="67"/>
  <c r="AA169" i="67" s="1"/>
  <c r="AA175" i="67" s="1"/>
  <c r="AE157" i="45"/>
  <c r="AD55" i="64"/>
  <c r="AD69" i="64" s="1"/>
  <c r="AD76" i="64" s="1"/>
  <c r="AB116" i="67"/>
  <c r="AB128" i="67" s="1"/>
  <c r="AB123" i="67"/>
  <c r="AB127" i="67" s="1"/>
  <c r="AB113" i="67"/>
  <c r="AB115" i="58"/>
  <c r="AB115" i="65"/>
  <c r="CE119" i="2" s="1"/>
  <c r="BY119" i="2" s="1"/>
  <c r="J126" i="78" s="1"/>
  <c r="V126" i="78" s="1"/>
  <c r="Z129" i="66"/>
  <c r="Z169" i="66" s="1"/>
  <c r="AB149" i="58"/>
  <c r="AB149" i="65"/>
  <c r="CF119" i="2" s="1"/>
  <c r="BZ119" i="2" s="1"/>
  <c r="K126" i="78" s="1"/>
  <c r="W126" i="78" s="1"/>
  <c r="AC132" i="55"/>
  <c r="AC135" i="55" s="1"/>
  <c r="AC142" i="55" s="1"/>
  <c r="AC132" i="66"/>
  <c r="AC132" i="64"/>
  <c r="AA112" i="67"/>
  <c r="AA167" i="67" s="1"/>
  <c r="AA185" i="67" s="1"/>
  <c r="Z129" i="65"/>
  <c r="Z169" i="65" s="1"/>
  <c r="AB150" i="67"/>
  <c r="AB162" i="67" s="1"/>
  <c r="AB157" i="67"/>
  <c r="AB147" i="67"/>
  <c r="AB152" i="67"/>
  <c r="AB159" i="67" s="1"/>
  <c r="AA157" i="61"/>
  <c r="AB133" i="64"/>
  <c r="AB145" i="64" s="1"/>
  <c r="AB135" i="64"/>
  <c r="AB142" i="64" s="1"/>
  <c r="AB140" i="64"/>
  <c r="AA150" i="65"/>
  <c r="AA162" i="65" s="1"/>
  <c r="AA157" i="65"/>
  <c r="AA152" i="65"/>
  <c r="AA159" i="65" s="1"/>
  <c r="AA150" i="61"/>
  <c r="AA162" i="61" s="1"/>
  <c r="AC132" i="58"/>
  <c r="AC135" i="58" s="1"/>
  <c r="AC142" i="58" s="1"/>
  <c r="AC132" i="65"/>
  <c r="AB133" i="66"/>
  <c r="AB145" i="66" s="1"/>
  <c r="AB140" i="66"/>
  <c r="AB135" i="66"/>
  <c r="AB142" i="66" s="1"/>
  <c r="Y175" i="65"/>
  <c r="Y184" i="65"/>
  <c r="AC132" i="61"/>
  <c r="AC133" i="61" s="1"/>
  <c r="AC145" i="61" s="1"/>
  <c r="AC132" i="63"/>
  <c r="AA116" i="65"/>
  <c r="AA128" i="65" s="1"/>
  <c r="AA123" i="65"/>
  <c r="AA127" i="65" s="1"/>
  <c r="AA118" i="65"/>
  <c r="AA125" i="65" s="1"/>
  <c r="Z184" i="67"/>
  <c r="Z175" i="67"/>
  <c r="AB149" i="64"/>
  <c r="AB149" i="66"/>
  <c r="CF141" i="2" s="1"/>
  <c r="BZ141" i="2" s="1"/>
  <c r="K150" i="78" s="1"/>
  <c r="W150" i="78" s="1"/>
  <c r="AC115" i="58"/>
  <c r="AC116" i="58" s="1"/>
  <c r="AC128" i="58" s="1"/>
  <c r="AC115" i="65"/>
  <c r="AB115" i="64"/>
  <c r="CE53" i="2" s="1"/>
  <c r="BY53" i="2" s="1"/>
  <c r="J54" i="78" s="1"/>
  <c r="V54" i="78" s="1"/>
  <c r="AB115" i="66"/>
  <c r="AB133" i="65"/>
  <c r="AB145" i="65" s="1"/>
  <c r="AB135" i="65"/>
  <c r="AB142" i="65" s="1"/>
  <c r="AB140" i="65"/>
  <c r="AB133" i="63"/>
  <c r="AB145" i="63" s="1"/>
  <c r="AB140" i="63"/>
  <c r="AB135" i="63"/>
  <c r="AB142" i="63" s="1"/>
  <c r="AA116" i="66"/>
  <c r="AA128" i="66" s="1"/>
  <c r="AA125" i="66"/>
  <c r="AA123" i="66"/>
  <c r="AA127" i="66" s="1"/>
  <c r="AB98" i="66"/>
  <c r="CC141" i="2" s="1"/>
  <c r="BW141" i="2" s="1"/>
  <c r="H150" i="78" s="1"/>
  <c r="T150" i="78" s="1"/>
  <c r="AB98" i="64"/>
  <c r="CC53" i="2" s="1"/>
  <c r="BW53" i="2" s="1"/>
  <c r="H54" i="78" s="1"/>
  <c r="T54" i="78" s="1"/>
  <c r="Y176" i="65"/>
  <c r="Y185" i="65"/>
  <c r="Z185" i="63"/>
  <c r="Z176" i="63"/>
  <c r="AB106" i="63"/>
  <c r="AB110" i="63" s="1"/>
  <c r="AB99" i="63"/>
  <c r="AB111" i="63" s="1"/>
  <c r="AB96" i="63"/>
  <c r="AB101" i="63"/>
  <c r="AB108" i="63" s="1"/>
  <c r="Z176" i="67"/>
  <c r="Z185" i="67"/>
  <c r="AA99" i="65"/>
  <c r="AA111" i="65" s="1"/>
  <c r="AA101" i="65"/>
  <c r="AA108" i="65" s="1"/>
  <c r="AA106" i="65"/>
  <c r="AA110" i="65" s="1"/>
  <c r="Z112" i="64"/>
  <c r="Z167" i="64" s="1"/>
  <c r="AB99" i="67"/>
  <c r="AB111" i="67" s="1"/>
  <c r="AB96" i="67"/>
  <c r="AB101" i="67"/>
  <c r="AB108" i="67" s="1"/>
  <c r="AB106" i="67"/>
  <c r="AB110" i="67" s="1"/>
  <c r="AA99" i="64"/>
  <c r="AA111" i="64" s="1"/>
  <c r="AA101" i="64"/>
  <c r="AA108" i="64" s="1"/>
  <c r="AA106" i="64"/>
  <c r="AA110" i="64" s="1"/>
  <c r="AB98" i="58"/>
  <c r="AB98" i="65"/>
  <c r="CC119" i="2" s="1"/>
  <c r="BW119" i="2" s="1"/>
  <c r="H126" i="78" s="1"/>
  <c r="T126" i="78" s="1"/>
  <c r="AA99" i="66"/>
  <c r="AA111" i="66" s="1"/>
  <c r="AA106" i="66"/>
  <c r="AA110" i="66" s="1"/>
  <c r="AA101" i="66"/>
  <c r="AA108" i="66" s="1"/>
  <c r="Y185" i="64"/>
  <c r="Y176" i="64"/>
  <c r="Z112" i="65"/>
  <c r="Z167" i="65" s="1"/>
  <c r="AA112" i="63"/>
  <c r="AA167" i="63" s="1"/>
  <c r="Y185" i="66"/>
  <c r="Y176" i="66"/>
  <c r="AB150" i="51"/>
  <c r="AB162" i="51" s="1"/>
  <c r="AB152" i="51"/>
  <c r="AB159" i="51" s="1"/>
  <c r="AA150" i="64"/>
  <c r="AA162" i="64" s="1"/>
  <c r="AA157" i="64"/>
  <c r="AA152" i="64"/>
  <c r="AA159" i="64" s="1"/>
  <c r="AA159" i="55"/>
  <c r="AA150" i="55"/>
  <c r="AA162" i="55" s="1"/>
  <c r="AA157" i="55"/>
  <c r="AB149" i="61"/>
  <c r="CF9" i="2" s="1"/>
  <c r="BZ9" i="2" s="1"/>
  <c r="K6" i="78" s="1"/>
  <c r="W6" i="78" s="1"/>
  <c r="AB149" i="63"/>
  <c r="CF42" i="2" s="1"/>
  <c r="BZ42" i="2" s="1"/>
  <c r="K42" i="78" s="1"/>
  <c r="W42" i="78" s="1"/>
  <c r="AA150" i="63"/>
  <c r="AA162" i="63" s="1"/>
  <c r="AA152" i="63"/>
  <c r="AA159" i="63" s="1"/>
  <c r="AA157" i="63"/>
  <c r="AA129" i="63"/>
  <c r="AA169" i="63" s="1"/>
  <c r="AB116" i="63"/>
  <c r="AB128" i="63" s="1"/>
  <c r="AB123" i="63"/>
  <c r="AB127" i="63" s="1"/>
  <c r="AB113" i="63"/>
  <c r="AC48" i="61"/>
  <c r="AC50" i="61" s="1"/>
  <c r="AA112" i="62"/>
  <c r="AA167" i="62" s="1"/>
  <c r="Z175" i="62"/>
  <c r="Z184" i="62"/>
  <c r="AB142" i="57"/>
  <c r="AB140" i="57"/>
  <c r="AB133" i="57"/>
  <c r="AB145" i="57" s="1"/>
  <c r="AB133" i="62"/>
  <c r="AB145" i="62" s="1"/>
  <c r="AB135" i="62"/>
  <c r="AB142" i="62" s="1"/>
  <c r="AB140" i="62"/>
  <c r="AD53" i="61"/>
  <c r="AD77" i="45"/>
  <c r="AD70" i="45"/>
  <c r="AD75" i="45"/>
  <c r="AD72" i="45"/>
  <c r="AD73" i="45"/>
  <c r="AD78" i="45"/>
  <c r="AD71" i="45"/>
  <c r="AD76" i="45"/>
  <c r="AD74" i="45"/>
  <c r="AD53" i="62"/>
  <c r="AC132" i="62"/>
  <c r="AC132" i="57"/>
  <c r="AC135" i="57" s="1"/>
  <c r="AC171" i="62"/>
  <c r="AC174" i="62"/>
  <c r="AC180" i="62" s="1"/>
  <c r="AC183" i="62"/>
  <c r="AC189" i="62" s="1"/>
  <c r="AD52" i="61"/>
  <c r="AD60" i="45"/>
  <c r="AD66" i="45"/>
  <c r="AD61" i="45"/>
  <c r="AD67" i="45"/>
  <c r="AD62" i="45"/>
  <c r="AD63" i="45"/>
  <c r="AD64" i="45"/>
  <c r="AD59" i="45"/>
  <c r="AD65" i="45"/>
  <c r="AD48" i="45"/>
  <c r="AD129" i="45" s="1"/>
  <c r="AD132" i="51" s="1"/>
  <c r="AD51" i="45"/>
  <c r="AD132" i="45" s="1"/>
  <c r="AD54" i="45"/>
  <c r="AD53" i="45"/>
  <c r="AD50" i="45"/>
  <c r="AD131" i="45" s="1"/>
  <c r="AD49" i="45"/>
  <c r="AD130" i="45" s="1"/>
  <c r="AD52" i="45"/>
  <c r="AD133" i="45" s="1"/>
  <c r="AD55" i="45"/>
  <c r="AD56" i="45"/>
  <c r="AD137" i="45" s="1"/>
  <c r="AD52" i="62"/>
  <c r="AA129" i="62"/>
  <c r="AA169" i="62" s="1"/>
  <c r="AB99" i="62"/>
  <c r="AB111" i="62" s="1"/>
  <c r="AB96" i="62"/>
  <c r="AB106" i="62"/>
  <c r="AB110" i="62" s="1"/>
  <c r="AB101" i="62"/>
  <c r="AB108" i="62" s="1"/>
  <c r="Z129" i="61"/>
  <c r="Z169" i="61" s="1"/>
  <c r="Z184" i="61" s="1"/>
  <c r="Z185" i="62"/>
  <c r="Z176" i="62"/>
  <c r="AB150" i="62"/>
  <c r="AB162" i="62" s="1"/>
  <c r="AB152" i="62"/>
  <c r="AB159" i="62" s="1"/>
  <c r="AB157" i="62"/>
  <c r="AB147" i="62"/>
  <c r="Z112" i="61"/>
  <c r="Z167" i="61" s="1"/>
  <c r="Z185" i="61" s="1"/>
  <c r="AD46" i="61"/>
  <c r="AD46" i="38"/>
  <c r="Y184" i="61"/>
  <c r="Y175" i="61"/>
  <c r="Y185" i="61"/>
  <c r="Y176" i="61"/>
  <c r="AD49" i="61"/>
  <c r="AD49" i="38"/>
  <c r="AD51" i="61"/>
  <c r="AD136" i="61" s="1"/>
  <c r="AD143" i="61" s="1"/>
  <c r="AD51" i="38"/>
  <c r="AA99" i="61"/>
  <c r="AA111" i="61" s="1"/>
  <c r="AA106" i="61"/>
  <c r="AA110" i="61" s="1"/>
  <c r="AA101" i="61"/>
  <c r="AA108" i="61" s="1"/>
  <c r="AD42" i="38"/>
  <c r="AD42" i="61"/>
  <c r="AD68" i="61" s="1"/>
  <c r="AD75" i="61" s="1"/>
  <c r="AD78" i="61" s="1"/>
  <c r="AD165" i="61" s="1"/>
  <c r="AC171" i="61"/>
  <c r="AC174" i="61"/>
  <c r="AC180" i="61" s="1"/>
  <c r="AC183" i="61"/>
  <c r="AC189" i="61" s="1"/>
  <c r="AE44" i="61"/>
  <c r="AE102" i="61" s="1"/>
  <c r="AE109" i="61" s="1"/>
  <c r="AE44" i="38"/>
  <c r="AB98" i="61"/>
  <c r="CC9" i="2" s="1"/>
  <c r="BW9" i="2" s="1"/>
  <c r="H6" i="78" s="1"/>
  <c r="T6" i="78" s="1"/>
  <c r="AB153" i="61"/>
  <c r="AB160" i="61" s="1"/>
  <c r="AB119" i="61"/>
  <c r="AB126" i="61" s="1"/>
  <c r="AA116" i="61"/>
  <c r="AA128" i="61" s="1"/>
  <c r="AA123" i="61"/>
  <c r="AA127" i="61" s="1"/>
  <c r="AA125" i="61"/>
  <c r="AD43" i="38"/>
  <c r="AD43" i="61"/>
  <c r="AD85" i="61" s="1"/>
  <c r="AD92" i="61" s="1"/>
  <c r="AD95" i="61" s="1"/>
  <c r="AD166" i="61" s="1"/>
  <c r="AB115" i="61"/>
  <c r="AD45" i="61"/>
  <c r="AD45" i="38"/>
  <c r="AB183" i="58"/>
  <c r="AB189" i="58" s="1"/>
  <c r="W48" i="38"/>
  <c r="W50" i="38" s="1"/>
  <c r="Y185" i="57"/>
  <c r="AB174" i="57"/>
  <c r="AB180" i="57" s="1"/>
  <c r="AB183" i="57"/>
  <c r="AB189" i="57" s="1"/>
  <c r="AB171" i="58"/>
  <c r="Z176" i="53"/>
  <c r="AB171" i="52"/>
  <c r="AB183" i="52"/>
  <c r="AB189" i="52" s="1"/>
  <c r="AB174" i="52"/>
  <c r="AB180" i="52" s="1"/>
  <c r="AB183" i="53"/>
  <c r="AB189" i="53" s="1"/>
  <c r="AB183" i="51"/>
  <c r="AB189" i="51" s="1"/>
  <c r="AB171" i="51"/>
  <c r="AB174" i="53"/>
  <c r="AB180" i="53" s="1"/>
  <c r="AB171" i="53"/>
  <c r="AA112" i="53"/>
  <c r="AA167" i="53" s="1"/>
  <c r="Y175" i="55"/>
  <c r="Y184" i="55"/>
  <c r="AC75" i="51"/>
  <c r="AC78" i="51" s="1"/>
  <c r="AC165" i="51" s="1"/>
  <c r="AC183" i="51" s="1"/>
  <c r="AC189" i="51" s="1"/>
  <c r="AB153" i="53"/>
  <c r="AB160" i="53" s="1"/>
  <c r="AB119" i="53"/>
  <c r="AB126" i="53" s="1"/>
  <c r="AD46" i="58"/>
  <c r="AD46" i="57"/>
  <c r="AD46" i="55"/>
  <c r="AD46" i="53"/>
  <c r="AD46" i="52"/>
  <c r="AD46" i="51"/>
  <c r="AB119" i="52"/>
  <c r="AB126" i="52" s="1"/>
  <c r="AB153" i="52"/>
  <c r="AB160" i="52" s="1"/>
  <c r="AD53" i="58"/>
  <c r="AD53" i="55"/>
  <c r="AD53" i="57"/>
  <c r="AD53" i="53"/>
  <c r="AD53" i="52"/>
  <c r="AD53" i="51"/>
  <c r="AB119" i="51"/>
  <c r="AB126" i="51" s="1"/>
  <c r="AB153" i="51"/>
  <c r="AB160" i="51" s="1"/>
  <c r="AC132" i="38"/>
  <c r="AC135" i="38" s="1"/>
  <c r="AD42" i="58"/>
  <c r="AD68" i="58" s="1"/>
  <c r="AD42" i="57"/>
  <c r="AD68" i="57" s="1"/>
  <c r="AD42" i="55"/>
  <c r="AD68" i="55" s="1"/>
  <c r="AD42" i="52"/>
  <c r="AD68" i="52" s="1"/>
  <c r="AD42" i="53"/>
  <c r="AD68" i="53" s="1"/>
  <c r="AD42" i="51"/>
  <c r="AD68" i="51" s="1"/>
  <c r="AC75" i="52"/>
  <c r="AC78" i="52" s="1"/>
  <c r="AC165" i="52" s="1"/>
  <c r="AD45" i="58"/>
  <c r="AD45" i="57"/>
  <c r="AD45" i="55"/>
  <c r="AD45" i="53"/>
  <c r="AD45" i="52"/>
  <c r="AD45" i="51"/>
  <c r="AD43" i="58"/>
  <c r="AD85" i="58" s="1"/>
  <c r="AD92" i="58" s="1"/>
  <c r="AD95" i="58" s="1"/>
  <c r="AD166" i="58" s="1"/>
  <c r="AD43" i="57"/>
  <c r="AD85" i="57" s="1"/>
  <c r="AD92" i="57" s="1"/>
  <c r="AD95" i="57" s="1"/>
  <c r="AD166" i="57" s="1"/>
  <c r="AD43" i="55"/>
  <c r="AD85" i="55" s="1"/>
  <c r="AD92" i="55" s="1"/>
  <c r="AD95" i="55" s="1"/>
  <c r="AD166" i="55" s="1"/>
  <c r="AD43" i="53"/>
  <c r="AD85" i="53" s="1"/>
  <c r="AD92" i="53" s="1"/>
  <c r="AD95" i="53" s="1"/>
  <c r="AD166" i="53" s="1"/>
  <c r="AD43" i="52"/>
  <c r="AD85" i="52" s="1"/>
  <c r="AD92" i="52" s="1"/>
  <c r="AD95" i="52" s="1"/>
  <c r="AD166" i="52" s="1"/>
  <c r="AD43" i="51"/>
  <c r="AD85" i="51" s="1"/>
  <c r="AD92" i="51" s="1"/>
  <c r="AD95" i="51" s="1"/>
  <c r="AD166" i="51" s="1"/>
  <c r="AD52" i="58"/>
  <c r="AD52" i="55"/>
  <c r="AD52" i="57"/>
  <c r="AD52" i="53"/>
  <c r="AD52" i="52"/>
  <c r="AD52" i="51"/>
  <c r="AD51" i="58"/>
  <c r="AD136" i="58" s="1"/>
  <c r="AD143" i="58" s="1"/>
  <c r="AD51" i="55"/>
  <c r="AD136" i="55" s="1"/>
  <c r="AD143" i="55" s="1"/>
  <c r="AD51" i="57"/>
  <c r="AD136" i="57" s="1"/>
  <c r="AD143" i="57" s="1"/>
  <c r="AD51" i="53"/>
  <c r="AD136" i="53" s="1"/>
  <c r="AD143" i="53" s="1"/>
  <c r="AD51" i="52"/>
  <c r="AD136" i="52" s="1"/>
  <c r="AD143" i="52" s="1"/>
  <c r="AD51" i="51"/>
  <c r="AD136" i="51" s="1"/>
  <c r="AD143" i="51" s="1"/>
  <c r="AE44" i="58"/>
  <c r="AE102" i="58" s="1"/>
  <c r="AE109" i="58" s="1"/>
  <c r="AE44" i="55"/>
  <c r="AE102" i="55" s="1"/>
  <c r="AE109" i="55" s="1"/>
  <c r="AE44" i="53"/>
  <c r="AE102" i="53" s="1"/>
  <c r="AE109" i="53" s="1"/>
  <c r="AE44" i="57"/>
  <c r="AE102" i="57" s="1"/>
  <c r="AE109" i="57" s="1"/>
  <c r="AE44" i="52"/>
  <c r="AE102" i="52" s="1"/>
  <c r="AE109" i="52" s="1"/>
  <c r="AE44" i="51"/>
  <c r="AE102" i="51" s="1"/>
  <c r="AE109" i="51" s="1"/>
  <c r="Z112" i="57"/>
  <c r="Z167" i="57" s="1"/>
  <c r="Z176" i="57" s="1"/>
  <c r="AC75" i="53"/>
  <c r="AC78" i="53" s="1"/>
  <c r="AC165" i="53" s="1"/>
  <c r="AC75" i="55"/>
  <c r="AC78" i="55" s="1"/>
  <c r="AC165" i="55" s="1"/>
  <c r="AD41" i="58"/>
  <c r="AD67" i="58" s="1"/>
  <c r="AD41" i="57"/>
  <c r="AD67" i="57" s="1"/>
  <c r="AD41" i="53"/>
  <c r="AD67" i="53" s="1"/>
  <c r="AD41" i="52"/>
  <c r="AD67" i="52" s="1"/>
  <c r="AD41" i="55"/>
  <c r="AD67" i="55" s="1"/>
  <c r="AD41" i="51"/>
  <c r="AD67" i="51" s="1"/>
  <c r="Z129" i="55"/>
  <c r="Z169" i="55" s="1"/>
  <c r="Z175" i="55" s="1"/>
  <c r="AC75" i="57"/>
  <c r="AC78" i="57" s="1"/>
  <c r="AC165" i="57" s="1"/>
  <c r="AA112" i="52"/>
  <c r="AA167" i="52" s="1"/>
  <c r="AA185" i="52" s="1"/>
  <c r="AB153" i="57"/>
  <c r="AB160" i="57" s="1"/>
  <c r="AB119" i="57"/>
  <c r="AB126" i="57" s="1"/>
  <c r="AB153" i="55"/>
  <c r="AB160" i="55" s="1"/>
  <c r="AB119" i="55"/>
  <c r="AB126" i="55" s="1"/>
  <c r="AC75" i="58"/>
  <c r="AC78" i="58" s="1"/>
  <c r="AC165" i="58" s="1"/>
  <c r="AB174" i="55"/>
  <c r="AB180" i="55" s="1"/>
  <c r="AB183" i="55"/>
  <c r="AB189" i="55" s="1"/>
  <c r="AB171" i="55"/>
  <c r="AB119" i="58"/>
  <c r="AB126" i="58" s="1"/>
  <c r="AB153" i="58"/>
  <c r="AB160" i="58" s="1"/>
  <c r="AA112" i="51"/>
  <c r="AA167" i="51" s="1"/>
  <c r="S32" i="75" s="1"/>
  <c r="AA116" i="55"/>
  <c r="AA128" i="55" s="1"/>
  <c r="AA118" i="55"/>
  <c r="AA125" i="55" s="1"/>
  <c r="AA123" i="55"/>
  <c r="AA127" i="55" s="1"/>
  <c r="AA129" i="53"/>
  <c r="AA169" i="53" s="1"/>
  <c r="AB99" i="53"/>
  <c r="AB111" i="53" s="1"/>
  <c r="AB96" i="53"/>
  <c r="AB101" i="53"/>
  <c r="AB108" i="53" s="1"/>
  <c r="AB106" i="53"/>
  <c r="AB110" i="53" s="1"/>
  <c r="AB99" i="51"/>
  <c r="AB111" i="51" s="1"/>
  <c r="AB96" i="51"/>
  <c r="AB106" i="51"/>
  <c r="AB110" i="51" s="1"/>
  <c r="AB101" i="51"/>
  <c r="AB108" i="51" s="1"/>
  <c r="AB149" i="38"/>
  <c r="AB149" i="55"/>
  <c r="Z129" i="57"/>
  <c r="Z169" i="57" s="1"/>
  <c r="AA150" i="57"/>
  <c r="AA162" i="57" s="1"/>
  <c r="AA159" i="57"/>
  <c r="AA157" i="57"/>
  <c r="AA116" i="57"/>
  <c r="AA128" i="57" s="1"/>
  <c r="AA118" i="57"/>
  <c r="AA125" i="57" s="1"/>
  <c r="AA123" i="57"/>
  <c r="AA127" i="57" s="1"/>
  <c r="Z112" i="55"/>
  <c r="Z167" i="55" s="1"/>
  <c r="AA99" i="57"/>
  <c r="AA111" i="57" s="1"/>
  <c r="AA106" i="57"/>
  <c r="AA110" i="57" s="1"/>
  <c r="AA101" i="57"/>
  <c r="AA108" i="57" s="1"/>
  <c r="AB116" i="51"/>
  <c r="AB128" i="51" s="1"/>
  <c r="AB123" i="51"/>
  <c r="AB127" i="51" s="1"/>
  <c r="AB113" i="51"/>
  <c r="AB118" i="51"/>
  <c r="AB125" i="51" s="1"/>
  <c r="AA129" i="51"/>
  <c r="AA169" i="51" s="1"/>
  <c r="Z185" i="51"/>
  <c r="Z176" i="51"/>
  <c r="AB116" i="53"/>
  <c r="AB128" i="53" s="1"/>
  <c r="AB123" i="53"/>
  <c r="AB127" i="53" s="1"/>
  <c r="AB118" i="53"/>
  <c r="AB125" i="53" s="1"/>
  <c r="AB113" i="53"/>
  <c r="AB115" i="38"/>
  <c r="AB115" i="55"/>
  <c r="CE130" i="2" s="1"/>
  <c r="BY130" i="2" s="1"/>
  <c r="J138" i="78" s="1"/>
  <c r="V138" i="78" s="1"/>
  <c r="AB150" i="53"/>
  <c r="AB162" i="53" s="1"/>
  <c r="AB147" i="53"/>
  <c r="AB157" i="53"/>
  <c r="AB116" i="57"/>
  <c r="AB128" i="57" s="1"/>
  <c r="AB118" i="57"/>
  <c r="AB125" i="57" s="1"/>
  <c r="AB113" i="57"/>
  <c r="AB123" i="57"/>
  <c r="AB127" i="57" s="1"/>
  <c r="AB116" i="52"/>
  <c r="AB128" i="52" s="1"/>
  <c r="AB118" i="52"/>
  <c r="AB125" i="52" s="1"/>
  <c r="AB113" i="52"/>
  <c r="AB123" i="52"/>
  <c r="AB127" i="52" s="1"/>
  <c r="AB149" i="57"/>
  <c r="AB150" i="52"/>
  <c r="AB162" i="52" s="1"/>
  <c r="AB147" i="52"/>
  <c r="AB157" i="52"/>
  <c r="AB159" i="52"/>
  <c r="Y185" i="55"/>
  <c r="Y176" i="55"/>
  <c r="AB133" i="55"/>
  <c r="AB145" i="55" s="1"/>
  <c r="AB140" i="55"/>
  <c r="AA99" i="55"/>
  <c r="AA111" i="55" s="1"/>
  <c r="AA101" i="55"/>
  <c r="AA108" i="55" s="1"/>
  <c r="AA106" i="55"/>
  <c r="AA110" i="55" s="1"/>
  <c r="AB98" i="57"/>
  <c r="CC97" i="2" s="1"/>
  <c r="BW97" i="2" s="1"/>
  <c r="H102" i="78" s="1"/>
  <c r="T102" i="78" s="1"/>
  <c r="AB98" i="38"/>
  <c r="CC20" i="2" s="1"/>
  <c r="BW20" i="2" s="1"/>
  <c r="H18" i="78" s="1"/>
  <c r="T18" i="78" s="1"/>
  <c r="AB98" i="55"/>
  <c r="CC130" i="2" s="1"/>
  <c r="BW130" i="2" s="1"/>
  <c r="H138" i="78" s="1"/>
  <c r="T138" i="78" s="1"/>
  <c r="AB99" i="52"/>
  <c r="AB111" i="52" s="1"/>
  <c r="AB101" i="52"/>
  <c r="AB108" i="52" s="1"/>
  <c r="AB106" i="52"/>
  <c r="AB110" i="52" s="1"/>
  <c r="AB96" i="52"/>
  <c r="Z175" i="52"/>
  <c r="Z184" i="52"/>
  <c r="Y175" i="57"/>
  <c r="Y184" i="57"/>
  <c r="AA175" i="52"/>
  <c r="AA184" i="52"/>
  <c r="Z185" i="52"/>
  <c r="Z176" i="52"/>
  <c r="Z184" i="51"/>
  <c r="Z175" i="51"/>
  <c r="AB140" i="51"/>
  <c r="AB157" i="51"/>
  <c r="AB147" i="51"/>
  <c r="AA157" i="51"/>
  <c r="AA162" i="51"/>
  <c r="AA159" i="51"/>
  <c r="AE156" i="45"/>
  <c r="AE55" i="63" s="1"/>
  <c r="AE69" i="63" s="1"/>
  <c r="AE76" i="63" s="1"/>
  <c r="AE155" i="45"/>
  <c r="AE55" i="62" s="1"/>
  <c r="AE69" i="62" s="1"/>
  <c r="AE76" i="62" s="1"/>
  <c r="AC121" i="45"/>
  <c r="AC115" i="62" s="1"/>
  <c r="AC118" i="62" s="1"/>
  <c r="AC123" i="45"/>
  <c r="AC115" i="52" s="1"/>
  <c r="AC124" i="45"/>
  <c r="AC115" i="67" s="1"/>
  <c r="AC118" i="67" s="1"/>
  <c r="AC150" i="45"/>
  <c r="AC146" i="45"/>
  <c r="AC149" i="62" s="1"/>
  <c r="AC147" i="45"/>
  <c r="AC149" i="53" s="1"/>
  <c r="AC152" i="53" s="1"/>
  <c r="AC148" i="45"/>
  <c r="AC149" i="52" s="1"/>
  <c r="AC152" i="52" s="1"/>
  <c r="AC149" i="45"/>
  <c r="AC149" i="67" s="1"/>
  <c r="AC145" i="45"/>
  <c r="AC142" i="45"/>
  <c r="AC149" i="51" s="1"/>
  <c r="AC144" i="45"/>
  <c r="AC118" i="45"/>
  <c r="AC115" i="63" s="1"/>
  <c r="AC118" i="63" s="1"/>
  <c r="AC122" i="45"/>
  <c r="AC115" i="53" s="1"/>
  <c r="AE154" i="45"/>
  <c r="AD55" i="38"/>
  <c r="AC119" i="45"/>
  <c r="AC117" i="45"/>
  <c r="AC115" i="51" s="1"/>
  <c r="AC120" i="45"/>
  <c r="AD116" i="45"/>
  <c r="AD122" i="45" s="1"/>
  <c r="AD115" i="53" s="1"/>
  <c r="AD140" i="45"/>
  <c r="AE39" i="45"/>
  <c r="AE38" i="45"/>
  <c r="AE40" i="45"/>
  <c r="AE29" i="45"/>
  <c r="AE28" i="45"/>
  <c r="AE27" i="45"/>
  <c r="AD103" i="45"/>
  <c r="AD104" i="45"/>
  <c r="AC113" i="45"/>
  <c r="AC112" i="45"/>
  <c r="AC98" i="67" s="1"/>
  <c r="AC106" i="45"/>
  <c r="AC98" i="63" s="1"/>
  <c r="AC111" i="45"/>
  <c r="AC98" i="52" s="1"/>
  <c r="AC107" i="45"/>
  <c r="AC110" i="45"/>
  <c r="AC98" i="53" s="1"/>
  <c r="AC109" i="45"/>
  <c r="AC98" i="62" s="1"/>
  <c r="AC105" i="45"/>
  <c r="AC98" i="51" s="1"/>
  <c r="AC108" i="45"/>
  <c r="AE12" i="45"/>
  <c r="AE5" i="45"/>
  <c r="AE20" i="45"/>
  <c r="AD53" i="38"/>
  <c r="AE14" i="45"/>
  <c r="AE23" i="45"/>
  <c r="AE4" i="45"/>
  <c r="AE19" i="45"/>
  <c r="AD52" i="38"/>
  <c r="AE41" i="38"/>
  <c r="AE21" i="45"/>
  <c r="AF6" i="45"/>
  <c r="Q188" i="58" l="1"/>
  <c r="AB152" i="57"/>
  <c r="CF97" i="2"/>
  <c r="BZ97" i="2" s="1"/>
  <c r="K102" i="78" s="1"/>
  <c r="W102" i="78" s="1"/>
  <c r="AB118" i="66"/>
  <c r="CE141" i="2"/>
  <c r="BY141" i="2" s="1"/>
  <c r="J150" i="78" s="1"/>
  <c r="V150" i="78" s="1"/>
  <c r="BU52" i="2"/>
  <c r="F53" i="78" s="1"/>
  <c r="R53" i="78" s="1"/>
  <c r="R58" i="78" s="1"/>
  <c r="BV52" i="2"/>
  <c r="G53" i="78" s="1"/>
  <c r="S53" i="78" s="1"/>
  <c r="S58" i="78" s="1"/>
  <c r="AB152" i="55"/>
  <c r="CF130" i="2"/>
  <c r="BZ130" i="2" s="1"/>
  <c r="K138" i="78" s="1"/>
  <c r="W138" i="78" s="1"/>
  <c r="AB118" i="38"/>
  <c r="CE20" i="2"/>
  <c r="BY20" i="2" s="1"/>
  <c r="J18" i="78" s="1"/>
  <c r="V18" i="78" s="1"/>
  <c r="AB152" i="38"/>
  <c r="CF20" i="2"/>
  <c r="BZ20" i="2" s="1"/>
  <c r="K18" i="78" s="1"/>
  <c r="W18" i="78" s="1"/>
  <c r="AB152" i="58"/>
  <c r="AB159" i="58" s="1"/>
  <c r="CF108" i="2"/>
  <c r="BZ108" i="2" s="1"/>
  <c r="K114" i="78" s="1"/>
  <c r="W114" i="78" s="1"/>
  <c r="AB99" i="58"/>
  <c r="AB111" i="58" s="1"/>
  <c r="CC108" i="2"/>
  <c r="BW108" i="2" s="1"/>
  <c r="H114" i="78" s="1"/>
  <c r="T114" i="78" s="1"/>
  <c r="BU63" i="2"/>
  <c r="F65" i="78" s="1"/>
  <c r="R65" i="78" s="1"/>
  <c r="R70" i="78" s="1"/>
  <c r="BV63" i="2"/>
  <c r="G65" i="78" s="1"/>
  <c r="S65" i="78" s="1"/>
  <c r="S70" i="78" s="1"/>
  <c r="AB157" i="64"/>
  <c r="CF53" i="2"/>
  <c r="BZ53" i="2" s="1"/>
  <c r="K54" i="78" s="1"/>
  <c r="W54" i="78" s="1"/>
  <c r="AB123" i="58"/>
  <c r="AB127" i="58" s="1"/>
  <c r="CE108" i="2"/>
  <c r="BY108" i="2" s="1"/>
  <c r="J114" i="78" s="1"/>
  <c r="V114" i="78" s="1"/>
  <c r="AB118" i="61"/>
  <c r="AB125" i="61" s="1"/>
  <c r="CE9" i="2"/>
  <c r="BY9" i="2" s="1"/>
  <c r="J6" i="78" s="1"/>
  <c r="V6" i="78" s="1"/>
  <c r="BU107" i="2"/>
  <c r="F113" i="78" s="1"/>
  <c r="R113" i="78" s="1"/>
  <c r="R118" i="78" s="1"/>
  <c r="BV107" i="2"/>
  <c r="G113" i="78" s="1"/>
  <c r="S113" i="78" s="1"/>
  <c r="S118" i="78" s="1"/>
  <c r="AB184" i="62"/>
  <c r="CE30" i="2"/>
  <c r="BY30" i="2" s="1"/>
  <c r="J29" i="78" s="1"/>
  <c r="V29" i="78" s="1"/>
  <c r="V34" i="78" s="1"/>
  <c r="R178" i="51"/>
  <c r="BF63" i="2"/>
  <c r="AZ63" i="2" s="1"/>
  <c r="K65" i="77" s="1"/>
  <c r="W65" i="77" s="1"/>
  <c r="W70" i="77" s="1"/>
  <c r="W71" i="77" s="1"/>
  <c r="W73" i="77" s="1"/>
  <c r="W74" i="77" s="1"/>
  <c r="R186" i="53"/>
  <c r="BF74" i="2"/>
  <c r="AZ74" i="2" s="1"/>
  <c r="K77" i="77" s="1"/>
  <c r="W77" i="77" s="1"/>
  <c r="W82" i="77" s="1"/>
  <c r="W83" i="77" s="1"/>
  <c r="W85" i="77" s="1"/>
  <c r="W86" i="77" s="1"/>
  <c r="R188" i="52"/>
  <c r="BF85" i="2"/>
  <c r="AZ85" i="2" s="1"/>
  <c r="K89" i="77" s="1"/>
  <c r="W89" i="77" s="1"/>
  <c r="W94" i="77" s="1"/>
  <c r="R178" i="67"/>
  <c r="BF151" i="2"/>
  <c r="AZ151" i="2" s="1"/>
  <c r="K161" i="77" s="1"/>
  <c r="W161" i="77" s="1"/>
  <c r="W166" i="77" s="1"/>
  <c r="AD48" i="52"/>
  <c r="AD50" i="52" s="1"/>
  <c r="T18" i="75"/>
  <c r="S18" i="75"/>
  <c r="T33" i="75"/>
  <c r="T34" i="75"/>
  <c r="S33" i="75"/>
  <c r="T42" i="75"/>
  <c r="S42" i="75"/>
  <c r="AA176" i="53"/>
  <c r="S40" i="75"/>
  <c r="AA176" i="62"/>
  <c r="S16" i="75"/>
  <c r="Q179" i="55"/>
  <c r="Q186" i="55"/>
  <c r="Q194" i="55"/>
  <c r="Q178" i="55"/>
  <c r="Q186" i="65"/>
  <c r="Q188" i="65"/>
  <c r="Q179" i="65"/>
  <c r="R179" i="51"/>
  <c r="S187" i="53"/>
  <c r="Q186" i="63"/>
  <c r="Q188" i="63"/>
  <c r="S193" i="53"/>
  <c r="Q188" i="61"/>
  <c r="Q186" i="66"/>
  <c r="Q194" i="65"/>
  <c r="Q179" i="66"/>
  <c r="Q188" i="55"/>
  <c r="Q178" i="66"/>
  <c r="R187" i="51"/>
  <c r="Q178" i="57"/>
  <c r="R179" i="52"/>
  <c r="Q194" i="66"/>
  <c r="R194" i="53"/>
  <c r="R188" i="53"/>
  <c r="Q186" i="58"/>
  <c r="R188" i="51"/>
  <c r="Q178" i="63"/>
  <c r="Q179" i="63"/>
  <c r="R194" i="67"/>
  <c r="R179" i="67"/>
  <c r="R188" i="67"/>
  <c r="R178" i="53"/>
  <c r="R186" i="67"/>
  <c r="Q178" i="58"/>
  <c r="Q179" i="58"/>
  <c r="Q188" i="57"/>
  <c r="Q194" i="61"/>
  <c r="Q179" i="61"/>
  <c r="Q187" i="61"/>
  <c r="Q187" i="64"/>
  <c r="Q178" i="64"/>
  <c r="Q194" i="58"/>
  <c r="S192" i="64"/>
  <c r="R179" i="53"/>
  <c r="Q194" i="57"/>
  <c r="Q179" i="57"/>
  <c r="Q194" i="64"/>
  <c r="S177" i="53"/>
  <c r="R194" i="52"/>
  <c r="R187" i="52"/>
  <c r="R178" i="52"/>
  <c r="S187" i="62"/>
  <c r="Q178" i="62"/>
  <c r="S177" i="62"/>
  <c r="Q179" i="64"/>
  <c r="Q179" i="62"/>
  <c r="S193" i="62"/>
  <c r="Q186" i="62"/>
  <c r="Q188" i="62"/>
  <c r="S186" i="64"/>
  <c r="T246" i="45"/>
  <c r="T262" i="45" s="1"/>
  <c r="S59" i="67"/>
  <c r="S154" i="67" s="1"/>
  <c r="S161" i="67" s="1"/>
  <c r="S163" i="67" s="1"/>
  <c r="S170" i="67" s="1"/>
  <c r="S178" i="67" s="1"/>
  <c r="U214" i="45"/>
  <c r="U230" i="45" s="1"/>
  <c r="U213" i="45"/>
  <c r="U229" i="45" s="1"/>
  <c r="S245" i="45"/>
  <c r="S261" i="45" s="1"/>
  <c r="R59" i="66"/>
  <c r="R154" i="66" s="1"/>
  <c r="R161" i="66" s="1"/>
  <c r="R163" i="66" s="1"/>
  <c r="R170" i="66" s="1"/>
  <c r="U212" i="45"/>
  <c r="U228" i="45" s="1"/>
  <c r="S244" i="45"/>
  <c r="S260" i="45" s="1"/>
  <c r="R59" i="55"/>
  <c r="R154" i="55" s="1"/>
  <c r="R161" i="55" s="1"/>
  <c r="R163" i="55" s="1"/>
  <c r="R170" i="55" s="1"/>
  <c r="U211" i="45"/>
  <c r="U227" i="45" s="1"/>
  <c r="S243" i="45"/>
  <c r="S259" i="45" s="1"/>
  <c r="R59" i="65"/>
  <c r="R154" i="65" s="1"/>
  <c r="R161" i="65" s="1"/>
  <c r="R163" i="65" s="1"/>
  <c r="R170" i="65" s="1"/>
  <c r="U210" i="45"/>
  <c r="U226" i="45" s="1"/>
  <c r="S242" i="45"/>
  <c r="S258" i="45" s="1"/>
  <c r="R59" i="58"/>
  <c r="R154" i="58" s="1"/>
  <c r="R161" i="58" s="1"/>
  <c r="R163" i="58" s="1"/>
  <c r="R170" i="58" s="1"/>
  <c r="S192" i="57"/>
  <c r="S177" i="57"/>
  <c r="S187" i="57"/>
  <c r="S193" i="57"/>
  <c r="T58" i="57"/>
  <c r="T137" i="57" s="1"/>
  <c r="T144" i="57" s="1"/>
  <c r="T146" i="57" s="1"/>
  <c r="T168" i="57" s="1"/>
  <c r="U209" i="45"/>
  <c r="U225" i="45" s="1"/>
  <c r="S241" i="45"/>
  <c r="S257" i="45" s="1"/>
  <c r="R59" i="57"/>
  <c r="R154" i="57" s="1"/>
  <c r="R161" i="57" s="1"/>
  <c r="R163" i="57" s="1"/>
  <c r="R170" i="57" s="1"/>
  <c r="T240" i="45"/>
  <c r="T256" i="45" s="1"/>
  <c r="S59" i="52"/>
  <c r="S154" i="52" s="1"/>
  <c r="S161" i="52" s="1"/>
  <c r="S163" i="52" s="1"/>
  <c r="S170" i="52" s="1"/>
  <c r="S194" i="52" s="1"/>
  <c r="U208" i="45"/>
  <c r="U224" i="45" s="1"/>
  <c r="T58" i="52"/>
  <c r="T137" i="52" s="1"/>
  <c r="T144" i="52" s="1"/>
  <c r="T146" i="52" s="1"/>
  <c r="T168" i="52" s="1"/>
  <c r="T239" i="45"/>
  <c r="T255" i="45" s="1"/>
  <c r="S58" i="53"/>
  <c r="S154" i="53" s="1"/>
  <c r="S161" i="53" s="1"/>
  <c r="S163" i="53" s="1"/>
  <c r="S170" i="53" s="1"/>
  <c r="S178" i="53" s="1"/>
  <c r="U207" i="45"/>
  <c r="U223" i="45" s="1"/>
  <c r="T57" i="53"/>
  <c r="T137" i="53" s="1"/>
  <c r="T144" i="53" s="1"/>
  <c r="T146" i="53" s="1"/>
  <c r="T168" i="53" s="1"/>
  <c r="T192" i="53" s="1"/>
  <c r="R194" i="51"/>
  <c r="T238" i="45"/>
  <c r="T254" i="45" s="1"/>
  <c r="S58" i="51"/>
  <c r="S154" i="51" s="1"/>
  <c r="S161" i="51" s="1"/>
  <c r="S163" i="51" s="1"/>
  <c r="S170" i="51" s="1"/>
  <c r="U206" i="45"/>
  <c r="U222" i="45" s="1"/>
  <c r="U205" i="45"/>
  <c r="U221" i="45" s="1"/>
  <c r="T57" i="64"/>
  <c r="T137" i="64" s="1"/>
  <c r="T144" i="64" s="1"/>
  <c r="T146" i="64" s="1"/>
  <c r="T168" i="64" s="1"/>
  <c r="T193" i="64" s="1"/>
  <c r="S193" i="64"/>
  <c r="S237" i="45"/>
  <c r="S253" i="45" s="1"/>
  <c r="R58" i="64"/>
  <c r="R154" i="64" s="1"/>
  <c r="R161" i="64" s="1"/>
  <c r="R163" i="64" s="1"/>
  <c r="R170" i="64" s="1"/>
  <c r="U204" i="45"/>
  <c r="U220" i="45" s="1"/>
  <c r="T57" i="63"/>
  <c r="T137" i="63" s="1"/>
  <c r="T144" i="63" s="1"/>
  <c r="T146" i="63" s="1"/>
  <c r="T168" i="63" s="1"/>
  <c r="S177" i="63"/>
  <c r="S192" i="63"/>
  <c r="S187" i="63"/>
  <c r="S193" i="63"/>
  <c r="S236" i="45"/>
  <c r="S252" i="45" s="1"/>
  <c r="R58" i="63"/>
  <c r="R154" i="63" s="1"/>
  <c r="R161" i="63" s="1"/>
  <c r="R163" i="63" s="1"/>
  <c r="R170" i="63" s="1"/>
  <c r="U203" i="45"/>
  <c r="U219" i="45" s="1"/>
  <c r="T57" i="62"/>
  <c r="T137" i="62" s="1"/>
  <c r="T144" i="62" s="1"/>
  <c r="T146" i="62" s="1"/>
  <c r="T168" i="62" s="1"/>
  <c r="T193" i="62" s="1"/>
  <c r="S235" i="45"/>
  <c r="S251" i="45" s="1"/>
  <c r="R58" i="62"/>
  <c r="R154" i="62" s="1"/>
  <c r="R161" i="62" s="1"/>
  <c r="R163" i="62" s="1"/>
  <c r="R170" i="62" s="1"/>
  <c r="T57" i="38"/>
  <c r="U202" i="45"/>
  <c r="U218" i="45" s="1"/>
  <c r="S234" i="45"/>
  <c r="S250" i="45" s="1"/>
  <c r="R58" i="38"/>
  <c r="U201" i="45"/>
  <c r="U217" i="45" s="1"/>
  <c r="S233" i="45"/>
  <c r="S249" i="45" s="1"/>
  <c r="R58" i="61"/>
  <c r="R154" i="61" s="1"/>
  <c r="R161" i="61" s="1"/>
  <c r="R163" i="61" s="1"/>
  <c r="R170" i="61" s="1"/>
  <c r="R177" i="61"/>
  <c r="R186" i="61"/>
  <c r="R192" i="61"/>
  <c r="R193" i="61"/>
  <c r="S187" i="66"/>
  <c r="S193" i="66"/>
  <c r="S192" i="66"/>
  <c r="S177" i="66"/>
  <c r="T58" i="66"/>
  <c r="T137" i="66" s="1"/>
  <c r="T144" i="66" s="1"/>
  <c r="T146" i="66" s="1"/>
  <c r="T168" i="66" s="1"/>
  <c r="T58" i="55"/>
  <c r="T137" i="55" s="1"/>
  <c r="T144" i="55" s="1"/>
  <c r="T146" i="55" s="1"/>
  <c r="T168" i="55" s="1"/>
  <c r="S192" i="67"/>
  <c r="S187" i="67"/>
  <c r="S177" i="67"/>
  <c r="S193" i="67"/>
  <c r="S192" i="55"/>
  <c r="S177" i="55"/>
  <c r="S193" i="55"/>
  <c r="S187" i="55"/>
  <c r="T58" i="67"/>
  <c r="T137" i="67" s="1"/>
  <c r="T144" i="67" s="1"/>
  <c r="T146" i="67" s="1"/>
  <c r="T168" i="67" s="1"/>
  <c r="S57" i="51"/>
  <c r="S137" i="51" s="1"/>
  <c r="S144" i="51" s="1"/>
  <c r="S146" i="51" s="1"/>
  <c r="S168" i="51" s="1"/>
  <c r="S58" i="65"/>
  <c r="S137" i="65" s="1"/>
  <c r="S144" i="65" s="1"/>
  <c r="S146" i="65" s="1"/>
  <c r="S168" i="65" s="1"/>
  <c r="R192" i="51"/>
  <c r="R177" i="51"/>
  <c r="R193" i="51"/>
  <c r="R186" i="51"/>
  <c r="S192" i="52"/>
  <c r="S193" i="52"/>
  <c r="S177" i="52"/>
  <c r="S186" i="52"/>
  <c r="R192" i="65"/>
  <c r="R187" i="65"/>
  <c r="R177" i="65"/>
  <c r="R193" i="65"/>
  <c r="S58" i="58"/>
  <c r="S137" i="58" s="1"/>
  <c r="S144" i="58" s="1"/>
  <c r="S146" i="58" s="1"/>
  <c r="S168" i="58" s="1"/>
  <c r="R177" i="58"/>
  <c r="R193" i="58"/>
  <c r="R192" i="58"/>
  <c r="R187" i="58"/>
  <c r="S57" i="61"/>
  <c r="S137" i="61" s="1"/>
  <c r="S144" i="61" s="1"/>
  <c r="S146" i="61" s="1"/>
  <c r="S168" i="61" s="1"/>
  <c r="AD48" i="64"/>
  <c r="AD50" i="64" s="1"/>
  <c r="AD153" i="64" s="1"/>
  <c r="AD160" i="64" s="1"/>
  <c r="AA129" i="64"/>
  <c r="AA169" i="64" s="1"/>
  <c r="AD48" i="55"/>
  <c r="AD50" i="55" s="1"/>
  <c r="AD48" i="63"/>
  <c r="AD50" i="63" s="1"/>
  <c r="AD153" i="63" s="1"/>
  <c r="AD160" i="63" s="1"/>
  <c r="AD78" i="64"/>
  <c r="AD165" i="64" s="1"/>
  <c r="AD171" i="64" s="1"/>
  <c r="AC174" i="64"/>
  <c r="AC180" i="64" s="1"/>
  <c r="AD183" i="63"/>
  <c r="AD189" i="63" s="1"/>
  <c r="AD171" i="63"/>
  <c r="AC183" i="64"/>
  <c r="AC189" i="64" s="1"/>
  <c r="AC119" i="64"/>
  <c r="AC126" i="64" s="1"/>
  <c r="AD48" i="51"/>
  <c r="AD50" i="51" s="1"/>
  <c r="AE52" i="66"/>
  <c r="AE52" i="65"/>
  <c r="AE52" i="67"/>
  <c r="AE52" i="64"/>
  <c r="AE52" i="63"/>
  <c r="AE42" i="62"/>
  <c r="AE68" i="62" s="1"/>
  <c r="AE75" i="62" s="1"/>
  <c r="AE78" i="62" s="1"/>
  <c r="AE165" i="62" s="1"/>
  <c r="AE42" i="67"/>
  <c r="AE68" i="67" s="1"/>
  <c r="AE75" i="67" s="1"/>
  <c r="AE78" i="67" s="1"/>
  <c r="AE165" i="67" s="1"/>
  <c r="AE42" i="65"/>
  <c r="AE68" i="65" s="1"/>
  <c r="AE75" i="65" s="1"/>
  <c r="AE78" i="65" s="1"/>
  <c r="AE165" i="65" s="1"/>
  <c r="AE42" i="66"/>
  <c r="AE68" i="66" s="1"/>
  <c r="AE75" i="66" s="1"/>
  <c r="AE78" i="66" s="1"/>
  <c r="AE165" i="66" s="1"/>
  <c r="AE42" i="63"/>
  <c r="AE68" i="63" s="1"/>
  <c r="AE75" i="63" s="1"/>
  <c r="AE78" i="63" s="1"/>
  <c r="AE165" i="63" s="1"/>
  <c r="AE174" i="63" s="1"/>
  <c r="AE180" i="63" s="1"/>
  <c r="AE42" i="64"/>
  <c r="AE68" i="64" s="1"/>
  <c r="AE75" i="64" s="1"/>
  <c r="AE49" i="58"/>
  <c r="AE49" i="67"/>
  <c r="AE49" i="53"/>
  <c r="AE49" i="57"/>
  <c r="AE49" i="55"/>
  <c r="AE49" i="66"/>
  <c r="AE49" i="52"/>
  <c r="AE49" i="51"/>
  <c r="AE49" i="65"/>
  <c r="AD48" i="53"/>
  <c r="AD50" i="53" s="1"/>
  <c r="AD174" i="63"/>
  <c r="AD180" i="63" s="1"/>
  <c r="AD48" i="67"/>
  <c r="AD50" i="67" s="1"/>
  <c r="AD171" i="66"/>
  <c r="AD174" i="66"/>
  <c r="AD180" i="66" s="1"/>
  <c r="AD183" i="66"/>
  <c r="AD189" i="66" s="1"/>
  <c r="AE53" i="66"/>
  <c r="AE53" i="65"/>
  <c r="AE53" i="67"/>
  <c r="AE53" i="63"/>
  <c r="AE53" i="64"/>
  <c r="AD48" i="66"/>
  <c r="AD50" i="66" s="1"/>
  <c r="AD171" i="67"/>
  <c r="AD174" i="67"/>
  <c r="AD180" i="67" s="1"/>
  <c r="AD183" i="67"/>
  <c r="AD189" i="67" s="1"/>
  <c r="AD48" i="65"/>
  <c r="AD50" i="65" s="1"/>
  <c r="AD183" i="65"/>
  <c r="AD189" i="65" s="1"/>
  <c r="AD171" i="65"/>
  <c r="AD174" i="65"/>
  <c r="AD180" i="65" s="1"/>
  <c r="AE43" i="62"/>
  <c r="AE85" i="62" s="1"/>
  <c r="AE92" i="62" s="1"/>
  <c r="AE95" i="62" s="1"/>
  <c r="AE166" i="62" s="1"/>
  <c r="AE43" i="66"/>
  <c r="AE85" i="66" s="1"/>
  <c r="AE92" i="66" s="1"/>
  <c r="AE95" i="66" s="1"/>
  <c r="AE166" i="66" s="1"/>
  <c r="AE43" i="65"/>
  <c r="AE85" i="65" s="1"/>
  <c r="AE92" i="65" s="1"/>
  <c r="AE95" i="65" s="1"/>
  <c r="AE166" i="65" s="1"/>
  <c r="AE43" i="67"/>
  <c r="AE85" i="67" s="1"/>
  <c r="AE92" i="67" s="1"/>
  <c r="AE95" i="67" s="1"/>
  <c r="AE166" i="67" s="1"/>
  <c r="AE43" i="64"/>
  <c r="AE85" i="64" s="1"/>
  <c r="AE92" i="64" s="1"/>
  <c r="AE95" i="64" s="1"/>
  <c r="AE166" i="64" s="1"/>
  <c r="AE43" i="63"/>
  <c r="AE85" i="63" s="1"/>
  <c r="AE92" i="63" s="1"/>
  <c r="AE95" i="63" s="1"/>
  <c r="AE166" i="63" s="1"/>
  <c r="AD48" i="57"/>
  <c r="AD50" i="57" s="1"/>
  <c r="AF44" i="62"/>
  <c r="AF102" i="62" s="1"/>
  <c r="AF109" i="62" s="1"/>
  <c r="AF44" i="67"/>
  <c r="AF102" i="67" s="1"/>
  <c r="AF109" i="67" s="1"/>
  <c r="AF44" i="66"/>
  <c r="AF102" i="66" s="1"/>
  <c r="AF109" i="66" s="1"/>
  <c r="AF44" i="65"/>
  <c r="AF102" i="65" s="1"/>
  <c r="AF109" i="65" s="1"/>
  <c r="AF44" i="64"/>
  <c r="AF102" i="64" s="1"/>
  <c r="AF109" i="64" s="1"/>
  <c r="AF44" i="63"/>
  <c r="AF102" i="63" s="1"/>
  <c r="AF109" i="63" s="1"/>
  <c r="AE46" i="62"/>
  <c r="AE46" i="66"/>
  <c r="AE46" i="65"/>
  <c r="AE46" i="67"/>
  <c r="AE46" i="63"/>
  <c r="AE46" i="64"/>
  <c r="AD48" i="58"/>
  <c r="AD50" i="58" s="1"/>
  <c r="AD48" i="62"/>
  <c r="AD50" i="62" s="1"/>
  <c r="AD153" i="62" s="1"/>
  <c r="AD160" i="62" s="1"/>
  <c r="AB116" i="58"/>
  <c r="AB128" i="58" s="1"/>
  <c r="AA112" i="58"/>
  <c r="AA167" i="58" s="1"/>
  <c r="AA176" i="58" s="1"/>
  <c r="AA129" i="58"/>
  <c r="AA169" i="58" s="1"/>
  <c r="AA184" i="58" s="1"/>
  <c r="AB157" i="58"/>
  <c r="AB150" i="58"/>
  <c r="AB162" i="58" s="1"/>
  <c r="AB147" i="58"/>
  <c r="AB150" i="64"/>
  <c r="AB162" i="64" s="1"/>
  <c r="Z175" i="58"/>
  <c r="AC140" i="55"/>
  <c r="AC133" i="55"/>
  <c r="AC145" i="55" s="1"/>
  <c r="Z185" i="58"/>
  <c r="AB116" i="64"/>
  <c r="AB128" i="64" s="1"/>
  <c r="AB118" i="64"/>
  <c r="AB125" i="64" s="1"/>
  <c r="AC140" i="58"/>
  <c r="AE51" i="62"/>
  <c r="AE136" i="62" s="1"/>
  <c r="AE143" i="62" s="1"/>
  <c r="AE51" i="66"/>
  <c r="AE136" i="66" s="1"/>
  <c r="AE143" i="66" s="1"/>
  <c r="AE51" i="65"/>
  <c r="AE136" i="65" s="1"/>
  <c r="AE143" i="65" s="1"/>
  <c r="AE51" i="67"/>
  <c r="AE136" i="67" s="1"/>
  <c r="AE143" i="67" s="1"/>
  <c r="AE51" i="63"/>
  <c r="AE136" i="63" s="1"/>
  <c r="AE143" i="63" s="1"/>
  <c r="AE51" i="64"/>
  <c r="AE136" i="64" s="1"/>
  <c r="AE143" i="64" s="1"/>
  <c r="AB123" i="64"/>
  <c r="AB127" i="64" s="1"/>
  <c r="AC149" i="61"/>
  <c r="AC150" i="61" s="1"/>
  <c r="AC162" i="61" s="1"/>
  <c r="AC135" i="53"/>
  <c r="AC142" i="53" s="1"/>
  <c r="AC133" i="53"/>
  <c r="AC145" i="53" s="1"/>
  <c r="AC140" i="53"/>
  <c r="Z176" i="66"/>
  <c r="AC119" i="63"/>
  <c r="AC126" i="63" s="1"/>
  <c r="AC119" i="62"/>
  <c r="AC126" i="62" s="1"/>
  <c r="AE49" i="62"/>
  <c r="AE49" i="64"/>
  <c r="AE49" i="63"/>
  <c r="Z175" i="64"/>
  <c r="AC153" i="66"/>
  <c r="AC160" i="66" s="1"/>
  <c r="AC119" i="66"/>
  <c r="AC126" i="66" s="1"/>
  <c r="AC119" i="67"/>
  <c r="AC126" i="67" s="1"/>
  <c r="AC153" i="67"/>
  <c r="AC160" i="67" s="1"/>
  <c r="AC153" i="65"/>
  <c r="AC160" i="65" s="1"/>
  <c r="AC119" i="65"/>
  <c r="AC126" i="65" s="1"/>
  <c r="AE45" i="62"/>
  <c r="AE45" i="65"/>
  <c r="AE45" i="66"/>
  <c r="AE45" i="67"/>
  <c r="AE45" i="64"/>
  <c r="AE45" i="63"/>
  <c r="AC135" i="67"/>
  <c r="AC142" i="67" s="1"/>
  <c r="AC133" i="67"/>
  <c r="AC145" i="67" s="1"/>
  <c r="AC140" i="67"/>
  <c r="AC135" i="52"/>
  <c r="AC142" i="52" s="1"/>
  <c r="AC140" i="52"/>
  <c r="AC133" i="52"/>
  <c r="AC145" i="52" s="1"/>
  <c r="AC133" i="51"/>
  <c r="AC145" i="51" s="1"/>
  <c r="AC135" i="51"/>
  <c r="AC142" i="51" s="1"/>
  <c r="AD136" i="45"/>
  <c r="AD132" i="67" s="1"/>
  <c r="AD134" i="45"/>
  <c r="AD132" i="53" s="1"/>
  <c r="AD135" i="45"/>
  <c r="AD132" i="52" s="1"/>
  <c r="AC140" i="61"/>
  <c r="AC135" i="61"/>
  <c r="AC142" i="61" s="1"/>
  <c r="AC123" i="58"/>
  <c r="AC127" i="58" s="1"/>
  <c r="AB152" i="64"/>
  <c r="AB159" i="64" s="1"/>
  <c r="AB147" i="64"/>
  <c r="AB101" i="58"/>
  <c r="AB108" i="58" s="1"/>
  <c r="AB113" i="64"/>
  <c r="AC118" i="58"/>
  <c r="AC125" i="58" s="1"/>
  <c r="AB96" i="58"/>
  <c r="AB106" i="58"/>
  <c r="AB110" i="58" s="1"/>
  <c r="AB118" i="58"/>
  <c r="AB125" i="58" s="1"/>
  <c r="AA129" i="65"/>
  <c r="AA169" i="65" s="1"/>
  <c r="AA184" i="65" s="1"/>
  <c r="AB113" i="58"/>
  <c r="AC133" i="58"/>
  <c r="AC145" i="58" s="1"/>
  <c r="AA184" i="67"/>
  <c r="AA176" i="67"/>
  <c r="AA129" i="66"/>
  <c r="AA169" i="66" s="1"/>
  <c r="AA175" i="66" s="1"/>
  <c r="AB129" i="67"/>
  <c r="AB169" i="67" s="1"/>
  <c r="CE151" i="2" s="1"/>
  <c r="BY151" i="2" s="1"/>
  <c r="J161" i="78" s="1"/>
  <c r="V161" i="78" s="1"/>
  <c r="V166" i="78" s="1"/>
  <c r="AF157" i="45"/>
  <c r="AE55" i="64"/>
  <c r="AE69" i="64" s="1"/>
  <c r="AE76" i="64" s="1"/>
  <c r="AC150" i="67"/>
  <c r="AC162" i="67" s="1"/>
  <c r="AC157" i="67"/>
  <c r="AC152" i="67"/>
  <c r="AC159" i="67" s="1"/>
  <c r="AD132" i="58"/>
  <c r="AD135" i="58" s="1"/>
  <c r="AD142" i="58" s="1"/>
  <c r="AD132" i="65"/>
  <c r="AC116" i="67"/>
  <c r="AC128" i="67" s="1"/>
  <c r="AC123" i="67"/>
  <c r="AC127" i="67" s="1"/>
  <c r="AC125" i="67"/>
  <c r="AC149" i="64"/>
  <c r="AC150" i="64" s="1"/>
  <c r="AC162" i="64" s="1"/>
  <c r="AC149" i="66"/>
  <c r="AC116" i="65"/>
  <c r="AC128" i="65" s="1"/>
  <c r="AC123" i="65"/>
  <c r="AC127" i="65" s="1"/>
  <c r="AC118" i="65"/>
  <c r="AC125" i="65" s="1"/>
  <c r="Z184" i="66"/>
  <c r="Z175" i="66"/>
  <c r="AD132" i="61"/>
  <c r="AD135" i="61" s="1"/>
  <c r="AD142" i="61" s="1"/>
  <c r="AD132" i="63"/>
  <c r="AB150" i="66"/>
  <c r="AB162" i="66" s="1"/>
  <c r="AB157" i="66"/>
  <c r="AB147" i="66"/>
  <c r="AB152" i="66"/>
  <c r="AB159" i="66" s="1"/>
  <c r="AA112" i="66"/>
  <c r="AA167" i="66" s="1"/>
  <c r="AA176" i="66" s="1"/>
  <c r="AC133" i="65"/>
  <c r="AC145" i="65" s="1"/>
  <c r="AC140" i="65"/>
  <c r="AC135" i="65"/>
  <c r="AC142" i="65" s="1"/>
  <c r="AC140" i="63"/>
  <c r="AC133" i="63"/>
  <c r="AC145" i="63" s="1"/>
  <c r="AC135" i="63"/>
  <c r="AC142" i="63" s="1"/>
  <c r="AB116" i="65"/>
  <c r="AB128" i="65" s="1"/>
  <c r="AB118" i="65"/>
  <c r="AB125" i="65" s="1"/>
  <c r="AB123" i="65"/>
  <c r="AB127" i="65" s="1"/>
  <c r="AB113" i="65"/>
  <c r="AC115" i="64"/>
  <c r="AC123" i="64" s="1"/>
  <c r="AC127" i="64" s="1"/>
  <c r="AC115" i="66"/>
  <c r="AC118" i="66" s="1"/>
  <c r="AB116" i="66"/>
  <c r="AB128" i="66" s="1"/>
  <c r="AB113" i="66"/>
  <c r="AB125" i="66"/>
  <c r="AB123" i="66"/>
  <c r="AB127" i="66" s="1"/>
  <c r="AC133" i="64"/>
  <c r="AC145" i="64" s="1"/>
  <c r="AC140" i="64"/>
  <c r="AC135" i="64"/>
  <c r="AC142" i="64" s="1"/>
  <c r="AC133" i="66"/>
  <c r="AC145" i="66" s="1"/>
  <c r="AC135" i="66"/>
  <c r="AC142" i="66" s="1"/>
  <c r="AC140" i="66"/>
  <c r="AC149" i="58"/>
  <c r="AC152" i="58" s="1"/>
  <c r="AC159" i="58" s="1"/>
  <c r="AC149" i="65"/>
  <c r="Z184" i="65"/>
  <c r="Z175" i="65"/>
  <c r="AD132" i="55"/>
  <c r="AD135" i="55" s="1"/>
  <c r="AD142" i="55" s="1"/>
  <c r="AD132" i="66"/>
  <c r="AD132" i="64"/>
  <c r="AB129" i="63"/>
  <c r="AB169" i="63" s="1"/>
  <c r="AB150" i="65"/>
  <c r="AB162" i="65" s="1"/>
  <c r="AB157" i="65"/>
  <c r="AB147" i="65"/>
  <c r="AB152" i="65"/>
  <c r="AB159" i="65" s="1"/>
  <c r="Z176" i="65"/>
  <c r="Z185" i="65"/>
  <c r="AA176" i="63"/>
  <c r="AA185" i="63"/>
  <c r="Z176" i="64"/>
  <c r="Z185" i="64"/>
  <c r="AB99" i="64"/>
  <c r="AB111" i="64" s="1"/>
  <c r="AB106" i="64"/>
  <c r="AB110" i="64" s="1"/>
  <c r="AB101" i="64"/>
  <c r="AB108" i="64" s="1"/>
  <c r="AB96" i="64"/>
  <c r="AB99" i="66"/>
  <c r="AB111" i="66" s="1"/>
  <c r="AB101" i="66"/>
  <c r="AB108" i="66" s="1"/>
  <c r="AB96" i="66"/>
  <c r="AB106" i="66"/>
  <c r="AB110" i="66" s="1"/>
  <c r="AC106" i="63"/>
  <c r="AC110" i="63" s="1"/>
  <c r="AC99" i="63"/>
  <c r="AC111" i="63" s="1"/>
  <c r="AC101" i="63"/>
  <c r="AC108" i="63" s="1"/>
  <c r="AC98" i="66"/>
  <c r="AC98" i="64"/>
  <c r="AC99" i="67"/>
  <c r="AC111" i="67" s="1"/>
  <c r="AC101" i="67"/>
  <c r="AC108" i="67" s="1"/>
  <c r="AC106" i="67"/>
  <c r="AC110" i="67" s="1"/>
  <c r="AB112" i="67"/>
  <c r="AB167" i="67" s="1"/>
  <c r="CC151" i="2" s="1"/>
  <c r="BW151" i="2" s="1"/>
  <c r="H161" i="78" s="1"/>
  <c r="T161" i="78" s="1"/>
  <c r="T166" i="78" s="1"/>
  <c r="AA112" i="65"/>
  <c r="AA167" i="65" s="1"/>
  <c r="AC98" i="58"/>
  <c r="AC101" i="58" s="1"/>
  <c r="AC108" i="58" s="1"/>
  <c r="AC98" i="65"/>
  <c r="AB99" i="65"/>
  <c r="AB111" i="65" s="1"/>
  <c r="AB106" i="65"/>
  <c r="AB110" i="65" s="1"/>
  <c r="AB96" i="65"/>
  <c r="AB101" i="65"/>
  <c r="AB108" i="65" s="1"/>
  <c r="AB112" i="63"/>
  <c r="AB167" i="63" s="1"/>
  <c r="CC41" i="2" s="1"/>
  <c r="BW41" i="2" s="1"/>
  <c r="H41" i="78" s="1"/>
  <c r="T41" i="78" s="1"/>
  <c r="T46" i="78" s="1"/>
  <c r="AA112" i="64"/>
  <c r="AA167" i="64" s="1"/>
  <c r="S24" i="75" s="1"/>
  <c r="AD133" i="51"/>
  <c r="AD135" i="51"/>
  <c r="AC150" i="51"/>
  <c r="AC162" i="51" s="1"/>
  <c r="AC152" i="51"/>
  <c r="AC159" i="51" s="1"/>
  <c r="AA184" i="63"/>
  <c r="AA175" i="63"/>
  <c r="AB150" i="63"/>
  <c r="AB162" i="63" s="1"/>
  <c r="AB157" i="63"/>
  <c r="AB147" i="63"/>
  <c r="AB152" i="63"/>
  <c r="AB159" i="63" s="1"/>
  <c r="AB150" i="61"/>
  <c r="AB162" i="61" s="1"/>
  <c r="AB152" i="61"/>
  <c r="AB159" i="61" s="1"/>
  <c r="AB147" i="61"/>
  <c r="AB157" i="61"/>
  <c r="AC116" i="63"/>
  <c r="AC128" i="63" s="1"/>
  <c r="AC125" i="63"/>
  <c r="AC123" i="63"/>
  <c r="AC127" i="63" s="1"/>
  <c r="AC150" i="63"/>
  <c r="AC162" i="63" s="1"/>
  <c r="AC152" i="63"/>
  <c r="AC159" i="63" s="1"/>
  <c r="AC157" i="63"/>
  <c r="AB175" i="62"/>
  <c r="AA185" i="62"/>
  <c r="AD171" i="62"/>
  <c r="AD174" i="62"/>
  <c r="AD180" i="62" s="1"/>
  <c r="AD48" i="61"/>
  <c r="AD50" i="61" s="1"/>
  <c r="AD153" i="61" s="1"/>
  <c r="AD160" i="61" s="1"/>
  <c r="Z176" i="61"/>
  <c r="AE53" i="61"/>
  <c r="AE72" i="45"/>
  <c r="AE77" i="45"/>
  <c r="AE70" i="45"/>
  <c r="AE75" i="45"/>
  <c r="AE73" i="45"/>
  <c r="AE78" i="45"/>
  <c r="AE71" i="45"/>
  <c r="AE76" i="45"/>
  <c r="AE74" i="45"/>
  <c r="AE53" i="62"/>
  <c r="AC140" i="57"/>
  <c r="AC142" i="57"/>
  <c r="AC133" i="57"/>
  <c r="AC145" i="57" s="1"/>
  <c r="AC133" i="62"/>
  <c r="AC145" i="62" s="1"/>
  <c r="AC140" i="62"/>
  <c r="AC135" i="62"/>
  <c r="AC142" i="62" s="1"/>
  <c r="AC99" i="62"/>
  <c r="AC111" i="62" s="1"/>
  <c r="AC106" i="62"/>
  <c r="AC110" i="62" s="1"/>
  <c r="AC101" i="62"/>
  <c r="AC108" i="62" s="1"/>
  <c r="AB112" i="62"/>
  <c r="AB167" i="62" s="1"/>
  <c r="CC30" i="2" s="1"/>
  <c r="BW30" i="2" s="1"/>
  <c r="H29" i="78" s="1"/>
  <c r="T29" i="78" s="1"/>
  <c r="T34" i="78" s="1"/>
  <c r="AD132" i="62"/>
  <c r="AD132" i="57"/>
  <c r="AD135" i="57" s="1"/>
  <c r="AE52" i="61"/>
  <c r="AE60" i="45"/>
  <c r="AE66" i="45"/>
  <c r="AE61" i="45"/>
  <c r="AE67" i="45"/>
  <c r="AE59" i="45"/>
  <c r="AE65" i="45"/>
  <c r="AE62" i="45"/>
  <c r="AE63" i="45"/>
  <c r="AE64" i="45"/>
  <c r="AE48" i="45"/>
  <c r="AE51" i="45"/>
  <c r="AE132" i="45" s="1"/>
  <c r="AE54" i="45"/>
  <c r="AE49" i="45"/>
  <c r="AE130" i="45" s="1"/>
  <c r="AE52" i="45"/>
  <c r="AE133" i="45" s="1"/>
  <c r="AE55" i="45"/>
  <c r="AE50" i="45"/>
  <c r="AE131" i="45" s="1"/>
  <c r="AE53" i="45"/>
  <c r="AE56" i="45"/>
  <c r="AE137" i="45" s="1"/>
  <c r="AE52" i="62"/>
  <c r="AC116" i="62"/>
  <c r="AC128" i="62" s="1"/>
  <c r="AC123" i="62"/>
  <c r="AC127" i="62" s="1"/>
  <c r="AC125" i="62"/>
  <c r="Z175" i="61"/>
  <c r="AA184" i="62"/>
  <c r="AA175" i="62"/>
  <c r="AC150" i="62"/>
  <c r="AC162" i="62" s="1"/>
  <c r="AC152" i="62"/>
  <c r="AC159" i="62" s="1"/>
  <c r="AC157" i="62"/>
  <c r="AA112" i="61"/>
  <c r="AA167" i="61" s="1"/>
  <c r="AC115" i="61"/>
  <c r="AC118" i="61" s="1"/>
  <c r="AB116" i="61"/>
  <c r="AB128" i="61" s="1"/>
  <c r="AB123" i="61"/>
  <c r="AB127" i="61" s="1"/>
  <c r="AB113" i="61"/>
  <c r="AC153" i="61"/>
  <c r="AC160" i="61" s="1"/>
  <c r="AC119" i="61"/>
  <c r="AC126" i="61" s="1"/>
  <c r="AE42" i="61"/>
  <c r="AE68" i="61" s="1"/>
  <c r="AE75" i="61" s="1"/>
  <c r="AE78" i="61" s="1"/>
  <c r="AE165" i="61" s="1"/>
  <c r="AE42" i="38"/>
  <c r="AA129" i="61"/>
  <c r="AA169" i="61" s="1"/>
  <c r="AE45" i="61"/>
  <c r="AE45" i="38"/>
  <c r="AC98" i="61"/>
  <c r="AD183" i="61"/>
  <c r="AD189" i="61" s="1"/>
  <c r="AD174" i="61"/>
  <c r="AD180" i="61" s="1"/>
  <c r="AD171" i="61"/>
  <c r="AE51" i="61"/>
  <c r="AE136" i="61" s="1"/>
  <c r="AE143" i="61" s="1"/>
  <c r="AE51" i="38"/>
  <c r="AE43" i="61"/>
  <c r="AE85" i="61" s="1"/>
  <c r="AE92" i="61" s="1"/>
  <c r="AE95" i="61" s="1"/>
  <c r="AE166" i="61" s="1"/>
  <c r="AE43" i="38"/>
  <c r="AB99" i="61"/>
  <c r="AB111" i="61" s="1"/>
  <c r="AB106" i="61"/>
  <c r="AB110" i="61" s="1"/>
  <c r="AB96" i="61"/>
  <c r="AB101" i="61"/>
  <c r="AB108" i="61" s="1"/>
  <c r="AE49" i="61"/>
  <c r="AE49" i="38"/>
  <c r="AF44" i="61"/>
  <c r="AF102" i="61" s="1"/>
  <c r="AF109" i="61" s="1"/>
  <c r="AF44" i="38"/>
  <c r="AE46" i="61"/>
  <c r="AE46" i="38"/>
  <c r="AA185" i="53"/>
  <c r="Z185" i="57"/>
  <c r="X48" i="38"/>
  <c r="X50" i="38" s="1"/>
  <c r="AC174" i="51"/>
  <c r="AC180" i="51" s="1"/>
  <c r="AD75" i="55"/>
  <c r="AD78" i="55" s="1"/>
  <c r="AD165" i="55" s="1"/>
  <c r="AD183" i="55" s="1"/>
  <c r="AD189" i="55" s="1"/>
  <c r="AC171" i="51"/>
  <c r="Z184" i="55"/>
  <c r="Y48" i="38"/>
  <c r="AD75" i="52"/>
  <c r="AD78" i="52" s="1"/>
  <c r="AD165" i="52" s="1"/>
  <c r="AD171" i="52" s="1"/>
  <c r="AD132" i="38"/>
  <c r="AD135" i="38" s="1"/>
  <c r="AB112" i="51"/>
  <c r="AB167" i="51" s="1"/>
  <c r="AD75" i="51"/>
  <c r="AD78" i="51" s="1"/>
  <c r="AD165" i="51" s="1"/>
  <c r="AD174" i="51" s="1"/>
  <c r="AD180" i="51" s="1"/>
  <c r="AD75" i="57"/>
  <c r="AD78" i="57" s="1"/>
  <c r="AD165" i="57" s="1"/>
  <c r="AD171" i="57" s="1"/>
  <c r="AD75" i="58"/>
  <c r="AD78" i="58" s="1"/>
  <c r="AD165" i="58" s="1"/>
  <c r="AD183" i="58" s="1"/>
  <c r="AD189" i="58" s="1"/>
  <c r="AA176" i="52"/>
  <c r="AC119" i="55"/>
  <c r="AC126" i="55" s="1"/>
  <c r="AC153" i="55"/>
  <c r="AC160" i="55" s="1"/>
  <c r="AC119" i="57"/>
  <c r="AC126" i="57" s="1"/>
  <c r="AC153" i="57"/>
  <c r="AC160" i="57" s="1"/>
  <c r="AC119" i="52"/>
  <c r="AC126" i="52" s="1"/>
  <c r="AC153" i="52"/>
  <c r="AC160" i="52" s="1"/>
  <c r="AC171" i="57"/>
  <c r="AC174" i="57"/>
  <c r="AC180" i="57" s="1"/>
  <c r="AC183" i="57"/>
  <c r="AC189" i="57" s="1"/>
  <c r="AE45" i="58"/>
  <c r="AE45" i="57"/>
  <c r="AE45" i="55"/>
  <c r="AE45" i="53"/>
  <c r="AE45" i="52"/>
  <c r="AE45" i="51"/>
  <c r="AE43" i="58"/>
  <c r="AE85" i="58" s="1"/>
  <c r="AE92" i="58" s="1"/>
  <c r="AE95" i="58" s="1"/>
  <c r="AE166" i="58" s="1"/>
  <c r="AE43" i="57"/>
  <c r="AE85" i="57" s="1"/>
  <c r="AE92" i="57" s="1"/>
  <c r="AE95" i="57" s="1"/>
  <c r="AE166" i="57" s="1"/>
  <c r="AE43" i="55"/>
  <c r="AE85" i="55" s="1"/>
  <c r="AE92" i="55" s="1"/>
  <c r="AE95" i="55" s="1"/>
  <c r="AE166" i="55" s="1"/>
  <c r="AE43" i="53"/>
  <c r="AE85" i="53" s="1"/>
  <c r="AE92" i="53" s="1"/>
  <c r="AE95" i="53" s="1"/>
  <c r="AE166" i="53" s="1"/>
  <c r="AE43" i="52"/>
  <c r="AE85" i="52" s="1"/>
  <c r="AE92" i="52" s="1"/>
  <c r="AE95" i="52" s="1"/>
  <c r="AE166" i="52" s="1"/>
  <c r="AE43" i="51"/>
  <c r="AE85" i="51" s="1"/>
  <c r="AE92" i="51" s="1"/>
  <c r="AE95" i="51" s="1"/>
  <c r="AE166" i="51" s="1"/>
  <c r="AC174" i="55"/>
  <c r="AC180" i="55" s="1"/>
  <c r="AC183" i="55"/>
  <c r="AC189" i="55" s="1"/>
  <c r="AC171" i="55"/>
  <c r="AE41" i="58"/>
  <c r="AE67" i="58" s="1"/>
  <c r="AE41" i="57"/>
  <c r="AE67" i="57" s="1"/>
  <c r="AE41" i="53"/>
  <c r="AE67" i="53" s="1"/>
  <c r="AE41" i="55"/>
  <c r="AE67" i="55" s="1"/>
  <c r="AE41" i="52"/>
  <c r="AE67" i="52" s="1"/>
  <c r="AE41" i="51"/>
  <c r="AE67" i="51" s="1"/>
  <c r="AC153" i="51"/>
  <c r="AC160" i="51" s="1"/>
  <c r="AC119" i="51"/>
  <c r="AC126" i="51" s="1"/>
  <c r="AE46" i="58"/>
  <c r="AE46" i="57"/>
  <c r="AE46" i="53"/>
  <c r="AE46" i="55"/>
  <c r="AE46" i="52"/>
  <c r="AE46" i="51"/>
  <c r="AC183" i="53"/>
  <c r="AC189" i="53" s="1"/>
  <c r="AC171" i="53"/>
  <c r="AC174" i="53"/>
  <c r="AC180" i="53" s="1"/>
  <c r="AE52" i="58"/>
  <c r="AE52" i="55"/>
  <c r="AE52" i="57"/>
  <c r="AE52" i="53"/>
  <c r="AE52" i="52"/>
  <c r="AE52" i="51"/>
  <c r="AC153" i="58"/>
  <c r="AC160" i="58" s="1"/>
  <c r="AC119" i="58"/>
  <c r="AC126" i="58" s="1"/>
  <c r="AC153" i="53"/>
  <c r="AC160" i="53" s="1"/>
  <c r="AC119" i="53"/>
  <c r="AC126" i="53" s="1"/>
  <c r="AE42" i="57"/>
  <c r="AE68" i="57" s="1"/>
  <c r="AE42" i="58"/>
  <c r="AE68" i="58" s="1"/>
  <c r="AE42" i="55"/>
  <c r="AE68" i="55" s="1"/>
  <c r="AE42" i="53"/>
  <c r="AE68" i="53" s="1"/>
  <c r="AE42" i="52"/>
  <c r="AE68" i="52" s="1"/>
  <c r="AE42" i="51"/>
  <c r="AE68" i="51" s="1"/>
  <c r="AB129" i="52"/>
  <c r="AB169" i="52" s="1"/>
  <c r="CE85" i="2" s="1"/>
  <c r="BY85" i="2" s="1"/>
  <c r="J89" i="78" s="1"/>
  <c r="V89" i="78" s="1"/>
  <c r="V94" i="78" s="1"/>
  <c r="AD75" i="53"/>
  <c r="AD78" i="53" s="1"/>
  <c r="AD165" i="53" s="1"/>
  <c r="AC174" i="52"/>
  <c r="AC180" i="52" s="1"/>
  <c r="AC183" i="52"/>
  <c r="AC189" i="52" s="1"/>
  <c r="AC171" i="52"/>
  <c r="AE53" i="58"/>
  <c r="AE53" i="55"/>
  <c r="AE53" i="57"/>
  <c r="AE53" i="53"/>
  <c r="AE53" i="52"/>
  <c r="AE53" i="51"/>
  <c r="AE51" i="57"/>
  <c r="AE136" i="57" s="1"/>
  <c r="AE143" i="57" s="1"/>
  <c r="AE51" i="58"/>
  <c r="AE136" i="58" s="1"/>
  <c r="AE143" i="58" s="1"/>
  <c r="AE51" i="53"/>
  <c r="AE136" i="53" s="1"/>
  <c r="AE143" i="53" s="1"/>
  <c r="AE51" i="55"/>
  <c r="AE136" i="55" s="1"/>
  <c r="AE143" i="55" s="1"/>
  <c r="AE51" i="52"/>
  <c r="AE136" i="52" s="1"/>
  <c r="AE143" i="52" s="1"/>
  <c r="AE51" i="51"/>
  <c r="AE136" i="51" s="1"/>
  <c r="AE143" i="51" s="1"/>
  <c r="AF44" i="58"/>
  <c r="AF102" i="58" s="1"/>
  <c r="AF109" i="58" s="1"/>
  <c r="AF44" i="57"/>
  <c r="AF102" i="57" s="1"/>
  <c r="AF109" i="57" s="1"/>
  <c r="AF44" i="55"/>
  <c r="AF102" i="55" s="1"/>
  <c r="AF109" i="55" s="1"/>
  <c r="AF44" i="53"/>
  <c r="AF102" i="53" s="1"/>
  <c r="AF109" i="53" s="1"/>
  <c r="AF44" i="52"/>
  <c r="AF102" i="52" s="1"/>
  <c r="AF109" i="52" s="1"/>
  <c r="AF44" i="51"/>
  <c r="AF102" i="51" s="1"/>
  <c r="AF109" i="51" s="1"/>
  <c r="AC171" i="58"/>
  <c r="AC183" i="58"/>
  <c r="AC189" i="58" s="1"/>
  <c r="AC174" i="58"/>
  <c r="AC180" i="58" s="1"/>
  <c r="AC99" i="53"/>
  <c r="AC111" i="53" s="1"/>
  <c r="AC101" i="53"/>
  <c r="AC108" i="53" s="1"/>
  <c r="AC106" i="53"/>
  <c r="AC110" i="53" s="1"/>
  <c r="AC98" i="38"/>
  <c r="AC98" i="55"/>
  <c r="AC149" i="38"/>
  <c r="AC152" i="38" s="1"/>
  <c r="AC149" i="55"/>
  <c r="AC152" i="55" s="1"/>
  <c r="AC116" i="52"/>
  <c r="AC128" i="52" s="1"/>
  <c r="AC118" i="52"/>
  <c r="AC125" i="52" s="1"/>
  <c r="AC123" i="52"/>
  <c r="AC127" i="52" s="1"/>
  <c r="AC99" i="52"/>
  <c r="AC111" i="52" s="1"/>
  <c r="AC106" i="52"/>
  <c r="AC110" i="52" s="1"/>
  <c r="AC101" i="52"/>
  <c r="AC108" i="52" s="1"/>
  <c r="AC115" i="57"/>
  <c r="AB129" i="53"/>
  <c r="AB169" i="53" s="1"/>
  <c r="CE74" i="2" s="1"/>
  <c r="BY74" i="2" s="1"/>
  <c r="J77" i="78" s="1"/>
  <c r="V77" i="78" s="1"/>
  <c r="V82" i="78" s="1"/>
  <c r="AD116" i="53"/>
  <c r="AD128" i="53" s="1"/>
  <c r="AD118" i="53"/>
  <c r="AD125" i="53" s="1"/>
  <c r="AD123" i="53"/>
  <c r="AD127" i="53" s="1"/>
  <c r="AB112" i="52"/>
  <c r="AB167" i="52" s="1"/>
  <c r="CC85" i="2" s="1"/>
  <c r="BW85" i="2" s="1"/>
  <c r="H89" i="78" s="1"/>
  <c r="T89" i="78" s="1"/>
  <c r="T94" i="78" s="1"/>
  <c r="AB99" i="55"/>
  <c r="AB111" i="55" s="1"/>
  <c r="AB96" i="55"/>
  <c r="AB101" i="55"/>
  <c r="AB108" i="55" s="1"/>
  <c r="AB106" i="55"/>
  <c r="AB110" i="55" s="1"/>
  <c r="AA112" i="57"/>
  <c r="AA167" i="57" s="1"/>
  <c r="Z184" i="57"/>
  <c r="Z175" i="57"/>
  <c r="AA129" i="55"/>
  <c r="AA169" i="55" s="1"/>
  <c r="AB150" i="55"/>
  <c r="AB162" i="55" s="1"/>
  <c r="AB147" i="55"/>
  <c r="AB157" i="55"/>
  <c r="AB159" i="55"/>
  <c r="AA185" i="51"/>
  <c r="AA176" i="51"/>
  <c r="AA129" i="57"/>
  <c r="AA169" i="57" s="1"/>
  <c r="AC150" i="52"/>
  <c r="AC162" i="52" s="1"/>
  <c r="AC157" i="52"/>
  <c r="AC159" i="52"/>
  <c r="AC149" i="57"/>
  <c r="AC152" i="57" s="1"/>
  <c r="AB129" i="57"/>
  <c r="AB169" i="57" s="1"/>
  <c r="AC116" i="51"/>
  <c r="AC128" i="51" s="1"/>
  <c r="AC123" i="51"/>
  <c r="AC127" i="51" s="1"/>
  <c r="AC118" i="51"/>
  <c r="AC125" i="51" s="1"/>
  <c r="AA175" i="51"/>
  <c r="AA184" i="51"/>
  <c r="AB99" i="57"/>
  <c r="AB111" i="57" s="1"/>
  <c r="AB96" i="57"/>
  <c r="AB101" i="57"/>
  <c r="AB108" i="57" s="1"/>
  <c r="AB106" i="57"/>
  <c r="AB110" i="57" s="1"/>
  <c r="AC116" i="53"/>
  <c r="AC128" i="53" s="1"/>
  <c r="AC123" i="53"/>
  <c r="AC127" i="53" s="1"/>
  <c r="AC118" i="53"/>
  <c r="AC125" i="53" s="1"/>
  <c r="AB116" i="55"/>
  <c r="AB128" i="55" s="1"/>
  <c r="AB113" i="55"/>
  <c r="AB118" i="55"/>
  <c r="AB125" i="55" s="1"/>
  <c r="AB123" i="55"/>
  <c r="AB127" i="55" s="1"/>
  <c r="AB129" i="51"/>
  <c r="AB169" i="51" s="1"/>
  <c r="CE63" i="2" s="1"/>
  <c r="BY63" i="2" s="1"/>
  <c r="J65" i="78" s="1"/>
  <c r="V65" i="78" s="1"/>
  <c r="V70" i="78" s="1"/>
  <c r="AB112" i="53"/>
  <c r="AB167" i="53" s="1"/>
  <c r="CC74" i="2" s="1"/>
  <c r="BW74" i="2" s="1"/>
  <c r="H77" i="78" s="1"/>
  <c r="T77" i="78" s="1"/>
  <c r="T82" i="78" s="1"/>
  <c r="AC115" i="38"/>
  <c r="AC118" i="38" s="1"/>
  <c r="AC115" i="55"/>
  <c r="Z185" i="55"/>
  <c r="Z176" i="55"/>
  <c r="AC150" i="53"/>
  <c r="AC162" i="53" s="1"/>
  <c r="AC159" i="53"/>
  <c r="AC157" i="53"/>
  <c r="AC99" i="51"/>
  <c r="AC111" i="51" s="1"/>
  <c r="AC106" i="51"/>
  <c r="AC110" i="51" s="1"/>
  <c r="AC101" i="51"/>
  <c r="AC108" i="51" s="1"/>
  <c r="AC98" i="57"/>
  <c r="AA112" i="55"/>
  <c r="AA167" i="55" s="1"/>
  <c r="AB150" i="57"/>
  <c r="AB162" i="57" s="1"/>
  <c r="AB157" i="57"/>
  <c r="AB147" i="57"/>
  <c r="AB159" i="57"/>
  <c r="AA184" i="53"/>
  <c r="AA175" i="53"/>
  <c r="AC140" i="51"/>
  <c r="AC157" i="51"/>
  <c r="AF156" i="45"/>
  <c r="AF55" i="63" s="1"/>
  <c r="AF69" i="63" s="1"/>
  <c r="AF76" i="63" s="1"/>
  <c r="AF155" i="45"/>
  <c r="AF55" i="62" s="1"/>
  <c r="AF69" i="62" s="1"/>
  <c r="AF76" i="62" s="1"/>
  <c r="AD147" i="45"/>
  <c r="AD149" i="53" s="1"/>
  <c r="AD152" i="53" s="1"/>
  <c r="AD148" i="45"/>
  <c r="AD149" i="52" s="1"/>
  <c r="AD152" i="52" s="1"/>
  <c r="AD150" i="45"/>
  <c r="AD146" i="45"/>
  <c r="AD149" i="62" s="1"/>
  <c r="AD149" i="45"/>
  <c r="AD149" i="67" s="1"/>
  <c r="AD144" i="45"/>
  <c r="AD143" i="45"/>
  <c r="AD142" i="45"/>
  <c r="AD149" i="51" s="1"/>
  <c r="AD145" i="45"/>
  <c r="AF154" i="45"/>
  <c r="AE55" i="38"/>
  <c r="AD120" i="45"/>
  <c r="AD121" i="45"/>
  <c r="AD115" i="62" s="1"/>
  <c r="AD118" i="62" s="1"/>
  <c r="AD124" i="45"/>
  <c r="AD115" i="67" s="1"/>
  <c r="AD118" i="67" s="1"/>
  <c r="AD119" i="45"/>
  <c r="AD118" i="45"/>
  <c r="AD115" i="63" s="1"/>
  <c r="AD118" i="63" s="1"/>
  <c r="AD123" i="45"/>
  <c r="AD115" i="52" s="1"/>
  <c r="AD125" i="45"/>
  <c r="AD117" i="45"/>
  <c r="AD115" i="51" s="1"/>
  <c r="AE116" i="45"/>
  <c r="AE120" i="45" s="1"/>
  <c r="AE140" i="45"/>
  <c r="AF40" i="45"/>
  <c r="AF38" i="45"/>
  <c r="AF39" i="45"/>
  <c r="AF27" i="45"/>
  <c r="AF28" i="45"/>
  <c r="AF29" i="45"/>
  <c r="AE103" i="45"/>
  <c r="AE104" i="45"/>
  <c r="AD113" i="45"/>
  <c r="AD112" i="45"/>
  <c r="AD98" i="67" s="1"/>
  <c r="AD106" i="45"/>
  <c r="AD98" i="63" s="1"/>
  <c r="AD111" i="45"/>
  <c r="AD98" i="52" s="1"/>
  <c r="AD105" i="45"/>
  <c r="AD98" i="51" s="1"/>
  <c r="AD109" i="45"/>
  <c r="AD98" i="62" s="1"/>
  <c r="AD107" i="45"/>
  <c r="AD110" i="45"/>
  <c r="AD98" i="53" s="1"/>
  <c r="AD108" i="45"/>
  <c r="AF20" i="45"/>
  <c r="AE53" i="38"/>
  <c r="AF23" i="45"/>
  <c r="AF14" i="45"/>
  <c r="AF41" i="38"/>
  <c r="AF5" i="45"/>
  <c r="AF4" i="45"/>
  <c r="AG6" i="45"/>
  <c r="E7" i="74" s="1"/>
  <c r="AF21" i="45"/>
  <c r="E15" i="74"/>
  <c r="L15" i="74" s="1"/>
  <c r="AF19" i="45"/>
  <c r="AE52" i="38"/>
  <c r="AF12" i="45"/>
  <c r="S179" i="51" l="1"/>
  <c r="S83" i="77"/>
  <c r="S85" i="77" s="1"/>
  <c r="S86" i="77" s="1"/>
  <c r="T83" i="77"/>
  <c r="T85" i="77" s="1"/>
  <c r="T86" i="77" s="1"/>
  <c r="V83" i="77"/>
  <c r="V85" i="77" s="1"/>
  <c r="V86" i="77" s="1"/>
  <c r="U83" i="77"/>
  <c r="U85" i="77" s="1"/>
  <c r="U86" i="77" s="1"/>
  <c r="R178" i="63"/>
  <c r="BF41" i="2"/>
  <c r="AZ41" i="2" s="1"/>
  <c r="K41" i="77" s="1"/>
  <c r="W41" i="77" s="1"/>
  <c r="W46" i="77" s="1"/>
  <c r="R188" i="65"/>
  <c r="BF118" i="2"/>
  <c r="AZ118" i="2" s="1"/>
  <c r="K125" i="77" s="1"/>
  <c r="W125" i="77" s="1"/>
  <c r="W130" i="77" s="1"/>
  <c r="R194" i="61"/>
  <c r="BF8" i="2"/>
  <c r="AZ8" i="2" s="1"/>
  <c r="K5" i="77" s="1"/>
  <c r="W5" i="77" s="1"/>
  <c r="W10" i="77" s="1"/>
  <c r="R194" i="57"/>
  <c r="BF96" i="2"/>
  <c r="AZ96" i="2" s="1"/>
  <c r="K101" i="77" s="1"/>
  <c r="W101" i="77" s="1"/>
  <c r="W106" i="77" s="1"/>
  <c r="W167" i="77"/>
  <c r="W169" i="77" s="1"/>
  <c r="W170" i="77" s="1"/>
  <c r="U167" i="77"/>
  <c r="U169" i="77" s="1"/>
  <c r="U170" i="77" s="1"/>
  <c r="S167" i="77"/>
  <c r="S169" i="77" s="1"/>
  <c r="S170" i="77" s="1"/>
  <c r="R167" i="77"/>
  <c r="R169" i="77" s="1"/>
  <c r="R170" i="77" s="1"/>
  <c r="T167" i="77"/>
  <c r="T169" i="77" s="1"/>
  <c r="T170" i="77" s="1"/>
  <c r="V167" i="77"/>
  <c r="V169" i="77" s="1"/>
  <c r="V170" i="77" s="1"/>
  <c r="R83" i="77"/>
  <c r="R85" i="77" s="1"/>
  <c r="R86" i="77" s="1"/>
  <c r="R188" i="55"/>
  <c r="BF129" i="2"/>
  <c r="AZ129" i="2" s="1"/>
  <c r="K137" i="77" s="1"/>
  <c r="W137" i="77" s="1"/>
  <c r="W142" i="77" s="1"/>
  <c r="W95" i="77"/>
  <c r="W97" i="77" s="1"/>
  <c r="W98" i="77" s="1"/>
  <c r="S95" i="77"/>
  <c r="S97" i="77" s="1"/>
  <c r="S98" i="77" s="1"/>
  <c r="R95" i="77"/>
  <c r="R97" i="77" s="1"/>
  <c r="R98" i="77" s="1"/>
  <c r="U95" i="77"/>
  <c r="U97" i="77" s="1"/>
  <c r="U98" i="77" s="1"/>
  <c r="T95" i="77"/>
  <c r="T97" i="77" s="1"/>
  <c r="T98" i="77" s="1"/>
  <c r="V95" i="77"/>
  <c r="V97" i="77" s="1"/>
  <c r="V98" i="77" s="1"/>
  <c r="AB175" i="63"/>
  <c r="CE41" i="2"/>
  <c r="BY41" i="2" s="1"/>
  <c r="J41" i="78" s="1"/>
  <c r="V41" i="78" s="1"/>
  <c r="V46" i="78" s="1"/>
  <c r="R71" i="77"/>
  <c r="R73" i="77" s="1"/>
  <c r="R74" i="77" s="1"/>
  <c r="R188" i="66"/>
  <c r="BF140" i="2"/>
  <c r="AZ140" i="2" s="1"/>
  <c r="K149" i="77" s="1"/>
  <c r="W149" i="77" s="1"/>
  <c r="W154" i="77" s="1"/>
  <c r="T71" i="77"/>
  <c r="T73" i="77" s="1"/>
  <c r="T74" i="77" s="1"/>
  <c r="CE96" i="2"/>
  <c r="U71" i="77"/>
  <c r="U73" i="77" s="1"/>
  <c r="U74" i="77" s="1"/>
  <c r="R188" i="62"/>
  <c r="BF30" i="2"/>
  <c r="AZ30" i="2" s="1"/>
  <c r="K29" i="77" s="1"/>
  <c r="W29" i="77" s="1"/>
  <c r="W34" i="77" s="1"/>
  <c r="R188" i="64"/>
  <c r="BF52" i="2"/>
  <c r="AZ52" i="2" s="1"/>
  <c r="K53" i="77" s="1"/>
  <c r="W53" i="77" s="1"/>
  <c r="W58" i="77" s="1"/>
  <c r="S71" i="77"/>
  <c r="S73" i="77" s="1"/>
  <c r="S74" i="77" s="1"/>
  <c r="R194" i="58"/>
  <c r="BF107" i="2"/>
  <c r="AZ107" i="2" s="1"/>
  <c r="K113" i="77" s="1"/>
  <c r="W113" i="77" s="1"/>
  <c r="W118" i="77" s="1"/>
  <c r="V71" i="77"/>
  <c r="V73" i="77" s="1"/>
  <c r="V74" i="77" s="1"/>
  <c r="AB176" i="51"/>
  <c r="CC63" i="2"/>
  <c r="BW63" i="2" s="1"/>
  <c r="H65" i="78" s="1"/>
  <c r="T65" i="78" s="1"/>
  <c r="T70" i="78" s="1"/>
  <c r="AA184" i="64"/>
  <c r="T10" i="75"/>
  <c r="S10" i="75"/>
  <c r="AA185" i="61"/>
  <c r="S8" i="75"/>
  <c r="R186" i="62"/>
  <c r="AA175" i="64"/>
  <c r="R179" i="55"/>
  <c r="S186" i="67"/>
  <c r="R179" i="58"/>
  <c r="R179" i="64"/>
  <c r="R178" i="66"/>
  <c r="S188" i="67"/>
  <c r="R178" i="58"/>
  <c r="R186" i="58"/>
  <c r="R187" i="64"/>
  <c r="S194" i="53"/>
  <c r="S194" i="67"/>
  <c r="S188" i="53"/>
  <c r="S179" i="67"/>
  <c r="S186" i="53"/>
  <c r="R194" i="64"/>
  <c r="T186" i="64"/>
  <c r="T177" i="64"/>
  <c r="T192" i="64"/>
  <c r="R194" i="55"/>
  <c r="R188" i="58"/>
  <c r="R179" i="66"/>
  <c r="R178" i="64"/>
  <c r="R194" i="65"/>
  <c r="R179" i="65"/>
  <c r="R186" i="65"/>
  <c r="S179" i="53"/>
  <c r="R178" i="65"/>
  <c r="R179" i="57"/>
  <c r="S187" i="51"/>
  <c r="R188" i="57"/>
  <c r="R186" i="55"/>
  <c r="R194" i="62"/>
  <c r="S188" i="51"/>
  <c r="R178" i="55"/>
  <c r="R178" i="62"/>
  <c r="R179" i="62"/>
  <c r="S188" i="52"/>
  <c r="S178" i="52"/>
  <c r="S179" i="52"/>
  <c r="S187" i="52"/>
  <c r="R178" i="61"/>
  <c r="T193" i="53"/>
  <c r="AE48" i="57"/>
  <c r="AE50" i="57" s="1"/>
  <c r="T187" i="62"/>
  <c r="T192" i="62"/>
  <c r="R194" i="66"/>
  <c r="AE48" i="62"/>
  <c r="AE50" i="62" s="1"/>
  <c r="AE119" i="62" s="1"/>
  <c r="AE126" i="62" s="1"/>
  <c r="R187" i="61"/>
  <c r="R179" i="61"/>
  <c r="R188" i="61"/>
  <c r="T177" i="62"/>
  <c r="R194" i="63"/>
  <c r="R179" i="63"/>
  <c r="T177" i="53"/>
  <c r="S194" i="51"/>
  <c r="S178" i="51"/>
  <c r="V214" i="45"/>
  <c r="V230" i="45" s="1"/>
  <c r="U58" i="67"/>
  <c r="U137" i="67" s="1"/>
  <c r="U144" i="67" s="1"/>
  <c r="U146" i="67" s="1"/>
  <c r="U168" i="67" s="1"/>
  <c r="U246" i="45"/>
  <c r="U262" i="45" s="1"/>
  <c r="T59" i="67"/>
  <c r="T154" i="67" s="1"/>
  <c r="T161" i="67" s="1"/>
  <c r="T163" i="67" s="1"/>
  <c r="T170" i="67" s="1"/>
  <c r="T186" i="67" s="1"/>
  <c r="T245" i="45"/>
  <c r="T261" i="45" s="1"/>
  <c r="S59" i="66"/>
  <c r="S154" i="66" s="1"/>
  <c r="S161" i="66" s="1"/>
  <c r="S163" i="66" s="1"/>
  <c r="S170" i="66" s="1"/>
  <c r="R186" i="66"/>
  <c r="V213" i="45"/>
  <c r="V229" i="45" s="1"/>
  <c r="U58" i="66"/>
  <c r="U137" i="66" s="1"/>
  <c r="U144" i="66" s="1"/>
  <c r="U146" i="66" s="1"/>
  <c r="U168" i="66" s="1"/>
  <c r="T244" i="45"/>
  <c r="T260" i="45" s="1"/>
  <c r="S59" i="55"/>
  <c r="S154" i="55" s="1"/>
  <c r="S161" i="55" s="1"/>
  <c r="S163" i="55" s="1"/>
  <c r="S170" i="55" s="1"/>
  <c r="S186" i="55" s="1"/>
  <c r="V212" i="45"/>
  <c r="V228" i="45" s="1"/>
  <c r="T243" i="45"/>
  <c r="T259" i="45" s="1"/>
  <c r="S59" i="65"/>
  <c r="S154" i="65" s="1"/>
  <c r="S161" i="65" s="1"/>
  <c r="S163" i="65" s="1"/>
  <c r="S170" i="65" s="1"/>
  <c r="S194" i="65" s="1"/>
  <c r="V211" i="45"/>
  <c r="V227" i="45" s="1"/>
  <c r="T242" i="45"/>
  <c r="T258" i="45" s="1"/>
  <c r="S59" i="58"/>
  <c r="S154" i="58" s="1"/>
  <c r="S161" i="58" s="1"/>
  <c r="S163" i="58" s="1"/>
  <c r="S170" i="58" s="1"/>
  <c r="S178" i="58" s="1"/>
  <c r="V210" i="45"/>
  <c r="V226" i="45" s="1"/>
  <c r="R186" i="57"/>
  <c r="R178" i="57"/>
  <c r="T241" i="45"/>
  <c r="T257" i="45" s="1"/>
  <c r="S59" i="57"/>
  <c r="S154" i="57" s="1"/>
  <c r="S161" i="57" s="1"/>
  <c r="S163" i="57" s="1"/>
  <c r="S170" i="57" s="1"/>
  <c r="S178" i="57" s="1"/>
  <c r="V209" i="45"/>
  <c r="V225" i="45" s="1"/>
  <c r="U58" i="57"/>
  <c r="U137" i="57" s="1"/>
  <c r="U144" i="57" s="1"/>
  <c r="U146" i="57" s="1"/>
  <c r="U168" i="57" s="1"/>
  <c r="T177" i="57"/>
  <c r="T192" i="57"/>
  <c r="T187" i="57"/>
  <c r="T193" i="57"/>
  <c r="V208" i="45"/>
  <c r="V224" i="45" s="1"/>
  <c r="U58" i="52"/>
  <c r="U137" i="52" s="1"/>
  <c r="U144" i="52" s="1"/>
  <c r="U146" i="52" s="1"/>
  <c r="U168" i="52" s="1"/>
  <c r="U240" i="45"/>
  <c r="U256" i="45" s="1"/>
  <c r="T59" i="52"/>
  <c r="T154" i="52" s="1"/>
  <c r="T161" i="52" s="1"/>
  <c r="T163" i="52" s="1"/>
  <c r="T170" i="52" s="1"/>
  <c r="T187" i="52" s="1"/>
  <c r="T187" i="53"/>
  <c r="U57" i="53"/>
  <c r="U137" i="53" s="1"/>
  <c r="U144" i="53" s="1"/>
  <c r="U146" i="53" s="1"/>
  <c r="U168" i="53" s="1"/>
  <c r="U192" i="53" s="1"/>
  <c r="V207" i="45"/>
  <c r="V223" i="45" s="1"/>
  <c r="U239" i="45"/>
  <c r="U255" i="45" s="1"/>
  <c r="T58" i="53"/>
  <c r="T154" i="53" s="1"/>
  <c r="T161" i="53" s="1"/>
  <c r="T163" i="53" s="1"/>
  <c r="T170" i="53" s="1"/>
  <c r="T188" i="53" s="1"/>
  <c r="V206" i="45"/>
  <c r="V222" i="45" s="1"/>
  <c r="U238" i="45"/>
  <c r="U254" i="45" s="1"/>
  <c r="T58" i="51"/>
  <c r="T154" i="51" s="1"/>
  <c r="T161" i="51" s="1"/>
  <c r="T163" i="51" s="1"/>
  <c r="T170" i="51" s="1"/>
  <c r="T188" i="51" s="1"/>
  <c r="T237" i="45"/>
  <c r="T253" i="45" s="1"/>
  <c r="S58" i="64"/>
  <c r="S154" i="64" s="1"/>
  <c r="S161" i="64" s="1"/>
  <c r="S163" i="64" s="1"/>
  <c r="S170" i="64" s="1"/>
  <c r="S179" i="64" s="1"/>
  <c r="V205" i="45"/>
  <c r="V221" i="45" s="1"/>
  <c r="U57" i="64"/>
  <c r="U137" i="64" s="1"/>
  <c r="U144" i="64" s="1"/>
  <c r="U146" i="64" s="1"/>
  <c r="U168" i="64" s="1"/>
  <c r="U177" i="64" s="1"/>
  <c r="R186" i="63"/>
  <c r="T236" i="45"/>
  <c r="T252" i="45" s="1"/>
  <c r="S58" i="63"/>
  <c r="S154" i="63" s="1"/>
  <c r="S161" i="63" s="1"/>
  <c r="S163" i="63" s="1"/>
  <c r="S170" i="63" s="1"/>
  <c r="S179" i="63" s="1"/>
  <c r="R188" i="63"/>
  <c r="T193" i="63"/>
  <c r="T187" i="63"/>
  <c r="T192" i="63"/>
  <c r="T177" i="63"/>
  <c r="V204" i="45"/>
  <c r="V220" i="45" s="1"/>
  <c r="U57" i="63"/>
  <c r="U137" i="63" s="1"/>
  <c r="U144" i="63" s="1"/>
  <c r="U146" i="63" s="1"/>
  <c r="U168" i="63" s="1"/>
  <c r="T235" i="45"/>
  <c r="T251" i="45" s="1"/>
  <c r="S58" i="62"/>
  <c r="S154" i="62" s="1"/>
  <c r="S161" i="62" s="1"/>
  <c r="S163" i="62" s="1"/>
  <c r="S170" i="62" s="1"/>
  <c r="S194" i="62" s="1"/>
  <c r="V203" i="45"/>
  <c r="V219" i="45" s="1"/>
  <c r="U57" i="62"/>
  <c r="U137" i="62" s="1"/>
  <c r="U144" i="62" s="1"/>
  <c r="U146" i="62" s="1"/>
  <c r="U168" i="62" s="1"/>
  <c r="U193" i="62" s="1"/>
  <c r="T234" i="45"/>
  <c r="T250" i="45" s="1"/>
  <c r="S58" i="38"/>
  <c r="V202" i="45"/>
  <c r="V218" i="45" s="1"/>
  <c r="U57" i="38"/>
  <c r="T233" i="45"/>
  <c r="T249" i="45" s="1"/>
  <c r="S58" i="61"/>
  <c r="S154" i="61" s="1"/>
  <c r="S161" i="61" s="1"/>
  <c r="S163" i="61" s="1"/>
  <c r="S170" i="61" s="1"/>
  <c r="S179" i="61" s="1"/>
  <c r="V201" i="45"/>
  <c r="V217" i="45" s="1"/>
  <c r="T177" i="67"/>
  <c r="T192" i="67"/>
  <c r="T187" i="67"/>
  <c r="T193" i="67"/>
  <c r="T187" i="66"/>
  <c r="T192" i="66"/>
  <c r="T177" i="66"/>
  <c r="T193" i="66"/>
  <c r="T58" i="58"/>
  <c r="T137" i="58" s="1"/>
  <c r="T144" i="58" s="1"/>
  <c r="T146" i="58" s="1"/>
  <c r="T168" i="58" s="1"/>
  <c r="S177" i="58"/>
  <c r="S187" i="58"/>
  <c r="S193" i="58"/>
  <c r="S192" i="58"/>
  <c r="T58" i="65"/>
  <c r="T137" i="65" s="1"/>
  <c r="T144" i="65" s="1"/>
  <c r="T146" i="65" s="1"/>
  <c r="T168" i="65" s="1"/>
  <c r="S187" i="65"/>
  <c r="S192" i="65"/>
  <c r="S193" i="65"/>
  <c r="S177" i="65"/>
  <c r="T186" i="52"/>
  <c r="T177" i="52"/>
  <c r="T192" i="52"/>
  <c r="T193" i="52"/>
  <c r="T57" i="61"/>
  <c r="T137" i="61" s="1"/>
  <c r="T144" i="61" s="1"/>
  <c r="T146" i="61" s="1"/>
  <c r="T168" i="61" s="1"/>
  <c r="T57" i="51"/>
  <c r="T137" i="51" s="1"/>
  <c r="T144" i="51" s="1"/>
  <c r="T146" i="51" s="1"/>
  <c r="T168" i="51" s="1"/>
  <c r="T192" i="55"/>
  <c r="T193" i="55"/>
  <c r="T177" i="55"/>
  <c r="T187" i="55"/>
  <c r="S192" i="61"/>
  <c r="S193" i="61"/>
  <c r="S186" i="61"/>
  <c r="S177" i="61"/>
  <c r="S186" i="51"/>
  <c r="S177" i="51"/>
  <c r="S192" i="51"/>
  <c r="S193" i="51"/>
  <c r="U58" i="55"/>
  <c r="U137" i="55" s="1"/>
  <c r="U144" i="55" s="1"/>
  <c r="U146" i="55" s="1"/>
  <c r="U168" i="55" s="1"/>
  <c r="AE48" i="64"/>
  <c r="AE50" i="64" s="1"/>
  <c r="AE153" i="64" s="1"/>
  <c r="AE160" i="64" s="1"/>
  <c r="AE48" i="51"/>
  <c r="AE50" i="51" s="1"/>
  <c r="AE48" i="52"/>
  <c r="AE50" i="52" s="1"/>
  <c r="AD183" i="64"/>
  <c r="AD189" i="64" s="1"/>
  <c r="AD174" i="64"/>
  <c r="AD180" i="64" s="1"/>
  <c r="AA175" i="58"/>
  <c r="AE171" i="63"/>
  <c r="AE183" i="63"/>
  <c r="AE189" i="63" s="1"/>
  <c r="AE78" i="64"/>
  <c r="AE165" i="64" s="1"/>
  <c r="AE183" i="64" s="1"/>
  <c r="AE189" i="64" s="1"/>
  <c r="AB129" i="58"/>
  <c r="AB169" i="58" s="1"/>
  <c r="AE183" i="66"/>
  <c r="AE189" i="66" s="1"/>
  <c r="AE171" i="66"/>
  <c r="AE174" i="66"/>
  <c r="AE180" i="66" s="1"/>
  <c r="AA185" i="58"/>
  <c r="AE48" i="53"/>
  <c r="AE50" i="53" s="1"/>
  <c r="AF49" i="67"/>
  <c r="AF49" i="53"/>
  <c r="AF49" i="55"/>
  <c r="AF49" i="57"/>
  <c r="AF49" i="66"/>
  <c r="AF49" i="52"/>
  <c r="AF49" i="51"/>
  <c r="AF49" i="58"/>
  <c r="AF49" i="65"/>
  <c r="AF52" i="66"/>
  <c r="AF52" i="65"/>
  <c r="AF52" i="67"/>
  <c r="AF52" i="63"/>
  <c r="AF52" i="64"/>
  <c r="AE48" i="55"/>
  <c r="AE50" i="55" s="1"/>
  <c r="AE48" i="63"/>
  <c r="AE50" i="63" s="1"/>
  <c r="AE119" i="63" s="1"/>
  <c r="AE126" i="63" s="1"/>
  <c r="AF46" i="62"/>
  <c r="AF46" i="66"/>
  <c r="AF46" i="65"/>
  <c r="AF46" i="67"/>
  <c r="AF46" i="63"/>
  <c r="AF46" i="64"/>
  <c r="AE48" i="58"/>
  <c r="AE50" i="58" s="1"/>
  <c r="AE183" i="65"/>
  <c r="AE189" i="65" s="1"/>
  <c r="AE174" i="65"/>
  <c r="AE180" i="65" s="1"/>
  <c r="AE171" i="65"/>
  <c r="AE174" i="67"/>
  <c r="AE180" i="67" s="1"/>
  <c r="AE183" i="67"/>
  <c r="AE189" i="67" s="1"/>
  <c r="AE171" i="67"/>
  <c r="AG44" i="62"/>
  <c r="AG102" i="62" s="1"/>
  <c r="AG109" i="62" s="1"/>
  <c r="AG44" i="67"/>
  <c r="AG102" i="67" s="1"/>
  <c r="AG109" i="67" s="1"/>
  <c r="AG44" i="66"/>
  <c r="AG102" i="66" s="1"/>
  <c r="AG109" i="66" s="1"/>
  <c r="AG44" i="65"/>
  <c r="AG102" i="65" s="1"/>
  <c r="AG109" i="65" s="1"/>
  <c r="AG44" i="64"/>
  <c r="AG102" i="64" s="1"/>
  <c r="AG109" i="64" s="1"/>
  <c r="AG44" i="63"/>
  <c r="AG102" i="63" s="1"/>
  <c r="AG109" i="63" s="1"/>
  <c r="AE48" i="67"/>
  <c r="AE50" i="67" s="1"/>
  <c r="AF42" i="62"/>
  <c r="AF68" i="62" s="1"/>
  <c r="AF75" i="62" s="1"/>
  <c r="AF78" i="62" s="1"/>
  <c r="AF165" i="62" s="1"/>
  <c r="AF183" i="62" s="1"/>
  <c r="AF189" i="62" s="1"/>
  <c r="AF42" i="67"/>
  <c r="AF68" i="67" s="1"/>
  <c r="AF75" i="67" s="1"/>
  <c r="AF78" i="67" s="1"/>
  <c r="AF165" i="67" s="1"/>
  <c r="AF42" i="65"/>
  <c r="AF68" i="65" s="1"/>
  <c r="AF75" i="65" s="1"/>
  <c r="AF78" i="65" s="1"/>
  <c r="AF165" i="65" s="1"/>
  <c r="AF42" i="66"/>
  <c r="AF68" i="66" s="1"/>
  <c r="AF75" i="66" s="1"/>
  <c r="AF78" i="66" s="1"/>
  <c r="AF165" i="66" s="1"/>
  <c r="AF42" i="64"/>
  <c r="AF68" i="64" s="1"/>
  <c r="AF75" i="64" s="1"/>
  <c r="AF42" i="63"/>
  <c r="AF68" i="63" s="1"/>
  <c r="AF75" i="63" s="1"/>
  <c r="AF78" i="63" s="1"/>
  <c r="AF165" i="63" s="1"/>
  <c r="AF183" i="63" s="1"/>
  <c r="AF189" i="63" s="1"/>
  <c r="AE48" i="66"/>
  <c r="AE50" i="66" s="1"/>
  <c r="AF53" i="67"/>
  <c r="AF53" i="65"/>
  <c r="AF53" i="66"/>
  <c r="AF53" i="64"/>
  <c r="AF53" i="63"/>
  <c r="AF43" i="62"/>
  <c r="AF85" i="62" s="1"/>
  <c r="AF92" i="62" s="1"/>
  <c r="AF95" i="62" s="1"/>
  <c r="AF166" i="62" s="1"/>
  <c r="AF43" i="66"/>
  <c r="AF85" i="66" s="1"/>
  <c r="AF92" i="66" s="1"/>
  <c r="AF95" i="66" s="1"/>
  <c r="AF166" i="66" s="1"/>
  <c r="AF43" i="67"/>
  <c r="AF85" i="67" s="1"/>
  <c r="AF92" i="67" s="1"/>
  <c r="AF95" i="67" s="1"/>
  <c r="AF166" i="67" s="1"/>
  <c r="AF43" i="65"/>
  <c r="AF85" i="65" s="1"/>
  <c r="AF92" i="65" s="1"/>
  <c r="AF95" i="65" s="1"/>
  <c r="AF166" i="65" s="1"/>
  <c r="AF43" i="64"/>
  <c r="AF85" i="64" s="1"/>
  <c r="AF92" i="64" s="1"/>
  <c r="AF95" i="64" s="1"/>
  <c r="AF166" i="64" s="1"/>
  <c r="AF43" i="63"/>
  <c r="AF85" i="63" s="1"/>
  <c r="AF92" i="63" s="1"/>
  <c r="AF95" i="63" s="1"/>
  <c r="AF166" i="63" s="1"/>
  <c r="AE48" i="65"/>
  <c r="AE50" i="65" s="1"/>
  <c r="AC152" i="64"/>
  <c r="AC159" i="64" s="1"/>
  <c r="AC152" i="61"/>
  <c r="AC159" i="61" s="1"/>
  <c r="AC157" i="61"/>
  <c r="AC157" i="64"/>
  <c r="AD119" i="63"/>
  <c r="AD126" i="63" s="1"/>
  <c r="AD133" i="55"/>
  <c r="AD145" i="55" s="1"/>
  <c r="AD133" i="58"/>
  <c r="AD145" i="58" s="1"/>
  <c r="AC129" i="58"/>
  <c r="AC169" i="58" s="1"/>
  <c r="AC175" i="58" s="1"/>
  <c r="AC118" i="64"/>
  <c r="AC125" i="64" s="1"/>
  <c r="AC99" i="58"/>
  <c r="AC111" i="58" s="1"/>
  <c r="AB129" i="64"/>
  <c r="AB169" i="64" s="1"/>
  <c r="CE52" i="2" s="1"/>
  <c r="BY52" i="2" s="1"/>
  <c r="J53" i="78" s="1"/>
  <c r="V53" i="78" s="1"/>
  <c r="V58" i="78" s="1"/>
  <c r="AF51" i="62"/>
  <c r="AF136" i="62" s="1"/>
  <c r="AF143" i="62" s="1"/>
  <c r="AF51" i="65"/>
  <c r="AF136" i="65" s="1"/>
  <c r="AF143" i="65" s="1"/>
  <c r="AF51" i="67"/>
  <c r="AF136" i="67" s="1"/>
  <c r="AF143" i="67" s="1"/>
  <c r="AF51" i="66"/>
  <c r="AF136" i="66" s="1"/>
  <c r="AF143" i="66" s="1"/>
  <c r="AF51" i="63"/>
  <c r="AF136" i="63" s="1"/>
  <c r="AF143" i="63" s="1"/>
  <c r="AF51" i="64"/>
  <c r="AF136" i="64" s="1"/>
  <c r="AF143" i="64" s="1"/>
  <c r="AC116" i="64"/>
  <c r="AC128" i="64" s="1"/>
  <c r="AC157" i="58"/>
  <c r="AD140" i="55"/>
  <c r="AD140" i="61"/>
  <c r="AD133" i="61"/>
  <c r="AD145" i="61" s="1"/>
  <c r="AD135" i="53"/>
  <c r="AD142" i="53" s="1"/>
  <c r="AD133" i="53"/>
  <c r="AD145" i="53" s="1"/>
  <c r="AD140" i="53"/>
  <c r="AB112" i="58"/>
  <c r="AB167" i="58" s="1"/>
  <c r="AD119" i="64"/>
  <c r="AD126" i="64" s="1"/>
  <c r="AD119" i="62"/>
  <c r="AD126" i="62" s="1"/>
  <c r="AA184" i="66"/>
  <c r="AB184" i="63"/>
  <c r="AF49" i="62"/>
  <c r="AF49" i="64"/>
  <c r="AF49" i="63"/>
  <c r="AD119" i="61"/>
  <c r="AD126" i="61" s="1"/>
  <c r="AA175" i="65"/>
  <c r="AD153" i="66"/>
  <c r="AD160" i="66" s="1"/>
  <c r="AD119" i="66"/>
  <c r="AD126" i="66" s="1"/>
  <c r="AD119" i="67"/>
  <c r="AD126" i="67" s="1"/>
  <c r="AD153" i="67"/>
  <c r="AD160" i="67" s="1"/>
  <c r="AF45" i="62"/>
  <c r="AF45" i="66"/>
  <c r="AF45" i="65"/>
  <c r="AF45" i="67"/>
  <c r="AF45" i="63"/>
  <c r="AF45" i="64"/>
  <c r="AD119" i="65"/>
  <c r="AD126" i="65" s="1"/>
  <c r="AD153" i="65"/>
  <c r="AD160" i="65" s="1"/>
  <c r="AD135" i="52"/>
  <c r="AD142" i="52" s="1"/>
  <c r="AD140" i="52"/>
  <c r="AD133" i="52"/>
  <c r="AD145" i="52" s="1"/>
  <c r="AD133" i="67"/>
  <c r="AD145" i="67" s="1"/>
  <c r="AD140" i="67"/>
  <c r="AD135" i="67"/>
  <c r="AD142" i="67" s="1"/>
  <c r="AE129" i="45"/>
  <c r="AE132" i="51" s="1"/>
  <c r="AE134" i="45"/>
  <c r="AE132" i="53" s="1"/>
  <c r="AE136" i="45"/>
  <c r="AE132" i="67" s="1"/>
  <c r="AE135" i="45"/>
  <c r="AE132" i="52" s="1"/>
  <c r="AB184" i="67"/>
  <c r="AB175" i="67"/>
  <c r="AC150" i="58"/>
  <c r="AC162" i="58" s="1"/>
  <c r="AD140" i="58"/>
  <c r="AA185" i="66"/>
  <c r="AG157" i="45"/>
  <c r="AG55" i="64" s="1"/>
  <c r="AG69" i="64" s="1"/>
  <c r="AG76" i="64" s="1"/>
  <c r="AF55" i="64"/>
  <c r="AF69" i="64" s="1"/>
  <c r="AF76" i="64" s="1"/>
  <c r="AD116" i="67"/>
  <c r="AD128" i="67" s="1"/>
  <c r="AD123" i="67"/>
  <c r="AD127" i="67" s="1"/>
  <c r="AD125" i="67"/>
  <c r="AD150" i="67"/>
  <c r="AD162" i="67" s="1"/>
  <c r="AD157" i="67"/>
  <c r="AD152" i="67"/>
  <c r="AD159" i="67" s="1"/>
  <c r="AB129" i="66"/>
  <c r="AB169" i="66" s="1"/>
  <c r="CE140" i="2" s="1"/>
  <c r="BY140" i="2" s="1"/>
  <c r="J149" i="78" s="1"/>
  <c r="V149" i="78" s="1"/>
  <c r="V154" i="78" s="1"/>
  <c r="AB129" i="65"/>
  <c r="AB169" i="65" s="1"/>
  <c r="AC106" i="58"/>
  <c r="AC110" i="58" s="1"/>
  <c r="AB112" i="66"/>
  <c r="AB167" i="66" s="1"/>
  <c r="AC129" i="65"/>
  <c r="AC169" i="65" s="1"/>
  <c r="AC129" i="67"/>
  <c r="AC169" i="67" s="1"/>
  <c r="AD149" i="58"/>
  <c r="AD152" i="58" s="1"/>
  <c r="AD159" i="58" s="1"/>
  <c r="AD149" i="65"/>
  <c r="AB112" i="65"/>
  <c r="AB167" i="65" s="1"/>
  <c r="AD133" i="64"/>
  <c r="AD145" i="64" s="1"/>
  <c r="AD140" i="64"/>
  <c r="AD135" i="64"/>
  <c r="AD142" i="64" s="1"/>
  <c r="AC116" i="66"/>
  <c r="AC128" i="66" s="1"/>
  <c r="AC123" i="66"/>
  <c r="AC127" i="66" s="1"/>
  <c r="AC125" i="66"/>
  <c r="AD133" i="63"/>
  <c r="AD145" i="63" s="1"/>
  <c r="AD135" i="63"/>
  <c r="AD142" i="63" s="1"/>
  <c r="AD140" i="63"/>
  <c r="AD133" i="66"/>
  <c r="AD145" i="66" s="1"/>
  <c r="AD135" i="66"/>
  <c r="AD142" i="66" s="1"/>
  <c r="AD140" i="66"/>
  <c r="AD133" i="65"/>
  <c r="AD145" i="65" s="1"/>
  <c r="AD140" i="65"/>
  <c r="AD135" i="65"/>
  <c r="AD142" i="65" s="1"/>
  <c r="AE132" i="58"/>
  <c r="AE135" i="58" s="1"/>
  <c r="AE142" i="58" s="1"/>
  <c r="AE132" i="65"/>
  <c r="AD115" i="58"/>
  <c r="AD118" i="58" s="1"/>
  <c r="AD125" i="58" s="1"/>
  <c r="AD115" i="65"/>
  <c r="AE132" i="66"/>
  <c r="AE132" i="64"/>
  <c r="AE132" i="61"/>
  <c r="AE135" i="61" s="1"/>
  <c r="AE142" i="61" s="1"/>
  <c r="AE132" i="63"/>
  <c r="AC150" i="66"/>
  <c r="AC162" i="66" s="1"/>
  <c r="AC157" i="66"/>
  <c r="AC152" i="66"/>
  <c r="AC159" i="66" s="1"/>
  <c r="AD115" i="64"/>
  <c r="AD115" i="66"/>
  <c r="AD118" i="66" s="1"/>
  <c r="AD149" i="64"/>
  <c r="AD152" i="64" s="1"/>
  <c r="AD159" i="64" s="1"/>
  <c r="AD149" i="66"/>
  <c r="AC150" i="65"/>
  <c r="AC162" i="65" s="1"/>
  <c r="AC152" i="65"/>
  <c r="AC159" i="65" s="1"/>
  <c r="AC157" i="65"/>
  <c r="AC99" i="65"/>
  <c r="AC111" i="65" s="1"/>
  <c r="AC106" i="65"/>
  <c r="AC110" i="65" s="1"/>
  <c r="AC101" i="65"/>
  <c r="AC108" i="65" s="1"/>
  <c r="AB112" i="64"/>
  <c r="AB167" i="64" s="1"/>
  <c r="CC52" i="2" s="1"/>
  <c r="BW52" i="2" s="1"/>
  <c r="H53" i="78" s="1"/>
  <c r="T53" i="78" s="1"/>
  <c r="T58" i="78" s="1"/>
  <c r="AD99" i="63"/>
  <c r="AD111" i="63" s="1"/>
  <c r="AD106" i="63"/>
  <c r="AD110" i="63" s="1"/>
  <c r="AD101" i="63"/>
  <c r="AD108" i="63" s="1"/>
  <c r="AC112" i="63"/>
  <c r="AC167" i="63" s="1"/>
  <c r="AB185" i="63"/>
  <c r="AB176" i="63"/>
  <c r="AD98" i="58"/>
  <c r="AD101" i="58" s="1"/>
  <c r="AD108" i="58" s="1"/>
  <c r="AD98" i="65"/>
  <c r="AA185" i="65"/>
  <c r="AA176" i="65"/>
  <c r="AD99" i="67"/>
  <c r="AD111" i="67" s="1"/>
  <c r="AD106" i="67"/>
  <c r="AD110" i="67" s="1"/>
  <c r="AD101" i="67"/>
  <c r="AD108" i="67" s="1"/>
  <c r="AB185" i="67"/>
  <c r="AB176" i="67"/>
  <c r="AA176" i="64"/>
  <c r="AA185" i="64"/>
  <c r="AC112" i="67"/>
  <c r="AC167" i="67" s="1"/>
  <c r="AD98" i="66"/>
  <c r="AD98" i="64"/>
  <c r="AC99" i="64"/>
  <c r="AC111" i="64" s="1"/>
  <c r="AC106" i="64"/>
  <c r="AC110" i="64" s="1"/>
  <c r="AC101" i="64"/>
  <c r="AC108" i="64" s="1"/>
  <c r="AC99" i="66"/>
  <c r="AC111" i="66" s="1"/>
  <c r="AC101" i="66"/>
  <c r="AC108" i="66" s="1"/>
  <c r="AC106" i="66"/>
  <c r="AC110" i="66" s="1"/>
  <c r="AD150" i="51"/>
  <c r="AD152" i="51"/>
  <c r="AD125" i="63"/>
  <c r="AD116" i="63"/>
  <c r="AD128" i="63" s="1"/>
  <c r="AD123" i="63"/>
  <c r="AD127" i="63" s="1"/>
  <c r="AD149" i="61"/>
  <c r="AD152" i="61" s="1"/>
  <c r="AD159" i="61" s="1"/>
  <c r="AD149" i="63"/>
  <c r="AC129" i="63"/>
  <c r="AC169" i="63" s="1"/>
  <c r="AE142" i="45"/>
  <c r="AE149" i="51" s="1"/>
  <c r="AC112" i="62"/>
  <c r="AC167" i="62" s="1"/>
  <c r="AC185" i="62" s="1"/>
  <c r="AC129" i="62"/>
  <c r="AC169" i="62" s="1"/>
  <c r="AE171" i="62"/>
  <c r="AE174" i="62"/>
  <c r="AE180" i="62" s="1"/>
  <c r="AE183" i="62"/>
  <c r="AE189" i="62" s="1"/>
  <c r="AF52" i="61"/>
  <c r="AF59" i="45"/>
  <c r="AF65" i="45"/>
  <c r="AF60" i="45"/>
  <c r="AF66" i="45"/>
  <c r="AF61" i="45"/>
  <c r="AF67" i="45"/>
  <c r="AF62" i="45"/>
  <c r="AF63" i="45"/>
  <c r="AF64" i="45"/>
  <c r="AF48" i="45"/>
  <c r="AF51" i="45"/>
  <c r="AF132" i="45" s="1"/>
  <c r="AF54" i="45"/>
  <c r="AF56" i="45"/>
  <c r="AF137" i="45" s="1"/>
  <c r="AF49" i="45"/>
  <c r="AF130" i="45" s="1"/>
  <c r="AF52" i="45"/>
  <c r="AF133" i="45" s="1"/>
  <c r="AF55" i="45"/>
  <c r="AF50" i="45"/>
  <c r="AF131" i="45" s="1"/>
  <c r="AF53" i="45"/>
  <c r="AF52" i="62"/>
  <c r="AD142" i="57"/>
  <c r="AD140" i="57"/>
  <c r="AD133" i="57"/>
  <c r="AD145" i="57" s="1"/>
  <c r="AD133" i="62"/>
  <c r="AD145" i="62" s="1"/>
  <c r="AD140" i="62"/>
  <c r="AD135" i="62"/>
  <c r="AD142" i="62" s="1"/>
  <c r="AF53" i="61"/>
  <c r="AF72" i="45"/>
  <c r="AF77" i="45"/>
  <c r="AF70" i="45"/>
  <c r="AF74" i="45"/>
  <c r="AF75" i="45"/>
  <c r="AF73" i="45"/>
  <c r="AF78" i="45"/>
  <c r="AF71" i="45"/>
  <c r="AF76" i="45"/>
  <c r="AF53" i="62"/>
  <c r="AD116" i="62"/>
  <c r="AD128" i="62" s="1"/>
  <c r="AD123" i="62"/>
  <c r="AD127" i="62" s="1"/>
  <c r="AD125" i="62"/>
  <c r="AD99" i="62"/>
  <c r="AD111" i="62" s="1"/>
  <c r="AD106" i="62"/>
  <c r="AD110" i="62" s="1"/>
  <c r="AD101" i="62"/>
  <c r="AD108" i="62" s="1"/>
  <c r="AB185" i="62"/>
  <c r="AB176" i="62"/>
  <c r="AE132" i="62"/>
  <c r="AE132" i="57"/>
  <c r="AE135" i="57" s="1"/>
  <c r="AD150" i="62"/>
  <c r="AD162" i="62" s="1"/>
  <c r="AD152" i="62"/>
  <c r="AD159" i="62" s="1"/>
  <c r="AD157" i="62"/>
  <c r="AA176" i="61"/>
  <c r="AB129" i="61"/>
  <c r="AB169" i="61" s="1"/>
  <c r="CE8" i="2" s="1"/>
  <c r="BY8" i="2" s="1"/>
  <c r="J5" i="78" s="1"/>
  <c r="V5" i="78" s="1"/>
  <c r="V10" i="78" s="1"/>
  <c r="AF45" i="38"/>
  <c r="AF45" i="61"/>
  <c r="AE48" i="61"/>
  <c r="AE50" i="61" s="1"/>
  <c r="AG44" i="61"/>
  <c r="AG102" i="61" s="1"/>
  <c r="AG109" i="61" s="1"/>
  <c r="AG44" i="38"/>
  <c r="AA184" i="61"/>
  <c r="AA175" i="61"/>
  <c r="AE171" i="61"/>
  <c r="AE174" i="61"/>
  <c r="AE180" i="61" s="1"/>
  <c r="AE183" i="61"/>
  <c r="AE189" i="61" s="1"/>
  <c r="AF49" i="61"/>
  <c r="AF49" i="38"/>
  <c r="AF42" i="61"/>
  <c r="AF68" i="61" s="1"/>
  <c r="AF75" i="61" s="1"/>
  <c r="AF78" i="61" s="1"/>
  <c r="AF165" i="61" s="1"/>
  <c r="AF42" i="38"/>
  <c r="AB112" i="61"/>
  <c r="AB167" i="61" s="1"/>
  <c r="CC8" i="2" s="1"/>
  <c r="BW8" i="2" s="1"/>
  <c r="H5" i="78" s="1"/>
  <c r="T5" i="78" s="1"/>
  <c r="T10" i="78" s="1"/>
  <c r="AF43" i="61"/>
  <c r="AF85" i="61" s="1"/>
  <c r="AF92" i="61" s="1"/>
  <c r="AF95" i="61" s="1"/>
  <c r="AF166" i="61" s="1"/>
  <c r="AF43" i="38"/>
  <c r="AD98" i="61"/>
  <c r="AF46" i="61"/>
  <c r="AF46" i="38"/>
  <c r="AD115" i="61"/>
  <c r="AD118" i="61" s="1"/>
  <c r="AC116" i="61"/>
  <c r="AC128" i="61" s="1"/>
  <c r="AC125" i="61"/>
  <c r="AC123" i="61"/>
  <c r="AC127" i="61" s="1"/>
  <c r="AF51" i="61"/>
  <c r="AF136" i="61" s="1"/>
  <c r="AF143" i="61" s="1"/>
  <c r="AF51" i="38"/>
  <c r="AC99" i="61"/>
  <c r="AC111" i="61" s="1"/>
  <c r="AC106" i="61"/>
  <c r="AC110" i="61" s="1"/>
  <c r="AC101" i="61"/>
  <c r="AC108" i="61" s="1"/>
  <c r="AD171" i="55"/>
  <c r="AD171" i="51"/>
  <c r="AD174" i="55"/>
  <c r="AD180" i="55" s="1"/>
  <c r="AD183" i="51"/>
  <c r="AD189" i="51" s="1"/>
  <c r="AD183" i="52"/>
  <c r="AD189" i="52" s="1"/>
  <c r="AD174" i="52"/>
  <c r="AD180" i="52" s="1"/>
  <c r="Y50" i="38"/>
  <c r="AD183" i="57"/>
  <c r="AD189" i="57" s="1"/>
  <c r="AD174" i="57"/>
  <c r="AD180" i="57" s="1"/>
  <c r="AD174" i="58"/>
  <c r="AD180" i="58" s="1"/>
  <c r="AB184" i="52"/>
  <c r="AB185" i="51"/>
  <c r="AE75" i="52"/>
  <c r="AE78" i="52" s="1"/>
  <c r="AE165" i="52" s="1"/>
  <c r="AE75" i="53"/>
  <c r="AE78" i="53" s="1"/>
  <c r="AE165" i="53" s="1"/>
  <c r="AE183" i="53" s="1"/>
  <c r="AE189" i="53" s="1"/>
  <c r="AD171" i="58"/>
  <c r="AE75" i="51"/>
  <c r="AE78" i="51" s="1"/>
  <c r="AE165" i="51" s="1"/>
  <c r="AE174" i="51" s="1"/>
  <c r="AE180" i="51" s="1"/>
  <c r="AD153" i="55"/>
  <c r="AD160" i="55" s="1"/>
  <c r="AD119" i="55"/>
  <c r="AD126" i="55" s="1"/>
  <c r="AE75" i="55"/>
  <c r="AE78" i="55" s="1"/>
  <c r="AE165" i="55" s="1"/>
  <c r="AF42" i="58"/>
  <c r="AF68" i="58" s="1"/>
  <c r="AF42" i="57"/>
  <c r="AF68" i="57" s="1"/>
  <c r="AF42" i="55"/>
  <c r="AF68" i="55" s="1"/>
  <c r="AF42" i="53"/>
  <c r="AF68" i="53" s="1"/>
  <c r="AF42" i="52"/>
  <c r="AF68" i="52" s="1"/>
  <c r="AF42" i="51"/>
  <c r="AF68" i="51" s="1"/>
  <c r="AC129" i="53"/>
  <c r="AC169" i="53" s="1"/>
  <c r="AC184" i="53" s="1"/>
  <c r="AF46" i="58"/>
  <c r="AF46" i="57"/>
  <c r="AF46" i="53"/>
  <c r="AF46" i="55"/>
  <c r="AF46" i="52"/>
  <c r="AF46" i="51"/>
  <c r="AC112" i="51"/>
  <c r="AC167" i="51" s="1"/>
  <c r="AC176" i="51" s="1"/>
  <c r="AF41" i="58"/>
  <c r="AF67" i="58" s="1"/>
  <c r="AF41" i="57"/>
  <c r="AF67" i="57" s="1"/>
  <c r="AF41" i="55"/>
  <c r="AF67" i="55" s="1"/>
  <c r="AF41" i="53"/>
  <c r="AF67" i="53" s="1"/>
  <c r="AF41" i="52"/>
  <c r="AF67" i="52" s="1"/>
  <c r="AF41" i="51"/>
  <c r="AF67" i="51" s="1"/>
  <c r="AB175" i="52"/>
  <c r="AD153" i="57"/>
  <c r="AD160" i="57" s="1"/>
  <c r="AD119" i="57"/>
  <c r="AD126" i="57" s="1"/>
  <c r="AE75" i="57"/>
  <c r="AE78" i="57" s="1"/>
  <c r="AE165" i="57" s="1"/>
  <c r="AD153" i="51"/>
  <c r="AD160" i="51" s="1"/>
  <c r="AD119" i="51"/>
  <c r="AD126" i="51" s="1"/>
  <c r="AF52" i="58"/>
  <c r="AF52" i="55"/>
  <c r="AF52" i="57"/>
  <c r="AF52" i="53"/>
  <c r="AF52" i="52"/>
  <c r="AF52" i="51"/>
  <c r="AE75" i="58"/>
  <c r="AE78" i="58" s="1"/>
  <c r="AE165" i="58" s="1"/>
  <c r="AD119" i="53"/>
  <c r="AD126" i="53" s="1"/>
  <c r="AD129" i="53" s="1"/>
  <c r="AD169" i="53" s="1"/>
  <c r="AD153" i="53"/>
  <c r="AD160" i="53" s="1"/>
  <c r="AF45" i="58"/>
  <c r="AF45" i="57"/>
  <c r="AF45" i="55"/>
  <c r="AF45" i="53"/>
  <c r="AF45" i="52"/>
  <c r="AF45" i="51"/>
  <c r="AB112" i="55"/>
  <c r="AB167" i="55" s="1"/>
  <c r="AD153" i="52"/>
  <c r="AD160" i="52" s="1"/>
  <c r="AD119" i="52"/>
  <c r="AD126" i="52" s="1"/>
  <c r="AF53" i="58"/>
  <c r="AF53" i="55"/>
  <c r="AF53" i="57"/>
  <c r="AF53" i="53"/>
  <c r="AF53" i="52"/>
  <c r="AF53" i="51"/>
  <c r="AF43" i="58"/>
  <c r="AF85" i="58" s="1"/>
  <c r="AF92" i="58" s="1"/>
  <c r="AF95" i="58" s="1"/>
  <c r="AF166" i="58" s="1"/>
  <c r="AF43" i="57"/>
  <c r="AF85" i="57" s="1"/>
  <c r="AF92" i="57" s="1"/>
  <c r="AF95" i="57" s="1"/>
  <c r="AF166" i="57" s="1"/>
  <c r="AF43" i="55"/>
  <c r="AF85" i="55" s="1"/>
  <c r="AF92" i="55" s="1"/>
  <c r="AF95" i="55" s="1"/>
  <c r="AF166" i="55" s="1"/>
  <c r="AF43" i="53"/>
  <c r="AF85" i="53" s="1"/>
  <c r="AF92" i="53" s="1"/>
  <c r="AF95" i="53" s="1"/>
  <c r="AF166" i="53" s="1"/>
  <c r="AF43" i="52"/>
  <c r="AF85" i="52" s="1"/>
  <c r="AF92" i="52" s="1"/>
  <c r="AF95" i="52" s="1"/>
  <c r="AF166" i="52" s="1"/>
  <c r="AF43" i="51"/>
  <c r="AF85" i="51" s="1"/>
  <c r="AF92" i="51" s="1"/>
  <c r="AF95" i="51" s="1"/>
  <c r="AF166" i="51" s="1"/>
  <c r="AG44" i="58"/>
  <c r="AG102" i="58" s="1"/>
  <c r="AG109" i="58" s="1"/>
  <c r="AG44" i="57"/>
  <c r="AG102" i="57" s="1"/>
  <c r="AG109" i="57" s="1"/>
  <c r="AG44" i="53"/>
  <c r="AG102" i="53" s="1"/>
  <c r="AG109" i="53" s="1"/>
  <c r="AG44" i="52"/>
  <c r="AG102" i="52" s="1"/>
  <c r="AG109" i="52" s="1"/>
  <c r="AG44" i="55"/>
  <c r="AG102" i="55" s="1"/>
  <c r="AG109" i="55" s="1"/>
  <c r="AG44" i="51"/>
  <c r="AG102" i="51" s="1"/>
  <c r="AG109" i="51" s="1"/>
  <c r="AD171" i="53"/>
  <c r="AD183" i="53"/>
  <c r="AD189" i="53" s="1"/>
  <c r="AD174" i="53"/>
  <c r="AD180" i="53" s="1"/>
  <c r="AF51" i="58"/>
  <c r="AF136" i="58" s="1"/>
  <c r="AF143" i="58" s="1"/>
  <c r="AF51" i="57"/>
  <c r="AF136" i="57" s="1"/>
  <c r="AF143" i="57" s="1"/>
  <c r="AF51" i="53"/>
  <c r="AF136" i="53" s="1"/>
  <c r="AF143" i="53" s="1"/>
  <c r="AF51" i="55"/>
  <c r="AF136" i="55" s="1"/>
  <c r="AF143" i="55" s="1"/>
  <c r="AF51" i="51"/>
  <c r="AF136" i="51" s="1"/>
  <c r="AF143" i="51" s="1"/>
  <c r="AF51" i="52"/>
  <c r="AF136" i="52" s="1"/>
  <c r="AF143" i="52" s="1"/>
  <c r="AD153" i="58"/>
  <c r="AD160" i="58" s="1"/>
  <c r="AD119" i="58"/>
  <c r="AD126" i="58" s="1"/>
  <c r="AA176" i="55"/>
  <c r="AA185" i="55"/>
  <c r="AB175" i="51"/>
  <c r="AB184" i="51"/>
  <c r="AB184" i="57"/>
  <c r="AB175" i="57"/>
  <c r="AA185" i="57"/>
  <c r="AA176" i="57"/>
  <c r="AC99" i="55"/>
  <c r="AC111" i="55" s="1"/>
  <c r="AC106" i="55"/>
  <c r="AC110" i="55" s="1"/>
  <c r="AC101" i="55"/>
  <c r="AC108" i="55" s="1"/>
  <c r="AD98" i="57"/>
  <c r="AD150" i="53"/>
  <c r="AD162" i="53" s="1"/>
  <c r="AD159" i="53"/>
  <c r="AD157" i="53"/>
  <c r="AB129" i="55"/>
  <c r="AB169" i="55" s="1"/>
  <c r="CE129" i="2" s="1"/>
  <c r="BX129" i="2" s="1"/>
  <c r="I137" i="78" s="1"/>
  <c r="U137" i="78" s="1"/>
  <c r="U142" i="78" s="1"/>
  <c r="AD99" i="52"/>
  <c r="AD111" i="52" s="1"/>
  <c r="AD106" i="52"/>
  <c r="AD110" i="52" s="1"/>
  <c r="AD101" i="52"/>
  <c r="AD108" i="52" s="1"/>
  <c r="AD150" i="52"/>
  <c r="AD162" i="52" s="1"/>
  <c r="AD157" i="52"/>
  <c r="AD159" i="52"/>
  <c r="AD116" i="51"/>
  <c r="AD128" i="51" s="1"/>
  <c r="AD123" i="51"/>
  <c r="AD127" i="51" s="1"/>
  <c r="AD118" i="51"/>
  <c r="AD125" i="51" s="1"/>
  <c r="AE132" i="38"/>
  <c r="AE135" i="38" s="1"/>
  <c r="AE132" i="55"/>
  <c r="AE135" i="55" s="1"/>
  <c r="AC112" i="52"/>
  <c r="AC167" i="52" s="1"/>
  <c r="AC129" i="52"/>
  <c r="AC169" i="52" s="1"/>
  <c r="AB185" i="53"/>
  <c r="AB176" i="53"/>
  <c r="AD99" i="51"/>
  <c r="AD111" i="51" s="1"/>
  <c r="AD106" i="51"/>
  <c r="AD110" i="51" s="1"/>
  <c r="AD101" i="51"/>
  <c r="AD108" i="51" s="1"/>
  <c r="AB112" i="57"/>
  <c r="AB167" i="57" s="1"/>
  <c r="AC150" i="57"/>
  <c r="AC162" i="57" s="1"/>
  <c r="AC157" i="57"/>
  <c r="AC159" i="57"/>
  <c r="AA175" i="57"/>
  <c r="AA184" i="57"/>
  <c r="AB185" i="52"/>
  <c r="AB176" i="52"/>
  <c r="AD115" i="38"/>
  <c r="AD118" i="38" s="1"/>
  <c r="AD115" i="55"/>
  <c r="AB175" i="53"/>
  <c r="AB184" i="53"/>
  <c r="AD149" i="57"/>
  <c r="AD152" i="57" s="1"/>
  <c r="AD149" i="38"/>
  <c r="AD152" i="38" s="1"/>
  <c r="AD149" i="55"/>
  <c r="AD152" i="55" s="1"/>
  <c r="AC99" i="57"/>
  <c r="AC111" i="57" s="1"/>
  <c r="AC101" i="57"/>
  <c r="AC108" i="57" s="1"/>
  <c r="AC106" i="57"/>
  <c r="AC110" i="57" s="1"/>
  <c r="AC116" i="55"/>
  <c r="AC128" i="55" s="1"/>
  <c r="AC123" i="55"/>
  <c r="AC127" i="55" s="1"/>
  <c r="AC118" i="55"/>
  <c r="AC125" i="55" s="1"/>
  <c r="AC129" i="51"/>
  <c r="AC169" i="51" s="1"/>
  <c r="AA184" i="55"/>
  <c r="AA175" i="55"/>
  <c r="AD116" i="52"/>
  <c r="AD128" i="52" s="1"/>
  <c r="AD118" i="52"/>
  <c r="AD125" i="52" s="1"/>
  <c r="AD123" i="52"/>
  <c r="AD127" i="52" s="1"/>
  <c r="AD99" i="53"/>
  <c r="AD111" i="53" s="1"/>
  <c r="AD106" i="53"/>
  <c r="AD110" i="53" s="1"/>
  <c r="AD101" i="53"/>
  <c r="AD108" i="53" s="1"/>
  <c r="AD115" i="57"/>
  <c r="AD98" i="38"/>
  <c r="AD98" i="55"/>
  <c r="AC116" i="57"/>
  <c r="AC128" i="57" s="1"/>
  <c r="AC123" i="57"/>
  <c r="AC127" i="57" s="1"/>
  <c r="AC118" i="57"/>
  <c r="AC125" i="57" s="1"/>
  <c r="AC150" i="55"/>
  <c r="AC162" i="55" s="1"/>
  <c r="AC157" i="55"/>
  <c r="AC159" i="55"/>
  <c r="AC112" i="53"/>
  <c r="AC167" i="53" s="1"/>
  <c r="AD140" i="51"/>
  <c r="AD145" i="51"/>
  <c r="AD142" i="51"/>
  <c r="AG156" i="45"/>
  <c r="AG55" i="63" s="1"/>
  <c r="AG69" i="63" s="1"/>
  <c r="AG76" i="63" s="1"/>
  <c r="AG155" i="45"/>
  <c r="AG55" i="62" s="1"/>
  <c r="AG69" i="62" s="1"/>
  <c r="AG76" i="62" s="1"/>
  <c r="AE147" i="45"/>
  <c r="AE149" i="53" s="1"/>
  <c r="AE152" i="53" s="1"/>
  <c r="AE149" i="45"/>
  <c r="AE149" i="67" s="1"/>
  <c r="AE148" i="45"/>
  <c r="AE149" i="52" s="1"/>
  <c r="AE152" i="52" s="1"/>
  <c r="AE150" i="45"/>
  <c r="AE146" i="45"/>
  <c r="AE149" i="62" s="1"/>
  <c r="AE144" i="45"/>
  <c r="AE143" i="45"/>
  <c r="AE145" i="45"/>
  <c r="AG154" i="45"/>
  <c r="E49" i="74" s="1"/>
  <c r="AF55" i="38"/>
  <c r="AE124" i="45"/>
  <c r="AE115" i="67" s="1"/>
  <c r="AE118" i="67" s="1"/>
  <c r="AE119" i="45"/>
  <c r="AE125" i="45"/>
  <c r="AE118" i="45"/>
  <c r="AE115" i="63" s="1"/>
  <c r="AE118" i="63" s="1"/>
  <c r="AE122" i="45"/>
  <c r="AE115" i="53" s="1"/>
  <c r="AE123" i="45"/>
  <c r="AE115" i="52" s="1"/>
  <c r="AE121" i="45"/>
  <c r="AE115" i="62" s="1"/>
  <c r="AE118" i="62" s="1"/>
  <c r="AE117" i="45"/>
  <c r="AE115" i="51" s="1"/>
  <c r="AF116" i="45"/>
  <c r="AF121" i="45" s="1"/>
  <c r="AF115" i="62" s="1"/>
  <c r="AF118" i="62" s="1"/>
  <c r="AF140" i="45"/>
  <c r="AG39" i="45"/>
  <c r="AG38" i="45"/>
  <c r="AG40" i="45"/>
  <c r="E32" i="74" s="1"/>
  <c r="L32" i="74" s="1"/>
  <c r="AG29" i="45"/>
  <c r="AG28" i="45"/>
  <c r="E25" i="74" s="1"/>
  <c r="AG27" i="45"/>
  <c r="E24" i="74" s="1"/>
  <c r="AE112" i="45"/>
  <c r="AE98" i="67" s="1"/>
  <c r="AE113" i="45"/>
  <c r="AF103" i="45"/>
  <c r="AF104" i="45"/>
  <c r="AE109" i="45"/>
  <c r="AE98" i="62" s="1"/>
  <c r="AE107" i="45"/>
  <c r="AE110" i="45"/>
  <c r="AE98" i="53" s="1"/>
  <c r="AE108" i="45"/>
  <c r="AE106" i="45"/>
  <c r="AE98" i="63" s="1"/>
  <c r="AE111" i="45"/>
  <c r="AE98" i="52" s="1"/>
  <c r="AE105" i="45"/>
  <c r="AE98" i="51" s="1"/>
  <c r="AG14" i="45"/>
  <c r="AG21" i="45"/>
  <c r="E20" i="74" s="1"/>
  <c r="AG23" i="45"/>
  <c r="E22" i="74" s="1"/>
  <c r="L22" i="74" s="1"/>
  <c r="AG41" i="38"/>
  <c r="AG12" i="45"/>
  <c r="E16" i="74" s="1"/>
  <c r="AG19" i="45"/>
  <c r="E18" i="74" s="1"/>
  <c r="L18" i="74" s="1"/>
  <c r="AF52" i="38"/>
  <c r="AG20" i="45"/>
  <c r="E19" i="74" s="1"/>
  <c r="L19" i="74" s="1"/>
  <c r="AF53" i="38"/>
  <c r="AG5" i="45"/>
  <c r="E6" i="74" s="1"/>
  <c r="AG4" i="45"/>
  <c r="E5" i="74" s="1"/>
  <c r="E11" i="74"/>
  <c r="L11" i="74" s="1"/>
  <c r="S188" i="66" l="1"/>
  <c r="R87" i="77"/>
  <c r="R88" i="77" s="1"/>
  <c r="W171" i="77"/>
  <c r="W172" i="77" s="1"/>
  <c r="R99" i="77"/>
  <c r="R100" i="77" s="1"/>
  <c r="W87" i="77"/>
  <c r="W88" i="77" s="1"/>
  <c r="T75" i="77"/>
  <c r="T76" i="77" s="1"/>
  <c r="U87" i="77"/>
  <c r="U88" i="77" s="1"/>
  <c r="U75" i="77"/>
  <c r="U76" i="77" s="1"/>
  <c r="U99" i="77"/>
  <c r="U100" i="77" s="1"/>
  <c r="U171" i="77"/>
  <c r="U172" i="77" s="1"/>
  <c r="V75" i="77"/>
  <c r="V76" i="77" s="1"/>
  <c r="S99" i="77"/>
  <c r="S100" i="77" s="1"/>
  <c r="W107" i="77"/>
  <c r="W109" i="77" s="1"/>
  <c r="W110" i="77" s="1"/>
  <c r="U107" i="77"/>
  <c r="U109" i="77" s="1"/>
  <c r="U110" i="77" s="1"/>
  <c r="V107" i="77"/>
  <c r="V109" i="77" s="1"/>
  <c r="V110" i="77" s="1"/>
  <c r="S107" i="77"/>
  <c r="S109" i="77" s="1"/>
  <c r="S110" i="77" s="1"/>
  <c r="T107" i="77"/>
  <c r="T109" i="77" s="1"/>
  <c r="T110" i="77" s="1"/>
  <c r="R107" i="77"/>
  <c r="R109" i="77" s="1"/>
  <c r="R110" i="77" s="1"/>
  <c r="W119" i="77"/>
  <c r="W121" i="77" s="1"/>
  <c r="W122" i="77" s="1"/>
  <c r="U119" i="77"/>
  <c r="U121" i="77" s="1"/>
  <c r="U122" i="77" s="1"/>
  <c r="R119" i="77"/>
  <c r="R121" i="77" s="1"/>
  <c r="R122" i="77" s="1"/>
  <c r="V119" i="77"/>
  <c r="V121" i="77" s="1"/>
  <c r="V122" i="77" s="1"/>
  <c r="T119" i="77"/>
  <c r="T121" i="77" s="1"/>
  <c r="T122" i="77" s="1"/>
  <c r="S119" i="77"/>
  <c r="S121" i="77" s="1"/>
  <c r="S122" i="77" s="1"/>
  <c r="W99" i="77"/>
  <c r="W100" i="77" s="1"/>
  <c r="W155" i="77"/>
  <c r="W157" i="77" s="1"/>
  <c r="W158" i="77" s="1"/>
  <c r="V155" i="77"/>
  <c r="V157" i="77" s="1"/>
  <c r="V158" i="77" s="1"/>
  <c r="S155" i="77"/>
  <c r="S157" i="77" s="1"/>
  <c r="S158" i="77" s="1"/>
  <c r="T155" i="77"/>
  <c r="T157" i="77" s="1"/>
  <c r="T158" i="77" s="1"/>
  <c r="U155" i="77"/>
  <c r="U157" i="77" s="1"/>
  <c r="U158" i="77" s="1"/>
  <c r="R155" i="77"/>
  <c r="R157" i="77" s="1"/>
  <c r="R158" i="77" s="1"/>
  <c r="W143" i="77"/>
  <c r="W145" i="77" s="1"/>
  <c r="W146" i="77" s="1"/>
  <c r="U143" i="77"/>
  <c r="U145" i="77" s="1"/>
  <c r="U146" i="77" s="1"/>
  <c r="S143" i="77"/>
  <c r="S145" i="77" s="1"/>
  <c r="S146" i="77" s="1"/>
  <c r="R143" i="77"/>
  <c r="R145" i="77" s="1"/>
  <c r="R146" i="77" s="1"/>
  <c r="V143" i="77"/>
  <c r="V145" i="77" s="1"/>
  <c r="V146" i="77" s="1"/>
  <c r="T143" i="77"/>
  <c r="T145" i="77" s="1"/>
  <c r="T146" i="77" s="1"/>
  <c r="W11" i="77"/>
  <c r="W13" i="77" s="1"/>
  <c r="W14" i="77" s="1"/>
  <c r="T11" i="77"/>
  <c r="T13" i="77" s="1"/>
  <c r="T14" i="77" s="1"/>
  <c r="U11" i="77"/>
  <c r="U13" i="77" s="1"/>
  <c r="U14" i="77" s="1"/>
  <c r="S11" i="77"/>
  <c r="S13" i="77" s="1"/>
  <c r="S14" i="77" s="1"/>
  <c r="V11" i="77"/>
  <c r="V13" i="77" s="1"/>
  <c r="V14" i="77" s="1"/>
  <c r="R11" i="77"/>
  <c r="R13" i="77" s="1"/>
  <c r="R14" i="77" s="1"/>
  <c r="AB175" i="58"/>
  <c r="CE107" i="2"/>
  <c r="BY107" i="2" s="1"/>
  <c r="J113" i="78" s="1"/>
  <c r="V113" i="78" s="1"/>
  <c r="V118" i="78" s="1"/>
  <c r="S75" i="77"/>
  <c r="S76" i="77" s="1"/>
  <c r="W75" i="77"/>
  <c r="W76" i="77" s="1"/>
  <c r="R75" i="77"/>
  <c r="R76" i="77" s="1"/>
  <c r="V87" i="77"/>
  <c r="V88" i="77" s="1"/>
  <c r="W131" i="77"/>
  <c r="W133" i="77" s="1"/>
  <c r="W134" i="77" s="1"/>
  <c r="T131" i="77"/>
  <c r="T133" i="77" s="1"/>
  <c r="T134" i="77" s="1"/>
  <c r="V131" i="77"/>
  <c r="V133" i="77" s="1"/>
  <c r="V134" i="77" s="1"/>
  <c r="S131" i="77"/>
  <c r="S133" i="77" s="1"/>
  <c r="S134" i="77" s="1"/>
  <c r="U131" i="77"/>
  <c r="U133" i="77" s="1"/>
  <c r="U134" i="77" s="1"/>
  <c r="R131" i="77"/>
  <c r="R133" i="77" s="1"/>
  <c r="R134" i="77" s="1"/>
  <c r="W59" i="77"/>
  <c r="W61" i="77" s="1"/>
  <c r="W62" i="77" s="1"/>
  <c r="T59" i="77"/>
  <c r="T61" i="77" s="1"/>
  <c r="T62" i="77" s="1"/>
  <c r="S59" i="77"/>
  <c r="S61" i="77" s="1"/>
  <c r="S62" i="77" s="1"/>
  <c r="U59" i="77"/>
  <c r="U61" i="77" s="1"/>
  <c r="U62" i="77" s="1"/>
  <c r="R59" i="77"/>
  <c r="R61" i="77" s="1"/>
  <c r="R62" i="77" s="1"/>
  <c r="V59" i="77"/>
  <c r="V61" i="77" s="1"/>
  <c r="V62" i="77" s="1"/>
  <c r="V171" i="77"/>
  <c r="V172" i="77" s="1"/>
  <c r="T87" i="77"/>
  <c r="T88" i="77" s="1"/>
  <c r="T171" i="77"/>
  <c r="T172" i="77" s="1"/>
  <c r="W47" i="77"/>
  <c r="W49" i="77" s="1"/>
  <c r="W50" i="77" s="1"/>
  <c r="R47" i="77"/>
  <c r="R49" i="77" s="1"/>
  <c r="R50" i="77" s="1"/>
  <c r="U47" i="77"/>
  <c r="U49" i="77" s="1"/>
  <c r="U50" i="77" s="1"/>
  <c r="S47" i="77"/>
  <c r="S49" i="77" s="1"/>
  <c r="S50" i="77" s="1"/>
  <c r="T47" i="77"/>
  <c r="T49" i="77" s="1"/>
  <c r="T50" i="77" s="1"/>
  <c r="V47" i="77"/>
  <c r="V49" i="77" s="1"/>
  <c r="V50" i="77" s="1"/>
  <c r="CE118" i="2"/>
  <c r="W35" i="77"/>
  <c r="W37" i="77" s="1"/>
  <c r="W38" i="77" s="1"/>
  <c r="V35" i="77"/>
  <c r="V37" i="77" s="1"/>
  <c r="V38" i="77" s="1"/>
  <c r="S35" i="77"/>
  <c r="S37" i="77" s="1"/>
  <c r="S38" i="77" s="1"/>
  <c r="U35" i="77"/>
  <c r="U37" i="77" s="1"/>
  <c r="U38" i="77" s="1"/>
  <c r="R35" i="77"/>
  <c r="R37" i="77" s="1"/>
  <c r="R38" i="77" s="1"/>
  <c r="T35" i="77"/>
  <c r="T37" i="77" s="1"/>
  <c r="T38" i="77" s="1"/>
  <c r="V99" i="77"/>
  <c r="V100" i="77" s="1"/>
  <c r="R171" i="77"/>
  <c r="R172" i="77" s="1"/>
  <c r="T99" i="77"/>
  <c r="T100" i="77" s="1"/>
  <c r="S171" i="77"/>
  <c r="S172" i="77" s="1"/>
  <c r="S87" i="77"/>
  <c r="S88" i="77" s="1"/>
  <c r="AB176" i="65"/>
  <c r="AB176" i="58"/>
  <c r="CC107" i="2"/>
  <c r="BW107" i="2" s="1"/>
  <c r="H113" i="78" s="1"/>
  <c r="T113" i="78" s="1"/>
  <c r="T118" i="78" s="1"/>
  <c r="AB176" i="66"/>
  <c r="CC140" i="2"/>
  <c r="BW140" i="2" s="1"/>
  <c r="H149" i="78" s="1"/>
  <c r="T149" i="78" s="1"/>
  <c r="T154" i="78" s="1"/>
  <c r="AB185" i="55"/>
  <c r="CC129" i="2"/>
  <c r="BW129" i="2" s="1"/>
  <c r="H137" i="78" s="1"/>
  <c r="T137" i="78" s="1"/>
  <c r="T142" i="78" s="1"/>
  <c r="E17" i="74"/>
  <c r="L17" i="74" s="1"/>
  <c r="S26" i="75"/>
  <c r="T26" i="75"/>
  <c r="U177" i="53"/>
  <c r="U187" i="53"/>
  <c r="U177" i="62"/>
  <c r="S188" i="65"/>
  <c r="S186" i="57"/>
  <c r="S179" i="57"/>
  <c r="S186" i="58"/>
  <c r="S188" i="58"/>
  <c r="U193" i="53"/>
  <c r="U193" i="64"/>
  <c r="T194" i="67"/>
  <c r="S178" i="55"/>
  <c r="S187" i="61"/>
  <c r="S194" i="57"/>
  <c r="S188" i="57"/>
  <c r="S194" i="55"/>
  <c r="S188" i="55"/>
  <c r="S179" i="55"/>
  <c r="S194" i="63"/>
  <c r="S186" i="63"/>
  <c r="T178" i="53"/>
  <c r="S188" i="63"/>
  <c r="T188" i="67"/>
  <c r="T178" i="67"/>
  <c r="S194" i="66"/>
  <c r="T179" i="52"/>
  <c r="S186" i="66"/>
  <c r="T178" i="52"/>
  <c r="S194" i="58"/>
  <c r="S179" i="58"/>
  <c r="S194" i="61"/>
  <c r="S188" i="61"/>
  <c r="S178" i="61"/>
  <c r="T179" i="67"/>
  <c r="S178" i="65"/>
  <c r="AN19" i="45"/>
  <c r="AO19" i="45" s="1"/>
  <c r="AP19" i="45" s="1"/>
  <c r="AQ19" i="45" s="1"/>
  <c r="AR19" i="45" s="1"/>
  <c r="AS19" i="45" s="1"/>
  <c r="AT19" i="45" s="1"/>
  <c r="AU19" i="45" s="1"/>
  <c r="AV19" i="45" s="1"/>
  <c r="AW19" i="45" s="1"/>
  <c r="S178" i="66"/>
  <c r="S179" i="65"/>
  <c r="U192" i="62"/>
  <c r="AG140" i="45"/>
  <c r="S178" i="62"/>
  <c r="S179" i="66"/>
  <c r="S186" i="65"/>
  <c r="U187" i="62"/>
  <c r="AN20" i="45"/>
  <c r="AO20" i="45" s="1"/>
  <c r="AP20" i="45" s="1"/>
  <c r="AQ20" i="45" s="1"/>
  <c r="AR20" i="45" s="1"/>
  <c r="AS20" i="45" s="1"/>
  <c r="AT20" i="45" s="1"/>
  <c r="AU20" i="45" s="1"/>
  <c r="AV20" i="45" s="1"/>
  <c r="AW20" i="45" s="1"/>
  <c r="T194" i="53"/>
  <c r="AG55" i="38"/>
  <c r="T186" i="53"/>
  <c r="S178" i="63"/>
  <c r="T179" i="53"/>
  <c r="S187" i="64"/>
  <c r="S179" i="62"/>
  <c r="S186" i="62"/>
  <c r="S188" i="62"/>
  <c r="S194" i="64"/>
  <c r="S188" i="64"/>
  <c r="S178" i="64"/>
  <c r="T187" i="51"/>
  <c r="T178" i="51"/>
  <c r="V246" i="45"/>
  <c r="V262" i="45" s="1"/>
  <c r="U59" i="67"/>
  <c r="U154" i="67" s="1"/>
  <c r="U161" i="67" s="1"/>
  <c r="U163" i="67" s="1"/>
  <c r="U170" i="67" s="1"/>
  <c r="U194" i="67" s="1"/>
  <c r="W214" i="45"/>
  <c r="W230" i="45" s="1"/>
  <c r="W213" i="45"/>
  <c r="W229" i="45" s="1"/>
  <c r="U245" i="45"/>
  <c r="U261" i="45" s="1"/>
  <c r="T59" i="66"/>
  <c r="T154" i="66" s="1"/>
  <c r="T161" i="66" s="1"/>
  <c r="T163" i="66" s="1"/>
  <c r="T170" i="66" s="1"/>
  <c r="T188" i="66" s="1"/>
  <c r="W212" i="45"/>
  <c r="W228" i="45" s="1"/>
  <c r="U244" i="45"/>
  <c r="U260" i="45" s="1"/>
  <c r="T59" i="55"/>
  <c r="T154" i="55" s="1"/>
  <c r="T161" i="55" s="1"/>
  <c r="T163" i="55" s="1"/>
  <c r="T170" i="55" s="1"/>
  <c r="T194" i="55" s="1"/>
  <c r="W211" i="45"/>
  <c r="W227" i="45" s="1"/>
  <c r="U243" i="45"/>
  <c r="U259" i="45" s="1"/>
  <c r="T59" i="65"/>
  <c r="T154" i="65" s="1"/>
  <c r="T161" i="65" s="1"/>
  <c r="T163" i="65" s="1"/>
  <c r="T170" i="65" s="1"/>
  <c r="T186" i="65" s="1"/>
  <c r="W210" i="45"/>
  <c r="W226" i="45" s="1"/>
  <c r="U242" i="45"/>
  <c r="U258" i="45" s="1"/>
  <c r="T59" i="58"/>
  <c r="T154" i="58" s="1"/>
  <c r="T161" i="58" s="1"/>
  <c r="T163" i="58" s="1"/>
  <c r="T170" i="58" s="1"/>
  <c r="T188" i="58" s="1"/>
  <c r="U177" i="57"/>
  <c r="U187" i="57"/>
  <c r="U192" i="57"/>
  <c r="U193" i="57"/>
  <c r="V58" i="57"/>
  <c r="V137" i="57" s="1"/>
  <c r="V144" i="57" s="1"/>
  <c r="V146" i="57" s="1"/>
  <c r="V168" i="57" s="1"/>
  <c r="W209" i="45"/>
  <c r="W225" i="45" s="1"/>
  <c r="U241" i="45"/>
  <c r="U257" i="45" s="1"/>
  <c r="T59" i="57"/>
  <c r="T154" i="57" s="1"/>
  <c r="T161" i="57" s="1"/>
  <c r="T163" i="57" s="1"/>
  <c r="T170" i="57" s="1"/>
  <c r="T178" i="57" s="1"/>
  <c r="T194" i="52"/>
  <c r="V240" i="45"/>
  <c r="V256" i="45" s="1"/>
  <c r="U59" i="52"/>
  <c r="U154" i="52" s="1"/>
  <c r="U161" i="52" s="1"/>
  <c r="U163" i="52" s="1"/>
  <c r="U170" i="52" s="1"/>
  <c r="U178" i="52" s="1"/>
  <c r="T188" i="52"/>
  <c r="W208" i="45"/>
  <c r="W224" i="45" s="1"/>
  <c r="V239" i="45"/>
  <c r="V255" i="45" s="1"/>
  <c r="U58" i="53"/>
  <c r="U154" i="53" s="1"/>
  <c r="U161" i="53" s="1"/>
  <c r="U163" i="53" s="1"/>
  <c r="U170" i="53" s="1"/>
  <c r="U186" i="53" s="1"/>
  <c r="W207" i="45"/>
  <c r="W223" i="45" s="1"/>
  <c r="V57" i="53"/>
  <c r="V137" i="53" s="1"/>
  <c r="V144" i="53" s="1"/>
  <c r="V146" i="53" s="1"/>
  <c r="V168" i="53" s="1"/>
  <c r="V192" i="53" s="1"/>
  <c r="V238" i="45"/>
  <c r="V254" i="45" s="1"/>
  <c r="U58" i="51"/>
  <c r="U154" i="51" s="1"/>
  <c r="U161" i="51" s="1"/>
  <c r="U163" i="51" s="1"/>
  <c r="U170" i="51" s="1"/>
  <c r="U188" i="51" s="1"/>
  <c r="T179" i="51"/>
  <c r="W206" i="45"/>
  <c r="W222" i="45" s="1"/>
  <c r="U192" i="64"/>
  <c r="U186" i="64"/>
  <c r="W205" i="45"/>
  <c r="W221" i="45" s="1"/>
  <c r="V57" i="64"/>
  <c r="V137" i="64" s="1"/>
  <c r="V144" i="64" s="1"/>
  <c r="V146" i="64" s="1"/>
  <c r="V168" i="64" s="1"/>
  <c r="V186" i="64" s="1"/>
  <c r="U237" i="45"/>
  <c r="U253" i="45" s="1"/>
  <c r="T58" i="64"/>
  <c r="T154" i="64" s="1"/>
  <c r="T161" i="64" s="1"/>
  <c r="T163" i="64" s="1"/>
  <c r="T170" i="64" s="1"/>
  <c r="T187" i="64" s="1"/>
  <c r="U193" i="63"/>
  <c r="U192" i="63"/>
  <c r="U177" i="63"/>
  <c r="U187" i="63"/>
  <c r="V57" i="63"/>
  <c r="V137" i="63" s="1"/>
  <c r="V144" i="63" s="1"/>
  <c r="V146" i="63" s="1"/>
  <c r="V168" i="63" s="1"/>
  <c r="W204" i="45"/>
  <c r="W220" i="45" s="1"/>
  <c r="U236" i="45"/>
  <c r="U252" i="45" s="1"/>
  <c r="T58" i="63"/>
  <c r="T154" i="63" s="1"/>
  <c r="T161" i="63" s="1"/>
  <c r="T163" i="63" s="1"/>
  <c r="T170" i="63" s="1"/>
  <c r="T179" i="63" s="1"/>
  <c r="W203" i="45"/>
  <c r="W219" i="45" s="1"/>
  <c r="V57" i="62"/>
  <c r="V137" i="62" s="1"/>
  <c r="V144" i="62" s="1"/>
  <c r="V146" i="62" s="1"/>
  <c r="V168" i="62" s="1"/>
  <c r="V187" i="62" s="1"/>
  <c r="U235" i="45"/>
  <c r="U251" i="45" s="1"/>
  <c r="T58" i="62"/>
  <c r="T154" i="62" s="1"/>
  <c r="T161" i="62" s="1"/>
  <c r="T163" i="62" s="1"/>
  <c r="T170" i="62" s="1"/>
  <c r="T178" i="62" s="1"/>
  <c r="W202" i="45"/>
  <c r="W218" i="45" s="1"/>
  <c r="V57" i="38"/>
  <c r="U234" i="45"/>
  <c r="U250" i="45" s="1"/>
  <c r="T58" i="38"/>
  <c r="W201" i="45"/>
  <c r="W217" i="45" s="1"/>
  <c r="U233" i="45"/>
  <c r="U249" i="45" s="1"/>
  <c r="T58" i="61"/>
  <c r="T154" i="61" s="1"/>
  <c r="T161" i="61" s="1"/>
  <c r="T163" i="61" s="1"/>
  <c r="T170" i="61" s="1"/>
  <c r="T188" i="61" s="1"/>
  <c r="T192" i="51"/>
  <c r="T193" i="51"/>
  <c r="T177" i="51"/>
  <c r="T186" i="51"/>
  <c r="U187" i="66"/>
  <c r="U177" i="66"/>
  <c r="U192" i="66"/>
  <c r="U193" i="66"/>
  <c r="U57" i="51"/>
  <c r="U137" i="51" s="1"/>
  <c r="U144" i="51" s="1"/>
  <c r="U146" i="51" s="1"/>
  <c r="U168" i="51" s="1"/>
  <c r="V58" i="66"/>
  <c r="V137" i="66" s="1"/>
  <c r="V144" i="66" s="1"/>
  <c r="V146" i="66" s="1"/>
  <c r="V168" i="66" s="1"/>
  <c r="U57" i="61"/>
  <c r="U137" i="61" s="1"/>
  <c r="U144" i="61" s="1"/>
  <c r="U146" i="61" s="1"/>
  <c r="U168" i="61" s="1"/>
  <c r="T192" i="65"/>
  <c r="T187" i="65"/>
  <c r="T177" i="65"/>
  <c r="T193" i="65"/>
  <c r="U187" i="67"/>
  <c r="U192" i="67"/>
  <c r="U193" i="67"/>
  <c r="U177" i="67"/>
  <c r="T186" i="61"/>
  <c r="T177" i="61"/>
  <c r="T193" i="61"/>
  <c r="T192" i="61"/>
  <c r="U58" i="65"/>
  <c r="U137" i="65" s="1"/>
  <c r="U144" i="65" s="1"/>
  <c r="U146" i="65" s="1"/>
  <c r="U168" i="65" s="1"/>
  <c r="V58" i="67"/>
  <c r="V137" i="67" s="1"/>
  <c r="V144" i="67" s="1"/>
  <c r="V146" i="67" s="1"/>
  <c r="V168" i="67" s="1"/>
  <c r="T194" i="51"/>
  <c r="V58" i="52"/>
  <c r="V137" i="52" s="1"/>
  <c r="V144" i="52" s="1"/>
  <c r="V146" i="52" s="1"/>
  <c r="V168" i="52" s="1"/>
  <c r="U58" i="58"/>
  <c r="U137" i="58" s="1"/>
  <c r="U144" i="58" s="1"/>
  <c r="U146" i="58" s="1"/>
  <c r="U168" i="58" s="1"/>
  <c r="U177" i="52"/>
  <c r="U186" i="52"/>
  <c r="U192" i="52"/>
  <c r="U193" i="52"/>
  <c r="T187" i="58"/>
  <c r="T177" i="58"/>
  <c r="T192" i="58"/>
  <c r="T193" i="58"/>
  <c r="V58" i="55"/>
  <c r="V137" i="55" s="1"/>
  <c r="V144" i="55" s="1"/>
  <c r="V146" i="55" s="1"/>
  <c r="V168" i="55" s="1"/>
  <c r="U192" i="55"/>
  <c r="U177" i="55"/>
  <c r="U187" i="55"/>
  <c r="U193" i="55"/>
  <c r="AF48" i="65"/>
  <c r="AF50" i="65" s="1"/>
  <c r="AF48" i="51"/>
  <c r="AF50" i="51" s="1"/>
  <c r="AF48" i="63"/>
  <c r="AF50" i="63" s="1"/>
  <c r="AF153" i="63" s="1"/>
  <c r="AF160" i="63" s="1"/>
  <c r="AF48" i="67"/>
  <c r="AF50" i="67" s="1"/>
  <c r="AE174" i="64"/>
  <c r="AE180" i="64" s="1"/>
  <c r="AE171" i="64"/>
  <c r="AB184" i="58"/>
  <c r="AF48" i="58"/>
  <c r="AF50" i="58" s="1"/>
  <c r="AF171" i="63"/>
  <c r="AF174" i="63"/>
  <c r="AF180" i="63" s="1"/>
  <c r="AG52" i="65"/>
  <c r="AG52" i="67"/>
  <c r="AG52" i="66"/>
  <c r="AG52" i="64"/>
  <c r="AG52" i="63"/>
  <c r="AF171" i="65"/>
  <c r="AF174" i="65"/>
  <c r="AF180" i="65" s="1"/>
  <c r="AF183" i="65"/>
  <c r="AF189" i="65" s="1"/>
  <c r="AF174" i="67"/>
  <c r="AF180" i="67" s="1"/>
  <c r="AF183" i="67"/>
  <c r="AF189" i="67" s="1"/>
  <c r="AF171" i="67"/>
  <c r="AG46" i="62"/>
  <c r="AG46" i="67"/>
  <c r="AG46" i="66"/>
  <c r="AG46" i="65"/>
  <c r="AG46" i="63"/>
  <c r="AG46" i="64"/>
  <c r="AF48" i="64"/>
  <c r="AF50" i="64" s="1"/>
  <c r="AF119" i="64" s="1"/>
  <c r="AF126" i="64" s="1"/>
  <c r="AG53" i="66"/>
  <c r="AG53" i="67"/>
  <c r="AG53" i="65"/>
  <c r="AG53" i="64"/>
  <c r="AG53" i="63"/>
  <c r="AF48" i="52"/>
  <c r="AF50" i="52" s="1"/>
  <c r="AF78" i="64"/>
  <c r="AF165" i="64" s="1"/>
  <c r="AF183" i="64" s="1"/>
  <c r="AF189" i="64" s="1"/>
  <c r="AG49" i="67"/>
  <c r="AG49" i="53"/>
  <c r="AG49" i="55"/>
  <c r="AG49" i="52"/>
  <c r="AG49" i="65"/>
  <c r="AG49" i="66"/>
  <c r="AG49" i="57"/>
  <c r="AG49" i="51"/>
  <c r="AG49" i="58"/>
  <c r="AG42" i="62"/>
  <c r="AG68" i="62" s="1"/>
  <c r="AG75" i="62" s="1"/>
  <c r="AG78" i="62" s="1"/>
  <c r="AG165" i="62" s="1"/>
  <c r="CN30" i="2" s="1"/>
  <c r="AG42" i="67"/>
  <c r="AG68" i="67" s="1"/>
  <c r="AG75" i="67" s="1"/>
  <c r="AG78" i="67" s="1"/>
  <c r="AG165" i="67" s="1"/>
  <c r="AG42" i="66"/>
  <c r="AG68" i="66" s="1"/>
  <c r="AG75" i="66" s="1"/>
  <c r="AG78" i="66" s="1"/>
  <c r="AG165" i="66" s="1"/>
  <c r="CN140" i="2" s="1"/>
  <c r="AG42" i="65"/>
  <c r="AG68" i="65" s="1"/>
  <c r="AG75" i="65" s="1"/>
  <c r="AG78" i="65" s="1"/>
  <c r="AG165" i="65" s="1"/>
  <c r="AG42" i="64"/>
  <c r="AG68" i="64" s="1"/>
  <c r="AG75" i="64" s="1"/>
  <c r="AG78" i="64" s="1"/>
  <c r="AG165" i="64" s="1"/>
  <c r="CN52" i="2" s="1"/>
  <c r="AG42" i="63"/>
  <c r="AG68" i="63" s="1"/>
  <c r="AG75" i="63" s="1"/>
  <c r="AG78" i="63" s="1"/>
  <c r="AG165" i="63" s="1"/>
  <c r="CN41" i="2" s="1"/>
  <c r="AG43" i="62"/>
  <c r="AG85" i="62" s="1"/>
  <c r="AG92" i="62" s="1"/>
  <c r="AG95" i="62" s="1"/>
  <c r="AG166" i="62" s="1"/>
  <c r="AG43" i="66"/>
  <c r="AG85" i="66" s="1"/>
  <c r="AG92" i="66" s="1"/>
  <c r="AG95" i="66" s="1"/>
  <c r="AG166" i="66" s="1"/>
  <c r="AG43" i="65"/>
  <c r="AG85" i="65" s="1"/>
  <c r="AG92" i="65" s="1"/>
  <c r="AG95" i="65" s="1"/>
  <c r="AG166" i="65" s="1"/>
  <c r="AG43" i="67"/>
  <c r="AG85" i="67" s="1"/>
  <c r="AG92" i="67" s="1"/>
  <c r="AG95" i="67" s="1"/>
  <c r="AG166" i="67" s="1"/>
  <c r="AG43" i="63"/>
  <c r="AG85" i="63" s="1"/>
  <c r="AG92" i="63" s="1"/>
  <c r="AG95" i="63" s="1"/>
  <c r="AG166" i="63" s="1"/>
  <c r="AG43" i="64"/>
  <c r="AG85" i="64" s="1"/>
  <c r="AG92" i="64" s="1"/>
  <c r="AG95" i="64" s="1"/>
  <c r="AG166" i="64" s="1"/>
  <c r="AF48" i="53"/>
  <c r="AF50" i="53" s="1"/>
  <c r="AF48" i="66"/>
  <c r="AF50" i="66" s="1"/>
  <c r="AF171" i="66"/>
  <c r="AF174" i="66"/>
  <c r="AF180" i="66" s="1"/>
  <c r="AF183" i="66"/>
  <c r="AF189" i="66" s="1"/>
  <c r="AF48" i="55"/>
  <c r="AF50" i="55" s="1"/>
  <c r="AF48" i="57"/>
  <c r="AF50" i="57" s="1"/>
  <c r="AF48" i="62"/>
  <c r="AF50" i="62" s="1"/>
  <c r="AF153" i="62" s="1"/>
  <c r="AF160" i="62" s="1"/>
  <c r="AD157" i="58"/>
  <c r="AC112" i="58"/>
  <c r="AC167" i="58" s="1"/>
  <c r="AC176" i="58" s="1"/>
  <c r="AC184" i="58"/>
  <c r="AD99" i="58"/>
  <c r="AD111" i="58" s="1"/>
  <c r="AC129" i="64"/>
  <c r="AC169" i="64" s="1"/>
  <c r="AC175" i="64" s="1"/>
  <c r="AB175" i="64"/>
  <c r="AB184" i="64"/>
  <c r="AB185" i="58"/>
  <c r="AE140" i="61"/>
  <c r="AD106" i="58"/>
  <c r="AD110" i="58" s="1"/>
  <c r="AE133" i="61"/>
  <c r="AE145" i="61" s="1"/>
  <c r="AD118" i="64"/>
  <c r="AD125" i="64" s="1"/>
  <c r="AD150" i="58"/>
  <c r="AD162" i="58" s="1"/>
  <c r="AG51" i="62"/>
  <c r="AG136" i="62" s="1"/>
  <c r="AG143" i="62" s="1"/>
  <c r="AG51" i="66"/>
  <c r="AG136" i="66" s="1"/>
  <c r="AG143" i="66" s="1"/>
  <c r="AG51" i="67"/>
  <c r="AG136" i="67" s="1"/>
  <c r="AG143" i="67" s="1"/>
  <c r="AG51" i="65"/>
  <c r="AG136" i="65" s="1"/>
  <c r="AG143" i="65" s="1"/>
  <c r="AG51" i="63"/>
  <c r="AG136" i="63" s="1"/>
  <c r="AG143" i="63" s="1"/>
  <c r="AG51" i="64"/>
  <c r="AG136" i="64" s="1"/>
  <c r="AG143" i="64" s="1"/>
  <c r="AD123" i="64"/>
  <c r="AD127" i="64" s="1"/>
  <c r="AD116" i="64"/>
  <c r="AD128" i="64" s="1"/>
  <c r="AE135" i="67"/>
  <c r="AE142" i="67" s="1"/>
  <c r="AE140" i="67"/>
  <c r="AE133" i="67"/>
  <c r="AE145" i="67" s="1"/>
  <c r="AD157" i="64"/>
  <c r="AD123" i="58"/>
  <c r="AD127" i="58" s="1"/>
  <c r="AD116" i="58"/>
  <c r="AD128" i="58" s="1"/>
  <c r="AE153" i="63"/>
  <c r="AE160" i="63" s="1"/>
  <c r="AE153" i="62"/>
  <c r="AE160" i="62" s="1"/>
  <c r="AE119" i="64"/>
  <c r="AE126" i="64" s="1"/>
  <c r="AG49" i="62"/>
  <c r="AG49" i="64"/>
  <c r="AG49" i="63"/>
  <c r="AE153" i="65"/>
  <c r="AE160" i="65" s="1"/>
  <c r="AE119" i="65"/>
  <c r="AE126" i="65" s="1"/>
  <c r="AG45" i="62"/>
  <c r="AG45" i="66"/>
  <c r="AG45" i="65"/>
  <c r="AG45" i="67"/>
  <c r="AG45" i="63"/>
  <c r="AG45" i="64"/>
  <c r="AE153" i="66"/>
  <c r="AE160" i="66" s="1"/>
  <c r="AE119" i="66"/>
  <c r="AE126" i="66" s="1"/>
  <c r="AE153" i="67"/>
  <c r="AE160" i="67" s="1"/>
  <c r="AE119" i="67"/>
  <c r="AE126" i="67" s="1"/>
  <c r="AE135" i="52"/>
  <c r="AE142" i="52" s="1"/>
  <c r="AE140" i="52"/>
  <c r="AE133" i="52"/>
  <c r="AE145" i="52" s="1"/>
  <c r="AE135" i="53"/>
  <c r="AE142" i="53" s="1"/>
  <c r="AE133" i="53"/>
  <c r="AE145" i="53" s="1"/>
  <c r="AE140" i="53"/>
  <c r="AE135" i="51"/>
  <c r="AE142" i="51" s="1"/>
  <c r="AE133" i="51"/>
  <c r="AE145" i="51" s="1"/>
  <c r="AF134" i="45"/>
  <c r="AF132" i="53" s="1"/>
  <c r="AF136" i="45"/>
  <c r="AF132" i="67" s="1"/>
  <c r="AF133" i="67" s="1"/>
  <c r="AF145" i="67" s="1"/>
  <c r="AF135" i="45"/>
  <c r="AF132" i="52" s="1"/>
  <c r="AF129" i="45"/>
  <c r="AF132" i="51" s="1"/>
  <c r="AD129" i="63"/>
  <c r="AD169" i="63" s="1"/>
  <c r="AD175" i="63" s="1"/>
  <c r="AF142" i="45"/>
  <c r="AF149" i="51" s="1"/>
  <c r="AF150" i="51" s="1"/>
  <c r="AD150" i="64"/>
  <c r="AD162" i="64" s="1"/>
  <c r="AE133" i="58"/>
  <c r="AE145" i="58" s="1"/>
  <c r="AB185" i="65"/>
  <c r="AE140" i="58"/>
  <c r="AD129" i="67"/>
  <c r="AD169" i="67" s="1"/>
  <c r="AE149" i="64"/>
  <c r="AE150" i="64" s="1"/>
  <c r="AE162" i="64" s="1"/>
  <c r="AE149" i="66"/>
  <c r="AE133" i="63"/>
  <c r="AE145" i="63" s="1"/>
  <c r="AE140" i="63"/>
  <c r="AE135" i="63"/>
  <c r="AE142" i="63" s="1"/>
  <c r="AE115" i="64"/>
  <c r="AE123" i="64" s="1"/>
  <c r="AE127" i="64" s="1"/>
  <c r="AE115" i="66"/>
  <c r="AE118" i="66" s="1"/>
  <c r="AC129" i="66"/>
  <c r="AC169" i="66" s="1"/>
  <c r="AB184" i="65"/>
  <c r="AB175" i="65"/>
  <c r="AE149" i="58"/>
  <c r="AE152" i="58" s="1"/>
  <c r="AE159" i="58" s="1"/>
  <c r="AE149" i="65"/>
  <c r="AE133" i="64"/>
  <c r="AE145" i="64" s="1"/>
  <c r="AE135" i="64"/>
  <c r="AE142" i="64" s="1"/>
  <c r="AE140" i="64"/>
  <c r="AB175" i="66"/>
  <c r="AB184" i="66"/>
  <c r="AE115" i="58"/>
  <c r="AE118" i="58" s="1"/>
  <c r="AE125" i="58" s="1"/>
  <c r="AE115" i="65"/>
  <c r="AE116" i="67"/>
  <c r="AE128" i="67" s="1"/>
  <c r="AE123" i="67"/>
  <c r="AE127" i="67" s="1"/>
  <c r="AE125" i="67"/>
  <c r="AF132" i="58"/>
  <c r="AF135" i="58" s="1"/>
  <c r="AF142" i="58" s="1"/>
  <c r="AF132" i="65"/>
  <c r="AE133" i="66"/>
  <c r="AE145" i="66" s="1"/>
  <c r="AE140" i="66"/>
  <c r="AE135" i="66"/>
  <c r="AE142" i="66" s="1"/>
  <c r="AC184" i="67"/>
  <c r="AC175" i="67"/>
  <c r="AC175" i="65"/>
  <c r="AC184" i="65"/>
  <c r="AD112" i="63"/>
  <c r="AD167" i="63" s="1"/>
  <c r="AD176" i="63" s="1"/>
  <c r="AD116" i="65"/>
  <c r="AD128" i="65" s="1"/>
  <c r="AD123" i="65"/>
  <c r="AD127" i="65" s="1"/>
  <c r="AD118" i="65"/>
  <c r="AD125" i="65" s="1"/>
  <c r="AE150" i="67"/>
  <c r="AE162" i="67" s="1"/>
  <c r="AE152" i="67"/>
  <c r="AE159" i="67" s="1"/>
  <c r="AE157" i="67"/>
  <c r="AD150" i="66"/>
  <c r="AD162" i="66" s="1"/>
  <c r="AD157" i="66"/>
  <c r="AD152" i="66"/>
  <c r="AD159" i="66" s="1"/>
  <c r="AD150" i="65"/>
  <c r="AD162" i="65" s="1"/>
  <c r="AD157" i="65"/>
  <c r="AD152" i="65"/>
  <c r="AD159" i="65" s="1"/>
  <c r="AB185" i="66"/>
  <c r="AD116" i="66"/>
  <c r="AD128" i="66" s="1"/>
  <c r="AD123" i="66"/>
  <c r="AD127" i="66" s="1"/>
  <c r="AD125" i="66"/>
  <c r="AE133" i="65"/>
  <c r="AE145" i="65" s="1"/>
  <c r="AE140" i="65"/>
  <c r="AE135" i="65"/>
  <c r="AE142" i="65" s="1"/>
  <c r="AF132" i="61"/>
  <c r="AF140" i="61" s="1"/>
  <c r="AF132" i="63"/>
  <c r="AF132" i="66"/>
  <c r="AF132" i="64"/>
  <c r="AE99" i="63"/>
  <c r="AE111" i="63" s="1"/>
  <c r="AE106" i="63"/>
  <c r="AE110" i="63" s="1"/>
  <c r="AE101" i="63"/>
  <c r="AE108" i="63" s="1"/>
  <c r="AC185" i="63"/>
  <c r="AC176" i="63"/>
  <c r="AC112" i="64"/>
  <c r="AC167" i="64" s="1"/>
  <c r="AE98" i="66"/>
  <c r="AE98" i="64"/>
  <c r="AD99" i="64"/>
  <c r="AD111" i="64" s="1"/>
  <c r="AD106" i="64"/>
  <c r="AD110" i="64" s="1"/>
  <c r="AD101" i="64"/>
  <c r="AD108" i="64" s="1"/>
  <c r="AD99" i="66"/>
  <c r="AD111" i="66" s="1"/>
  <c r="AD101" i="66"/>
  <c r="AD108" i="66" s="1"/>
  <c r="AD106" i="66"/>
  <c r="AD110" i="66" s="1"/>
  <c r="AD112" i="67"/>
  <c r="AD167" i="67" s="1"/>
  <c r="AC176" i="67"/>
  <c r="AC185" i="67"/>
  <c r="AB176" i="64"/>
  <c r="AB185" i="64"/>
  <c r="AE98" i="58"/>
  <c r="AE99" i="58" s="1"/>
  <c r="AE111" i="58" s="1"/>
  <c r="AE98" i="65"/>
  <c r="AD99" i="65"/>
  <c r="AD111" i="65" s="1"/>
  <c r="AD101" i="65"/>
  <c r="AD108" i="65" s="1"/>
  <c r="AD106" i="65"/>
  <c r="AD110" i="65" s="1"/>
  <c r="AE99" i="67"/>
  <c r="AE111" i="67" s="1"/>
  <c r="AE106" i="67"/>
  <c r="AE110" i="67" s="1"/>
  <c r="AE101" i="67"/>
  <c r="AE108" i="67" s="1"/>
  <c r="AC112" i="66"/>
  <c r="AC167" i="66" s="1"/>
  <c r="AC112" i="65"/>
  <c r="AC167" i="65" s="1"/>
  <c r="AE150" i="51"/>
  <c r="AE152" i="51"/>
  <c r="AD157" i="61"/>
  <c r="AD150" i="61"/>
  <c r="AD162" i="61" s="1"/>
  <c r="AC184" i="63"/>
  <c r="AC175" i="63"/>
  <c r="AD150" i="63"/>
  <c r="AD162" i="63" s="1"/>
  <c r="AD152" i="63"/>
  <c r="AD159" i="63" s="1"/>
  <c r="AD157" i="63"/>
  <c r="AE125" i="63"/>
  <c r="AE116" i="63"/>
  <c r="AE128" i="63" s="1"/>
  <c r="AE123" i="63"/>
  <c r="AE127" i="63" s="1"/>
  <c r="AE149" i="61"/>
  <c r="AE150" i="61" s="1"/>
  <c r="AE162" i="61" s="1"/>
  <c r="AE149" i="63"/>
  <c r="AF171" i="62"/>
  <c r="AC176" i="62"/>
  <c r="AF174" i="62"/>
  <c r="AF180" i="62" s="1"/>
  <c r="AB175" i="61"/>
  <c r="AB184" i="61"/>
  <c r="AD129" i="62"/>
  <c r="AD169" i="62" s="1"/>
  <c r="AE142" i="57"/>
  <c r="AE140" i="57"/>
  <c r="AE133" i="57"/>
  <c r="AE145" i="57" s="1"/>
  <c r="AF132" i="62"/>
  <c r="AF132" i="57"/>
  <c r="AF135" i="57" s="1"/>
  <c r="AG53" i="61"/>
  <c r="AG74" i="45"/>
  <c r="AG72" i="45"/>
  <c r="AG77" i="45"/>
  <c r="AG70" i="45"/>
  <c r="AG75" i="45"/>
  <c r="AG73" i="45"/>
  <c r="AG78" i="45"/>
  <c r="AG71" i="45"/>
  <c r="AG76" i="45"/>
  <c r="AG53" i="62"/>
  <c r="AE133" i="62"/>
  <c r="AE145" i="62" s="1"/>
  <c r="AE140" i="62"/>
  <c r="AE135" i="62"/>
  <c r="AE142" i="62" s="1"/>
  <c r="AF116" i="62"/>
  <c r="AF128" i="62" s="1"/>
  <c r="AF125" i="62"/>
  <c r="AF123" i="62"/>
  <c r="AF127" i="62" s="1"/>
  <c r="AC184" i="62"/>
  <c r="AC175" i="62"/>
  <c r="AE99" i="62"/>
  <c r="AE111" i="62" s="1"/>
  <c r="AE106" i="62"/>
  <c r="AE110" i="62" s="1"/>
  <c r="AE101" i="62"/>
  <c r="AE108" i="62" s="1"/>
  <c r="AG52" i="61"/>
  <c r="AG59" i="45"/>
  <c r="AG65" i="45"/>
  <c r="AG60" i="45"/>
  <c r="AG66" i="45"/>
  <c r="AG61" i="45"/>
  <c r="AG67" i="45"/>
  <c r="AG62" i="45"/>
  <c r="AG64" i="45"/>
  <c r="AG63" i="45"/>
  <c r="AG48" i="45"/>
  <c r="AG51" i="45"/>
  <c r="AG132" i="45" s="1"/>
  <c r="AG54" i="45"/>
  <c r="AG49" i="45"/>
  <c r="AG130" i="45" s="1"/>
  <c r="AG52" i="45"/>
  <c r="AG133" i="45" s="1"/>
  <c r="AG55" i="45"/>
  <c r="AG50" i="45"/>
  <c r="AG131" i="45" s="1"/>
  <c r="E46" i="74" s="1"/>
  <c r="AG53" i="45"/>
  <c r="AG56" i="45"/>
  <c r="AG137" i="45" s="1"/>
  <c r="AG52" i="62"/>
  <c r="AE116" i="62"/>
  <c r="AE128" i="62" s="1"/>
  <c r="AE125" i="62"/>
  <c r="AE123" i="62"/>
  <c r="AE127" i="62" s="1"/>
  <c r="AD112" i="62"/>
  <c r="AD167" i="62" s="1"/>
  <c r="AE150" i="62"/>
  <c r="AE162" i="62" s="1"/>
  <c r="AE157" i="62"/>
  <c r="AE152" i="62"/>
  <c r="AE159" i="62" s="1"/>
  <c r="AG51" i="61"/>
  <c r="AG136" i="61" s="1"/>
  <c r="AG143" i="61" s="1"/>
  <c r="AG51" i="38"/>
  <c r="AG49" i="61"/>
  <c r="AG49" i="38"/>
  <c r="AE115" i="61"/>
  <c r="AE118" i="61" s="1"/>
  <c r="AG42" i="61"/>
  <c r="AG68" i="61" s="1"/>
  <c r="AG75" i="61" s="1"/>
  <c r="AG78" i="61" s="1"/>
  <c r="AG165" i="61" s="1"/>
  <c r="AG42" i="38"/>
  <c r="AG43" i="61"/>
  <c r="AG85" i="61" s="1"/>
  <c r="AG92" i="61" s="1"/>
  <c r="AG95" i="61" s="1"/>
  <c r="AG166" i="61" s="1"/>
  <c r="AD7" i="75" s="1"/>
  <c r="AG43" i="38"/>
  <c r="AC129" i="61"/>
  <c r="AC169" i="61" s="1"/>
  <c r="AD99" i="61"/>
  <c r="AD111" i="61" s="1"/>
  <c r="AD101" i="61"/>
  <c r="AD108" i="61" s="1"/>
  <c r="AD106" i="61"/>
  <c r="AD110" i="61" s="1"/>
  <c r="AE98" i="61"/>
  <c r="AB176" i="61"/>
  <c r="AB185" i="61"/>
  <c r="AG45" i="38"/>
  <c r="AG45" i="61"/>
  <c r="AC112" i="61"/>
  <c r="AC167" i="61" s="1"/>
  <c r="AD116" i="61"/>
  <c r="AD128" i="61" s="1"/>
  <c r="AD125" i="61"/>
  <c r="AD123" i="61"/>
  <c r="AD127" i="61" s="1"/>
  <c r="AE153" i="61"/>
  <c r="AE160" i="61" s="1"/>
  <c r="AE119" i="61"/>
  <c r="AE126" i="61" s="1"/>
  <c r="AF171" i="61"/>
  <c r="AF174" i="61"/>
  <c r="AF180" i="61" s="1"/>
  <c r="AF183" i="61"/>
  <c r="AF189" i="61" s="1"/>
  <c r="AF48" i="61"/>
  <c r="AF50" i="61" s="1"/>
  <c r="AG46" i="61"/>
  <c r="AG46" i="38"/>
  <c r="AE171" i="53"/>
  <c r="Z48" i="38"/>
  <c r="Z50" i="38" s="1"/>
  <c r="AE183" i="52"/>
  <c r="AE189" i="52" s="1"/>
  <c r="AF75" i="51"/>
  <c r="AF78" i="51" s="1"/>
  <c r="AF165" i="51" s="1"/>
  <c r="AF171" i="51" s="1"/>
  <c r="AE174" i="52"/>
  <c r="AE180" i="52" s="1"/>
  <c r="AF75" i="57"/>
  <c r="AF78" i="57" s="1"/>
  <c r="AF165" i="57" s="1"/>
  <c r="AF183" i="57" s="1"/>
  <c r="AF189" i="57" s="1"/>
  <c r="AE171" i="52"/>
  <c r="AC175" i="53"/>
  <c r="AF75" i="58"/>
  <c r="AF78" i="58" s="1"/>
  <c r="AF165" i="58" s="1"/>
  <c r="AF183" i="58" s="1"/>
  <c r="AF189" i="58" s="1"/>
  <c r="AE183" i="51"/>
  <c r="AE189" i="51" s="1"/>
  <c r="AF144" i="45"/>
  <c r="AF149" i="66" s="1"/>
  <c r="AF75" i="52"/>
  <c r="AF78" i="52" s="1"/>
  <c r="AF165" i="52" s="1"/>
  <c r="AF171" i="52" s="1"/>
  <c r="AF75" i="55"/>
  <c r="AF78" i="55" s="1"/>
  <c r="AF165" i="55" s="1"/>
  <c r="AF183" i="55" s="1"/>
  <c r="AF189" i="55" s="1"/>
  <c r="AB176" i="55"/>
  <c r="AE171" i="51"/>
  <c r="AC185" i="51"/>
  <c r="AE174" i="53"/>
  <c r="AE180" i="53" s="1"/>
  <c r="AF75" i="53"/>
  <c r="AF78" i="53" s="1"/>
  <c r="AF165" i="53" s="1"/>
  <c r="AD112" i="53"/>
  <c r="AD167" i="53" s="1"/>
  <c r="AD185" i="53" s="1"/>
  <c r="AC112" i="57"/>
  <c r="AC167" i="57" s="1"/>
  <c r="AC185" i="57" s="1"/>
  <c r="AE171" i="57"/>
  <c r="AE174" i="57"/>
  <c r="AE180" i="57" s="1"/>
  <c r="AE183" i="57"/>
  <c r="AE189" i="57" s="1"/>
  <c r="AG53" i="38"/>
  <c r="AG53" i="57"/>
  <c r="AG53" i="58"/>
  <c r="AG53" i="55"/>
  <c r="AG53" i="53"/>
  <c r="AG53" i="52"/>
  <c r="AG53" i="51"/>
  <c r="AG52" i="38"/>
  <c r="AG52" i="58"/>
  <c r="AG52" i="57"/>
  <c r="AG52" i="55"/>
  <c r="AG52" i="53"/>
  <c r="AG52" i="52"/>
  <c r="AG52" i="51"/>
  <c r="AE153" i="52"/>
  <c r="AE160" i="52" s="1"/>
  <c r="AE119" i="52"/>
  <c r="AE126" i="52" s="1"/>
  <c r="AE153" i="53"/>
  <c r="AE160" i="53" s="1"/>
  <c r="AE119" i="53"/>
  <c r="AE126" i="53" s="1"/>
  <c r="AG45" i="58"/>
  <c r="AG45" i="57"/>
  <c r="AG45" i="55"/>
  <c r="AG45" i="53"/>
  <c r="AG45" i="52"/>
  <c r="AG45" i="51"/>
  <c r="AE153" i="58"/>
  <c r="AE160" i="58" s="1"/>
  <c r="AE119" i="58"/>
  <c r="AE126" i="58" s="1"/>
  <c r="AE153" i="57"/>
  <c r="AE160" i="57" s="1"/>
  <c r="AE119" i="57"/>
  <c r="AE126" i="57" s="1"/>
  <c r="AG51" i="58"/>
  <c r="AG136" i="58" s="1"/>
  <c r="AG143" i="58" s="1"/>
  <c r="AG51" i="55"/>
  <c r="AG136" i="55" s="1"/>
  <c r="AG143" i="55" s="1"/>
  <c r="AG51" i="53"/>
  <c r="AG136" i="53" s="1"/>
  <c r="AG143" i="53" s="1"/>
  <c r="AG51" i="57"/>
  <c r="AG136" i="57" s="1"/>
  <c r="AG143" i="57" s="1"/>
  <c r="AG51" i="52"/>
  <c r="AG136" i="52" s="1"/>
  <c r="AG143" i="52" s="1"/>
  <c r="AG51" i="51"/>
  <c r="AG136" i="51" s="1"/>
  <c r="AG143" i="51" s="1"/>
  <c r="AG46" i="58"/>
  <c r="AG46" i="57"/>
  <c r="AG46" i="55"/>
  <c r="AG46" i="52"/>
  <c r="AG46" i="53"/>
  <c r="AG46" i="51"/>
  <c r="AG42" i="58"/>
  <c r="AG68" i="58" s="1"/>
  <c r="AG42" i="55"/>
  <c r="AG68" i="55" s="1"/>
  <c r="AG42" i="57"/>
  <c r="AG68" i="57" s="1"/>
  <c r="AG42" i="53"/>
  <c r="AG68" i="53" s="1"/>
  <c r="AG42" i="52"/>
  <c r="AG68" i="52" s="1"/>
  <c r="AG42" i="51"/>
  <c r="AG68" i="51" s="1"/>
  <c r="AG41" i="58"/>
  <c r="AG67" i="58" s="1"/>
  <c r="AG41" i="57"/>
  <c r="AG67" i="57" s="1"/>
  <c r="AG41" i="55"/>
  <c r="AG67" i="55" s="1"/>
  <c r="AG41" i="53"/>
  <c r="AG67" i="53" s="1"/>
  <c r="AG41" i="52"/>
  <c r="AG67" i="52" s="1"/>
  <c r="AG41" i="51"/>
  <c r="AG67" i="51" s="1"/>
  <c r="AE119" i="55"/>
  <c r="AE126" i="55" s="1"/>
  <c r="AE153" i="55"/>
  <c r="AE160" i="55" s="1"/>
  <c r="AG43" i="58"/>
  <c r="AG85" i="58" s="1"/>
  <c r="AG92" i="58" s="1"/>
  <c r="AG95" i="58" s="1"/>
  <c r="AG166" i="58" s="1"/>
  <c r="AG43" i="57"/>
  <c r="AG85" i="57" s="1"/>
  <c r="AG92" i="57" s="1"/>
  <c r="AG95" i="57" s="1"/>
  <c r="AG166" i="57" s="1"/>
  <c r="AG43" i="55"/>
  <c r="AG85" i="55" s="1"/>
  <c r="AG92" i="55" s="1"/>
  <c r="AG95" i="55" s="1"/>
  <c r="AG166" i="55" s="1"/>
  <c r="AG43" i="53"/>
  <c r="AG85" i="53" s="1"/>
  <c r="AG92" i="53" s="1"/>
  <c r="AG95" i="53" s="1"/>
  <c r="AG166" i="53" s="1"/>
  <c r="AG43" i="52"/>
  <c r="AG85" i="52" s="1"/>
  <c r="AG92" i="52" s="1"/>
  <c r="AG95" i="52" s="1"/>
  <c r="AG166" i="52" s="1"/>
  <c r="AG43" i="51"/>
  <c r="AG85" i="51" s="1"/>
  <c r="AG92" i="51" s="1"/>
  <c r="AG95" i="51" s="1"/>
  <c r="AG166" i="51" s="1"/>
  <c r="AE153" i="51"/>
  <c r="AE160" i="51" s="1"/>
  <c r="AE119" i="51"/>
  <c r="AE126" i="51" s="1"/>
  <c r="AE183" i="55"/>
  <c r="AE189" i="55" s="1"/>
  <c r="AE174" i="55"/>
  <c r="AE180" i="55" s="1"/>
  <c r="AE171" i="55"/>
  <c r="AE174" i="58"/>
  <c r="AE180" i="58" s="1"/>
  <c r="AE183" i="58"/>
  <c r="AE189" i="58" s="1"/>
  <c r="AE171" i="58"/>
  <c r="AD116" i="57"/>
  <c r="AD128" i="57" s="1"/>
  <c r="AD118" i="57"/>
  <c r="AD125" i="57" s="1"/>
  <c r="AD123" i="57"/>
  <c r="AD127" i="57" s="1"/>
  <c r="AC184" i="51"/>
  <c r="AC175" i="51"/>
  <c r="AE116" i="53"/>
  <c r="AE128" i="53" s="1"/>
  <c r="AE118" i="53"/>
  <c r="AE125" i="53" s="1"/>
  <c r="AE123" i="53"/>
  <c r="AE127" i="53" s="1"/>
  <c r="AE99" i="51"/>
  <c r="AE111" i="51" s="1"/>
  <c r="AE106" i="51"/>
  <c r="AE110" i="51" s="1"/>
  <c r="AE101" i="51"/>
  <c r="AE108" i="51" s="1"/>
  <c r="AE99" i="52"/>
  <c r="AE111" i="52" s="1"/>
  <c r="AE106" i="52"/>
  <c r="AE110" i="52" s="1"/>
  <c r="AE101" i="52"/>
  <c r="AE108" i="52" s="1"/>
  <c r="AE115" i="38"/>
  <c r="AE118" i="38" s="1"/>
  <c r="AE115" i="55"/>
  <c r="AE149" i="38"/>
  <c r="AE152" i="38" s="1"/>
  <c r="AE149" i="55"/>
  <c r="AE152" i="55" s="1"/>
  <c r="AD99" i="55"/>
  <c r="AD111" i="55" s="1"/>
  <c r="AD106" i="55"/>
  <c r="AD110" i="55" s="1"/>
  <c r="AD101" i="55"/>
  <c r="AD108" i="55" s="1"/>
  <c r="AC185" i="53"/>
  <c r="AC176" i="53"/>
  <c r="AC129" i="55"/>
  <c r="AC169" i="55" s="1"/>
  <c r="AB176" i="57"/>
  <c r="AB185" i="57"/>
  <c r="AD112" i="51"/>
  <c r="AD167" i="51" s="1"/>
  <c r="AE133" i="55"/>
  <c r="AE145" i="55" s="1"/>
  <c r="AE140" i="55"/>
  <c r="AE142" i="55"/>
  <c r="AD112" i="52"/>
  <c r="AD167" i="52" s="1"/>
  <c r="AD99" i="57"/>
  <c r="AD111" i="57" s="1"/>
  <c r="AD101" i="57"/>
  <c r="AD108" i="57" s="1"/>
  <c r="AD106" i="57"/>
  <c r="AD110" i="57" s="1"/>
  <c r="AE99" i="53"/>
  <c r="AE111" i="53" s="1"/>
  <c r="AE106" i="53"/>
  <c r="AE110" i="53" s="1"/>
  <c r="AE101" i="53"/>
  <c r="AE108" i="53" s="1"/>
  <c r="AD116" i="55"/>
  <c r="AD128" i="55" s="1"/>
  <c r="AD118" i="55"/>
  <c r="AD125" i="55" s="1"/>
  <c r="AD123" i="55"/>
  <c r="AD127" i="55" s="1"/>
  <c r="AD150" i="57"/>
  <c r="AD162" i="57" s="1"/>
  <c r="AD157" i="57"/>
  <c r="AD159" i="57"/>
  <c r="AF132" i="38"/>
  <c r="AF135" i="38" s="1"/>
  <c r="AF132" i="55"/>
  <c r="AF135" i="55" s="1"/>
  <c r="AE149" i="57"/>
  <c r="AE152" i="57" s="1"/>
  <c r="AE98" i="38"/>
  <c r="AE98" i="55"/>
  <c r="AE98" i="57"/>
  <c r="AD129" i="52"/>
  <c r="AD169" i="52" s="1"/>
  <c r="AD150" i="55"/>
  <c r="AD162" i="55" s="1"/>
  <c r="AD157" i="55"/>
  <c r="AD159" i="55"/>
  <c r="AF115" i="57"/>
  <c r="AE115" i="57"/>
  <c r="AE150" i="53"/>
  <c r="AE162" i="53" s="1"/>
  <c r="AE159" i="53"/>
  <c r="AE157" i="53"/>
  <c r="AC129" i="57"/>
  <c r="AC169" i="57" s="1"/>
  <c r="AD129" i="51"/>
  <c r="AD169" i="51" s="1"/>
  <c r="AC112" i="55"/>
  <c r="AC167" i="55" s="1"/>
  <c r="AE150" i="52"/>
  <c r="AE162" i="52" s="1"/>
  <c r="AE157" i="52"/>
  <c r="AE159" i="52"/>
  <c r="AE116" i="51"/>
  <c r="AE128" i="51" s="1"/>
  <c r="AE123" i="51"/>
  <c r="AE127" i="51" s="1"/>
  <c r="AE118" i="51"/>
  <c r="AE125" i="51" s="1"/>
  <c r="AE116" i="52"/>
  <c r="AE128" i="52" s="1"/>
  <c r="AE118" i="52"/>
  <c r="AE125" i="52" s="1"/>
  <c r="AE123" i="52"/>
  <c r="AE127" i="52" s="1"/>
  <c r="AC184" i="52"/>
  <c r="AC175" i="52"/>
  <c r="AB175" i="55"/>
  <c r="AB184" i="55"/>
  <c r="AD175" i="53"/>
  <c r="AD184" i="53"/>
  <c r="AC176" i="52"/>
  <c r="AC185" i="52"/>
  <c r="AD162" i="51"/>
  <c r="AD157" i="51"/>
  <c r="AD159" i="51"/>
  <c r="AE140" i="51"/>
  <c r="AF146" i="45"/>
  <c r="AF149" i="62" s="1"/>
  <c r="AF148" i="45"/>
  <c r="AF149" i="52" s="1"/>
  <c r="AF152" i="52" s="1"/>
  <c r="AF150" i="45"/>
  <c r="AF147" i="45"/>
  <c r="AF149" i="53" s="1"/>
  <c r="AF152" i="53" s="1"/>
  <c r="AF149" i="45"/>
  <c r="AF149" i="67" s="1"/>
  <c r="AF145" i="45"/>
  <c r="AF143" i="45"/>
  <c r="AF119" i="45"/>
  <c r="AF120" i="45"/>
  <c r="AF125" i="45"/>
  <c r="AF123" i="45"/>
  <c r="AF115" i="52" s="1"/>
  <c r="AF118" i="45"/>
  <c r="AF115" i="63" s="1"/>
  <c r="AF118" i="63" s="1"/>
  <c r="AF122" i="45"/>
  <c r="AF115" i="53" s="1"/>
  <c r="AF117" i="45"/>
  <c r="AF115" i="51" s="1"/>
  <c r="AF124" i="45"/>
  <c r="AF115" i="67" s="1"/>
  <c r="AF118" i="67" s="1"/>
  <c r="AG116" i="45"/>
  <c r="AG104" i="45"/>
  <c r="AG103" i="45"/>
  <c r="AF113" i="45"/>
  <c r="AF112" i="45"/>
  <c r="AF98" i="67" s="1"/>
  <c r="AF105" i="45"/>
  <c r="AF98" i="51" s="1"/>
  <c r="AF108" i="45"/>
  <c r="AF111" i="45"/>
  <c r="AF98" i="52" s="1"/>
  <c r="AF110" i="45"/>
  <c r="AF98" i="53" s="1"/>
  <c r="AF106" i="45"/>
  <c r="AF98" i="63" s="1"/>
  <c r="AF109" i="45"/>
  <c r="AF98" i="62" s="1"/>
  <c r="AF107" i="45"/>
  <c r="CN151" i="2" l="1"/>
  <c r="BV118" i="2"/>
  <c r="G125" i="78" s="1"/>
  <c r="S125" i="78" s="1"/>
  <c r="S130" i="78" s="1"/>
  <c r="AD6" i="75"/>
  <c r="AE6" i="75" s="1"/>
  <c r="CN8" i="2"/>
  <c r="V63" i="77"/>
  <c r="V64" i="77" s="1"/>
  <c r="T147" i="77"/>
  <c r="T148" i="77" s="1"/>
  <c r="W123" i="77"/>
  <c r="W124" i="77" s="1"/>
  <c r="T39" i="77"/>
  <c r="T40" i="77" s="1"/>
  <c r="R51" i="77"/>
  <c r="R52" i="77" s="1"/>
  <c r="U135" i="77"/>
  <c r="U136" i="77" s="1"/>
  <c r="V15" i="77"/>
  <c r="V16" i="77" s="1"/>
  <c r="U159" i="77"/>
  <c r="U160" i="77" s="1"/>
  <c r="U51" i="77"/>
  <c r="U52" i="77" s="1"/>
  <c r="R135" i="77"/>
  <c r="R136" i="77" s="1"/>
  <c r="R15" i="77"/>
  <c r="R16" i="77" s="1"/>
  <c r="R159" i="77"/>
  <c r="R160" i="77" s="1"/>
  <c r="R39" i="77"/>
  <c r="R40" i="77" s="1"/>
  <c r="W51" i="77"/>
  <c r="W52" i="77" s="1"/>
  <c r="S135" i="77"/>
  <c r="S136" i="77" s="1"/>
  <c r="S15" i="77"/>
  <c r="S16" i="77" s="1"/>
  <c r="T159" i="77"/>
  <c r="T160" i="77" s="1"/>
  <c r="T111" i="77"/>
  <c r="T112" i="77" s="1"/>
  <c r="U39" i="77"/>
  <c r="U40" i="77" s="1"/>
  <c r="V135" i="77"/>
  <c r="V136" i="77" s="1"/>
  <c r="U15" i="77"/>
  <c r="U16" i="77" s="1"/>
  <c r="S159" i="77"/>
  <c r="S160" i="77" s="1"/>
  <c r="S111" i="77"/>
  <c r="S112" i="77" s="1"/>
  <c r="S39" i="77"/>
  <c r="S40" i="77" s="1"/>
  <c r="T135" i="77"/>
  <c r="T136" i="77" s="1"/>
  <c r="T15" i="77"/>
  <c r="T16" i="77" s="1"/>
  <c r="V159" i="77"/>
  <c r="V160" i="77" s="1"/>
  <c r="V39" i="77"/>
  <c r="V40" i="77" s="1"/>
  <c r="W135" i="77"/>
  <c r="W136" i="77" s="1"/>
  <c r="W15" i="77"/>
  <c r="W16" i="77" s="1"/>
  <c r="W159" i="77"/>
  <c r="W160" i="77" s="1"/>
  <c r="U111" i="77"/>
  <c r="U112" i="77" s="1"/>
  <c r="W39" i="77"/>
  <c r="W40" i="77" s="1"/>
  <c r="W111" i="77"/>
  <c r="W112" i="77" s="1"/>
  <c r="R63" i="77"/>
  <c r="R64" i="77" s="1"/>
  <c r="V147" i="77"/>
  <c r="V148" i="77" s="1"/>
  <c r="S123" i="77"/>
  <c r="S124" i="77" s="1"/>
  <c r="U63" i="77"/>
  <c r="U64" i="77" s="1"/>
  <c r="R147" i="77"/>
  <c r="R148" i="77" s="1"/>
  <c r="T123" i="77"/>
  <c r="T124" i="77" s="1"/>
  <c r="V51" i="77"/>
  <c r="V52" i="77" s="1"/>
  <c r="S63" i="77"/>
  <c r="S64" i="77" s="1"/>
  <c r="S147" i="77"/>
  <c r="S148" i="77" s="1"/>
  <c r="V123" i="77"/>
  <c r="V124" i="77" s="1"/>
  <c r="T51" i="77"/>
  <c r="T52" i="77" s="1"/>
  <c r="T63" i="77"/>
  <c r="T64" i="77" s="1"/>
  <c r="U147" i="77"/>
  <c r="U148" i="77" s="1"/>
  <c r="R123" i="77"/>
  <c r="R124" i="77" s="1"/>
  <c r="V111" i="77"/>
  <c r="V112" i="77" s="1"/>
  <c r="R111" i="77"/>
  <c r="R112" i="77" s="1"/>
  <c r="S51" i="77"/>
  <c r="S52" i="77" s="1"/>
  <c r="W63" i="77"/>
  <c r="W64" i="77" s="1"/>
  <c r="W147" i="77"/>
  <c r="W148" i="77" s="1"/>
  <c r="U123" i="77"/>
  <c r="U124" i="77" s="1"/>
  <c r="BU118" i="2"/>
  <c r="F125" i="78" s="1"/>
  <c r="R125" i="78" s="1"/>
  <c r="R130" i="78" s="1"/>
  <c r="BW118" i="2"/>
  <c r="H125" i="78" s="1"/>
  <c r="T125" i="78" s="1"/>
  <c r="T130" i="78" s="1"/>
  <c r="BY118" i="2"/>
  <c r="J125" i="78" s="1"/>
  <c r="V125" i="78" s="1"/>
  <c r="V130" i="78" s="1"/>
  <c r="BU96" i="2"/>
  <c r="F101" i="78" s="1"/>
  <c r="R101" i="78" s="1"/>
  <c r="R106" i="78" s="1"/>
  <c r="BY96" i="2"/>
  <c r="J101" i="78" s="1"/>
  <c r="V101" i="78" s="1"/>
  <c r="V106" i="78" s="1"/>
  <c r="BW96" i="2"/>
  <c r="H101" i="78" s="1"/>
  <c r="T101" i="78" s="1"/>
  <c r="T106" i="78" s="1"/>
  <c r="BV96" i="2"/>
  <c r="G101" i="78" s="1"/>
  <c r="S101" i="78" s="1"/>
  <c r="S106" i="78" s="1"/>
  <c r="E82" i="74"/>
  <c r="AD31" i="75"/>
  <c r="E66" i="74"/>
  <c r="AD15" i="75"/>
  <c r="E90" i="74"/>
  <c r="AD39" i="75"/>
  <c r="E73" i="74"/>
  <c r="AD22" i="75"/>
  <c r="E65" i="74"/>
  <c r="AD14" i="75"/>
  <c r="E98" i="74"/>
  <c r="AD47" i="75"/>
  <c r="E105" i="74"/>
  <c r="AD54" i="75"/>
  <c r="E74" i="74"/>
  <c r="AD23" i="75"/>
  <c r="E106" i="74"/>
  <c r="AD55" i="75"/>
  <c r="E57" i="74"/>
  <c r="F6" i="75"/>
  <c r="E58" i="74"/>
  <c r="F7" i="75"/>
  <c r="U188" i="67"/>
  <c r="U178" i="67"/>
  <c r="U179" i="67"/>
  <c r="U186" i="67"/>
  <c r="U188" i="52"/>
  <c r="V177" i="53"/>
  <c r="V187" i="53"/>
  <c r="U179" i="52"/>
  <c r="T194" i="58"/>
  <c r="T179" i="58"/>
  <c r="U187" i="51"/>
  <c r="T179" i="65"/>
  <c r="T178" i="65"/>
  <c r="U194" i="52"/>
  <c r="U187" i="52"/>
  <c r="T194" i="65"/>
  <c r="T179" i="55"/>
  <c r="T188" i="65"/>
  <c r="U179" i="53"/>
  <c r="T179" i="66"/>
  <c r="T194" i="64"/>
  <c r="T186" i="66"/>
  <c r="T178" i="64"/>
  <c r="T186" i="63"/>
  <c r="T179" i="64"/>
  <c r="T188" i="64"/>
  <c r="T187" i="61"/>
  <c r="T194" i="61"/>
  <c r="T179" i="61"/>
  <c r="U194" i="53"/>
  <c r="T186" i="55"/>
  <c r="U194" i="51"/>
  <c r="T188" i="55"/>
  <c r="T178" i="66"/>
  <c r="T186" i="58"/>
  <c r="V193" i="53"/>
  <c r="T178" i="58"/>
  <c r="T178" i="55"/>
  <c r="T186" i="62"/>
  <c r="V177" i="64"/>
  <c r="V193" i="64"/>
  <c r="T178" i="61"/>
  <c r="U178" i="53"/>
  <c r="V192" i="64"/>
  <c r="U188" i="53"/>
  <c r="V193" i="62"/>
  <c r="T194" i="62"/>
  <c r="V177" i="62"/>
  <c r="T179" i="62"/>
  <c r="V192" i="62"/>
  <c r="U179" i="51"/>
  <c r="U178" i="51"/>
  <c r="X214" i="45"/>
  <c r="X230" i="45" s="1"/>
  <c r="W246" i="45"/>
  <c r="W262" i="45" s="1"/>
  <c r="V59" i="67"/>
  <c r="V154" i="67" s="1"/>
  <c r="V161" i="67" s="1"/>
  <c r="V163" i="67" s="1"/>
  <c r="V170" i="67" s="1"/>
  <c r="V178" i="67" s="1"/>
  <c r="V245" i="45"/>
  <c r="V261" i="45" s="1"/>
  <c r="U59" i="66"/>
  <c r="U154" i="66" s="1"/>
  <c r="U161" i="66" s="1"/>
  <c r="U163" i="66" s="1"/>
  <c r="U170" i="66" s="1"/>
  <c r="U179" i="66" s="1"/>
  <c r="T194" i="66"/>
  <c r="X213" i="45"/>
  <c r="X229" i="45" s="1"/>
  <c r="W58" i="66"/>
  <c r="W137" i="66" s="1"/>
  <c r="W144" i="66" s="1"/>
  <c r="W146" i="66" s="1"/>
  <c r="W168" i="66" s="1"/>
  <c r="BQ140" i="2" s="1"/>
  <c r="V244" i="45"/>
  <c r="V260" i="45" s="1"/>
  <c r="U59" i="55"/>
  <c r="U154" i="55" s="1"/>
  <c r="U161" i="55" s="1"/>
  <c r="U163" i="55" s="1"/>
  <c r="U170" i="55" s="1"/>
  <c r="U178" i="55" s="1"/>
  <c r="X212" i="45"/>
  <c r="X228" i="45" s="1"/>
  <c r="V243" i="45"/>
  <c r="V259" i="45" s="1"/>
  <c r="U59" i="65"/>
  <c r="U154" i="65" s="1"/>
  <c r="U161" i="65" s="1"/>
  <c r="U163" i="65" s="1"/>
  <c r="U170" i="65" s="1"/>
  <c r="U179" i="65" s="1"/>
  <c r="X211" i="45"/>
  <c r="X227" i="45" s="1"/>
  <c r="V242" i="45"/>
  <c r="V258" i="45" s="1"/>
  <c r="U59" i="58"/>
  <c r="U154" i="58" s="1"/>
  <c r="U161" i="58" s="1"/>
  <c r="U163" i="58" s="1"/>
  <c r="U170" i="58" s="1"/>
  <c r="U188" i="58" s="1"/>
  <c r="X210" i="45"/>
  <c r="X226" i="45" s="1"/>
  <c r="T194" i="57"/>
  <c r="V241" i="45"/>
  <c r="V257" i="45" s="1"/>
  <c r="U59" i="57"/>
  <c r="U154" i="57" s="1"/>
  <c r="U161" i="57" s="1"/>
  <c r="U163" i="57" s="1"/>
  <c r="U170" i="57" s="1"/>
  <c r="U186" i="57" s="1"/>
  <c r="T188" i="57"/>
  <c r="X209" i="45"/>
  <c r="X225" i="45" s="1"/>
  <c r="W58" i="57"/>
  <c r="W137" i="57" s="1"/>
  <c r="W144" i="57" s="1"/>
  <c r="W146" i="57" s="1"/>
  <c r="W168" i="57" s="1"/>
  <c r="BQ96" i="2" s="1"/>
  <c r="T179" i="57"/>
  <c r="V193" i="57"/>
  <c r="V187" i="57"/>
  <c r="V192" i="57"/>
  <c r="V177" i="57"/>
  <c r="T186" i="57"/>
  <c r="X208" i="45"/>
  <c r="X224" i="45" s="1"/>
  <c r="W240" i="45"/>
  <c r="W256" i="45" s="1"/>
  <c r="V59" i="52"/>
  <c r="V154" i="52" s="1"/>
  <c r="V161" i="52" s="1"/>
  <c r="V163" i="52" s="1"/>
  <c r="V170" i="52" s="1"/>
  <c r="V178" i="52" s="1"/>
  <c r="X207" i="45"/>
  <c r="X223" i="45" s="1"/>
  <c r="W57" i="53"/>
  <c r="W137" i="53" s="1"/>
  <c r="W144" i="53" s="1"/>
  <c r="W146" i="53" s="1"/>
  <c r="W168" i="53" s="1"/>
  <c r="W239" i="45"/>
  <c r="W255" i="45" s="1"/>
  <c r="V58" i="53"/>
  <c r="V154" i="53" s="1"/>
  <c r="V161" i="53" s="1"/>
  <c r="V163" i="53" s="1"/>
  <c r="V170" i="53" s="1"/>
  <c r="V188" i="53" s="1"/>
  <c r="X206" i="45"/>
  <c r="X222" i="45" s="1"/>
  <c r="W238" i="45"/>
  <c r="W254" i="45" s="1"/>
  <c r="V58" i="51"/>
  <c r="V154" i="51" s="1"/>
  <c r="V161" i="51" s="1"/>
  <c r="V163" i="51" s="1"/>
  <c r="V170" i="51" s="1"/>
  <c r="V188" i="51" s="1"/>
  <c r="V237" i="45"/>
  <c r="V253" i="45" s="1"/>
  <c r="U58" i="64"/>
  <c r="U154" i="64" s="1"/>
  <c r="U161" i="64" s="1"/>
  <c r="U163" i="64" s="1"/>
  <c r="U170" i="64" s="1"/>
  <c r="U194" i="64" s="1"/>
  <c r="X205" i="45"/>
  <c r="X221" i="45" s="1"/>
  <c r="W57" i="64"/>
  <c r="W137" i="64" s="1"/>
  <c r="W144" i="64" s="1"/>
  <c r="W146" i="64" s="1"/>
  <c r="W168" i="64" s="1"/>
  <c r="V236" i="45"/>
  <c r="V252" i="45" s="1"/>
  <c r="U58" i="63"/>
  <c r="U154" i="63" s="1"/>
  <c r="U161" i="63" s="1"/>
  <c r="U163" i="63" s="1"/>
  <c r="U170" i="63" s="1"/>
  <c r="U179" i="63" s="1"/>
  <c r="X204" i="45"/>
  <c r="X220" i="45" s="1"/>
  <c r="W57" i="63"/>
  <c r="W137" i="63" s="1"/>
  <c r="W144" i="63" s="1"/>
  <c r="W146" i="63" s="1"/>
  <c r="W168" i="63" s="1"/>
  <c r="BQ41" i="2" s="1"/>
  <c r="V193" i="63"/>
  <c r="V177" i="63"/>
  <c r="V187" i="63"/>
  <c r="V192" i="63"/>
  <c r="T194" i="63"/>
  <c r="T178" i="63"/>
  <c r="T188" i="63"/>
  <c r="T188" i="62"/>
  <c r="V235" i="45"/>
  <c r="V251" i="45" s="1"/>
  <c r="U58" i="62"/>
  <c r="U154" i="62" s="1"/>
  <c r="U161" i="62" s="1"/>
  <c r="U163" i="62" s="1"/>
  <c r="U170" i="62" s="1"/>
  <c r="U179" i="62" s="1"/>
  <c r="X203" i="45"/>
  <c r="X219" i="45" s="1"/>
  <c r="W57" i="62"/>
  <c r="W137" i="62" s="1"/>
  <c r="W144" i="62" s="1"/>
  <c r="W146" i="62" s="1"/>
  <c r="W168" i="62" s="1"/>
  <c r="V234" i="45"/>
  <c r="V250" i="45" s="1"/>
  <c r="U58" i="38"/>
  <c r="X202" i="45"/>
  <c r="X218" i="45" s="1"/>
  <c r="W57" i="38"/>
  <c r="V233" i="45"/>
  <c r="V249" i="45" s="1"/>
  <c r="U58" i="61"/>
  <c r="U154" i="61" s="1"/>
  <c r="U161" i="61" s="1"/>
  <c r="U163" i="61" s="1"/>
  <c r="U170" i="61" s="1"/>
  <c r="U179" i="61" s="1"/>
  <c r="X201" i="45"/>
  <c r="X217" i="45" s="1"/>
  <c r="V58" i="58"/>
  <c r="V137" i="58" s="1"/>
  <c r="V144" i="58" s="1"/>
  <c r="V146" i="58" s="1"/>
  <c r="V168" i="58" s="1"/>
  <c r="V192" i="66"/>
  <c r="V187" i="66"/>
  <c r="V177" i="66"/>
  <c r="V193" i="66"/>
  <c r="U192" i="58"/>
  <c r="U187" i="58"/>
  <c r="U177" i="58"/>
  <c r="U193" i="58"/>
  <c r="V57" i="51"/>
  <c r="V137" i="51" s="1"/>
  <c r="V144" i="51" s="1"/>
  <c r="V146" i="51" s="1"/>
  <c r="V168" i="51" s="1"/>
  <c r="V192" i="55"/>
  <c r="V187" i="55"/>
  <c r="V177" i="55"/>
  <c r="V193" i="55"/>
  <c r="V193" i="52"/>
  <c r="V192" i="52"/>
  <c r="V177" i="52"/>
  <c r="V186" i="52"/>
  <c r="U186" i="51"/>
  <c r="U177" i="51"/>
  <c r="U192" i="51"/>
  <c r="U193" i="51"/>
  <c r="W58" i="55"/>
  <c r="W137" i="55" s="1"/>
  <c r="W144" i="55" s="1"/>
  <c r="W146" i="55" s="1"/>
  <c r="W168" i="55" s="1"/>
  <c r="BQ129" i="2" s="1"/>
  <c r="W58" i="52"/>
  <c r="W137" i="52" s="1"/>
  <c r="W144" i="52" s="1"/>
  <c r="W146" i="52" s="1"/>
  <c r="W168" i="52" s="1"/>
  <c r="BQ85" i="2" s="1"/>
  <c r="V177" i="67"/>
  <c r="V193" i="67"/>
  <c r="V187" i="67"/>
  <c r="V192" i="67"/>
  <c r="W58" i="67"/>
  <c r="W137" i="67" s="1"/>
  <c r="W144" i="67" s="1"/>
  <c r="W146" i="67" s="1"/>
  <c r="W168" i="67" s="1"/>
  <c r="BQ151" i="2" s="1"/>
  <c r="V58" i="65"/>
  <c r="V137" i="65" s="1"/>
  <c r="V144" i="65" s="1"/>
  <c r="V146" i="65" s="1"/>
  <c r="V168" i="65" s="1"/>
  <c r="U193" i="65"/>
  <c r="U177" i="65"/>
  <c r="U187" i="65"/>
  <c r="U192" i="65"/>
  <c r="U177" i="61"/>
  <c r="U192" i="61"/>
  <c r="U186" i="61"/>
  <c r="U193" i="61"/>
  <c r="V57" i="61"/>
  <c r="V137" i="61" s="1"/>
  <c r="V144" i="61" s="1"/>
  <c r="V146" i="61" s="1"/>
  <c r="V168" i="61" s="1"/>
  <c r="AG48" i="64"/>
  <c r="AG50" i="64" s="1"/>
  <c r="AG119" i="64" s="1"/>
  <c r="AG126" i="64" s="1"/>
  <c r="AG48" i="67"/>
  <c r="AG50" i="67" s="1"/>
  <c r="AG48" i="58"/>
  <c r="AG50" i="58" s="1"/>
  <c r="AG48" i="66"/>
  <c r="AG50" i="66" s="1"/>
  <c r="AG48" i="62"/>
  <c r="AG50" i="62" s="1"/>
  <c r="AG153" i="62" s="1"/>
  <c r="AG160" i="62" s="1"/>
  <c r="AF174" i="64"/>
  <c r="AF180" i="64" s="1"/>
  <c r="AF171" i="64"/>
  <c r="AG174" i="63"/>
  <c r="AG180" i="63" s="1"/>
  <c r="AG183" i="63"/>
  <c r="AG189" i="63" s="1"/>
  <c r="AG171" i="63"/>
  <c r="AG171" i="64"/>
  <c r="AG183" i="64"/>
  <c r="AG189" i="64" s="1"/>
  <c r="AG174" i="64"/>
  <c r="AG180" i="64" s="1"/>
  <c r="AG174" i="65"/>
  <c r="AG180" i="65" s="1"/>
  <c r="AG171" i="65"/>
  <c r="AG183" i="65"/>
  <c r="AG189" i="65" s="1"/>
  <c r="AG48" i="52"/>
  <c r="AG50" i="52" s="1"/>
  <c r="AG48" i="63"/>
  <c r="AG50" i="63" s="1"/>
  <c r="AG119" i="63" s="1"/>
  <c r="AG126" i="63" s="1"/>
  <c r="AG183" i="66"/>
  <c r="AG189" i="66" s="1"/>
  <c r="AG174" i="66"/>
  <c r="AG180" i="66" s="1"/>
  <c r="AG171" i="66"/>
  <c r="AG48" i="51"/>
  <c r="AG50" i="51" s="1"/>
  <c r="AG48" i="53"/>
  <c r="AG50" i="53" s="1"/>
  <c r="AG171" i="67"/>
  <c r="AG174" i="67"/>
  <c r="AG180" i="67" s="1"/>
  <c r="AG183" i="67"/>
  <c r="AG189" i="67" s="1"/>
  <c r="AG48" i="55"/>
  <c r="AG50" i="55" s="1"/>
  <c r="AG48" i="65"/>
  <c r="AG50" i="65" s="1"/>
  <c r="AG48" i="57"/>
  <c r="AG50" i="57" s="1"/>
  <c r="AC185" i="58"/>
  <c r="AD112" i="58"/>
  <c r="AD167" i="58" s="1"/>
  <c r="AD185" i="58" s="1"/>
  <c r="AG149" i="45"/>
  <c r="AG149" i="67" s="1"/>
  <c r="AC184" i="64"/>
  <c r="AD129" i="58"/>
  <c r="AD169" i="58" s="1"/>
  <c r="AD175" i="58" s="1"/>
  <c r="AE157" i="58"/>
  <c r="AE150" i="58"/>
  <c r="AE162" i="58" s="1"/>
  <c r="AG150" i="45"/>
  <c r="AG149" i="65" s="1"/>
  <c r="CM119" i="2" s="1"/>
  <c r="CJ119" i="2" s="1"/>
  <c r="AE116" i="64"/>
  <c r="AE128" i="64" s="1"/>
  <c r="AE118" i="64"/>
  <c r="AE125" i="64" s="1"/>
  <c r="AE116" i="58"/>
  <c r="AE128" i="58" s="1"/>
  <c r="AE123" i="58"/>
  <c r="AE127" i="58" s="1"/>
  <c r="AD129" i="64"/>
  <c r="AD169" i="64" s="1"/>
  <c r="AD184" i="64" s="1"/>
  <c r="AE157" i="64"/>
  <c r="AF133" i="61"/>
  <c r="AF145" i="61" s="1"/>
  <c r="AE152" i="64"/>
  <c r="AE159" i="64" s="1"/>
  <c r="AG146" i="45"/>
  <c r="AG149" i="62" s="1"/>
  <c r="CM31" i="2" s="1"/>
  <c r="CJ31" i="2" s="1"/>
  <c r="AF152" i="51"/>
  <c r="AG144" i="45"/>
  <c r="E48" i="74" s="1"/>
  <c r="AF140" i="67"/>
  <c r="AF119" i="62"/>
  <c r="AF126" i="62" s="1"/>
  <c r="AF129" i="62" s="1"/>
  <c r="AF169" i="62" s="1"/>
  <c r="AF119" i="63"/>
  <c r="AF126" i="63" s="1"/>
  <c r="AF153" i="64"/>
  <c r="AF160" i="64" s="1"/>
  <c r="AD175" i="67"/>
  <c r="AF153" i="67"/>
  <c r="AF160" i="67" s="1"/>
  <c r="AF119" i="67"/>
  <c r="AF126" i="67" s="1"/>
  <c r="AD184" i="67"/>
  <c r="AF153" i="66"/>
  <c r="AF160" i="66" s="1"/>
  <c r="AF119" i="66"/>
  <c r="AF126" i="66" s="1"/>
  <c r="AF153" i="65"/>
  <c r="AF160" i="65" s="1"/>
  <c r="AF119" i="65"/>
  <c r="AF126" i="65" s="1"/>
  <c r="AF135" i="52"/>
  <c r="AF142" i="52" s="1"/>
  <c r="AF140" i="52"/>
  <c r="AF133" i="52"/>
  <c r="AF145" i="52" s="1"/>
  <c r="AF135" i="53"/>
  <c r="AF142" i="53" s="1"/>
  <c r="AF133" i="53"/>
  <c r="AF145" i="53" s="1"/>
  <c r="AF140" i="53"/>
  <c r="AF133" i="51"/>
  <c r="AF145" i="51" s="1"/>
  <c r="AF135" i="51"/>
  <c r="AF142" i="51" s="1"/>
  <c r="AG134" i="45"/>
  <c r="AG132" i="53" s="1"/>
  <c r="CK75" i="2" s="1"/>
  <c r="CH75" i="2" s="1"/>
  <c r="AF135" i="67"/>
  <c r="AF142" i="67" s="1"/>
  <c r="AG135" i="45"/>
  <c r="AG132" i="52" s="1"/>
  <c r="CK86" i="2" s="1"/>
  <c r="CH86" i="2" s="1"/>
  <c r="AG136" i="45"/>
  <c r="AG132" i="67" s="1"/>
  <c r="CK152" i="2" s="1"/>
  <c r="CH152" i="2" s="1"/>
  <c r="AG129" i="45"/>
  <c r="AG132" i="51" s="1"/>
  <c r="CK64" i="2" s="1"/>
  <c r="CH64" i="2" s="1"/>
  <c r="AD184" i="63"/>
  <c r="AF140" i="58"/>
  <c r="AE152" i="61"/>
  <c r="AE159" i="61" s="1"/>
  <c r="AE157" i="61"/>
  <c r="AD185" i="63"/>
  <c r="AG142" i="45"/>
  <c r="AG149" i="51" s="1"/>
  <c r="CM64" i="2" s="1"/>
  <c r="CJ64" i="2" s="1"/>
  <c r="AG148" i="45"/>
  <c r="AG149" i="52" s="1"/>
  <c r="CM86" i="2" s="1"/>
  <c r="CJ86" i="2" s="1"/>
  <c r="AG145" i="45"/>
  <c r="AE112" i="67"/>
  <c r="AE167" i="67" s="1"/>
  <c r="AE185" i="67" s="1"/>
  <c r="AG132" i="61"/>
  <c r="CK9" i="2" s="1"/>
  <c r="CH9" i="2" s="1"/>
  <c r="AG132" i="63"/>
  <c r="CK42" i="2" s="1"/>
  <c r="CH42" i="2" s="1"/>
  <c r="AF150" i="67"/>
  <c r="AF162" i="67" s="1"/>
  <c r="AF152" i="67"/>
  <c r="AF159" i="67" s="1"/>
  <c r="AF157" i="67"/>
  <c r="AF135" i="61"/>
  <c r="AF142" i="61" s="1"/>
  <c r="AF140" i="63"/>
  <c r="AF133" i="63"/>
  <c r="AF145" i="63" s="1"/>
  <c r="AF135" i="63"/>
  <c r="AF142" i="63" s="1"/>
  <c r="AF133" i="65"/>
  <c r="AF145" i="65" s="1"/>
  <c r="AF135" i="65"/>
  <c r="AF142" i="65" s="1"/>
  <c r="AF140" i="65"/>
  <c r="AF115" i="58"/>
  <c r="AF118" i="58" s="1"/>
  <c r="AF125" i="58" s="1"/>
  <c r="AF115" i="65"/>
  <c r="AG132" i="66"/>
  <c r="CK141" i="2" s="1"/>
  <c r="CH141" i="2" s="1"/>
  <c r="AG132" i="64"/>
  <c r="CK53" i="2" s="1"/>
  <c r="CH53" i="2" s="1"/>
  <c r="AE129" i="67"/>
  <c r="AE169" i="67" s="1"/>
  <c r="AE150" i="65"/>
  <c r="AE162" i="65" s="1"/>
  <c r="AE157" i="65"/>
  <c r="AE152" i="65"/>
  <c r="AE159" i="65" s="1"/>
  <c r="AF133" i="58"/>
  <c r="AF145" i="58" s="1"/>
  <c r="AD129" i="66"/>
  <c r="AD169" i="66" s="1"/>
  <c r="AE116" i="65"/>
  <c r="AE128" i="65" s="1"/>
  <c r="AE118" i="65"/>
  <c r="AE125" i="65" s="1"/>
  <c r="AE123" i="65"/>
  <c r="AE127" i="65" s="1"/>
  <c r="AF116" i="67"/>
  <c r="AF128" i="67" s="1"/>
  <c r="AF125" i="67"/>
  <c r="AF123" i="67"/>
  <c r="AF127" i="67" s="1"/>
  <c r="AD129" i="65"/>
  <c r="AD169" i="65" s="1"/>
  <c r="AC184" i="66"/>
  <c r="AC175" i="66"/>
  <c r="AF150" i="66"/>
  <c r="AF162" i="66" s="1"/>
  <c r="AF152" i="66"/>
  <c r="AF159" i="66" s="1"/>
  <c r="AF157" i="66"/>
  <c r="AG132" i="58"/>
  <c r="AG132" i="65"/>
  <c r="CK119" i="2" s="1"/>
  <c r="CH119" i="2" s="1"/>
  <c r="AF133" i="64"/>
  <c r="AF145" i="64" s="1"/>
  <c r="AF140" i="64"/>
  <c r="AF135" i="64"/>
  <c r="AF142" i="64" s="1"/>
  <c r="AE116" i="66"/>
  <c r="AE128" i="66" s="1"/>
  <c r="AE123" i="66"/>
  <c r="AE127" i="66" s="1"/>
  <c r="AE125" i="66"/>
  <c r="AE150" i="66"/>
  <c r="AE162" i="66" s="1"/>
  <c r="AE157" i="66"/>
  <c r="AE152" i="66"/>
  <c r="AE159" i="66" s="1"/>
  <c r="AF115" i="64"/>
  <c r="AF115" i="66"/>
  <c r="AF118" i="66" s="1"/>
  <c r="AF149" i="58"/>
  <c r="AF152" i="58" s="1"/>
  <c r="AF159" i="58" s="1"/>
  <c r="AF149" i="65"/>
  <c r="AF133" i="66"/>
  <c r="AF145" i="66" s="1"/>
  <c r="AF135" i="66"/>
  <c r="AF142" i="66" s="1"/>
  <c r="AF140" i="66"/>
  <c r="AF99" i="63"/>
  <c r="AF111" i="63" s="1"/>
  <c r="AF106" i="63"/>
  <c r="AF110" i="63" s="1"/>
  <c r="AF101" i="63"/>
  <c r="AF108" i="63" s="1"/>
  <c r="AD112" i="64"/>
  <c r="AD167" i="64" s="1"/>
  <c r="AE99" i="64"/>
  <c r="AE111" i="64" s="1"/>
  <c r="AE106" i="64"/>
  <c r="AE110" i="64" s="1"/>
  <c r="AE101" i="64"/>
  <c r="AE108" i="64" s="1"/>
  <c r="AC176" i="66"/>
  <c r="AC185" i="66"/>
  <c r="AE99" i="66"/>
  <c r="AE111" i="66" s="1"/>
  <c r="AE101" i="66"/>
  <c r="AE108" i="66" s="1"/>
  <c r="AE106" i="66"/>
  <c r="AE110" i="66" s="1"/>
  <c r="AF99" i="67"/>
  <c r="AF111" i="67" s="1"/>
  <c r="AF106" i="67"/>
  <c r="AF110" i="67" s="1"/>
  <c r="AF101" i="67"/>
  <c r="AF108" i="67" s="1"/>
  <c r="AD185" i="67"/>
  <c r="AD176" i="67"/>
  <c r="AC176" i="64"/>
  <c r="AC185" i="64"/>
  <c r="AE101" i="58"/>
  <c r="AE108" i="58" s="1"/>
  <c r="AE106" i="58"/>
  <c r="AE110" i="58" s="1"/>
  <c r="AC185" i="65"/>
  <c r="AC176" i="65"/>
  <c r="AD112" i="65"/>
  <c r="AD167" i="65" s="1"/>
  <c r="AD112" i="66"/>
  <c r="AD167" i="66" s="1"/>
  <c r="AF98" i="58"/>
  <c r="AF106" i="58" s="1"/>
  <c r="AF110" i="58" s="1"/>
  <c r="AF98" i="65"/>
  <c r="AF98" i="66"/>
  <c r="AF98" i="64"/>
  <c r="AE99" i="65"/>
  <c r="AE111" i="65" s="1"/>
  <c r="AE101" i="65"/>
  <c r="AE108" i="65" s="1"/>
  <c r="AE106" i="65"/>
  <c r="AE110" i="65" s="1"/>
  <c r="AE112" i="63"/>
  <c r="AE167" i="63" s="1"/>
  <c r="AF125" i="63"/>
  <c r="AF123" i="63"/>
  <c r="AF127" i="63" s="1"/>
  <c r="AF116" i="63"/>
  <c r="AF128" i="63" s="1"/>
  <c r="AE150" i="63"/>
  <c r="AE162" i="63" s="1"/>
  <c r="AE152" i="63"/>
  <c r="AE159" i="63" s="1"/>
  <c r="AE157" i="63"/>
  <c r="AF149" i="61"/>
  <c r="AF152" i="61" s="1"/>
  <c r="AF159" i="61" s="1"/>
  <c r="AF149" i="63"/>
  <c r="AF149" i="55"/>
  <c r="AF152" i="55" s="1"/>
  <c r="AF159" i="55" s="1"/>
  <c r="AF149" i="64"/>
  <c r="AE129" i="63"/>
  <c r="AE169" i="63" s="1"/>
  <c r="AG143" i="45"/>
  <c r="AG147" i="45"/>
  <c r="AG149" i="53" s="1"/>
  <c r="CM75" i="2" s="1"/>
  <c r="CJ75" i="2" s="1"/>
  <c r="AD185" i="62"/>
  <c r="AD176" i="62"/>
  <c r="AF99" i="62"/>
  <c r="AF111" i="62" s="1"/>
  <c r="AF101" i="62"/>
  <c r="AF108" i="62" s="1"/>
  <c r="AF106" i="62"/>
  <c r="AF110" i="62" s="1"/>
  <c r="AE112" i="62"/>
  <c r="AE167" i="62" s="1"/>
  <c r="AG132" i="62"/>
  <c r="CK31" i="2" s="1"/>
  <c r="CH31" i="2" s="1"/>
  <c r="AG132" i="57"/>
  <c r="CK97" i="2" s="1"/>
  <c r="CH97" i="2" s="1"/>
  <c r="AE129" i="62"/>
  <c r="AE169" i="62" s="1"/>
  <c r="AG171" i="62"/>
  <c r="AG174" i="62"/>
  <c r="AG180" i="62" s="1"/>
  <c r="AG183" i="62"/>
  <c r="AG189" i="62" s="1"/>
  <c r="AF142" i="57"/>
  <c r="AF140" i="57"/>
  <c r="AF133" i="57"/>
  <c r="AF145" i="57" s="1"/>
  <c r="AD184" i="62"/>
  <c r="AD175" i="62"/>
  <c r="AF135" i="62"/>
  <c r="AF142" i="62" s="1"/>
  <c r="AF140" i="62"/>
  <c r="AF133" i="62"/>
  <c r="AF145" i="62" s="1"/>
  <c r="AF150" i="62"/>
  <c r="AF162" i="62" s="1"/>
  <c r="AF152" i="62"/>
  <c r="AF159" i="62" s="1"/>
  <c r="AF157" i="62"/>
  <c r="AF174" i="57"/>
  <c r="AF180" i="57" s="1"/>
  <c r="AD129" i="61"/>
  <c r="AD169" i="61" s="1"/>
  <c r="AG183" i="61"/>
  <c r="AG189" i="61" s="1"/>
  <c r="AG174" i="61"/>
  <c r="AG180" i="61" s="1"/>
  <c r="AG171" i="61"/>
  <c r="AD12" i="75" s="1"/>
  <c r="AF153" i="61"/>
  <c r="AF160" i="61" s="1"/>
  <c r="AF119" i="61"/>
  <c r="AF126" i="61" s="1"/>
  <c r="AE116" i="61"/>
  <c r="AE128" i="61" s="1"/>
  <c r="AE123" i="61"/>
  <c r="AE127" i="61" s="1"/>
  <c r="AE125" i="61"/>
  <c r="AC185" i="61"/>
  <c r="AC176" i="61"/>
  <c r="AG48" i="61"/>
  <c r="AG50" i="61" s="1"/>
  <c r="AE99" i="61"/>
  <c r="AE111" i="61" s="1"/>
  <c r="AE101" i="61"/>
  <c r="AE108" i="61" s="1"/>
  <c r="AE106" i="61"/>
  <c r="AE110" i="61" s="1"/>
  <c r="AD112" i="61"/>
  <c r="AD167" i="61" s="1"/>
  <c r="AF98" i="61"/>
  <c r="AF115" i="61"/>
  <c r="AF118" i="61" s="1"/>
  <c r="AC184" i="61"/>
  <c r="AC175" i="61"/>
  <c r="AF174" i="58"/>
  <c r="AF180" i="58" s="1"/>
  <c r="AA48" i="38"/>
  <c r="AA50" i="38" s="1"/>
  <c r="AC176" i="57"/>
  <c r="AF174" i="51"/>
  <c r="AF180" i="51" s="1"/>
  <c r="AF183" i="52"/>
  <c r="AF189" i="52" s="1"/>
  <c r="AF171" i="58"/>
  <c r="AF183" i="51"/>
  <c r="AF189" i="51" s="1"/>
  <c r="AF149" i="38"/>
  <c r="AF152" i="38" s="1"/>
  <c r="AF174" i="55"/>
  <c r="AF180" i="55" s="1"/>
  <c r="AF174" i="52"/>
  <c r="AF180" i="52" s="1"/>
  <c r="AF171" i="55"/>
  <c r="AF171" i="57"/>
  <c r="AG75" i="52"/>
  <c r="AG78" i="52" s="1"/>
  <c r="AG165" i="52" s="1"/>
  <c r="CN85" i="2" s="1"/>
  <c r="AD176" i="53"/>
  <c r="AG75" i="55"/>
  <c r="AG78" i="55" s="1"/>
  <c r="AG165" i="55" s="1"/>
  <c r="AD129" i="57"/>
  <c r="AD169" i="57" s="1"/>
  <c r="AD175" i="57" s="1"/>
  <c r="AF153" i="51"/>
  <c r="AF160" i="51" s="1"/>
  <c r="AF119" i="51"/>
  <c r="AF126" i="51" s="1"/>
  <c r="AF153" i="57"/>
  <c r="AF160" i="57" s="1"/>
  <c r="AF119" i="57"/>
  <c r="AF126" i="57" s="1"/>
  <c r="AF153" i="52"/>
  <c r="AF160" i="52" s="1"/>
  <c r="AF119" i="52"/>
  <c r="AF126" i="52" s="1"/>
  <c r="AG75" i="51"/>
  <c r="AG78" i="51" s="1"/>
  <c r="AG165" i="51" s="1"/>
  <c r="CN63" i="2" s="1"/>
  <c r="AF119" i="53"/>
  <c r="AF126" i="53" s="1"/>
  <c r="AF153" i="53"/>
  <c r="AF160" i="53" s="1"/>
  <c r="AG75" i="53"/>
  <c r="AG78" i="53" s="1"/>
  <c r="AG165" i="53" s="1"/>
  <c r="CN74" i="2" s="1"/>
  <c r="AF183" i="53"/>
  <c r="AF189" i="53" s="1"/>
  <c r="AF171" i="53"/>
  <c r="AF174" i="53"/>
  <c r="AF180" i="53" s="1"/>
  <c r="AF119" i="55"/>
  <c r="AF126" i="55" s="1"/>
  <c r="AF153" i="55"/>
  <c r="AF160" i="55" s="1"/>
  <c r="AE112" i="51"/>
  <c r="AE167" i="51" s="1"/>
  <c r="AE176" i="51" s="1"/>
  <c r="AG75" i="57"/>
  <c r="AG78" i="57" s="1"/>
  <c r="AG165" i="57" s="1"/>
  <c r="AE112" i="53"/>
  <c r="AE167" i="53" s="1"/>
  <c r="AE185" i="53" s="1"/>
  <c r="AG75" i="58"/>
  <c r="AG78" i="58" s="1"/>
  <c r="AG165" i="58" s="1"/>
  <c r="CN107" i="2" s="1"/>
  <c r="AD112" i="57"/>
  <c r="AD167" i="57" s="1"/>
  <c r="AD185" i="57" s="1"/>
  <c r="AF153" i="58"/>
  <c r="AF160" i="58" s="1"/>
  <c r="AF119" i="58"/>
  <c r="AF126" i="58" s="1"/>
  <c r="AF98" i="38"/>
  <c r="AF98" i="55"/>
  <c r="AG132" i="38"/>
  <c r="CK20" i="2" s="1"/>
  <c r="CH20" i="2" s="1"/>
  <c r="AG132" i="55"/>
  <c r="CK130" i="2" s="1"/>
  <c r="CH130" i="2" s="1"/>
  <c r="AD185" i="51"/>
  <c r="AD176" i="51"/>
  <c r="AF116" i="53"/>
  <c r="AF128" i="53" s="1"/>
  <c r="AF118" i="53"/>
  <c r="AF125" i="53" s="1"/>
  <c r="AF123" i="53"/>
  <c r="AF127" i="53" s="1"/>
  <c r="AF99" i="51"/>
  <c r="AF111" i="51" s="1"/>
  <c r="AF106" i="51"/>
  <c r="AF110" i="51" s="1"/>
  <c r="AF101" i="51"/>
  <c r="AF108" i="51" s="1"/>
  <c r="AC184" i="57"/>
  <c r="AC175" i="57"/>
  <c r="AF115" i="38"/>
  <c r="AF118" i="38" s="1"/>
  <c r="AF115" i="55"/>
  <c r="AF98" i="57"/>
  <c r="AF150" i="52"/>
  <c r="AF162" i="52" s="1"/>
  <c r="AF157" i="52"/>
  <c r="AF159" i="52"/>
  <c r="AF116" i="57"/>
  <c r="AF128" i="57" s="1"/>
  <c r="AF123" i="57"/>
  <c r="AF127" i="57" s="1"/>
  <c r="AF118" i="57"/>
  <c r="AF125" i="57" s="1"/>
  <c r="AE99" i="57"/>
  <c r="AE111" i="57" s="1"/>
  <c r="AE106" i="57"/>
  <c r="AE110" i="57" s="1"/>
  <c r="AE101" i="57"/>
  <c r="AE108" i="57" s="1"/>
  <c r="AF99" i="53"/>
  <c r="AF111" i="53" s="1"/>
  <c r="AF106" i="53"/>
  <c r="AF110" i="53" s="1"/>
  <c r="AF101" i="53"/>
  <c r="AF108" i="53" s="1"/>
  <c r="AF116" i="51"/>
  <c r="AF128" i="51" s="1"/>
  <c r="AF123" i="51"/>
  <c r="AF127" i="51" s="1"/>
  <c r="AF118" i="51"/>
  <c r="AF125" i="51" s="1"/>
  <c r="AF149" i="57"/>
  <c r="AF152" i="57" s="1"/>
  <c r="AE99" i="55"/>
  <c r="AE111" i="55" s="1"/>
  <c r="AE106" i="55"/>
  <c r="AE110" i="55" s="1"/>
  <c r="AE101" i="55"/>
  <c r="AE108" i="55" s="1"/>
  <c r="AC175" i="55"/>
  <c r="AC184" i="55"/>
  <c r="AE116" i="55"/>
  <c r="AE128" i="55" s="1"/>
  <c r="AE123" i="55"/>
  <c r="AE127" i="55" s="1"/>
  <c r="AE118" i="55"/>
  <c r="AE125" i="55" s="1"/>
  <c r="AE129" i="53"/>
  <c r="AE169" i="53" s="1"/>
  <c r="AF99" i="52"/>
  <c r="AF111" i="52" s="1"/>
  <c r="AF106" i="52"/>
  <c r="AF110" i="52" s="1"/>
  <c r="AF101" i="52"/>
  <c r="AF108" i="52" s="1"/>
  <c r="AE129" i="51"/>
  <c r="AE169" i="51" s="1"/>
  <c r="AD175" i="51"/>
  <c r="AD184" i="51"/>
  <c r="AE150" i="57"/>
  <c r="AE162" i="57" s="1"/>
  <c r="AE159" i="57"/>
  <c r="AE157" i="57"/>
  <c r="AC185" i="55"/>
  <c r="AC176" i="55"/>
  <c r="AD185" i="52"/>
  <c r="AD176" i="52"/>
  <c r="AF116" i="52"/>
  <c r="AF128" i="52" s="1"/>
  <c r="AF118" i="52"/>
  <c r="AF125" i="52" s="1"/>
  <c r="AF123" i="52"/>
  <c r="AF127" i="52" s="1"/>
  <c r="AD129" i="55"/>
  <c r="AD169" i="55" s="1"/>
  <c r="AF133" i="55"/>
  <c r="AF145" i="55" s="1"/>
  <c r="AF140" i="55"/>
  <c r="AF142" i="55"/>
  <c r="AE112" i="52"/>
  <c r="AE167" i="52" s="1"/>
  <c r="AE129" i="52"/>
  <c r="AE169" i="52" s="1"/>
  <c r="AE150" i="55"/>
  <c r="AE162" i="55" s="1"/>
  <c r="AE157" i="55"/>
  <c r="AE159" i="55"/>
  <c r="AF150" i="53"/>
  <c r="AF162" i="53" s="1"/>
  <c r="AF159" i="53"/>
  <c r="AF157" i="53"/>
  <c r="AE116" i="57"/>
  <c r="AE128" i="57" s="1"/>
  <c r="AE123" i="57"/>
  <c r="AE127" i="57" s="1"/>
  <c r="AE118" i="57"/>
  <c r="AE125" i="57" s="1"/>
  <c r="AD184" i="52"/>
  <c r="AD175" i="52"/>
  <c r="AD112" i="55"/>
  <c r="AD167" i="55" s="1"/>
  <c r="AF140" i="51"/>
  <c r="AE157" i="51"/>
  <c r="AE162" i="51"/>
  <c r="AE159" i="51"/>
  <c r="AG122" i="45"/>
  <c r="AG115" i="53" s="1"/>
  <c r="AG118" i="45"/>
  <c r="AG115" i="63" s="1"/>
  <c r="CL42" i="2" s="1"/>
  <c r="CI42" i="2" s="1"/>
  <c r="AG125" i="45"/>
  <c r="AG121" i="45"/>
  <c r="AG115" i="62" s="1"/>
  <c r="CL31" i="2" s="1"/>
  <c r="CI31" i="2" s="1"/>
  <c r="AG123" i="45"/>
  <c r="AG115" i="52" s="1"/>
  <c r="CL86" i="2" s="1"/>
  <c r="CI86" i="2" s="1"/>
  <c r="AG120" i="45"/>
  <c r="AG117" i="45"/>
  <c r="AG115" i="51" s="1"/>
  <c r="AG119" i="45"/>
  <c r="E44" i="74" s="1"/>
  <c r="AG124" i="45"/>
  <c r="AG115" i="67" s="1"/>
  <c r="AG109" i="45"/>
  <c r="AG98" i="62" s="1"/>
  <c r="AG106" i="45"/>
  <c r="AG98" i="63" s="1"/>
  <c r="AG110" i="45"/>
  <c r="AG98" i="53" s="1"/>
  <c r="AG107" i="45"/>
  <c r="AG108" i="45"/>
  <c r="AG105" i="45"/>
  <c r="AG98" i="51" s="1"/>
  <c r="AG111" i="45"/>
  <c r="AG98" i="52" s="1"/>
  <c r="AG112" i="45"/>
  <c r="AG98" i="67" s="1"/>
  <c r="AG113" i="45"/>
  <c r="E43" i="74" s="1"/>
  <c r="AE7" i="75" l="1"/>
  <c r="AG140" i="58"/>
  <c r="CK108" i="2"/>
  <c r="CH108" i="2" s="1"/>
  <c r="AG157" i="67"/>
  <c r="CM152" i="2"/>
  <c r="CJ152" i="2" s="1"/>
  <c r="CL75" i="2"/>
  <c r="CI75" i="2" s="1"/>
  <c r="G72" i="4" s="1"/>
  <c r="P72" i="4" s="1"/>
  <c r="AG118" i="67"/>
  <c r="CL152" i="2"/>
  <c r="CI152" i="2" s="1"/>
  <c r="CL64" i="2"/>
  <c r="CI64" i="2" s="1"/>
  <c r="G61" i="4" s="1"/>
  <c r="P61" i="4" s="1"/>
  <c r="AG183" i="55"/>
  <c r="AG189" i="55" s="1"/>
  <c r="CN129" i="2"/>
  <c r="W192" i="53"/>
  <c r="BQ74" i="2"/>
  <c r="BK74" i="2" s="1"/>
  <c r="I77" i="3" s="1"/>
  <c r="U77" i="3" s="1"/>
  <c r="U82" i="3" s="1"/>
  <c r="W177" i="62"/>
  <c r="BQ30" i="2"/>
  <c r="BK30" i="2" s="1"/>
  <c r="I29" i="3" s="1"/>
  <c r="W192" i="64"/>
  <c r="BQ52" i="2"/>
  <c r="BK52" i="2" s="1"/>
  <c r="I53" i="3" s="1"/>
  <c r="U53" i="3" s="1"/>
  <c r="U58" i="3" s="1"/>
  <c r="AE55" i="75"/>
  <c r="AE23" i="75"/>
  <c r="E89" i="74"/>
  <c r="AD38" i="75"/>
  <c r="AE39" i="75" s="1"/>
  <c r="E71" i="74"/>
  <c r="AD20" i="75"/>
  <c r="E111" i="74"/>
  <c r="AD60" i="75"/>
  <c r="E97" i="74"/>
  <c r="AD46" i="75"/>
  <c r="AE47" i="75" s="1"/>
  <c r="E81" i="74"/>
  <c r="AD30" i="75"/>
  <c r="AE31" i="75" s="1"/>
  <c r="AE15" i="75"/>
  <c r="E79" i="74"/>
  <c r="AD28" i="75"/>
  <c r="G7" i="75"/>
  <c r="E63" i="74"/>
  <c r="F12" i="75"/>
  <c r="G6" i="75"/>
  <c r="W193" i="64"/>
  <c r="U178" i="57"/>
  <c r="U188" i="66"/>
  <c r="U179" i="58"/>
  <c r="U188" i="57"/>
  <c r="U179" i="55"/>
  <c r="U179" i="64"/>
  <c r="U178" i="58"/>
  <c r="U186" i="55"/>
  <c r="W187" i="53"/>
  <c r="W186" i="64"/>
  <c r="W177" i="64"/>
  <c r="U194" i="55"/>
  <c r="V188" i="67"/>
  <c r="U194" i="65"/>
  <c r="U178" i="65"/>
  <c r="U186" i="65"/>
  <c r="U188" i="55"/>
  <c r="U188" i="65"/>
  <c r="U194" i="58"/>
  <c r="U186" i="66"/>
  <c r="V194" i="52"/>
  <c r="V179" i="51"/>
  <c r="V186" i="53"/>
  <c r="V194" i="53"/>
  <c r="V179" i="67"/>
  <c r="V186" i="67"/>
  <c r="U179" i="57"/>
  <c r="V179" i="53"/>
  <c r="V188" i="52"/>
  <c r="V187" i="52"/>
  <c r="U194" i="66"/>
  <c r="U178" i="66"/>
  <c r="U188" i="64"/>
  <c r="U178" i="64"/>
  <c r="U187" i="64"/>
  <c r="U194" i="63"/>
  <c r="U186" i="62"/>
  <c r="U186" i="63"/>
  <c r="U178" i="61"/>
  <c r="U194" i="61"/>
  <c r="U187" i="61"/>
  <c r="U188" i="61"/>
  <c r="V194" i="67"/>
  <c r="U186" i="58"/>
  <c r="U194" i="57"/>
  <c r="U178" i="62"/>
  <c r="W193" i="53"/>
  <c r="W177" i="53"/>
  <c r="U188" i="63"/>
  <c r="U178" i="63"/>
  <c r="W187" i="62"/>
  <c r="U194" i="62"/>
  <c r="U188" i="62"/>
  <c r="AG149" i="64"/>
  <c r="V178" i="53"/>
  <c r="W193" i="62"/>
  <c r="W192" i="62"/>
  <c r="V187" i="51"/>
  <c r="V178" i="51"/>
  <c r="X246" i="45"/>
  <c r="X262" i="45" s="1"/>
  <c r="W59" i="67"/>
  <c r="W154" i="67" s="1"/>
  <c r="W161" i="67" s="1"/>
  <c r="W163" i="67" s="1"/>
  <c r="W170" i="67" s="1"/>
  <c r="Y214" i="45"/>
  <c r="Y230" i="45" s="1"/>
  <c r="X58" i="67"/>
  <c r="X137" i="67" s="1"/>
  <c r="X144" i="67" s="1"/>
  <c r="X146" i="67" s="1"/>
  <c r="X168" i="67" s="1"/>
  <c r="Y213" i="45"/>
  <c r="Y229" i="45" s="1"/>
  <c r="W245" i="45"/>
  <c r="W261" i="45" s="1"/>
  <c r="V59" i="66"/>
  <c r="V154" i="66" s="1"/>
  <c r="V161" i="66" s="1"/>
  <c r="V163" i="66" s="1"/>
  <c r="V170" i="66" s="1"/>
  <c r="V188" i="66" s="1"/>
  <c r="Y212" i="45"/>
  <c r="Y228" i="45" s="1"/>
  <c r="W244" i="45"/>
  <c r="W260" i="45" s="1"/>
  <c r="V59" i="55"/>
  <c r="V154" i="55" s="1"/>
  <c r="V161" i="55" s="1"/>
  <c r="V163" i="55" s="1"/>
  <c r="V170" i="55" s="1"/>
  <c r="V194" i="55" s="1"/>
  <c r="Y211" i="45"/>
  <c r="Y227" i="45" s="1"/>
  <c r="W243" i="45"/>
  <c r="W259" i="45" s="1"/>
  <c r="V59" i="65"/>
  <c r="V154" i="65" s="1"/>
  <c r="V161" i="65" s="1"/>
  <c r="V163" i="65" s="1"/>
  <c r="V170" i="65" s="1"/>
  <c r="V194" i="65" s="1"/>
  <c r="Y210" i="45"/>
  <c r="Y226" i="45" s="1"/>
  <c r="W242" i="45"/>
  <c r="W258" i="45" s="1"/>
  <c r="V59" i="58"/>
  <c r="V154" i="58" s="1"/>
  <c r="V161" i="58" s="1"/>
  <c r="V163" i="58" s="1"/>
  <c r="V170" i="58" s="1"/>
  <c r="V179" i="58" s="1"/>
  <c r="W193" i="57"/>
  <c r="W177" i="57"/>
  <c r="BL96" i="2"/>
  <c r="J101" i="3" s="1"/>
  <c r="V101" i="3" s="1"/>
  <c r="V106" i="3" s="1"/>
  <c r="W187" i="57"/>
  <c r="W192" i="57"/>
  <c r="Y209" i="45"/>
  <c r="Y225" i="45" s="1"/>
  <c r="X58" i="57"/>
  <c r="X137" i="57" s="1"/>
  <c r="X144" i="57" s="1"/>
  <c r="X146" i="57" s="1"/>
  <c r="X168" i="57" s="1"/>
  <c r="W241" i="45"/>
  <c r="W257" i="45" s="1"/>
  <c r="V59" i="57"/>
  <c r="V154" i="57" s="1"/>
  <c r="V161" i="57" s="1"/>
  <c r="V163" i="57" s="1"/>
  <c r="V170" i="57" s="1"/>
  <c r="V186" i="57" s="1"/>
  <c r="X240" i="45"/>
  <c r="X256" i="45" s="1"/>
  <c r="W59" i="52"/>
  <c r="W154" i="52" s="1"/>
  <c r="W161" i="52" s="1"/>
  <c r="W163" i="52" s="1"/>
  <c r="W170" i="52" s="1"/>
  <c r="V179" i="52"/>
  <c r="Y208" i="45"/>
  <c r="Y224" i="45" s="1"/>
  <c r="X58" i="52"/>
  <c r="X137" i="52" s="1"/>
  <c r="X144" i="52" s="1"/>
  <c r="X146" i="52" s="1"/>
  <c r="X168" i="52" s="1"/>
  <c r="X239" i="45"/>
  <c r="X255" i="45" s="1"/>
  <c r="W58" i="53"/>
  <c r="W154" i="53" s="1"/>
  <c r="W161" i="53" s="1"/>
  <c r="W163" i="53" s="1"/>
  <c r="W170" i="53" s="1"/>
  <c r="Y207" i="45"/>
  <c r="Y223" i="45" s="1"/>
  <c r="X57" i="53"/>
  <c r="X137" i="53" s="1"/>
  <c r="X144" i="53" s="1"/>
  <c r="X146" i="53" s="1"/>
  <c r="X168" i="53" s="1"/>
  <c r="X177" i="53" s="1"/>
  <c r="X238" i="45"/>
  <c r="X254" i="45" s="1"/>
  <c r="W58" i="51"/>
  <c r="W154" i="51" s="1"/>
  <c r="W161" i="51" s="1"/>
  <c r="W163" i="51" s="1"/>
  <c r="W170" i="51" s="1"/>
  <c r="Y206" i="45"/>
  <c r="Y222" i="45" s="1"/>
  <c r="V194" i="51"/>
  <c r="Y205" i="45"/>
  <c r="Y221" i="45" s="1"/>
  <c r="X57" i="64"/>
  <c r="X137" i="64" s="1"/>
  <c r="X144" i="64" s="1"/>
  <c r="X146" i="64" s="1"/>
  <c r="X168" i="64" s="1"/>
  <c r="X193" i="64" s="1"/>
  <c r="W237" i="45"/>
  <c r="W253" i="45" s="1"/>
  <c r="V58" i="64"/>
  <c r="V154" i="64" s="1"/>
  <c r="V161" i="64" s="1"/>
  <c r="V163" i="64" s="1"/>
  <c r="V170" i="64" s="1"/>
  <c r="V187" i="64" s="1"/>
  <c r="W193" i="63"/>
  <c r="BK41" i="2"/>
  <c r="I41" i="3" s="1"/>
  <c r="U41" i="3" s="1"/>
  <c r="U46" i="3" s="1"/>
  <c r="W187" i="63"/>
  <c r="W192" i="63"/>
  <c r="W177" i="63"/>
  <c r="Y204" i="45"/>
  <c r="Y220" i="45" s="1"/>
  <c r="X57" i="63"/>
  <c r="X137" i="63" s="1"/>
  <c r="X144" i="63" s="1"/>
  <c r="X146" i="63" s="1"/>
  <c r="X168" i="63" s="1"/>
  <c r="W236" i="45"/>
  <c r="W252" i="45" s="1"/>
  <c r="V58" i="63"/>
  <c r="V154" i="63" s="1"/>
  <c r="V161" i="63" s="1"/>
  <c r="V163" i="63" s="1"/>
  <c r="V170" i="63" s="1"/>
  <c r="V186" i="63" s="1"/>
  <c r="Y203" i="45"/>
  <c r="Y219" i="45" s="1"/>
  <c r="X57" i="62"/>
  <c r="X137" i="62" s="1"/>
  <c r="X144" i="62" s="1"/>
  <c r="X146" i="62" s="1"/>
  <c r="X168" i="62" s="1"/>
  <c r="X177" i="62" s="1"/>
  <c r="W235" i="45"/>
  <c r="W251" i="45" s="1"/>
  <c r="V58" i="62"/>
  <c r="V154" i="62" s="1"/>
  <c r="V161" i="62" s="1"/>
  <c r="V163" i="62" s="1"/>
  <c r="V170" i="62" s="1"/>
  <c r="V179" i="62" s="1"/>
  <c r="Y202" i="45"/>
  <c r="Y218" i="45" s="1"/>
  <c r="X57" i="38"/>
  <c r="W234" i="45"/>
  <c r="W250" i="45" s="1"/>
  <c r="V58" i="38"/>
  <c r="Y201" i="45"/>
  <c r="Y217" i="45" s="1"/>
  <c r="W233" i="45"/>
  <c r="W249" i="45" s="1"/>
  <c r="V58" i="61"/>
  <c r="V154" i="61" s="1"/>
  <c r="V161" i="61" s="1"/>
  <c r="V163" i="61" s="1"/>
  <c r="V170" i="61" s="1"/>
  <c r="V179" i="61" s="1"/>
  <c r="W187" i="67"/>
  <c r="W192" i="67"/>
  <c r="W177" i="67"/>
  <c r="W193" i="67"/>
  <c r="BK151" i="2"/>
  <c r="I161" i="3" s="1"/>
  <c r="U161" i="3" s="1"/>
  <c r="U166" i="3" s="1"/>
  <c r="W193" i="52"/>
  <c r="BK85" i="2"/>
  <c r="I89" i="3" s="1"/>
  <c r="U89" i="3" s="1"/>
  <c r="U94" i="3" s="1"/>
  <c r="W186" i="52"/>
  <c r="W177" i="52"/>
  <c r="W192" i="52"/>
  <c r="X58" i="55"/>
  <c r="X137" i="55" s="1"/>
  <c r="X144" i="55" s="1"/>
  <c r="X146" i="55" s="1"/>
  <c r="X168" i="55" s="1"/>
  <c r="W58" i="58"/>
  <c r="W137" i="58" s="1"/>
  <c r="W144" i="58" s="1"/>
  <c r="W146" i="58" s="1"/>
  <c r="W168" i="58" s="1"/>
  <c r="BQ107" i="2" s="1"/>
  <c r="W193" i="55"/>
  <c r="BL129" i="2"/>
  <c r="J137" i="3" s="1"/>
  <c r="V137" i="3" s="1"/>
  <c r="V142" i="3" s="1"/>
  <c r="W187" i="55"/>
  <c r="W177" i="55"/>
  <c r="W192" i="55"/>
  <c r="V192" i="58"/>
  <c r="V177" i="58"/>
  <c r="V193" i="58"/>
  <c r="V187" i="58"/>
  <c r="V193" i="61"/>
  <c r="V192" i="61"/>
  <c r="V177" i="61"/>
  <c r="V186" i="61"/>
  <c r="V187" i="65"/>
  <c r="V193" i="65"/>
  <c r="V177" i="65"/>
  <c r="V192" i="65"/>
  <c r="V186" i="51"/>
  <c r="V193" i="51"/>
  <c r="V177" i="51"/>
  <c r="V192" i="51"/>
  <c r="X58" i="66"/>
  <c r="X137" i="66" s="1"/>
  <c r="X144" i="66" s="1"/>
  <c r="X146" i="66" s="1"/>
  <c r="X168" i="66" s="1"/>
  <c r="W57" i="61"/>
  <c r="W137" i="61" s="1"/>
  <c r="W144" i="61" s="1"/>
  <c r="W146" i="61" s="1"/>
  <c r="W168" i="61" s="1"/>
  <c r="BQ8" i="2" s="1"/>
  <c r="W58" i="65"/>
  <c r="W137" i="65" s="1"/>
  <c r="W144" i="65" s="1"/>
  <c r="W146" i="65" s="1"/>
  <c r="W168" i="65" s="1"/>
  <c r="BQ118" i="2" s="1"/>
  <c r="W57" i="51"/>
  <c r="W137" i="51" s="1"/>
  <c r="W144" i="51" s="1"/>
  <c r="W146" i="51" s="1"/>
  <c r="W168" i="51" s="1"/>
  <c r="BQ63" i="2" s="1"/>
  <c r="W177" i="66"/>
  <c r="BK140" i="2"/>
  <c r="I149" i="3" s="1"/>
  <c r="U149" i="3" s="1"/>
  <c r="U154" i="3" s="1"/>
  <c r="W192" i="66"/>
  <c r="W187" i="66"/>
  <c r="W193" i="66"/>
  <c r="AF123" i="58"/>
  <c r="AF127" i="58" s="1"/>
  <c r="AF116" i="58"/>
  <c r="AF128" i="58" s="1"/>
  <c r="AD176" i="58"/>
  <c r="AG152" i="67"/>
  <c r="AG159" i="67" s="1"/>
  <c r="AG150" i="67"/>
  <c r="AG162" i="67" s="1"/>
  <c r="AG149" i="58"/>
  <c r="AF150" i="58"/>
  <c r="AF162" i="58" s="1"/>
  <c r="AG149" i="55"/>
  <c r="AG149" i="38"/>
  <c r="CM20" i="2" s="1"/>
  <c r="CJ20" i="2" s="1"/>
  <c r="AD184" i="58"/>
  <c r="AD175" i="64"/>
  <c r="AG152" i="62"/>
  <c r="AG159" i="62" s="1"/>
  <c r="AG157" i="62"/>
  <c r="AG149" i="57"/>
  <c r="AG150" i="62"/>
  <c r="AG162" i="62" s="1"/>
  <c r="AG118" i="62"/>
  <c r="AG125" i="62" s="1"/>
  <c r="AG133" i="61"/>
  <c r="AG145" i="61" s="1"/>
  <c r="AG140" i="61"/>
  <c r="AE129" i="64"/>
  <c r="AE169" i="64" s="1"/>
  <c r="AE129" i="58"/>
  <c r="AE169" i="58" s="1"/>
  <c r="AE175" i="58" s="1"/>
  <c r="AG153" i="63"/>
  <c r="AG160" i="63" s="1"/>
  <c r="AE176" i="67"/>
  <c r="AG135" i="61"/>
  <c r="AG142" i="61" s="1"/>
  <c r="AF116" i="64"/>
  <c r="AF128" i="64" s="1"/>
  <c r="AF118" i="64"/>
  <c r="AF125" i="64" s="1"/>
  <c r="AG118" i="63"/>
  <c r="AG125" i="63" s="1"/>
  <c r="AG150" i="52"/>
  <c r="AG162" i="52" s="1"/>
  <c r="AG149" i="66"/>
  <c r="CM141" i="2" s="1"/>
  <c r="CJ141" i="2" s="1"/>
  <c r="AF157" i="61"/>
  <c r="AG152" i="51"/>
  <c r="AG159" i="51" s="1"/>
  <c r="AG150" i="51"/>
  <c r="AG162" i="51" s="1"/>
  <c r="AF101" i="58"/>
  <c r="AF108" i="58" s="1"/>
  <c r="AF99" i="58"/>
  <c r="AF111" i="58" s="1"/>
  <c r="AG135" i="52"/>
  <c r="AG142" i="52" s="1"/>
  <c r="AG140" i="52"/>
  <c r="AG133" i="52"/>
  <c r="AG145" i="52" s="1"/>
  <c r="AG152" i="52"/>
  <c r="AG159" i="52" s="1"/>
  <c r="AF123" i="64"/>
  <c r="AF127" i="64" s="1"/>
  <c r="AG119" i="62"/>
  <c r="AG126" i="62" s="1"/>
  <c r="AG153" i="64"/>
  <c r="AG160" i="64" s="1"/>
  <c r="AG153" i="67"/>
  <c r="AG160" i="67" s="1"/>
  <c r="AG119" i="67"/>
  <c r="AG126" i="67" s="1"/>
  <c r="AG153" i="66"/>
  <c r="AG160" i="66" s="1"/>
  <c r="AG119" i="66"/>
  <c r="AG126" i="66" s="1"/>
  <c r="AG119" i="65"/>
  <c r="AG126" i="65" s="1"/>
  <c r="AG153" i="65"/>
  <c r="AG160" i="65" s="1"/>
  <c r="AG135" i="53"/>
  <c r="AG142" i="53" s="1"/>
  <c r="F72" i="4"/>
  <c r="O72" i="4" s="1"/>
  <c r="AG140" i="53"/>
  <c r="AG133" i="53"/>
  <c r="AG145" i="53" s="1"/>
  <c r="F61" i="4"/>
  <c r="O61" i="4" s="1"/>
  <c r="AG135" i="51"/>
  <c r="AG142" i="51" s="1"/>
  <c r="AG133" i="51"/>
  <c r="AG145" i="51" s="1"/>
  <c r="AG133" i="67"/>
  <c r="AG145" i="67" s="1"/>
  <c r="AG135" i="67"/>
  <c r="AG142" i="67" s="1"/>
  <c r="AG140" i="67"/>
  <c r="AF150" i="61"/>
  <c r="AF162" i="61" s="1"/>
  <c r="AE129" i="66"/>
  <c r="AE169" i="66" s="1"/>
  <c r="AE184" i="66" s="1"/>
  <c r="AG157" i="52"/>
  <c r="AG133" i="58"/>
  <c r="AG145" i="58" s="1"/>
  <c r="AE112" i="58"/>
  <c r="AE167" i="58" s="1"/>
  <c r="AE176" i="58" s="1"/>
  <c r="AE112" i="66"/>
  <c r="AE167" i="66" s="1"/>
  <c r="AE185" i="66" s="1"/>
  <c r="AG135" i="55"/>
  <c r="AG142" i="55" s="1"/>
  <c r="AD175" i="65"/>
  <c r="AD184" i="65"/>
  <c r="G83" i="4"/>
  <c r="P83" i="4" s="1"/>
  <c r="F83" i="4"/>
  <c r="O83" i="4" s="1"/>
  <c r="AG152" i="53"/>
  <c r="AG159" i="53" s="1"/>
  <c r="H72" i="4"/>
  <c r="Q72" i="4" s="1"/>
  <c r="AE175" i="67"/>
  <c r="AE184" i="67"/>
  <c r="AG115" i="58"/>
  <c r="AG115" i="65"/>
  <c r="CL119" i="2" s="1"/>
  <c r="CI119" i="2" s="1"/>
  <c r="AF150" i="65"/>
  <c r="AF162" i="65" s="1"/>
  <c r="AF157" i="65"/>
  <c r="AF152" i="65"/>
  <c r="AF159" i="65" s="1"/>
  <c r="AF129" i="67"/>
  <c r="AF169" i="67" s="1"/>
  <c r="H83" i="4"/>
  <c r="Q83" i="4" s="1"/>
  <c r="AD184" i="66"/>
  <c r="AD175" i="66"/>
  <c r="AF116" i="66"/>
  <c r="AF128" i="66" s="1"/>
  <c r="AF123" i="66"/>
  <c r="AF127" i="66" s="1"/>
  <c r="AF125" i="66"/>
  <c r="H61" i="4"/>
  <c r="Q61" i="4" s="1"/>
  <c r="AF116" i="65"/>
  <c r="AF128" i="65" s="1"/>
  <c r="AF118" i="65"/>
  <c r="AF125" i="65" s="1"/>
  <c r="AF123" i="65"/>
  <c r="AF127" i="65" s="1"/>
  <c r="AG135" i="57"/>
  <c r="AG142" i="57" s="1"/>
  <c r="AE129" i="65"/>
  <c r="AE169" i="65" s="1"/>
  <c r="AG150" i="65"/>
  <c r="AG162" i="65" s="1"/>
  <c r="AG157" i="65"/>
  <c r="AG152" i="65"/>
  <c r="AG159" i="65" s="1"/>
  <c r="AG133" i="64"/>
  <c r="AG145" i="64" s="1"/>
  <c r="AG135" i="64"/>
  <c r="AG142" i="64" s="1"/>
  <c r="AG140" i="64"/>
  <c r="AG133" i="66"/>
  <c r="AG145" i="66" s="1"/>
  <c r="AG135" i="66"/>
  <c r="AG142" i="66" s="1"/>
  <c r="AG140" i="66"/>
  <c r="AF157" i="58"/>
  <c r="AG133" i="65"/>
  <c r="AG145" i="65" s="1"/>
  <c r="AG140" i="65"/>
  <c r="AG135" i="65"/>
  <c r="AG142" i="65" s="1"/>
  <c r="AG133" i="63"/>
  <c r="AG145" i="63" s="1"/>
  <c r="AG140" i="63"/>
  <c r="AG135" i="63"/>
  <c r="AG142" i="63" s="1"/>
  <c r="AG116" i="67"/>
  <c r="AG128" i="67" s="1"/>
  <c r="G149" i="4"/>
  <c r="P149" i="4" s="1"/>
  <c r="AG125" i="67"/>
  <c r="AG123" i="67"/>
  <c r="AG127" i="67" s="1"/>
  <c r="AG115" i="64"/>
  <c r="CL53" i="2" s="1"/>
  <c r="CI53" i="2" s="1"/>
  <c r="AG115" i="66"/>
  <c r="AG135" i="58"/>
  <c r="AG142" i="58" s="1"/>
  <c r="AG99" i="63"/>
  <c r="AG111" i="63" s="1"/>
  <c r="AG101" i="63"/>
  <c r="AG108" i="63" s="1"/>
  <c r="AG106" i="63"/>
  <c r="AG110" i="63" s="1"/>
  <c r="AE176" i="63"/>
  <c r="AE185" i="63"/>
  <c r="AE112" i="65"/>
  <c r="AE167" i="65" s="1"/>
  <c r="AF99" i="64"/>
  <c r="AF111" i="64" s="1"/>
  <c r="AF101" i="64"/>
  <c r="AF108" i="64" s="1"/>
  <c r="AF106" i="64"/>
  <c r="AF110" i="64" s="1"/>
  <c r="AG98" i="58"/>
  <c r="AG101" i="58" s="1"/>
  <c r="AG108" i="58" s="1"/>
  <c r="AG98" i="65"/>
  <c r="AF99" i="66"/>
  <c r="AF111" i="66" s="1"/>
  <c r="AF101" i="66"/>
  <c r="AF108" i="66" s="1"/>
  <c r="AF106" i="66"/>
  <c r="AF110" i="66" s="1"/>
  <c r="AG99" i="67"/>
  <c r="AG111" i="67" s="1"/>
  <c r="AG101" i="67"/>
  <c r="AG108" i="67" s="1"/>
  <c r="AG106" i="67"/>
  <c r="AG110" i="67" s="1"/>
  <c r="AG98" i="66"/>
  <c r="AG98" i="64"/>
  <c r="AF99" i="65"/>
  <c r="AF111" i="65" s="1"/>
  <c r="AF106" i="65"/>
  <c r="AF110" i="65" s="1"/>
  <c r="AF101" i="65"/>
  <c r="AF108" i="65" s="1"/>
  <c r="AE112" i="64"/>
  <c r="AE167" i="64" s="1"/>
  <c r="AD185" i="64"/>
  <c r="AD176" i="64"/>
  <c r="AD185" i="66"/>
  <c r="AD176" i="66"/>
  <c r="AD176" i="65"/>
  <c r="AD185" i="65"/>
  <c r="AF112" i="63"/>
  <c r="AF167" i="63" s="1"/>
  <c r="AF112" i="67"/>
  <c r="AF167" i="67" s="1"/>
  <c r="AG157" i="53"/>
  <c r="AG150" i="53"/>
  <c r="AG162" i="53" s="1"/>
  <c r="AF157" i="55"/>
  <c r="AF150" i="64"/>
  <c r="AF162" i="64" s="1"/>
  <c r="AF152" i="64"/>
  <c r="AF159" i="64" s="1"/>
  <c r="AF157" i="64"/>
  <c r="AG149" i="61"/>
  <c r="CM9" i="2" s="1"/>
  <c r="CJ9" i="2" s="1"/>
  <c r="AG149" i="63"/>
  <c r="CM42" i="2" s="1"/>
  <c r="CJ42" i="2" s="1"/>
  <c r="AF150" i="63"/>
  <c r="AF162" i="63" s="1"/>
  <c r="AF152" i="63"/>
  <c r="AF159" i="63" s="1"/>
  <c r="AF157" i="63"/>
  <c r="AG123" i="63"/>
  <c r="AG127" i="63" s="1"/>
  <c r="AG116" i="63"/>
  <c r="AG128" i="63" s="1"/>
  <c r="AE175" i="63"/>
  <c r="AE184" i="63"/>
  <c r="AF129" i="63"/>
  <c r="AF169" i="63" s="1"/>
  <c r="AF150" i="55"/>
  <c r="AF162" i="55" s="1"/>
  <c r="AG140" i="57"/>
  <c r="AG133" i="57"/>
  <c r="AG145" i="57" s="1"/>
  <c r="AG133" i="62"/>
  <c r="AG145" i="62" s="1"/>
  <c r="AG140" i="62"/>
  <c r="AG135" i="62"/>
  <c r="AG142" i="62" s="1"/>
  <c r="AE185" i="62"/>
  <c r="AE176" i="62"/>
  <c r="AG99" i="62"/>
  <c r="AG111" i="62" s="1"/>
  <c r="AG106" i="62"/>
  <c r="AG110" i="62" s="1"/>
  <c r="AG101" i="62"/>
  <c r="AG108" i="62" s="1"/>
  <c r="AG116" i="62"/>
  <c r="AG128" i="62" s="1"/>
  <c r="AG123" i="62"/>
  <c r="AG127" i="62" s="1"/>
  <c r="AF175" i="62"/>
  <c r="AF184" i="62"/>
  <c r="AE184" i="62"/>
  <c r="AE175" i="62"/>
  <c r="AF112" i="62"/>
  <c r="AF167" i="62" s="1"/>
  <c r="AG135" i="38"/>
  <c r="AE129" i="61"/>
  <c r="AE169" i="61" s="1"/>
  <c r="AE184" i="61" s="1"/>
  <c r="AF116" i="61"/>
  <c r="AF128" i="61" s="1"/>
  <c r="AF123" i="61"/>
  <c r="AF127" i="61" s="1"/>
  <c r="AF125" i="61"/>
  <c r="AE112" i="61"/>
  <c r="AE167" i="61" s="1"/>
  <c r="AF99" i="61"/>
  <c r="AF111" i="61" s="1"/>
  <c r="AF101" i="61"/>
  <c r="AF108" i="61" s="1"/>
  <c r="AF106" i="61"/>
  <c r="AF110" i="61" s="1"/>
  <c r="AG115" i="61"/>
  <c r="CL9" i="2" s="1"/>
  <c r="CI9" i="2" s="1"/>
  <c r="AG153" i="61"/>
  <c r="AG160" i="61" s="1"/>
  <c r="AG119" i="61"/>
  <c r="AG126" i="61" s="1"/>
  <c r="AD185" i="61"/>
  <c r="AD176" i="61"/>
  <c r="AG98" i="61"/>
  <c r="AD184" i="61"/>
  <c r="AD175" i="61"/>
  <c r="AG183" i="52"/>
  <c r="AG189" i="52" s="1"/>
  <c r="AD184" i="57"/>
  <c r="AG171" i="52"/>
  <c r="AB48" i="38"/>
  <c r="AB50" i="38" s="1"/>
  <c r="AG171" i="55"/>
  <c r="AG174" i="55"/>
  <c r="AG180" i="55" s="1"/>
  <c r="AG174" i="52"/>
  <c r="AG180" i="52" s="1"/>
  <c r="AE112" i="57"/>
  <c r="AE167" i="57" s="1"/>
  <c r="AE176" i="57" s="1"/>
  <c r="AE129" i="57"/>
  <c r="AE169" i="57" s="1"/>
  <c r="AE184" i="57" s="1"/>
  <c r="AD176" i="57"/>
  <c r="AF112" i="53"/>
  <c r="AF167" i="53" s="1"/>
  <c r="AF176" i="53" s="1"/>
  <c r="AE176" i="53"/>
  <c r="AF112" i="52"/>
  <c r="AF167" i="52" s="1"/>
  <c r="AF176" i="52" s="1"/>
  <c r="AE185" i="51"/>
  <c r="AG153" i="55"/>
  <c r="AG160" i="55" s="1"/>
  <c r="AG119" i="55"/>
  <c r="AG126" i="55" s="1"/>
  <c r="AG119" i="52"/>
  <c r="AG126" i="52" s="1"/>
  <c r="AG153" i="52"/>
  <c r="AG160" i="52" s="1"/>
  <c r="AG153" i="51"/>
  <c r="AG160" i="51" s="1"/>
  <c r="AG119" i="51"/>
  <c r="AG126" i="51" s="1"/>
  <c r="AG183" i="58"/>
  <c r="AG189" i="58" s="1"/>
  <c r="AG171" i="58"/>
  <c r="AG174" i="58"/>
  <c r="AG180" i="58" s="1"/>
  <c r="AG171" i="53"/>
  <c r="AG183" i="53"/>
  <c r="AG189" i="53" s="1"/>
  <c r="AG174" i="53"/>
  <c r="AG180" i="53" s="1"/>
  <c r="AF129" i="52"/>
  <c r="AF169" i="52" s="1"/>
  <c r="AF184" i="52" s="1"/>
  <c r="AG153" i="57"/>
  <c r="AG160" i="57" s="1"/>
  <c r="AG119" i="57"/>
  <c r="AG126" i="57" s="1"/>
  <c r="AG171" i="51"/>
  <c r="AG174" i="51"/>
  <c r="AG180" i="51" s="1"/>
  <c r="AG183" i="51"/>
  <c r="AG189" i="51" s="1"/>
  <c r="AG119" i="53"/>
  <c r="AG126" i="53" s="1"/>
  <c r="AG153" i="53"/>
  <c r="AG160" i="53" s="1"/>
  <c r="AG119" i="58"/>
  <c r="AG126" i="58" s="1"/>
  <c r="AG153" i="58"/>
  <c r="AG160" i="58" s="1"/>
  <c r="AG171" i="57"/>
  <c r="AG174" i="57"/>
  <c r="AG180" i="57" s="1"/>
  <c r="AG183" i="57"/>
  <c r="AG189" i="57" s="1"/>
  <c r="AE176" i="52"/>
  <c r="AE185" i="52"/>
  <c r="AG98" i="38"/>
  <c r="AG98" i="55"/>
  <c r="AG116" i="53"/>
  <c r="AG128" i="53" s="1"/>
  <c r="AG118" i="53"/>
  <c r="AG125" i="53" s="1"/>
  <c r="AG123" i="53"/>
  <c r="AG127" i="53" s="1"/>
  <c r="AD185" i="55"/>
  <c r="AD176" i="55"/>
  <c r="AG99" i="53"/>
  <c r="AG111" i="53" s="1"/>
  <c r="AG106" i="53"/>
  <c r="AG110" i="53" s="1"/>
  <c r="AG101" i="53"/>
  <c r="AG108" i="53" s="1"/>
  <c r="AF150" i="57"/>
  <c r="AF162" i="57" s="1"/>
  <c r="AF157" i="57"/>
  <c r="AF159" i="57"/>
  <c r="AF99" i="57"/>
  <c r="AF111" i="57" s="1"/>
  <c r="AF106" i="57"/>
  <c r="AF110" i="57" s="1"/>
  <c r="AF101" i="57"/>
  <c r="AF108" i="57" s="1"/>
  <c r="AD184" i="55"/>
  <c r="AD175" i="55"/>
  <c r="AE175" i="53"/>
  <c r="AE184" i="53"/>
  <c r="AF112" i="51"/>
  <c r="AF167" i="51" s="1"/>
  <c r="AG115" i="38"/>
  <c r="AG115" i="55"/>
  <c r="AF129" i="51"/>
  <c r="AF169" i="51" s="1"/>
  <c r="AE184" i="51"/>
  <c r="AE175" i="51"/>
  <c r="AF116" i="55"/>
  <c r="AF128" i="55" s="1"/>
  <c r="AF123" i="55"/>
  <c r="AF127" i="55" s="1"/>
  <c r="AF118" i="55"/>
  <c r="AF125" i="55" s="1"/>
  <c r="AG116" i="51"/>
  <c r="AG128" i="51" s="1"/>
  <c r="AG123" i="51"/>
  <c r="AG127" i="51" s="1"/>
  <c r="AG118" i="51"/>
  <c r="AG125" i="51" s="1"/>
  <c r="AE129" i="55"/>
  <c r="AE169" i="55" s="1"/>
  <c r="AF129" i="57"/>
  <c r="AF169" i="57" s="1"/>
  <c r="AF129" i="53"/>
  <c r="AF169" i="53" s="1"/>
  <c r="AG133" i="55"/>
  <c r="AG145" i="55" s="1"/>
  <c r="AG140" i="55"/>
  <c r="AG116" i="52"/>
  <c r="AG128" i="52" s="1"/>
  <c r="AG123" i="52"/>
  <c r="AG127" i="52" s="1"/>
  <c r="AG118" i="52"/>
  <c r="AG125" i="52" s="1"/>
  <c r="AE112" i="55"/>
  <c r="AE167" i="55" s="1"/>
  <c r="AG98" i="57"/>
  <c r="AG99" i="52"/>
  <c r="AG111" i="52" s="1"/>
  <c r="AG106" i="52"/>
  <c r="AG110" i="52" s="1"/>
  <c r="AG101" i="52"/>
  <c r="AG108" i="52" s="1"/>
  <c r="AG115" i="57"/>
  <c r="AE175" i="52"/>
  <c r="AE184" i="52"/>
  <c r="AF99" i="55"/>
  <c r="AF111" i="55" s="1"/>
  <c r="AF101" i="55"/>
  <c r="AF108" i="55" s="1"/>
  <c r="AF106" i="55"/>
  <c r="AF110" i="55" s="1"/>
  <c r="AG99" i="51"/>
  <c r="AG111" i="51" s="1"/>
  <c r="AG106" i="51"/>
  <c r="AG110" i="51" s="1"/>
  <c r="AG101" i="51"/>
  <c r="AG108" i="51" s="1"/>
  <c r="AG140" i="51"/>
  <c r="AG157" i="51"/>
  <c r="AF157" i="51"/>
  <c r="AF162" i="51"/>
  <c r="AF159" i="51"/>
  <c r="CL130" i="2" l="1"/>
  <c r="CI130" i="2" s="1"/>
  <c r="G127" i="4" s="1"/>
  <c r="P127" i="4" s="1"/>
  <c r="AG150" i="57"/>
  <c r="AG162" i="57" s="1"/>
  <c r="CM97" i="2"/>
  <c r="CJ97" i="2" s="1"/>
  <c r="AG118" i="66"/>
  <c r="CL141" i="2"/>
  <c r="CI141" i="2" s="1"/>
  <c r="G138" i="4" s="1"/>
  <c r="P138" i="4" s="1"/>
  <c r="CL108" i="2"/>
  <c r="CI108" i="2" s="1"/>
  <c r="G105" i="4" s="1"/>
  <c r="P105" i="4" s="1"/>
  <c r="AG157" i="64"/>
  <c r="CM53" i="2"/>
  <c r="CJ53" i="2" s="1"/>
  <c r="AG157" i="55"/>
  <c r="CM130" i="2"/>
  <c r="CJ130" i="2" s="1"/>
  <c r="H127" i="4" s="1"/>
  <c r="Q127" i="4" s="1"/>
  <c r="AG150" i="58"/>
  <c r="AG162" i="58" s="1"/>
  <c r="CM108" i="2"/>
  <c r="CJ108" i="2" s="1"/>
  <c r="H105" i="4" s="1"/>
  <c r="Q105" i="4" s="1"/>
  <c r="CL97" i="2"/>
  <c r="CI97" i="2" s="1"/>
  <c r="G94" i="4" s="1"/>
  <c r="P94" i="4" s="1"/>
  <c r="AG118" i="38"/>
  <c r="CL20" i="2"/>
  <c r="CI20" i="2" s="1"/>
  <c r="W194" i="52"/>
  <c r="BS85" i="2"/>
  <c r="BM85" i="2" s="1"/>
  <c r="K89" i="3" s="1"/>
  <c r="W89" i="3" s="1"/>
  <c r="W94" i="3" s="1"/>
  <c r="S95" i="3" s="1"/>
  <c r="S97" i="3" s="1"/>
  <c r="S98" i="3" s="1"/>
  <c r="W178" i="51"/>
  <c r="BS63" i="2"/>
  <c r="BM63" i="2" s="1"/>
  <c r="K65" i="3" s="1"/>
  <c r="W65" i="3" s="1"/>
  <c r="W70" i="3" s="1"/>
  <c r="W194" i="67"/>
  <c r="BS151" i="2"/>
  <c r="BM151" i="2" s="1"/>
  <c r="K161" i="3" s="1"/>
  <c r="W161" i="3" s="1"/>
  <c r="W166" i="3" s="1"/>
  <c r="U167" i="3" s="1"/>
  <c r="U169" i="3" s="1"/>
  <c r="U170" i="3" s="1"/>
  <c r="W178" i="53"/>
  <c r="BS74" i="2"/>
  <c r="BM74" i="2" s="1"/>
  <c r="K77" i="3" s="1"/>
  <c r="W77" i="3" s="1"/>
  <c r="W82" i="3" s="1"/>
  <c r="R83" i="3" s="1"/>
  <c r="R85" i="3" s="1"/>
  <c r="R86" i="3" s="1"/>
  <c r="AG150" i="64"/>
  <c r="AG162" i="64" s="1"/>
  <c r="E95" i="74"/>
  <c r="AD44" i="75"/>
  <c r="E103" i="74"/>
  <c r="AD52" i="75"/>
  <c r="E87" i="74"/>
  <c r="AD36" i="75"/>
  <c r="X186" i="64"/>
  <c r="W188" i="67"/>
  <c r="W178" i="67"/>
  <c r="W179" i="67"/>
  <c r="W186" i="67"/>
  <c r="W179" i="53"/>
  <c r="V188" i="65"/>
  <c r="AG152" i="64"/>
  <c r="AG159" i="64" s="1"/>
  <c r="X192" i="53"/>
  <c r="X193" i="53"/>
  <c r="X187" i="53"/>
  <c r="V186" i="55"/>
  <c r="V188" i="55"/>
  <c r="V179" i="55"/>
  <c r="V178" i="55"/>
  <c r="V194" i="58"/>
  <c r="V188" i="58"/>
  <c r="V178" i="58"/>
  <c r="W194" i="53"/>
  <c r="W186" i="53"/>
  <c r="V179" i="64"/>
  <c r="V178" i="62"/>
  <c r="V186" i="62"/>
  <c r="V179" i="66"/>
  <c r="V186" i="66"/>
  <c r="W188" i="53"/>
  <c r="V178" i="66"/>
  <c r="V194" i="62"/>
  <c r="V188" i="62"/>
  <c r="W179" i="52"/>
  <c r="V186" i="65"/>
  <c r="W178" i="52"/>
  <c r="V194" i="66"/>
  <c r="V178" i="65"/>
  <c r="W188" i="52"/>
  <c r="W187" i="52"/>
  <c r="X192" i="62"/>
  <c r="X177" i="64"/>
  <c r="V178" i="64"/>
  <c r="V179" i="65"/>
  <c r="V188" i="64"/>
  <c r="X187" i="62"/>
  <c r="X192" i="64"/>
  <c r="X193" i="62"/>
  <c r="V194" i="64"/>
  <c r="V188" i="57"/>
  <c r="V178" i="57"/>
  <c r="V194" i="61"/>
  <c r="V188" i="61"/>
  <c r="V178" i="61"/>
  <c r="V187" i="61"/>
  <c r="W188" i="51"/>
  <c r="W187" i="51"/>
  <c r="W179" i="51"/>
  <c r="Z214" i="45"/>
  <c r="Z230" i="45" s="1"/>
  <c r="Y58" i="67"/>
  <c r="Y137" i="67" s="1"/>
  <c r="Y144" i="67" s="1"/>
  <c r="Y146" i="67" s="1"/>
  <c r="Y168" i="67" s="1"/>
  <c r="Y246" i="45"/>
  <c r="Y262" i="45" s="1"/>
  <c r="X59" i="67"/>
  <c r="X154" i="67" s="1"/>
  <c r="X161" i="67" s="1"/>
  <c r="X163" i="67" s="1"/>
  <c r="X170" i="67" s="1"/>
  <c r="X186" i="67" s="1"/>
  <c r="X245" i="45"/>
  <c r="X261" i="45" s="1"/>
  <c r="W59" i="66"/>
  <c r="W154" i="66" s="1"/>
  <c r="W161" i="66" s="1"/>
  <c r="W163" i="66" s="1"/>
  <c r="W170" i="66" s="1"/>
  <c r="Z213" i="45"/>
  <c r="Z229" i="45" s="1"/>
  <c r="X244" i="45"/>
  <c r="X260" i="45" s="1"/>
  <c r="W59" i="55"/>
  <c r="W154" i="55" s="1"/>
  <c r="W161" i="55" s="1"/>
  <c r="W163" i="55" s="1"/>
  <c r="W170" i="55" s="1"/>
  <c r="Z212" i="45"/>
  <c r="Z228" i="45" s="1"/>
  <c r="Y58" i="55"/>
  <c r="Y137" i="55" s="1"/>
  <c r="Y144" i="55" s="1"/>
  <c r="Y146" i="55" s="1"/>
  <c r="Y168" i="55" s="1"/>
  <c r="X243" i="45"/>
  <c r="X259" i="45" s="1"/>
  <c r="W59" i="65"/>
  <c r="W154" i="65" s="1"/>
  <c r="W161" i="65" s="1"/>
  <c r="W163" i="65" s="1"/>
  <c r="W170" i="65" s="1"/>
  <c r="BS118" i="2" s="1"/>
  <c r="Z211" i="45"/>
  <c r="Z227" i="45" s="1"/>
  <c r="X242" i="45"/>
  <c r="X258" i="45" s="1"/>
  <c r="W59" i="58"/>
  <c r="W154" i="58" s="1"/>
  <c r="W161" i="58" s="1"/>
  <c r="W163" i="58" s="1"/>
  <c r="W170" i="58" s="1"/>
  <c r="V186" i="58"/>
  <c r="Z210" i="45"/>
  <c r="Z226" i="45" s="1"/>
  <c r="V179" i="57"/>
  <c r="X241" i="45"/>
  <c r="X257" i="45" s="1"/>
  <c r="W59" i="57"/>
  <c r="W154" i="57" s="1"/>
  <c r="W161" i="57" s="1"/>
  <c r="W163" i="57" s="1"/>
  <c r="W170" i="57" s="1"/>
  <c r="BS96" i="2" s="1"/>
  <c r="X187" i="57"/>
  <c r="X192" i="57"/>
  <c r="X177" i="57"/>
  <c r="X193" i="57"/>
  <c r="Y58" i="57"/>
  <c r="Y137" i="57" s="1"/>
  <c r="Y144" i="57" s="1"/>
  <c r="Y146" i="57" s="1"/>
  <c r="Y168" i="57" s="1"/>
  <c r="Z209" i="45"/>
  <c r="Z225" i="45" s="1"/>
  <c r="V194" i="57"/>
  <c r="Z208" i="45"/>
  <c r="Z224" i="45" s="1"/>
  <c r="Y240" i="45"/>
  <c r="Y256" i="45" s="1"/>
  <c r="X59" i="52"/>
  <c r="X154" i="52" s="1"/>
  <c r="X161" i="52" s="1"/>
  <c r="X163" i="52" s="1"/>
  <c r="X170" i="52" s="1"/>
  <c r="X188" i="52" s="1"/>
  <c r="Z207" i="45"/>
  <c r="Z223" i="45" s="1"/>
  <c r="Y57" i="53"/>
  <c r="Y137" i="53" s="1"/>
  <c r="Y144" i="53" s="1"/>
  <c r="Y146" i="53" s="1"/>
  <c r="Y168" i="53" s="1"/>
  <c r="Y193" i="53" s="1"/>
  <c r="Y239" i="45"/>
  <c r="Y255" i="45" s="1"/>
  <c r="X58" i="53"/>
  <c r="X154" i="53" s="1"/>
  <c r="X161" i="53" s="1"/>
  <c r="X163" i="53" s="1"/>
  <c r="X170" i="53" s="1"/>
  <c r="X188" i="53" s="1"/>
  <c r="Z206" i="45"/>
  <c r="Z222" i="45" s="1"/>
  <c r="Y238" i="45"/>
  <c r="Y254" i="45" s="1"/>
  <c r="X58" i="51"/>
  <c r="X154" i="51" s="1"/>
  <c r="X161" i="51" s="1"/>
  <c r="X163" i="51" s="1"/>
  <c r="X170" i="51" s="1"/>
  <c r="X179" i="51" s="1"/>
  <c r="X237" i="45"/>
  <c r="X253" i="45" s="1"/>
  <c r="W58" i="64"/>
  <c r="W154" i="64" s="1"/>
  <c r="W161" i="64" s="1"/>
  <c r="W163" i="64" s="1"/>
  <c r="W170" i="64" s="1"/>
  <c r="Y57" i="64"/>
  <c r="Y137" i="64" s="1"/>
  <c r="Y144" i="64" s="1"/>
  <c r="Y146" i="64" s="1"/>
  <c r="Y168" i="64" s="1"/>
  <c r="Y193" i="64" s="1"/>
  <c r="Z205" i="45"/>
  <c r="Z221" i="45" s="1"/>
  <c r="X236" i="45"/>
  <c r="X252" i="45" s="1"/>
  <c r="W58" i="63"/>
  <c r="W154" i="63" s="1"/>
  <c r="W161" i="63" s="1"/>
  <c r="W163" i="63" s="1"/>
  <c r="W170" i="63" s="1"/>
  <c r="X187" i="63"/>
  <c r="X192" i="63"/>
  <c r="X177" i="63"/>
  <c r="X193" i="63"/>
  <c r="V194" i="63"/>
  <c r="Y57" i="63"/>
  <c r="Y137" i="63" s="1"/>
  <c r="Y144" i="63" s="1"/>
  <c r="Y146" i="63" s="1"/>
  <c r="Y168" i="63" s="1"/>
  <c r="Z204" i="45"/>
  <c r="Z220" i="45" s="1"/>
  <c r="V178" i="63"/>
  <c r="V188" i="63"/>
  <c r="V179" i="63"/>
  <c r="X235" i="45"/>
  <c r="X251" i="45" s="1"/>
  <c r="W58" i="62"/>
  <c r="W154" i="62" s="1"/>
  <c r="W161" i="62" s="1"/>
  <c r="W163" i="62" s="1"/>
  <c r="W170" i="62" s="1"/>
  <c r="Z203" i="45"/>
  <c r="Z219" i="45" s="1"/>
  <c r="Y57" i="62"/>
  <c r="Y137" i="62" s="1"/>
  <c r="Y144" i="62" s="1"/>
  <c r="Y146" i="62" s="1"/>
  <c r="Y168" i="62" s="1"/>
  <c r="Y177" i="62" s="1"/>
  <c r="X234" i="45"/>
  <c r="X250" i="45" s="1"/>
  <c r="W58" i="38"/>
  <c r="Z202" i="45"/>
  <c r="Z218" i="45" s="1"/>
  <c r="Y57" i="38"/>
  <c r="X233" i="45"/>
  <c r="X249" i="45" s="1"/>
  <c r="W58" i="61"/>
  <c r="W154" i="61" s="1"/>
  <c r="W161" i="61" s="1"/>
  <c r="W163" i="61" s="1"/>
  <c r="W170" i="61" s="1"/>
  <c r="Z201" i="45"/>
  <c r="Z217" i="45" s="1"/>
  <c r="W177" i="51"/>
  <c r="W193" i="51"/>
  <c r="BK63" i="2"/>
  <c r="I65" i="3" s="1"/>
  <c r="U65" i="3" s="1"/>
  <c r="U70" i="3" s="1"/>
  <c r="W192" i="51"/>
  <c r="W186" i="51"/>
  <c r="W177" i="65"/>
  <c r="W192" i="65"/>
  <c r="W187" i="65"/>
  <c r="W193" i="65"/>
  <c r="BL118" i="2"/>
  <c r="J125" i="3" s="1"/>
  <c r="V125" i="3" s="1"/>
  <c r="V130" i="3" s="1"/>
  <c r="X58" i="65"/>
  <c r="X137" i="65" s="1"/>
  <c r="X144" i="65" s="1"/>
  <c r="X146" i="65" s="1"/>
  <c r="X168" i="65" s="1"/>
  <c r="W194" i="51"/>
  <c r="X57" i="61"/>
  <c r="X137" i="61" s="1"/>
  <c r="X144" i="61" s="1"/>
  <c r="X146" i="61" s="1"/>
  <c r="X168" i="61" s="1"/>
  <c r="W193" i="61"/>
  <c r="W177" i="61"/>
  <c r="W192" i="61"/>
  <c r="BK8" i="2"/>
  <c r="W186" i="61"/>
  <c r="X58" i="58"/>
  <c r="X137" i="58" s="1"/>
  <c r="X144" i="58" s="1"/>
  <c r="X146" i="58" s="1"/>
  <c r="X168" i="58" s="1"/>
  <c r="X187" i="66"/>
  <c r="X192" i="66"/>
  <c r="X177" i="66"/>
  <c r="X193" i="66"/>
  <c r="BK107" i="2"/>
  <c r="I113" i="3" s="1"/>
  <c r="U113" i="3" s="1"/>
  <c r="U118" i="3" s="1"/>
  <c r="W177" i="58"/>
  <c r="W192" i="58"/>
  <c r="W187" i="58"/>
  <c r="W193" i="58"/>
  <c r="Y58" i="66"/>
  <c r="Y137" i="66" s="1"/>
  <c r="Y144" i="66" s="1"/>
  <c r="Y146" i="66" s="1"/>
  <c r="Y168" i="66" s="1"/>
  <c r="X187" i="67"/>
  <c r="X177" i="67"/>
  <c r="X193" i="67"/>
  <c r="X192" i="67"/>
  <c r="X187" i="55"/>
  <c r="X192" i="55"/>
  <c r="X177" i="55"/>
  <c r="X193" i="55"/>
  <c r="Y58" i="52"/>
  <c r="Y137" i="52" s="1"/>
  <c r="Y144" i="52" s="1"/>
  <c r="Y146" i="52" s="1"/>
  <c r="Y168" i="52" s="1"/>
  <c r="X193" i="52"/>
  <c r="X192" i="52"/>
  <c r="X177" i="52"/>
  <c r="X186" i="52"/>
  <c r="X57" i="51"/>
  <c r="X137" i="51" s="1"/>
  <c r="X144" i="51" s="1"/>
  <c r="X146" i="51" s="1"/>
  <c r="X168" i="51" s="1"/>
  <c r="AF129" i="58"/>
  <c r="AF169" i="58" s="1"/>
  <c r="AF175" i="58" s="1"/>
  <c r="AG157" i="58"/>
  <c r="AG152" i="58"/>
  <c r="AG159" i="58" s="1"/>
  <c r="AG150" i="55"/>
  <c r="AG162" i="55" s="1"/>
  <c r="AG152" i="55"/>
  <c r="AG159" i="55" s="1"/>
  <c r="AG152" i="38"/>
  <c r="AE175" i="64"/>
  <c r="H94" i="4"/>
  <c r="Q94" i="4" s="1"/>
  <c r="AG152" i="57"/>
  <c r="AG159" i="57" s="1"/>
  <c r="AG157" i="57"/>
  <c r="AE184" i="64"/>
  <c r="AE184" i="58"/>
  <c r="AG157" i="66"/>
  <c r="AG152" i="66"/>
  <c r="AG159" i="66" s="1"/>
  <c r="AG150" i="66"/>
  <c r="AG162" i="66" s="1"/>
  <c r="AF112" i="58"/>
  <c r="AF167" i="58" s="1"/>
  <c r="AF176" i="58" s="1"/>
  <c r="AE185" i="58"/>
  <c r="AG118" i="64"/>
  <c r="AG125" i="64" s="1"/>
  <c r="AG118" i="61"/>
  <c r="AG125" i="61" s="1"/>
  <c r="AF129" i="64"/>
  <c r="AF169" i="64" s="1"/>
  <c r="AF175" i="64" s="1"/>
  <c r="AE176" i="66"/>
  <c r="AG118" i="58"/>
  <c r="AG125" i="58" s="1"/>
  <c r="AG123" i="58"/>
  <c r="AG127" i="58" s="1"/>
  <c r="AG116" i="58"/>
  <c r="AG128" i="58" s="1"/>
  <c r="F105" i="4"/>
  <c r="O105" i="4" s="1"/>
  <c r="AE175" i="66"/>
  <c r="AF129" i="66"/>
  <c r="AF169" i="66" s="1"/>
  <c r="AF184" i="66" s="1"/>
  <c r="AG106" i="58"/>
  <c r="AG110" i="58" s="1"/>
  <c r="AG99" i="58"/>
  <c r="AG111" i="58" s="1"/>
  <c r="AG116" i="65"/>
  <c r="AG128" i="65" s="1"/>
  <c r="G116" i="4"/>
  <c r="P116" i="4" s="1"/>
  <c r="AG123" i="65"/>
  <c r="AG127" i="65" s="1"/>
  <c r="AG118" i="65"/>
  <c r="AG125" i="65" s="1"/>
  <c r="F127" i="4"/>
  <c r="O127" i="4" s="1"/>
  <c r="AG129" i="67"/>
  <c r="AG169" i="67" s="1"/>
  <c r="CL151" i="2" s="1"/>
  <c r="CI151" i="2" s="1"/>
  <c r="AF112" i="66"/>
  <c r="AF167" i="66" s="1"/>
  <c r="AF176" i="66" s="1"/>
  <c r="H149" i="4"/>
  <c r="Q149" i="4" s="1"/>
  <c r="F149" i="4"/>
  <c r="O149" i="4" s="1"/>
  <c r="AE175" i="65"/>
  <c r="AE184" i="65"/>
  <c r="AF184" i="67"/>
  <c r="AF175" i="67"/>
  <c r="AF112" i="64"/>
  <c r="AF167" i="64" s="1"/>
  <c r="AF176" i="64" s="1"/>
  <c r="F94" i="4"/>
  <c r="O94" i="4" s="1"/>
  <c r="AG123" i="64"/>
  <c r="AG127" i="64" s="1"/>
  <c r="AG116" i="64"/>
  <c r="AG128" i="64" s="1"/>
  <c r="AG116" i="66"/>
  <c r="AG128" i="66" s="1"/>
  <c r="AG125" i="66"/>
  <c r="AG123" i="66"/>
  <c r="AG127" i="66" s="1"/>
  <c r="AF129" i="65"/>
  <c r="AF169" i="65" s="1"/>
  <c r="AE185" i="64"/>
  <c r="AE176" i="64"/>
  <c r="AF185" i="67"/>
  <c r="AF176" i="67"/>
  <c r="AG99" i="65"/>
  <c r="AG111" i="65" s="1"/>
  <c r="AG106" i="65"/>
  <c r="AG110" i="65" s="1"/>
  <c r="AG101" i="65"/>
  <c r="AG108" i="65" s="1"/>
  <c r="AF185" i="63"/>
  <c r="AF176" i="63"/>
  <c r="AF112" i="65"/>
  <c r="AF167" i="65" s="1"/>
  <c r="AE176" i="65"/>
  <c r="AE185" i="65"/>
  <c r="AG99" i="64"/>
  <c r="AG111" i="64" s="1"/>
  <c r="AG106" i="64"/>
  <c r="AG110" i="64" s="1"/>
  <c r="AG101" i="64"/>
  <c r="AG108" i="64" s="1"/>
  <c r="AG99" i="66"/>
  <c r="AG111" i="66" s="1"/>
  <c r="AG106" i="66"/>
  <c r="AG110" i="66" s="1"/>
  <c r="AG101" i="66"/>
  <c r="AG108" i="66" s="1"/>
  <c r="AG112" i="67"/>
  <c r="AG167" i="67" s="1"/>
  <c r="AG112" i="63"/>
  <c r="AG167" i="63" s="1"/>
  <c r="F39" i="4"/>
  <c r="O39" i="4" s="1"/>
  <c r="G39" i="4"/>
  <c r="P39" i="4" s="1"/>
  <c r="AG129" i="63"/>
  <c r="AG169" i="63" s="1"/>
  <c r="CL41" i="2" s="1"/>
  <c r="CI41" i="2" s="1"/>
  <c r="H39" i="4"/>
  <c r="Q39" i="4" s="1"/>
  <c r="AG150" i="63"/>
  <c r="AG162" i="63" s="1"/>
  <c r="AG152" i="63"/>
  <c r="AG159" i="63" s="1"/>
  <c r="AG157" i="63"/>
  <c r="AG152" i="61"/>
  <c r="AG159" i="61" s="1"/>
  <c r="AG150" i="61"/>
  <c r="AG162" i="61" s="1"/>
  <c r="AG157" i="61"/>
  <c r="AF175" i="63"/>
  <c r="AF184" i="63"/>
  <c r="AE175" i="61"/>
  <c r="AG129" i="62"/>
  <c r="AG169" i="62" s="1"/>
  <c r="CL30" i="2" s="1"/>
  <c r="CI30" i="2" s="1"/>
  <c r="F28" i="4"/>
  <c r="AG112" i="62"/>
  <c r="AG167" i="62" s="1"/>
  <c r="AF185" i="62"/>
  <c r="AF176" i="62"/>
  <c r="AF112" i="61"/>
  <c r="AF167" i="61" s="1"/>
  <c r="AF185" i="61" s="1"/>
  <c r="AE185" i="61"/>
  <c r="AE176" i="61"/>
  <c r="AF129" i="61"/>
  <c r="AF169" i="61" s="1"/>
  <c r="AG99" i="61"/>
  <c r="AG111" i="61" s="1"/>
  <c r="AG106" i="61"/>
  <c r="AG110" i="61" s="1"/>
  <c r="AG101" i="61"/>
  <c r="AG108" i="61" s="1"/>
  <c r="AG116" i="61"/>
  <c r="AG128" i="61" s="1"/>
  <c r="AG123" i="61"/>
  <c r="AG127" i="61" s="1"/>
  <c r="AE175" i="57"/>
  <c r="AF185" i="53"/>
  <c r="AF175" i="52"/>
  <c r="AC48" i="38"/>
  <c r="AC50" i="38" s="1"/>
  <c r="AE185" i="57"/>
  <c r="AF112" i="57"/>
  <c r="AF167" i="57" s="1"/>
  <c r="AF185" i="57" s="1"/>
  <c r="AF185" i="52"/>
  <c r="AF112" i="55"/>
  <c r="AF167" i="55" s="1"/>
  <c r="AF176" i="55" s="1"/>
  <c r="AG129" i="52"/>
  <c r="AG169" i="52" s="1"/>
  <c r="CL85" i="2" s="1"/>
  <c r="CI85" i="2" s="1"/>
  <c r="AF175" i="51"/>
  <c r="AF184" i="51"/>
  <c r="AG116" i="55"/>
  <c r="AG128" i="55" s="1"/>
  <c r="AG123" i="55"/>
  <c r="AG127" i="55" s="1"/>
  <c r="AG118" i="55"/>
  <c r="AG125" i="55" s="1"/>
  <c r="AF185" i="51"/>
  <c r="AF176" i="51"/>
  <c r="AG99" i="57"/>
  <c r="AG111" i="57" s="1"/>
  <c r="AG101" i="57"/>
  <c r="AG108" i="57" s="1"/>
  <c r="AG106" i="57"/>
  <c r="AG110" i="57" s="1"/>
  <c r="AG129" i="51"/>
  <c r="AG169" i="51" s="1"/>
  <c r="CL63" i="2" s="1"/>
  <c r="CI63" i="2" s="1"/>
  <c r="AE185" i="55"/>
  <c r="AE176" i="55"/>
  <c r="AG129" i="53"/>
  <c r="AG169" i="53" s="1"/>
  <c r="CL74" i="2" s="1"/>
  <c r="CI74" i="2" s="1"/>
  <c r="AG116" i="57"/>
  <c r="AG128" i="57" s="1"/>
  <c r="AG118" i="57"/>
  <c r="AG125" i="57" s="1"/>
  <c r="AG123" i="57"/>
  <c r="AG127" i="57" s="1"/>
  <c r="AF129" i="55"/>
  <c r="AF169" i="55" s="1"/>
  <c r="AG99" i="55"/>
  <c r="AG111" i="55" s="1"/>
  <c r="AG106" i="55"/>
  <c r="AG110" i="55" s="1"/>
  <c r="AG101" i="55"/>
  <c r="AG108" i="55" s="1"/>
  <c r="AF184" i="53"/>
  <c r="AF175" i="53"/>
  <c r="AG112" i="51"/>
  <c r="AG167" i="51" s="1"/>
  <c r="AF184" i="57"/>
  <c r="AF175" i="57"/>
  <c r="AE184" i="55"/>
  <c r="AE175" i="55"/>
  <c r="AG112" i="52"/>
  <c r="AG167" i="52" s="1"/>
  <c r="AG112" i="53"/>
  <c r="AG167" i="53" s="1"/>
  <c r="W179" i="55" l="1"/>
  <c r="BS129" i="2"/>
  <c r="BM129" i="2" s="1"/>
  <c r="K137" i="3" s="1"/>
  <c r="W137" i="3" s="1"/>
  <c r="W142" i="3" s="1"/>
  <c r="R143" i="3" s="1"/>
  <c r="R145" i="3" s="1"/>
  <c r="R146" i="3" s="1"/>
  <c r="W178" i="62"/>
  <c r="BS30" i="2"/>
  <c r="BM30" i="2" s="1"/>
  <c r="W178" i="63"/>
  <c r="BS41" i="2"/>
  <c r="BM41" i="2" s="1"/>
  <c r="K41" i="3" s="1"/>
  <c r="W41" i="3" s="1"/>
  <c r="W46" i="3" s="1"/>
  <c r="W47" i="3" s="1"/>
  <c r="W49" i="3" s="1"/>
  <c r="W50" i="3" s="1"/>
  <c r="W186" i="66"/>
  <c r="BS140" i="2"/>
  <c r="BM140" i="2" s="1"/>
  <c r="K149" i="3" s="1"/>
  <c r="W149" i="3" s="1"/>
  <c r="W154" i="3" s="1"/>
  <c r="R155" i="3" s="1"/>
  <c r="R157" i="3" s="1"/>
  <c r="R158" i="3" s="1"/>
  <c r="W188" i="61"/>
  <c r="BS8" i="2"/>
  <c r="BS52" i="2"/>
  <c r="BM52" i="2" s="1"/>
  <c r="K53" i="3" s="1"/>
  <c r="W53" i="3" s="1"/>
  <c r="W58" i="3" s="1"/>
  <c r="S59" i="3" s="1"/>
  <c r="S61" i="3" s="1"/>
  <c r="S62" i="3" s="1"/>
  <c r="W194" i="58"/>
  <c r="BS107" i="2"/>
  <c r="BM107" i="2" s="1"/>
  <c r="K113" i="3" s="1"/>
  <c r="W113" i="3" s="1"/>
  <c r="W118" i="3" s="1"/>
  <c r="U119" i="3" s="1"/>
  <c r="U121" i="3" s="1"/>
  <c r="U122" i="3" s="1"/>
  <c r="H50" i="4"/>
  <c r="Q50" i="4" s="1"/>
  <c r="Y187" i="62"/>
  <c r="E107" i="74"/>
  <c r="AD56" i="75"/>
  <c r="AE56" i="75" s="1"/>
  <c r="E67" i="74"/>
  <c r="AD16" i="75"/>
  <c r="AE16" i="75" s="1"/>
  <c r="E83" i="74"/>
  <c r="AD32" i="75"/>
  <c r="AE32" i="75" s="1"/>
  <c r="E91" i="74"/>
  <c r="AD40" i="75"/>
  <c r="AE40" i="75" s="1"/>
  <c r="E69" i="74"/>
  <c r="AD18" i="75"/>
  <c r="E85" i="74"/>
  <c r="AD34" i="75"/>
  <c r="E93" i="74"/>
  <c r="AD42" i="75"/>
  <c r="E109" i="74"/>
  <c r="AD57" i="75"/>
  <c r="AE57" i="75" s="1"/>
  <c r="W194" i="65"/>
  <c r="BM118" i="2"/>
  <c r="K125" i="3" s="1"/>
  <c r="W125" i="3" s="1"/>
  <c r="W130" i="3" s="1"/>
  <c r="W178" i="57"/>
  <c r="BM96" i="2"/>
  <c r="K101" i="3" s="1"/>
  <c r="W101" i="3" s="1"/>
  <c r="W106" i="3" s="1"/>
  <c r="W186" i="58"/>
  <c r="W178" i="66"/>
  <c r="W179" i="66"/>
  <c r="T167" i="3"/>
  <c r="T169" i="3" s="1"/>
  <c r="T170" i="3" s="1"/>
  <c r="W167" i="3"/>
  <c r="W169" i="3" s="1"/>
  <c r="W170" i="3" s="1"/>
  <c r="V167" i="3"/>
  <c r="V169" i="3" s="1"/>
  <c r="V170" i="3" s="1"/>
  <c r="S167" i="3"/>
  <c r="S169" i="3" s="1"/>
  <c r="S170" i="3" s="1"/>
  <c r="R167" i="3"/>
  <c r="R169" i="3" s="1"/>
  <c r="R170" i="3" s="1"/>
  <c r="G60" i="4"/>
  <c r="P60" i="4" s="1"/>
  <c r="P65" i="4" s="1"/>
  <c r="G71" i="4"/>
  <c r="P71" i="4" s="1"/>
  <c r="P76" i="4" s="1"/>
  <c r="W194" i="55"/>
  <c r="W194" i="57"/>
  <c r="R95" i="3"/>
  <c r="R97" i="3" s="1"/>
  <c r="R98" i="3" s="1"/>
  <c r="V95" i="3"/>
  <c r="V97" i="3" s="1"/>
  <c r="V98" i="3" s="1"/>
  <c r="T95" i="3"/>
  <c r="T97" i="3" s="1"/>
  <c r="T98" i="3" s="1"/>
  <c r="W95" i="3"/>
  <c r="W97" i="3" s="1"/>
  <c r="W98" i="3" s="1"/>
  <c r="U95" i="3"/>
  <c r="U97" i="3" s="1"/>
  <c r="U98" i="3" s="1"/>
  <c r="W187" i="64"/>
  <c r="S83" i="3"/>
  <c r="S85" i="3" s="1"/>
  <c r="S86" i="3" s="1"/>
  <c r="V83" i="3"/>
  <c r="V85" i="3" s="1"/>
  <c r="V86" i="3" s="1"/>
  <c r="Y192" i="53"/>
  <c r="W83" i="3"/>
  <c r="W85" i="3" s="1"/>
  <c r="W86" i="3" s="1"/>
  <c r="Y177" i="53"/>
  <c r="U83" i="3"/>
  <c r="U85" i="3" s="1"/>
  <c r="U86" i="3" s="1"/>
  <c r="Y187" i="53"/>
  <c r="T83" i="3"/>
  <c r="T85" i="3" s="1"/>
  <c r="T86" i="3" s="1"/>
  <c r="W194" i="66"/>
  <c r="W188" i="66"/>
  <c r="W179" i="63"/>
  <c r="W194" i="63"/>
  <c r="X179" i="52"/>
  <c r="W186" i="63"/>
  <c r="W188" i="63"/>
  <c r="Y192" i="62"/>
  <c r="W179" i="58"/>
  <c r="X194" i="52"/>
  <c r="W179" i="65"/>
  <c r="W188" i="65"/>
  <c r="BK118" i="2"/>
  <c r="I125" i="3" s="1"/>
  <c r="U125" i="3" s="1"/>
  <c r="U130" i="3" s="1"/>
  <c r="W178" i="58"/>
  <c r="W194" i="62"/>
  <c r="X194" i="67"/>
  <c r="W186" i="62"/>
  <c r="X188" i="67"/>
  <c r="W179" i="62"/>
  <c r="W194" i="64"/>
  <c r="W188" i="64"/>
  <c r="W178" i="64"/>
  <c r="W188" i="58"/>
  <c r="W186" i="57"/>
  <c r="X178" i="51"/>
  <c r="W179" i="57"/>
  <c r="W188" i="57"/>
  <c r="W188" i="62"/>
  <c r="X179" i="67"/>
  <c r="BK96" i="2"/>
  <c r="I101" i="3" s="1"/>
  <c r="U101" i="3" s="1"/>
  <c r="U106" i="3" s="1"/>
  <c r="X194" i="51"/>
  <c r="V71" i="3"/>
  <c r="V73" i="3" s="1"/>
  <c r="V74" i="3" s="1"/>
  <c r="X188" i="51"/>
  <c r="X187" i="51"/>
  <c r="X178" i="53"/>
  <c r="W187" i="61"/>
  <c r="Y186" i="64"/>
  <c r="Y192" i="64"/>
  <c r="Y177" i="64"/>
  <c r="W186" i="65"/>
  <c r="X186" i="53"/>
  <c r="W179" i="64"/>
  <c r="W178" i="65"/>
  <c r="X179" i="53"/>
  <c r="X187" i="52"/>
  <c r="Y193" i="62"/>
  <c r="X194" i="53"/>
  <c r="W179" i="61"/>
  <c r="W178" i="55"/>
  <c r="W186" i="55"/>
  <c r="W194" i="61"/>
  <c r="W188" i="55"/>
  <c r="W178" i="61"/>
  <c r="Z246" i="45"/>
  <c r="Z262" i="45" s="1"/>
  <c r="Y59" i="67"/>
  <c r="Y154" i="67" s="1"/>
  <c r="Y161" i="67" s="1"/>
  <c r="Y163" i="67" s="1"/>
  <c r="Y170" i="67" s="1"/>
  <c r="X178" i="67"/>
  <c r="AA214" i="45"/>
  <c r="AA230" i="45" s="1"/>
  <c r="Z58" i="67"/>
  <c r="Z137" i="67" s="1"/>
  <c r="Z144" i="67" s="1"/>
  <c r="Z146" i="67" s="1"/>
  <c r="Z168" i="67" s="1"/>
  <c r="AA213" i="45"/>
  <c r="AA229" i="45" s="1"/>
  <c r="Z58" i="66"/>
  <c r="Z137" i="66" s="1"/>
  <c r="Z144" i="66" s="1"/>
  <c r="Z146" i="66" s="1"/>
  <c r="Z168" i="66" s="1"/>
  <c r="Y245" i="45"/>
  <c r="Y261" i="45" s="1"/>
  <c r="X59" i="66"/>
  <c r="X154" i="66" s="1"/>
  <c r="X161" i="66" s="1"/>
  <c r="X163" i="66" s="1"/>
  <c r="X170" i="66" s="1"/>
  <c r="X179" i="66" s="1"/>
  <c r="AA212" i="45"/>
  <c r="AA228" i="45" s="1"/>
  <c r="Y244" i="45"/>
  <c r="Y260" i="45" s="1"/>
  <c r="X59" i="55"/>
  <c r="X154" i="55" s="1"/>
  <c r="X161" i="55" s="1"/>
  <c r="X163" i="55" s="1"/>
  <c r="X170" i="55" s="1"/>
  <c r="X188" i="55" s="1"/>
  <c r="AA211" i="45"/>
  <c r="AA227" i="45" s="1"/>
  <c r="Y243" i="45"/>
  <c r="Y259" i="45" s="1"/>
  <c r="X59" i="65"/>
  <c r="X154" i="65" s="1"/>
  <c r="X161" i="65" s="1"/>
  <c r="X163" i="65" s="1"/>
  <c r="X170" i="65" s="1"/>
  <c r="X188" i="65" s="1"/>
  <c r="AA210" i="45"/>
  <c r="AA226" i="45" s="1"/>
  <c r="Y242" i="45"/>
  <c r="Y258" i="45" s="1"/>
  <c r="X59" i="58"/>
  <c r="X154" i="58" s="1"/>
  <c r="X161" i="58" s="1"/>
  <c r="X163" i="58" s="1"/>
  <c r="X170" i="58" s="1"/>
  <c r="X188" i="58" s="1"/>
  <c r="AA209" i="45"/>
  <c r="AA225" i="45" s="1"/>
  <c r="Z58" i="57"/>
  <c r="Z137" i="57" s="1"/>
  <c r="Z144" i="57" s="1"/>
  <c r="Z146" i="57" s="1"/>
  <c r="Z168" i="57" s="1"/>
  <c r="Y177" i="57"/>
  <c r="Y192" i="57"/>
  <c r="Y187" i="57"/>
  <c r="Y193" i="57"/>
  <c r="Y241" i="45"/>
  <c r="Y257" i="45" s="1"/>
  <c r="X59" i="57"/>
  <c r="X154" i="57" s="1"/>
  <c r="X161" i="57" s="1"/>
  <c r="X163" i="57" s="1"/>
  <c r="X170" i="57" s="1"/>
  <c r="X186" i="57" s="1"/>
  <c r="Z240" i="45"/>
  <c r="Z256" i="45" s="1"/>
  <c r="Y59" i="52"/>
  <c r="Y154" i="52" s="1"/>
  <c r="Y161" i="52" s="1"/>
  <c r="Y163" i="52" s="1"/>
  <c r="Y170" i="52" s="1"/>
  <c r="Y187" i="52" s="1"/>
  <c r="X178" i="52"/>
  <c r="Z58" i="52"/>
  <c r="Z137" i="52" s="1"/>
  <c r="Z144" i="52" s="1"/>
  <c r="Z146" i="52" s="1"/>
  <c r="Z168" i="52" s="1"/>
  <c r="AA208" i="45"/>
  <c r="AA224" i="45" s="1"/>
  <c r="Z239" i="45"/>
  <c r="Z255" i="45" s="1"/>
  <c r="Y58" i="53"/>
  <c r="Y154" i="53" s="1"/>
  <c r="Y161" i="53" s="1"/>
  <c r="Y163" i="53" s="1"/>
  <c r="Y170" i="53" s="1"/>
  <c r="Y178" i="53" s="1"/>
  <c r="AA207" i="45"/>
  <c r="AA223" i="45" s="1"/>
  <c r="Z57" i="53"/>
  <c r="Z137" i="53" s="1"/>
  <c r="Z144" i="53" s="1"/>
  <c r="Z146" i="53" s="1"/>
  <c r="Z168" i="53" s="1"/>
  <c r="Z187" i="53" s="1"/>
  <c r="Z238" i="45"/>
  <c r="Z254" i="45" s="1"/>
  <c r="Y58" i="51"/>
  <c r="Y154" i="51" s="1"/>
  <c r="Y161" i="51" s="1"/>
  <c r="Y163" i="51" s="1"/>
  <c r="Y170" i="51" s="1"/>
  <c r="Y187" i="51" s="1"/>
  <c r="AA206" i="45"/>
  <c r="AA222" i="45" s="1"/>
  <c r="AA205" i="45"/>
  <c r="AA221" i="45" s="1"/>
  <c r="Z57" i="64"/>
  <c r="Z137" i="64" s="1"/>
  <c r="Z144" i="64" s="1"/>
  <c r="Z146" i="64" s="1"/>
  <c r="Z168" i="64" s="1"/>
  <c r="Z186" i="64" s="1"/>
  <c r="Y237" i="45"/>
  <c r="Y253" i="45" s="1"/>
  <c r="X58" i="64"/>
  <c r="X154" i="64" s="1"/>
  <c r="X161" i="64" s="1"/>
  <c r="X163" i="64" s="1"/>
  <c r="X170" i="64" s="1"/>
  <c r="X188" i="64" s="1"/>
  <c r="Z57" i="63"/>
  <c r="Z137" i="63" s="1"/>
  <c r="Z144" i="63" s="1"/>
  <c r="Z146" i="63" s="1"/>
  <c r="Z168" i="63" s="1"/>
  <c r="AA204" i="45"/>
  <c r="AA220" i="45" s="1"/>
  <c r="Y192" i="63"/>
  <c r="Y193" i="63"/>
  <c r="Y177" i="63"/>
  <c r="Y187" i="63"/>
  <c r="Y236" i="45"/>
  <c r="Y252" i="45" s="1"/>
  <c r="X58" i="63"/>
  <c r="X154" i="63" s="1"/>
  <c r="X161" i="63" s="1"/>
  <c r="X163" i="63" s="1"/>
  <c r="X170" i="63" s="1"/>
  <c r="X188" i="63" s="1"/>
  <c r="AA203" i="45"/>
  <c r="AA219" i="45" s="1"/>
  <c r="Z57" i="62"/>
  <c r="Z137" i="62" s="1"/>
  <c r="Z144" i="62" s="1"/>
  <c r="Z146" i="62" s="1"/>
  <c r="Z168" i="62" s="1"/>
  <c r="Z193" i="62" s="1"/>
  <c r="Y235" i="45"/>
  <c r="Y251" i="45" s="1"/>
  <c r="X58" i="62"/>
  <c r="X154" i="62" s="1"/>
  <c r="X161" i="62" s="1"/>
  <c r="X163" i="62" s="1"/>
  <c r="X170" i="62" s="1"/>
  <c r="X188" i="62" s="1"/>
  <c r="AA202" i="45"/>
  <c r="AA218" i="45" s="1"/>
  <c r="Z57" i="38"/>
  <c r="Y234" i="45"/>
  <c r="Y250" i="45" s="1"/>
  <c r="X58" i="38"/>
  <c r="AA201" i="45"/>
  <c r="AA217" i="45" s="1"/>
  <c r="Y233" i="45"/>
  <c r="Y249" i="45" s="1"/>
  <c r="X58" i="61"/>
  <c r="X154" i="61" s="1"/>
  <c r="X161" i="61" s="1"/>
  <c r="X163" i="61" s="1"/>
  <c r="X170" i="61" s="1"/>
  <c r="X188" i="61" s="1"/>
  <c r="W71" i="3"/>
  <c r="W73" i="3" s="1"/>
  <c r="W74" i="3" s="1"/>
  <c r="U71" i="3"/>
  <c r="U73" i="3" s="1"/>
  <c r="U74" i="3" s="1"/>
  <c r="T71" i="3"/>
  <c r="T73" i="3" s="1"/>
  <c r="T74" i="3" s="1"/>
  <c r="R71" i="3"/>
  <c r="R73" i="3" s="1"/>
  <c r="R74" i="3" s="1"/>
  <c r="S71" i="3"/>
  <c r="S73" i="3" s="1"/>
  <c r="S74" i="3" s="1"/>
  <c r="AF184" i="58"/>
  <c r="Y58" i="65"/>
  <c r="Y137" i="65" s="1"/>
  <c r="Y144" i="65" s="1"/>
  <c r="Y146" i="65" s="1"/>
  <c r="Y168" i="65" s="1"/>
  <c r="Y187" i="67"/>
  <c r="Y177" i="67"/>
  <c r="Y193" i="67"/>
  <c r="Y192" i="67"/>
  <c r="Y58" i="58"/>
  <c r="Y137" i="58" s="1"/>
  <c r="Y144" i="58" s="1"/>
  <c r="Y146" i="58" s="1"/>
  <c r="Y168" i="58" s="1"/>
  <c r="Y177" i="52"/>
  <c r="Y193" i="52"/>
  <c r="Y192" i="52"/>
  <c r="Y186" i="52"/>
  <c r="X187" i="58"/>
  <c r="X193" i="58"/>
  <c r="X177" i="58"/>
  <c r="X192" i="58"/>
  <c r="Y192" i="66"/>
  <c r="Y187" i="66"/>
  <c r="Y177" i="66"/>
  <c r="Y193" i="66"/>
  <c r="Y57" i="51"/>
  <c r="Y137" i="51" s="1"/>
  <c r="Y144" i="51" s="1"/>
  <c r="Y146" i="51" s="1"/>
  <c r="Y168" i="51" s="1"/>
  <c r="X193" i="51"/>
  <c r="X186" i="51"/>
  <c r="X192" i="51"/>
  <c r="X177" i="51"/>
  <c r="X177" i="65"/>
  <c r="X192" i="65"/>
  <c r="X193" i="65"/>
  <c r="X187" i="65"/>
  <c r="Z58" i="55"/>
  <c r="Z137" i="55" s="1"/>
  <c r="Z144" i="55" s="1"/>
  <c r="Z146" i="55" s="1"/>
  <c r="Z168" i="55" s="1"/>
  <c r="Y57" i="61"/>
  <c r="Y137" i="61" s="1"/>
  <c r="Y144" i="61" s="1"/>
  <c r="Y146" i="61" s="1"/>
  <c r="Y168" i="61" s="1"/>
  <c r="Y177" i="55"/>
  <c r="Y187" i="55"/>
  <c r="Y192" i="55"/>
  <c r="Y193" i="55"/>
  <c r="X186" i="61"/>
  <c r="X193" i="61"/>
  <c r="X177" i="61"/>
  <c r="X192" i="61"/>
  <c r="G50" i="4"/>
  <c r="P50" i="4" s="1"/>
  <c r="AF185" i="58"/>
  <c r="AG112" i="58"/>
  <c r="AG167" i="58" s="1"/>
  <c r="AD48" i="75" s="1"/>
  <c r="AE48" i="75" s="1"/>
  <c r="AG129" i="58"/>
  <c r="AG169" i="58" s="1"/>
  <c r="CL107" i="2" s="1"/>
  <c r="CI107" i="2" s="1"/>
  <c r="F6" i="4"/>
  <c r="H17" i="4"/>
  <c r="AF184" i="64"/>
  <c r="F50" i="4"/>
  <c r="O50" i="4" s="1"/>
  <c r="AF185" i="66"/>
  <c r="F17" i="4"/>
  <c r="H116" i="4"/>
  <c r="Q116" i="4" s="1"/>
  <c r="F116" i="4"/>
  <c r="O116" i="4" s="1"/>
  <c r="AF175" i="66"/>
  <c r="AF185" i="64"/>
  <c r="AG129" i="64"/>
  <c r="AG169" i="64" s="1"/>
  <c r="CL52" i="2" s="1"/>
  <c r="CI52" i="2" s="1"/>
  <c r="AG129" i="65"/>
  <c r="AG169" i="65" s="1"/>
  <c r="AG129" i="66"/>
  <c r="AG169" i="66" s="1"/>
  <c r="AF15" i="14" s="1" a="1"/>
  <c r="AF15" i="14" s="1"/>
  <c r="G17" i="4"/>
  <c r="G148" i="4"/>
  <c r="P148" i="4" s="1"/>
  <c r="P153" i="4" s="1"/>
  <c r="AG175" i="67"/>
  <c r="AG184" i="67"/>
  <c r="H138" i="4"/>
  <c r="Q138" i="4" s="1"/>
  <c r="F138" i="4"/>
  <c r="O138" i="4" s="1"/>
  <c r="AF184" i="65"/>
  <c r="AF175" i="65"/>
  <c r="AG175" i="62"/>
  <c r="AG176" i="63"/>
  <c r="AG185" i="63"/>
  <c r="AF185" i="65"/>
  <c r="AF176" i="65"/>
  <c r="AG185" i="67"/>
  <c r="AG176" i="67"/>
  <c r="AG112" i="66"/>
  <c r="AG167" i="66" s="1"/>
  <c r="AG112" i="65"/>
  <c r="AG167" i="65" s="1"/>
  <c r="CN118" i="2" s="1"/>
  <c r="AG112" i="64"/>
  <c r="AG167" i="64" s="1"/>
  <c r="G28" i="4"/>
  <c r="F117" i="4"/>
  <c r="O117" i="4" s="1"/>
  <c r="H117" i="4"/>
  <c r="Q117" i="4" s="1"/>
  <c r="G117" i="4"/>
  <c r="P117" i="4" s="1"/>
  <c r="AG184" i="63"/>
  <c r="AG175" i="63"/>
  <c r="AG184" i="62"/>
  <c r="H28" i="4"/>
  <c r="AG176" i="62"/>
  <c r="AG185" i="62"/>
  <c r="AF176" i="61"/>
  <c r="G6" i="4"/>
  <c r="AG129" i="61"/>
  <c r="AG169" i="61" s="1"/>
  <c r="AF184" i="61"/>
  <c r="AF175" i="61"/>
  <c r="AG112" i="61"/>
  <c r="AG167" i="61" s="1"/>
  <c r="AD8" i="75" s="1"/>
  <c r="AE8" i="75" s="1"/>
  <c r="AD48" i="38"/>
  <c r="AD50" i="38" s="1"/>
  <c r="AE48" i="38"/>
  <c r="AF176" i="57"/>
  <c r="AG175" i="52"/>
  <c r="AG184" i="52"/>
  <c r="AF185" i="55"/>
  <c r="AG185" i="52"/>
  <c r="AG176" i="52"/>
  <c r="AG185" i="51"/>
  <c r="AG176" i="51"/>
  <c r="AG129" i="57"/>
  <c r="AG169" i="57" s="1"/>
  <c r="CL96" i="2" s="1"/>
  <c r="AG175" i="51"/>
  <c r="AG184" i="51"/>
  <c r="AG175" i="53"/>
  <c r="AG184" i="53"/>
  <c r="AG112" i="57"/>
  <c r="AG167" i="57" s="1"/>
  <c r="CN96" i="2" s="1"/>
  <c r="AG129" i="55"/>
  <c r="AG169" i="55" s="1"/>
  <c r="AG185" i="53"/>
  <c r="AG176" i="53"/>
  <c r="AG112" i="55"/>
  <c r="AG167" i="55" s="1"/>
  <c r="AF175" i="55"/>
  <c r="AF184" i="55"/>
  <c r="C67" i="42"/>
  <c r="C68" i="41"/>
  <c r="C67" i="43"/>
  <c r="Y188" i="67" l="1"/>
  <c r="AE34" i="75"/>
  <c r="U59" i="3"/>
  <c r="U61" i="3" s="1"/>
  <c r="U62" i="3" s="1"/>
  <c r="T59" i="3"/>
  <c r="T61" i="3" s="1"/>
  <c r="T62" i="3" s="1"/>
  <c r="V59" i="3"/>
  <c r="V61" i="3" s="1"/>
  <c r="V62" i="3" s="1"/>
  <c r="R59" i="3"/>
  <c r="R61" i="3" s="1"/>
  <c r="R62" i="3" s="1"/>
  <c r="W59" i="3"/>
  <c r="W61" i="3" s="1"/>
  <c r="W62" i="3" s="1"/>
  <c r="AD10" i="75"/>
  <c r="AE10" i="75" s="1"/>
  <c r="CL8" i="2"/>
  <c r="CI8" i="2" s="1"/>
  <c r="CL129" i="2"/>
  <c r="CI129" i="2" s="1"/>
  <c r="G126" i="4" s="1"/>
  <c r="P126" i="4" s="1"/>
  <c r="P131" i="4" s="1"/>
  <c r="CL140" i="2"/>
  <c r="CI140" i="2" s="1"/>
  <c r="G137" i="4" s="1"/>
  <c r="P137" i="4" s="1"/>
  <c r="P142" i="4" s="1"/>
  <c r="AG175" i="65"/>
  <c r="CL118" i="2"/>
  <c r="CI118" i="2" s="1"/>
  <c r="CI96" i="2"/>
  <c r="BM8" i="2"/>
  <c r="E75" i="74"/>
  <c r="AD24" i="75"/>
  <c r="AE24" i="75" s="1"/>
  <c r="AE18" i="75"/>
  <c r="E101" i="74"/>
  <c r="AD50" i="75"/>
  <c r="E77" i="74"/>
  <c r="AD26" i="75"/>
  <c r="T155" i="3"/>
  <c r="T157" i="3" s="1"/>
  <c r="T158" i="3" s="1"/>
  <c r="W155" i="3"/>
  <c r="W157" i="3" s="1"/>
  <c r="W158" i="3" s="1"/>
  <c r="AE42" i="75"/>
  <c r="E59" i="74"/>
  <c r="F8" i="75"/>
  <c r="G8" i="75" s="1"/>
  <c r="E61" i="74"/>
  <c r="F10" i="75"/>
  <c r="U131" i="3"/>
  <c r="U133" i="3" s="1"/>
  <c r="U134" i="3" s="1"/>
  <c r="S155" i="3"/>
  <c r="S157" i="3" s="1"/>
  <c r="S158" i="3" s="1"/>
  <c r="U155" i="3"/>
  <c r="U157" i="3" s="1"/>
  <c r="U158" i="3" s="1"/>
  <c r="U107" i="3"/>
  <c r="U109" i="3" s="1"/>
  <c r="U110" i="3" s="1"/>
  <c r="V155" i="3"/>
  <c r="V157" i="3" s="1"/>
  <c r="V158" i="3" s="1"/>
  <c r="Z177" i="64"/>
  <c r="AG176" i="58"/>
  <c r="E99" i="74"/>
  <c r="S171" i="3"/>
  <c r="S172" i="3" s="1"/>
  <c r="U171" i="3"/>
  <c r="U172" i="3" s="1"/>
  <c r="R171" i="3"/>
  <c r="R172" i="3" s="1"/>
  <c r="T171" i="3"/>
  <c r="T172" i="3" s="1"/>
  <c r="V171" i="3"/>
  <c r="V172" i="3" s="1"/>
  <c r="W171" i="3"/>
  <c r="W172" i="3" s="1"/>
  <c r="V47" i="3"/>
  <c r="V49" i="3" s="1"/>
  <c r="V50" i="3" s="1"/>
  <c r="S47" i="3"/>
  <c r="S49" i="3" s="1"/>
  <c r="S50" i="3" s="1"/>
  <c r="T47" i="3"/>
  <c r="T49" i="3" s="1"/>
  <c r="T50" i="3" s="1"/>
  <c r="G104" i="4"/>
  <c r="P104" i="4" s="1"/>
  <c r="P109" i="4" s="1"/>
  <c r="G49" i="4"/>
  <c r="P49" i="4" s="1"/>
  <c r="P54" i="4" s="1"/>
  <c r="Y194" i="67"/>
  <c r="Y179" i="67"/>
  <c r="S119" i="3"/>
  <c r="S121" i="3" s="1"/>
  <c r="S122" i="3" s="1"/>
  <c r="U143" i="3"/>
  <c r="U145" i="3" s="1"/>
  <c r="U146" i="3" s="1"/>
  <c r="S143" i="3"/>
  <c r="S145" i="3" s="1"/>
  <c r="S146" i="3" s="1"/>
  <c r="V143" i="3"/>
  <c r="V145" i="3" s="1"/>
  <c r="V146" i="3" s="1"/>
  <c r="X178" i="62"/>
  <c r="R47" i="3"/>
  <c r="R49" i="3" s="1"/>
  <c r="R50" i="3" s="1"/>
  <c r="W87" i="3"/>
  <c r="W88" i="3" s="1"/>
  <c r="S87" i="3"/>
  <c r="S88" i="3" s="1"/>
  <c r="V119" i="3"/>
  <c r="V121" i="3" s="1"/>
  <c r="V122" i="3" s="1"/>
  <c r="V131" i="3"/>
  <c r="V133" i="3" s="1"/>
  <c r="V134" i="3" s="1"/>
  <c r="T131" i="3"/>
  <c r="T133" i="3" s="1"/>
  <c r="T134" i="3" s="1"/>
  <c r="R119" i="3"/>
  <c r="R121" i="3" s="1"/>
  <c r="R122" i="3" s="1"/>
  <c r="W119" i="3"/>
  <c r="W121" i="3" s="1"/>
  <c r="W122" i="3" s="1"/>
  <c r="R87" i="3"/>
  <c r="R88" i="3" s="1"/>
  <c r="T87" i="3"/>
  <c r="T88" i="3" s="1"/>
  <c r="U87" i="3"/>
  <c r="U88" i="3" s="1"/>
  <c r="V87" i="3"/>
  <c r="V88" i="3" s="1"/>
  <c r="U47" i="3"/>
  <c r="U49" i="3" s="1"/>
  <c r="U50" i="3" s="1"/>
  <c r="S131" i="3"/>
  <c r="S133" i="3" s="1"/>
  <c r="S134" i="3" s="1"/>
  <c r="X178" i="66"/>
  <c r="R131" i="3"/>
  <c r="R133" i="3" s="1"/>
  <c r="R134" i="3" s="1"/>
  <c r="W131" i="3"/>
  <c r="W133" i="3" s="1"/>
  <c r="W134" i="3" s="1"/>
  <c r="X178" i="64"/>
  <c r="T119" i="3"/>
  <c r="T121" i="3" s="1"/>
  <c r="T122" i="3" s="1"/>
  <c r="Z187" i="62"/>
  <c r="Z193" i="64"/>
  <c r="Y178" i="52"/>
  <c r="Z177" i="53"/>
  <c r="W143" i="3"/>
  <c r="W145" i="3" s="1"/>
  <c r="W146" i="3" s="1"/>
  <c r="X179" i="65"/>
  <c r="X186" i="65"/>
  <c r="X194" i="58"/>
  <c r="X194" i="65"/>
  <c r="X179" i="64"/>
  <c r="X194" i="66"/>
  <c r="X187" i="64"/>
  <c r="Y194" i="53"/>
  <c r="X186" i="66"/>
  <c r="X188" i="66"/>
  <c r="Y179" i="53"/>
  <c r="V107" i="3"/>
  <c r="V109" i="3" s="1"/>
  <c r="V110" i="3" s="1"/>
  <c r="T107" i="3"/>
  <c r="T109" i="3" s="1"/>
  <c r="T110" i="3" s="1"/>
  <c r="S107" i="3"/>
  <c r="S109" i="3" s="1"/>
  <c r="S110" i="3" s="1"/>
  <c r="R107" i="3"/>
  <c r="R109" i="3" s="1"/>
  <c r="R110" i="3" s="1"/>
  <c r="W107" i="3"/>
  <c r="W109" i="3" s="1"/>
  <c r="W110" i="3" s="1"/>
  <c r="Y194" i="51"/>
  <c r="X179" i="62"/>
  <c r="Y179" i="51"/>
  <c r="X186" i="58"/>
  <c r="X179" i="58"/>
  <c r="Y186" i="67"/>
  <c r="Y194" i="52"/>
  <c r="X194" i="57"/>
  <c r="Y179" i="52"/>
  <c r="Y188" i="52"/>
  <c r="X178" i="65"/>
  <c r="Y178" i="67"/>
  <c r="X194" i="55"/>
  <c r="X186" i="55"/>
  <c r="X178" i="55"/>
  <c r="X179" i="55"/>
  <c r="Y188" i="53"/>
  <c r="Y186" i="53"/>
  <c r="X186" i="62"/>
  <c r="X194" i="61"/>
  <c r="X187" i="61"/>
  <c r="X178" i="61"/>
  <c r="X179" i="61"/>
  <c r="Z192" i="62"/>
  <c r="Z177" i="62"/>
  <c r="T143" i="3"/>
  <c r="T145" i="3" s="1"/>
  <c r="T146" i="3" s="1"/>
  <c r="X194" i="62"/>
  <c r="Z193" i="53"/>
  <c r="X194" i="64"/>
  <c r="Z192" i="53"/>
  <c r="T75" i="3"/>
  <c r="T76" i="3" s="1"/>
  <c r="Y188" i="51"/>
  <c r="Y178" i="51"/>
  <c r="AB214" i="45"/>
  <c r="AB230" i="45" s="1"/>
  <c r="AA246" i="45"/>
  <c r="AA262" i="45" s="1"/>
  <c r="Z59" i="67"/>
  <c r="Z154" i="67" s="1"/>
  <c r="Z161" i="67" s="1"/>
  <c r="Z163" i="67" s="1"/>
  <c r="Z170" i="67" s="1"/>
  <c r="Z179" i="67" s="1"/>
  <c r="Z245" i="45"/>
  <c r="Z261" i="45" s="1"/>
  <c r="Y59" i="66"/>
  <c r="Y154" i="66" s="1"/>
  <c r="Y161" i="66" s="1"/>
  <c r="Y163" i="66" s="1"/>
  <c r="Y170" i="66" s="1"/>
  <c r="Y178" i="66" s="1"/>
  <c r="AB213" i="45"/>
  <c r="AB229" i="45" s="1"/>
  <c r="Z244" i="45"/>
  <c r="Z260" i="45" s="1"/>
  <c r="Y59" i="55"/>
  <c r="Y154" i="55" s="1"/>
  <c r="Y161" i="55" s="1"/>
  <c r="Y163" i="55" s="1"/>
  <c r="Y170" i="55" s="1"/>
  <c r="Y178" i="55" s="1"/>
  <c r="AB212" i="45"/>
  <c r="AB228" i="45" s="1"/>
  <c r="Z243" i="45"/>
  <c r="Z259" i="45" s="1"/>
  <c r="Y59" i="65"/>
  <c r="Y154" i="65" s="1"/>
  <c r="Y161" i="65" s="1"/>
  <c r="Y163" i="65" s="1"/>
  <c r="Y170" i="65" s="1"/>
  <c r="Y186" i="65" s="1"/>
  <c r="AB211" i="45"/>
  <c r="AB227" i="45" s="1"/>
  <c r="Z242" i="45"/>
  <c r="Z258" i="45" s="1"/>
  <c r="Y59" i="58"/>
  <c r="Y154" i="58" s="1"/>
  <c r="Y161" i="58" s="1"/>
  <c r="Y163" i="58" s="1"/>
  <c r="Y170" i="58" s="1"/>
  <c r="Y186" i="58" s="1"/>
  <c r="X178" i="58"/>
  <c r="AB210" i="45"/>
  <c r="AB226" i="45" s="1"/>
  <c r="X188" i="57"/>
  <c r="Z241" i="45"/>
  <c r="Z257" i="45" s="1"/>
  <c r="Y59" i="57"/>
  <c r="Y154" i="57" s="1"/>
  <c r="Y161" i="57" s="1"/>
  <c r="Y163" i="57" s="1"/>
  <c r="Y170" i="57" s="1"/>
  <c r="Y179" i="57" s="1"/>
  <c r="X178" i="57"/>
  <c r="X179" i="57"/>
  <c r="Z177" i="57"/>
  <c r="Z192" i="57"/>
  <c r="Z187" i="57"/>
  <c r="Z193" i="57"/>
  <c r="AA58" i="57"/>
  <c r="AA137" i="57" s="1"/>
  <c r="AA144" i="57" s="1"/>
  <c r="AA146" i="57" s="1"/>
  <c r="AA168" i="57" s="1"/>
  <c r="AB209" i="45"/>
  <c r="AB225" i="45" s="1"/>
  <c r="AB208" i="45"/>
  <c r="AB224" i="45" s="1"/>
  <c r="AA240" i="45"/>
  <c r="AA256" i="45" s="1"/>
  <c r="Z59" i="52"/>
  <c r="Z154" i="52" s="1"/>
  <c r="Z161" i="52" s="1"/>
  <c r="Z163" i="52" s="1"/>
  <c r="Z170" i="52" s="1"/>
  <c r="Z188" i="52" s="1"/>
  <c r="AA57" i="53"/>
  <c r="AA137" i="53" s="1"/>
  <c r="AA144" i="53" s="1"/>
  <c r="AA146" i="53" s="1"/>
  <c r="AA168" i="53" s="1"/>
  <c r="AA192" i="53" s="1"/>
  <c r="AB207" i="45"/>
  <c r="AB223" i="45" s="1"/>
  <c r="AA239" i="45"/>
  <c r="AA255" i="45" s="1"/>
  <c r="Z58" i="53"/>
  <c r="Z154" i="53" s="1"/>
  <c r="Z161" i="53" s="1"/>
  <c r="Z163" i="53" s="1"/>
  <c r="Z170" i="53" s="1"/>
  <c r="Z178" i="53" s="1"/>
  <c r="AB206" i="45"/>
  <c r="AB222" i="45" s="1"/>
  <c r="AA238" i="45"/>
  <c r="AA254" i="45" s="1"/>
  <c r="Z58" i="51"/>
  <c r="Z154" i="51" s="1"/>
  <c r="Z161" i="51" s="1"/>
  <c r="Z163" i="51" s="1"/>
  <c r="Z170" i="51" s="1"/>
  <c r="Z178" i="51" s="1"/>
  <c r="Z192" i="64"/>
  <c r="Z237" i="45"/>
  <c r="Z253" i="45" s="1"/>
  <c r="Y58" i="64"/>
  <c r="Y154" i="64" s="1"/>
  <c r="Y161" i="64" s="1"/>
  <c r="Y163" i="64" s="1"/>
  <c r="Y170" i="64" s="1"/>
  <c r="Y179" i="64" s="1"/>
  <c r="AB205" i="45"/>
  <c r="AB221" i="45" s="1"/>
  <c r="AA57" i="64"/>
  <c r="AA137" i="64" s="1"/>
  <c r="AA144" i="64" s="1"/>
  <c r="AA146" i="64" s="1"/>
  <c r="AA168" i="64" s="1"/>
  <c r="AA177" i="64" s="1"/>
  <c r="Z236" i="45"/>
  <c r="Z252" i="45" s="1"/>
  <c r="Y58" i="63"/>
  <c r="Y154" i="63" s="1"/>
  <c r="Y161" i="63" s="1"/>
  <c r="Y163" i="63" s="1"/>
  <c r="Y170" i="63" s="1"/>
  <c r="Y179" i="63" s="1"/>
  <c r="X194" i="63"/>
  <c r="X186" i="63"/>
  <c r="X179" i="63"/>
  <c r="X178" i="63"/>
  <c r="AB204" i="45"/>
  <c r="AB220" i="45" s="1"/>
  <c r="AA57" i="63"/>
  <c r="AA137" i="63" s="1"/>
  <c r="AA144" i="63" s="1"/>
  <c r="AA146" i="63" s="1"/>
  <c r="AA168" i="63" s="1"/>
  <c r="Z193" i="63"/>
  <c r="Z192" i="63"/>
  <c r="Z177" i="63"/>
  <c r="Z187" i="63"/>
  <c r="Z235" i="45"/>
  <c r="Z251" i="45" s="1"/>
  <c r="Y58" i="62"/>
  <c r="Y154" i="62" s="1"/>
  <c r="Y161" i="62" s="1"/>
  <c r="Y163" i="62" s="1"/>
  <c r="Y170" i="62" s="1"/>
  <c r="Y186" i="62" s="1"/>
  <c r="AB203" i="45"/>
  <c r="AB219" i="45" s="1"/>
  <c r="AA57" i="62"/>
  <c r="AA137" i="62" s="1"/>
  <c r="AA144" i="62" s="1"/>
  <c r="AA146" i="62" s="1"/>
  <c r="AA168" i="62" s="1"/>
  <c r="AA187" i="62" s="1"/>
  <c r="Z234" i="45"/>
  <c r="Z250" i="45" s="1"/>
  <c r="Y58" i="38"/>
  <c r="AB202" i="45"/>
  <c r="AB218" i="45" s="1"/>
  <c r="AA57" i="38"/>
  <c r="Z233" i="45"/>
  <c r="Z249" i="45" s="1"/>
  <c r="Y58" i="61"/>
  <c r="Y154" i="61" s="1"/>
  <c r="Y161" i="61" s="1"/>
  <c r="Y163" i="61" s="1"/>
  <c r="Y170" i="61" s="1"/>
  <c r="Y194" i="61" s="1"/>
  <c r="AB201" i="45"/>
  <c r="AB217" i="45" s="1"/>
  <c r="W75" i="3"/>
  <c r="W76" i="3" s="1"/>
  <c r="S75" i="3"/>
  <c r="S76" i="3" s="1"/>
  <c r="U75" i="3"/>
  <c r="U76" i="3" s="1"/>
  <c r="R75" i="3"/>
  <c r="R76" i="3" s="1"/>
  <c r="V75" i="3"/>
  <c r="V76" i="3" s="1"/>
  <c r="Y177" i="58"/>
  <c r="Y193" i="58"/>
  <c r="Y187" i="58"/>
  <c r="Y192" i="58"/>
  <c r="Z58" i="58"/>
  <c r="Z137" i="58" s="1"/>
  <c r="Z144" i="58" s="1"/>
  <c r="Z146" i="58" s="1"/>
  <c r="Z168" i="58" s="1"/>
  <c r="Z58" i="65"/>
  <c r="Z137" i="65" s="1"/>
  <c r="Z144" i="65" s="1"/>
  <c r="Z146" i="65" s="1"/>
  <c r="Z168" i="65" s="1"/>
  <c r="AA58" i="66"/>
  <c r="AA137" i="66" s="1"/>
  <c r="AA144" i="66" s="1"/>
  <c r="AA146" i="66" s="1"/>
  <c r="AA168" i="66" s="1"/>
  <c r="Z57" i="61"/>
  <c r="Z137" i="61" s="1"/>
  <c r="Z144" i="61" s="1"/>
  <c r="Z146" i="61" s="1"/>
  <c r="Z168" i="61" s="1"/>
  <c r="Y192" i="65"/>
  <c r="Y177" i="65"/>
  <c r="Y187" i="65"/>
  <c r="Y193" i="65"/>
  <c r="Z193" i="66"/>
  <c r="Z192" i="66"/>
  <c r="Z187" i="66"/>
  <c r="Z177" i="66"/>
  <c r="Y177" i="61"/>
  <c r="Y193" i="61"/>
  <c r="Y186" i="61"/>
  <c r="Y192" i="61"/>
  <c r="AA58" i="52"/>
  <c r="AA137" i="52" s="1"/>
  <c r="AA144" i="52" s="1"/>
  <c r="AA146" i="52" s="1"/>
  <c r="AA168" i="52" s="1"/>
  <c r="AA58" i="55"/>
  <c r="AA137" i="55" s="1"/>
  <c r="AA144" i="55" s="1"/>
  <c r="AA146" i="55" s="1"/>
  <c r="AA168" i="55" s="1"/>
  <c r="Z193" i="52"/>
  <c r="Z192" i="52"/>
  <c r="Z186" i="52"/>
  <c r="Z177" i="52"/>
  <c r="Z177" i="55"/>
  <c r="Z187" i="55"/>
  <c r="Z192" i="55"/>
  <c r="Z193" i="55"/>
  <c r="Z57" i="51"/>
  <c r="Z137" i="51" s="1"/>
  <c r="Z144" i="51" s="1"/>
  <c r="Z146" i="51" s="1"/>
  <c r="Z168" i="51" s="1"/>
  <c r="Z177" i="67"/>
  <c r="Z187" i="67"/>
  <c r="Z192" i="67"/>
  <c r="Z193" i="67"/>
  <c r="Y177" i="51"/>
  <c r="Y186" i="51"/>
  <c r="Y193" i="51"/>
  <c r="Y192" i="51"/>
  <c r="AA58" i="67"/>
  <c r="AA137" i="67" s="1"/>
  <c r="AA144" i="67" s="1"/>
  <c r="AA146" i="67" s="1"/>
  <c r="AA168" i="67" s="1"/>
  <c r="K29" i="3"/>
  <c r="AG185" i="58"/>
  <c r="AG184" i="58"/>
  <c r="AG175" i="58"/>
  <c r="AG184" i="64"/>
  <c r="AG175" i="64"/>
  <c r="AG175" i="66"/>
  <c r="AG184" i="66"/>
  <c r="AG184" i="65"/>
  <c r="AG175" i="61"/>
  <c r="G82" i="4"/>
  <c r="P82" i="4" s="1"/>
  <c r="P87" i="4" s="1"/>
  <c r="AG176" i="64"/>
  <c r="AG185" i="64"/>
  <c r="AG176" i="65"/>
  <c r="AG185" i="65"/>
  <c r="AG185" i="66"/>
  <c r="AG176" i="66"/>
  <c r="H6" i="4"/>
  <c r="G38" i="4"/>
  <c r="P38" i="4" s="1"/>
  <c r="P43" i="4" s="1"/>
  <c r="AG184" i="61"/>
  <c r="AG185" i="61"/>
  <c r="AG176" i="61"/>
  <c r="AE50" i="38"/>
  <c r="AF48" i="38"/>
  <c r="AG48" i="38"/>
  <c r="AG184" i="57"/>
  <c r="AG175" i="57"/>
  <c r="AG185" i="57"/>
  <c r="AG176" i="57"/>
  <c r="AG185" i="55"/>
  <c r="AG176" i="55"/>
  <c r="AG175" i="55"/>
  <c r="AG184" i="55"/>
  <c r="W63" i="3" l="1"/>
  <c r="W64" i="3" s="1"/>
  <c r="R63" i="3"/>
  <c r="R64" i="3" s="1"/>
  <c r="S63" i="3"/>
  <c r="S64" i="3" s="1"/>
  <c r="T63" i="3"/>
  <c r="T64" i="3" s="1"/>
  <c r="V63" i="3"/>
  <c r="V64" i="3" s="1"/>
  <c r="U63" i="3"/>
  <c r="U64" i="3" s="1"/>
  <c r="V159" i="3"/>
  <c r="V160" i="3" s="1"/>
  <c r="S159" i="3"/>
  <c r="S160" i="3" s="1"/>
  <c r="AE26" i="75"/>
  <c r="AE50" i="75"/>
  <c r="T159" i="3"/>
  <c r="T160" i="3" s="1"/>
  <c r="W159" i="3"/>
  <c r="W160" i="3" s="1"/>
  <c r="G10" i="75"/>
  <c r="U159" i="3"/>
  <c r="U160" i="3" s="1"/>
  <c r="R159" i="3"/>
  <c r="R160" i="3" s="1"/>
  <c r="U51" i="3"/>
  <c r="U52" i="3" s="1"/>
  <c r="T51" i="3"/>
  <c r="T52" i="3" s="1"/>
  <c r="V51" i="3"/>
  <c r="V52" i="3" s="1"/>
  <c r="R51" i="3"/>
  <c r="R52" i="3" s="1"/>
  <c r="S51" i="3"/>
  <c r="S52" i="3" s="1"/>
  <c r="Y178" i="64"/>
  <c r="V111" i="3"/>
  <c r="V112" i="3" s="1"/>
  <c r="Z179" i="52"/>
  <c r="Z194" i="52"/>
  <c r="Z194" i="67"/>
  <c r="Z178" i="67"/>
  <c r="Z188" i="67"/>
  <c r="V123" i="3"/>
  <c r="V124" i="3" s="1"/>
  <c r="T123" i="3"/>
  <c r="T124" i="3" s="1"/>
  <c r="R123" i="3"/>
  <c r="R124" i="3" s="1"/>
  <c r="U123" i="3"/>
  <c r="U124" i="3" s="1"/>
  <c r="T135" i="3"/>
  <c r="T136" i="3" s="1"/>
  <c r="T111" i="3"/>
  <c r="T112" i="3" s="1"/>
  <c r="W51" i="3"/>
  <c r="W52" i="3" s="1"/>
  <c r="S123" i="3"/>
  <c r="S124" i="3" s="1"/>
  <c r="Z186" i="67"/>
  <c r="W123" i="3"/>
  <c r="W124" i="3" s="1"/>
  <c r="Y188" i="66"/>
  <c r="Y178" i="57"/>
  <c r="R147" i="3"/>
  <c r="R148" i="3" s="1"/>
  <c r="U135" i="3"/>
  <c r="U136" i="3" s="1"/>
  <c r="W135" i="3"/>
  <c r="W136" i="3" s="1"/>
  <c r="V135" i="3"/>
  <c r="V136" i="3" s="1"/>
  <c r="S135" i="3"/>
  <c r="S136" i="3" s="1"/>
  <c r="R135" i="3"/>
  <c r="R136" i="3" s="1"/>
  <c r="U111" i="3"/>
  <c r="U112" i="3" s="1"/>
  <c r="AA192" i="64"/>
  <c r="AA187" i="53"/>
  <c r="W111" i="3"/>
  <c r="W112" i="3" s="1"/>
  <c r="AA177" i="53"/>
  <c r="AA193" i="64"/>
  <c r="Y187" i="64"/>
  <c r="AA186" i="64"/>
  <c r="AA193" i="53"/>
  <c r="R111" i="3"/>
  <c r="R112" i="3" s="1"/>
  <c r="T147" i="3"/>
  <c r="T148" i="3" s="1"/>
  <c r="S111" i="3"/>
  <c r="S112" i="3" s="1"/>
  <c r="Y186" i="66"/>
  <c r="V147" i="3"/>
  <c r="V148" i="3" s="1"/>
  <c r="U147" i="3"/>
  <c r="U148" i="3" s="1"/>
  <c r="W147" i="3"/>
  <c r="W148" i="3" s="1"/>
  <c r="S147" i="3"/>
  <c r="S148" i="3" s="1"/>
  <c r="Y186" i="57"/>
  <c r="Z186" i="53"/>
  <c r="Y188" i="55"/>
  <c r="Y186" i="55"/>
  <c r="Y194" i="66"/>
  <c r="Y186" i="63"/>
  <c r="Y194" i="55"/>
  <c r="Y179" i="55"/>
  <c r="Y178" i="61"/>
  <c r="Y194" i="62"/>
  <c r="Y194" i="64"/>
  <c r="Y188" i="64"/>
  <c r="Y188" i="61"/>
  <c r="Y179" i="61"/>
  <c r="Y178" i="65"/>
  <c r="Y179" i="65"/>
  <c r="Y194" i="65"/>
  <c r="Y188" i="65"/>
  <c r="Y188" i="57"/>
  <c r="Y179" i="66"/>
  <c r="Z194" i="53"/>
  <c r="Z187" i="52"/>
  <c r="Z188" i="53"/>
  <c r="Z179" i="53"/>
  <c r="Y194" i="57"/>
  <c r="Y194" i="58"/>
  <c r="Y179" i="58"/>
  <c r="Y188" i="58"/>
  <c r="Y179" i="62"/>
  <c r="Y178" i="58"/>
  <c r="Y187" i="61"/>
  <c r="AA193" i="62"/>
  <c r="Y188" i="63"/>
  <c r="Y188" i="62"/>
  <c r="Y178" i="62"/>
  <c r="Z178" i="52"/>
  <c r="Y178" i="63"/>
  <c r="Y194" i="63"/>
  <c r="Z188" i="51"/>
  <c r="Z187" i="51"/>
  <c r="Z179" i="51"/>
  <c r="AB246" i="45"/>
  <c r="AB262" i="45" s="1"/>
  <c r="AA59" i="67"/>
  <c r="AA154" i="67" s="1"/>
  <c r="AA161" i="67" s="1"/>
  <c r="AA163" i="67" s="1"/>
  <c r="AA170" i="67" s="1"/>
  <c r="AC214" i="45"/>
  <c r="AC230" i="45" s="1"/>
  <c r="AB58" i="67"/>
  <c r="AB137" i="67" s="1"/>
  <c r="AB144" i="67" s="1"/>
  <c r="AB146" i="67" s="1"/>
  <c r="AB168" i="67" s="1"/>
  <c r="CD151" i="2" s="1"/>
  <c r="BX151" i="2" s="1"/>
  <c r="I161" i="78" s="1"/>
  <c r="U161" i="78" s="1"/>
  <c r="U166" i="78" s="1"/>
  <c r="AC213" i="45"/>
  <c r="AC229" i="45" s="1"/>
  <c r="AA245" i="45"/>
  <c r="AA261" i="45" s="1"/>
  <c r="Z59" i="66"/>
  <c r="Z154" i="66" s="1"/>
  <c r="Z161" i="66" s="1"/>
  <c r="Z163" i="66" s="1"/>
  <c r="Z170" i="66" s="1"/>
  <c r="Z194" i="66" s="1"/>
  <c r="AC212" i="45"/>
  <c r="AC228" i="45" s="1"/>
  <c r="AB58" i="55"/>
  <c r="AB137" i="55" s="1"/>
  <c r="AB144" i="55" s="1"/>
  <c r="AB146" i="55" s="1"/>
  <c r="AB168" i="55" s="1"/>
  <c r="CD129" i="2" s="1"/>
  <c r="BY129" i="2" s="1"/>
  <c r="J137" i="78" s="1"/>
  <c r="V137" i="78" s="1"/>
  <c r="V142" i="78" s="1"/>
  <c r="AA244" i="45"/>
  <c r="AA260" i="45" s="1"/>
  <c r="Z59" i="55"/>
  <c r="Z154" i="55" s="1"/>
  <c r="Z161" i="55" s="1"/>
  <c r="Z163" i="55" s="1"/>
  <c r="Z170" i="55" s="1"/>
  <c r="Z188" i="55" s="1"/>
  <c r="AC211" i="45"/>
  <c r="AC227" i="45" s="1"/>
  <c r="AA243" i="45"/>
  <c r="AA259" i="45" s="1"/>
  <c r="Z59" i="65"/>
  <c r="Z154" i="65" s="1"/>
  <c r="Z161" i="65" s="1"/>
  <c r="Z163" i="65" s="1"/>
  <c r="Z170" i="65" s="1"/>
  <c r="Z188" i="65" s="1"/>
  <c r="AC210" i="45"/>
  <c r="AC226" i="45" s="1"/>
  <c r="AA242" i="45"/>
  <c r="AA258" i="45" s="1"/>
  <c r="Z59" i="58"/>
  <c r="Z154" i="58" s="1"/>
  <c r="Z161" i="58" s="1"/>
  <c r="Z163" i="58" s="1"/>
  <c r="Z170" i="58" s="1"/>
  <c r="Z194" i="58" s="1"/>
  <c r="AC209" i="45"/>
  <c r="AC225" i="45" s="1"/>
  <c r="AB58" i="57"/>
  <c r="AB137" i="57" s="1"/>
  <c r="AB144" i="57" s="1"/>
  <c r="AB146" i="57" s="1"/>
  <c r="AB168" i="57" s="1"/>
  <c r="CD96" i="2" s="1"/>
  <c r="BX96" i="2" s="1"/>
  <c r="I101" i="78" s="1"/>
  <c r="U101" i="78" s="1"/>
  <c r="U106" i="78" s="1"/>
  <c r="AA193" i="57"/>
  <c r="AA192" i="57"/>
  <c r="AA177" i="57"/>
  <c r="AA187" i="57"/>
  <c r="AA241" i="45"/>
  <c r="AA257" i="45" s="1"/>
  <c r="Z59" i="57"/>
  <c r="Z154" i="57" s="1"/>
  <c r="Z161" i="57" s="1"/>
  <c r="Z163" i="57" s="1"/>
  <c r="Z170" i="57" s="1"/>
  <c r="Z179" i="57" s="1"/>
  <c r="AB240" i="45"/>
  <c r="AB256" i="45" s="1"/>
  <c r="AA59" i="52"/>
  <c r="AA154" i="52" s="1"/>
  <c r="AA161" i="52" s="1"/>
  <c r="AA163" i="52" s="1"/>
  <c r="AA170" i="52" s="1"/>
  <c r="AA179" i="52" s="1"/>
  <c r="AC208" i="45"/>
  <c r="AC224" i="45" s="1"/>
  <c r="AB58" i="52"/>
  <c r="AB137" i="52" s="1"/>
  <c r="AB144" i="52" s="1"/>
  <c r="AB146" i="52" s="1"/>
  <c r="AB168" i="52" s="1"/>
  <c r="CD85" i="2" s="1"/>
  <c r="BX85" i="2" s="1"/>
  <c r="I89" i="78" s="1"/>
  <c r="U89" i="78" s="1"/>
  <c r="U94" i="78" s="1"/>
  <c r="AB239" i="45"/>
  <c r="AB255" i="45" s="1"/>
  <c r="AA58" i="53"/>
  <c r="AA154" i="53" s="1"/>
  <c r="AA161" i="53" s="1"/>
  <c r="AA163" i="53" s="1"/>
  <c r="AA170" i="53" s="1"/>
  <c r="AC207" i="45"/>
  <c r="AC223" i="45" s="1"/>
  <c r="AB57" i="53"/>
  <c r="AB137" i="53" s="1"/>
  <c r="AB144" i="53" s="1"/>
  <c r="AB146" i="53" s="1"/>
  <c r="AB168" i="53" s="1"/>
  <c r="AB238" i="45"/>
  <c r="AB254" i="45" s="1"/>
  <c r="AA58" i="51"/>
  <c r="AA154" i="51" s="1"/>
  <c r="AA161" i="51" s="1"/>
  <c r="AA163" i="51" s="1"/>
  <c r="AA170" i="51" s="1"/>
  <c r="AC206" i="45"/>
  <c r="AC222" i="45" s="1"/>
  <c r="AC205" i="45"/>
  <c r="AC221" i="45" s="1"/>
  <c r="AB57" i="64"/>
  <c r="AB137" i="64" s="1"/>
  <c r="AB144" i="64" s="1"/>
  <c r="AB146" i="64" s="1"/>
  <c r="AB168" i="64" s="1"/>
  <c r="AA237" i="45"/>
  <c r="AA253" i="45" s="1"/>
  <c r="Z58" i="64"/>
  <c r="Z154" i="64" s="1"/>
  <c r="Z161" i="64" s="1"/>
  <c r="Z163" i="64" s="1"/>
  <c r="Z170" i="64" s="1"/>
  <c r="Z188" i="64" s="1"/>
  <c r="AA192" i="63"/>
  <c r="AA187" i="63"/>
  <c r="AA193" i="63"/>
  <c r="AA177" i="63"/>
  <c r="AC204" i="45"/>
  <c r="AC220" i="45" s="1"/>
  <c r="AB57" i="63"/>
  <c r="AB137" i="63" s="1"/>
  <c r="AB144" i="63" s="1"/>
  <c r="AB146" i="63" s="1"/>
  <c r="AB168" i="63" s="1"/>
  <c r="CD41" i="2" s="1"/>
  <c r="BX41" i="2" s="1"/>
  <c r="I41" i="78" s="1"/>
  <c r="U41" i="78" s="1"/>
  <c r="U46" i="78" s="1"/>
  <c r="AA236" i="45"/>
  <c r="AA252" i="45" s="1"/>
  <c r="Z58" i="63"/>
  <c r="Z154" i="63" s="1"/>
  <c r="Z161" i="63" s="1"/>
  <c r="Z163" i="63" s="1"/>
  <c r="Z170" i="63" s="1"/>
  <c r="Z186" i="63" s="1"/>
  <c r="AA177" i="62"/>
  <c r="AC203" i="45"/>
  <c r="AC219" i="45" s="1"/>
  <c r="AB57" i="62"/>
  <c r="AB137" i="62" s="1"/>
  <c r="AB144" i="62" s="1"/>
  <c r="AB146" i="62" s="1"/>
  <c r="AB168" i="62" s="1"/>
  <c r="AA192" i="62"/>
  <c r="AA235" i="45"/>
  <c r="AA251" i="45" s="1"/>
  <c r="Z58" i="62"/>
  <c r="Z154" i="62" s="1"/>
  <c r="Z161" i="62" s="1"/>
  <c r="Z163" i="62" s="1"/>
  <c r="Z170" i="62" s="1"/>
  <c r="Z178" i="62" s="1"/>
  <c r="AB57" i="38"/>
  <c r="AC202" i="45"/>
  <c r="AC218" i="45" s="1"/>
  <c r="AA234" i="45"/>
  <c r="AA250" i="45" s="1"/>
  <c r="Z58" i="38"/>
  <c r="AC201" i="45"/>
  <c r="AC217" i="45" s="1"/>
  <c r="AA233" i="45"/>
  <c r="AA249" i="45" s="1"/>
  <c r="Z58" i="61"/>
  <c r="Z154" i="61" s="1"/>
  <c r="Z161" i="61" s="1"/>
  <c r="Z163" i="61" s="1"/>
  <c r="Z170" i="61" s="1"/>
  <c r="Z188" i="61" s="1"/>
  <c r="AB58" i="66"/>
  <c r="AB137" i="66" s="1"/>
  <c r="AB144" i="66" s="1"/>
  <c r="AB146" i="66" s="1"/>
  <c r="AB168" i="66" s="1"/>
  <c r="CD140" i="2" s="1"/>
  <c r="BX140" i="2" s="1"/>
  <c r="I149" i="78" s="1"/>
  <c r="U149" i="78" s="1"/>
  <c r="U154" i="78" s="1"/>
  <c r="AA58" i="65"/>
  <c r="AA137" i="65" s="1"/>
  <c r="AA144" i="65" s="1"/>
  <c r="AA146" i="65" s="1"/>
  <c r="AA168" i="65" s="1"/>
  <c r="Z193" i="65"/>
  <c r="Z192" i="65"/>
  <c r="Z177" i="65"/>
  <c r="Z187" i="65"/>
  <c r="AA187" i="66"/>
  <c r="AA192" i="66"/>
  <c r="AA177" i="66"/>
  <c r="AA193" i="66"/>
  <c r="AA192" i="55"/>
  <c r="AA177" i="55"/>
  <c r="AA193" i="55"/>
  <c r="AA187" i="55"/>
  <c r="AA57" i="51"/>
  <c r="AA137" i="51" s="1"/>
  <c r="AA144" i="51" s="1"/>
  <c r="AA146" i="51" s="1"/>
  <c r="AA168" i="51" s="1"/>
  <c r="AA192" i="52"/>
  <c r="AA193" i="52"/>
  <c r="AA186" i="52"/>
  <c r="AA177" i="52"/>
  <c r="AA58" i="58"/>
  <c r="AA137" i="58" s="1"/>
  <c r="AA144" i="58" s="1"/>
  <c r="AA146" i="58" s="1"/>
  <c r="AA168" i="58" s="1"/>
  <c r="Z192" i="58"/>
  <c r="Z177" i="58"/>
  <c r="Z187" i="58"/>
  <c r="Z193" i="58"/>
  <c r="Z186" i="51"/>
  <c r="Z193" i="51"/>
  <c r="Z192" i="51"/>
  <c r="Z177" i="51"/>
  <c r="AA177" i="67"/>
  <c r="AA192" i="67"/>
  <c r="AA193" i="67"/>
  <c r="AA187" i="67"/>
  <c r="Z192" i="61"/>
  <c r="Z177" i="61"/>
  <c r="Z186" i="61"/>
  <c r="Z193" i="61"/>
  <c r="Z194" i="51"/>
  <c r="AA57" i="61"/>
  <c r="AA137" i="61" s="1"/>
  <c r="AA144" i="61" s="1"/>
  <c r="AA146" i="61" s="1"/>
  <c r="AA168" i="61" s="1"/>
  <c r="G27" i="4"/>
  <c r="AG50" i="38"/>
  <c r="AF50" i="38"/>
  <c r="AA186" i="67" l="1"/>
  <c r="AB187" i="53"/>
  <c r="CD74" i="2"/>
  <c r="BX74" i="2" s="1"/>
  <c r="I77" i="78" s="1"/>
  <c r="U77" i="78" s="1"/>
  <c r="U82" i="78" s="1"/>
  <c r="AB187" i="62"/>
  <c r="CD30" i="2"/>
  <c r="BX30" i="2" s="1"/>
  <c r="I29" i="78" s="1"/>
  <c r="U29" i="78" s="1"/>
  <c r="U34" i="78" s="1"/>
  <c r="AB193" i="64"/>
  <c r="CD52" i="2"/>
  <c r="BX52" i="2" s="1"/>
  <c r="I53" i="78" s="1"/>
  <c r="U53" i="78" s="1"/>
  <c r="U58" i="78" s="1"/>
  <c r="AA187" i="51"/>
  <c r="AA188" i="53"/>
  <c r="AB193" i="53"/>
  <c r="AB192" i="53"/>
  <c r="AB177" i="62"/>
  <c r="AA194" i="67"/>
  <c r="AA179" i="67"/>
  <c r="AA188" i="67"/>
  <c r="AA178" i="67"/>
  <c r="Z179" i="65"/>
  <c r="AA178" i="52"/>
  <c r="AA194" i="52"/>
  <c r="Z194" i="55"/>
  <c r="AA188" i="52"/>
  <c r="Z179" i="55"/>
  <c r="AA187" i="52"/>
  <c r="AA188" i="51"/>
  <c r="Z186" i="66"/>
  <c r="Z178" i="65"/>
  <c r="AA178" i="51"/>
  <c r="AA179" i="51"/>
  <c r="Z178" i="63"/>
  <c r="Z179" i="62"/>
  <c r="Z178" i="55"/>
  <c r="Z186" i="55"/>
  <c r="Z187" i="64"/>
  <c r="Z179" i="66"/>
  <c r="Z194" i="64"/>
  <c r="Z178" i="64"/>
  <c r="Z194" i="61"/>
  <c r="Z179" i="61"/>
  <c r="Z187" i="61"/>
  <c r="AB192" i="64"/>
  <c r="Z178" i="66"/>
  <c r="Z186" i="58"/>
  <c r="Z188" i="66"/>
  <c r="Z178" i="58"/>
  <c r="Z188" i="58"/>
  <c r="Z194" i="63"/>
  <c r="Z186" i="65"/>
  <c r="Z179" i="58"/>
  <c r="Z179" i="64"/>
  <c r="AA178" i="53"/>
  <c r="AA179" i="53"/>
  <c r="AA186" i="53"/>
  <c r="AB193" i="62"/>
  <c r="AA194" i="53"/>
  <c r="Z178" i="61"/>
  <c r="Z179" i="63"/>
  <c r="AA194" i="51"/>
  <c r="AD214" i="45"/>
  <c r="AD230" i="45" s="1"/>
  <c r="AC246" i="45"/>
  <c r="AC262" i="45" s="1"/>
  <c r="AB59" i="67"/>
  <c r="AB154" i="67" s="1"/>
  <c r="AB161" i="67" s="1"/>
  <c r="AB163" i="67" s="1"/>
  <c r="AB170" i="67" s="1"/>
  <c r="AJ16" i="14" s="1" a="1"/>
  <c r="AJ16" i="14" s="1"/>
  <c r="AB245" i="45"/>
  <c r="AB261" i="45" s="1"/>
  <c r="AA59" i="66"/>
  <c r="AA154" i="66" s="1"/>
  <c r="AA161" i="66" s="1"/>
  <c r="AA163" i="66" s="1"/>
  <c r="AA170" i="66" s="1"/>
  <c r="AA179" i="66" s="1"/>
  <c r="AD213" i="45"/>
  <c r="AD229" i="45" s="1"/>
  <c r="AB244" i="45"/>
  <c r="AB260" i="45" s="1"/>
  <c r="AA59" i="55"/>
  <c r="AA154" i="55" s="1"/>
  <c r="AA161" i="55" s="1"/>
  <c r="AA163" i="55" s="1"/>
  <c r="AA170" i="55" s="1"/>
  <c r="AA186" i="55" s="1"/>
  <c r="AD212" i="45"/>
  <c r="AD228" i="45" s="1"/>
  <c r="AC58" i="55"/>
  <c r="AC137" i="55" s="1"/>
  <c r="AC144" i="55" s="1"/>
  <c r="AC146" i="55" s="1"/>
  <c r="AC168" i="55" s="1"/>
  <c r="AB243" i="45"/>
  <c r="AB259" i="45" s="1"/>
  <c r="AA59" i="65"/>
  <c r="AA154" i="65" s="1"/>
  <c r="AA161" i="65" s="1"/>
  <c r="AA163" i="65" s="1"/>
  <c r="AA170" i="65" s="1"/>
  <c r="AA179" i="65" s="1"/>
  <c r="Z194" i="65"/>
  <c r="AD211" i="45"/>
  <c r="AD227" i="45" s="1"/>
  <c r="AB242" i="45"/>
  <c r="AB258" i="45" s="1"/>
  <c r="AA59" i="58"/>
  <c r="AA154" i="58" s="1"/>
  <c r="AA161" i="58" s="1"/>
  <c r="AA163" i="58" s="1"/>
  <c r="AA170" i="58" s="1"/>
  <c r="AA178" i="58" s="1"/>
  <c r="AD210" i="45"/>
  <c r="AD226" i="45" s="1"/>
  <c r="AB241" i="45"/>
  <c r="AB257" i="45" s="1"/>
  <c r="AA59" i="57"/>
  <c r="AA154" i="57" s="1"/>
  <c r="AA161" i="57" s="1"/>
  <c r="AA163" i="57" s="1"/>
  <c r="AA170" i="57" s="1"/>
  <c r="AA178" i="57" s="1"/>
  <c r="Z178" i="57"/>
  <c r="Z188" i="57"/>
  <c r="Z186" i="57"/>
  <c r="AB187" i="57"/>
  <c r="AB192" i="57"/>
  <c r="AB177" i="57"/>
  <c r="AB193" i="57"/>
  <c r="Z194" i="57"/>
  <c r="AC58" i="57"/>
  <c r="AC137" i="57" s="1"/>
  <c r="AC144" i="57" s="1"/>
  <c r="AC146" i="57" s="1"/>
  <c r="AC168" i="57" s="1"/>
  <c r="AD209" i="45"/>
  <c r="AD225" i="45" s="1"/>
  <c r="AD208" i="45"/>
  <c r="AD224" i="45" s="1"/>
  <c r="AC240" i="45"/>
  <c r="AC256" i="45" s="1"/>
  <c r="AB59" i="52"/>
  <c r="AB154" i="52" s="1"/>
  <c r="AB161" i="52" s="1"/>
  <c r="AB163" i="52" s="1"/>
  <c r="AB170" i="52" s="1"/>
  <c r="AB177" i="53"/>
  <c r="AD207" i="45"/>
  <c r="AD223" i="45" s="1"/>
  <c r="AC57" i="53"/>
  <c r="AC137" i="53" s="1"/>
  <c r="AC144" i="53" s="1"/>
  <c r="AC146" i="53" s="1"/>
  <c r="AC168" i="53" s="1"/>
  <c r="AC193" i="53" s="1"/>
  <c r="AC239" i="45"/>
  <c r="AC255" i="45" s="1"/>
  <c r="AB58" i="53"/>
  <c r="AB154" i="53" s="1"/>
  <c r="AB161" i="53" s="1"/>
  <c r="AB163" i="53" s="1"/>
  <c r="AB170" i="53" s="1"/>
  <c r="AD206" i="45"/>
  <c r="AD222" i="45" s="1"/>
  <c r="AC238" i="45"/>
  <c r="AC254" i="45" s="1"/>
  <c r="AB58" i="51"/>
  <c r="AB154" i="51" s="1"/>
  <c r="AB161" i="51" s="1"/>
  <c r="AB163" i="51" s="1"/>
  <c r="AB170" i="51" s="1"/>
  <c r="AB177" i="64"/>
  <c r="AB186" i="64"/>
  <c r="AB237" i="45"/>
  <c r="AB253" i="45" s="1"/>
  <c r="AA58" i="64"/>
  <c r="AA154" i="64" s="1"/>
  <c r="AA161" i="64" s="1"/>
  <c r="AA163" i="64" s="1"/>
  <c r="AA170" i="64" s="1"/>
  <c r="AD205" i="45"/>
  <c r="AD221" i="45" s="1"/>
  <c r="AC57" i="64"/>
  <c r="AC137" i="64" s="1"/>
  <c r="AC144" i="64" s="1"/>
  <c r="AC146" i="64" s="1"/>
  <c r="AC168" i="64" s="1"/>
  <c r="AC192" i="64" s="1"/>
  <c r="AB236" i="45"/>
  <c r="AB252" i="45" s="1"/>
  <c r="AA58" i="63"/>
  <c r="AA154" i="63" s="1"/>
  <c r="AA161" i="63" s="1"/>
  <c r="AA163" i="63" s="1"/>
  <c r="AA170" i="63" s="1"/>
  <c r="AA186" i="63" s="1"/>
  <c r="AB192" i="63"/>
  <c r="AB193" i="63"/>
  <c r="AB187" i="63"/>
  <c r="AB177" i="63"/>
  <c r="AD204" i="45"/>
  <c r="AD220" i="45" s="1"/>
  <c r="AC57" i="63"/>
  <c r="AC137" i="63" s="1"/>
  <c r="AC144" i="63" s="1"/>
  <c r="AC146" i="63" s="1"/>
  <c r="AC168" i="63" s="1"/>
  <c r="Z188" i="63"/>
  <c r="Z194" i="62"/>
  <c r="AB235" i="45"/>
  <c r="AB251" i="45" s="1"/>
  <c r="AA58" i="62"/>
  <c r="AA154" i="62" s="1"/>
  <c r="AA161" i="62" s="1"/>
  <c r="AA163" i="62" s="1"/>
  <c r="AA170" i="62" s="1"/>
  <c r="Z186" i="62"/>
  <c r="Z188" i="62"/>
  <c r="AB192" i="62"/>
  <c r="AD203" i="45"/>
  <c r="AD219" i="45" s="1"/>
  <c r="AC57" i="62"/>
  <c r="AC137" i="62" s="1"/>
  <c r="AC144" i="62" s="1"/>
  <c r="AC146" i="62" s="1"/>
  <c r="AC168" i="62" s="1"/>
  <c r="AC193" i="62" s="1"/>
  <c r="AB234" i="45"/>
  <c r="AB250" i="45" s="1"/>
  <c r="AA58" i="38"/>
  <c r="AC57" i="38"/>
  <c r="AD202" i="45"/>
  <c r="AD218" i="45" s="1"/>
  <c r="AB233" i="45"/>
  <c r="AB249" i="45" s="1"/>
  <c r="AA58" i="61"/>
  <c r="AA154" i="61" s="1"/>
  <c r="AA161" i="61" s="1"/>
  <c r="AA163" i="61" s="1"/>
  <c r="AA170" i="61" s="1"/>
  <c r="AD201" i="45"/>
  <c r="AD217" i="45" s="1"/>
  <c r="AC58" i="52"/>
  <c r="AC137" i="52" s="1"/>
  <c r="AC144" i="52" s="1"/>
  <c r="AC146" i="52" s="1"/>
  <c r="AC168" i="52" s="1"/>
  <c r="AB193" i="52"/>
  <c r="AB192" i="52"/>
  <c r="AB177" i="52"/>
  <c r="AB186" i="52"/>
  <c r="AB187" i="55"/>
  <c r="AB177" i="55"/>
  <c r="AB193" i="55"/>
  <c r="AB192" i="55"/>
  <c r="AB57" i="51"/>
  <c r="AB137" i="51" s="1"/>
  <c r="AB144" i="51" s="1"/>
  <c r="AB146" i="51" s="1"/>
  <c r="AB168" i="51" s="1"/>
  <c r="CD63" i="2" s="1"/>
  <c r="BX63" i="2" s="1"/>
  <c r="I65" i="78" s="1"/>
  <c r="U65" i="78" s="1"/>
  <c r="U70" i="78" s="1"/>
  <c r="AB58" i="58"/>
  <c r="AB137" i="58" s="1"/>
  <c r="AB144" i="58" s="1"/>
  <c r="AB146" i="58" s="1"/>
  <c r="AB168" i="58" s="1"/>
  <c r="CD107" i="2" s="1"/>
  <c r="BX107" i="2" s="1"/>
  <c r="I113" i="78" s="1"/>
  <c r="U113" i="78" s="1"/>
  <c r="U118" i="78" s="1"/>
  <c r="AA186" i="51"/>
  <c r="AA177" i="51"/>
  <c r="AA192" i="51"/>
  <c r="AA193" i="51"/>
  <c r="AB193" i="67"/>
  <c r="AB187" i="67"/>
  <c r="AB177" i="67"/>
  <c r="AB192" i="67"/>
  <c r="AB58" i="65"/>
  <c r="AB137" i="65" s="1"/>
  <c r="AB144" i="65" s="1"/>
  <c r="AB146" i="65" s="1"/>
  <c r="AB168" i="65" s="1"/>
  <c r="CD118" i="2" s="1"/>
  <c r="BX118" i="2" s="1"/>
  <c r="I125" i="78" s="1"/>
  <c r="U125" i="78" s="1"/>
  <c r="U130" i="78" s="1"/>
  <c r="AA192" i="61"/>
  <c r="AA186" i="61"/>
  <c r="AA193" i="61"/>
  <c r="AA177" i="61"/>
  <c r="AA187" i="65"/>
  <c r="AA177" i="65"/>
  <c r="AA192" i="65"/>
  <c r="AA193" i="65"/>
  <c r="AB177" i="66"/>
  <c r="AB187" i="66"/>
  <c r="AB192" i="66"/>
  <c r="AB193" i="66"/>
  <c r="AB57" i="61"/>
  <c r="AB137" i="61" s="1"/>
  <c r="AB144" i="61" s="1"/>
  <c r="AB146" i="61" s="1"/>
  <c r="AB168" i="61" s="1"/>
  <c r="CD8" i="2" s="1"/>
  <c r="BX8" i="2" s="1"/>
  <c r="I5" i="78" s="1"/>
  <c r="U5" i="78" s="1"/>
  <c r="U10" i="78" s="1"/>
  <c r="AC58" i="67"/>
  <c r="AC137" i="67" s="1"/>
  <c r="AC144" i="67" s="1"/>
  <c r="AC146" i="67" s="1"/>
  <c r="AC168" i="67" s="1"/>
  <c r="AA192" i="58"/>
  <c r="AA177" i="58"/>
  <c r="AA187" i="58"/>
  <c r="AA193" i="58"/>
  <c r="AC58" i="66"/>
  <c r="AC137" i="66" s="1"/>
  <c r="AC144" i="66" s="1"/>
  <c r="AC146" i="66" s="1"/>
  <c r="AC168" i="66" s="1"/>
  <c r="AH88" i="43"/>
  <c r="AH88" i="42"/>
  <c r="AH89" i="41"/>
  <c r="AH88" i="40"/>
  <c r="AH88" i="39"/>
  <c r="AH70" i="43"/>
  <c r="AI67" i="43"/>
  <c r="AH67" i="43"/>
  <c r="AH66" i="43"/>
  <c r="AH65" i="43"/>
  <c r="AH64" i="43"/>
  <c r="AH63" i="43"/>
  <c r="AH70" i="42"/>
  <c r="AI67" i="42"/>
  <c r="AH67" i="42"/>
  <c r="AH66" i="42"/>
  <c r="AH65" i="42"/>
  <c r="AH64" i="42"/>
  <c r="AH63" i="42"/>
  <c r="AH71" i="41"/>
  <c r="AI68" i="41"/>
  <c r="AH68" i="41"/>
  <c r="AH67" i="41"/>
  <c r="AH66" i="41"/>
  <c r="AH65" i="41"/>
  <c r="AH64" i="41"/>
  <c r="AH70" i="40"/>
  <c r="AI67" i="40"/>
  <c r="AH67" i="40"/>
  <c r="AH66" i="40"/>
  <c r="AH65" i="40"/>
  <c r="AH64" i="40"/>
  <c r="AH63" i="40"/>
  <c r="AH70" i="39"/>
  <c r="AI67" i="39"/>
  <c r="AH67" i="39"/>
  <c r="AH66" i="39"/>
  <c r="AH65" i="39"/>
  <c r="AH64" i="39"/>
  <c r="AH63" i="39"/>
  <c r="AI61" i="43"/>
  <c r="AH61" i="43"/>
  <c r="AI60" i="43"/>
  <c r="AH60" i="43"/>
  <c r="AI61" i="42"/>
  <c r="AH61" i="42"/>
  <c r="AI60" i="42"/>
  <c r="AH60" i="42"/>
  <c r="AI62" i="41"/>
  <c r="AH62" i="41"/>
  <c r="AI61" i="41"/>
  <c r="AH61" i="41"/>
  <c r="AI61" i="40"/>
  <c r="AH61" i="40"/>
  <c r="AI60" i="40"/>
  <c r="AH60" i="40"/>
  <c r="AI61" i="39"/>
  <c r="AH61" i="39"/>
  <c r="AH59" i="43"/>
  <c r="AH59" i="42"/>
  <c r="AH60" i="41"/>
  <c r="AH59" i="40"/>
  <c r="AI60" i="39"/>
  <c r="AH60" i="39"/>
  <c r="AH59" i="39"/>
  <c r="AI57" i="43"/>
  <c r="AH57" i="43"/>
  <c r="AI57" i="42"/>
  <c r="AH57" i="42"/>
  <c r="AI58" i="41"/>
  <c r="AH58" i="41"/>
  <c r="AI57" i="40"/>
  <c r="AH57" i="40"/>
  <c r="AI57" i="39"/>
  <c r="AH57" i="39"/>
  <c r="AK56" i="43"/>
  <c r="AJ56" i="43"/>
  <c r="AI56" i="43"/>
  <c r="AH56" i="43"/>
  <c r="AK56" i="42"/>
  <c r="AJ56" i="42"/>
  <c r="AI56" i="42"/>
  <c r="AH56" i="42"/>
  <c r="AK57" i="41"/>
  <c r="AJ57" i="41"/>
  <c r="AI57" i="41"/>
  <c r="AH57" i="41"/>
  <c r="AK56" i="40"/>
  <c r="AJ56" i="40"/>
  <c r="AI56" i="40"/>
  <c r="AH56" i="40"/>
  <c r="AK56" i="39"/>
  <c r="AJ56" i="39"/>
  <c r="AI56" i="39"/>
  <c r="AH56" i="39"/>
  <c r="AI55" i="43"/>
  <c r="AH55" i="43"/>
  <c r="AI55" i="42"/>
  <c r="AH55" i="42"/>
  <c r="AI56" i="41"/>
  <c r="AH56" i="41"/>
  <c r="AI55" i="40"/>
  <c r="AH55" i="40"/>
  <c r="AI55" i="39"/>
  <c r="AH55" i="39"/>
  <c r="AH48" i="43"/>
  <c r="AH48" i="42"/>
  <c r="AH49" i="41"/>
  <c r="AH48" i="40"/>
  <c r="AH48" i="39"/>
  <c r="AH45" i="43"/>
  <c r="AH45" i="42"/>
  <c r="AH46" i="41"/>
  <c r="AH45" i="40"/>
  <c r="AH45" i="39"/>
  <c r="AJ43" i="43"/>
  <c r="AI43" i="43"/>
  <c r="AH43" i="43"/>
  <c r="AJ43" i="42"/>
  <c r="AI43" i="42"/>
  <c r="AH43" i="42"/>
  <c r="AJ44" i="41"/>
  <c r="AI44" i="41"/>
  <c r="AH44" i="41"/>
  <c r="AJ43" i="40"/>
  <c r="AI43" i="40"/>
  <c r="AH43" i="40"/>
  <c r="AJ43" i="39"/>
  <c r="AI43" i="39"/>
  <c r="AH43" i="39"/>
  <c r="C106" i="43"/>
  <c r="D106" i="43" s="1"/>
  <c r="C106" i="42"/>
  <c r="D106" i="42" s="1"/>
  <c r="C107" i="41"/>
  <c r="D107" i="41" s="1"/>
  <c r="C106" i="40"/>
  <c r="D106" i="40" s="1"/>
  <c r="C106" i="39"/>
  <c r="D106" i="39" s="1"/>
  <c r="AG16" i="14" l="1" a="1"/>
  <c r="AG16" i="14" s="1"/>
  <c r="AB187" i="52"/>
  <c r="CF85" i="2"/>
  <c r="BZ85" i="2" s="1"/>
  <c r="K89" i="78" s="1"/>
  <c r="W89" i="78" s="1"/>
  <c r="W94" i="78" s="1"/>
  <c r="AB179" i="51"/>
  <c r="CF63" i="2"/>
  <c r="BZ63" i="2" s="1"/>
  <c r="K65" i="78" s="1"/>
  <c r="W65" i="78" s="1"/>
  <c r="W70" i="78" s="1"/>
  <c r="W71" i="78" s="1"/>
  <c r="W72" i="78" s="1"/>
  <c r="AB194" i="67"/>
  <c r="CF151" i="2"/>
  <c r="BZ151" i="2" s="1"/>
  <c r="K161" i="78" s="1"/>
  <c r="W161" i="78" s="1"/>
  <c r="W166" i="78" s="1"/>
  <c r="AB179" i="53"/>
  <c r="CF74" i="2"/>
  <c r="BZ74" i="2" s="1"/>
  <c r="K77" i="78" s="1"/>
  <c r="W77" i="78" s="1"/>
  <c r="W82" i="78" s="1"/>
  <c r="W83" i="78" s="1"/>
  <c r="W84" i="78" s="1"/>
  <c r="AA188" i="64"/>
  <c r="AA179" i="61"/>
  <c r="S43" i="75"/>
  <c r="T43" i="75"/>
  <c r="AA179" i="62"/>
  <c r="S35" i="75"/>
  <c r="T35" i="75"/>
  <c r="AC186" i="64"/>
  <c r="AC193" i="64"/>
  <c r="AA188" i="58"/>
  <c r="AA194" i="58"/>
  <c r="AB179" i="67"/>
  <c r="AB178" i="67"/>
  <c r="AA186" i="58"/>
  <c r="AA179" i="58"/>
  <c r="AA178" i="65"/>
  <c r="AA186" i="62"/>
  <c r="AA194" i="65"/>
  <c r="AA188" i="65"/>
  <c r="AA186" i="65"/>
  <c r="AA194" i="66"/>
  <c r="AA178" i="66"/>
  <c r="AB194" i="53"/>
  <c r="AB188" i="52"/>
  <c r="AA186" i="66"/>
  <c r="AB188" i="67"/>
  <c r="AA188" i="62"/>
  <c r="AA194" i="64"/>
  <c r="AA178" i="64"/>
  <c r="AB186" i="67"/>
  <c r="AA179" i="64"/>
  <c r="AA187" i="64"/>
  <c r="AB178" i="52"/>
  <c r="AB179" i="52"/>
  <c r="AA186" i="57"/>
  <c r="AA178" i="55"/>
  <c r="AB188" i="51"/>
  <c r="AA194" i="61"/>
  <c r="AA178" i="61"/>
  <c r="AA187" i="61"/>
  <c r="AA188" i="61"/>
  <c r="AC187" i="62"/>
  <c r="AC177" i="62"/>
  <c r="AC177" i="64"/>
  <c r="AB194" i="52"/>
  <c r="AA194" i="57"/>
  <c r="AA179" i="55"/>
  <c r="AA194" i="63"/>
  <c r="AA188" i="57"/>
  <c r="AA188" i="55"/>
  <c r="AA179" i="57"/>
  <c r="AB186" i="53"/>
  <c r="AA194" i="62"/>
  <c r="AB178" i="53"/>
  <c r="AA178" i="62"/>
  <c r="AC192" i="53"/>
  <c r="AC187" i="53"/>
  <c r="AA188" i="63"/>
  <c r="AA194" i="55"/>
  <c r="AA188" i="66"/>
  <c r="AA179" i="63"/>
  <c r="AC192" i="62"/>
  <c r="AB178" i="51"/>
  <c r="AB187" i="51"/>
  <c r="AB194" i="51"/>
  <c r="AD246" i="45"/>
  <c r="AD262" i="45" s="1"/>
  <c r="AC59" i="67"/>
  <c r="AC154" i="67" s="1"/>
  <c r="AC161" i="67" s="1"/>
  <c r="AC163" i="67" s="1"/>
  <c r="AC170" i="67" s="1"/>
  <c r="AC179" i="67" s="1"/>
  <c r="AD58" i="67"/>
  <c r="AD137" i="67" s="1"/>
  <c r="AD144" i="67" s="1"/>
  <c r="AD146" i="67" s="1"/>
  <c r="AD168" i="67" s="1"/>
  <c r="AE214" i="45"/>
  <c r="AE230" i="45" s="1"/>
  <c r="AE213" i="45"/>
  <c r="AE229" i="45" s="1"/>
  <c r="AD58" i="66"/>
  <c r="AD137" i="66" s="1"/>
  <c r="AD144" i="66" s="1"/>
  <c r="AD146" i="66" s="1"/>
  <c r="AD168" i="66" s="1"/>
  <c r="AC245" i="45"/>
  <c r="AC261" i="45" s="1"/>
  <c r="AB59" i="66"/>
  <c r="AB154" i="66" s="1"/>
  <c r="AB161" i="66" s="1"/>
  <c r="AB163" i="66" s="1"/>
  <c r="AB170" i="66" s="1"/>
  <c r="AD58" i="55"/>
  <c r="AD137" i="55" s="1"/>
  <c r="AD144" i="55" s="1"/>
  <c r="AD146" i="55" s="1"/>
  <c r="AD168" i="55" s="1"/>
  <c r="AE212" i="45"/>
  <c r="AE228" i="45" s="1"/>
  <c r="AC244" i="45"/>
  <c r="AC260" i="45" s="1"/>
  <c r="AB59" i="55"/>
  <c r="AB154" i="55" s="1"/>
  <c r="AB161" i="55" s="1"/>
  <c r="AB163" i="55" s="1"/>
  <c r="AB170" i="55" s="1"/>
  <c r="AE211" i="45"/>
  <c r="AE227" i="45" s="1"/>
  <c r="AC243" i="45"/>
  <c r="AC259" i="45" s="1"/>
  <c r="AB59" i="65"/>
  <c r="AB154" i="65" s="1"/>
  <c r="AB161" i="65" s="1"/>
  <c r="AB163" i="65" s="1"/>
  <c r="AB170" i="65" s="1"/>
  <c r="AE210" i="45"/>
  <c r="AE226" i="45" s="1"/>
  <c r="AC242" i="45"/>
  <c r="AC258" i="45" s="1"/>
  <c r="AB59" i="58"/>
  <c r="AB154" i="58" s="1"/>
  <c r="AB161" i="58" s="1"/>
  <c r="AB163" i="58" s="1"/>
  <c r="AB170" i="58" s="1"/>
  <c r="AE209" i="45"/>
  <c r="AE225" i="45" s="1"/>
  <c r="AD58" i="57"/>
  <c r="AD137" i="57" s="1"/>
  <c r="AD144" i="57" s="1"/>
  <c r="AD146" i="57" s="1"/>
  <c r="AD168" i="57" s="1"/>
  <c r="AC187" i="57"/>
  <c r="AC193" i="57"/>
  <c r="AC177" i="57"/>
  <c r="AC192" i="57"/>
  <c r="AC241" i="45"/>
  <c r="AC257" i="45" s="1"/>
  <c r="AB59" i="57"/>
  <c r="AB154" i="57" s="1"/>
  <c r="AB161" i="57" s="1"/>
  <c r="AB163" i="57" s="1"/>
  <c r="AB170" i="57" s="1"/>
  <c r="AD240" i="45"/>
  <c r="AD256" i="45" s="1"/>
  <c r="AC59" i="52"/>
  <c r="AC154" i="52" s="1"/>
  <c r="AC161" i="52" s="1"/>
  <c r="AC163" i="52" s="1"/>
  <c r="AC170" i="52" s="1"/>
  <c r="AC194" i="52" s="1"/>
  <c r="AE208" i="45"/>
  <c r="AE224" i="45" s="1"/>
  <c r="AB188" i="53"/>
  <c r="AD239" i="45"/>
  <c r="AD255" i="45" s="1"/>
  <c r="AC58" i="53"/>
  <c r="AC154" i="53" s="1"/>
  <c r="AC161" i="53" s="1"/>
  <c r="AC163" i="53" s="1"/>
  <c r="AC170" i="53" s="1"/>
  <c r="AC179" i="53" s="1"/>
  <c r="AC177" i="53"/>
  <c r="AE207" i="45"/>
  <c r="AE223" i="45" s="1"/>
  <c r="AD57" i="53"/>
  <c r="AD137" i="53" s="1"/>
  <c r="AD144" i="53" s="1"/>
  <c r="AD146" i="53" s="1"/>
  <c r="AD168" i="53" s="1"/>
  <c r="AD187" i="53" s="1"/>
  <c r="AD238" i="45"/>
  <c r="AD254" i="45" s="1"/>
  <c r="AC58" i="51"/>
  <c r="AC154" i="51" s="1"/>
  <c r="AC161" i="51" s="1"/>
  <c r="AC163" i="51" s="1"/>
  <c r="AC170" i="51" s="1"/>
  <c r="AC187" i="51" s="1"/>
  <c r="AE206" i="45"/>
  <c r="AE222" i="45" s="1"/>
  <c r="AE205" i="45"/>
  <c r="AE221" i="45" s="1"/>
  <c r="AD57" i="64"/>
  <c r="AD137" i="64" s="1"/>
  <c r="AD144" i="64" s="1"/>
  <c r="AD146" i="64" s="1"/>
  <c r="AD168" i="64" s="1"/>
  <c r="AD193" i="64" s="1"/>
  <c r="AC237" i="45"/>
  <c r="AC253" i="45" s="1"/>
  <c r="AB58" i="64"/>
  <c r="AB154" i="64" s="1"/>
  <c r="AB161" i="64" s="1"/>
  <c r="AB163" i="64" s="1"/>
  <c r="AB170" i="64" s="1"/>
  <c r="AC177" i="63"/>
  <c r="AC192" i="63"/>
  <c r="AC193" i="63"/>
  <c r="AC187" i="63"/>
  <c r="AE204" i="45"/>
  <c r="AE220" i="45" s="1"/>
  <c r="AD57" i="63"/>
  <c r="AD137" i="63" s="1"/>
  <c r="AD144" i="63" s="1"/>
  <c r="AD146" i="63" s="1"/>
  <c r="AD168" i="63" s="1"/>
  <c r="AA178" i="63"/>
  <c r="AC236" i="45"/>
  <c r="AC252" i="45" s="1"/>
  <c r="AB58" i="63"/>
  <c r="AB154" i="63" s="1"/>
  <c r="AB161" i="63" s="1"/>
  <c r="AB163" i="63" s="1"/>
  <c r="AB170" i="63" s="1"/>
  <c r="AE203" i="45"/>
  <c r="AE219" i="45" s="1"/>
  <c r="AD57" i="62"/>
  <c r="AD137" i="62" s="1"/>
  <c r="AD144" i="62" s="1"/>
  <c r="AD146" i="62" s="1"/>
  <c r="AD168" i="62" s="1"/>
  <c r="AD177" i="62" s="1"/>
  <c r="AC235" i="45"/>
  <c r="AC251" i="45" s="1"/>
  <c r="AB58" i="62"/>
  <c r="AB154" i="62" s="1"/>
  <c r="AB161" i="62" s="1"/>
  <c r="AB163" i="62" s="1"/>
  <c r="AB170" i="62" s="1"/>
  <c r="AE202" i="45"/>
  <c r="AE218" i="45" s="1"/>
  <c r="AD57" i="38"/>
  <c r="AC234" i="45"/>
  <c r="AC250" i="45" s="1"/>
  <c r="AB58" i="38"/>
  <c r="AE201" i="45"/>
  <c r="AE217" i="45" s="1"/>
  <c r="AC233" i="45"/>
  <c r="AC249" i="45" s="1"/>
  <c r="AB58" i="61"/>
  <c r="AB154" i="61" s="1"/>
  <c r="AB161" i="61" s="1"/>
  <c r="AB163" i="61" s="1"/>
  <c r="AB170" i="61" s="1"/>
  <c r="AC192" i="67"/>
  <c r="AC177" i="67"/>
  <c r="AC187" i="67"/>
  <c r="AC193" i="67"/>
  <c r="AB193" i="61"/>
  <c r="AB186" i="61"/>
  <c r="AB177" i="61"/>
  <c r="AB192" i="61"/>
  <c r="AC57" i="61"/>
  <c r="AC137" i="61" s="1"/>
  <c r="AC144" i="61" s="1"/>
  <c r="AC146" i="61" s="1"/>
  <c r="AC168" i="61" s="1"/>
  <c r="AC58" i="65"/>
  <c r="AC137" i="65" s="1"/>
  <c r="AC144" i="65" s="1"/>
  <c r="AC146" i="65" s="1"/>
  <c r="AC168" i="65" s="1"/>
  <c r="AC58" i="58"/>
  <c r="AC137" i="58" s="1"/>
  <c r="AC144" i="58" s="1"/>
  <c r="AC146" i="58" s="1"/>
  <c r="AC168" i="58" s="1"/>
  <c r="AC187" i="55"/>
  <c r="AC192" i="55"/>
  <c r="AC193" i="55"/>
  <c r="AC177" i="55"/>
  <c r="AC57" i="51"/>
  <c r="AC137" i="51" s="1"/>
  <c r="AC144" i="51" s="1"/>
  <c r="AC146" i="51" s="1"/>
  <c r="AC168" i="51" s="1"/>
  <c r="AC186" i="52"/>
  <c r="AC192" i="52"/>
  <c r="AC193" i="52"/>
  <c r="AC177" i="52"/>
  <c r="AB193" i="65"/>
  <c r="AB177" i="65"/>
  <c r="AB192" i="65"/>
  <c r="AB187" i="65"/>
  <c r="AB192" i="58"/>
  <c r="AB177" i="58"/>
  <c r="AB187" i="58"/>
  <c r="AB193" i="58"/>
  <c r="AC177" i="66"/>
  <c r="AC187" i="66"/>
  <c r="AC193" i="66"/>
  <c r="AC192" i="66"/>
  <c r="AB177" i="51"/>
  <c r="AB192" i="51"/>
  <c r="AB186" i="51"/>
  <c r="AB193" i="51"/>
  <c r="AD58" i="52"/>
  <c r="AD137" i="52" s="1"/>
  <c r="AD144" i="52" s="1"/>
  <c r="AD146" i="52" s="1"/>
  <c r="AD168" i="52" s="1"/>
  <c r="E106" i="43"/>
  <c r="E106" i="42"/>
  <c r="E107" i="41"/>
  <c r="E106" i="40"/>
  <c r="E106" i="39"/>
  <c r="W85" i="78" l="1"/>
  <c r="W86" i="78" s="1"/>
  <c r="W73" i="78"/>
  <c r="W74" i="78" s="1"/>
  <c r="AB186" i="55"/>
  <c r="CF129" i="2"/>
  <c r="BZ129" i="2" s="1"/>
  <c r="K137" i="78" s="1"/>
  <c r="W137" i="78" s="1"/>
  <c r="W142" i="78" s="1"/>
  <c r="S71" i="78"/>
  <c r="S72" i="78" s="1"/>
  <c r="R71" i="78"/>
  <c r="R72" i="78" s="1"/>
  <c r="AB188" i="66"/>
  <c r="CF140" i="2"/>
  <c r="BZ140" i="2" s="1"/>
  <c r="K149" i="78" s="1"/>
  <c r="W149" i="78" s="1"/>
  <c r="W154" i="78" s="1"/>
  <c r="T71" i="78"/>
  <c r="T72" i="78" s="1"/>
  <c r="V71" i="78"/>
  <c r="V72" i="78" s="1"/>
  <c r="W95" i="78"/>
  <c r="W96" i="78" s="1"/>
  <c r="R95" i="78"/>
  <c r="R96" i="78" s="1"/>
  <c r="U95" i="78"/>
  <c r="U96" i="78" s="1"/>
  <c r="V95" i="78"/>
  <c r="V96" i="78" s="1"/>
  <c r="S95" i="78"/>
  <c r="S96" i="78" s="1"/>
  <c r="T95" i="78"/>
  <c r="T96" i="78" s="1"/>
  <c r="U71" i="78"/>
  <c r="U72" i="78" s="1"/>
  <c r="W167" i="78"/>
  <c r="W168" i="78" s="1"/>
  <c r="U167" i="78"/>
  <c r="U168" i="78" s="1"/>
  <c r="V167" i="78"/>
  <c r="V168" i="78" s="1"/>
  <c r="T167" i="78"/>
  <c r="T168" i="78" s="1"/>
  <c r="R167" i="78"/>
  <c r="R168" i="78" s="1"/>
  <c r="S167" i="78"/>
  <c r="S168" i="78" s="1"/>
  <c r="T83" i="78"/>
  <c r="T84" i="78" s="1"/>
  <c r="R83" i="78"/>
  <c r="R84" i="78" s="1"/>
  <c r="AB178" i="62"/>
  <c r="CF30" i="2"/>
  <c r="BZ30" i="2" s="1"/>
  <c r="K29" i="78" s="1"/>
  <c r="W29" i="78" s="1"/>
  <c r="W34" i="78" s="1"/>
  <c r="V83" i="78"/>
  <c r="V84" i="78" s="1"/>
  <c r="AB188" i="64"/>
  <c r="CF52" i="2"/>
  <c r="BZ52" i="2" s="1"/>
  <c r="K53" i="78" s="1"/>
  <c r="W53" i="78" s="1"/>
  <c r="W58" i="78" s="1"/>
  <c r="AB179" i="65"/>
  <c r="CF118" i="2"/>
  <c r="BZ118" i="2" s="1"/>
  <c r="K125" i="78" s="1"/>
  <c r="W125" i="78" s="1"/>
  <c r="W130" i="78" s="1"/>
  <c r="AB188" i="61"/>
  <c r="CF8" i="2"/>
  <c r="BZ8" i="2" s="1"/>
  <c r="K5" i="78" s="1"/>
  <c r="W5" i="78" s="1"/>
  <c r="W10" i="78" s="1"/>
  <c r="AB188" i="57"/>
  <c r="CF96" i="2"/>
  <c r="BZ96" i="2" s="1"/>
  <c r="K101" i="78" s="1"/>
  <c r="W101" i="78" s="1"/>
  <c r="W106" i="78" s="1"/>
  <c r="S83" i="78"/>
  <c r="S84" i="78" s="1"/>
  <c r="AB188" i="58"/>
  <c r="CF107" i="2"/>
  <c r="BZ107" i="2" s="1"/>
  <c r="K113" i="78" s="1"/>
  <c r="W113" i="78" s="1"/>
  <c r="W118" i="78" s="1"/>
  <c r="AB179" i="63"/>
  <c r="CF41" i="2"/>
  <c r="BZ41" i="2" s="1"/>
  <c r="K41" i="78" s="1"/>
  <c r="W41" i="78" s="1"/>
  <c r="W46" i="78" s="1"/>
  <c r="U83" i="78"/>
  <c r="U84" i="78" s="1"/>
  <c r="T19" i="75"/>
  <c r="S19" i="75"/>
  <c r="S11" i="75"/>
  <c r="T11" i="75"/>
  <c r="S27" i="75"/>
  <c r="T27" i="75"/>
  <c r="AD186" i="64"/>
  <c r="AB178" i="58"/>
  <c r="AB194" i="58"/>
  <c r="AB186" i="58"/>
  <c r="AC178" i="53"/>
  <c r="AB178" i="66"/>
  <c r="AB179" i="64"/>
  <c r="AB188" i="62"/>
  <c r="AC188" i="52"/>
  <c r="AC179" i="52"/>
  <c r="AB179" i="58"/>
  <c r="AB194" i="66"/>
  <c r="AB179" i="66"/>
  <c r="AB186" i="66"/>
  <c r="AC186" i="67"/>
  <c r="AC194" i="67"/>
  <c r="AC178" i="67"/>
  <c r="AB188" i="55"/>
  <c r="AB179" i="55"/>
  <c r="AC188" i="67"/>
  <c r="AB194" i="55"/>
  <c r="AB178" i="55"/>
  <c r="AB178" i="61"/>
  <c r="AB187" i="61"/>
  <c r="AB194" i="61"/>
  <c r="AB179" i="61"/>
  <c r="AD192" i="62"/>
  <c r="AD187" i="62"/>
  <c r="AD193" i="62"/>
  <c r="AC186" i="53"/>
  <c r="AB194" i="62"/>
  <c r="AB179" i="62"/>
  <c r="AB194" i="64"/>
  <c r="AB178" i="64"/>
  <c r="AB186" i="62"/>
  <c r="AC188" i="53"/>
  <c r="AC187" i="52"/>
  <c r="AC178" i="52"/>
  <c r="AB187" i="64"/>
  <c r="AB194" i="65"/>
  <c r="AD192" i="53"/>
  <c r="AD177" i="53"/>
  <c r="AD193" i="53"/>
  <c r="AB186" i="65"/>
  <c r="AC178" i="51"/>
  <c r="AC179" i="51"/>
  <c r="AC188" i="51"/>
  <c r="AF214" i="45"/>
  <c r="AF230" i="45" s="1"/>
  <c r="AE246" i="45"/>
  <c r="AE262" i="45" s="1"/>
  <c r="AD59" i="67"/>
  <c r="AD154" i="67" s="1"/>
  <c r="AD161" i="67" s="1"/>
  <c r="AD163" i="67" s="1"/>
  <c r="AD170" i="67" s="1"/>
  <c r="AD188" i="67" s="1"/>
  <c r="AD245" i="45"/>
  <c r="AD261" i="45" s="1"/>
  <c r="AC59" i="66"/>
  <c r="AC154" i="66" s="1"/>
  <c r="AC161" i="66" s="1"/>
  <c r="AC163" i="66" s="1"/>
  <c r="AC170" i="66" s="1"/>
  <c r="AC188" i="66" s="1"/>
  <c r="AF213" i="45"/>
  <c r="AF229" i="45" s="1"/>
  <c r="AE58" i="66"/>
  <c r="AE137" i="66" s="1"/>
  <c r="AE144" i="66" s="1"/>
  <c r="AE146" i="66" s="1"/>
  <c r="AE168" i="66" s="1"/>
  <c r="AD244" i="45"/>
  <c r="AD260" i="45" s="1"/>
  <c r="AC59" i="55"/>
  <c r="AC154" i="55" s="1"/>
  <c r="AC161" i="55" s="1"/>
  <c r="AC163" i="55" s="1"/>
  <c r="AC170" i="55" s="1"/>
  <c r="AC178" i="55" s="1"/>
  <c r="AF212" i="45"/>
  <c r="AF228" i="45" s="1"/>
  <c r="AD243" i="45"/>
  <c r="AD259" i="45" s="1"/>
  <c r="AC59" i="65"/>
  <c r="AC154" i="65" s="1"/>
  <c r="AC161" i="65" s="1"/>
  <c r="AC163" i="65" s="1"/>
  <c r="AC170" i="65" s="1"/>
  <c r="AC179" i="65" s="1"/>
  <c r="AB188" i="65"/>
  <c r="AB178" i="65"/>
  <c r="AF211" i="45"/>
  <c r="AF227" i="45" s="1"/>
  <c r="AF210" i="45"/>
  <c r="AF226" i="45" s="1"/>
  <c r="AD242" i="45"/>
  <c r="AD258" i="45" s="1"/>
  <c r="AC59" i="58"/>
  <c r="AC154" i="58" s="1"/>
  <c r="AC161" i="58" s="1"/>
  <c r="AC163" i="58" s="1"/>
  <c r="AC170" i="58" s="1"/>
  <c r="AC179" i="58" s="1"/>
  <c r="AD241" i="45"/>
  <c r="AD257" i="45" s="1"/>
  <c r="AC59" i="57"/>
  <c r="AC154" i="57" s="1"/>
  <c r="AC161" i="57" s="1"/>
  <c r="AC163" i="57" s="1"/>
  <c r="AC170" i="57" s="1"/>
  <c r="AC178" i="57" s="1"/>
  <c r="AB186" i="57"/>
  <c r="AB178" i="57"/>
  <c r="AB179" i="57"/>
  <c r="AD187" i="57"/>
  <c r="AD192" i="57"/>
  <c r="AD177" i="57"/>
  <c r="AD193" i="57"/>
  <c r="AB194" i="57"/>
  <c r="AF209" i="45"/>
  <c r="AF225" i="45" s="1"/>
  <c r="AE58" i="57"/>
  <c r="AE137" i="57" s="1"/>
  <c r="AE144" i="57" s="1"/>
  <c r="AE146" i="57" s="1"/>
  <c r="AE168" i="57" s="1"/>
  <c r="AF208" i="45"/>
  <c r="AF224" i="45" s="1"/>
  <c r="AE58" i="52"/>
  <c r="AE137" i="52" s="1"/>
  <c r="AE144" i="52" s="1"/>
  <c r="AE146" i="52" s="1"/>
  <c r="AE168" i="52" s="1"/>
  <c r="AE240" i="45"/>
  <c r="AE256" i="45" s="1"/>
  <c r="AD59" i="52"/>
  <c r="AD154" i="52" s="1"/>
  <c r="AD161" i="52" s="1"/>
  <c r="AD163" i="52" s="1"/>
  <c r="AD170" i="52" s="1"/>
  <c r="AD178" i="52" s="1"/>
  <c r="AF207" i="45"/>
  <c r="AF223" i="45" s="1"/>
  <c r="AE57" i="53"/>
  <c r="AE137" i="53" s="1"/>
  <c r="AE144" i="53" s="1"/>
  <c r="AE146" i="53" s="1"/>
  <c r="AE168" i="53" s="1"/>
  <c r="AE192" i="53" s="1"/>
  <c r="AE239" i="45"/>
  <c r="AE255" i="45" s="1"/>
  <c r="AD58" i="53"/>
  <c r="AD154" i="53" s="1"/>
  <c r="AD161" i="53" s="1"/>
  <c r="AD163" i="53" s="1"/>
  <c r="AD170" i="53" s="1"/>
  <c r="AD178" i="53" s="1"/>
  <c r="AC194" i="53"/>
  <c r="AF206" i="45"/>
  <c r="AF222" i="45" s="1"/>
  <c r="AE238" i="45"/>
  <c r="AE254" i="45" s="1"/>
  <c r="AD58" i="51"/>
  <c r="AD154" i="51" s="1"/>
  <c r="AD161" i="51" s="1"/>
  <c r="AD163" i="51" s="1"/>
  <c r="AD170" i="51" s="1"/>
  <c r="AD178" i="51" s="1"/>
  <c r="AD177" i="64"/>
  <c r="AD192" i="64"/>
  <c r="AD237" i="45"/>
  <c r="AD253" i="45" s="1"/>
  <c r="AC58" i="64"/>
  <c r="AC154" i="64" s="1"/>
  <c r="AC161" i="64" s="1"/>
  <c r="AC163" i="64" s="1"/>
  <c r="AC170" i="64" s="1"/>
  <c r="AC188" i="64" s="1"/>
  <c r="AF205" i="45"/>
  <c r="AF221" i="45" s="1"/>
  <c r="AE57" i="64"/>
  <c r="AE137" i="64" s="1"/>
  <c r="AE144" i="64" s="1"/>
  <c r="AE146" i="64" s="1"/>
  <c r="AE168" i="64" s="1"/>
  <c r="AE193" i="64" s="1"/>
  <c r="AD236" i="45"/>
  <c r="AD252" i="45" s="1"/>
  <c r="AC58" i="63"/>
  <c r="AC154" i="63" s="1"/>
  <c r="AC161" i="63" s="1"/>
  <c r="AC163" i="63" s="1"/>
  <c r="AC170" i="63" s="1"/>
  <c r="AC178" i="63" s="1"/>
  <c r="AD177" i="63"/>
  <c r="AD192" i="63"/>
  <c r="AD193" i="63"/>
  <c r="AD187" i="63"/>
  <c r="AB194" i="63"/>
  <c r="AF204" i="45"/>
  <c r="AF220" i="45" s="1"/>
  <c r="AE57" i="63"/>
  <c r="AE137" i="63" s="1"/>
  <c r="AE144" i="63" s="1"/>
  <c r="AE146" i="63" s="1"/>
  <c r="AE168" i="63" s="1"/>
  <c r="AB186" i="63"/>
  <c r="AB178" i="63"/>
  <c r="AB188" i="63"/>
  <c r="AD235" i="45"/>
  <c r="AD251" i="45" s="1"/>
  <c r="AC58" i="62"/>
  <c r="AC154" i="62" s="1"/>
  <c r="AC161" i="62" s="1"/>
  <c r="AC163" i="62" s="1"/>
  <c r="AC170" i="62" s="1"/>
  <c r="AC186" i="62" s="1"/>
  <c r="AE57" i="62"/>
  <c r="AE137" i="62" s="1"/>
  <c r="AE144" i="62" s="1"/>
  <c r="AE146" i="62" s="1"/>
  <c r="AE168" i="62" s="1"/>
  <c r="AE187" i="62" s="1"/>
  <c r="AF203" i="45"/>
  <c r="AF219" i="45" s="1"/>
  <c r="AD234" i="45"/>
  <c r="AD250" i="45" s="1"/>
  <c r="AC58" i="38"/>
  <c r="AE57" i="38"/>
  <c r="AF202" i="45"/>
  <c r="AF218" i="45" s="1"/>
  <c r="AD233" i="45"/>
  <c r="AD249" i="45" s="1"/>
  <c r="AC58" i="61"/>
  <c r="AC154" i="61" s="1"/>
  <c r="AC161" i="61" s="1"/>
  <c r="AC163" i="61" s="1"/>
  <c r="AC170" i="61" s="1"/>
  <c r="AC194" i="61" s="1"/>
  <c r="AF201" i="45"/>
  <c r="AF217" i="45" s="1"/>
  <c r="AD187" i="66"/>
  <c r="AD177" i="66"/>
  <c r="AD192" i="66"/>
  <c r="AD193" i="66"/>
  <c r="AC193" i="61"/>
  <c r="AC192" i="61"/>
  <c r="AC186" i="61"/>
  <c r="AC177" i="61"/>
  <c r="AD57" i="61"/>
  <c r="AD137" i="61" s="1"/>
  <c r="AD144" i="61" s="1"/>
  <c r="AD146" i="61" s="1"/>
  <c r="AD168" i="61" s="1"/>
  <c r="AD177" i="55"/>
  <c r="AD192" i="55"/>
  <c r="AD187" i="55"/>
  <c r="AD193" i="55"/>
  <c r="AE58" i="67"/>
  <c r="AE137" i="67" s="1"/>
  <c r="AE144" i="67" s="1"/>
  <c r="AE146" i="67" s="1"/>
  <c r="AE168" i="67" s="1"/>
  <c r="AC177" i="51"/>
  <c r="AC186" i="51"/>
  <c r="AC193" i="51"/>
  <c r="AC192" i="51"/>
  <c r="AC194" i="51"/>
  <c r="AD187" i="67"/>
  <c r="AD192" i="67"/>
  <c r="AD177" i="67"/>
  <c r="AD193" i="67"/>
  <c r="AE58" i="55"/>
  <c r="AE137" i="55" s="1"/>
  <c r="AE144" i="55" s="1"/>
  <c r="AE146" i="55" s="1"/>
  <c r="AE168" i="55" s="1"/>
  <c r="AC187" i="58"/>
  <c r="AC192" i="58"/>
  <c r="AC193" i="58"/>
  <c r="AC177" i="58"/>
  <c r="AC192" i="65"/>
  <c r="AC187" i="65"/>
  <c r="AC193" i="65"/>
  <c r="AC177" i="65"/>
  <c r="AD58" i="58"/>
  <c r="AD137" i="58" s="1"/>
  <c r="AD144" i="58" s="1"/>
  <c r="AD146" i="58" s="1"/>
  <c r="AD168" i="58" s="1"/>
  <c r="AD186" i="52"/>
  <c r="AD192" i="52"/>
  <c r="AD177" i="52"/>
  <c r="AD193" i="52"/>
  <c r="AD57" i="51"/>
  <c r="AD137" i="51" s="1"/>
  <c r="AD144" i="51" s="1"/>
  <c r="AD146" i="51" s="1"/>
  <c r="AD168" i="51" s="1"/>
  <c r="AD58" i="65"/>
  <c r="AD137" i="65" s="1"/>
  <c r="AD144" i="65" s="1"/>
  <c r="AD146" i="65" s="1"/>
  <c r="AD168" i="65" s="1"/>
  <c r="F106" i="43"/>
  <c r="F106" i="42"/>
  <c r="F107" i="41"/>
  <c r="F106" i="40"/>
  <c r="F106" i="39"/>
  <c r="C30" i="43"/>
  <c r="C28" i="43"/>
  <c r="C27" i="43"/>
  <c r="G79" i="43"/>
  <c r="C80" i="43"/>
  <c r="H80" i="43" s="1"/>
  <c r="F73" i="43"/>
  <c r="C24" i="43"/>
  <c r="C26" i="43" s="1"/>
  <c r="C22" i="43"/>
  <c r="C21" i="43"/>
  <c r="C19" i="43"/>
  <c r="G81" i="43" s="1"/>
  <c r="C16" i="43"/>
  <c r="C15" i="43"/>
  <c r="C65" i="43" s="1"/>
  <c r="C12" i="43"/>
  <c r="C159" i="43" s="1"/>
  <c r="D159" i="43" s="1"/>
  <c r="E159" i="43" s="1"/>
  <c r="F159" i="43" s="1"/>
  <c r="G159" i="43" s="1"/>
  <c r="H159" i="43" s="1"/>
  <c r="I159" i="43" s="1"/>
  <c r="J159" i="43" s="1"/>
  <c r="K159" i="43" s="1"/>
  <c r="L159" i="43" s="1"/>
  <c r="M159" i="43" s="1"/>
  <c r="N159" i="43" s="1"/>
  <c r="O159" i="43" s="1"/>
  <c r="P159" i="43" s="1"/>
  <c r="Q159" i="43" s="1"/>
  <c r="R159" i="43" s="1"/>
  <c r="S159" i="43" s="1"/>
  <c r="T159" i="43" s="1"/>
  <c r="U159" i="43" s="1"/>
  <c r="V159" i="43" s="1"/>
  <c r="W159" i="43" s="1"/>
  <c r="X159" i="43" s="1"/>
  <c r="Y159" i="43" s="1"/>
  <c r="Z159" i="43" s="1"/>
  <c r="AA159" i="43" s="1"/>
  <c r="AB159" i="43" s="1"/>
  <c r="AC159" i="43" s="1"/>
  <c r="AD159" i="43" s="1"/>
  <c r="AE159" i="43" s="1"/>
  <c r="AF159" i="43" s="1"/>
  <c r="AG159" i="43" s="1"/>
  <c r="C11" i="43"/>
  <c r="C86" i="43" s="1"/>
  <c r="C107" i="43" s="1"/>
  <c r="A221" i="43"/>
  <c r="J220" i="43"/>
  <c r="K220" i="43" s="1"/>
  <c r="L220" i="43" s="1"/>
  <c r="M220" i="43" s="1"/>
  <c r="N220" i="43" s="1"/>
  <c r="O220" i="43" s="1"/>
  <c r="P220" i="43" s="1"/>
  <c r="Q220" i="43" s="1"/>
  <c r="R220" i="43" s="1"/>
  <c r="S220" i="43" s="1"/>
  <c r="T220" i="43" s="1"/>
  <c r="U220" i="43" s="1"/>
  <c r="V220" i="43" s="1"/>
  <c r="W220" i="43" s="1"/>
  <c r="X220" i="43" s="1"/>
  <c r="Y220" i="43" s="1"/>
  <c r="Z220" i="43" s="1"/>
  <c r="AA220" i="43" s="1"/>
  <c r="AB220" i="43" s="1"/>
  <c r="AC220" i="43" s="1"/>
  <c r="AD220" i="43" s="1"/>
  <c r="AE220" i="43" s="1"/>
  <c r="AF220" i="43" s="1"/>
  <c r="AG220" i="43" s="1"/>
  <c r="D220" i="43"/>
  <c r="E220" i="43" s="1"/>
  <c r="F220" i="43" s="1"/>
  <c r="G220" i="43" s="1"/>
  <c r="H220" i="43" s="1"/>
  <c r="I220" i="43" s="1"/>
  <c r="D213" i="43"/>
  <c r="E213" i="43" s="1"/>
  <c r="F213" i="43" s="1"/>
  <c r="G213" i="43" s="1"/>
  <c r="H213" i="43" s="1"/>
  <c r="I213" i="43" s="1"/>
  <c r="J213" i="43" s="1"/>
  <c r="K213" i="43" s="1"/>
  <c r="L213" i="43" s="1"/>
  <c r="M213" i="43" s="1"/>
  <c r="N213" i="43" s="1"/>
  <c r="O213" i="43" s="1"/>
  <c r="P213" i="43" s="1"/>
  <c r="Q213" i="43" s="1"/>
  <c r="R213" i="43" s="1"/>
  <c r="S213" i="43" s="1"/>
  <c r="T213" i="43" s="1"/>
  <c r="U213" i="43" s="1"/>
  <c r="V213" i="43" s="1"/>
  <c r="W213" i="43" s="1"/>
  <c r="X213" i="43" s="1"/>
  <c r="Y213" i="43" s="1"/>
  <c r="Z213" i="43" s="1"/>
  <c r="AA213" i="43" s="1"/>
  <c r="AB213" i="43" s="1"/>
  <c r="AC213" i="43" s="1"/>
  <c r="AD213" i="43" s="1"/>
  <c r="AE213" i="43" s="1"/>
  <c r="AF213" i="43" s="1"/>
  <c r="AG213" i="43" s="1"/>
  <c r="A210" i="43"/>
  <c r="A217" i="43" s="1"/>
  <c r="B217" i="43" s="1"/>
  <c r="A209" i="43"/>
  <c r="A208" i="43"/>
  <c r="A222" i="43" s="1"/>
  <c r="A205" i="43"/>
  <c r="A214" i="43" s="1"/>
  <c r="B214" i="43" s="1"/>
  <c r="D204" i="43"/>
  <c r="E204" i="43" s="1"/>
  <c r="F204" i="43" s="1"/>
  <c r="G204" i="43" s="1"/>
  <c r="H204" i="43" s="1"/>
  <c r="I204" i="43" s="1"/>
  <c r="J204" i="43" s="1"/>
  <c r="K204" i="43" s="1"/>
  <c r="L204" i="43" s="1"/>
  <c r="M204" i="43" s="1"/>
  <c r="N204" i="43" s="1"/>
  <c r="O204" i="43" s="1"/>
  <c r="P204" i="43" s="1"/>
  <c r="Q204" i="43" s="1"/>
  <c r="R204" i="43" s="1"/>
  <c r="S204" i="43" s="1"/>
  <c r="T204" i="43" s="1"/>
  <c r="U204" i="43" s="1"/>
  <c r="V204" i="43" s="1"/>
  <c r="W204" i="43" s="1"/>
  <c r="X204" i="43" s="1"/>
  <c r="Y204" i="43" s="1"/>
  <c r="Z204" i="43" s="1"/>
  <c r="AA204" i="43" s="1"/>
  <c r="AB204" i="43" s="1"/>
  <c r="AC204" i="43" s="1"/>
  <c r="AD204" i="43" s="1"/>
  <c r="AE204" i="43" s="1"/>
  <c r="AF204" i="43" s="1"/>
  <c r="AG204" i="43" s="1"/>
  <c r="D183" i="43"/>
  <c r="E183" i="43" s="1"/>
  <c r="F183" i="43" s="1"/>
  <c r="G183" i="43" s="1"/>
  <c r="H183" i="43" s="1"/>
  <c r="I183" i="43" s="1"/>
  <c r="J183" i="43" s="1"/>
  <c r="K183" i="43" s="1"/>
  <c r="L183" i="43" s="1"/>
  <c r="M183" i="43" s="1"/>
  <c r="N183" i="43" s="1"/>
  <c r="O183" i="43" s="1"/>
  <c r="P183" i="43" s="1"/>
  <c r="Q183" i="43" s="1"/>
  <c r="R183" i="43" s="1"/>
  <c r="S183" i="43" s="1"/>
  <c r="T183" i="43" s="1"/>
  <c r="U183" i="43" s="1"/>
  <c r="V183" i="43" s="1"/>
  <c r="W183" i="43" s="1"/>
  <c r="X183" i="43" s="1"/>
  <c r="Y183" i="43" s="1"/>
  <c r="Z183" i="43" s="1"/>
  <c r="AA183" i="43" s="1"/>
  <c r="AB183" i="43" s="1"/>
  <c r="AC183" i="43" s="1"/>
  <c r="AD183" i="43" s="1"/>
  <c r="AE183" i="43" s="1"/>
  <c r="AF183" i="43" s="1"/>
  <c r="AG183" i="43" s="1"/>
  <c r="A175" i="43"/>
  <c r="B167" i="43"/>
  <c r="B175" i="43" s="1"/>
  <c r="F163" i="43"/>
  <c r="E163" i="43"/>
  <c r="D163" i="43"/>
  <c r="C163" i="43"/>
  <c r="D156" i="43"/>
  <c r="E156" i="43" s="1"/>
  <c r="F156" i="43" s="1"/>
  <c r="G156" i="43" s="1"/>
  <c r="H156" i="43" s="1"/>
  <c r="I156" i="43" s="1"/>
  <c r="J156" i="43" s="1"/>
  <c r="K156" i="43" s="1"/>
  <c r="L156" i="43" s="1"/>
  <c r="M156" i="43" s="1"/>
  <c r="N156" i="43" s="1"/>
  <c r="O156" i="43" s="1"/>
  <c r="P156" i="43" s="1"/>
  <c r="Q156" i="43" s="1"/>
  <c r="R156" i="43" s="1"/>
  <c r="S156" i="43" s="1"/>
  <c r="T156" i="43" s="1"/>
  <c r="U156" i="43" s="1"/>
  <c r="V156" i="43" s="1"/>
  <c r="W156" i="43" s="1"/>
  <c r="X156" i="43" s="1"/>
  <c r="Y156" i="43" s="1"/>
  <c r="Z156" i="43" s="1"/>
  <c r="AA156" i="43" s="1"/>
  <c r="AB156" i="43" s="1"/>
  <c r="AC156" i="43" s="1"/>
  <c r="AD156" i="43" s="1"/>
  <c r="AE156" i="43" s="1"/>
  <c r="AF156" i="43" s="1"/>
  <c r="AG156" i="43" s="1"/>
  <c r="D139" i="43"/>
  <c r="E139" i="43" s="1"/>
  <c r="F139" i="43" s="1"/>
  <c r="G139" i="43" s="1"/>
  <c r="H139" i="43" s="1"/>
  <c r="I139" i="43" s="1"/>
  <c r="J139" i="43" s="1"/>
  <c r="K139" i="43" s="1"/>
  <c r="L139" i="43" s="1"/>
  <c r="M139" i="43" s="1"/>
  <c r="N139" i="43" s="1"/>
  <c r="O139" i="43" s="1"/>
  <c r="P139" i="43" s="1"/>
  <c r="Q139" i="43" s="1"/>
  <c r="R139" i="43" s="1"/>
  <c r="S139" i="43" s="1"/>
  <c r="T139" i="43" s="1"/>
  <c r="U139" i="43" s="1"/>
  <c r="V139" i="43" s="1"/>
  <c r="W139" i="43" s="1"/>
  <c r="X139" i="43" s="1"/>
  <c r="Y139" i="43" s="1"/>
  <c r="Z139" i="43" s="1"/>
  <c r="AA139" i="43" s="1"/>
  <c r="AB139" i="43" s="1"/>
  <c r="AC139" i="43" s="1"/>
  <c r="AD139" i="43" s="1"/>
  <c r="AE139" i="43" s="1"/>
  <c r="AF139" i="43" s="1"/>
  <c r="AG139" i="43" s="1"/>
  <c r="D122" i="43"/>
  <c r="E122" i="43" s="1"/>
  <c r="F122" i="43" s="1"/>
  <c r="G122" i="43" s="1"/>
  <c r="H122" i="43" s="1"/>
  <c r="I122" i="43" s="1"/>
  <c r="J122" i="43" s="1"/>
  <c r="K122" i="43" s="1"/>
  <c r="L122" i="43" s="1"/>
  <c r="M122" i="43" s="1"/>
  <c r="N122" i="43" s="1"/>
  <c r="O122" i="43" s="1"/>
  <c r="P122" i="43" s="1"/>
  <c r="Q122" i="43" s="1"/>
  <c r="R122" i="43" s="1"/>
  <c r="S122" i="43" s="1"/>
  <c r="T122" i="43" s="1"/>
  <c r="U122" i="43" s="1"/>
  <c r="V122" i="43" s="1"/>
  <c r="W122" i="43" s="1"/>
  <c r="X122" i="43" s="1"/>
  <c r="Y122" i="43" s="1"/>
  <c r="Z122" i="43" s="1"/>
  <c r="AA122" i="43" s="1"/>
  <c r="AB122" i="43" s="1"/>
  <c r="AC122" i="43" s="1"/>
  <c r="AD122" i="43" s="1"/>
  <c r="AE122" i="43" s="1"/>
  <c r="AF122" i="43" s="1"/>
  <c r="AG122" i="43" s="1"/>
  <c r="D105" i="43"/>
  <c r="E105" i="43" s="1"/>
  <c r="F105" i="43" s="1"/>
  <c r="G105" i="43" s="1"/>
  <c r="H105" i="43" s="1"/>
  <c r="I105" i="43" s="1"/>
  <c r="J105" i="43" s="1"/>
  <c r="K105" i="43" s="1"/>
  <c r="L105" i="43" s="1"/>
  <c r="M105" i="43" s="1"/>
  <c r="N105" i="43" s="1"/>
  <c r="O105" i="43" s="1"/>
  <c r="P105" i="43" s="1"/>
  <c r="Q105" i="43" s="1"/>
  <c r="R105" i="43" s="1"/>
  <c r="S105" i="43" s="1"/>
  <c r="T105" i="43" s="1"/>
  <c r="U105" i="43" s="1"/>
  <c r="V105" i="43" s="1"/>
  <c r="W105" i="43" s="1"/>
  <c r="X105" i="43" s="1"/>
  <c r="Y105" i="43" s="1"/>
  <c r="Z105" i="43" s="1"/>
  <c r="AA105" i="43" s="1"/>
  <c r="AB105" i="43" s="1"/>
  <c r="AC105" i="43" s="1"/>
  <c r="AD105" i="43" s="1"/>
  <c r="AE105" i="43" s="1"/>
  <c r="AF105" i="43" s="1"/>
  <c r="AG105" i="43" s="1"/>
  <c r="A97" i="43"/>
  <c r="A96" i="43"/>
  <c r="A166" i="43" s="1"/>
  <c r="A174" i="43" s="1"/>
  <c r="D85" i="43"/>
  <c r="E85" i="43" s="1"/>
  <c r="F85" i="43" s="1"/>
  <c r="G85" i="43" s="1"/>
  <c r="H85" i="43" s="1"/>
  <c r="I85" i="43" s="1"/>
  <c r="J85" i="43" s="1"/>
  <c r="K85" i="43" s="1"/>
  <c r="L85" i="43" s="1"/>
  <c r="M85" i="43" s="1"/>
  <c r="N85" i="43" s="1"/>
  <c r="O85" i="43" s="1"/>
  <c r="P85" i="43" s="1"/>
  <c r="Q85" i="43" s="1"/>
  <c r="R85" i="43" s="1"/>
  <c r="S85" i="43" s="1"/>
  <c r="T85" i="43" s="1"/>
  <c r="U85" i="43" s="1"/>
  <c r="V85" i="43" s="1"/>
  <c r="W85" i="43" s="1"/>
  <c r="X85" i="43" s="1"/>
  <c r="Y85" i="43" s="1"/>
  <c r="Z85" i="43" s="1"/>
  <c r="AA85" i="43" s="1"/>
  <c r="AB85" i="43" s="1"/>
  <c r="AC85" i="43" s="1"/>
  <c r="AD85" i="43" s="1"/>
  <c r="AE85" i="43" s="1"/>
  <c r="AF85" i="43" s="1"/>
  <c r="AG85" i="43" s="1"/>
  <c r="K80" i="43"/>
  <c r="H78" i="43"/>
  <c r="G78" i="43"/>
  <c r="F78" i="43"/>
  <c r="E78" i="43"/>
  <c r="C78" i="43"/>
  <c r="J75" i="43"/>
  <c r="J74" i="43"/>
  <c r="E68" i="43"/>
  <c r="D68" i="43"/>
  <c r="D60" i="43"/>
  <c r="E60" i="43" s="1"/>
  <c r="F60" i="43" s="1"/>
  <c r="G60" i="43" s="1"/>
  <c r="H60" i="43" s="1"/>
  <c r="I60" i="43" s="1"/>
  <c r="J60" i="43" s="1"/>
  <c r="K60" i="43" s="1"/>
  <c r="L60" i="43" s="1"/>
  <c r="M60" i="43" s="1"/>
  <c r="N60" i="43" s="1"/>
  <c r="O60" i="43" s="1"/>
  <c r="P60" i="43" s="1"/>
  <c r="Q60" i="43" s="1"/>
  <c r="R60" i="43" s="1"/>
  <c r="S60" i="43" s="1"/>
  <c r="T60" i="43" s="1"/>
  <c r="U60" i="43" s="1"/>
  <c r="V60" i="43" s="1"/>
  <c r="W60" i="43" s="1"/>
  <c r="X60" i="43" s="1"/>
  <c r="Y60" i="43" s="1"/>
  <c r="Z60" i="43" s="1"/>
  <c r="AA60" i="43" s="1"/>
  <c r="AB60" i="43" s="1"/>
  <c r="AC60" i="43" s="1"/>
  <c r="AD60" i="43" s="1"/>
  <c r="AE60" i="43" s="1"/>
  <c r="AF60" i="43" s="1"/>
  <c r="AG60" i="43" s="1"/>
  <c r="D59" i="43"/>
  <c r="E59" i="43" s="1"/>
  <c r="F59" i="43" s="1"/>
  <c r="G59" i="43" s="1"/>
  <c r="H59" i="43" s="1"/>
  <c r="I59" i="43" s="1"/>
  <c r="J59" i="43" s="1"/>
  <c r="K59" i="43" s="1"/>
  <c r="L59" i="43" s="1"/>
  <c r="M59" i="43" s="1"/>
  <c r="N59" i="43" s="1"/>
  <c r="O59" i="43" s="1"/>
  <c r="P59" i="43" s="1"/>
  <c r="Q59" i="43" s="1"/>
  <c r="R59" i="43" s="1"/>
  <c r="S59" i="43" s="1"/>
  <c r="T59" i="43" s="1"/>
  <c r="U59" i="43" s="1"/>
  <c r="V59" i="43" s="1"/>
  <c r="W59" i="43" s="1"/>
  <c r="X59" i="43" s="1"/>
  <c r="Y59" i="43" s="1"/>
  <c r="Z59" i="43" s="1"/>
  <c r="AA59" i="43" s="1"/>
  <c r="AB59" i="43" s="1"/>
  <c r="AC59" i="43" s="1"/>
  <c r="AD59" i="43" s="1"/>
  <c r="AE59" i="43" s="1"/>
  <c r="AF59" i="43" s="1"/>
  <c r="AG59" i="43" s="1"/>
  <c r="D57" i="43"/>
  <c r="E57" i="43" s="1"/>
  <c r="F57" i="43" s="1"/>
  <c r="G57" i="43" s="1"/>
  <c r="H57" i="43" s="1"/>
  <c r="I57" i="43" s="1"/>
  <c r="J57" i="43" s="1"/>
  <c r="K57" i="43" s="1"/>
  <c r="L57" i="43" s="1"/>
  <c r="M57" i="43" s="1"/>
  <c r="N57" i="43" s="1"/>
  <c r="O57" i="43" s="1"/>
  <c r="P57" i="43" s="1"/>
  <c r="Q57" i="43" s="1"/>
  <c r="R57" i="43" s="1"/>
  <c r="S57" i="43" s="1"/>
  <c r="T57" i="43" s="1"/>
  <c r="U57" i="43" s="1"/>
  <c r="V57" i="43" s="1"/>
  <c r="W57" i="43" s="1"/>
  <c r="X57" i="43" s="1"/>
  <c r="Y57" i="43" s="1"/>
  <c r="Z57" i="43" s="1"/>
  <c r="AA57" i="43" s="1"/>
  <c r="AB57" i="43" s="1"/>
  <c r="AC57" i="43" s="1"/>
  <c r="AD57" i="43" s="1"/>
  <c r="AE57" i="43" s="1"/>
  <c r="AF57" i="43" s="1"/>
  <c r="AG57" i="43" s="1"/>
  <c r="D56" i="43"/>
  <c r="E56" i="43" s="1"/>
  <c r="F56" i="43" s="1"/>
  <c r="G56" i="43" s="1"/>
  <c r="H56" i="43" s="1"/>
  <c r="I56" i="43" s="1"/>
  <c r="J56" i="43" s="1"/>
  <c r="K56" i="43" s="1"/>
  <c r="L56" i="43" s="1"/>
  <c r="M56" i="43" s="1"/>
  <c r="N56" i="43" s="1"/>
  <c r="O56" i="43" s="1"/>
  <c r="P56" i="43" s="1"/>
  <c r="Q56" i="43" s="1"/>
  <c r="R56" i="43" s="1"/>
  <c r="S56" i="43" s="1"/>
  <c r="T56" i="43" s="1"/>
  <c r="U56" i="43" s="1"/>
  <c r="V56" i="43" s="1"/>
  <c r="W56" i="43" s="1"/>
  <c r="X56" i="43" s="1"/>
  <c r="Y56" i="43" s="1"/>
  <c r="Z56" i="43" s="1"/>
  <c r="AA56" i="43" s="1"/>
  <c r="AB56" i="43" s="1"/>
  <c r="AC56" i="43" s="1"/>
  <c r="AD56" i="43" s="1"/>
  <c r="AE56" i="43" s="1"/>
  <c r="AF56" i="43" s="1"/>
  <c r="AG56" i="43" s="1"/>
  <c r="D55" i="43"/>
  <c r="E55" i="43" s="1"/>
  <c r="F55" i="43" s="1"/>
  <c r="G55" i="43" s="1"/>
  <c r="H55" i="43" s="1"/>
  <c r="I55" i="43" s="1"/>
  <c r="J55" i="43" s="1"/>
  <c r="K55" i="43" s="1"/>
  <c r="L55" i="43" s="1"/>
  <c r="M55" i="43" s="1"/>
  <c r="N55" i="43" s="1"/>
  <c r="O55" i="43" s="1"/>
  <c r="P55" i="43" s="1"/>
  <c r="Q55" i="43" s="1"/>
  <c r="R55" i="43" s="1"/>
  <c r="S55" i="43" s="1"/>
  <c r="T55" i="43" s="1"/>
  <c r="U55" i="43" s="1"/>
  <c r="V55" i="43" s="1"/>
  <c r="W55" i="43" s="1"/>
  <c r="X55" i="43" s="1"/>
  <c r="Y55" i="43" s="1"/>
  <c r="Z55" i="43" s="1"/>
  <c r="AA55" i="43" s="1"/>
  <c r="AB55" i="43" s="1"/>
  <c r="AC55" i="43" s="1"/>
  <c r="AD55" i="43" s="1"/>
  <c r="AE55" i="43" s="1"/>
  <c r="AF55" i="43" s="1"/>
  <c r="AG55" i="43" s="1"/>
  <c r="C52" i="43"/>
  <c r="C51" i="43"/>
  <c r="C50" i="43"/>
  <c r="D48" i="43"/>
  <c r="E48" i="43" s="1"/>
  <c r="F48" i="43" s="1"/>
  <c r="G48" i="43" s="1"/>
  <c r="H48" i="43" s="1"/>
  <c r="I48" i="43" s="1"/>
  <c r="J48" i="43" s="1"/>
  <c r="K48" i="43" s="1"/>
  <c r="L48" i="43" s="1"/>
  <c r="M48" i="43" s="1"/>
  <c r="N48" i="43" s="1"/>
  <c r="O48" i="43" s="1"/>
  <c r="P48" i="43" s="1"/>
  <c r="Q48" i="43" s="1"/>
  <c r="R48" i="43" s="1"/>
  <c r="S48" i="43" s="1"/>
  <c r="T48" i="43" s="1"/>
  <c r="U48" i="43" s="1"/>
  <c r="V48" i="43" s="1"/>
  <c r="W48" i="43" s="1"/>
  <c r="X48" i="43" s="1"/>
  <c r="Y48" i="43" s="1"/>
  <c r="Z48" i="43" s="1"/>
  <c r="AA48" i="43" s="1"/>
  <c r="AB48" i="43" s="1"/>
  <c r="AC48" i="43" s="1"/>
  <c r="AD48" i="43" s="1"/>
  <c r="AE48" i="43" s="1"/>
  <c r="AF48" i="43" s="1"/>
  <c r="AG48" i="43" s="1"/>
  <c r="C47" i="43"/>
  <c r="C53" i="43" s="1"/>
  <c r="X46" i="43"/>
  <c r="Y46" i="43" s="1"/>
  <c r="Z46" i="43" s="1"/>
  <c r="AA46" i="43" s="1"/>
  <c r="AB46" i="43" s="1"/>
  <c r="AC46" i="43" s="1"/>
  <c r="AD46" i="43" s="1"/>
  <c r="AE46" i="43" s="1"/>
  <c r="AF46" i="43" s="1"/>
  <c r="AG46" i="43" s="1"/>
  <c r="T46" i="43"/>
  <c r="U46" i="43" s="1"/>
  <c r="V46" i="43" s="1"/>
  <c r="O46" i="43"/>
  <c r="P46" i="43" s="1"/>
  <c r="Q46" i="43" s="1"/>
  <c r="R46" i="43" s="1"/>
  <c r="J46" i="43"/>
  <c r="K46" i="43" s="1"/>
  <c r="L46" i="43" s="1"/>
  <c r="M46" i="43" s="1"/>
  <c r="D46" i="43"/>
  <c r="E46" i="43" s="1"/>
  <c r="F46" i="43" s="1"/>
  <c r="G46" i="43" s="1"/>
  <c r="H46" i="43" s="1"/>
  <c r="D45" i="43"/>
  <c r="E45" i="43" s="1"/>
  <c r="D44" i="43"/>
  <c r="E44" i="43" s="1"/>
  <c r="F44" i="43" s="1"/>
  <c r="D43" i="43"/>
  <c r="C42" i="43"/>
  <c r="D42" i="43" s="1"/>
  <c r="E42" i="43" s="1"/>
  <c r="F42" i="43" s="1"/>
  <c r="G42" i="43" s="1"/>
  <c r="H42" i="43" s="1"/>
  <c r="I42" i="43" s="1"/>
  <c r="J42" i="43" s="1"/>
  <c r="K42" i="43" s="1"/>
  <c r="L42" i="43" s="1"/>
  <c r="M42" i="43" s="1"/>
  <c r="N42" i="43" s="1"/>
  <c r="O42" i="43" s="1"/>
  <c r="P42" i="43" s="1"/>
  <c r="Q42" i="43" s="1"/>
  <c r="R42" i="43" s="1"/>
  <c r="S42" i="43" s="1"/>
  <c r="T42" i="43" s="1"/>
  <c r="U42" i="43" s="1"/>
  <c r="V42" i="43" s="1"/>
  <c r="W42" i="43" s="1"/>
  <c r="X42" i="43" s="1"/>
  <c r="Y42" i="43" s="1"/>
  <c r="Z42" i="43" s="1"/>
  <c r="AA42" i="43" s="1"/>
  <c r="AB42" i="43" s="1"/>
  <c r="AC42" i="43" s="1"/>
  <c r="AD42" i="43" s="1"/>
  <c r="AE42" i="43" s="1"/>
  <c r="AF42" i="43" s="1"/>
  <c r="AG42" i="43" s="1"/>
  <c r="D41" i="43"/>
  <c r="E41" i="43" s="1"/>
  <c r="D40" i="43"/>
  <c r="E40" i="43" s="1"/>
  <c r="F40" i="43" s="1"/>
  <c r="G40" i="43" s="1"/>
  <c r="H40" i="43" s="1"/>
  <c r="I40" i="43" s="1"/>
  <c r="J40" i="43" s="1"/>
  <c r="K40" i="43" s="1"/>
  <c r="L40" i="43" s="1"/>
  <c r="M40" i="43" s="1"/>
  <c r="N40" i="43" s="1"/>
  <c r="O40" i="43" s="1"/>
  <c r="P40" i="43" s="1"/>
  <c r="Q40" i="43" s="1"/>
  <c r="R40" i="43" s="1"/>
  <c r="S40" i="43" s="1"/>
  <c r="T40" i="43" s="1"/>
  <c r="U40" i="43" s="1"/>
  <c r="V40" i="43" s="1"/>
  <c r="W40" i="43" s="1"/>
  <c r="X40" i="43" s="1"/>
  <c r="Y40" i="43" s="1"/>
  <c r="Z40" i="43" s="1"/>
  <c r="AA40" i="43" s="1"/>
  <c r="AB40" i="43" s="1"/>
  <c r="AC40" i="43" s="1"/>
  <c r="AD40" i="43" s="1"/>
  <c r="AE40" i="43" s="1"/>
  <c r="AF40" i="43" s="1"/>
  <c r="AG40" i="43" s="1"/>
  <c r="D39" i="43"/>
  <c r="D38" i="43"/>
  <c r="E38" i="43" s="1"/>
  <c r="F38" i="43" s="1"/>
  <c r="G38" i="43" s="1"/>
  <c r="H38" i="43" s="1"/>
  <c r="I38" i="43" s="1"/>
  <c r="J38" i="43" s="1"/>
  <c r="K38" i="43" s="1"/>
  <c r="L38" i="43" s="1"/>
  <c r="M38" i="43" s="1"/>
  <c r="N38" i="43" s="1"/>
  <c r="O38" i="43" s="1"/>
  <c r="P38" i="43" s="1"/>
  <c r="Q38" i="43" s="1"/>
  <c r="R38" i="43" s="1"/>
  <c r="S38" i="43" s="1"/>
  <c r="T38" i="43" s="1"/>
  <c r="U38" i="43" s="1"/>
  <c r="V38" i="43" s="1"/>
  <c r="W38" i="43" s="1"/>
  <c r="X38" i="43" s="1"/>
  <c r="Y38" i="43" s="1"/>
  <c r="Z38" i="43" s="1"/>
  <c r="AA38" i="43" s="1"/>
  <c r="AB38" i="43" s="1"/>
  <c r="AC38" i="43" s="1"/>
  <c r="AD38" i="43" s="1"/>
  <c r="AE38" i="43" s="1"/>
  <c r="AF38" i="43" s="1"/>
  <c r="AG38" i="43" s="1"/>
  <c r="L10" i="43"/>
  <c r="K10" i="43"/>
  <c r="L9" i="43"/>
  <c r="L11" i="43" s="1"/>
  <c r="K9" i="43"/>
  <c r="K11" i="43" s="1"/>
  <c r="J9" i="43"/>
  <c r="J11" i="43" s="1"/>
  <c r="I9" i="43"/>
  <c r="I11" i="43" s="1"/>
  <c r="G79" i="42"/>
  <c r="C80" i="42"/>
  <c r="C30" i="42"/>
  <c r="C28" i="42"/>
  <c r="C27" i="42"/>
  <c r="C15" i="42"/>
  <c r="C65" i="42" s="1"/>
  <c r="C11" i="42"/>
  <c r="C86" i="42" s="1"/>
  <c r="C107" i="42" s="1"/>
  <c r="A221" i="42"/>
  <c r="D220" i="42"/>
  <c r="E220" i="42" s="1"/>
  <c r="F220" i="42" s="1"/>
  <c r="G220" i="42" s="1"/>
  <c r="H220" i="42" s="1"/>
  <c r="I220" i="42" s="1"/>
  <c r="J220" i="42" s="1"/>
  <c r="K220" i="42" s="1"/>
  <c r="L220" i="42" s="1"/>
  <c r="M220" i="42" s="1"/>
  <c r="N220" i="42" s="1"/>
  <c r="O220" i="42" s="1"/>
  <c r="P220" i="42" s="1"/>
  <c r="Q220" i="42" s="1"/>
  <c r="R220" i="42" s="1"/>
  <c r="S220" i="42" s="1"/>
  <c r="T220" i="42" s="1"/>
  <c r="U220" i="42" s="1"/>
  <c r="V220" i="42" s="1"/>
  <c r="W220" i="42" s="1"/>
  <c r="X220" i="42" s="1"/>
  <c r="Y220" i="42" s="1"/>
  <c r="Z220" i="42" s="1"/>
  <c r="AA220" i="42" s="1"/>
  <c r="AB220" i="42" s="1"/>
  <c r="AC220" i="42" s="1"/>
  <c r="AD220" i="42" s="1"/>
  <c r="AE220" i="42" s="1"/>
  <c r="AF220" i="42" s="1"/>
  <c r="AG220" i="42" s="1"/>
  <c r="B214" i="42"/>
  <c r="D213" i="42"/>
  <c r="E213" i="42" s="1"/>
  <c r="F213" i="42" s="1"/>
  <c r="G213" i="42" s="1"/>
  <c r="H213" i="42" s="1"/>
  <c r="I213" i="42" s="1"/>
  <c r="J213" i="42" s="1"/>
  <c r="K213" i="42" s="1"/>
  <c r="L213" i="42" s="1"/>
  <c r="M213" i="42" s="1"/>
  <c r="N213" i="42" s="1"/>
  <c r="O213" i="42" s="1"/>
  <c r="P213" i="42" s="1"/>
  <c r="Q213" i="42" s="1"/>
  <c r="R213" i="42" s="1"/>
  <c r="S213" i="42" s="1"/>
  <c r="T213" i="42" s="1"/>
  <c r="U213" i="42" s="1"/>
  <c r="V213" i="42" s="1"/>
  <c r="W213" i="42" s="1"/>
  <c r="X213" i="42" s="1"/>
  <c r="Y213" i="42" s="1"/>
  <c r="Z213" i="42" s="1"/>
  <c r="AA213" i="42" s="1"/>
  <c r="AB213" i="42" s="1"/>
  <c r="AC213" i="42" s="1"/>
  <c r="AD213" i="42" s="1"/>
  <c r="AE213" i="42" s="1"/>
  <c r="AF213" i="42" s="1"/>
  <c r="AG213" i="42" s="1"/>
  <c r="A210" i="42"/>
  <c r="A223" i="42" s="1"/>
  <c r="A209" i="42"/>
  <c r="A216" i="42" s="1"/>
  <c r="B216" i="42" s="1"/>
  <c r="A208" i="42"/>
  <c r="A222" i="42" s="1"/>
  <c r="A205" i="42"/>
  <c r="A214" i="42" s="1"/>
  <c r="D204" i="42"/>
  <c r="E204" i="42" s="1"/>
  <c r="F204" i="42" s="1"/>
  <c r="G204" i="42" s="1"/>
  <c r="H204" i="42" s="1"/>
  <c r="I204" i="42" s="1"/>
  <c r="J204" i="42" s="1"/>
  <c r="K204" i="42" s="1"/>
  <c r="L204" i="42" s="1"/>
  <c r="M204" i="42" s="1"/>
  <c r="N204" i="42" s="1"/>
  <c r="O204" i="42" s="1"/>
  <c r="P204" i="42" s="1"/>
  <c r="Q204" i="42" s="1"/>
  <c r="R204" i="42" s="1"/>
  <c r="S204" i="42" s="1"/>
  <c r="T204" i="42" s="1"/>
  <c r="U204" i="42" s="1"/>
  <c r="V204" i="42" s="1"/>
  <c r="W204" i="42" s="1"/>
  <c r="X204" i="42" s="1"/>
  <c r="Y204" i="42" s="1"/>
  <c r="Z204" i="42" s="1"/>
  <c r="AA204" i="42" s="1"/>
  <c r="AB204" i="42" s="1"/>
  <c r="AC204" i="42" s="1"/>
  <c r="AD204" i="42" s="1"/>
  <c r="AE204" i="42" s="1"/>
  <c r="AF204" i="42" s="1"/>
  <c r="AG204" i="42" s="1"/>
  <c r="D183" i="42"/>
  <c r="E183" i="42" s="1"/>
  <c r="F183" i="42" s="1"/>
  <c r="G183" i="42" s="1"/>
  <c r="H183" i="42" s="1"/>
  <c r="I183" i="42" s="1"/>
  <c r="J183" i="42" s="1"/>
  <c r="K183" i="42" s="1"/>
  <c r="L183" i="42" s="1"/>
  <c r="M183" i="42" s="1"/>
  <c r="N183" i="42" s="1"/>
  <c r="O183" i="42" s="1"/>
  <c r="P183" i="42" s="1"/>
  <c r="Q183" i="42" s="1"/>
  <c r="R183" i="42" s="1"/>
  <c r="S183" i="42" s="1"/>
  <c r="T183" i="42" s="1"/>
  <c r="U183" i="42" s="1"/>
  <c r="V183" i="42" s="1"/>
  <c r="W183" i="42" s="1"/>
  <c r="X183" i="42" s="1"/>
  <c r="Y183" i="42" s="1"/>
  <c r="Z183" i="42" s="1"/>
  <c r="AA183" i="42" s="1"/>
  <c r="AB183" i="42" s="1"/>
  <c r="AC183" i="42" s="1"/>
  <c r="AD183" i="42" s="1"/>
  <c r="AE183" i="42" s="1"/>
  <c r="AF183" i="42" s="1"/>
  <c r="AG183" i="42" s="1"/>
  <c r="A175" i="42"/>
  <c r="B167" i="42"/>
  <c r="B175" i="42" s="1"/>
  <c r="F163" i="42"/>
  <c r="E163" i="42"/>
  <c r="D163" i="42"/>
  <c r="C163" i="42"/>
  <c r="D156" i="42"/>
  <c r="E156" i="42" s="1"/>
  <c r="F156" i="42" s="1"/>
  <c r="G156" i="42" s="1"/>
  <c r="H156" i="42" s="1"/>
  <c r="I156" i="42" s="1"/>
  <c r="J156" i="42" s="1"/>
  <c r="K156" i="42" s="1"/>
  <c r="L156" i="42" s="1"/>
  <c r="M156" i="42" s="1"/>
  <c r="N156" i="42" s="1"/>
  <c r="O156" i="42" s="1"/>
  <c r="P156" i="42" s="1"/>
  <c r="Q156" i="42" s="1"/>
  <c r="R156" i="42" s="1"/>
  <c r="S156" i="42" s="1"/>
  <c r="T156" i="42" s="1"/>
  <c r="U156" i="42" s="1"/>
  <c r="V156" i="42" s="1"/>
  <c r="W156" i="42" s="1"/>
  <c r="X156" i="42" s="1"/>
  <c r="Y156" i="42" s="1"/>
  <c r="Z156" i="42" s="1"/>
  <c r="AA156" i="42" s="1"/>
  <c r="AB156" i="42" s="1"/>
  <c r="AC156" i="42" s="1"/>
  <c r="AD156" i="42" s="1"/>
  <c r="AE156" i="42" s="1"/>
  <c r="AF156" i="42" s="1"/>
  <c r="AG156" i="42" s="1"/>
  <c r="D139" i="42"/>
  <c r="E139" i="42" s="1"/>
  <c r="F139" i="42" s="1"/>
  <c r="G139" i="42" s="1"/>
  <c r="H139" i="42" s="1"/>
  <c r="I139" i="42" s="1"/>
  <c r="J139" i="42" s="1"/>
  <c r="K139" i="42" s="1"/>
  <c r="L139" i="42" s="1"/>
  <c r="M139" i="42" s="1"/>
  <c r="N139" i="42" s="1"/>
  <c r="O139" i="42" s="1"/>
  <c r="P139" i="42" s="1"/>
  <c r="Q139" i="42" s="1"/>
  <c r="R139" i="42" s="1"/>
  <c r="S139" i="42" s="1"/>
  <c r="T139" i="42" s="1"/>
  <c r="U139" i="42" s="1"/>
  <c r="V139" i="42" s="1"/>
  <c r="W139" i="42" s="1"/>
  <c r="X139" i="42" s="1"/>
  <c r="Y139" i="42" s="1"/>
  <c r="Z139" i="42" s="1"/>
  <c r="AA139" i="42" s="1"/>
  <c r="AB139" i="42" s="1"/>
  <c r="AC139" i="42" s="1"/>
  <c r="AD139" i="42" s="1"/>
  <c r="AE139" i="42" s="1"/>
  <c r="AF139" i="42" s="1"/>
  <c r="AG139" i="42" s="1"/>
  <c r="D122" i="42"/>
  <c r="E122" i="42" s="1"/>
  <c r="F122" i="42" s="1"/>
  <c r="G122" i="42" s="1"/>
  <c r="H122" i="42" s="1"/>
  <c r="I122" i="42" s="1"/>
  <c r="J122" i="42" s="1"/>
  <c r="K122" i="42" s="1"/>
  <c r="L122" i="42" s="1"/>
  <c r="M122" i="42" s="1"/>
  <c r="N122" i="42" s="1"/>
  <c r="O122" i="42" s="1"/>
  <c r="P122" i="42" s="1"/>
  <c r="Q122" i="42" s="1"/>
  <c r="R122" i="42" s="1"/>
  <c r="S122" i="42" s="1"/>
  <c r="T122" i="42" s="1"/>
  <c r="U122" i="42" s="1"/>
  <c r="V122" i="42" s="1"/>
  <c r="W122" i="42" s="1"/>
  <c r="X122" i="42" s="1"/>
  <c r="Y122" i="42" s="1"/>
  <c r="Z122" i="42" s="1"/>
  <c r="AA122" i="42" s="1"/>
  <c r="AB122" i="42" s="1"/>
  <c r="AC122" i="42" s="1"/>
  <c r="AD122" i="42" s="1"/>
  <c r="AE122" i="42" s="1"/>
  <c r="AF122" i="42" s="1"/>
  <c r="AG122" i="42" s="1"/>
  <c r="D105" i="42"/>
  <c r="E105" i="42" s="1"/>
  <c r="F105" i="42" s="1"/>
  <c r="G105" i="42" s="1"/>
  <c r="H105" i="42" s="1"/>
  <c r="I105" i="42" s="1"/>
  <c r="J105" i="42" s="1"/>
  <c r="K105" i="42" s="1"/>
  <c r="L105" i="42" s="1"/>
  <c r="M105" i="42" s="1"/>
  <c r="N105" i="42" s="1"/>
  <c r="O105" i="42" s="1"/>
  <c r="P105" i="42" s="1"/>
  <c r="Q105" i="42" s="1"/>
  <c r="R105" i="42" s="1"/>
  <c r="S105" i="42" s="1"/>
  <c r="T105" i="42" s="1"/>
  <c r="U105" i="42" s="1"/>
  <c r="V105" i="42" s="1"/>
  <c r="W105" i="42" s="1"/>
  <c r="X105" i="42" s="1"/>
  <c r="Y105" i="42" s="1"/>
  <c r="Z105" i="42" s="1"/>
  <c r="AA105" i="42" s="1"/>
  <c r="AB105" i="42" s="1"/>
  <c r="AC105" i="42" s="1"/>
  <c r="AD105" i="42" s="1"/>
  <c r="AE105" i="42" s="1"/>
  <c r="AF105" i="42" s="1"/>
  <c r="AG105" i="42" s="1"/>
  <c r="A97" i="42"/>
  <c r="A96" i="42"/>
  <c r="A166" i="42" s="1"/>
  <c r="A174" i="42" s="1"/>
  <c r="D85" i="42"/>
  <c r="E85" i="42" s="1"/>
  <c r="F85" i="42" s="1"/>
  <c r="G85" i="42" s="1"/>
  <c r="H85" i="42" s="1"/>
  <c r="I85" i="42" s="1"/>
  <c r="J85" i="42" s="1"/>
  <c r="K85" i="42" s="1"/>
  <c r="L85" i="42" s="1"/>
  <c r="M85" i="42" s="1"/>
  <c r="N85" i="42" s="1"/>
  <c r="O85" i="42" s="1"/>
  <c r="P85" i="42" s="1"/>
  <c r="Q85" i="42" s="1"/>
  <c r="R85" i="42" s="1"/>
  <c r="S85" i="42" s="1"/>
  <c r="T85" i="42" s="1"/>
  <c r="U85" i="42" s="1"/>
  <c r="V85" i="42" s="1"/>
  <c r="W85" i="42" s="1"/>
  <c r="X85" i="42" s="1"/>
  <c r="Y85" i="42" s="1"/>
  <c r="Z85" i="42" s="1"/>
  <c r="AA85" i="42" s="1"/>
  <c r="AB85" i="42" s="1"/>
  <c r="AC85" i="42" s="1"/>
  <c r="AD85" i="42" s="1"/>
  <c r="AE85" i="42" s="1"/>
  <c r="AF85" i="42" s="1"/>
  <c r="AG85" i="42" s="1"/>
  <c r="K80" i="42"/>
  <c r="H78" i="42"/>
  <c r="G78" i="42"/>
  <c r="F78" i="42"/>
  <c r="E78" i="42"/>
  <c r="C78" i="42"/>
  <c r="J75" i="42"/>
  <c r="J74" i="42"/>
  <c r="F73" i="42"/>
  <c r="D68" i="42"/>
  <c r="E68" i="42" s="1"/>
  <c r="F68" i="42" s="1"/>
  <c r="C69" i="42"/>
  <c r="D60" i="42"/>
  <c r="E60" i="42" s="1"/>
  <c r="F60" i="42" s="1"/>
  <c r="G60" i="42" s="1"/>
  <c r="H60" i="42" s="1"/>
  <c r="I60" i="42" s="1"/>
  <c r="J60" i="42" s="1"/>
  <c r="K60" i="42" s="1"/>
  <c r="L60" i="42" s="1"/>
  <c r="M60" i="42" s="1"/>
  <c r="N60" i="42" s="1"/>
  <c r="O60" i="42" s="1"/>
  <c r="P60" i="42" s="1"/>
  <c r="Q60" i="42" s="1"/>
  <c r="R60" i="42" s="1"/>
  <c r="S60" i="42" s="1"/>
  <c r="T60" i="42" s="1"/>
  <c r="U60" i="42" s="1"/>
  <c r="V60" i="42" s="1"/>
  <c r="D59" i="42"/>
  <c r="E59" i="42" s="1"/>
  <c r="F59" i="42" s="1"/>
  <c r="G59" i="42" s="1"/>
  <c r="H59" i="42" s="1"/>
  <c r="I59" i="42" s="1"/>
  <c r="J59" i="42" s="1"/>
  <c r="K59" i="42" s="1"/>
  <c r="L59" i="42" s="1"/>
  <c r="M59" i="42" s="1"/>
  <c r="N59" i="42" s="1"/>
  <c r="O59" i="42" s="1"/>
  <c r="P59" i="42" s="1"/>
  <c r="Q59" i="42" s="1"/>
  <c r="R59" i="42" s="1"/>
  <c r="S59" i="42" s="1"/>
  <c r="T59" i="42" s="1"/>
  <c r="U59" i="42" s="1"/>
  <c r="V59" i="42" s="1"/>
  <c r="W59" i="42" s="1"/>
  <c r="X59" i="42" s="1"/>
  <c r="Y59" i="42" s="1"/>
  <c r="Z59" i="42" s="1"/>
  <c r="AA59" i="42" s="1"/>
  <c r="AB59" i="42" s="1"/>
  <c r="AC59" i="42" s="1"/>
  <c r="AD59" i="42" s="1"/>
  <c r="AE59" i="42" s="1"/>
  <c r="AF59" i="42" s="1"/>
  <c r="AG59" i="42" s="1"/>
  <c r="D57" i="42"/>
  <c r="E57" i="42" s="1"/>
  <c r="F57" i="42" s="1"/>
  <c r="G57" i="42" s="1"/>
  <c r="H57" i="42" s="1"/>
  <c r="I57" i="42" s="1"/>
  <c r="J57" i="42" s="1"/>
  <c r="K57" i="42" s="1"/>
  <c r="L57" i="42" s="1"/>
  <c r="M57" i="42" s="1"/>
  <c r="N57" i="42" s="1"/>
  <c r="O57" i="42" s="1"/>
  <c r="P57" i="42" s="1"/>
  <c r="Q57" i="42" s="1"/>
  <c r="R57" i="42" s="1"/>
  <c r="S57" i="42" s="1"/>
  <c r="T57" i="42" s="1"/>
  <c r="U57" i="42" s="1"/>
  <c r="V57" i="42" s="1"/>
  <c r="W57" i="42" s="1"/>
  <c r="X57" i="42" s="1"/>
  <c r="Y57" i="42" s="1"/>
  <c r="Z57" i="42" s="1"/>
  <c r="AA57" i="42" s="1"/>
  <c r="AB57" i="42" s="1"/>
  <c r="AC57" i="42" s="1"/>
  <c r="AD57" i="42" s="1"/>
  <c r="AE57" i="42" s="1"/>
  <c r="AF57" i="42" s="1"/>
  <c r="AG57" i="42" s="1"/>
  <c r="D56" i="42"/>
  <c r="E56" i="42" s="1"/>
  <c r="F56" i="42" s="1"/>
  <c r="G56" i="42" s="1"/>
  <c r="H56" i="42" s="1"/>
  <c r="I56" i="42" s="1"/>
  <c r="J56" i="42" s="1"/>
  <c r="K56" i="42" s="1"/>
  <c r="L56" i="42" s="1"/>
  <c r="M56" i="42" s="1"/>
  <c r="N56" i="42" s="1"/>
  <c r="O56" i="42" s="1"/>
  <c r="P56" i="42" s="1"/>
  <c r="Q56" i="42" s="1"/>
  <c r="R56" i="42" s="1"/>
  <c r="S56" i="42" s="1"/>
  <c r="T56" i="42" s="1"/>
  <c r="U56" i="42" s="1"/>
  <c r="V56" i="42" s="1"/>
  <c r="W56" i="42" s="1"/>
  <c r="X56" i="42" s="1"/>
  <c r="Y56" i="42" s="1"/>
  <c r="Z56" i="42" s="1"/>
  <c r="AA56" i="42" s="1"/>
  <c r="AB56" i="42" s="1"/>
  <c r="AC56" i="42" s="1"/>
  <c r="AD56" i="42" s="1"/>
  <c r="AE56" i="42" s="1"/>
  <c r="AF56" i="42" s="1"/>
  <c r="AG56" i="42" s="1"/>
  <c r="D55" i="42"/>
  <c r="E55" i="42" s="1"/>
  <c r="F55" i="42" s="1"/>
  <c r="G55" i="42" s="1"/>
  <c r="H55" i="42" s="1"/>
  <c r="I55" i="42" s="1"/>
  <c r="J55" i="42" s="1"/>
  <c r="K55" i="42" s="1"/>
  <c r="L55" i="42" s="1"/>
  <c r="M55" i="42" s="1"/>
  <c r="N55" i="42" s="1"/>
  <c r="O55" i="42" s="1"/>
  <c r="P55" i="42" s="1"/>
  <c r="Q55" i="42" s="1"/>
  <c r="R55" i="42" s="1"/>
  <c r="S55" i="42" s="1"/>
  <c r="T55" i="42" s="1"/>
  <c r="U55" i="42" s="1"/>
  <c r="V55" i="42" s="1"/>
  <c r="W55" i="42" s="1"/>
  <c r="X55" i="42" s="1"/>
  <c r="Y55" i="42" s="1"/>
  <c r="Z55" i="42" s="1"/>
  <c r="AA55" i="42" s="1"/>
  <c r="AB55" i="42" s="1"/>
  <c r="AC55" i="42" s="1"/>
  <c r="AD55" i="42" s="1"/>
  <c r="AE55" i="42" s="1"/>
  <c r="AF55" i="42" s="1"/>
  <c r="AG55" i="42" s="1"/>
  <c r="C52" i="42"/>
  <c r="C51" i="42"/>
  <c r="C50" i="42"/>
  <c r="D48" i="42"/>
  <c r="E48" i="42" s="1"/>
  <c r="C47" i="42"/>
  <c r="C53" i="42" s="1"/>
  <c r="Y46" i="42"/>
  <c r="Z46" i="42" s="1"/>
  <c r="AA46" i="42" s="1"/>
  <c r="AB46" i="42" s="1"/>
  <c r="AC46" i="42" s="1"/>
  <c r="AD46" i="42" s="1"/>
  <c r="AE46" i="42" s="1"/>
  <c r="AF46" i="42" s="1"/>
  <c r="AG46" i="42" s="1"/>
  <c r="X46" i="42"/>
  <c r="T46" i="42"/>
  <c r="U46" i="42" s="1"/>
  <c r="V46" i="42" s="1"/>
  <c r="O46" i="42"/>
  <c r="P46" i="42" s="1"/>
  <c r="Q46" i="42" s="1"/>
  <c r="R46" i="42" s="1"/>
  <c r="J46" i="42"/>
  <c r="K46" i="42" s="1"/>
  <c r="L46" i="42" s="1"/>
  <c r="M46" i="42" s="1"/>
  <c r="D46" i="42"/>
  <c r="E46" i="42" s="1"/>
  <c r="F46" i="42" s="1"/>
  <c r="G46" i="42" s="1"/>
  <c r="H46" i="42" s="1"/>
  <c r="D45" i="42"/>
  <c r="E45" i="42" s="1"/>
  <c r="D44" i="42"/>
  <c r="E44" i="42" s="1"/>
  <c r="F44" i="42" s="1"/>
  <c r="D43" i="42"/>
  <c r="E43" i="42" s="1"/>
  <c r="C42" i="42"/>
  <c r="D42" i="42" s="1"/>
  <c r="E42" i="42" s="1"/>
  <c r="F42" i="42" s="1"/>
  <c r="G42" i="42" s="1"/>
  <c r="H42" i="42" s="1"/>
  <c r="I42" i="42" s="1"/>
  <c r="J42" i="42" s="1"/>
  <c r="K42" i="42" s="1"/>
  <c r="L42" i="42" s="1"/>
  <c r="M42" i="42" s="1"/>
  <c r="N42" i="42" s="1"/>
  <c r="O42" i="42" s="1"/>
  <c r="P42" i="42" s="1"/>
  <c r="Q42" i="42" s="1"/>
  <c r="R42" i="42" s="1"/>
  <c r="S42" i="42" s="1"/>
  <c r="T42" i="42" s="1"/>
  <c r="U42" i="42" s="1"/>
  <c r="V42" i="42" s="1"/>
  <c r="W42" i="42" s="1"/>
  <c r="X42" i="42" s="1"/>
  <c r="Y42" i="42" s="1"/>
  <c r="Z42" i="42" s="1"/>
  <c r="AA42" i="42" s="1"/>
  <c r="AB42" i="42" s="1"/>
  <c r="AC42" i="42" s="1"/>
  <c r="AD42" i="42" s="1"/>
  <c r="AE42" i="42" s="1"/>
  <c r="AF42" i="42" s="1"/>
  <c r="AG42" i="42" s="1"/>
  <c r="D41" i="42"/>
  <c r="E40" i="42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AG40" i="42" s="1"/>
  <c r="D40" i="42"/>
  <c r="D39" i="42"/>
  <c r="E39" i="42" s="1"/>
  <c r="D38" i="42"/>
  <c r="E38" i="42" s="1"/>
  <c r="F38" i="42" s="1"/>
  <c r="G38" i="42" s="1"/>
  <c r="H38" i="42" s="1"/>
  <c r="I38" i="42" s="1"/>
  <c r="J38" i="42" s="1"/>
  <c r="K38" i="42" s="1"/>
  <c r="L38" i="42" s="1"/>
  <c r="M38" i="42" s="1"/>
  <c r="N38" i="42" s="1"/>
  <c r="O38" i="42" s="1"/>
  <c r="P38" i="42" s="1"/>
  <c r="Q38" i="42" s="1"/>
  <c r="R38" i="42" s="1"/>
  <c r="S38" i="42" s="1"/>
  <c r="T38" i="42" s="1"/>
  <c r="U38" i="42" s="1"/>
  <c r="V38" i="42" s="1"/>
  <c r="W38" i="42" s="1"/>
  <c r="X38" i="42" s="1"/>
  <c r="Y38" i="42" s="1"/>
  <c r="Z38" i="42" s="1"/>
  <c r="AA38" i="42" s="1"/>
  <c r="AB38" i="42" s="1"/>
  <c r="AC38" i="42" s="1"/>
  <c r="AD38" i="42" s="1"/>
  <c r="AE38" i="42" s="1"/>
  <c r="AF38" i="42" s="1"/>
  <c r="AG38" i="42" s="1"/>
  <c r="C24" i="42"/>
  <c r="C26" i="42" s="1"/>
  <c r="C22" i="42"/>
  <c r="C21" i="42"/>
  <c r="C19" i="42"/>
  <c r="G81" i="42" s="1"/>
  <c r="C16" i="42"/>
  <c r="C12" i="42"/>
  <c r="C159" i="42" s="1"/>
  <c r="D159" i="42" s="1"/>
  <c r="E159" i="42" s="1"/>
  <c r="F159" i="42" s="1"/>
  <c r="G159" i="42" s="1"/>
  <c r="H159" i="42" s="1"/>
  <c r="I159" i="42" s="1"/>
  <c r="J159" i="42" s="1"/>
  <c r="K159" i="42" s="1"/>
  <c r="L159" i="42" s="1"/>
  <c r="M159" i="42" s="1"/>
  <c r="N159" i="42" s="1"/>
  <c r="O159" i="42" s="1"/>
  <c r="P159" i="42" s="1"/>
  <c r="Q159" i="42" s="1"/>
  <c r="R159" i="42" s="1"/>
  <c r="S159" i="42" s="1"/>
  <c r="T159" i="42" s="1"/>
  <c r="U159" i="42" s="1"/>
  <c r="V159" i="42" s="1"/>
  <c r="W159" i="42" s="1"/>
  <c r="X159" i="42" s="1"/>
  <c r="Y159" i="42" s="1"/>
  <c r="Z159" i="42" s="1"/>
  <c r="AA159" i="42" s="1"/>
  <c r="AB159" i="42" s="1"/>
  <c r="AC159" i="42" s="1"/>
  <c r="AD159" i="42" s="1"/>
  <c r="AE159" i="42" s="1"/>
  <c r="AF159" i="42" s="1"/>
  <c r="AG159" i="42" s="1"/>
  <c r="J11" i="42"/>
  <c r="L10" i="42"/>
  <c r="K10" i="42"/>
  <c r="L9" i="42"/>
  <c r="L11" i="42" s="1"/>
  <c r="K9" i="42"/>
  <c r="K11" i="42" s="1"/>
  <c r="J9" i="42"/>
  <c r="I9" i="42"/>
  <c r="I11" i="42" s="1"/>
  <c r="G80" i="41"/>
  <c r="C81" i="41"/>
  <c r="F81" i="41" s="1"/>
  <c r="F74" i="41"/>
  <c r="C30" i="41"/>
  <c r="C28" i="41"/>
  <c r="C27" i="41"/>
  <c r="C24" i="41"/>
  <c r="C26" i="41" s="1"/>
  <c r="C22" i="41"/>
  <c r="C21" i="41"/>
  <c r="C19" i="41"/>
  <c r="G82" i="41" s="1"/>
  <c r="C16" i="41"/>
  <c r="C15" i="41"/>
  <c r="C66" i="41" s="1"/>
  <c r="C12" i="41"/>
  <c r="C160" i="41" s="1"/>
  <c r="D160" i="41" s="1"/>
  <c r="E160" i="41" s="1"/>
  <c r="F160" i="41" s="1"/>
  <c r="G160" i="41" s="1"/>
  <c r="H160" i="41" s="1"/>
  <c r="I160" i="41" s="1"/>
  <c r="J160" i="41" s="1"/>
  <c r="K160" i="41" s="1"/>
  <c r="L160" i="41" s="1"/>
  <c r="M160" i="41" s="1"/>
  <c r="N160" i="41" s="1"/>
  <c r="O160" i="41" s="1"/>
  <c r="P160" i="41" s="1"/>
  <c r="Q160" i="41" s="1"/>
  <c r="R160" i="41" s="1"/>
  <c r="S160" i="41" s="1"/>
  <c r="T160" i="41" s="1"/>
  <c r="U160" i="41" s="1"/>
  <c r="V160" i="41" s="1"/>
  <c r="W160" i="41" s="1"/>
  <c r="X160" i="41" s="1"/>
  <c r="Y160" i="41" s="1"/>
  <c r="Z160" i="41" s="1"/>
  <c r="AA160" i="41" s="1"/>
  <c r="AB160" i="41" s="1"/>
  <c r="AC160" i="41" s="1"/>
  <c r="AD160" i="41" s="1"/>
  <c r="AE160" i="41" s="1"/>
  <c r="AF160" i="41" s="1"/>
  <c r="AG160" i="41" s="1"/>
  <c r="C11" i="41"/>
  <c r="C87" i="41" s="1"/>
  <c r="C108" i="41" s="1"/>
  <c r="A224" i="41"/>
  <c r="A223" i="41"/>
  <c r="D221" i="41"/>
  <c r="E221" i="41" s="1"/>
  <c r="F221" i="41" s="1"/>
  <c r="G221" i="41" s="1"/>
  <c r="H221" i="41" s="1"/>
  <c r="I221" i="41" s="1"/>
  <c r="J221" i="41" s="1"/>
  <c r="K221" i="41" s="1"/>
  <c r="L221" i="41" s="1"/>
  <c r="M221" i="41" s="1"/>
  <c r="N221" i="41" s="1"/>
  <c r="O221" i="41" s="1"/>
  <c r="P221" i="41" s="1"/>
  <c r="Q221" i="41" s="1"/>
  <c r="R221" i="41" s="1"/>
  <c r="S221" i="41" s="1"/>
  <c r="T221" i="41" s="1"/>
  <c r="U221" i="41" s="1"/>
  <c r="V221" i="41" s="1"/>
  <c r="W221" i="41" s="1"/>
  <c r="X221" i="41" s="1"/>
  <c r="Y221" i="41" s="1"/>
  <c r="Z221" i="41" s="1"/>
  <c r="AA221" i="41" s="1"/>
  <c r="AB221" i="41" s="1"/>
  <c r="AC221" i="41" s="1"/>
  <c r="AD221" i="41" s="1"/>
  <c r="AE221" i="41" s="1"/>
  <c r="AF221" i="41" s="1"/>
  <c r="AG221" i="41" s="1"/>
  <c r="D214" i="41"/>
  <c r="E214" i="41" s="1"/>
  <c r="F214" i="41" s="1"/>
  <c r="G214" i="41" s="1"/>
  <c r="H214" i="41" s="1"/>
  <c r="I214" i="41" s="1"/>
  <c r="J214" i="41" s="1"/>
  <c r="K214" i="41" s="1"/>
  <c r="L214" i="41" s="1"/>
  <c r="M214" i="41" s="1"/>
  <c r="N214" i="41" s="1"/>
  <c r="O214" i="41" s="1"/>
  <c r="P214" i="41" s="1"/>
  <c r="Q214" i="41" s="1"/>
  <c r="R214" i="41" s="1"/>
  <c r="S214" i="41" s="1"/>
  <c r="T214" i="41" s="1"/>
  <c r="U214" i="41" s="1"/>
  <c r="V214" i="41" s="1"/>
  <c r="W214" i="41" s="1"/>
  <c r="X214" i="41" s="1"/>
  <c r="Y214" i="41" s="1"/>
  <c r="Z214" i="41" s="1"/>
  <c r="AA214" i="41" s="1"/>
  <c r="AB214" i="41" s="1"/>
  <c r="AC214" i="41" s="1"/>
  <c r="AD214" i="41" s="1"/>
  <c r="AE214" i="41" s="1"/>
  <c r="AF214" i="41" s="1"/>
  <c r="AG214" i="41" s="1"/>
  <c r="A211" i="41"/>
  <c r="B211" i="41" s="1"/>
  <c r="A210" i="41"/>
  <c r="A209" i="41"/>
  <c r="B209" i="41" s="1"/>
  <c r="A206" i="41"/>
  <c r="D205" i="41"/>
  <c r="E205" i="41" s="1"/>
  <c r="F205" i="41" s="1"/>
  <c r="G205" i="41" s="1"/>
  <c r="H205" i="41" s="1"/>
  <c r="I205" i="41" s="1"/>
  <c r="J205" i="41" s="1"/>
  <c r="K205" i="41" s="1"/>
  <c r="L205" i="41" s="1"/>
  <c r="M205" i="41" s="1"/>
  <c r="N205" i="41" s="1"/>
  <c r="O205" i="41" s="1"/>
  <c r="P205" i="41" s="1"/>
  <c r="Q205" i="41" s="1"/>
  <c r="R205" i="41" s="1"/>
  <c r="S205" i="41" s="1"/>
  <c r="T205" i="41" s="1"/>
  <c r="U205" i="41" s="1"/>
  <c r="V205" i="41" s="1"/>
  <c r="W205" i="41" s="1"/>
  <c r="X205" i="41" s="1"/>
  <c r="Y205" i="41" s="1"/>
  <c r="Z205" i="41" s="1"/>
  <c r="AA205" i="41" s="1"/>
  <c r="AB205" i="41" s="1"/>
  <c r="AC205" i="41" s="1"/>
  <c r="AD205" i="41" s="1"/>
  <c r="AE205" i="41" s="1"/>
  <c r="AF205" i="41" s="1"/>
  <c r="AG205" i="41" s="1"/>
  <c r="D184" i="41"/>
  <c r="E184" i="41" s="1"/>
  <c r="F184" i="41" s="1"/>
  <c r="G184" i="41" s="1"/>
  <c r="H184" i="41" s="1"/>
  <c r="I184" i="41" s="1"/>
  <c r="J184" i="41" s="1"/>
  <c r="K184" i="41" s="1"/>
  <c r="L184" i="41" s="1"/>
  <c r="M184" i="41" s="1"/>
  <c r="N184" i="41" s="1"/>
  <c r="O184" i="41" s="1"/>
  <c r="P184" i="41" s="1"/>
  <c r="Q184" i="41" s="1"/>
  <c r="R184" i="41" s="1"/>
  <c r="S184" i="41" s="1"/>
  <c r="T184" i="41" s="1"/>
  <c r="U184" i="41" s="1"/>
  <c r="V184" i="41" s="1"/>
  <c r="W184" i="41" s="1"/>
  <c r="X184" i="41" s="1"/>
  <c r="Y184" i="41" s="1"/>
  <c r="Z184" i="41" s="1"/>
  <c r="AA184" i="41" s="1"/>
  <c r="AB184" i="41" s="1"/>
  <c r="AC184" i="41" s="1"/>
  <c r="AD184" i="41" s="1"/>
  <c r="AE184" i="41" s="1"/>
  <c r="AF184" i="41" s="1"/>
  <c r="AG184" i="41" s="1"/>
  <c r="A176" i="41"/>
  <c r="B168" i="41"/>
  <c r="B176" i="41" s="1"/>
  <c r="F164" i="41"/>
  <c r="E164" i="41"/>
  <c r="D164" i="41"/>
  <c r="C164" i="41"/>
  <c r="D157" i="41"/>
  <c r="E157" i="41" s="1"/>
  <c r="F157" i="41" s="1"/>
  <c r="G157" i="41" s="1"/>
  <c r="H157" i="41" s="1"/>
  <c r="I157" i="41" s="1"/>
  <c r="J157" i="41" s="1"/>
  <c r="K157" i="41" s="1"/>
  <c r="L157" i="41" s="1"/>
  <c r="M157" i="41" s="1"/>
  <c r="N157" i="41" s="1"/>
  <c r="O157" i="41" s="1"/>
  <c r="P157" i="41" s="1"/>
  <c r="Q157" i="41" s="1"/>
  <c r="R157" i="41" s="1"/>
  <c r="S157" i="41" s="1"/>
  <c r="T157" i="41" s="1"/>
  <c r="U157" i="41" s="1"/>
  <c r="V157" i="41" s="1"/>
  <c r="W157" i="41" s="1"/>
  <c r="X157" i="41" s="1"/>
  <c r="Y157" i="41" s="1"/>
  <c r="Z157" i="41" s="1"/>
  <c r="AA157" i="41" s="1"/>
  <c r="AB157" i="41" s="1"/>
  <c r="AC157" i="41" s="1"/>
  <c r="AD157" i="41" s="1"/>
  <c r="AE157" i="41" s="1"/>
  <c r="AF157" i="41" s="1"/>
  <c r="AG157" i="41" s="1"/>
  <c r="D140" i="41"/>
  <c r="E140" i="41" s="1"/>
  <c r="F140" i="41" s="1"/>
  <c r="G140" i="41" s="1"/>
  <c r="H140" i="41" s="1"/>
  <c r="I140" i="41" s="1"/>
  <c r="J140" i="41" s="1"/>
  <c r="K140" i="41" s="1"/>
  <c r="L140" i="41" s="1"/>
  <c r="M140" i="41" s="1"/>
  <c r="N140" i="41" s="1"/>
  <c r="O140" i="41" s="1"/>
  <c r="P140" i="41" s="1"/>
  <c r="Q140" i="41" s="1"/>
  <c r="R140" i="41" s="1"/>
  <c r="S140" i="41" s="1"/>
  <c r="T140" i="41" s="1"/>
  <c r="U140" i="41" s="1"/>
  <c r="V140" i="41" s="1"/>
  <c r="W140" i="41" s="1"/>
  <c r="X140" i="41" s="1"/>
  <c r="Y140" i="41" s="1"/>
  <c r="Z140" i="41" s="1"/>
  <c r="AA140" i="41" s="1"/>
  <c r="AB140" i="41" s="1"/>
  <c r="AC140" i="41" s="1"/>
  <c r="AD140" i="41" s="1"/>
  <c r="AE140" i="41" s="1"/>
  <c r="AF140" i="41" s="1"/>
  <c r="AG140" i="41" s="1"/>
  <c r="D123" i="41"/>
  <c r="E123" i="41" s="1"/>
  <c r="F123" i="41" s="1"/>
  <c r="G123" i="41" s="1"/>
  <c r="H123" i="41" s="1"/>
  <c r="I123" i="41" s="1"/>
  <c r="J123" i="41" s="1"/>
  <c r="K123" i="41" s="1"/>
  <c r="L123" i="41" s="1"/>
  <c r="M123" i="41" s="1"/>
  <c r="N123" i="41" s="1"/>
  <c r="O123" i="41" s="1"/>
  <c r="P123" i="41" s="1"/>
  <c r="Q123" i="41" s="1"/>
  <c r="R123" i="41" s="1"/>
  <c r="S123" i="41" s="1"/>
  <c r="T123" i="41" s="1"/>
  <c r="U123" i="41" s="1"/>
  <c r="V123" i="41" s="1"/>
  <c r="W123" i="41" s="1"/>
  <c r="X123" i="41" s="1"/>
  <c r="Y123" i="41" s="1"/>
  <c r="Z123" i="41" s="1"/>
  <c r="AA123" i="41" s="1"/>
  <c r="AB123" i="41" s="1"/>
  <c r="AC123" i="41" s="1"/>
  <c r="AD123" i="41" s="1"/>
  <c r="AE123" i="41" s="1"/>
  <c r="AF123" i="41" s="1"/>
  <c r="AG123" i="41" s="1"/>
  <c r="D106" i="41"/>
  <c r="E106" i="41" s="1"/>
  <c r="F106" i="41" s="1"/>
  <c r="G106" i="41" s="1"/>
  <c r="H106" i="41" s="1"/>
  <c r="I106" i="41" s="1"/>
  <c r="J106" i="41" s="1"/>
  <c r="K106" i="41" s="1"/>
  <c r="L106" i="41" s="1"/>
  <c r="M106" i="41" s="1"/>
  <c r="N106" i="41" s="1"/>
  <c r="O106" i="41" s="1"/>
  <c r="P106" i="41" s="1"/>
  <c r="Q106" i="41" s="1"/>
  <c r="R106" i="41" s="1"/>
  <c r="S106" i="41" s="1"/>
  <c r="T106" i="41" s="1"/>
  <c r="U106" i="41" s="1"/>
  <c r="V106" i="41" s="1"/>
  <c r="W106" i="41" s="1"/>
  <c r="X106" i="41" s="1"/>
  <c r="Y106" i="41" s="1"/>
  <c r="Z106" i="41" s="1"/>
  <c r="AA106" i="41" s="1"/>
  <c r="AB106" i="41" s="1"/>
  <c r="AC106" i="41" s="1"/>
  <c r="AD106" i="41" s="1"/>
  <c r="AE106" i="41" s="1"/>
  <c r="AF106" i="41" s="1"/>
  <c r="AG106" i="41" s="1"/>
  <c r="A98" i="41"/>
  <c r="A97" i="41"/>
  <c r="A167" i="41" s="1"/>
  <c r="A175" i="41" s="1"/>
  <c r="F86" i="41"/>
  <c r="G86" i="41" s="1"/>
  <c r="H86" i="41" s="1"/>
  <c r="I86" i="41" s="1"/>
  <c r="J86" i="41" s="1"/>
  <c r="K86" i="41" s="1"/>
  <c r="L86" i="41" s="1"/>
  <c r="M86" i="41" s="1"/>
  <c r="N86" i="41" s="1"/>
  <c r="O86" i="41" s="1"/>
  <c r="P86" i="41" s="1"/>
  <c r="Q86" i="41" s="1"/>
  <c r="R86" i="41" s="1"/>
  <c r="S86" i="41" s="1"/>
  <c r="T86" i="41" s="1"/>
  <c r="U86" i="41" s="1"/>
  <c r="V86" i="41" s="1"/>
  <c r="W86" i="41" s="1"/>
  <c r="X86" i="41" s="1"/>
  <c r="Y86" i="41" s="1"/>
  <c r="Z86" i="41" s="1"/>
  <c r="AA86" i="41" s="1"/>
  <c r="AB86" i="41" s="1"/>
  <c r="AC86" i="41" s="1"/>
  <c r="AD86" i="41" s="1"/>
  <c r="AE86" i="41" s="1"/>
  <c r="AF86" i="41" s="1"/>
  <c r="AG86" i="41" s="1"/>
  <c r="D86" i="41"/>
  <c r="E86" i="41" s="1"/>
  <c r="K81" i="41"/>
  <c r="H79" i="41"/>
  <c r="G79" i="41"/>
  <c r="F79" i="41"/>
  <c r="E79" i="41"/>
  <c r="C79" i="41"/>
  <c r="J75" i="41"/>
  <c r="J76" i="41" s="1"/>
  <c r="D69" i="41"/>
  <c r="E69" i="41" s="1"/>
  <c r="D68" i="41"/>
  <c r="D70" i="41" s="1"/>
  <c r="D61" i="41"/>
  <c r="E61" i="41" s="1"/>
  <c r="F61" i="41" s="1"/>
  <c r="G61" i="41" s="1"/>
  <c r="H61" i="41" s="1"/>
  <c r="I61" i="41" s="1"/>
  <c r="J61" i="41" s="1"/>
  <c r="K61" i="41" s="1"/>
  <c r="L61" i="41" s="1"/>
  <c r="M61" i="41" s="1"/>
  <c r="N61" i="41" s="1"/>
  <c r="O61" i="41" s="1"/>
  <c r="P61" i="41" s="1"/>
  <c r="Q61" i="41" s="1"/>
  <c r="R61" i="41" s="1"/>
  <c r="S61" i="41" s="1"/>
  <c r="T61" i="41" s="1"/>
  <c r="U61" i="41" s="1"/>
  <c r="V61" i="41" s="1"/>
  <c r="W61" i="41" s="1"/>
  <c r="X61" i="41" s="1"/>
  <c r="Y61" i="41" s="1"/>
  <c r="Z61" i="41" s="1"/>
  <c r="AA61" i="41" s="1"/>
  <c r="AB61" i="41" s="1"/>
  <c r="AC61" i="41" s="1"/>
  <c r="AD61" i="41" s="1"/>
  <c r="AE61" i="41" s="1"/>
  <c r="AF61" i="41" s="1"/>
  <c r="AG61" i="41" s="1"/>
  <c r="D60" i="41"/>
  <c r="E60" i="41" s="1"/>
  <c r="F60" i="41" s="1"/>
  <c r="G60" i="41" s="1"/>
  <c r="H60" i="41" s="1"/>
  <c r="I60" i="41" s="1"/>
  <c r="J60" i="41" s="1"/>
  <c r="K60" i="41" s="1"/>
  <c r="L60" i="41" s="1"/>
  <c r="M60" i="41" s="1"/>
  <c r="N60" i="41" s="1"/>
  <c r="O60" i="41" s="1"/>
  <c r="P60" i="41" s="1"/>
  <c r="Q60" i="41" s="1"/>
  <c r="R60" i="41" s="1"/>
  <c r="S60" i="41" s="1"/>
  <c r="T60" i="41" s="1"/>
  <c r="U60" i="41" s="1"/>
  <c r="V60" i="41" s="1"/>
  <c r="W60" i="41" s="1"/>
  <c r="X60" i="41" s="1"/>
  <c r="Y60" i="41" s="1"/>
  <c r="Z60" i="41" s="1"/>
  <c r="AA60" i="41" s="1"/>
  <c r="AB60" i="41" s="1"/>
  <c r="AC60" i="41" s="1"/>
  <c r="AD60" i="41" s="1"/>
  <c r="AE60" i="41" s="1"/>
  <c r="AF60" i="41" s="1"/>
  <c r="AG60" i="41" s="1"/>
  <c r="D58" i="41"/>
  <c r="E58" i="41" s="1"/>
  <c r="D57" i="41"/>
  <c r="E57" i="41" s="1"/>
  <c r="F57" i="41" s="1"/>
  <c r="G57" i="41" s="1"/>
  <c r="H57" i="41" s="1"/>
  <c r="I57" i="41" s="1"/>
  <c r="J57" i="41" s="1"/>
  <c r="K57" i="41" s="1"/>
  <c r="L57" i="41" s="1"/>
  <c r="M57" i="41" s="1"/>
  <c r="N57" i="41" s="1"/>
  <c r="O57" i="41" s="1"/>
  <c r="P57" i="41" s="1"/>
  <c r="Q57" i="41" s="1"/>
  <c r="R57" i="41" s="1"/>
  <c r="S57" i="41" s="1"/>
  <c r="T57" i="41" s="1"/>
  <c r="U57" i="41" s="1"/>
  <c r="V57" i="41" s="1"/>
  <c r="W57" i="41" s="1"/>
  <c r="X57" i="41" s="1"/>
  <c r="Y57" i="41" s="1"/>
  <c r="Z57" i="41" s="1"/>
  <c r="AA57" i="41" s="1"/>
  <c r="AB57" i="41" s="1"/>
  <c r="AC57" i="41" s="1"/>
  <c r="AD57" i="41" s="1"/>
  <c r="AE57" i="41" s="1"/>
  <c r="AF57" i="41" s="1"/>
  <c r="AG57" i="41" s="1"/>
  <c r="D56" i="41"/>
  <c r="E56" i="41" s="1"/>
  <c r="F56" i="41" s="1"/>
  <c r="G56" i="41" s="1"/>
  <c r="H56" i="41" s="1"/>
  <c r="I56" i="41" s="1"/>
  <c r="J56" i="41" s="1"/>
  <c r="K56" i="41" s="1"/>
  <c r="L56" i="41" s="1"/>
  <c r="M56" i="41" s="1"/>
  <c r="N56" i="41" s="1"/>
  <c r="O56" i="41" s="1"/>
  <c r="P56" i="41" s="1"/>
  <c r="Q56" i="41" s="1"/>
  <c r="R56" i="41" s="1"/>
  <c r="S56" i="41" s="1"/>
  <c r="T56" i="41" s="1"/>
  <c r="U56" i="41" s="1"/>
  <c r="V56" i="41" s="1"/>
  <c r="W56" i="41" s="1"/>
  <c r="X56" i="41" s="1"/>
  <c r="Y56" i="41" s="1"/>
  <c r="Z56" i="41" s="1"/>
  <c r="AA56" i="41" s="1"/>
  <c r="AB56" i="41" s="1"/>
  <c r="AC56" i="41" s="1"/>
  <c r="AD56" i="41" s="1"/>
  <c r="AE56" i="41" s="1"/>
  <c r="AF56" i="41" s="1"/>
  <c r="AG56" i="41" s="1"/>
  <c r="C53" i="41"/>
  <c r="C52" i="41"/>
  <c r="C51" i="41"/>
  <c r="D49" i="41"/>
  <c r="C48" i="41"/>
  <c r="C54" i="41" s="1"/>
  <c r="X47" i="41"/>
  <c r="Y47" i="41" s="1"/>
  <c r="Z47" i="41" s="1"/>
  <c r="AA47" i="41" s="1"/>
  <c r="AB47" i="41" s="1"/>
  <c r="AC47" i="41" s="1"/>
  <c r="AD47" i="41" s="1"/>
  <c r="AE47" i="41" s="1"/>
  <c r="AF47" i="41" s="1"/>
  <c r="AG47" i="41" s="1"/>
  <c r="T47" i="41"/>
  <c r="U47" i="41" s="1"/>
  <c r="V47" i="41" s="1"/>
  <c r="O47" i="41"/>
  <c r="P47" i="41" s="1"/>
  <c r="Q47" i="41" s="1"/>
  <c r="R47" i="41" s="1"/>
  <c r="J47" i="41"/>
  <c r="K47" i="41" s="1"/>
  <c r="L47" i="41" s="1"/>
  <c r="M47" i="41" s="1"/>
  <c r="D47" i="41"/>
  <c r="E47" i="41" s="1"/>
  <c r="F47" i="41" s="1"/>
  <c r="G47" i="41" s="1"/>
  <c r="H47" i="41" s="1"/>
  <c r="D46" i="41"/>
  <c r="D45" i="41"/>
  <c r="E45" i="41" s="1"/>
  <c r="D44" i="41"/>
  <c r="C43" i="41"/>
  <c r="D43" i="41" s="1"/>
  <c r="E43" i="41" s="1"/>
  <c r="F43" i="41" s="1"/>
  <c r="G43" i="41" s="1"/>
  <c r="H43" i="41" s="1"/>
  <c r="I43" i="41" s="1"/>
  <c r="J43" i="41" s="1"/>
  <c r="K43" i="41" s="1"/>
  <c r="L43" i="41" s="1"/>
  <c r="M43" i="41" s="1"/>
  <c r="N43" i="41" s="1"/>
  <c r="O43" i="41" s="1"/>
  <c r="P43" i="41" s="1"/>
  <c r="Q43" i="41" s="1"/>
  <c r="R43" i="41" s="1"/>
  <c r="S43" i="41" s="1"/>
  <c r="T43" i="41" s="1"/>
  <c r="U43" i="41" s="1"/>
  <c r="V43" i="41" s="1"/>
  <c r="W43" i="41" s="1"/>
  <c r="X43" i="41" s="1"/>
  <c r="Y43" i="41" s="1"/>
  <c r="Z43" i="41" s="1"/>
  <c r="AA43" i="41" s="1"/>
  <c r="AB43" i="41" s="1"/>
  <c r="AC43" i="41" s="1"/>
  <c r="AD43" i="41" s="1"/>
  <c r="AE43" i="41" s="1"/>
  <c r="AF43" i="41" s="1"/>
  <c r="AG43" i="41" s="1"/>
  <c r="D42" i="41"/>
  <c r="D41" i="41"/>
  <c r="E41" i="41" s="1"/>
  <c r="F41" i="41" s="1"/>
  <c r="G41" i="41" s="1"/>
  <c r="H41" i="41" s="1"/>
  <c r="I41" i="41" s="1"/>
  <c r="J41" i="41" s="1"/>
  <c r="K41" i="41" s="1"/>
  <c r="L41" i="41" s="1"/>
  <c r="M41" i="41" s="1"/>
  <c r="N41" i="41" s="1"/>
  <c r="O41" i="41" s="1"/>
  <c r="P41" i="41" s="1"/>
  <c r="Q41" i="41" s="1"/>
  <c r="R41" i="41" s="1"/>
  <c r="S41" i="41" s="1"/>
  <c r="T41" i="41" s="1"/>
  <c r="U41" i="41" s="1"/>
  <c r="V41" i="41" s="1"/>
  <c r="W41" i="41" s="1"/>
  <c r="X41" i="41" s="1"/>
  <c r="Y41" i="41" s="1"/>
  <c r="Z41" i="41" s="1"/>
  <c r="AA41" i="41" s="1"/>
  <c r="AB41" i="41" s="1"/>
  <c r="AC41" i="41" s="1"/>
  <c r="AD41" i="41" s="1"/>
  <c r="AE41" i="41" s="1"/>
  <c r="AF41" i="41" s="1"/>
  <c r="AG41" i="41" s="1"/>
  <c r="D40" i="41"/>
  <c r="E40" i="41" s="1"/>
  <c r="D39" i="41"/>
  <c r="E39" i="41" s="1"/>
  <c r="F39" i="41" s="1"/>
  <c r="G39" i="41" s="1"/>
  <c r="H39" i="41" s="1"/>
  <c r="I39" i="41" s="1"/>
  <c r="J39" i="41" s="1"/>
  <c r="K39" i="41" s="1"/>
  <c r="L39" i="41" s="1"/>
  <c r="M39" i="41" s="1"/>
  <c r="N39" i="41" s="1"/>
  <c r="O39" i="41" s="1"/>
  <c r="P39" i="41" s="1"/>
  <c r="Q39" i="41" s="1"/>
  <c r="R39" i="41" s="1"/>
  <c r="S39" i="41" s="1"/>
  <c r="T39" i="41" s="1"/>
  <c r="U39" i="41" s="1"/>
  <c r="V39" i="41" s="1"/>
  <c r="W39" i="41" s="1"/>
  <c r="X39" i="41" s="1"/>
  <c r="Y39" i="41" s="1"/>
  <c r="Z39" i="41" s="1"/>
  <c r="AA39" i="41" s="1"/>
  <c r="AB39" i="41" s="1"/>
  <c r="AC39" i="41" s="1"/>
  <c r="AD39" i="41" s="1"/>
  <c r="AE39" i="41" s="1"/>
  <c r="AF39" i="41" s="1"/>
  <c r="AG39" i="41" s="1"/>
  <c r="L10" i="41"/>
  <c r="L11" i="41" s="1"/>
  <c r="K10" i="41"/>
  <c r="L9" i="41"/>
  <c r="K9" i="41"/>
  <c r="J9" i="41"/>
  <c r="J11" i="41" s="1"/>
  <c r="I9" i="41"/>
  <c r="I11" i="41" s="1"/>
  <c r="F73" i="39"/>
  <c r="C22" i="40"/>
  <c r="C21" i="40"/>
  <c r="C19" i="40"/>
  <c r="G81" i="40" s="1"/>
  <c r="C157" i="40" s="1"/>
  <c r="C161" i="40" s="1"/>
  <c r="F73" i="40"/>
  <c r="C140" i="40" s="1"/>
  <c r="C16" i="40"/>
  <c r="C15" i="40"/>
  <c r="C65" i="40" s="1"/>
  <c r="C24" i="40"/>
  <c r="C26" i="40" s="1"/>
  <c r="C28" i="40"/>
  <c r="C27" i="40"/>
  <c r="C80" i="40"/>
  <c r="H80" i="40" s="1"/>
  <c r="C11" i="40"/>
  <c r="C86" i="40" s="1"/>
  <c r="C12" i="40"/>
  <c r="C159" i="40" s="1"/>
  <c r="D159" i="40" s="1"/>
  <c r="E159" i="40" s="1"/>
  <c r="F159" i="40" s="1"/>
  <c r="G159" i="40" s="1"/>
  <c r="H159" i="40" s="1"/>
  <c r="I159" i="40" s="1"/>
  <c r="J159" i="40" s="1"/>
  <c r="K159" i="40" s="1"/>
  <c r="L159" i="40" s="1"/>
  <c r="M159" i="40" s="1"/>
  <c r="N159" i="40" s="1"/>
  <c r="O159" i="40" s="1"/>
  <c r="P159" i="40" s="1"/>
  <c r="Q159" i="40" s="1"/>
  <c r="R159" i="40" s="1"/>
  <c r="S159" i="40" s="1"/>
  <c r="T159" i="40" s="1"/>
  <c r="U159" i="40" s="1"/>
  <c r="V159" i="40" s="1"/>
  <c r="W159" i="40" s="1"/>
  <c r="X159" i="40" s="1"/>
  <c r="Y159" i="40" s="1"/>
  <c r="Z159" i="40" s="1"/>
  <c r="AA159" i="40" s="1"/>
  <c r="AB159" i="40" s="1"/>
  <c r="AC159" i="40" s="1"/>
  <c r="AD159" i="40" s="1"/>
  <c r="AE159" i="40" s="1"/>
  <c r="AF159" i="40" s="1"/>
  <c r="AG159" i="40" s="1"/>
  <c r="D220" i="40"/>
  <c r="E220" i="40" s="1"/>
  <c r="F220" i="40" s="1"/>
  <c r="G220" i="40" s="1"/>
  <c r="H220" i="40" s="1"/>
  <c r="I220" i="40" s="1"/>
  <c r="J220" i="40" s="1"/>
  <c r="K220" i="40" s="1"/>
  <c r="L220" i="40" s="1"/>
  <c r="M220" i="40" s="1"/>
  <c r="N220" i="40" s="1"/>
  <c r="O220" i="40" s="1"/>
  <c r="P220" i="40" s="1"/>
  <c r="Q220" i="40" s="1"/>
  <c r="R220" i="40" s="1"/>
  <c r="S220" i="40" s="1"/>
  <c r="T220" i="40" s="1"/>
  <c r="U220" i="40" s="1"/>
  <c r="V220" i="40" s="1"/>
  <c r="W220" i="40" s="1"/>
  <c r="X220" i="40" s="1"/>
  <c r="Y220" i="40" s="1"/>
  <c r="Z220" i="40" s="1"/>
  <c r="AA220" i="40" s="1"/>
  <c r="AB220" i="40" s="1"/>
  <c r="AC220" i="40" s="1"/>
  <c r="AD220" i="40" s="1"/>
  <c r="AE220" i="40" s="1"/>
  <c r="AF220" i="40" s="1"/>
  <c r="AG220" i="40" s="1"/>
  <c r="D213" i="40"/>
  <c r="E213" i="40" s="1"/>
  <c r="F213" i="40" s="1"/>
  <c r="G213" i="40" s="1"/>
  <c r="H213" i="40" s="1"/>
  <c r="I213" i="40" s="1"/>
  <c r="J213" i="40" s="1"/>
  <c r="K213" i="40" s="1"/>
  <c r="L213" i="40" s="1"/>
  <c r="M213" i="40" s="1"/>
  <c r="N213" i="40" s="1"/>
  <c r="O213" i="40" s="1"/>
  <c r="P213" i="40" s="1"/>
  <c r="Q213" i="40" s="1"/>
  <c r="R213" i="40" s="1"/>
  <c r="S213" i="40" s="1"/>
  <c r="T213" i="40" s="1"/>
  <c r="U213" i="40" s="1"/>
  <c r="V213" i="40" s="1"/>
  <c r="W213" i="40" s="1"/>
  <c r="X213" i="40" s="1"/>
  <c r="Y213" i="40" s="1"/>
  <c r="Z213" i="40" s="1"/>
  <c r="AA213" i="40" s="1"/>
  <c r="AB213" i="40" s="1"/>
  <c r="AC213" i="40" s="1"/>
  <c r="AD213" i="40" s="1"/>
  <c r="AE213" i="40" s="1"/>
  <c r="AF213" i="40" s="1"/>
  <c r="AG213" i="40" s="1"/>
  <c r="A210" i="40"/>
  <c r="A223" i="40" s="1"/>
  <c r="A209" i="40"/>
  <c r="A216" i="40" s="1"/>
  <c r="B216" i="40" s="1"/>
  <c r="A208" i="40"/>
  <c r="A222" i="40" s="1"/>
  <c r="A205" i="40"/>
  <c r="A214" i="40" s="1"/>
  <c r="B214" i="40" s="1"/>
  <c r="D204" i="40"/>
  <c r="E204" i="40" s="1"/>
  <c r="F204" i="40" s="1"/>
  <c r="G204" i="40" s="1"/>
  <c r="H204" i="40" s="1"/>
  <c r="I204" i="40" s="1"/>
  <c r="J204" i="40" s="1"/>
  <c r="K204" i="40" s="1"/>
  <c r="L204" i="40" s="1"/>
  <c r="M204" i="40" s="1"/>
  <c r="N204" i="40" s="1"/>
  <c r="O204" i="40" s="1"/>
  <c r="P204" i="40" s="1"/>
  <c r="Q204" i="40" s="1"/>
  <c r="R204" i="40" s="1"/>
  <c r="S204" i="40" s="1"/>
  <c r="T204" i="40" s="1"/>
  <c r="U204" i="40" s="1"/>
  <c r="V204" i="40" s="1"/>
  <c r="W204" i="40" s="1"/>
  <c r="X204" i="40" s="1"/>
  <c r="Y204" i="40" s="1"/>
  <c r="Z204" i="40" s="1"/>
  <c r="AA204" i="40" s="1"/>
  <c r="AB204" i="40" s="1"/>
  <c r="AC204" i="40" s="1"/>
  <c r="AD204" i="40" s="1"/>
  <c r="AE204" i="40" s="1"/>
  <c r="AF204" i="40" s="1"/>
  <c r="AG204" i="40" s="1"/>
  <c r="D183" i="40"/>
  <c r="E183" i="40" s="1"/>
  <c r="F183" i="40" s="1"/>
  <c r="G183" i="40" s="1"/>
  <c r="H183" i="40" s="1"/>
  <c r="I183" i="40" s="1"/>
  <c r="J183" i="40" s="1"/>
  <c r="K183" i="40" s="1"/>
  <c r="L183" i="40" s="1"/>
  <c r="M183" i="40" s="1"/>
  <c r="N183" i="40" s="1"/>
  <c r="O183" i="40" s="1"/>
  <c r="P183" i="40" s="1"/>
  <c r="Q183" i="40" s="1"/>
  <c r="R183" i="40" s="1"/>
  <c r="S183" i="40" s="1"/>
  <c r="T183" i="40" s="1"/>
  <c r="U183" i="40" s="1"/>
  <c r="V183" i="40" s="1"/>
  <c r="W183" i="40" s="1"/>
  <c r="X183" i="40" s="1"/>
  <c r="Y183" i="40" s="1"/>
  <c r="Z183" i="40" s="1"/>
  <c r="AA183" i="40" s="1"/>
  <c r="AB183" i="40" s="1"/>
  <c r="AC183" i="40" s="1"/>
  <c r="AD183" i="40" s="1"/>
  <c r="AE183" i="40" s="1"/>
  <c r="AF183" i="40" s="1"/>
  <c r="AG183" i="40" s="1"/>
  <c r="A175" i="40"/>
  <c r="B167" i="40"/>
  <c r="B175" i="40" s="1"/>
  <c r="F163" i="40"/>
  <c r="E163" i="40"/>
  <c r="D163" i="40"/>
  <c r="C163" i="40"/>
  <c r="D156" i="40"/>
  <c r="E156" i="40" s="1"/>
  <c r="F156" i="40" s="1"/>
  <c r="G156" i="40" s="1"/>
  <c r="H156" i="40" s="1"/>
  <c r="I156" i="40" s="1"/>
  <c r="J156" i="40" s="1"/>
  <c r="K156" i="40" s="1"/>
  <c r="L156" i="40" s="1"/>
  <c r="M156" i="40" s="1"/>
  <c r="N156" i="40" s="1"/>
  <c r="O156" i="40" s="1"/>
  <c r="P156" i="40" s="1"/>
  <c r="Q156" i="40" s="1"/>
  <c r="R156" i="40" s="1"/>
  <c r="S156" i="40" s="1"/>
  <c r="T156" i="40" s="1"/>
  <c r="U156" i="40" s="1"/>
  <c r="V156" i="40" s="1"/>
  <c r="W156" i="40" s="1"/>
  <c r="X156" i="40" s="1"/>
  <c r="Y156" i="40" s="1"/>
  <c r="Z156" i="40" s="1"/>
  <c r="AA156" i="40" s="1"/>
  <c r="AB156" i="40" s="1"/>
  <c r="AC156" i="40" s="1"/>
  <c r="AD156" i="40" s="1"/>
  <c r="AE156" i="40" s="1"/>
  <c r="AF156" i="40" s="1"/>
  <c r="AG156" i="40" s="1"/>
  <c r="D139" i="40"/>
  <c r="E139" i="40" s="1"/>
  <c r="F139" i="40" s="1"/>
  <c r="G139" i="40" s="1"/>
  <c r="H139" i="40" s="1"/>
  <c r="I139" i="40" s="1"/>
  <c r="J139" i="40" s="1"/>
  <c r="K139" i="40" s="1"/>
  <c r="L139" i="40" s="1"/>
  <c r="M139" i="40" s="1"/>
  <c r="N139" i="40" s="1"/>
  <c r="O139" i="40" s="1"/>
  <c r="P139" i="40" s="1"/>
  <c r="Q139" i="40" s="1"/>
  <c r="R139" i="40" s="1"/>
  <c r="S139" i="40" s="1"/>
  <c r="T139" i="40" s="1"/>
  <c r="U139" i="40" s="1"/>
  <c r="V139" i="40" s="1"/>
  <c r="W139" i="40" s="1"/>
  <c r="X139" i="40" s="1"/>
  <c r="Y139" i="40" s="1"/>
  <c r="Z139" i="40" s="1"/>
  <c r="AA139" i="40" s="1"/>
  <c r="AB139" i="40" s="1"/>
  <c r="AC139" i="40" s="1"/>
  <c r="AD139" i="40" s="1"/>
  <c r="AE139" i="40" s="1"/>
  <c r="AF139" i="40" s="1"/>
  <c r="AG139" i="40" s="1"/>
  <c r="D122" i="40"/>
  <c r="E122" i="40" s="1"/>
  <c r="F122" i="40" s="1"/>
  <c r="G122" i="40" s="1"/>
  <c r="H122" i="40" s="1"/>
  <c r="I122" i="40" s="1"/>
  <c r="J122" i="40" s="1"/>
  <c r="K122" i="40" s="1"/>
  <c r="L122" i="40" s="1"/>
  <c r="M122" i="40" s="1"/>
  <c r="N122" i="40" s="1"/>
  <c r="O122" i="40" s="1"/>
  <c r="P122" i="40" s="1"/>
  <c r="Q122" i="40" s="1"/>
  <c r="R122" i="40" s="1"/>
  <c r="S122" i="40" s="1"/>
  <c r="T122" i="40" s="1"/>
  <c r="U122" i="40" s="1"/>
  <c r="V122" i="40" s="1"/>
  <c r="W122" i="40" s="1"/>
  <c r="X122" i="40" s="1"/>
  <c r="Y122" i="40" s="1"/>
  <c r="Z122" i="40" s="1"/>
  <c r="AA122" i="40" s="1"/>
  <c r="AB122" i="40" s="1"/>
  <c r="AC122" i="40" s="1"/>
  <c r="AD122" i="40" s="1"/>
  <c r="AE122" i="40" s="1"/>
  <c r="AF122" i="40" s="1"/>
  <c r="AG122" i="40" s="1"/>
  <c r="D105" i="40"/>
  <c r="E105" i="40" s="1"/>
  <c r="F105" i="40" s="1"/>
  <c r="G105" i="40" s="1"/>
  <c r="H105" i="40" s="1"/>
  <c r="I105" i="40" s="1"/>
  <c r="J105" i="40" s="1"/>
  <c r="K105" i="40" s="1"/>
  <c r="L105" i="40" s="1"/>
  <c r="M105" i="40" s="1"/>
  <c r="N105" i="40" s="1"/>
  <c r="O105" i="40" s="1"/>
  <c r="P105" i="40" s="1"/>
  <c r="Q105" i="40" s="1"/>
  <c r="R105" i="40" s="1"/>
  <c r="S105" i="40" s="1"/>
  <c r="T105" i="40" s="1"/>
  <c r="U105" i="40" s="1"/>
  <c r="V105" i="40" s="1"/>
  <c r="W105" i="40" s="1"/>
  <c r="X105" i="40" s="1"/>
  <c r="Y105" i="40" s="1"/>
  <c r="Z105" i="40" s="1"/>
  <c r="AA105" i="40" s="1"/>
  <c r="AB105" i="40" s="1"/>
  <c r="AC105" i="40" s="1"/>
  <c r="AD105" i="40" s="1"/>
  <c r="AE105" i="40" s="1"/>
  <c r="AF105" i="40" s="1"/>
  <c r="AG105" i="40" s="1"/>
  <c r="A97" i="40"/>
  <c r="A96" i="40"/>
  <c r="A166" i="40" s="1"/>
  <c r="A174" i="40" s="1"/>
  <c r="D85" i="40"/>
  <c r="E85" i="40" s="1"/>
  <c r="F85" i="40" s="1"/>
  <c r="G85" i="40" s="1"/>
  <c r="H85" i="40" s="1"/>
  <c r="I85" i="40" s="1"/>
  <c r="J85" i="40" s="1"/>
  <c r="K85" i="40" s="1"/>
  <c r="L85" i="40" s="1"/>
  <c r="M85" i="40" s="1"/>
  <c r="N85" i="40" s="1"/>
  <c r="O85" i="40" s="1"/>
  <c r="P85" i="40" s="1"/>
  <c r="Q85" i="40" s="1"/>
  <c r="R85" i="40" s="1"/>
  <c r="S85" i="40" s="1"/>
  <c r="T85" i="40" s="1"/>
  <c r="U85" i="40" s="1"/>
  <c r="V85" i="40" s="1"/>
  <c r="W85" i="40" s="1"/>
  <c r="X85" i="40" s="1"/>
  <c r="Y85" i="40" s="1"/>
  <c r="Z85" i="40" s="1"/>
  <c r="AA85" i="40" s="1"/>
  <c r="AB85" i="40" s="1"/>
  <c r="AC85" i="40" s="1"/>
  <c r="AD85" i="40" s="1"/>
  <c r="AE85" i="40" s="1"/>
  <c r="AF85" i="40" s="1"/>
  <c r="AG85" i="40" s="1"/>
  <c r="K80" i="40"/>
  <c r="H78" i="40"/>
  <c r="G78" i="40"/>
  <c r="F78" i="40"/>
  <c r="E78" i="40"/>
  <c r="C78" i="40"/>
  <c r="J74" i="40"/>
  <c r="J75" i="40" s="1"/>
  <c r="D68" i="40"/>
  <c r="C67" i="40"/>
  <c r="C69" i="40" s="1"/>
  <c r="D60" i="40"/>
  <c r="E60" i="40" s="1"/>
  <c r="D59" i="40"/>
  <c r="D57" i="40"/>
  <c r="E57" i="40" s="1"/>
  <c r="F57" i="40" s="1"/>
  <c r="G57" i="40" s="1"/>
  <c r="H57" i="40" s="1"/>
  <c r="I57" i="40" s="1"/>
  <c r="J57" i="40" s="1"/>
  <c r="K57" i="40" s="1"/>
  <c r="L57" i="40" s="1"/>
  <c r="M57" i="40" s="1"/>
  <c r="N57" i="40" s="1"/>
  <c r="O57" i="40" s="1"/>
  <c r="P57" i="40" s="1"/>
  <c r="Q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A57" i="40" s="1"/>
  <c r="AB57" i="40" s="1"/>
  <c r="AC57" i="40" s="1"/>
  <c r="AD57" i="40" s="1"/>
  <c r="AE57" i="40" s="1"/>
  <c r="AF57" i="40" s="1"/>
  <c r="AG57" i="40" s="1"/>
  <c r="D56" i="40"/>
  <c r="E56" i="40" s="1"/>
  <c r="F56" i="40" s="1"/>
  <c r="G56" i="40" s="1"/>
  <c r="H56" i="40" s="1"/>
  <c r="I56" i="40" s="1"/>
  <c r="J56" i="40" s="1"/>
  <c r="K56" i="40" s="1"/>
  <c r="L56" i="40" s="1"/>
  <c r="M56" i="40" s="1"/>
  <c r="N56" i="40" s="1"/>
  <c r="O56" i="40" s="1"/>
  <c r="P56" i="40" s="1"/>
  <c r="Q56" i="40" s="1"/>
  <c r="R56" i="40" s="1"/>
  <c r="S56" i="40" s="1"/>
  <c r="T56" i="40" s="1"/>
  <c r="U56" i="40" s="1"/>
  <c r="V56" i="40" s="1"/>
  <c r="W56" i="40" s="1"/>
  <c r="X56" i="40" s="1"/>
  <c r="Y56" i="40" s="1"/>
  <c r="Z56" i="40" s="1"/>
  <c r="AA56" i="40" s="1"/>
  <c r="AB56" i="40" s="1"/>
  <c r="AC56" i="40" s="1"/>
  <c r="AD56" i="40" s="1"/>
  <c r="AE56" i="40" s="1"/>
  <c r="AF56" i="40" s="1"/>
  <c r="AG56" i="40" s="1"/>
  <c r="D55" i="40"/>
  <c r="E55" i="40" s="1"/>
  <c r="F55" i="40" s="1"/>
  <c r="G55" i="40" s="1"/>
  <c r="H55" i="40" s="1"/>
  <c r="I55" i="40" s="1"/>
  <c r="J55" i="40" s="1"/>
  <c r="K55" i="40" s="1"/>
  <c r="L55" i="40" s="1"/>
  <c r="M55" i="40" s="1"/>
  <c r="N55" i="40" s="1"/>
  <c r="O55" i="40" s="1"/>
  <c r="P55" i="40" s="1"/>
  <c r="Q55" i="40" s="1"/>
  <c r="R55" i="40" s="1"/>
  <c r="S55" i="40" s="1"/>
  <c r="T55" i="40" s="1"/>
  <c r="U55" i="40" s="1"/>
  <c r="V55" i="40" s="1"/>
  <c r="W55" i="40" s="1"/>
  <c r="X55" i="40" s="1"/>
  <c r="Y55" i="40" s="1"/>
  <c r="Z55" i="40" s="1"/>
  <c r="AA55" i="40" s="1"/>
  <c r="AB55" i="40" s="1"/>
  <c r="AC55" i="40" s="1"/>
  <c r="AD55" i="40" s="1"/>
  <c r="AE55" i="40" s="1"/>
  <c r="AF55" i="40" s="1"/>
  <c r="AG55" i="40" s="1"/>
  <c r="C52" i="40"/>
  <c r="C51" i="40"/>
  <c r="C50" i="40"/>
  <c r="D48" i="40"/>
  <c r="C47" i="40"/>
  <c r="C53" i="40" s="1"/>
  <c r="X46" i="40"/>
  <c r="Y46" i="40" s="1"/>
  <c r="Z46" i="40" s="1"/>
  <c r="AA46" i="40" s="1"/>
  <c r="AB46" i="40" s="1"/>
  <c r="AC46" i="40" s="1"/>
  <c r="AD46" i="40" s="1"/>
  <c r="AE46" i="40" s="1"/>
  <c r="AF46" i="40" s="1"/>
  <c r="AG46" i="40" s="1"/>
  <c r="T46" i="40"/>
  <c r="U46" i="40" s="1"/>
  <c r="V46" i="40" s="1"/>
  <c r="O46" i="40"/>
  <c r="P46" i="40" s="1"/>
  <c r="Q46" i="40" s="1"/>
  <c r="R46" i="40" s="1"/>
  <c r="J46" i="40"/>
  <c r="K46" i="40" s="1"/>
  <c r="L46" i="40" s="1"/>
  <c r="M46" i="40" s="1"/>
  <c r="D46" i="40"/>
  <c r="E46" i="40" s="1"/>
  <c r="F46" i="40" s="1"/>
  <c r="G46" i="40" s="1"/>
  <c r="H46" i="40" s="1"/>
  <c r="D45" i="40"/>
  <c r="E45" i="40" s="1"/>
  <c r="D44" i="40"/>
  <c r="E44" i="40" s="1"/>
  <c r="D43" i="40"/>
  <c r="C42" i="40"/>
  <c r="D42" i="40" s="1"/>
  <c r="E42" i="40" s="1"/>
  <c r="F42" i="40" s="1"/>
  <c r="G42" i="40" s="1"/>
  <c r="H42" i="40" s="1"/>
  <c r="I42" i="40" s="1"/>
  <c r="J42" i="40" s="1"/>
  <c r="K42" i="40" s="1"/>
  <c r="L42" i="40" s="1"/>
  <c r="M42" i="40" s="1"/>
  <c r="N42" i="40" s="1"/>
  <c r="O42" i="40" s="1"/>
  <c r="P42" i="40" s="1"/>
  <c r="Q42" i="40" s="1"/>
  <c r="R42" i="40" s="1"/>
  <c r="S42" i="40" s="1"/>
  <c r="T42" i="40" s="1"/>
  <c r="U42" i="40" s="1"/>
  <c r="V42" i="40" s="1"/>
  <c r="W42" i="40" s="1"/>
  <c r="X42" i="40" s="1"/>
  <c r="Y42" i="40" s="1"/>
  <c r="Z42" i="40" s="1"/>
  <c r="AA42" i="40" s="1"/>
  <c r="AB42" i="40" s="1"/>
  <c r="AC42" i="40" s="1"/>
  <c r="AD42" i="40" s="1"/>
  <c r="AE42" i="40" s="1"/>
  <c r="AF42" i="40" s="1"/>
  <c r="AG42" i="40" s="1"/>
  <c r="D41" i="40"/>
  <c r="E41" i="40" s="1"/>
  <c r="D40" i="40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AG40" i="40" s="1"/>
  <c r="D39" i="40"/>
  <c r="E39" i="40" s="1"/>
  <c r="D38" i="40"/>
  <c r="E38" i="40" s="1"/>
  <c r="F38" i="40" s="1"/>
  <c r="G38" i="40" s="1"/>
  <c r="H38" i="40" s="1"/>
  <c r="I38" i="40" s="1"/>
  <c r="J38" i="40" s="1"/>
  <c r="K38" i="40" s="1"/>
  <c r="L38" i="40" s="1"/>
  <c r="M38" i="40" s="1"/>
  <c r="N38" i="40" s="1"/>
  <c r="O38" i="40" s="1"/>
  <c r="P38" i="40" s="1"/>
  <c r="Q38" i="40" s="1"/>
  <c r="R38" i="40" s="1"/>
  <c r="S38" i="40" s="1"/>
  <c r="T38" i="40" s="1"/>
  <c r="U38" i="40" s="1"/>
  <c r="V38" i="40" s="1"/>
  <c r="W38" i="40" s="1"/>
  <c r="X38" i="40" s="1"/>
  <c r="Y38" i="40" s="1"/>
  <c r="Z38" i="40" s="1"/>
  <c r="AA38" i="40" s="1"/>
  <c r="AB38" i="40" s="1"/>
  <c r="AC38" i="40" s="1"/>
  <c r="AD38" i="40" s="1"/>
  <c r="AE38" i="40" s="1"/>
  <c r="AF38" i="40" s="1"/>
  <c r="AG38" i="40" s="1"/>
  <c r="L10" i="40"/>
  <c r="K10" i="40"/>
  <c r="L9" i="40"/>
  <c r="L11" i="40" s="1"/>
  <c r="K9" i="40"/>
  <c r="K11" i="40" s="1"/>
  <c r="J9" i="40"/>
  <c r="J11" i="40" s="1"/>
  <c r="I9" i="40"/>
  <c r="I11" i="40" s="1"/>
  <c r="R169" i="78" l="1"/>
  <c r="R170" i="78" s="1"/>
  <c r="T169" i="78"/>
  <c r="T170" i="78" s="1"/>
  <c r="V169" i="78"/>
  <c r="V170" i="78" s="1"/>
  <c r="U169" i="78"/>
  <c r="U170" i="78" s="1"/>
  <c r="W169" i="78"/>
  <c r="W170" i="78" s="1"/>
  <c r="S169" i="78"/>
  <c r="S170" i="78" s="1"/>
  <c r="T97" i="78"/>
  <c r="T98" i="78" s="1"/>
  <c r="S97" i="78"/>
  <c r="S98" i="78" s="1"/>
  <c r="V97" i="78"/>
  <c r="V98" i="78" s="1"/>
  <c r="U97" i="78"/>
  <c r="U98" i="78" s="1"/>
  <c r="R97" i="78"/>
  <c r="R98" i="78" s="1"/>
  <c r="W97" i="78"/>
  <c r="W98" i="78" s="1"/>
  <c r="U85" i="78"/>
  <c r="U86" i="78" s="1"/>
  <c r="V85" i="78"/>
  <c r="V86" i="78" s="1"/>
  <c r="S85" i="78"/>
  <c r="S86" i="78" s="1"/>
  <c r="R85" i="78"/>
  <c r="R86" i="78" s="1"/>
  <c r="T85" i="78"/>
  <c r="T86" i="78" s="1"/>
  <c r="V73" i="78"/>
  <c r="V74" i="78" s="1"/>
  <c r="T73" i="78"/>
  <c r="T74" i="78" s="1"/>
  <c r="R73" i="78"/>
  <c r="R74" i="78" s="1"/>
  <c r="U73" i="78"/>
  <c r="U74" i="78" s="1"/>
  <c r="S73" i="78"/>
  <c r="S74" i="78" s="1"/>
  <c r="W11" i="78"/>
  <c r="W12" i="78" s="1"/>
  <c r="W13" i="78" s="1"/>
  <c r="W14" i="78" s="1"/>
  <c r="U11" i="78"/>
  <c r="U12" i="78" s="1"/>
  <c r="U13" i="78" s="1"/>
  <c r="U14" i="78" s="1"/>
  <c r="R11" i="78"/>
  <c r="R12" i="78" s="1"/>
  <c r="R13" i="78" s="1"/>
  <c r="R14" i="78" s="1"/>
  <c r="S11" i="78"/>
  <c r="S12" i="78" s="1"/>
  <c r="S13" i="78" s="1"/>
  <c r="S14" i="78" s="1"/>
  <c r="T11" i="78"/>
  <c r="T12" i="78" s="1"/>
  <c r="T13" i="78" s="1"/>
  <c r="T14" i="78" s="1"/>
  <c r="V11" i="78"/>
  <c r="V12" i="78" s="1"/>
  <c r="V13" i="78" s="1"/>
  <c r="V14" i="78" s="1"/>
  <c r="W107" i="78"/>
  <c r="W108" i="78" s="1"/>
  <c r="S107" i="78"/>
  <c r="S108" i="78" s="1"/>
  <c r="T107" i="78"/>
  <c r="T108" i="78" s="1"/>
  <c r="U107" i="78"/>
  <c r="U108" i="78" s="1"/>
  <c r="V107" i="78"/>
  <c r="V108" i="78" s="1"/>
  <c r="R107" i="78"/>
  <c r="R108" i="78" s="1"/>
  <c r="W131" i="78"/>
  <c r="W132" i="78" s="1"/>
  <c r="S131" i="78"/>
  <c r="S132" i="78" s="1"/>
  <c r="T131" i="78"/>
  <c r="T132" i="78" s="1"/>
  <c r="R131" i="78"/>
  <c r="R132" i="78" s="1"/>
  <c r="U131" i="78"/>
  <c r="U132" i="78" s="1"/>
  <c r="V131" i="78"/>
  <c r="V132" i="78" s="1"/>
  <c r="W155" i="78"/>
  <c r="W156" i="78" s="1"/>
  <c r="S155" i="78"/>
  <c r="S156" i="78" s="1"/>
  <c r="U155" i="78"/>
  <c r="U156" i="78" s="1"/>
  <c r="T155" i="78"/>
  <c r="T156" i="78" s="1"/>
  <c r="V155" i="78"/>
  <c r="V156" i="78" s="1"/>
  <c r="R155" i="78"/>
  <c r="R156" i="78" s="1"/>
  <c r="W59" i="78"/>
  <c r="W60" i="78" s="1"/>
  <c r="R59" i="78"/>
  <c r="R60" i="78" s="1"/>
  <c r="S59" i="78"/>
  <c r="S60" i="78" s="1"/>
  <c r="T59" i="78"/>
  <c r="T60" i="78" s="1"/>
  <c r="V59" i="78"/>
  <c r="V60" i="78" s="1"/>
  <c r="U59" i="78"/>
  <c r="U60" i="78" s="1"/>
  <c r="W47" i="78"/>
  <c r="W48" i="78" s="1"/>
  <c r="R47" i="78"/>
  <c r="R48" i="78" s="1"/>
  <c r="S47" i="78"/>
  <c r="S48" i="78" s="1"/>
  <c r="V47" i="78"/>
  <c r="V48" i="78" s="1"/>
  <c r="U47" i="78"/>
  <c r="U48" i="78" s="1"/>
  <c r="T47" i="78"/>
  <c r="T48" i="78" s="1"/>
  <c r="W119" i="78"/>
  <c r="W120" i="78" s="1"/>
  <c r="R119" i="78"/>
  <c r="R120" i="78" s="1"/>
  <c r="S119" i="78"/>
  <c r="S120" i="78" s="1"/>
  <c r="U119" i="78"/>
  <c r="U120" i="78" s="1"/>
  <c r="V119" i="78"/>
  <c r="V120" i="78" s="1"/>
  <c r="T119" i="78"/>
  <c r="T120" i="78" s="1"/>
  <c r="W35" i="78"/>
  <c r="W36" i="78" s="1"/>
  <c r="U35" i="78"/>
  <c r="U36" i="78" s="1"/>
  <c r="V35" i="78"/>
  <c r="V36" i="78" s="1"/>
  <c r="T35" i="78"/>
  <c r="T36" i="78" s="1"/>
  <c r="S35" i="78"/>
  <c r="S36" i="78" s="1"/>
  <c r="R35" i="78"/>
  <c r="R36" i="78" s="1"/>
  <c r="W143" i="78"/>
  <c r="W144" i="78" s="1"/>
  <c r="R143" i="78"/>
  <c r="R144" i="78" s="1"/>
  <c r="V143" i="78"/>
  <c r="V144" i="78" s="1"/>
  <c r="U143" i="78"/>
  <c r="U144" i="78" s="1"/>
  <c r="T143" i="78"/>
  <c r="T144" i="78" s="1"/>
  <c r="S143" i="78"/>
  <c r="S144" i="78" s="1"/>
  <c r="AC194" i="58"/>
  <c r="AC188" i="58"/>
  <c r="AC178" i="58"/>
  <c r="AC186" i="58"/>
  <c r="AE187" i="53"/>
  <c r="AC188" i="57"/>
  <c r="AC179" i="55"/>
  <c r="AC187" i="64"/>
  <c r="AC194" i="55"/>
  <c r="AC186" i="55"/>
  <c r="AC188" i="55"/>
  <c r="AC194" i="64"/>
  <c r="AD188" i="52"/>
  <c r="AD179" i="52"/>
  <c r="AC179" i="62"/>
  <c r="AC188" i="62"/>
  <c r="AD179" i="53"/>
  <c r="AC186" i="65"/>
  <c r="AD188" i="53"/>
  <c r="AC188" i="65"/>
  <c r="AC194" i="57"/>
  <c r="AC178" i="62"/>
  <c r="AD194" i="51"/>
  <c r="AC194" i="63"/>
  <c r="AC186" i="66"/>
  <c r="AC186" i="63"/>
  <c r="AC179" i="66"/>
  <c r="AC178" i="65"/>
  <c r="AC179" i="63"/>
  <c r="AD179" i="67"/>
  <c r="AD186" i="53"/>
  <c r="AC178" i="64"/>
  <c r="AD188" i="51"/>
  <c r="AC194" i="65"/>
  <c r="AC179" i="64"/>
  <c r="AC194" i="62"/>
  <c r="AD187" i="51"/>
  <c r="AC188" i="61"/>
  <c r="AC178" i="61"/>
  <c r="AC187" i="61"/>
  <c r="AE177" i="62"/>
  <c r="AE192" i="62"/>
  <c r="AE193" i="62"/>
  <c r="AC179" i="57"/>
  <c r="AC194" i="66"/>
  <c r="AE177" i="64"/>
  <c r="AC178" i="66"/>
  <c r="AD194" i="53"/>
  <c r="AC188" i="63"/>
  <c r="AC186" i="57"/>
  <c r="AC179" i="61"/>
  <c r="AD179" i="51"/>
  <c r="AD186" i="67"/>
  <c r="AE193" i="53"/>
  <c r="AE177" i="53"/>
  <c r="AD194" i="67"/>
  <c r="AD178" i="67"/>
  <c r="AF246" i="45"/>
  <c r="AF262" i="45" s="1"/>
  <c r="AE59" i="67"/>
  <c r="AE154" i="67" s="1"/>
  <c r="AE161" i="67" s="1"/>
  <c r="AE163" i="67" s="1"/>
  <c r="AE170" i="67" s="1"/>
  <c r="AG214" i="45"/>
  <c r="AG230" i="45" s="1"/>
  <c r="AG58" i="67" s="1"/>
  <c r="AG137" i="67" s="1"/>
  <c r="AG144" i="67" s="1"/>
  <c r="AG146" i="67" s="1"/>
  <c r="AG168" i="67" s="1"/>
  <c r="AG213" i="45"/>
  <c r="AG229" i="45" s="1"/>
  <c r="AG58" i="66" s="1"/>
  <c r="AG137" i="66" s="1"/>
  <c r="AG144" i="66" s="1"/>
  <c r="AG146" i="66" s="1"/>
  <c r="AG168" i="66" s="1"/>
  <c r="AE245" i="45"/>
  <c r="AE261" i="45" s="1"/>
  <c r="AD59" i="66"/>
  <c r="AD154" i="66" s="1"/>
  <c r="AD161" i="66" s="1"/>
  <c r="AD163" i="66" s="1"/>
  <c r="AD170" i="66" s="1"/>
  <c r="AD179" i="66" s="1"/>
  <c r="AG212" i="45"/>
  <c r="AG228" i="45" s="1"/>
  <c r="AG58" i="55" s="1"/>
  <c r="AG137" i="55" s="1"/>
  <c r="AG144" i="55" s="1"/>
  <c r="AG146" i="55" s="1"/>
  <c r="AG168" i="55" s="1"/>
  <c r="AE244" i="45"/>
  <c r="AE260" i="45" s="1"/>
  <c r="AD59" i="55"/>
  <c r="AD154" i="55" s="1"/>
  <c r="AD161" i="55" s="1"/>
  <c r="AD163" i="55" s="1"/>
  <c r="AD170" i="55" s="1"/>
  <c r="AD179" i="55" s="1"/>
  <c r="AG211" i="45"/>
  <c r="AG227" i="45" s="1"/>
  <c r="AE243" i="45"/>
  <c r="AE259" i="45" s="1"/>
  <c r="AD59" i="65"/>
  <c r="AD154" i="65" s="1"/>
  <c r="AD161" i="65" s="1"/>
  <c r="AD163" i="65" s="1"/>
  <c r="AD170" i="65" s="1"/>
  <c r="AD178" i="65" s="1"/>
  <c r="AE242" i="45"/>
  <c r="AE258" i="45" s="1"/>
  <c r="AD59" i="58"/>
  <c r="AD154" i="58" s="1"/>
  <c r="AD161" i="58" s="1"/>
  <c r="AD163" i="58" s="1"/>
  <c r="AD170" i="58" s="1"/>
  <c r="AD186" i="58" s="1"/>
  <c r="AG210" i="45"/>
  <c r="AG226" i="45" s="1"/>
  <c r="AE187" i="57"/>
  <c r="AE193" i="57"/>
  <c r="AE192" i="57"/>
  <c r="AE177" i="57"/>
  <c r="AF58" i="57"/>
  <c r="AF137" i="57" s="1"/>
  <c r="AF144" i="57" s="1"/>
  <c r="AF146" i="57" s="1"/>
  <c r="AF168" i="57" s="1"/>
  <c r="AG209" i="45"/>
  <c r="AE241" i="45"/>
  <c r="AE257" i="45" s="1"/>
  <c r="AD59" i="57"/>
  <c r="AD154" i="57" s="1"/>
  <c r="AD161" i="57" s="1"/>
  <c r="AD163" i="57" s="1"/>
  <c r="AD170" i="57" s="1"/>
  <c r="AD188" i="57" s="1"/>
  <c r="AD194" i="52"/>
  <c r="AF240" i="45"/>
  <c r="AF256" i="45" s="1"/>
  <c r="AE59" i="52"/>
  <c r="AE154" i="52" s="1"/>
  <c r="AE161" i="52" s="1"/>
  <c r="AE163" i="52" s="1"/>
  <c r="AE170" i="52" s="1"/>
  <c r="AD187" i="52"/>
  <c r="AG208" i="45"/>
  <c r="AG224" i="45" s="1"/>
  <c r="AG58" i="52" s="1"/>
  <c r="AG137" i="52" s="1"/>
  <c r="AG144" i="52" s="1"/>
  <c r="AG146" i="52" s="1"/>
  <c r="AG168" i="52" s="1"/>
  <c r="AF239" i="45"/>
  <c r="AF255" i="45" s="1"/>
  <c r="AE58" i="53"/>
  <c r="AE154" i="53" s="1"/>
  <c r="AE161" i="53" s="1"/>
  <c r="AE163" i="53" s="1"/>
  <c r="AE170" i="53" s="1"/>
  <c r="AG207" i="45"/>
  <c r="AF57" i="53"/>
  <c r="AF137" i="53" s="1"/>
  <c r="AF144" i="53" s="1"/>
  <c r="AF146" i="53" s="1"/>
  <c r="AF168" i="53" s="1"/>
  <c r="AF193" i="53" s="1"/>
  <c r="AF238" i="45"/>
  <c r="AF254" i="45" s="1"/>
  <c r="AE58" i="51"/>
  <c r="AE154" i="51" s="1"/>
  <c r="AE161" i="51" s="1"/>
  <c r="AE163" i="51" s="1"/>
  <c r="AE170" i="51" s="1"/>
  <c r="AG206" i="45"/>
  <c r="AG222" i="45" s="1"/>
  <c r="AE192" i="64"/>
  <c r="AG205" i="45"/>
  <c r="AF57" i="64"/>
  <c r="AF137" i="64" s="1"/>
  <c r="AF144" i="64" s="1"/>
  <c r="AF146" i="64" s="1"/>
  <c r="AF168" i="64" s="1"/>
  <c r="AF192" i="64" s="1"/>
  <c r="AE186" i="64"/>
  <c r="AE237" i="45"/>
  <c r="AE253" i="45" s="1"/>
  <c r="AD58" i="64"/>
  <c r="AD154" i="64" s="1"/>
  <c r="AD161" i="64" s="1"/>
  <c r="AD163" i="64" s="1"/>
  <c r="AD170" i="64" s="1"/>
  <c r="AD188" i="64" s="1"/>
  <c r="AG204" i="45"/>
  <c r="AF57" i="63"/>
  <c r="AF137" i="63" s="1"/>
  <c r="AF144" i="63" s="1"/>
  <c r="AF146" i="63" s="1"/>
  <c r="AF168" i="63" s="1"/>
  <c r="AE193" i="63"/>
  <c r="AE177" i="63"/>
  <c r="AE192" i="63"/>
  <c r="AE187" i="63"/>
  <c r="AE236" i="45"/>
  <c r="AE252" i="45" s="1"/>
  <c r="AD58" i="63"/>
  <c r="AD154" i="63" s="1"/>
  <c r="AD161" i="63" s="1"/>
  <c r="AD163" i="63" s="1"/>
  <c r="AD170" i="63" s="1"/>
  <c r="AD194" i="63" s="1"/>
  <c r="AG203" i="45"/>
  <c r="AF57" i="62"/>
  <c r="AF137" i="62" s="1"/>
  <c r="AF144" i="62" s="1"/>
  <c r="AF146" i="62" s="1"/>
  <c r="AF168" i="62" s="1"/>
  <c r="AF192" i="62" s="1"/>
  <c r="AE235" i="45"/>
  <c r="AE251" i="45" s="1"/>
  <c r="AD58" i="62"/>
  <c r="AD154" i="62" s="1"/>
  <c r="AD161" i="62" s="1"/>
  <c r="AD163" i="62" s="1"/>
  <c r="AD170" i="62" s="1"/>
  <c r="AD194" i="62" s="1"/>
  <c r="AF57" i="38"/>
  <c r="AG202" i="45"/>
  <c r="AE234" i="45"/>
  <c r="AE250" i="45" s="1"/>
  <c r="AD58" i="38"/>
  <c r="AG201" i="45"/>
  <c r="AG217" i="45" s="1"/>
  <c r="AE233" i="45"/>
  <c r="AE249" i="45" s="1"/>
  <c r="AD58" i="61"/>
  <c r="AD154" i="61" s="1"/>
  <c r="AD161" i="61" s="1"/>
  <c r="AD163" i="61" s="1"/>
  <c r="AD170" i="61" s="1"/>
  <c r="AD188" i="61" s="1"/>
  <c r="AD177" i="51"/>
  <c r="AD186" i="51"/>
  <c r="AD192" i="51"/>
  <c r="AD193" i="51"/>
  <c r="AF58" i="66"/>
  <c r="AF137" i="66" s="1"/>
  <c r="AF144" i="66" s="1"/>
  <c r="AF146" i="66" s="1"/>
  <c r="AF168" i="66" s="1"/>
  <c r="AE187" i="66"/>
  <c r="AE177" i="66"/>
  <c r="AE192" i="66"/>
  <c r="AE193" i="66"/>
  <c r="AE192" i="52"/>
  <c r="AE177" i="52"/>
  <c r="AE186" i="52"/>
  <c r="AE193" i="52"/>
  <c r="AF58" i="52"/>
  <c r="AF137" i="52" s="1"/>
  <c r="AF144" i="52" s="1"/>
  <c r="AF146" i="52" s="1"/>
  <c r="AF168" i="52" s="1"/>
  <c r="AF58" i="67"/>
  <c r="AF137" i="67" s="1"/>
  <c r="AF144" i="67" s="1"/>
  <c r="AF146" i="67" s="1"/>
  <c r="AF168" i="67" s="1"/>
  <c r="AD177" i="58"/>
  <c r="AD192" i="58"/>
  <c r="AD187" i="58"/>
  <c r="AD193" i="58"/>
  <c r="AE192" i="67"/>
  <c r="AE187" i="67"/>
  <c r="AE193" i="67"/>
  <c r="AE177" i="67"/>
  <c r="AF58" i="55"/>
  <c r="AF137" i="55" s="1"/>
  <c r="AF144" i="55" s="1"/>
  <c r="AF146" i="55" s="1"/>
  <c r="AF168" i="55" s="1"/>
  <c r="AE58" i="58"/>
  <c r="AE137" i="58" s="1"/>
  <c r="AE144" i="58" s="1"/>
  <c r="AE146" i="58" s="1"/>
  <c r="AE168" i="58" s="1"/>
  <c r="AE192" i="55"/>
  <c r="AE187" i="55"/>
  <c r="AE177" i="55"/>
  <c r="AE193" i="55"/>
  <c r="AE58" i="65"/>
  <c r="AE137" i="65" s="1"/>
  <c r="AE144" i="65" s="1"/>
  <c r="AE146" i="65" s="1"/>
  <c r="AE168" i="65" s="1"/>
  <c r="AD177" i="65"/>
  <c r="AD187" i="65"/>
  <c r="AD193" i="65"/>
  <c r="AD192" i="65"/>
  <c r="AE57" i="61"/>
  <c r="AE137" i="61" s="1"/>
  <c r="AE144" i="61" s="1"/>
  <c r="AE146" i="61" s="1"/>
  <c r="AE168" i="61" s="1"/>
  <c r="AE57" i="51"/>
  <c r="AE137" i="51" s="1"/>
  <c r="AE144" i="51" s="1"/>
  <c r="AE146" i="51" s="1"/>
  <c r="AE168" i="51" s="1"/>
  <c r="AD193" i="61"/>
  <c r="AD177" i="61"/>
  <c r="AD186" i="61"/>
  <c r="AD192" i="61"/>
  <c r="K11" i="41"/>
  <c r="A218" i="41"/>
  <c r="B218" i="41" s="1"/>
  <c r="C54" i="43"/>
  <c r="B205" i="40"/>
  <c r="D51" i="40"/>
  <c r="A216" i="41"/>
  <c r="B216" i="41" s="1"/>
  <c r="C54" i="42"/>
  <c r="A221" i="40"/>
  <c r="D52" i="41"/>
  <c r="C55" i="41"/>
  <c r="A223" i="43"/>
  <c r="D86" i="40"/>
  <c r="E86" i="40" s="1"/>
  <c r="E107" i="40" s="1"/>
  <c r="C107" i="40"/>
  <c r="D51" i="42"/>
  <c r="E48" i="40"/>
  <c r="F48" i="40" s="1"/>
  <c r="G48" i="40" s="1"/>
  <c r="H48" i="40" s="1"/>
  <c r="I48" i="40" s="1"/>
  <c r="J48" i="40" s="1"/>
  <c r="K48" i="40" s="1"/>
  <c r="L48" i="40" s="1"/>
  <c r="M48" i="40" s="1"/>
  <c r="N48" i="40" s="1"/>
  <c r="O48" i="40" s="1"/>
  <c r="P48" i="40" s="1"/>
  <c r="Q48" i="40" s="1"/>
  <c r="R48" i="40" s="1"/>
  <c r="S48" i="40" s="1"/>
  <c r="T48" i="40" s="1"/>
  <c r="U48" i="40" s="1"/>
  <c r="V48" i="40" s="1"/>
  <c r="W48" i="40" s="1"/>
  <c r="X48" i="40" s="1"/>
  <c r="Y48" i="40" s="1"/>
  <c r="Z48" i="40" s="1"/>
  <c r="AA48" i="40" s="1"/>
  <c r="AB48" i="40" s="1"/>
  <c r="AC48" i="40" s="1"/>
  <c r="AD48" i="40" s="1"/>
  <c r="AE48" i="40" s="1"/>
  <c r="AF48" i="40" s="1"/>
  <c r="AG48" i="40" s="1"/>
  <c r="D52" i="40"/>
  <c r="E52" i="43"/>
  <c r="F45" i="43"/>
  <c r="F52" i="43" s="1"/>
  <c r="D52" i="43"/>
  <c r="D47" i="43"/>
  <c r="D53" i="43" s="1"/>
  <c r="D47" i="40"/>
  <c r="D53" i="40" s="1"/>
  <c r="G106" i="43"/>
  <c r="G106" i="42"/>
  <c r="G107" i="41"/>
  <c r="G106" i="40"/>
  <c r="G106" i="39"/>
  <c r="F80" i="40"/>
  <c r="D67" i="42"/>
  <c r="D69" i="42" s="1"/>
  <c r="D191" i="42" s="1"/>
  <c r="D196" i="42" s="1"/>
  <c r="C63" i="40"/>
  <c r="C64" i="40" s="1"/>
  <c r="D64" i="40" s="1"/>
  <c r="E64" i="40" s="1"/>
  <c r="F64" i="40" s="1"/>
  <c r="G64" i="40" s="1"/>
  <c r="H64" i="40" s="1"/>
  <c r="I64" i="40" s="1"/>
  <c r="J64" i="40" s="1"/>
  <c r="K64" i="40" s="1"/>
  <c r="L64" i="40" s="1"/>
  <c r="M64" i="40" s="1"/>
  <c r="N64" i="40" s="1"/>
  <c r="O64" i="40" s="1"/>
  <c r="P64" i="40" s="1"/>
  <c r="Q64" i="40" s="1"/>
  <c r="R64" i="40" s="1"/>
  <c r="S64" i="40" s="1"/>
  <c r="T64" i="40" s="1"/>
  <c r="U64" i="40" s="1"/>
  <c r="V64" i="40" s="1"/>
  <c r="W64" i="40" s="1"/>
  <c r="X64" i="40" s="1"/>
  <c r="Y64" i="40" s="1"/>
  <c r="Z64" i="40" s="1"/>
  <c r="AA64" i="40" s="1"/>
  <c r="AB64" i="40" s="1"/>
  <c r="AC64" i="40" s="1"/>
  <c r="AD64" i="40" s="1"/>
  <c r="AE64" i="40" s="1"/>
  <c r="AF64" i="40" s="1"/>
  <c r="AG64" i="40" s="1"/>
  <c r="C140" i="39"/>
  <c r="C64" i="41"/>
  <c r="C63" i="43"/>
  <c r="D63" i="43" s="1"/>
  <c r="E63" i="43" s="1"/>
  <c r="F63" i="43" s="1"/>
  <c r="G63" i="43" s="1"/>
  <c r="H63" i="43" s="1"/>
  <c r="I63" i="43" s="1"/>
  <c r="J63" i="43" s="1"/>
  <c r="K63" i="43" s="1"/>
  <c r="L63" i="43" s="1"/>
  <c r="M63" i="43" s="1"/>
  <c r="N63" i="43" s="1"/>
  <c r="O63" i="43" s="1"/>
  <c r="P63" i="43" s="1"/>
  <c r="Q63" i="43" s="1"/>
  <c r="R63" i="43" s="1"/>
  <c r="S63" i="43" s="1"/>
  <c r="T63" i="43" s="1"/>
  <c r="U63" i="43" s="1"/>
  <c r="V63" i="43" s="1"/>
  <c r="W63" i="43" s="1"/>
  <c r="X63" i="43" s="1"/>
  <c r="Y63" i="43" s="1"/>
  <c r="Z63" i="43" s="1"/>
  <c r="AA63" i="43" s="1"/>
  <c r="AB63" i="43" s="1"/>
  <c r="AC63" i="43" s="1"/>
  <c r="AD63" i="43" s="1"/>
  <c r="AE63" i="43" s="1"/>
  <c r="AF63" i="43" s="1"/>
  <c r="AG63" i="43" s="1"/>
  <c r="G82" i="43"/>
  <c r="T165" i="43" s="1"/>
  <c r="T173" i="43" s="1"/>
  <c r="T179" i="43" s="1"/>
  <c r="C82" i="43"/>
  <c r="D65" i="43"/>
  <c r="E65" i="43" s="1"/>
  <c r="F65" i="43" s="1"/>
  <c r="G65" i="43" s="1"/>
  <c r="H65" i="43" s="1"/>
  <c r="I65" i="43" s="1"/>
  <c r="J65" i="43" s="1"/>
  <c r="K65" i="43" s="1"/>
  <c r="C66" i="43"/>
  <c r="W157" i="43"/>
  <c r="W161" i="43" s="1"/>
  <c r="AG157" i="43"/>
  <c r="AG161" i="43" s="1"/>
  <c r="U157" i="43"/>
  <c r="U161" i="43" s="1"/>
  <c r="I157" i="43"/>
  <c r="I161" i="43" s="1"/>
  <c r="AF157" i="43"/>
  <c r="AF161" i="43" s="1"/>
  <c r="T157" i="43"/>
  <c r="T161" i="43" s="1"/>
  <c r="H157" i="43"/>
  <c r="H161" i="43" s="1"/>
  <c r="AE157" i="43"/>
  <c r="AE161" i="43" s="1"/>
  <c r="S157" i="43"/>
  <c r="S161" i="43" s="1"/>
  <c r="G157" i="43"/>
  <c r="G161" i="43" s="1"/>
  <c r="AD157" i="43"/>
  <c r="AD161" i="43" s="1"/>
  <c r="R157" i="43"/>
  <c r="R161" i="43" s="1"/>
  <c r="F157" i="43"/>
  <c r="F161" i="43" s="1"/>
  <c r="Y157" i="43"/>
  <c r="Y161" i="43" s="1"/>
  <c r="O157" i="43"/>
  <c r="O161" i="43" s="1"/>
  <c r="N157" i="43"/>
  <c r="N161" i="43" s="1"/>
  <c r="M157" i="43"/>
  <c r="M161" i="43" s="1"/>
  <c r="L157" i="43"/>
  <c r="L161" i="43" s="1"/>
  <c r="AC157" i="43"/>
  <c r="AC161" i="43" s="1"/>
  <c r="K157" i="43"/>
  <c r="K161" i="43" s="1"/>
  <c r="AB157" i="43"/>
  <c r="AB161" i="43" s="1"/>
  <c r="J157" i="43"/>
  <c r="J161" i="43" s="1"/>
  <c r="AA157" i="43"/>
  <c r="AA161" i="43" s="1"/>
  <c r="E157" i="43"/>
  <c r="E161" i="43" s="1"/>
  <c r="X157" i="43"/>
  <c r="X161" i="43" s="1"/>
  <c r="C157" i="43"/>
  <c r="C161" i="43" s="1"/>
  <c r="V157" i="43"/>
  <c r="V161" i="43" s="1"/>
  <c r="Q157" i="43"/>
  <c r="Q161" i="43" s="1"/>
  <c r="Z157" i="43"/>
  <c r="Z161" i="43" s="1"/>
  <c r="P157" i="43"/>
  <c r="P161" i="43" s="1"/>
  <c r="D157" i="43"/>
  <c r="D161" i="43" s="1"/>
  <c r="F41" i="43"/>
  <c r="AG187" i="43"/>
  <c r="AF187" i="43"/>
  <c r="AE187" i="43"/>
  <c r="AD187" i="43"/>
  <c r="R187" i="43"/>
  <c r="AC187" i="43"/>
  <c r="Q187" i="43"/>
  <c r="Z187" i="43"/>
  <c r="L187" i="43"/>
  <c r="Y187" i="43"/>
  <c r="K187" i="43"/>
  <c r="X187" i="43"/>
  <c r="J187" i="43"/>
  <c r="W187" i="43"/>
  <c r="I187" i="43"/>
  <c r="V187" i="43"/>
  <c r="H187" i="43"/>
  <c r="U187" i="43"/>
  <c r="G187" i="43"/>
  <c r="P187" i="43"/>
  <c r="D187" i="43"/>
  <c r="O187" i="43"/>
  <c r="C187" i="43"/>
  <c r="AB187" i="43"/>
  <c r="N187" i="43"/>
  <c r="AA187" i="43"/>
  <c r="T187" i="43"/>
  <c r="M187" i="43"/>
  <c r="F187" i="43"/>
  <c r="E187" i="43"/>
  <c r="S187" i="43"/>
  <c r="E39" i="43"/>
  <c r="C69" i="43"/>
  <c r="C191" i="43" s="1"/>
  <c r="C196" i="43" s="1"/>
  <c r="D67" i="43"/>
  <c r="C91" i="43"/>
  <c r="C98" i="43" s="1"/>
  <c r="C93" i="43"/>
  <c r="C100" i="43" s="1"/>
  <c r="D86" i="43"/>
  <c r="D107" i="43" s="1"/>
  <c r="Z185" i="43"/>
  <c r="N185" i="43"/>
  <c r="Y185" i="43"/>
  <c r="M185" i="43"/>
  <c r="X185" i="43"/>
  <c r="L185" i="43"/>
  <c r="W185" i="43"/>
  <c r="K185" i="43"/>
  <c r="V185" i="43"/>
  <c r="J185" i="43"/>
  <c r="AG185" i="43"/>
  <c r="U185" i="43"/>
  <c r="I185" i="43"/>
  <c r="AD185" i="43"/>
  <c r="R185" i="43"/>
  <c r="F185" i="43"/>
  <c r="AC185" i="43"/>
  <c r="Q185" i="43"/>
  <c r="E185" i="43"/>
  <c r="AB185" i="43"/>
  <c r="P185" i="43"/>
  <c r="D185" i="43"/>
  <c r="H185" i="43"/>
  <c r="G185" i="43"/>
  <c r="C185" i="43"/>
  <c r="AF185" i="43"/>
  <c r="AA185" i="43"/>
  <c r="T185" i="43"/>
  <c r="S185" i="43"/>
  <c r="AE185" i="43"/>
  <c r="O185" i="43"/>
  <c r="F51" i="43"/>
  <c r="E43" i="43"/>
  <c r="G44" i="43"/>
  <c r="H82" i="43"/>
  <c r="C166" i="43"/>
  <c r="C89" i="43"/>
  <c r="C96" i="43" s="1"/>
  <c r="D51" i="43"/>
  <c r="D50" i="43"/>
  <c r="E51" i="43"/>
  <c r="W175" i="43"/>
  <c r="K175" i="43"/>
  <c r="AF167" i="43"/>
  <c r="T167" i="43"/>
  <c r="H167" i="43"/>
  <c r="V175" i="43"/>
  <c r="J175" i="43"/>
  <c r="AE167" i="43"/>
  <c r="S167" i="43"/>
  <c r="G167" i="43"/>
  <c r="AG175" i="43"/>
  <c r="U175" i="43"/>
  <c r="I175" i="43"/>
  <c r="AD167" i="43"/>
  <c r="R167" i="43"/>
  <c r="F167" i="43"/>
  <c r="AF175" i="43"/>
  <c r="T175" i="43"/>
  <c r="H175" i="43"/>
  <c r="AC167" i="43"/>
  <c r="Q167" i="43"/>
  <c r="E167" i="43"/>
  <c r="AE175" i="43"/>
  <c r="S175" i="43"/>
  <c r="G175" i="43"/>
  <c r="AB167" i="43"/>
  <c r="P167" i="43"/>
  <c r="D167" i="43"/>
  <c r="AD175" i="43"/>
  <c r="R175" i="43"/>
  <c r="F175" i="43"/>
  <c r="AA167" i="43"/>
  <c r="O167" i="43"/>
  <c r="C167" i="43"/>
  <c r="AA175" i="43"/>
  <c r="O175" i="43"/>
  <c r="C175" i="43"/>
  <c r="X167" i="43"/>
  <c r="L167" i="43"/>
  <c r="Z175" i="43"/>
  <c r="N175" i="43"/>
  <c r="Y175" i="43"/>
  <c r="M175" i="43"/>
  <c r="V167" i="43"/>
  <c r="J167" i="43"/>
  <c r="X175" i="43"/>
  <c r="M167" i="43"/>
  <c r="Q175" i="43"/>
  <c r="K167" i="43"/>
  <c r="P175" i="43"/>
  <c r="I167" i="43"/>
  <c r="L175" i="43"/>
  <c r="E175" i="43"/>
  <c r="D175" i="43"/>
  <c r="AG167" i="43"/>
  <c r="Y167" i="43"/>
  <c r="W167" i="43"/>
  <c r="AC175" i="43"/>
  <c r="U167" i="43"/>
  <c r="Z167" i="43"/>
  <c r="N167" i="43"/>
  <c r="AB175" i="43"/>
  <c r="C70" i="43"/>
  <c r="F68" i="43"/>
  <c r="X140" i="43"/>
  <c r="L140" i="43"/>
  <c r="V140" i="43"/>
  <c r="J140" i="43"/>
  <c r="AG140" i="43"/>
  <c r="U140" i="43"/>
  <c r="I140" i="43"/>
  <c r="AF140" i="43"/>
  <c r="T140" i="43"/>
  <c r="H140" i="43"/>
  <c r="AB140" i="43"/>
  <c r="P140" i="43"/>
  <c r="D140" i="43"/>
  <c r="AA140" i="43"/>
  <c r="O140" i="43"/>
  <c r="C140" i="43"/>
  <c r="C141" i="43" s="1"/>
  <c r="Z140" i="43"/>
  <c r="N140" i="43"/>
  <c r="G140" i="43"/>
  <c r="F140" i="43"/>
  <c r="AE140" i="43"/>
  <c r="E140" i="43"/>
  <c r="AD140" i="43"/>
  <c r="AC140" i="43"/>
  <c r="Y140" i="43"/>
  <c r="W140" i="43"/>
  <c r="R140" i="43"/>
  <c r="Q140" i="43"/>
  <c r="M140" i="43"/>
  <c r="K140" i="43"/>
  <c r="F80" i="43"/>
  <c r="F82" i="43" s="1"/>
  <c r="S140" i="43"/>
  <c r="A216" i="43"/>
  <c r="B216" i="43" s="1"/>
  <c r="B209" i="43"/>
  <c r="B210" i="43"/>
  <c r="B208" i="43"/>
  <c r="A215" i="43"/>
  <c r="B215" i="43" s="1"/>
  <c r="B205" i="43"/>
  <c r="F48" i="42"/>
  <c r="G48" i="42" s="1"/>
  <c r="H48" i="42" s="1"/>
  <c r="I48" i="42" s="1"/>
  <c r="J48" i="42" s="1"/>
  <c r="K48" i="42" s="1"/>
  <c r="L48" i="42" s="1"/>
  <c r="M48" i="42" s="1"/>
  <c r="N48" i="42" s="1"/>
  <c r="O48" i="42" s="1"/>
  <c r="P48" i="42" s="1"/>
  <c r="Q48" i="42" s="1"/>
  <c r="R48" i="42" s="1"/>
  <c r="S48" i="42" s="1"/>
  <c r="T48" i="42" s="1"/>
  <c r="U48" i="42" s="1"/>
  <c r="V48" i="42" s="1"/>
  <c r="W48" i="42" s="1"/>
  <c r="X48" i="42" s="1"/>
  <c r="Y48" i="42" s="1"/>
  <c r="Z48" i="42" s="1"/>
  <c r="AA48" i="42" s="1"/>
  <c r="AB48" i="42" s="1"/>
  <c r="AC48" i="42" s="1"/>
  <c r="AD48" i="42" s="1"/>
  <c r="AE48" i="42" s="1"/>
  <c r="AF48" i="42" s="1"/>
  <c r="AG48" i="42" s="1"/>
  <c r="E50" i="42"/>
  <c r="E51" i="42"/>
  <c r="G44" i="42"/>
  <c r="V140" i="42"/>
  <c r="W60" i="42"/>
  <c r="X60" i="42" s="1"/>
  <c r="Y60" i="42" s="1"/>
  <c r="Z60" i="42" s="1"/>
  <c r="AA60" i="42" s="1"/>
  <c r="AB60" i="42" s="1"/>
  <c r="AC60" i="42" s="1"/>
  <c r="AD60" i="42" s="1"/>
  <c r="AE60" i="42" s="1"/>
  <c r="AF60" i="42" s="1"/>
  <c r="AG60" i="42" s="1"/>
  <c r="AG140" i="42" s="1"/>
  <c r="D65" i="42"/>
  <c r="E65" i="42" s="1"/>
  <c r="F65" i="42" s="1"/>
  <c r="G65" i="42" s="1"/>
  <c r="C66" i="42"/>
  <c r="C143" i="42" s="1"/>
  <c r="C148" i="42" s="1"/>
  <c r="F45" i="42"/>
  <c r="E52" i="42"/>
  <c r="Z157" i="42"/>
  <c r="Z161" i="42" s="1"/>
  <c r="N157" i="42"/>
  <c r="N161" i="42" s="1"/>
  <c r="Y157" i="42"/>
  <c r="Y161" i="42" s="1"/>
  <c r="M157" i="42"/>
  <c r="M161" i="42" s="1"/>
  <c r="AG157" i="42"/>
  <c r="AG161" i="42" s="1"/>
  <c r="U157" i="42"/>
  <c r="U161" i="42" s="1"/>
  <c r="I157" i="42"/>
  <c r="I161" i="42" s="1"/>
  <c r="AF157" i="42"/>
  <c r="AF161" i="42" s="1"/>
  <c r="Q157" i="42"/>
  <c r="Q161" i="42" s="1"/>
  <c r="AD157" i="42"/>
  <c r="AD161" i="42" s="1"/>
  <c r="O157" i="42"/>
  <c r="O161" i="42" s="1"/>
  <c r="AC157" i="42"/>
  <c r="AC161" i="42" s="1"/>
  <c r="L157" i="42"/>
  <c r="L161" i="42" s="1"/>
  <c r="W157" i="42"/>
  <c r="W161" i="42" s="1"/>
  <c r="D157" i="42"/>
  <c r="D161" i="42" s="1"/>
  <c r="V157" i="42"/>
  <c r="V161" i="42" s="1"/>
  <c r="C157" i="42"/>
  <c r="C161" i="42" s="1"/>
  <c r="S157" i="42"/>
  <c r="S161" i="42" s="1"/>
  <c r="P157" i="42"/>
  <c r="P161" i="42" s="1"/>
  <c r="K157" i="42"/>
  <c r="K161" i="42" s="1"/>
  <c r="J157" i="42"/>
  <c r="J161" i="42" s="1"/>
  <c r="AE157" i="42"/>
  <c r="AE161" i="42" s="1"/>
  <c r="H157" i="42"/>
  <c r="H161" i="42" s="1"/>
  <c r="AB157" i="42"/>
  <c r="AB161" i="42" s="1"/>
  <c r="AA157" i="42"/>
  <c r="AA161" i="42" s="1"/>
  <c r="X157" i="42"/>
  <c r="X161" i="42" s="1"/>
  <c r="T157" i="42"/>
  <c r="T161" i="42" s="1"/>
  <c r="R157" i="42"/>
  <c r="R161" i="42" s="1"/>
  <c r="E157" i="42"/>
  <c r="E161" i="42" s="1"/>
  <c r="G157" i="42"/>
  <c r="G161" i="42" s="1"/>
  <c r="F157" i="42"/>
  <c r="F161" i="42" s="1"/>
  <c r="F39" i="42"/>
  <c r="C93" i="42"/>
  <c r="C100" i="42" s="1"/>
  <c r="C91" i="42"/>
  <c r="C98" i="42" s="1"/>
  <c r="D86" i="42"/>
  <c r="D107" i="42" s="1"/>
  <c r="D52" i="42"/>
  <c r="D50" i="42"/>
  <c r="G82" i="42"/>
  <c r="C82" i="42"/>
  <c r="C63" i="42"/>
  <c r="F43" i="42"/>
  <c r="E47" i="42"/>
  <c r="E53" i="42" s="1"/>
  <c r="D47" i="42"/>
  <c r="D53" i="42" s="1"/>
  <c r="AC175" i="42"/>
  <c r="Q175" i="42"/>
  <c r="E175" i="42"/>
  <c r="Z167" i="42"/>
  <c r="N167" i="42"/>
  <c r="AB175" i="42"/>
  <c r="P175" i="42"/>
  <c r="D175" i="42"/>
  <c r="Y167" i="42"/>
  <c r="M167" i="42"/>
  <c r="Z175" i="42"/>
  <c r="N175" i="42"/>
  <c r="W167" i="42"/>
  <c r="K167" i="42"/>
  <c r="Y175" i="42"/>
  <c r="M175" i="42"/>
  <c r="V167" i="42"/>
  <c r="J167" i="42"/>
  <c r="W175" i="42"/>
  <c r="K175" i="42"/>
  <c r="AF167" i="42"/>
  <c r="T167" i="42"/>
  <c r="H167" i="42"/>
  <c r="V175" i="42"/>
  <c r="J175" i="42"/>
  <c r="AE167" i="42"/>
  <c r="AG175" i="42"/>
  <c r="U175" i="42"/>
  <c r="I175" i="42"/>
  <c r="AD167" i="42"/>
  <c r="R167" i="42"/>
  <c r="F167" i="42"/>
  <c r="AA175" i="42"/>
  <c r="Q167" i="42"/>
  <c r="T175" i="42"/>
  <c r="O167" i="42"/>
  <c r="S175" i="42"/>
  <c r="L167" i="42"/>
  <c r="L175" i="42"/>
  <c r="AC167" i="42"/>
  <c r="E167" i="42"/>
  <c r="G175" i="42"/>
  <c r="AA167" i="42"/>
  <c r="C167" i="42"/>
  <c r="C175" i="42"/>
  <c r="AG167" i="42"/>
  <c r="AE175" i="42"/>
  <c r="X167" i="42"/>
  <c r="AD175" i="42"/>
  <c r="U167" i="42"/>
  <c r="X175" i="42"/>
  <c r="S167" i="42"/>
  <c r="R175" i="42"/>
  <c r="P167" i="42"/>
  <c r="F175" i="42"/>
  <c r="AB167" i="42"/>
  <c r="I167" i="42"/>
  <c r="O175" i="42"/>
  <c r="G167" i="42"/>
  <c r="D167" i="42"/>
  <c r="AF175" i="42"/>
  <c r="H175" i="42"/>
  <c r="E41" i="42"/>
  <c r="G68" i="42"/>
  <c r="C70" i="42"/>
  <c r="AG187" i="42"/>
  <c r="AF187" i="42"/>
  <c r="AE187" i="42"/>
  <c r="AD187" i="42"/>
  <c r="AC187" i="42"/>
  <c r="Q187" i="42"/>
  <c r="AB187" i="42"/>
  <c r="AA187" i="42"/>
  <c r="O187" i="42"/>
  <c r="X187" i="42"/>
  <c r="L187" i="42"/>
  <c r="W187" i="42"/>
  <c r="K187" i="42"/>
  <c r="V187" i="42"/>
  <c r="F187" i="42"/>
  <c r="U187" i="42"/>
  <c r="E187" i="42"/>
  <c r="T187" i="42"/>
  <c r="D187" i="42"/>
  <c r="S187" i="42"/>
  <c r="C187" i="42"/>
  <c r="R187" i="42"/>
  <c r="P187" i="42"/>
  <c r="N187" i="42"/>
  <c r="M187" i="42"/>
  <c r="J187" i="42"/>
  <c r="Z187" i="42"/>
  <c r="I187" i="42"/>
  <c r="G187" i="42"/>
  <c r="Y187" i="42"/>
  <c r="H187" i="42"/>
  <c r="H80" i="42"/>
  <c r="H82" i="42" s="1"/>
  <c r="F80" i="42"/>
  <c r="F82" i="42" s="1"/>
  <c r="AF185" i="42"/>
  <c r="T185" i="42"/>
  <c r="H185" i="42"/>
  <c r="AE185" i="42"/>
  <c r="S185" i="42"/>
  <c r="G185" i="42"/>
  <c r="AD185" i="42"/>
  <c r="R185" i="42"/>
  <c r="F185" i="42"/>
  <c r="AC185" i="42"/>
  <c r="Q185" i="42"/>
  <c r="E185" i="42"/>
  <c r="AB185" i="42"/>
  <c r="P185" i="42"/>
  <c r="D185" i="42"/>
  <c r="Z185" i="42"/>
  <c r="N185" i="42"/>
  <c r="Y185" i="42"/>
  <c r="M185" i="42"/>
  <c r="X185" i="42"/>
  <c r="L185" i="42"/>
  <c r="O185" i="42"/>
  <c r="J185" i="42"/>
  <c r="I185" i="42"/>
  <c r="AA185" i="42"/>
  <c r="AG185" i="42"/>
  <c r="W185" i="42"/>
  <c r="V185" i="42"/>
  <c r="U185" i="42"/>
  <c r="K185" i="42"/>
  <c r="C185" i="42"/>
  <c r="C89" i="42"/>
  <c r="C96" i="42" s="1"/>
  <c r="C191" i="42"/>
  <c r="C196" i="42" s="1"/>
  <c r="C166" i="42"/>
  <c r="M140" i="42"/>
  <c r="K140" i="42"/>
  <c r="U140" i="42"/>
  <c r="I140" i="42"/>
  <c r="T140" i="42"/>
  <c r="H140" i="42"/>
  <c r="G140" i="42"/>
  <c r="F140" i="42"/>
  <c r="S140" i="42"/>
  <c r="D140" i="42"/>
  <c r="Q140" i="42"/>
  <c r="P140" i="42"/>
  <c r="O140" i="42"/>
  <c r="L140" i="42"/>
  <c r="J140" i="42"/>
  <c r="E140" i="42"/>
  <c r="C140" i="42"/>
  <c r="C141" i="42" s="1"/>
  <c r="N140" i="42"/>
  <c r="R140" i="42"/>
  <c r="B210" i="42"/>
  <c r="A217" i="42"/>
  <c r="B217" i="42" s="1"/>
  <c r="B209" i="42"/>
  <c r="B208" i="42"/>
  <c r="A215" i="42"/>
  <c r="B215" i="42" s="1"/>
  <c r="B205" i="42"/>
  <c r="H81" i="41"/>
  <c r="H83" i="41" s="1"/>
  <c r="D66" i="41"/>
  <c r="E66" i="41" s="1"/>
  <c r="F66" i="41" s="1"/>
  <c r="G66" i="41" s="1"/>
  <c r="H66" i="41" s="1"/>
  <c r="I66" i="41" s="1"/>
  <c r="J66" i="41" s="1"/>
  <c r="K66" i="41" s="1"/>
  <c r="L66" i="41" s="1"/>
  <c r="M66" i="41" s="1"/>
  <c r="N66" i="41" s="1"/>
  <c r="O66" i="41" s="1"/>
  <c r="C67" i="41"/>
  <c r="D67" i="41" s="1"/>
  <c r="D144" i="41" s="1"/>
  <c r="D149" i="41" s="1"/>
  <c r="F45" i="41"/>
  <c r="E68" i="41"/>
  <c r="E167" i="41" s="1"/>
  <c r="D48" i="41"/>
  <c r="D54" i="41" s="1"/>
  <c r="E44" i="41"/>
  <c r="D51" i="41"/>
  <c r="D53" i="41"/>
  <c r="E46" i="41"/>
  <c r="F58" i="41"/>
  <c r="G58" i="41" s="1"/>
  <c r="H58" i="41" s="1"/>
  <c r="I58" i="41" s="1"/>
  <c r="J58" i="41" s="1"/>
  <c r="K58" i="41" s="1"/>
  <c r="L58" i="41" s="1"/>
  <c r="M58" i="41" s="1"/>
  <c r="N58" i="41" s="1"/>
  <c r="O58" i="41" s="1"/>
  <c r="P58" i="41" s="1"/>
  <c r="Q58" i="41" s="1"/>
  <c r="R58" i="41" s="1"/>
  <c r="S58" i="41" s="1"/>
  <c r="T58" i="41" s="1"/>
  <c r="U58" i="41" s="1"/>
  <c r="V58" i="41" s="1"/>
  <c r="W58" i="41" s="1"/>
  <c r="X58" i="41" s="1"/>
  <c r="Y58" i="41" s="1"/>
  <c r="Z58" i="41" s="1"/>
  <c r="AA58" i="41" s="1"/>
  <c r="AB58" i="41" s="1"/>
  <c r="AC58" i="41" s="1"/>
  <c r="AD58" i="41" s="1"/>
  <c r="AE58" i="41" s="1"/>
  <c r="AF58" i="41" s="1"/>
  <c r="AG58" i="41" s="1"/>
  <c r="AG188" i="41" s="1"/>
  <c r="E188" i="41"/>
  <c r="C92" i="41"/>
  <c r="C99" i="41" s="1"/>
  <c r="C94" i="41"/>
  <c r="C101" i="41" s="1"/>
  <c r="D87" i="41"/>
  <c r="D108" i="41" s="1"/>
  <c r="E42" i="41"/>
  <c r="F40" i="41"/>
  <c r="AG141" i="41"/>
  <c r="D192" i="41"/>
  <c r="D197" i="41" s="1"/>
  <c r="D167" i="41"/>
  <c r="C167" i="41"/>
  <c r="C90" i="41"/>
  <c r="C97" i="41" s="1"/>
  <c r="E49" i="41"/>
  <c r="F49" i="41" s="1"/>
  <c r="G49" i="41" s="1"/>
  <c r="H49" i="41" s="1"/>
  <c r="I49" i="41" s="1"/>
  <c r="J49" i="41" s="1"/>
  <c r="K49" i="41" s="1"/>
  <c r="L49" i="41" s="1"/>
  <c r="M49" i="41" s="1"/>
  <c r="N49" i="41" s="1"/>
  <c r="O49" i="41" s="1"/>
  <c r="P49" i="41" s="1"/>
  <c r="Q49" i="41" s="1"/>
  <c r="R49" i="41" s="1"/>
  <c r="S49" i="41" s="1"/>
  <c r="T49" i="41" s="1"/>
  <c r="U49" i="41" s="1"/>
  <c r="V49" i="41" s="1"/>
  <c r="W49" i="41" s="1"/>
  <c r="X49" i="41" s="1"/>
  <c r="Y49" i="41" s="1"/>
  <c r="Z49" i="41" s="1"/>
  <c r="AA49" i="41" s="1"/>
  <c r="AB49" i="41" s="1"/>
  <c r="AC49" i="41" s="1"/>
  <c r="AD49" i="41" s="1"/>
  <c r="AE49" i="41" s="1"/>
  <c r="AF49" i="41" s="1"/>
  <c r="AG49" i="41" s="1"/>
  <c r="C70" i="41"/>
  <c r="C192" i="41" s="1"/>
  <c r="C197" i="41" s="1"/>
  <c r="F83" i="41"/>
  <c r="C71" i="41"/>
  <c r="G83" i="41"/>
  <c r="Y158" i="41"/>
  <c r="Y162" i="41" s="1"/>
  <c r="M158" i="41"/>
  <c r="M162" i="41" s="1"/>
  <c r="X158" i="41"/>
  <c r="X162" i="41" s="1"/>
  <c r="L158" i="41"/>
  <c r="L162" i="41" s="1"/>
  <c r="AG158" i="41"/>
  <c r="AG162" i="41" s="1"/>
  <c r="U158" i="41"/>
  <c r="U162" i="41" s="1"/>
  <c r="I158" i="41"/>
  <c r="I162" i="41" s="1"/>
  <c r="AF158" i="41"/>
  <c r="AF162" i="41" s="1"/>
  <c r="T158" i="41"/>
  <c r="T162" i="41" s="1"/>
  <c r="H158" i="41"/>
  <c r="H162" i="41" s="1"/>
  <c r="AC158" i="41"/>
  <c r="AC162" i="41" s="1"/>
  <c r="Q158" i="41"/>
  <c r="Q162" i="41" s="1"/>
  <c r="E158" i="41"/>
  <c r="E162" i="41" s="1"/>
  <c r="AB158" i="41"/>
  <c r="AB162" i="41" s="1"/>
  <c r="G158" i="41"/>
  <c r="G162" i="41" s="1"/>
  <c r="S158" i="41"/>
  <c r="S162" i="41" s="1"/>
  <c r="P158" i="41"/>
  <c r="P162" i="41" s="1"/>
  <c r="O158" i="41"/>
  <c r="O162" i="41" s="1"/>
  <c r="AD158" i="41"/>
  <c r="AD162" i="41" s="1"/>
  <c r="Z158" i="41"/>
  <c r="Z162" i="41" s="1"/>
  <c r="V158" i="41"/>
  <c r="V162" i="41" s="1"/>
  <c r="N158" i="41"/>
  <c r="N162" i="41" s="1"/>
  <c r="J158" i="41"/>
  <c r="J162" i="41" s="1"/>
  <c r="F158" i="41"/>
  <c r="F162" i="41" s="1"/>
  <c r="C158" i="41"/>
  <c r="C162" i="41" s="1"/>
  <c r="AE158" i="41"/>
  <c r="AE162" i="41" s="1"/>
  <c r="W158" i="41"/>
  <c r="W162" i="41" s="1"/>
  <c r="R158" i="41"/>
  <c r="R162" i="41" s="1"/>
  <c r="K158" i="41"/>
  <c r="K162" i="41" s="1"/>
  <c r="D158" i="41"/>
  <c r="D162" i="41" s="1"/>
  <c r="AA158" i="41"/>
  <c r="AA162" i="41" s="1"/>
  <c r="C83" i="41"/>
  <c r="AA176" i="41"/>
  <c r="O176" i="41"/>
  <c r="C176" i="41"/>
  <c r="X168" i="41"/>
  <c r="L168" i="41"/>
  <c r="Z176" i="41"/>
  <c r="N176" i="41"/>
  <c r="W168" i="41"/>
  <c r="K168" i="41"/>
  <c r="Y176" i="41"/>
  <c r="M176" i="41"/>
  <c r="V168" i="41"/>
  <c r="J168" i="41"/>
  <c r="X176" i="41"/>
  <c r="L176" i="41"/>
  <c r="AG168" i="41"/>
  <c r="U168" i="41"/>
  <c r="I168" i="41"/>
  <c r="W176" i="41"/>
  <c r="K176" i="41"/>
  <c r="AF168" i="41"/>
  <c r="T168" i="41"/>
  <c r="H168" i="41"/>
  <c r="V176" i="41"/>
  <c r="J176" i="41"/>
  <c r="AE168" i="41"/>
  <c r="S168" i="41"/>
  <c r="G168" i="41"/>
  <c r="AG176" i="41"/>
  <c r="U176" i="41"/>
  <c r="I176" i="41"/>
  <c r="AD168" i="41"/>
  <c r="R168" i="41"/>
  <c r="F168" i="41"/>
  <c r="AF176" i="41"/>
  <c r="T176" i="41"/>
  <c r="H176" i="41"/>
  <c r="AC168" i="41"/>
  <c r="Q168" i="41"/>
  <c r="E168" i="41"/>
  <c r="AD176" i="41"/>
  <c r="R176" i="41"/>
  <c r="F176" i="41"/>
  <c r="AA168" i="41"/>
  <c r="O168" i="41"/>
  <c r="C168" i="41"/>
  <c r="P176" i="41"/>
  <c r="N168" i="41"/>
  <c r="E176" i="41"/>
  <c r="D168" i="41"/>
  <c r="D176" i="41"/>
  <c r="AE176" i="41"/>
  <c r="S176" i="41"/>
  <c r="Y168" i="41"/>
  <c r="Q176" i="41"/>
  <c r="P168" i="41"/>
  <c r="AB176" i="41"/>
  <c r="AC176" i="41"/>
  <c r="AB168" i="41"/>
  <c r="M168" i="41"/>
  <c r="Z168" i="41"/>
  <c r="G176" i="41"/>
  <c r="D188" i="41"/>
  <c r="C188" i="41"/>
  <c r="U141" i="41"/>
  <c r="AD186" i="41"/>
  <c r="R186" i="41"/>
  <c r="F186" i="41"/>
  <c r="AC186" i="41"/>
  <c r="Q186" i="41"/>
  <c r="E186" i="41"/>
  <c r="AB186" i="41"/>
  <c r="P186" i="41"/>
  <c r="D186" i="41"/>
  <c r="AA186" i="41"/>
  <c r="O186" i="41"/>
  <c r="C186" i="41"/>
  <c r="Z186" i="41"/>
  <c r="N186" i="41"/>
  <c r="Y186" i="41"/>
  <c r="M186" i="41"/>
  <c r="X186" i="41"/>
  <c r="L186" i="41"/>
  <c r="W186" i="41"/>
  <c r="K186" i="41"/>
  <c r="AG186" i="41"/>
  <c r="U186" i="41"/>
  <c r="I186" i="41"/>
  <c r="AF186" i="41"/>
  <c r="V186" i="41"/>
  <c r="T186" i="41"/>
  <c r="H186" i="41"/>
  <c r="G186" i="41"/>
  <c r="S186" i="41"/>
  <c r="J186" i="41"/>
  <c r="AE186" i="41"/>
  <c r="AC141" i="41"/>
  <c r="F69" i="41"/>
  <c r="AB141" i="41"/>
  <c r="P141" i="41"/>
  <c r="D141" i="41"/>
  <c r="AA141" i="41"/>
  <c r="O141" i="41"/>
  <c r="C141" i="41"/>
  <c r="C142" i="41" s="1"/>
  <c r="X141" i="41"/>
  <c r="L141" i="41"/>
  <c r="T141" i="41"/>
  <c r="E141" i="41"/>
  <c r="AD141" i="41"/>
  <c r="M141" i="41"/>
  <c r="AF141" i="41"/>
  <c r="K141" i="41"/>
  <c r="Y141" i="41"/>
  <c r="G141" i="41"/>
  <c r="V141" i="41"/>
  <c r="AE141" i="41"/>
  <c r="F141" i="41"/>
  <c r="Z141" i="41"/>
  <c r="W141" i="41"/>
  <c r="S141" i="41"/>
  <c r="Q141" i="41"/>
  <c r="R141" i="41"/>
  <c r="N141" i="41"/>
  <c r="J141" i="41"/>
  <c r="I141" i="41"/>
  <c r="H141" i="41"/>
  <c r="A215" i="41"/>
  <c r="B215" i="41" s="1"/>
  <c r="A222" i="41"/>
  <c r="B206" i="41"/>
  <c r="A217" i="41"/>
  <c r="B217" i="41" s="1"/>
  <c r="B210" i="41"/>
  <c r="H82" i="40"/>
  <c r="C190" i="40" s="1"/>
  <c r="C195" i="40" s="1"/>
  <c r="C201" i="40" s="1"/>
  <c r="C54" i="40"/>
  <c r="F44" i="40"/>
  <c r="F45" i="40"/>
  <c r="F39" i="40"/>
  <c r="F41" i="40"/>
  <c r="E43" i="40"/>
  <c r="D50" i="40"/>
  <c r="C166" i="40"/>
  <c r="C191" i="40"/>
  <c r="C196" i="40" s="1"/>
  <c r="C89" i="40"/>
  <c r="C96" i="40" s="1"/>
  <c r="E59" i="40"/>
  <c r="C141" i="40"/>
  <c r="C91" i="40"/>
  <c r="C98" i="40" s="1"/>
  <c r="C93" i="40"/>
  <c r="C100" i="40" s="1"/>
  <c r="F82" i="40"/>
  <c r="C82" i="40"/>
  <c r="D65" i="40"/>
  <c r="E65" i="40" s="1"/>
  <c r="F65" i="40" s="1"/>
  <c r="G65" i="40" s="1"/>
  <c r="H65" i="40" s="1"/>
  <c r="I65" i="40" s="1"/>
  <c r="C66" i="40"/>
  <c r="C143" i="40" s="1"/>
  <c r="C148" i="40" s="1"/>
  <c r="V175" i="40"/>
  <c r="J175" i="40"/>
  <c r="AE167" i="40"/>
  <c r="S167" i="40"/>
  <c r="G167" i="40"/>
  <c r="AG175" i="40"/>
  <c r="U175" i="40"/>
  <c r="I175" i="40"/>
  <c r="AD167" i="40"/>
  <c r="R167" i="40"/>
  <c r="F167" i="40"/>
  <c r="AF175" i="40"/>
  <c r="T175" i="40"/>
  <c r="H175" i="40"/>
  <c r="AC167" i="40"/>
  <c r="Q167" i="40"/>
  <c r="E167" i="40"/>
  <c r="AE175" i="40"/>
  <c r="S175" i="40"/>
  <c r="G175" i="40"/>
  <c r="AB167" i="40"/>
  <c r="P167" i="40"/>
  <c r="D167" i="40"/>
  <c r="AD175" i="40"/>
  <c r="R175" i="40"/>
  <c r="F175" i="40"/>
  <c r="AA167" i="40"/>
  <c r="O167" i="40"/>
  <c r="C167" i="40"/>
  <c r="AC175" i="40"/>
  <c r="Q175" i="40"/>
  <c r="E175" i="40"/>
  <c r="Z167" i="40"/>
  <c r="N167" i="40"/>
  <c r="AB175" i="40"/>
  <c r="P175" i="40"/>
  <c r="D175" i="40"/>
  <c r="Y167" i="40"/>
  <c r="M167" i="40"/>
  <c r="AA175" i="40"/>
  <c r="O175" i="40"/>
  <c r="C175" i="40"/>
  <c r="X167" i="40"/>
  <c r="L167" i="40"/>
  <c r="Z175" i="40"/>
  <c r="N175" i="40"/>
  <c r="W167" i="40"/>
  <c r="K167" i="40"/>
  <c r="M175" i="40"/>
  <c r="J167" i="40"/>
  <c r="L175" i="40"/>
  <c r="I167" i="40"/>
  <c r="K175" i="40"/>
  <c r="H167" i="40"/>
  <c r="AG167" i="40"/>
  <c r="AF167" i="40"/>
  <c r="X175" i="40"/>
  <c r="V167" i="40"/>
  <c r="W175" i="40"/>
  <c r="U167" i="40"/>
  <c r="T167" i="40"/>
  <c r="Y175" i="40"/>
  <c r="C70" i="40"/>
  <c r="D67" i="40"/>
  <c r="AE157" i="40"/>
  <c r="AE161" i="40" s="1"/>
  <c r="AD157" i="40"/>
  <c r="AD161" i="40" s="1"/>
  <c r="AA157" i="40"/>
  <c r="AA161" i="40" s="1"/>
  <c r="Z157" i="40"/>
  <c r="Z161" i="40" s="1"/>
  <c r="N157" i="40"/>
  <c r="N161" i="40" s="1"/>
  <c r="Y157" i="40"/>
  <c r="Y161" i="40" s="1"/>
  <c r="M157" i="40"/>
  <c r="M161" i="40" s="1"/>
  <c r="X157" i="40"/>
  <c r="X161" i="40" s="1"/>
  <c r="L157" i="40"/>
  <c r="L161" i="40" s="1"/>
  <c r="W157" i="40"/>
  <c r="W161" i="40" s="1"/>
  <c r="K157" i="40"/>
  <c r="K161" i="40" s="1"/>
  <c r="V157" i="40"/>
  <c r="V161" i="40" s="1"/>
  <c r="J157" i="40"/>
  <c r="J161" i="40" s="1"/>
  <c r="U157" i="40"/>
  <c r="U161" i="40" s="1"/>
  <c r="I157" i="40"/>
  <c r="I161" i="40" s="1"/>
  <c r="T157" i="40"/>
  <c r="T161" i="40" s="1"/>
  <c r="H157" i="40"/>
  <c r="H161" i="40" s="1"/>
  <c r="S157" i="40"/>
  <c r="S161" i="40" s="1"/>
  <c r="G157" i="40"/>
  <c r="G161" i="40" s="1"/>
  <c r="AG157" i="40"/>
  <c r="AG161" i="40" s="1"/>
  <c r="R157" i="40"/>
  <c r="R161" i="40" s="1"/>
  <c r="F157" i="40"/>
  <c r="F161" i="40" s="1"/>
  <c r="AF157" i="40"/>
  <c r="AF161" i="40" s="1"/>
  <c r="AC157" i="40"/>
  <c r="AC161" i="40" s="1"/>
  <c r="AB157" i="40"/>
  <c r="AB161" i="40" s="1"/>
  <c r="Q157" i="40"/>
  <c r="Q161" i="40" s="1"/>
  <c r="P157" i="40"/>
  <c r="P161" i="40" s="1"/>
  <c r="E157" i="40"/>
  <c r="E161" i="40" s="1"/>
  <c r="O157" i="40"/>
  <c r="O161" i="40" s="1"/>
  <c r="D157" i="40"/>
  <c r="D161" i="40" s="1"/>
  <c r="AD187" i="40"/>
  <c r="R187" i="40"/>
  <c r="AC187" i="40"/>
  <c r="Q187" i="40"/>
  <c r="AB187" i="40"/>
  <c r="P187" i="40"/>
  <c r="X187" i="40"/>
  <c r="L187" i="40"/>
  <c r="W187" i="40"/>
  <c r="K187" i="40"/>
  <c r="AG187" i="40"/>
  <c r="M187" i="40"/>
  <c r="AF187" i="40"/>
  <c r="J187" i="40"/>
  <c r="AE187" i="40"/>
  <c r="I187" i="40"/>
  <c r="AA187" i="40"/>
  <c r="H187" i="40"/>
  <c r="Z187" i="40"/>
  <c r="G187" i="40"/>
  <c r="Y187" i="40"/>
  <c r="F187" i="40"/>
  <c r="V187" i="40"/>
  <c r="E187" i="40"/>
  <c r="U187" i="40"/>
  <c r="D187" i="40"/>
  <c r="T187" i="40"/>
  <c r="C187" i="40"/>
  <c r="S187" i="40"/>
  <c r="O187" i="40"/>
  <c r="N187" i="40"/>
  <c r="Y185" i="40"/>
  <c r="M185" i="40"/>
  <c r="X185" i="40"/>
  <c r="L185" i="40"/>
  <c r="W185" i="40"/>
  <c r="K185" i="40"/>
  <c r="V185" i="40"/>
  <c r="J185" i="40"/>
  <c r="AG185" i="40"/>
  <c r="U185" i="40"/>
  <c r="I185" i="40"/>
  <c r="AF185" i="40"/>
  <c r="T185" i="40"/>
  <c r="H185" i="40"/>
  <c r="AE185" i="40"/>
  <c r="S185" i="40"/>
  <c r="G185" i="40"/>
  <c r="AD185" i="40"/>
  <c r="R185" i="40"/>
  <c r="F185" i="40"/>
  <c r="AC185" i="40"/>
  <c r="Q185" i="40"/>
  <c r="E185" i="40"/>
  <c r="C185" i="40"/>
  <c r="AB185" i="40"/>
  <c r="AA185" i="40"/>
  <c r="Z185" i="40"/>
  <c r="P185" i="40"/>
  <c r="O185" i="40"/>
  <c r="N185" i="40"/>
  <c r="D185" i="40"/>
  <c r="E140" i="40"/>
  <c r="F60" i="40"/>
  <c r="E68" i="40"/>
  <c r="D140" i="40"/>
  <c r="D141" i="40" s="1"/>
  <c r="B210" i="40"/>
  <c r="A217" i="40"/>
  <c r="B217" i="40" s="1"/>
  <c r="B209" i="40"/>
  <c r="B208" i="40"/>
  <c r="A215" i="40"/>
  <c r="B215" i="40" s="1"/>
  <c r="CK129" i="2" l="1"/>
  <c r="CH129" i="2" s="1"/>
  <c r="F126" i="4" s="1"/>
  <c r="O126" i="4" s="1"/>
  <c r="O131" i="4" s="1"/>
  <c r="AH14" i="14" a="1"/>
  <c r="AH14" i="14" s="1"/>
  <c r="AE14" i="14" a="1"/>
  <c r="AE14" i="14" s="1"/>
  <c r="CK85" i="2"/>
  <c r="CH85" i="2" s="1"/>
  <c r="AH10" i="14" a="1"/>
  <c r="AH10" i="14" s="1"/>
  <c r="AE10" i="14" a="1"/>
  <c r="AE10" i="14" s="1"/>
  <c r="CK140" i="2"/>
  <c r="CH140" i="2" s="1"/>
  <c r="AH15" i="14" a="1"/>
  <c r="AH15" i="14" s="1"/>
  <c r="AE15" i="14" a="1"/>
  <c r="AE15" i="14" s="1"/>
  <c r="CK151" i="2"/>
  <c r="CH151" i="2" s="1"/>
  <c r="F148" i="4" s="1"/>
  <c r="O148" i="4" s="1"/>
  <c r="O153" i="4" s="1"/>
  <c r="AE16" i="14" a="1"/>
  <c r="AE16" i="14" s="1"/>
  <c r="AH16" i="14" a="1"/>
  <c r="AH16" i="14" s="1"/>
  <c r="W75" i="78"/>
  <c r="W76" i="78" s="1"/>
  <c r="T171" i="78"/>
  <c r="T172" i="78" s="1"/>
  <c r="T87" i="78"/>
  <c r="T88" i="78" s="1"/>
  <c r="S87" i="78"/>
  <c r="R87" i="78"/>
  <c r="R88" i="78" s="1"/>
  <c r="U87" i="78"/>
  <c r="U88" i="78" s="1"/>
  <c r="W99" i="78"/>
  <c r="W100" i="78" s="1"/>
  <c r="V171" i="78"/>
  <c r="V172" i="78" s="1"/>
  <c r="S171" i="78"/>
  <c r="S172" i="78" s="1"/>
  <c r="W171" i="78"/>
  <c r="W172" i="78" s="1"/>
  <c r="R171" i="78"/>
  <c r="R172" i="78" s="1"/>
  <c r="U171" i="78"/>
  <c r="U172" i="78" s="1"/>
  <c r="S157" i="78"/>
  <c r="S158" i="78" s="1"/>
  <c r="W157" i="78"/>
  <c r="W158" i="78" s="1"/>
  <c r="T157" i="78"/>
  <c r="T158" i="78" s="1"/>
  <c r="U157" i="78"/>
  <c r="U158" i="78" s="1"/>
  <c r="R157" i="78"/>
  <c r="R158" i="78" s="1"/>
  <c r="V157" i="78"/>
  <c r="V158" i="78" s="1"/>
  <c r="S145" i="78"/>
  <c r="S146" i="78" s="1"/>
  <c r="T145" i="78"/>
  <c r="T146" i="78" s="1"/>
  <c r="U145" i="78"/>
  <c r="U146" i="78" s="1"/>
  <c r="V145" i="78"/>
  <c r="V146" i="78" s="1"/>
  <c r="R145" i="78"/>
  <c r="R146" i="78" s="1"/>
  <c r="W145" i="78"/>
  <c r="W146" i="78" s="1"/>
  <c r="V133" i="78"/>
  <c r="V134" i="78" s="1"/>
  <c r="U133" i="78"/>
  <c r="U134" i="78" s="1"/>
  <c r="R133" i="78"/>
  <c r="R134" i="78" s="1"/>
  <c r="T133" i="78"/>
  <c r="T134" i="78" s="1"/>
  <c r="S133" i="78"/>
  <c r="S134" i="78" s="1"/>
  <c r="W133" i="78"/>
  <c r="W134" i="78" s="1"/>
  <c r="T121" i="78"/>
  <c r="T122" i="78" s="1"/>
  <c r="U99" i="78"/>
  <c r="U100" i="78" s="1"/>
  <c r="V121" i="78"/>
  <c r="V122" i="78" s="1"/>
  <c r="U121" i="78"/>
  <c r="U122" i="78" s="1"/>
  <c r="S88" i="78"/>
  <c r="S121" i="78"/>
  <c r="S122" i="78" s="1"/>
  <c r="R121" i="78"/>
  <c r="R122" i="78" s="1"/>
  <c r="S99" i="78"/>
  <c r="S100" i="78" s="1"/>
  <c r="W121" i="78"/>
  <c r="W122" i="78" s="1"/>
  <c r="R109" i="78"/>
  <c r="R110" i="78" s="1"/>
  <c r="V109" i="78"/>
  <c r="V110" i="78" s="1"/>
  <c r="U109" i="78"/>
  <c r="U110" i="78" s="1"/>
  <c r="T109" i="78"/>
  <c r="T110" i="78" s="1"/>
  <c r="S109" i="78"/>
  <c r="S110" i="78" s="1"/>
  <c r="V99" i="78"/>
  <c r="V100" i="78" s="1"/>
  <c r="W109" i="78"/>
  <c r="W110" i="78" s="1"/>
  <c r="T99" i="78"/>
  <c r="T100" i="78" s="1"/>
  <c r="V87" i="78"/>
  <c r="V88" i="78" s="1"/>
  <c r="R99" i="78"/>
  <c r="R100" i="78" s="1"/>
  <c r="W87" i="78"/>
  <c r="W88" i="78" s="1"/>
  <c r="U75" i="78"/>
  <c r="U76" i="78" s="1"/>
  <c r="V75" i="78"/>
  <c r="V76" i="78" s="1"/>
  <c r="S75" i="78"/>
  <c r="S76" i="78" s="1"/>
  <c r="R75" i="78"/>
  <c r="R76" i="78" s="1"/>
  <c r="T75" i="78"/>
  <c r="T76" i="78" s="1"/>
  <c r="U61" i="78"/>
  <c r="U62" i="78" s="1"/>
  <c r="V61" i="78"/>
  <c r="V62" i="78" s="1"/>
  <c r="T61" i="78"/>
  <c r="T62" i="78" s="1"/>
  <c r="S61" i="78"/>
  <c r="S62" i="78" s="1"/>
  <c r="R61" i="78"/>
  <c r="R62" i="78" s="1"/>
  <c r="W61" i="78"/>
  <c r="W62" i="78" s="1"/>
  <c r="U49" i="78"/>
  <c r="U50" i="78" s="1"/>
  <c r="V49" i="78"/>
  <c r="V50" i="78" s="1"/>
  <c r="S49" i="78"/>
  <c r="S50" i="78" s="1"/>
  <c r="R49" i="78"/>
  <c r="R50" i="78" s="1"/>
  <c r="W49" i="78"/>
  <c r="W50" i="78" s="1"/>
  <c r="T49" i="78"/>
  <c r="T50" i="78" s="1"/>
  <c r="R37" i="78"/>
  <c r="R38" i="78" s="1"/>
  <c r="S37" i="78"/>
  <c r="S38" i="78" s="1"/>
  <c r="T37" i="78"/>
  <c r="T38" i="78" s="1"/>
  <c r="V37" i="78"/>
  <c r="V38" i="78" s="1"/>
  <c r="U37" i="78"/>
  <c r="U38" i="78" s="1"/>
  <c r="W37" i="78"/>
  <c r="W38" i="78" s="1"/>
  <c r="E108" i="74"/>
  <c r="AD58" i="75"/>
  <c r="AD178" i="63"/>
  <c r="AD186" i="63"/>
  <c r="AF177" i="53"/>
  <c r="AF187" i="53"/>
  <c r="AF177" i="64"/>
  <c r="AF193" i="64"/>
  <c r="AD179" i="63"/>
  <c r="AD179" i="57"/>
  <c r="AF177" i="62"/>
  <c r="AG218" i="45"/>
  <c r="AG57" i="38" s="1"/>
  <c r="AG223" i="45"/>
  <c r="AG57" i="53" s="1"/>
  <c r="AG137" i="53" s="1"/>
  <c r="AG144" i="53" s="1"/>
  <c r="AG146" i="53" s="1"/>
  <c r="AG168" i="53" s="1"/>
  <c r="AG220" i="45"/>
  <c r="AG57" i="63" s="1"/>
  <c r="AG137" i="63" s="1"/>
  <c r="AG144" i="63" s="1"/>
  <c r="AG146" i="63" s="1"/>
  <c r="AG168" i="63" s="1"/>
  <c r="AF186" i="64"/>
  <c r="AG219" i="45"/>
  <c r="AG57" i="62" s="1"/>
  <c r="AG137" i="62" s="1"/>
  <c r="AG144" i="62" s="1"/>
  <c r="AG146" i="62" s="1"/>
  <c r="AG168" i="62" s="1"/>
  <c r="CK30" i="2" s="1"/>
  <c r="CH30" i="2" s="1"/>
  <c r="AG221" i="45"/>
  <c r="AG57" i="64" s="1"/>
  <c r="AG137" i="64" s="1"/>
  <c r="AG144" i="64" s="1"/>
  <c r="AG146" i="64" s="1"/>
  <c r="AG168" i="64" s="1"/>
  <c r="AF187" i="62"/>
  <c r="AG225" i="45"/>
  <c r="AG58" i="57" s="1"/>
  <c r="AG137" i="57" s="1"/>
  <c r="AG144" i="57" s="1"/>
  <c r="AG146" i="57" s="1"/>
  <c r="AG168" i="57" s="1"/>
  <c r="AD188" i="63"/>
  <c r="AD178" i="55"/>
  <c r="AD194" i="55"/>
  <c r="AD178" i="61"/>
  <c r="AB79" i="51"/>
  <c r="AB79" i="67"/>
  <c r="AD186" i="55"/>
  <c r="AD188" i="55"/>
  <c r="AD186" i="57"/>
  <c r="AD179" i="64"/>
  <c r="AD178" i="58"/>
  <c r="AD188" i="58"/>
  <c r="AD194" i="65"/>
  <c r="AD179" i="65"/>
  <c r="AD194" i="64"/>
  <c r="AD178" i="64"/>
  <c r="AD187" i="64"/>
  <c r="AD179" i="58"/>
  <c r="AD178" i="57"/>
  <c r="AD194" i="66"/>
  <c r="AD186" i="66"/>
  <c r="AD188" i="66"/>
  <c r="AD178" i="66"/>
  <c r="AD194" i="58"/>
  <c r="AB79" i="52"/>
  <c r="AD194" i="61"/>
  <c r="AD179" i="61"/>
  <c r="AD187" i="61"/>
  <c r="AF193" i="62"/>
  <c r="AD179" i="62"/>
  <c r="AD178" i="62"/>
  <c r="AD188" i="65"/>
  <c r="AB79" i="53"/>
  <c r="AD186" i="62"/>
  <c r="AD188" i="62"/>
  <c r="AG246" i="45"/>
  <c r="AF59" i="67"/>
  <c r="AF154" i="67" s="1"/>
  <c r="AF161" i="67" s="1"/>
  <c r="AF163" i="67" s="1"/>
  <c r="AF170" i="67" s="1"/>
  <c r="AF194" i="67" s="1"/>
  <c r="AF245" i="45"/>
  <c r="AF261" i="45" s="1"/>
  <c r="AE59" i="66"/>
  <c r="AB79" i="66" s="1"/>
  <c r="AF244" i="45"/>
  <c r="AF260" i="45" s="1"/>
  <c r="AE59" i="55"/>
  <c r="AE154" i="55" s="1"/>
  <c r="AE161" i="55" s="1"/>
  <c r="AE163" i="55" s="1"/>
  <c r="AE170" i="55" s="1"/>
  <c r="AD186" i="65"/>
  <c r="AF243" i="45"/>
  <c r="AF259" i="45" s="1"/>
  <c r="AE59" i="65"/>
  <c r="AE154" i="65" s="1"/>
  <c r="AE161" i="65" s="1"/>
  <c r="AE163" i="65" s="1"/>
  <c r="AE170" i="65" s="1"/>
  <c r="AF242" i="45"/>
  <c r="AF258" i="45" s="1"/>
  <c r="AE59" i="58"/>
  <c r="AE154" i="58" s="1"/>
  <c r="AE161" i="58" s="1"/>
  <c r="AE163" i="58" s="1"/>
  <c r="AE170" i="58" s="1"/>
  <c r="AF241" i="45"/>
  <c r="AF257" i="45" s="1"/>
  <c r="AE59" i="57"/>
  <c r="AB79" i="57" s="1"/>
  <c r="AF187" i="57"/>
  <c r="AF193" i="57"/>
  <c r="AF177" i="57"/>
  <c r="AF192" i="57"/>
  <c r="AD194" i="57"/>
  <c r="AG240" i="45"/>
  <c r="AF59" i="52"/>
  <c r="AF154" i="52" s="1"/>
  <c r="AF161" i="52" s="1"/>
  <c r="AF163" i="52" s="1"/>
  <c r="AF170" i="52" s="1"/>
  <c r="AF179" i="52" s="1"/>
  <c r="AF192" i="53"/>
  <c r="AG239" i="45"/>
  <c r="AF58" i="53"/>
  <c r="AF154" i="53" s="1"/>
  <c r="AF161" i="53" s="1"/>
  <c r="AF163" i="53" s="1"/>
  <c r="AF170" i="53" s="1"/>
  <c r="AF179" i="53" s="1"/>
  <c r="AG238" i="45"/>
  <c r="AF58" i="51"/>
  <c r="AF154" i="51" s="1"/>
  <c r="AF161" i="51" s="1"/>
  <c r="AF163" i="51" s="1"/>
  <c r="AF170" i="51" s="1"/>
  <c r="AF188" i="51" s="1"/>
  <c r="AF237" i="45"/>
  <c r="AF253" i="45" s="1"/>
  <c r="AE58" i="64"/>
  <c r="AE154" i="64" s="1"/>
  <c r="AE161" i="64" s="1"/>
  <c r="AE163" i="64" s="1"/>
  <c r="AE170" i="64" s="1"/>
  <c r="AF236" i="45"/>
  <c r="AF252" i="45" s="1"/>
  <c r="AE58" i="63"/>
  <c r="AE154" i="63" s="1"/>
  <c r="AE161" i="63" s="1"/>
  <c r="AE163" i="63" s="1"/>
  <c r="AE170" i="63" s="1"/>
  <c r="AF192" i="63"/>
  <c r="AF193" i="63"/>
  <c r="AF177" i="63"/>
  <c r="AF187" i="63"/>
  <c r="AF235" i="45"/>
  <c r="AF251" i="45" s="1"/>
  <c r="AE58" i="62"/>
  <c r="AE154" i="62" s="1"/>
  <c r="AE161" i="62" s="1"/>
  <c r="AE163" i="62" s="1"/>
  <c r="AE170" i="62" s="1"/>
  <c r="AF234" i="45"/>
  <c r="AF250" i="45" s="1"/>
  <c r="AE58" i="38"/>
  <c r="AF233" i="45"/>
  <c r="AF249" i="45" s="1"/>
  <c r="AE58" i="61"/>
  <c r="AE154" i="61" s="1"/>
  <c r="AE161" i="61" s="1"/>
  <c r="AE163" i="61" s="1"/>
  <c r="AE170" i="61" s="1"/>
  <c r="AF58" i="65"/>
  <c r="AF137" i="65" s="1"/>
  <c r="AF144" i="65" s="1"/>
  <c r="AF146" i="65" s="1"/>
  <c r="AF168" i="65" s="1"/>
  <c r="AG58" i="65"/>
  <c r="AG137" i="65" s="1"/>
  <c r="AG144" i="65" s="1"/>
  <c r="AG146" i="65" s="1"/>
  <c r="AG168" i="65" s="1"/>
  <c r="CK118" i="2" s="1"/>
  <c r="CH118" i="2" s="1"/>
  <c r="AE192" i="65"/>
  <c r="AE187" i="65"/>
  <c r="AE193" i="65"/>
  <c r="AE177" i="65"/>
  <c r="AF57" i="51"/>
  <c r="AF137" i="51" s="1"/>
  <c r="AF144" i="51" s="1"/>
  <c r="AF146" i="51" s="1"/>
  <c r="AF168" i="51" s="1"/>
  <c r="AG57" i="51"/>
  <c r="AG137" i="51" s="1"/>
  <c r="AG144" i="51" s="1"/>
  <c r="AG146" i="51" s="1"/>
  <c r="AG168" i="51" s="1"/>
  <c r="AE193" i="51"/>
  <c r="AE186" i="51"/>
  <c r="AE177" i="51"/>
  <c r="AE192" i="51"/>
  <c r="AF57" i="61"/>
  <c r="AF137" i="61" s="1"/>
  <c r="AF144" i="61" s="1"/>
  <c r="AF146" i="61" s="1"/>
  <c r="AF168" i="61" s="1"/>
  <c r="AG57" i="61"/>
  <c r="AG137" i="61" s="1"/>
  <c r="AG144" i="61" s="1"/>
  <c r="AG146" i="61" s="1"/>
  <c r="AG168" i="61" s="1"/>
  <c r="AG58" i="58"/>
  <c r="AG137" i="58" s="1"/>
  <c r="AG144" i="58" s="1"/>
  <c r="AG146" i="58" s="1"/>
  <c r="AG168" i="58" s="1"/>
  <c r="CK107" i="2" s="1"/>
  <c r="CH107" i="2" s="1"/>
  <c r="AF58" i="58"/>
  <c r="AF137" i="58" s="1"/>
  <c r="AF144" i="58" s="1"/>
  <c r="AF146" i="58" s="1"/>
  <c r="AF168" i="58" s="1"/>
  <c r="AG192" i="67"/>
  <c r="AG177" i="67"/>
  <c r="AG187" i="67"/>
  <c r="AG193" i="67"/>
  <c r="F137" i="4"/>
  <c r="O137" i="4" s="1"/>
  <c r="O142" i="4" s="1"/>
  <c r="AG187" i="66"/>
  <c r="AG177" i="66"/>
  <c r="AG192" i="66"/>
  <c r="AG193" i="66"/>
  <c r="AE177" i="58"/>
  <c r="AE192" i="58"/>
  <c r="AE187" i="58"/>
  <c r="AE193" i="58"/>
  <c r="AF192" i="66"/>
  <c r="AF193" i="66"/>
  <c r="AF187" i="66"/>
  <c r="AF177" i="66"/>
  <c r="AE177" i="61"/>
  <c r="AE193" i="61"/>
  <c r="AE186" i="61"/>
  <c r="AE192" i="61"/>
  <c r="AF193" i="67"/>
  <c r="AF177" i="67"/>
  <c r="AF192" i="67"/>
  <c r="AF187" i="67"/>
  <c r="AF193" i="55"/>
  <c r="AF187" i="55"/>
  <c r="AF177" i="55"/>
  <c r="AF192" i="55"/>
  <c r="F82" i="4"/>
  <c r="O82" i="4" s="1"/>
  <c r="O87" i="4" s="1"/>
  <c r="AG192" i="52"/>
  <c r="AG193" i="52"/>
  <c r="AG177" i="52"/>
  <c r="AG186" i="52"/>
  <c r="AG177" i="55"/>
  <c r="AG192" i="55"/>
  <c r="AG187" i="55"/>
  <c r="AG193" i="55"/>
  <c r="AF186" i="52"/>
  <c r="AF193" i="52"/>
  <c r="AF192" i="52"/>
  <c r="AF177" i="52"/>
  <c r="AE188" i="67"/>
  <c r="AE186" i="67"/>
  <c r="AE178" i="67"/>
  <c r="AE179" i="67"/>
  <c r="AE194" i="67"/>
  <c r="AE188" i="52"/>
  <c r="AE179" i="52"/>
  <c r="AE178" i="52"/>
  <c r="AE187" i="52"/>
  <c r="AE194" i="52"/>
  <c r="AE178" i="51"/>
  <c r="AE179" i="51"/>
  <c r="AE187" i="51"/>
  <c r="AE188" i="51"/>
  <c r="AE194" i="51"/>
  <c r="AE188" i="53"/>
  <c r="AE186" i="53"/>
  <c r="AE178" i="53"/>
  <c r="AE179" i="53"/>
  <c r="AE194" i="53"/>
  <c r="D91" i="40"/>
  <c r="D98" i="40" s="1"/>
  <c r="C64" i="38"/>
  <c r="C66" i="38"/>
  <c r="E87" i="40"/>
  <c r="E94" i="40" s="1"/>
  <c r="AG88" i="40"/>
  <c r="C88" i="40"/>
  <c r="AE88" i="40"/>
  <c r="W88" i="40"/>
  <c r="Q88" i="40"/>
  <c r="K88" i="40"/>
  <c r="K95" i="40" s="1"/>
  <c r="J88" i="40"/>
  <c r="J95" i="40" s="1"/>
  <c r="I88" i="40"/>
  <c r="I95" i="40" s="1"/>
  <c r="O88" i="40"/>
  <c r="O95" i="40" s="1"/>
  <c r="M88" i="40"/>
  <c r="H88" i="40"/>
  <c r="AA88" i="40"/>
  <c r="U88" i="40"/>
  <c r="U95" i="40" s="1"/>
  <c r="V88" i="40"/>
  <c r="V95" i="40" s="1"/>
  <c r="G88" i="40"/>
  <c r="G95" i="40" s="1"/>
  <c r="E88" i="40"/>
  <c r="E95" i="40" s="1"/>
  <c r="E101" i="40" s="1"/>
  <c r="AC88" i="40"/>
  <c r="AC95" i="40" s="1"/>
  <c r="T88" i="40"/>
  <c r="T95" i="40" s="1"/>
  <c r="S88" i="40"/>
  <c r="S95" i="40" s="1"/>
  <c r="AF88" i="40"/>
  <c r="AF95" i="40" s="1"/>
  <c r="L88" i="40"/>
  <c r="L95" i="40" s="1"/>
  <c r="X88" i="40"/>
  <c r="Y88" i="40"/>
  <c r="Y95" i="40" s="1"/>
  <c r="N88" i="40"/>
  <c r="Z88" i="40"/>
  <c r="D88" i="40"/>
  <c r="P88" i="40"/>
  <c r="AB88" i="40"/>
  <c r="AB95" i="40" s="1"/>
  <c r="F88" i="40"/>
  <c r="R88" i="40"/>
  <c r="R95" i="40" s="1"/>
  <c r="AD88" i="40"/>
  <c r="AD95" i="40" s="1"/>
  <c r="D88" i="41"/>
  <c r="D95" i="41" s="1"/>
  <c r="AA89" i="41"/>
  <c r="AA96" i="41" s="1"/>
  <c r="V89" i="41"/>
  <c r="O89" i="41"/>
  <c r="N89" i="41"/>
  <c r="M89" i="41"/>
  <c r="M96" i="41" s="1"/>
  <c r="L89" i="41"/>
  <c r="K89" i="41"/>
  <c r="K96" i="41" s="1"/>
  <c r="Z89" i="41"/>
  <c r="Z96" i="41" s="1"/>
  <c r="Y89" i="41"/>
  <c r="Y96" i="41" s="1"/>
  <c r="X89" i="41"/>
  <c r="X96" i="41" s="1"/>
  <c r="W89" i="41"/>
  <c r="W96" i="41" s="1"/>
  <c r="J89" i="41"/>
  <c r="J96" i="41" s="1"/>
  <c r="C89" i="41"/>
  <c r="C96" i="41" s="1"/>
  <c r="AE89" i="41"/>
  <c r="AE96" i="41" s="1"/>
  <c r="H89" i="41"/>
  <c r="AG89" i="41"/>
  <c r="T89" i="41"/>
  <c r="T96" i="41" s="1"/>
  <c r="AF89" i="41"/>
  <c r="I89" i="41"/>
  <c r="I96" i="41" s="1"/>
  <c r="U89" i="41"/>
  <c r="U96" i="41" s="1"/>
  <c r="P89" i="41"/>
  <c r="P96" i="41" s="1"/>
  <c r="AB89" i="41"/>
  <c r="E89" i="41"/>
  <c r="AD89" i="41"/>
  <c r="AD96" i="41" s="1"/>
  <c r="D89" i="41"/>
  <c r="D96" i="41" s="1"/>
  <c r="Q89" i="41"/>
  <c r="AC89" i="41"/>
  <c r="R89" i="41"/>
  <c r="G89" i="41"/>
  <c r="G96" i="41" s="1"/>
  <c r="S89" i="41"/>
  <c r="S96" i="41" s="1"/>
  <c r="F89" i="41"/>
  <c r="F96" i="41" s="1"/>
  <c r="AA88" i="43"/>
  <c r="U88" i="43"/>
  <c r="U95" i="43" s="1"/>
  <c r="I88" i="43"/>
  <c r="I95" i="43" s="1"/>
  <c r="O88" i="43"/>
  <c r="O95" i="43" s="1"/>
  <c r="H88" i="43"/>
  <c r="H95" i="43" s="1"/>
  <c r="C88" i="43"/>
  <c r="C95" i="43" s="1"/>
  <c r="AG88" i="43"/>
  <c r="AF88" i="43"/>
  <c r="T88" i="43"/>
  <c r="F88" i="43"/>
  <c r="AE88" i="43"/>
  <c r="R88" i="43"/>
  <c r="R95" i="43" s="1"/>
  <c r="AD88" i="43"/>
  <c r="D88" i="43"/>
  <c r="D95" i="43" s="1"/>
  <c r="V88" i="43"/>
  <c r="V95" i="43" s="1"/>
  <c r="Q88" i="43"/>
  <c r="Q95" i="43" s="1"/>
  <c r="W88" i="43"/>
  <c r="W95" i="43" s="1"/>
  <c r="G88" i="43"/>
  <c r="G95" i="43" s="1"/>
  <c r="X88" i="43"/>
  <c r="X95" i="43" s="1"/>
  <c r="S88" i="43"/>
  <c r="S95" i="43" s="1"/>
  <c r="M88" i="43"/>
  <c r="M95" i="43" s="1"/>
  <c r="Y88" i="43"/>
  <c r="Y95" i="43" s="1"/>
  <c r="L88" i="43"/>
  <c r="L95" i="43" s="1"/>
  <c r="AB88" i="43"/>
  <c r="AB95" i="43" s="1"/>
  <c r="P88" i="43"/>
  <c r="P95" i="43" s="1"/>
  <c r="J88" i="43"/>
  <c r="J95" i="43" s="1"/>
  <c r="K88" i="43"/>
  <c r="K95" i="43" s="1"/>
  <c r="N88" i="43"/>
  <c r="N95" i="43" s="1"/>
  <c r="Z88" i="43"/>
  <c r="Z95" i="43" s="1"/>
  <c r="E88" i="43"/>
  <c r="E95" i="43" s="1"/>
  <c r="AC88" i="43"/>
  <c r="AC95" i="43" s="1"/>
  <c r="D87" i="42"/>
  <c r="D94" i="42" s="1"/>
  <c r="W88" i="42"/>
  <c r="W95" i="42" s="1"/>
  <c r="E88" i="42"/>
  <c r="V88" i="42"/>
  <c r="V95" i="42" s="1"/>
  <c r="D88" i="42"/>
  <c r="D95" i="42" s="1"/>
  <c r="S88" i="42"/>
  <c r="AF88" i="42"/>
  <c r="AF95" i="42" s="1"/>
  <c r="N88" i="42"/>
  <c r="N95" i="42" s="1"/>
  <c r="AE88" i="42"/>
  <c r="AE95" i="42" s="1"/>
  <c r="M88" i="42"/>
  <c r="M95" i="42" s="1"/>
  <c r="AD88" i="42"/>
  <c r="AD95" i="42" s="1"/>
  <c r="L88" i="42"/>
  <c r="J88" i="42"/>
  <c r="J95" i="42" s="1"/>
  <c r="I88" i="42"/>
  <c r="AC88" i="42"/>
  <c r="AC95" i="42" s="1"/>
  <c r="K88" i="42"/>
  <c r="K95" i="42" s="1"/>
  <c r="AB88" i="42"/>
  <c r="AB95" i="42" s="1"/>
  <c r="AA88" i="42"/>
  <c r="Q88" i="42"/>
  <c r="Q95" i="42" s="1"/>
  <c r="AG88" i="42"/>
  <c r="AG95" i="42" s="1"/>
  <c r="Z88" i="42"/>
  <c r="Z95" i="42" s="1"/>
  <c r="H88" i="42"/>
  <c r="H95" i="42" s="1"/>
  <c r="T88" i="42"/>
  <c r="T95" i="42" s="1"/>
  <c r="R88" i="42"/>
  <c r="Y88" i="42"/>
  <c r="Y95" i="42" s="1"/>
  <c r="G88" i="42"/>
  <c r="G95" i="42" s="1"/>
  <c r="X88" i="42"/>
  <c r="X95" i="42" s="1"/>
  <c r="F88" i="42"/>
  <c r="F95" i="42" s="1"/>
  <c r="U88" i="42"/>
  <c r="U95" i="42" s="1"/>
  <c r="C88" i="42"/>
  <c r="P88" i="42"/>
  <c r="P95" i="42" s="1"/>
  <c r="O88" i="42"/>
  <c r="O95" i="42" s="1"/>
  <c r="X140" i="42"/>
  <c r="AB140" i="42"/>
  <c r="AC140" i="42"/>
  <c r="AE140" i="42"/>
  <c r="W140" i="42"/>
  <c r="D93" i="40"/>
  <c r="D100" i="40" s="1"/>
  <c r="D107" i="40"/>
  <c r="J188" i="41"/>
  <c r="Z188" i="41"/>
  <c r="Q188" i="41"/>
  <c r="AA188" i="41"/>
  <c r="P188" i="41"/>
  <c r="K188" i="41"/>
  <c r="AC188" i="41"/>
  <c r="AD188" i="41"/>
  <c r="AE188" i="41"/>
  <c r="M188" i="41"/>
  <c r="T188" i="41"/>
  <c r="H188" i="41"/>
  <c r="S188" i="41"/>
  <c r="U188" i="41"/>
  <c r="V188" i="41"/>
  <c r="G188" i="41"/>
  <c r="O188" i="41"/>
  <c r="Y188" i="41"/>
  <c r="D54" i="40"/>
  <c r="E52" i="40"/>
  <c r="E51" i="40"/>
  <c r="G45" i="43"/>
  <c r="G52" i="43" s="1"/>
  <c r="H106" i="43"/>
  <c r="H106" i="42"/>
  <c r="H107" i="41"/>
  <c r="H106" i="40"/>
  <c r="H106" i="39"/>
  <c r="D166" i="42"/>
  <c r="D174" i="42" s="1"/>
  <c r="D63" i="40"/>
  <c r="E63" i="40" s="1"/>
  <c r="F63" i="40" s="1"/>
  <c r="G63" i="40" s="1"/>
  <c r="H63" i="40" s="1"/>
  <c r="I63" i="40" s="1"/>
  <c r="J63" i="40" s="1"/>
  <c r="K63" i="40" s="1"/>
  <c r="L63" i="40" s="1"/>
  <c r="M63" i="40" s="1"/>
  <c r="N63" i="40" s="1"/>
  <c r="O63" i="40" s="1"/>
  <c r="P63" i="40" s="1"/>
  <c r="Q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D63" i="40" s="1"/>
  <c r="AE63" i="40" s="1"/>
  <c r="AF63" i="40" s="1"/>
  <c r="AG63" i="40" s="1"/>
  <c r="C64" i="43"/>
  <c r="D64" i="43" s="1"/>
  <c r="E64" i="43" s="1"/>
  <c r="F64" i="43" s="1"/>
  <c r="G64" i="43" s="1"/>
  <c r="H64" i="43" s="1"/>
  <c r="I64" i="43" s="1"/>
  <c r="J64" i="43" s="1"/>
  <c r="K64" i="43" s="1"/>
  <c r="L64" i="43" s="1"/>
  <c r="M64" i="43" s="1"/>
  <c r="N64" i="43" s="1"/>
  <c r="O64" i="43" s="1"/>
  <c r="P64" i="43" s="1"/>
  <c r="Q64" i="43" s="1"/>
  <c r="R64" i="43" s="1"/>
  <c r="S64" i="43" s="1"/>
  <c r="T64" i="43" s="1"/>
  <c r="U64" i="43" s="1"/>
  <c r="V64" i="43" s="1"/>
  <c r="W64" i="43" s="1"/>
  <c r="X64" i="43" s="1"/>
  <c r="Y64" i="43" s="1"/>
  <c r="Z64" i="43" s="1"/>
  <c r="AA64" i="43" s="1"/>
  <c r="AB64" i="43" s="1"/>
  <c r="AC64" i="43" s="1"/>
  <c r="AD64" i="43" s="1"/>
  <c r="AE64" i="43" s="1"/>
  <c r="AF64" i="43" s="1"/>
  <c r="AG64" i="43" s="1"/>
  <c r="D165" i="43"/>
  <c r="D173" i="43" s="1"/>
  <c r="D179" i="43" s="1"/>
  <c r="D190" i="40"/>
  <c r="D195" i="40" s="1"/>
  <c r="D201" i="40" s="1"/>
  <c r="E67" i="42"/>
  <c r="E166" i="42" s="1"/>
  <c r="E174" i="42" s="1"/>
  <c r="F165" i="43"/>
  <c r="F173" i="43" s="1"/>
  <c r="F179" i="43" s="1"/>
  <c r="I165" i="43"/>
  <c r="I173" i="43" s="1"/>
  <c r="I179" i="43" s="1"/>
  <c r="C165" i="43"/>
  <c r="C173" i="43" s="1"/>
  <c r="C179" i="43" s="1"/>
  <c r="AE165" i="43"/>
  <c r="AE173" i="43" s="1"/>
  <c r="AE179" i="43" s="1"/>
  <c r="AC165" i="43"/>
  <c r="AC173" i="43" s="1"/>
  <c r="AC179" i="43" s="1"/>
  <c r="AF165" i="43"/>
  <c r="AF173" i="43" s="1"/>
  <c r="AF179" i="43" s="1"/>
  <c r="I89" i="43"/>
  <c r="I96" i="43" s="1"/>
  <c r="O165" i="43"/>
  <c r="O173" i="43" s="1"/>
  <c r="O179" i="43" s="1"/>
  <c r="J165" i="43"/>
  <c r="J173" i="43" s="1"/>
  <c r="J179" i="43" s="1"/>
  <c r="D89" i="43"/>
  <c r="D96" i="43" s="1"/>
  <c r="AG165" i="43"/>
  <c r="AG173" i="43" s="1"/>
  <c r="AG179" i="43" s="1"/>
  <c r="E89" i="43"/>
  <c r="E96" i="43" s="1"/>
  <c r="P165" i="43"/>
  <c r="P173" i="43" s="1"/>
  <c r="P179" i="43" s="1"/>
  <c r="V165" i="43"/>
  <c r="V173" i="43" s="1"/>
  <c r="V179" i="43" s="1"/>
  <c r="Q165" i="43"/>
  <c r="Q173" i="43" s="1"/>
  <c r="Q179" i="43" s="1"/>
  <c r="C164" i="43"/>
  <c r="V172" i="43" s="1"/>
  <c r="K165" i="43"/>
  <c r="K173" i="43" s="1"/>
  <c r="K179" i="43" s="1"/>
  <c r="AB165" i="43"/>
  <c r="AB173" i="43" s="1"/>
  <c r="AB179" i="43" s="1"/>
  <c r="N165" i="43"/>
  <c r="N173" i="43" s="1"/>
  <c r="N179" i="43" s="1"/>
  <c r="W165" i="43"/>
  <c r="W173" i="43" s="1"/>
  <c r="W179" i="43" s="1"/>
  <c r="R165" i="43"/>
  <c r="R173" i="43" s="1"/>
  <c r="R179" i="43" s="1"/>
  <c r="Z165" i="43"/>
  <c r="Z173" i="43" s="1"/>
  <c r="Z179" i="43" s="1"/>
  <c r="L165" i="43"/>
  <c r="L173" i="43" s="1"/>
  <c r="L179" i="43" s="1"/>
  <c r="T95" i="43"/>
  <c r="Y165" i="43"/>
  <c r="Y173" i="43" s="1"/>
  <c r="Y179" i="43" s="1"/>
  <c r="G165" i="43"/>
  <c r="G173" i="43" s="1"/>
  <c r="G179" i="43" s="1"/>
  <c r="X165" i="43"/>
  <c r="X173" i="43" s="1"/>
  <c r="X179" i="43" s="1"/>
  <c r="U165" i="43"/>
  <c r="U173" i="43" s="1"/>
  <c r="U179" i="43" s="1"/>
  <c r="M165" i="43"/>
  <c r="M173" i="43" s="1"/>
  <c r="M179" i="43" s="1"/>
  <c r="AA165" i="43"/>
  <c r="AA173" i="43" s="1"/>
  <c r="AA179" i="43" s="1"/>
  <c r="S165" i="43"/>
  <c r="S173" i="43" s="1"/>
  <c r="S179" i="43" s="1"/>
  <c r="AD165" i="43"/>
  <c r="AD173" i="43" s="1"/>
  <c r="AD179" i="43" s="1"/>
  <c r="H165" i="43"/>
  <c r="H173" i="43" s="1"/>
  <c r="H179" i="43" s="1"/>
  <c r="E165" i="43"/>
  <c r="E173" i="43" s="1"/>
  <c r="E179" i="43" s="1"/>
  <c r="L90" i="41"/>
  <c r="L97" i="41" s="1"/>
  <c r="C110" i="41"/>
  <c r="C115" i="41" s="1"/>
  <c r="F90" i="41"/>
  <c r="F97" i="41" s="1"/>
  <c r="F89" i="43"/>
  <c r="F96" i="43" s="1"/>
  <c r="H90" i="41"/>
  <c r="H97" i="41" s="1"/>
  <c r="J90" i="41"/>
  <c r="J97" i="41" s="1"/>
  <c r="E67" i="41"/>
  <c r="E144" i="41" s="1"/>
  <c r="E149" i="41" s="1"/>
  <c r="H89" i="43"/>
  <c r="H96" i="43" s="1"/>
  <c r="E90" i="41"/>
  <c r="E97" i="41" s="1"/>
  <c r="M90" i="41"/>
  <c r="M97" i="41" s="1"/>
  <c r="I90" i="41"/>
  <c r="I97" i="41" s="1"/>
  <c r="J89" i="43"/>
  <c r="J96" i="43" s="1"/>
  <c r="D89" i="42"/>
  <c r="D96" i="42" s="1"/>
  <c r="G89" i="43"/>
  <c r="G96" i="43" s="1"/>
  <c r="C87" i="43"/>
  <c r="C94" i="43" s="1"/>
  <c r="AA95" i="43"/>
  <c r="AE95" i="43"/>
  <c r="AF95" i="43"/>
  <c r="AD95" i="43"/>
  <c r="AG95" i="43"/>
  <c r="F95" i="43"/>
  <c r="D87" i="43"/>
  <c r="D94" i="43" s="1"/>
  <c r="D142" i="43"/>
  <c r="D147" i="43" s="1"/>
  <c r="D152" i="43" s="1"/>
  <c r="C142" i="43"/>
  <c r="C147" i="43" s="1"/>
  <c r="C152" i="43" s="1"/>
  <c r="I82" i="43"/>
  <c r="J82" i="43" s="1"/>
  <c r="C146" i="43"/>
  <c r="C151" i="43" s="1"/>
  <c r="C144" i="43"/>
  <c r="C149" i="43" s="1"/>
  <c r="D70" i="43"/>
  <c r="C90" i="43"/>
  <c r="C97" i="43" s="1"/>
  <c r="E50" i="43"/>
  <c r="E190" i="43" s="1"/>
  <c r="E195" i="43" s="1"/>
  <c r="E201" i="43" s="1"/>
  <c r="F43" i="43"/>
  <c r="E47" i="43"/>
  <c r="E53" i="43" s="1"/>
  <c r="C102" i="43"/>
  <c r="D69" i="43"/>
  <c r="D191" i="43" s="1"/>
  <c r="D196" i="43" s="1"/>
  <c r="E67" i="43"/>
  <c r="D54" i="43"/>
  <c r="D190" i="43"/>
  <c r="D195" i="43" s="1"/>
  <c r="D201" i="43" s="1"/>
  <c r="C190" i="43"/>
  <c r="C195" i="43" s="1"/>
  <c r="C201" i="43" s="1"/>
  <c r="D141" i="43"/>
  <c r="D93" i="43"/>
  <c r="D100" i="43" s="1"/>
  <c r="D91" i="43"/>
  <c r="D98" i="43" s="1"/>
  <c r="E86" i="43"/>
  <c r="E107" i="43" s="1"/>
  <c r="G41" i="43"/>
  <c r="E87" i="43"/>
  <c r="E94" i="43" s="1"/>
  <c r="F39" i="43"/>
  <c r="C174" i="43"/>
  <c r="C109" i="43"/>
  <c r="C114" i="43" s="1"/>
  <c r="C126" i="43"/>
  <c r="C131" i="43" s="1"/>
  <c r="D66" i="43"/>
  <c r="G68" i="43"/>
  <c r="L65" i="43"/>
  <c r="K89" i="43"/>
  <c r="K96" i="43" s="1"/>
  <c r="C143" i="43"/>
  <c r="C148" i="43" s="1"/>
  <c r="G51" i="43"/>
  <c r="H44" i="43"/>
  <c r="D166" i="43"/>
  <c r="E87" i="42"/>
  <c r="E94" i="42" s="1"/>
  <c r="F89" i="42"/>
  <c r="F96" i="42" s="1"/>
  <c r="E89" i="42"/>
  <c r="E96" i="42" s="1"/>
  <c r="C102" i="42"/>
  <c r="E190" i="42"/>
  <c r="E195" i="42" s="1"/>
  <c r="E201" i="42" s="1"/>
  <c r="D190" i="42"/>
  <c r="D195" i="42" s="1"/>
  <c r="D201" i="42" s="1"/>
  <c r="C190" i="42"/>
  <c r="C195" i="42" s="1"/>
  <c r="C201" i="42" s="1"/>
  <c r="C144" i="42"/>
  <c r="C149" i="42" s="1"/>
  <c r="C153" i="42" s="1"/>
  <c r="C146" i="42"/>
  <c r="C151" i="42" s="1"/>
  <c r="AC165" i="42"/>
  <c r="AC173" i="42" s="1"/>
  <c r="AC179" i="42" s="1"/>
  <c r="AA165" i="42"/>
  <c r="AA173" i="42" s="1"/>
  <c r="AA179" i="42" s="1"/>
  <c r="O165" i="42"/>
  <c r="O173" i="42" s="1"/>
  <c r="O179" i="42" s="1"/>
  <c r="C165" i="42"/>
  <c r="C173" i="42" s="1"/>
  <c r="C179" i="42" s="1"/>
  <c r="Z165" i="42"/>
  <c r="Z173" i="42" s="1"/>
  <c r="Z179" i="42" s="1"/>
  <c r="N165" i="42"/>
  <c r="N173" i="42" s="1"/>
  <c r="N179" i="42" s="1"/>
  <c r="C164" i="42"/>
  <c r="X165" i="42"/>
  <c r="X173" i="42" s="1"/>
  <c r="X179" i="42" s="1"/>
  <c r="L165" i="42"/>
  <c r="L173" i="42" s="1"/>
  <c r="L179" i="42" s="1"/>
  <c r="V165" i="42"/>
  <c r="V173" i="42" s="1"/>
  <c r="V179" i="42" s="1"/>
  <c r="J165" i="42"/>
  <c r="J173" i="42" s="1"/>
  <c r="J179" i="42" s="1"/>
  <c r="S165" i="42"/>
  <c r="S173" i="42" s="1"/>
  <c r="S179" i="42" s="1"/>
  <c r="Q165" i="42"/>
  <c r="Q173" i="42" s="1"/>
  <c r="Q179" i="42" s="1"/>
  <c r="AG165" i="42"/>
  <c r="AG173" i="42" s="1"/>
  <c r="AG179" i="42" s="1"/>
  <c r="P165" i="42"/>
  <c r="P173" i="42" s="1"/>
  <c r="P179" i="42" s="1"/>
  <c r="AD165" i="42"/>
  <c r="AD173" i="42" s="1"/>
  <c r="AD179" i="42" s="1"/>
  <c r="I165" i="42"/>
  <c r="I173" i="42" s="1"/>
  <c r="I179" i="42" s="1"/>
  <c r="Y165" i="42"/>
  <c r="Y173" i="42" s="1"/>
  <c r="Y179" i="42" s="1"/>
  <c r="G165" i="42"/>
  <c r="G173" i="42" s="1"/>
  <c r="G179" i="42" s="1"/>
  <c r="AE165" i="42"/>
  <c r="AE173" i="42" s="1"/>
  <c r="AE179" i="42" s="1"/>
  <c r="AB165" i="42"/>
  <c r="AB173" i="42" s="1"/>
  <c r="AB179" i="42" s="1"/>
  <c r="U165" i="42"/>
  <c r="U173" i="42" s="1"/>
  <c r="U179" i="42" s="1"/>
  <c r="R165" i="42"/>
  <c r="R173" i="42" s="1"/>
  <c r="R179" i="42" s="1"/>
  <c r="M165" i="42"/>
  <c r="M173" i="42" s="1"/>
  <c r="M179" i="42" s="1"/>
  <c r="K165" i="42"/>
  <c r="K173" i="42" s="1"/>
  <c r="K179" i="42" s="1"/>
  <c r="H165" i="42"/>
  <c r="H173" i="42" s="1"/>
  <c r="H179" i="42" s="1"/>
  <c r="AF165" i="42"/>
  <c r="AF173" i="42" s="1"/>
  <c r="AF179" i="42" s="1"/>
  <c r="W165" i="42"/>
  <c r="W173" i="42" s="1"/>
  <c r="W179" i="42" s="1"/>
  <c r="T165" i="42"/>
  <c r="T173" i="42" s="1"/>
  <c r="T179" i="42" s="1"/>
  <c r="F165" i="42"/>
  <c r="F173" i="42" s="1"/>
  <c r="F179" i="42" s="1"/>
  <c r="E165" i="42"/>
  <c r="E173" i="42" s="1"/>
  <c r="E179" i="42" s="1"/>
  <c r="D165" i="42"/>
  <c r="D173" i="42" s="1"/>
  <c r="D179" i="42" s="1"/>
  <c r="H68" i="42"/>
  <c r="R95" i="42"/>
  <c r="E95" i="42"/>
  <c r="AA95" i="42"/>
  <c r="I95" i="42"/>
  <c r="S95" i="42"/>
  <c r="C87" i="42"/>
  <c r="C94" i="42" s="1"/>
  <c r="L95" i="42"/>
  <c r="C95" i="42"/>
  <c r="D63" i="42"/>
  <c r="E63" i="42" s="1"/>
  <c r="F63" i="42" s="1"/>
  <c r="G63" i="42" s="1"/>
  <c r="H63" i="42" s="1"/>
  <c r="I63" i="42" s="1"/>
  <c r="J63" i="42" s="1"/>
  <c r="K63" i="42" s="1"/>
  <c r="L63" i="42" s="1"/>
  <c r="M63" i="42" s="1"/>
  <c r="N63" i="42" s="1"/>
  <c r="O63" i="42" s="1"/>
  <c r="P63" i="42" s="1"/>
  <c r="Q63" i="42" s="1"/>
  <c r="R63" i="42" s="1"/>
  <c r="S63" i="42" s="1"/>
  <c r="T63" i="42" s="1"/>
  <c r="U63" i="42" s="1"/>
  <c r="V63" i="42" s="1"/>
  <c r="W63" i="42" s="1"/>
  <c r="X63" i="42" s="1"/>
  <c r="Y63" i="42" s="1"/>
  <c r="Z63" i="42" s="1"/>
  <c r="AA63" i="42" s="1"/>
  <c r="AB63" i="42" s="1"/>
  <c r="AC63" i="42" s="1"/>
  <c r="AD63" i="42" s="1"/>
  <c r="AE63" i="42" s="1"/>
  <c r="AF63" i="42" s="1"/>
  <c r="AG63" i="42" s="1"/>
  <c r="C64" i="42"/>
  <c r="D64" i="42" s="1"/>
  <c r="E64" i="42" s="1"/>
  <c r="F64" i="42" s="1"/>
  <c r="G64" i="42" s="1"/>
  <c r="H64" i="42" s="1"/>
  <c r="I64" i="42" s="1"/>
  <c r="J64" i="42" s="1"/>
  <c r="K64" i="42" s="1"/>
  <c r="L64" i="42" s="1"/>
  <c r="M64" i="42" s="1"/>
  <c r="N64" i="42" s="1"/>
  <c r="O64" i="42" s="1"/>
  <c r="P64" i="42" s="1"/>
  <c r="Q64" i="42" s="1"/>
  <c r="R64" i="42" s="1"/>
  <c r="S64" i="42" s="1"/>
  <c r="T64" i="42" s="1"/>
  <c r="U64" i="42" s="1"/>
  <c r="V64" i="42" s="1"/>
  <c r="W64" i="42" s="1"/>
  <c r="X64" i="42" s="1"/>
  <c r="Y64" i="42" s="1"/>
  <c r="Z64" i="42" s="1"/>
  <c r="AA64" i="42" s="1"/>
  <c r="AB64" i="42" s="1"/>
  <c r="AC64" i="42" s="1"/>
  <c r="AD64" i="42" s="1"/>
  <c r="AE64" i="42" s="1"/>
  <c r="AF64" i="42" s="1"/>
  <c r="AG64" i="42" s="1"/>
  <c r="Y140" i="42"/>
  <c r="F52" i="42"/>
  <c r="G45" i="42"/>
  <c r="C126" i="42"/>
  <c r="C131" i="42" s="1"/>
  <c r="C109" i="42"/>
  <c r="C114" i="42" s="1"/>
  <c r="D66" i="42"/>
  <c r="AD140" i="42"/>
  <c r="AF140" i="42"/>
  <c r="F47" i="42"/>
  <c r="F53" i="42" s="1"/>
  <c r="G43" i="42"/>
  <c r="F50" i="42"/>
  <c r="F190" i="42" s="1"/>
  <c r="F195" i="42" s="1"/>
  <c r="F201" i="42" s="1"/>
  <c r="H65" i="42"/>
  <c r="G89" i="42"/>
  <c r="G96" i="42" s="1"/>
  <c r="E142" i="42"/>
  <c r="E147" i="42" s="1"/>
  <c r="E152" i="42" s="1"/>
  <c r="C142" i="42"/>
  <c r="C147" i="42" s="1"/>
  <c r="C152" i="42" s="1"/>
  <c r="D142" i="42"/>
  <c r="D147" i="42" s="1"/>
  <c r="D152" i="42" s="1"/>
  <c r="I82" i="42"/>
  <c r="J82" i="42" s="1"/>
  <c r="F87" i="42"/>
  <c r="F94" i="42" s="1"/>
  <c r="G39" i="42"/>
  <c r="C174" i="42"/>
  <c r="Z140" i="42"/>
  <c r="D54" i="42"/>
  <c r="D141" i="42"/>
  <c r="E86" i="42"/>
  <c r="E107" i="42" s="1"/>
  <c r="D91" i="42"/>
  <c r="D98" i="42" s="1"/>
  <c r="D93" i="42"/>
  <c r="D100" i="42" s="1"/>
  <c r="F51" i="42"/>
  <c r="AA140" i="42"/>
  <c r="G51" i="42"/>
  <c r="H44" i="42"/>
  <c r="C90" i="42"/>
  <c r="C97" i="42" s="1"/>
  <c r="D70" i="42"/>
  <c r="E54" i="42"/>
  <c r="F41" i="42"/>
  <c r="D127" i="41"/>
  <c r="D132" i="41" s="1"/>
  <c r="G90" i="41"/>
  <c r="G97" i="41" s="1"/>
  <c r="D110" i="41"/>
  <c r="D115" i="41" s="1"/>
  <c r="N90" i="41"/>
  <c r="N97" i="41" s="1"/>
  <c r="K90" i="41"/>
  <c r="K97" i="41" s="1"/>
  <c r="D90" i="41"/>
  <c r="D97" i="41" s="1"/>
  <c r="C144" i="41"/>
  <c r="C149" i="41" s="1"/>
  <c r="C127" i="41"/>
  <c r="C132" i="41" s="1"/>
  <c r="P66" i="41"/>
  <c r="O90" i="41"/>
  <c r="O97" i="41" s="1"/>
  <c r="C91" i="41"/>
  <c r="C98" i="41" s="1"/>
  <c r="D71" i="41"/>
  <c r="D55" i="41"/>
  <c r="F188" i="41"/>
  <c r="L188" i="41"/>
  <c r="AB188" i="41"/>
  <c r="D175" i="41"/>
  <c r="E51" i="41"/>
  <c r="E143" i="41" s="1"/>
  <c r="E148" i="41" s="1"/>
  <c r="E153" i="41" s="1"/>
  <c r="E48" i="41"/>
  <c r="E54" i="41" s="1"/>
  <c r="F44" i="41"/>
  <c r="D191" i="41"/>
  <c r="D196" i="41" s="1"/>
  <c r="D202" i="41" s="1"/>
  <c r="C191" i="41"/>
  <c r="C196" i="41" s="1"/>
  <c r="C202" i="41" s="1"/>
  <c r="F88" i="41"/>
  <c r="F95" i="41" s="1"/>
  <c r="G40" i="41"/>
  <c r="G69" i="41"/>
  <c r="X188" i="41"/>
  <c r="N188" i="41"/>
  <c r="AF188" i="41"/>
  <c r="C143" i="41"/>
  <c r="C148" i="41" s="1"/>
  <c r="C153" i="41" s="1"/>
  <c r="I83" i="41"/>
  <c r="J83" i="41" s="1"/>
  <c r="D143" i="41"/>
  <c r="D148" i="41" s="1"/>
  <c r="D153" i="41" s="1"/>
  <c r="E88" i="41"/>
  <c r="E95" i="41" s="1"/>
  <c r="E53" i="41"/>
  <c r="F46" i="41"/>
  <c r="E175" i="41"/>
  <c r="F42" i="41"/>
  <c r="E70" i="41"/>
  <c r="E192" i="41" s="1"/>
  <c r="E197" i="41" s="1"/>
  <c r="F68" i="41"/>
  <c r="R188" i="41"/>
  <c r="E52" i="41"/>
  <c r="W188" i="41"/>
  <c r="I188" i="41"/>
  <c r="D142" i="41"/>
  <c r="D94" i="41"/>
  <c r="D101" i="41" s="1"/>
  <c r="E87" i="41"/>
  <c r="E108" i="41" s="1"/>
  <c r="D92" i="41"/>
  <c r="D99" i="41" s="1"/>
  <c r="G45" i="41"/>
  <c r="F52" i="41"/>
  <c r="AC96" i="41"/>
  <c r="L96" i="41"/>
  <c r="V96" i="41"/>
  <c r="H96" i="41"/>
  <c r="C88" i="41"/>
  <c r="C95" i="41" s="1"/>
  <c r="E96" i="41"/>
  <c r="AB96" i="41"/>
  <c r="R96" i="41"/>
  <c r="Q96" i="41"/>
  <c r="AG96" i="41"/>
  <c r="O96" i="41"/>
  <c r="AF96" i="41"/>
  <c r="N96" i="41"/>
  <c r="AB166" i="41"/>
  <c r="AB174" i="41" s="1"/>
  <c r="AB180" i="41" s="1"/>
  <c r="P166" i="41"/>
  <c r="P174" i="41" s="1"/>
  <c r="P180" i="41" s="1"/>
  <c r="D166" i="41"/>
  <c r="D174" i="41" s="1"/>
  <c r="D180" i="41" s="1"/>
  <c r="AA166" i="41"/>
  <c r="AA174" i="41" s="1"/>
  <c r="AA180" i="41" s="1"/>
  <c r="O166" i="41"/>
  <c r="O174" i="41" s="1"/>
  <c r="O180" i="41" s="1"/>
  <c r="C166" i="41"/>
  <c r="C174" i="41" s="1"/>
  <c r="C180" i="41" s="1"/>
  <c r="Z166" i="41"/>
  <c r="Z174" i="41" s="1"/>
  <c r="Z180" i="41" s="1"/>
  <c r="N166" i="41"/>
  <c r="N174" i="41" s="1"/>
  <c r="N180" i="41" s="1"/>
  <c r="C165" i="41"/>
  <c r="Y166" i="41"/>
  <c r="Y174" i="41" s="1"/>
  <c r="Y180" i="41" s="1"/>
  <c r="M166" i="41"/>
  <c r="M174" i="41" s="1"/>
  <c r="M180" i="41" s="1"/>
  <c r="X166" i="41"/>
  <c r="X174" i="41" s="1"/>
  <c r="X180" i="41" s="1"/>
  <c r="L166" i="41"/>
  <c r="L174" i="41" s="1"/>
  <c r="L180" i="41" s="1"/>
  <c r="W166" i="41"/>
  <c r="W174" i="41" s="1"/>
  <c r="W180" i="41" s="1"/>
  <c r="K166" i="41"/>
  <c r="K174" i="41" s="1"/>
  <c r="K180" i="41" s="1"/>
  <c r="V166" i="41"/>
  <c r="V174" i="41" s="1"/>
  <c r="V180" i="41" s="1"/>
  <c r="J166" i="41"/>
  <c r="J174" i="41" s="1"/>
  <c r="J180" i="41" s="1"/>
  <c r="AG166" i="41"/>
  <c r="AG174" i="41" s="1"/>
  <c r="AG180" i="41" s="1"/>
  <c r="U166" i="41"/>
  <c r="U174" i="41" s="1"/>
  <c r="U180" i="41" s="1"/>
  <c r="I166" i="41"/>
  <c r="I174" i="41" s="1"/>
  <c r="I180" i="41" s="1"/>
  <c r="AE166" i="41"/>
  <c r="AE174" i="41" s="1"/>
  <c r="AE180" i="41" s="1"/>
  <c r="S166" i="41"/>
  <c r="S174" i="41" s="1"/>
  <c r="S180" i="41" s="1"/>
  <c r="G166" i="41"/>
  <c r="G174" i="41" s="1"/>
  <c r="G180" i="41" s="1"/>
  <c r="AD166" i="41"/>
  <c r="AD174" i="41" s="1"/>
  <c r="AD180" i="41" s="1"/>
  <c r="T166" i="41"/>
  <c r="T174" i="41" s="1"/>
  <c r="T180" i="41" s="1"/>
  <c r="R166" i="41"/>
  <c r="R174" i="41" s="1"/>
  <c r="R180" i="41" s="1"/>
  <c r="Q166" i="41"/>
  <c r="Q174" i="41" s="1"/>
  <c r="Q180" i="41" s="1"/>
  <c r="F166" i="41"/>
  <c r="F174" i="41" s="1"/>
  <c r="F180" i="41" s="1"/>
  <c r="E166" i="41"/>
  <c r="E174" i="41" s="1"/>
  <c r="E180" i="41" s="1"/>
  <c r="AC166" i="41"/>
  <c r="AC174" i="41" s="1"/>
  <c r="AC180" i="41" s="1"/>
  <c r="H166" i="41"/>
  <c r="H174" i="41" s="1"/>
  <c r="H180" i="41" s="1"/>
  <c r="AF166" i="41"/>
  <c r="AF174" i="41" s="1"/>
  <c r="AF180" i="41" s="1"/>
  <c r="C103" i="41"/>
  <c r="C175" i="41"/>
  <c r="C145" i="41"/>
  <c r="C150" i="41" s="1"/>
  <c r="C147" i="41"/>
  <c r="C152" i="41" s="1"/>
  <c r="D64" i="41"/>
  <c r="E64" i="41" s="1"/>
  <c r="F64" i="41" s="1"/>
  <c r="G64" i="41" s="1"/>
  <c r="H64" i="41" s="1"/>
  <c r="I64" i="41" s="1"/>
  <c r="J64" i="41" s="1"/>
  <c r="K64" i="41" s="1"/>
  <c r="L64" i="41" s="1"/>
  <c r="M64" i="41" s="1"/>
  <c r="N64" i="41" s="1"/>
  <c r="O64" i="41" s="1"/>
  <c r="P64" i="41" s="1"/>
  <c r="Q64" i="41" s="1"/>
  <c r="R64" i="41" s="1"/>
  <c r="S64" i="41" s="1"/>
  <c r="T64" i="41" s="1"/>
  <c r="U64" i="41" s="1"/>
  <c r="V64" i="41" s="1"/>
  <c r="W64" i="41" s="1"/>
  <c r="X64" i="41" s="1"/>
  <c r="Y64" i="41" s="1"/>
  <c r="Z64" i="41" s="1"/>
  <c r="AA64" i="41" s="1"/>
  <c r="AB64" i="41" s="1"/>
  <c r="AC64" i="41" s="1"/>
  <c r="AD64" i="41" s="1"/>
  <c r="AE64" i="41" s="1"/>
  <c r="AF64" i="41" s="1"/>
  <c r="AG64" i="41" s="1"/>
  <c r="C65" i="41"/>
  <c r="D65" i="41" s="1"/>
  <c r="E65" i="41" s="1"/>
  <c r="F65" i="41" s="1"/>
  <c r="G65" i="41" s="1"/>
  <c r="H65" i="41" s="1"/>
  <c r="I65" i="41" s="1"/>
  <c r="J65" i="41" s="1"/>
  <c r="K65" i="41" s="1"/>
  <c r="L65" i="41" s="1"/>
  <c r="M65" i="41" s="1"/>
  <c r="N65" i="41" s="1"/>
  <c r="O65" i="41" s="1"/>
  <c r="P65" i="41" s="1"/>
  <c r="Q65" i="41" s="1"/>
  <c r="R65" i="41" s="1"/>
  <c r="S65" i="41" s="1"/>
  <c r="T65" i="41" s="1"/>
  <c r="U65" i="41" s="1"/>
  <c r="V65" i="41" s="1"/>
  <c r="W65" i="41" s="1"/>
  <c r="X65" i="41" s="1"/>
  <c r="Y65" i="41" s="1"/>
  <c r="Z65" i="41" s="1"/>
  <c r="AA65" i="41" s="1"/>
  <c r="AB65" i="41" s="1"/>
  <c r="AC65" i="41" s="1"/>
  <c r="AD65" i="41" s="1"/>
  <c r="AE65" i="41" s="1"/>
  <c r="AF65" i="41" s="1"/>
  <c r="AG65" i="41" s="1"/>
  <c r="D87" i="40"/>
  <c r="D94" i="40" s="1"/>
  <c r="F86" i="40"/>
  <c r="F107" i="40" s="1"/>
  <c r="E91" i="40"/>
  <c r="E98" i="40" s="1"/>
  <c r="E93" i="40"/>
  <c r="E100" i="40" s="1"/>
  <c r="E141" i="40"/>
  <c r="E144" i="40" s="1"/>
  <c r="E149" i="40" s="1"/>
  <c r="D89" i="40"/>
  <c r="D96" i="40" s="1"/>
  <c r="E89" i="40"/>
  <c r="E96" i="40" s="1"/>
  <c r="H89" i="40"/>
  <c r="H96" i="40" s="1"/>
  <c r="D146" i="40"/>
  <c r="D151" i="40" s="1"/>
  <c r="D144" i="40"/>
  <c r="D149" i="40" s="1"/>
  <c r="C142" i="40"/>
  <c r="C147" i="40" s="1"/>
  <c r="C152" i="40" s="1"/>
  <c r="D142" i="40"/>
  <c r="D147" i="40" s="1"/>
  <c r="D152" i="40" s="1"/>
  <c r="I82" i="40"/>
  <c r="J82" i="40" s="1"/>
  <c r="D69" i="40"/>
  <c r="D191" i="40" s="1"/>
  <c r="D196" i="40" s="1"/>
  <c r="E67" i="40"/>
  <c r="C90" i="40"/>
  <c r="C97" i="40" s="1"/>
  <c r="D70" i="40"/>
  <c r="G45" i="40"/>
  <c r="F52" i="40"/>
  <c r="G41" i="40"/>
  <c r="C174" i="40"/>
  <c r="E47" i="40"/>
  <c r="E53" i="40" s="1"/>
  <c r="E50" i="40"/>
  <c r="E142" i="40" s="1"/>
  <c r="E147" i="40" s="1"/>
  <c r="E152" i="40" s="1"/>
  <c r="F43" i="40"/>
  <c r="F51" i="40"/>
  <c r="G44" i="40"/>
  <c r="C146" i="40"/>
  <c r="C151" i="40" s="1"/>
  <c r="C144" i="40"/>
  <c r="C149" i="40" s="1"/>
  <c r="C153" i="40" s="1"/>
  <c r="F89" i="40"/>
  <c r="F96" i="40" s="1"/>
  <c r="D166" i="40"/>
  <c r="F140" i="40"/>
  <c r="G60" i="40"/>
  <c r="C126" i="40"/>
  <c r="C131" i="40" s="1"/>
  <c r="C109" i="40"/>
  <c r="C114" i="40" s="1"/>
  <c r="D66" i="40"/>
  <c r="C102" i="40"/>
  <c r="F87" i="40"/>
  <c r="F94" i="40" s="1"/>
  <c r="G39" i="40"/>
  <c r="F68" i="40"/>
  <c r="J65" i="40"/>
  <c r="I89" i="40"/>
  <c r="I96" i="40" s="1"/>
  <c r="F59" i="40"/>
  <c r="G89" i="40"/>
  <c r="G96" i="40" s="1"/>
  <c r="AA95" i="40"/>
  <c r="C95" i="40"/>
  <c r="Z95" i="40"/>
  <c r="N95" i="40"/>
  <c r="X95" i="40"/>
  <c r="W95" i="40"/>
  <c r="AG95" i="40"/>
  <c r="AE95" i="40"/>
  <c r="D95" i="40"/>
  <c r="C87" i="40"/>
  <c r="C94" i="40" s="1"/>
  <c r="F95" i="40"/>
  <c r="H95" i="40"/>
  <c r="Q95" i="40"/>
  <c r="P95" i="40"/>
  <c r="M95" i="40"/>
  <c r="CK63" i="2" l="1"/>
  <c r="CH63" i="2" s="1"/>
  <c r="AE8" i="14" a="1"/>
  <c r="AE8" i="14" s="1"/>
  <c r="AH8" i="14" a="1"/>
  <c r="AH8" i="14" s="1"/>
  <c r="CK52" i="2"/>
  <c r="CH52" i="2" s="1"/>
  <c r="F49" i="4" s="1"/>
  <c r="O49" i="4" s="1"/>
  <c r="O54" i="4" s="1"/>
  <c r="AE7" i="14" a="1"/>
  <c r="AE7" i="14" s="1"/>
  <c r="CK41" i="2"/>
  <c r="CH41" i="2" s="1"/>
  <c r="F38" i="4" s="1"/>
  <c r="O38" i="4" s="1"/>
  <c r="O43" i="4" s="1"/>
  <c r="AH6" i="14" a="1"/>
  <c r="AH6" i="14" s="1"/>
  <c r="AE6" i="14" a="1"/>
  <c r="AE6" i="14" s="1"/>
  <c r="AH3" i="14" a="1"/>
  <c r="AH3" i="14" s="1"/>
  <c r="AE3" i="14" a="1"/>
  <c r="AE3" i="14" s="1"/>
  <c r="CK74" i="2"/>
  <c r="CH74" i="2" s="1"/>
  <c r="F71" i="4" s="1"/>
  <c r="O71" i="4" s="1"/>
  <c r="O76" i="4" s="1"/>
  <c r="AE9" i="14" a="1"/>
  <c r="AE9" i="14" s="1"/>
  <c r="AH9" i="14" a="1"/>
  <c r="AH9" i="14" s="1"/>
  <c r="R159" i="78"/>
  <c r="R160" i="78" s="1"/>
  <c r="S111" i="78"/>
  <c r="S112" i="78" s="1"/>
  <c r="W123" i="78"/>
  <c r="W124" i="78" s="1"/>
  <c r="V135" i="78"/>
  <c r="V136" i="78" s="1"/>
  <c r="R147" i="78"/>
  <c r="R148" i="78" s="1"/>
  <c r="V159" i="78"/>
  <c r="V160" i="78" s="1"/>
  <c r="S147" i="78"/>
  <c r="S148" i="78" s="1"/>
  <c r="W159" i="78"/>
  <c r="W160" i="78" s="1"/>
  <c r="S159" i="78"/>
  <c r="S160" i="78" s="1"/>
  <c r="U159" i="78"/>
  <c r="U160" i="78" s="1"/>
  <c r="T159" i="78"/>
  <c r="T160" i="78" s="1"/>
  <c r="W147" i="78"/>
  <c r="W148" i="78" s="1"/>
  <c r="R135" i="78"/>
  <c r="R136" i="78" s="1"/>
  <c r="S135" i="78"/>
  <c r="S136" i="78" s="1"/>
  <c r="T123" i="78"/>
  <c r="T124" i="78" s="1"/>
  <c r="V147" i="78"/>
  <c r="V148" i="78" s="1"/>
  <c r="T135" i="78"/>
  <c r="T136" i="78" s="1"/>
  <c r="U147" i="78"/>
  <c r="U148" i="78" s="1"/>
  <c r="T147" i="78"/>
  <c r="T148" i="78" s="1"/>
  <c r="U135" i="78"/>
  <c r="U136" i="78" s="1"/>
  <c r="R123" i="78"/>
  <c r="R124" i="78" s="1"/>
  <c r="W135" i="78"/>
  <c r="W136" i="78" s="1"/>
  <c r="T111" i="78"/>
  <c r="T112" i="78" s="1"/>
  <c r="S123" i="78"/>
  <c r="S124" i="78" s="1"/>
  <c r="U123" i="78"/>
  <c r="U124" i="78" s="1"/>
  <c r="V123" i="78"/>
  <c r="V124" i="78" s="1"/>
  <c r="V111" i="78"/>
  <c r="V112" i="78" s="1"/>
  <c r="R111" i="78"/>
  <c r="R112" i="78" s="1"/>
  <c r="W111" i="78"/>
  <c r="W112" i="78" s="1"/>
  <c r="U111" i="78"/>
  <c r="U112" i="78" s="1"/>
  <c r="W39" i="78"/>
  <c r="W40" i="78" s="1"/>
  <c r="T51" i="78"/>
  <c r="T52" i="78" s="1"/>
  <c r="W63" i="78"/>
  <c r="W64" i="78" s="1"/>
  <c r="R63" i="78"/>
  <c r="R64" i="78" s="1"/>
  <c r="U51" i="78"/>
  <c r="U52" i="78" s="1"/>
  <c r="V63" i="78"/>
  <c r="V64" i="78" s="1"/>
  <c r="U63" i="78"/>
  <c r="U64" i="78" s="1"/>
  <c r="S63" i="78"/>
  <c r="S64" i="78" s="1"/>
  <c r="T63" i="78"/>
  <c r="T64" i="78" s="1"/>
  <c r="U39" i="78"/>
  <c r="U40" i="78" s="1"/>
  <c r="V51" i="78"/>
  <c r="V52" i="78" s="1"/>
  <c r="W51" i="78"/>
  <c r="W52" i="78" s="1"/>
  <c r="T39" i="78"/>
  <c r="T40" i="78" s="1"/>
  <c r="R51" i="78"/>
  <c r="R52" i="78" s="1"/>
  <c r="R39" i="78"/>
  <c r="R40" i="78" s="1"/>
  <c r="S51" i="78"/>
  <c r="S52" i="78" s="1"/>
  <c r="V39" i="78"/>
  <c r="V40" i="78" s="1"/>
  <c r="S39" i="78"/>
  <c r="S40" i="78" s="1"/>
  <c r="AD9" i="75"/>
  <c r="AE9" i="75" s="1"/>
  <c r="CK8" i="2"/>
  <c r="CH8" i="2" s="1"/>
  <c r="AG192" i="57"/>
  <c r="CK96" i="2"/>
  <c r="CH96" i="2" s="1"/>
  <c r="AE58" i="75"/>
  <c r="AF59" i="75"/>
  <c r="AG59" i="75" s="1"/>
  <c r="E51" i="74"/>
  <c r="L51" i="74" s="1"/>
  <c r="E52" i="74"/>
  <c r="L52" i="74" s="1"/>
  <c r="E84" i="74"/>
  <c r="AD33" i="75"/>
  <c r="AF34" i="75" s="1"/>
  <c r="E76" i="74"/>
  <c r="AD25" i="75"/>
  <c r="E68" i="74"/>
  <c r="AD17" i="75"/>
  <c r="E100" i="74"/>
  <c r="AD49" i="75"/>
  <c r="E92" i="74"/>
  <c r="AD41" i="75"/>
  <c r="E60" i="74"/>
  <c r="F9" i="75"/>
  <c r="AG192" i="63"/>
  <c r="AG187" i="63"/>
  <c r="AG193" i="63"/>
  <c r="G93" i="4"/>
  <c r="P93" i="4" s="1"/>
  <c r="P98" i="4" s="1"/>
  <c r="AG193" i="57"/>
  <c r="AG187" i="57"/>
  <c r="AB79" i="64"/>
  <c r="AB79" i="58"/>
  <c r="AG187" i="53"/>
  <c r="AG192" i="53"/>
  <c r="AG177" i="53"/>
  <c r="AG193" i="53"/>
  <c r="AG177" i="64"/>
  <c r="AG192" i="64"/>
  <c r="AG186" i="64"/>
  <c r="AG193" i="64"/>
  <c r="AG192" i="62"/>
  <c r="AG187" i="62"/>
  <c r="AG177" i="62"/>
  <c r="AG193" i="62"/>
  <c r="AB79" i="55"/>
  <c r="AG177" i="57"/>
  <c r="AG177" i="63"/>
  <c r="AG262" i="45"/>
  <c r="AG59" i="67" s="1"/>
  <c r="AG154" i="67" s="1"/>
  <c r="AG161" i="67" s="1"/>
  <c r="AG163" i="67" s="1"/>
  <c r="AG170" i="67" s="1"/>
  <c r="CM151" i="2" s="1"/>
  <c r="CJ151" i="2" s="1"/>
  <c r="AG256" i="45"/>
  <c r="AG59" i="52" s="1"/>
  <c r="AG154" i="52" s="1"/>
  <c r="AG161" i="52" s="1"/>
  <c r="AG163" i="52" s="1"/>
  <c r="AG170" i="52" s="1"/>
  <c r="AF187" i="51"/>
  <c r="AG254" i="45"/>
  <c r="AG58" i="51" s="1"/>
  <c r="AG154" i="51" s="1"/>
  <c r="AG161" i="51" s="1"/>
  <c r="AG163" i="51" s="1"/>
  <c r="AG170" i="51" s="1"/>
  <c r="AG255" i="45"/>
  <c r="AG58" i="53" s="1"/>
  <c r="AG154" i="53" s="1"/>
  <c r="AG161" i="53" s="1"/>
  <c r="AG163" i="53" s="1"/>
  <c r="AG170" i="53" s="1"/>
  <c r="AE154" i="57"/>
  <c r="AE161" i="57" s="1"/>
  <c r="AE163" i="57" s="1"/>
  <c r="AE170" i="57" s="1"/>
  <c r="AE188" i="57" s="1"/>
  <c r="AE154" i="66"/>
  <c r="AE161" i="66" s="1"/>
  <c r="AE163" i="66" s="1"/>
  <c r="AE170" i="66" s="1"/>
  <c r="AE179" i="66" s="1"/>
  <c r="AF194" i="53"/>
  <c r="AF186" i="67"/>
  <c r="AF188" i="53"/>
  <c r="AF179" i="67"/>
  <c r="AB79" i="65"/>
  <c r="AF194" i="52"/>
  <c r="AF188" i="52"/>
  <c r="AF178" i="67"/>
  <c r="AF188" i="67"/>
  <c r="AB79" i="63"/>
  <c r="AB79" i="62"/>
  <c r="AF187" i="52"/>
  <c r="AF178" i="51"/>
  <c r="AF178" i="53"/>
  <c r="AF194" i="51"/>
  <c r="AB79" i="61"/>
  <c r="AF178" i="52"/>
  <c r="AF179" i="51"/>
  <c r="AF186" i="53"/>
  <c r="AG245" i="45"/>
  <c r="AF59" i="66"/>
  <c r="AF154" i="66" s="1"/>
  <c r="AF161" i="66" s="1"/>
  <c r="AF163" i="66" s="1"/>
  <c r="AF170" i="66" s="1"/>
  <c r="AF188" i="66" s="1"/>
  <c r="AG244" i="45"/>
  <c r="AF59" i="55"/>
  <c r="AF154" i="55" s="1"/>
  <c r="AF161" i="55" s="1"/>
  <c r="AF163" i="55" s="1"/>
  <c r="AF170" i="55" s="1"/>
  <c r="AF186" i="55" s="1"/>
  <c r="AG243" i="45"/>
  <c r="AF59" i="65"/>
  <c r="AF154" i="65" s="1"/>
  <c r="AF161" i="65" s="1"/>
  <c r="AF163" i="65" s="1"/>
  <c r="AF170" i="65" s="1"/>
  <c r="AF194" i="65" s="1"/>
  <c r="AG242" i="45"/>
  <c r="AF59" i="58"/>
  <c r="AF154" i="58" s="1"/>
  <c r="AF161" i="58" s="1"/>
  <c r="AF163" i="58" s="1"/>
  <c r="AF170" i="58" s="1"/>
  <c r="AF178" i="58" s="1"/>
  <c r="AG241" i="45"/>
  <c r="AG257" i="45" s="1"/>
  <c r="E54" i="74" s="1"/>
  <c r="AF59" i="57"/>
  <c r="AF154" i="57" s="1"/>
  <c r="AF161" i="57" s="1"/>
  <c r="AF163" i="57" s="1"/>
  <c r="AF170" i="57" s="1"/>
  <c r="AF186" i="57" s="1"/>
  <c r="AG237" i="45"/>
  <c r="AF58" i="64"/>
  <c r="AF154" i="64" s="1"/>
  <c r="AF161" i="64" s="1"/>
  <c r="AF163" i="64" s="1"/>
  <c r="AF170" i="64" s="1"/>
  <c r="AF178" i="64" s="1"/>
  <c r="AG236" i="45"/>
  <c r="AF58" i="63"/>
  <c r="AF154" i="63" s="1"/>
  <c r="AF161" i="63" s="1"/>
  <c r="AF163" i="63" s="1"/>
  <c r="AF170" i="63" s="1"/>
  <c r="AF178" i="63" s="1"/>
  <c r="AG235" i="45"/>
  <c r="AF58" i="62"/>
  <c r="AF154" i="62" s="1"/>
  <c r="AF161" i="62" s="1"/>
  <c r="AF163" i="62" s="1"/>
  <c r="AF170" i="62" s="1"/>
  <c r="AF179" i="62" s="1"/>
  <c r="AG234" i="45"/>
  <c r="AF58" i="38"/>
  <c r="AG233" i="45"/>
  <c r="AF58" i="61"/>
  <c r="AF154" i="61" s="1"/>
  <c r="AF161" i="61" s="1"/>
  <c r="AF163" i="61" s="1"/>
  <c r="AF170" i="61" s="1"/>
  <c r="AF187" i="61" s="1"/>
  <c r="F60" i="4"/>
  <c r="O60" i="4" s="1"/>
  <c r="O65" i="4" s="1"/>
  <c r="AG193" i="51"/>
  <c r="AG192" i="51"/>
  <c r="AG177" i="51"/>
  <c r="AG186" i="51"/>
  <c r="AF193" i="51"/>
  <c r="AF192" i="51"/>
  <c r="AF177" i="51"/>
  <c r="AF186" i="51"/>
  <c r="AF193" i="58"/>
  <c r="AF177" i="58"/>
  <c r="AF192" i="58"/>
  <c r="AF187" i="58"/>
  <c r="F104" i="4"/>
  <c r="O104" i="4" s="1"/>
  <c r="O109" i="4" s="1"/>
  <c r="AG177" i="58"/>
  <c r="AG187" i="58"/>
  <c r="AG193" i="58"/>
  <c r="AG192" i="58"/>
  <c r="AG192" i="61"/>
  <c r="AG177" i="61"/>
  <c r="AG193" i="61"/>
  <c r="AG186" i="61"/>
  <c r="AG192" i="65"/>
  <c r="AG187" i="65"/>
  <c r="AG177" i="65"/>
  <c r="AG193" i="65"/>
  <c r="AF192" i="61"/>
  <c r="AF193" i="61"/>
  <c r="AF177" i="61"/>
  <c r="AF186" i="61"/>
  <c r="AF187" i="65"/>
  <c r="AF192" i="65"/>
  <c r="AF177" i="65"/>
  <c r="AF193" i="65"/>
  <c r="AE188" i="62"/>
  <c r="AE178" i="62"/>
  <c r="AE186" i="62"/>
  <c r="AE179" i="62"/>
  <c r="AE194" i="62"/>
  <c r="AE179" i="64"/>
  <c r="AE188" i="64"/>
  <c r="AE178" i="64"/>
  <c r="AE187" i="64"/>
  <c r="AE194" i="64"/>
  <c r="AE188" i="65"/>
  <c r="AE179" i="65"/>
  <c r="AE178" i="65"/>
  <c r="AE186" i="65"/>
  <c r="AE194" i="65"/>
  <c r="AE178" i="58"/>
  <c r="AE186" i="58"/>
  <c r="AE188" i="58"/>
  <c r="AE179" i="58"/>
  <c r="AE194" i="58"/>
  <c r="AE179" i="55"/>
  <c r="AE178" i="55"/>
  <c r="AE188" i="55"/>
  <c r="AE186" i="55"/>
  <c r="AE194" i="55"/>
  <c r="AE178" i="63"/>
  <c r="AE179" i="63"/>
  <c r="AE186" i="63"/>
  <c r="AE188" i="63"/>
  <c r="AE194" i="63"/>
  <c r="AE179" i="61"/>
  <c r="AE178" i="61"/>
  <c r="AE188" i="61"/>
  <c r="AE187" i="61"/>
  <c r="AE194" i="61"/>
  <c r="D66" i="38"/>
  <c r="D64" i="38"/>
  <c r="D101" i="42"/>
  <c r="D102" i="41"/>
  <c r="H45" i="43"/>
  <c r="H52" i="43" s="1"/>
  <c r="E191" i="41"/>
  <c r="E196" i="41" s="1"/>
  <c r="E202" i="41" s="1"/>
  <c r="I106" i="43"/>
  <c r="I106" i="42"/>
  <c r="I107" i="41"/>
  <c r="I106" i="40"/>
  <c r="I106" i="39"/>
  <c r="E110" i="41"/>
  <c r="E115" i="41" s="1"/>
  <c r="F67" i="41"/>
  <c r="F127" i="41" s="1"/>
  <c r="F132" i="41" s="1"/>
  <c r="P172" i="43"/>
  <c r="E127" i="41"/>
  <c r="E132" i="41" s="1"/>
  <c r="L172" i="43"/>
  <c r="X172" i="43"/>
  <c r="AD172" i="43"/>
  <c r="Q172" i="43"/>
  <c r="G172" i="43"/>
  <c r="AF172" i="43"/>
  <c r="J172" i="43"/>
  <c r="K172" i="43"/>
  <c r="W172" i="43"/>
  <c r="Y172" i="43"/>
  <c r="C172" i="43"/>
  <c r="F172" i="43"/>
  <c r="S172" i="43"/>
  <c r="E172" i="43"/>
  <c r="I172" i="43"/>
  <c r="Z172" i="43"/>
  <c r="AE172" i="43"/>
  <c r="E69" i="42"/>
  <c r="E191" i="42" s="1"/>
  <c r="E196" i="42" s="1"/>
  <c r="AB172" i="43"/>
  <c r="H172" i="43"/>
  <c r="F67" i="42"/>
  <c r="F69" i="42" s="1"/>
  <c r="F191" i="42" s="1"/>
  <c r="F196" i="42" s="1"/>
  <c r="M172" i="43"/>
  <c r="T172" i="43"/>
  <c r="AC172" i="43"/>
  <c r="O172" i="43"/>
  <c r="U172" i="43"/>
  <c r="D172" i="43"/>
  <c r="AA172" i="43"/>
  <c r="AG172" i="43"/>
  <c r="N172" i="43"/>
  <c r="R172" i="43"/>
  <c r="C101" i="43"/>
  <c r="C205" i="43" s="1"/>
  <c r="C211" i="43" s="1"/>
  <c r="E101" i="42"/>
  <c r="D101" i="40"/>
  <c r="D101" i="43"/>
  <c r="E101" i="43"/>
  <c r="D102" i="43"/>
  <c r="C153" i="43"/>
  <c r="C208" i="43" s="1"/>
  <c r="F67" i="43"/>
  <c r="E69" i="43"/>
  <c r="E191" i="43" s="1"/>
  <c r="E196" i="43" s="1"/>
  <c r="E166" i="43"/>
  <c r="D174" i="43"/>
  <c r="H51" i="43"/>
  <c r="I44" i="43"/>
  <c r="H68" i="43"/>
  <c r="H41" i="43"/>
  <c r="F50" i="43"/>
  <c r="G43" i="43"/>
  <c r="F47" i="43"/>
  <c r="F53" i="43" s="1"/>
  <c r="E141" i="43"/>
  <c r="E91" i="43"/>
  <c r="E98" i="43" s="1"/>
  <c r="E93" i="43"/>
  <c r="E100" i="43" s="1"/>
  <c r="F86" i="43"/>
  <c r="F107" i="43" s="1"/>
  <c r="E54" i="43"/>
  <c r="E142" i="43"/>
  <c r="E147" i="43" s="1"/>
  <c r="E152" i="43" s="1"/>
  <c r="D90" i="43"/>
  <c r="D97" i="43" s="1"/>
  <c r="E70" i="43"/>
  <c r="D126" i="43"/>
  <c r="D131" i="43" s="1"/>
  <c r="D109" i="43"/>
  <c r="D114" i="43" s="1"/>
  <c r="E66" i="43"/>
  <c r="D143" i="43"/>
  <c r="D148" i="43" s="1"/>
  <c r="D144" i="43"/>
  <c r="D149" i="43" s="1"/>
  <c r="D146" i="43"/>
  <c r="D151" i="43" s="1"/>
  <c r="M65" i="43"/>
  <c r="L89" i="43"/>
  <c r="L96" i="43" s="1"/>
  <c r="F87" i="43"/>
  <c r="F94" i="43" s="1"/>
  <c r="F101" i="43" s="1"/>
  <c r="G39" i="43"/>
  <c r="F101" i="42"/>
  <c r="D90" i="42"/>
  <c r="D97" i="42" s="1"/>
  <c r="E70" i="42"/>
  <c r="F54" i="42"/>
  <c r="C101" i="42"/>
  <c r="C208" i="42"/>
  <c r="C154" i="42"/>
  <c r="D126" i="42"/>
  <c r="D131" i="42" s="1"/>
  <c r="D109" i="42"/>
  <c r="D114" i="42" s="1"/>
  <c r="E66" i="42"/>
  <c r="D143" i="42"/>
  <c r="D148" i="42" s="1"/>
  <c r="G41" i="42"/>
  <c r="E93" i="42"/>
  <c r="E100" i="42" s="1"/>
  <c r="E141" i="42"/>
  <c r="F86" i="42"/>
  <c r="F107" i="42" s="1"/>
  <c r="E91" i="42"/>
  <c r="E98" i="42" s="1"/>
  <c r="G47" i="42"/>
  <c r="G53" i="42" s="1"/>
  <c r="H43" i="42"/>
  <c r="G50" i="42"/>
  <c r="D144" i="42"/>
  <c r="D149" i="42" s="1"/>
  <c r="D146" i="42"/>
  <c r="D151" i="42" s="1"/>
  <c r="G87" i="42"/>
  <c r="G94" i="42" s="1"/>
  <c r="G101" i="42" s="1"/>
  <c r="H39" i="42"/>
  <c r="AC172" i="42"/>
  <c r="Q172" i="42"/>
  <c r="E172" i="42"/>
  <c r="AB172" i="42"/>
  <c r="P172" i="42"/>
  <c r="D172" i="42"/>
  <c r="Z172" i="42"/>
  <c r="N172" i="42"/>
  <c r="Y172" i="42"/>
  <c r="M172" i="42"/>
  <c r="W172" i="42"/>
  <c r="K172" i="42"/>
  <c r="V172" i="42"/>
  <c r="J172" i="42"/>
  <c r="AG172" i="42"/>
  <c r="U172" i="42"/>
  <c r="I172" i="42"/>
  <c r="H172" i="42"/>
  <c r="AF172" i="42"/>
  <c r="F172" i="42"/>
  <c r="AE172" i="42"/>
  <c r="C172" i="42"/>
  <c r="X172" i="42"/>
  <c r="S172" i="42"/>
  <c r="AD172" i="42"/>
  <c r="AA172" i="42"/>
  <c r="T172" i="42"/>
  <c r="R172" i="42"/>
  <c r="L172" i="42"/>
  <c r="O172" i="42"/>
  <c r="G172" i="42"/>
  <c r="F142" i="42"/>
  <c r="F147" i="42" s="1"/>
  <c r="F152" i="42" s="1"/>
  <c r="D102" i="42"/>
  <c r="D103" i="42" s="1"/>
  <c r="H45" i="42"/>
  <c r="G52" i="42"/>
  <c r="I44" i="42"/>
  <c r="H51" i="42"/>
  <c r="I68" i="42"/>
  <c r="I65" i="42"/>
  <c r="H89" i="42"/>
  <c r="H96" i="42" s="1"/>
  <c r="C102" i="41"/>
  <c r="C104" i="41" s="1"/>
  <c r="C154" i="41"/>
  <c r="C155" i="41" s="1"/>
  <c r="E102" i="41"/>
  <c r="F102" i="41"/>
  <c r="P90" i="41"/>
  <c r="P97" i="41" s="1"/>
  <c r="Q66" i="41"/>
  <c r="E142" i="41"/>
  <c r="E94" i="41"/>
  <c r="E101" i="41" s="1"/>
  <c r="F87" i="41"/>
  <c r="F108" i="41" s="1"/>
  <c r="E92" i="41"/>
  <c r="E99" i="41" s="1"/>
  <c r="F53" i="41"/>
  <c r="G46" i="41"/>
  <c r="D103" i="41"/>
  <c r="D206" i="41" s="1"/>
  <c r="G88" i="41"/>
  <c r="G95" i="41" s="1"/>
  <c r="G102" i="41" s="1"/>
  <c r="H40" i="41"/>
  <c r="E55" i="41"/>
  <c r="E71" i="41"/>
  <c r="D91" i="41"/>
  <c r="D98" i="41" s="1"/>
  <c r="F70" i="41"/>
  <c r="F192" i="41" s="1"/>
  <c r="F197" i="41" s="1"/>
  <c r="G68" i="41"/>
  <c r="F167" i="41"/>
  <c r="H69" i="41"/>
  <c r="D147" i="41"/>
  <c r="D152" i="41" s="1"/>
  <c r="D145" i="41"/>
  <c r="D150" i="41" s="1"/>
  <c r="D154" i="41" s="1"/>
  <c r="F51" i="41"/>
  <c r="G44" i="41"/>
  <c r="F48" i="41"/>
  <c r="F54" i="41" s="1"/>
  <c r="G42" i="41"/>
  <c r="AA173" i="41"/>
  <c r="O173" i="41"/>
  <c r="C173" i="41"/>
  <c r="Z173" i="41"/>
  <c r="N173" i="41"/>
  <c r="Y173" i="41"/>
  <c r="M173" i="41"/>
  <c r="X173" i="41"/>
  <c r="L173" i="41"/>
  <c r="W173" i="41"/>
  <c r="K173" i="41"/>
  <c r="V173" i="41"/>
  <c r="J173" i="41"/>
  <c r="AG173" i="41"/>
  <c r="U173" i="41"/>
  <c r="I173" i="41"/>
  <c r="AF173" i="41"/>
  <c r="T173" i="41"/>
  <c r="H173" i="41"/>
  <c r="AD173" i="41"/>
  <c r="R173" i="41"/>
  <c r="F173" i="41"/>
  <c r="Q173" i="41"/>
  <c r="G173" i="41"/>
  <c r="E173" i="41"/>
  <c r="D173" i="41"/>
  <c r="AB173" i="41"/>
  <c r="S173" i="41"/>
  <c r="AE173" i="41"/>
  <c r="AC173" i="41"/>
  <c r="P173" i="41"/>
  <c r="H45" i="41"/>
  <c r="G52" i="41"/>
  <c r="F141" i="40"/>
  <c r="F146" i="40" s="1"/>
  <c r="F151" i="40" s="1"/>
  <c r="E146" i="40"/>
  <c r="E151" i="40" s="1"/>
  <c r="G86" i="40"/>
  <c r="G107" i="40" s="1"/>
  <c r="F91" i="40"/>
  <c r="F98" i="40" s="1"/>
  <c r="F93" i="40"/>
  <c r="F100" i="40" s="1"/>
  <c r="G59" i="40"/>
  <c r="G68" i="40"/>
  <c r="E70" i="40"/>
  <c r="D90" i="40"/>
  <c r="D97" i="40" s="1"/>
  <c r="K65" i="40"/>
  <c r="J89" i="40"/>
  <c r="J96" i="40" s="1"/>
  <c r="G51" i="40"/>
  <c r="H44" i="40"/>
  <c r="G87" i="40"/>
  <c r="G94" i="40" s="1"/>
  <c r="G101" i="40" s="1"/>
  <c r="H39" i="40"/>
  <c r="D174" i="40"/>
  <c r="F101" i="40"/>
  <c r="D102" i="40"/>
  <c r="E54" i="40"/>
  <c r="E190" i="40"/>
  <c r="E195" i="40" s="1"/>
  <c r="E201" i="40" s="1"/>
  <c r="H41" i="40"/>
  <c r="G52" i="40"/>
  <c r="H45" i="40"/>
  <c r="G140" i="40"/>
  <c r="H60" i="40"/>
  <c r="F47" i="40"/>
  <c r="F53" i="40" s="1"/>
  <c r="F50" i="40"/>
  <c r="G43" i="40"/>
  <c r="E69" i="40"/>
  <c r="E191" i="40" s="1"/>
  <c r="E196" i="40" s="1"/>
  <c r="F67" i="40"/>
  <c r="E166" i="40"/>
  <c r="C101" i="40"/>
  <c r="D126" i="40"/>
  <c r="D131" i="40" s="1"/>
  <c r="D109" i="40"/>
  <c r="D114" i="40" s="1"/>
  <c r="E66" i="40"/>
  <c r="D143" i="40"/>
  <c r="D148" i="40" s="1"/>
  <c r="D153" i="40" s="1"/>
  <c r="D208" i="40" s="1"/>
  <c r="C208" i="40"/>
  <c r="C154" i="40"/>
  <c r="CM74" i="2" l="1"/>
  <c r="CJ74" i="2" s="1"/>
  <c r="AG9" i="14" a="1"/>
  <c r="AG9" i="14" s="1"/>
  <c r="AJ9" i="14" a="1"/>
  <c r="AJ9" i="14" s="1"/>
  <c r="CM63" i="2"/>
  <c r="CJ63" i="2" s="1"/>
  <c r="H60" i="4" s="1"/>
  <c r="Q60" i="4" s="1"/>
  <c r="Q65" i="4" s="1"/>
  <c r="O66" i="4" s="1"/>
  <c r="AG8" i="14" a="1"/>
  <c r="AG8" i="14" s="1"/>
  <c r="AJ8" i="14" a="1"/>
  <c r="AJ8" i="14" s="1"/>
  <c r="AJ10" i="14" a="1"/>
  <c r="AJ10" i="14" s="1"/>
  <c r="AG10" i="14" a="1"/>
  <c r="AG10" i="14" s="1"/>
  <c r="AE33" i="75"/>
  <c r="T15" i="78"/>
  <c r="T16" i="78" s="1"/>
  <c r="S15" i="78"/>
  <c r="S16" i="78" s="1"/>
  <c r="R15" i="78"/>
  <c r="R16" i="78" s="1"/>
  <c r="U15" i="78"/>
  <c r="U16" i="78" s="1"/>
  <c r="W15" i="78"/>
  <c r="W16" i="78" s="1"/>
  <c r="V15" i="78"/>
  <c r="V16" i="78" s="1"/>
  <c r="AF10" i="75"/>
  <c r="AG10" i="75" s="1"/>
  <c r="CM85" i="2"/>
  <c r="CJ85" i="2" s="1"/>
  <c r="H82" i="4" s="1"/>
  <c r="Q82" i="4" s="1"/>
  <c r="Q87" i="4" s="1"/>
  <c r="AE17" i="75"/>
  <c r="AF18" i="75"/>
  <c r="AG18" i="75" s="1"/>
  <c r="AE25" i="75"/>
  <c r="AF26" i="75"/>
  <c r="AG26" i="75" s="1"/>
  <c r="AE41" i="75"/>
  <c r="AF42" i="75"/>
  <c r="AG42" i="75" s="1"/>
  <c r="AG251" i="45"/>
  <c r="AG58" i="62" s="1"/>
  <c r="AG154" i="62" s="1"/>
  <c r="AG161" i="62" s="1"/>
  <c r="AG163" i="62" s="1"/>
  <c r="AG170" i="62" s="1"/>
  <c r="E53" i="74"/>
  <c r="AE49" i="75"/>
  <c r="AF50" i="75"/>
  <c r="AG50" i="75" s="1"/>
  <c r="E94" i="74"/>
  <c r="AD43" i="75"/>
  <c r="E86" i="74"/>
  <c r="AD35" i="75"/>
  <c r="E110" i="74"/>
  <c r="AD59" i="75"/>
  <c r="H9" i="75"/>
  <c r="G9" i="75"/>
  <c r="H10" i="75"/>
  <c r="AE194" i="66"/>
  <c r="AE188" i="66"/>
  <c r="AE178" i="66"/>
  <c r="AE186" i="57"/>
  <c r="AF194" i="57"/>
  <c r="AE178" i="57"/>
  <c r="AE179" i="57"/>
  <c r="AG194" i="51"/>
  <c r="AG187" i="51"/>
  <c r="AG178" i="51"/>
  <c r="AG188" i="51"/>
  <c r="AF179" i="63"/>
  <c r="AF178" i="57"/>
  <c r="AF179" i="57"/>
  <c r="AG179" i="53"/>
  <c r="AG186" i="53"/>
  <c r="AG194" i="53"/>
  <c r="AG178" i="53"/>
  <c r="AG188" i="53"/>
  <c r="H71" i="4"/>
  <c r="Q71" i="4" s="1"/>
  <c r="Q76" i="4" s="1"/>
  <c r="Q77" i="4" s="1"/>
  <c r="AG194" i="67"/>
  <c r="H148" i="4"/>
  <c r="Q148" i="4" s="1"/>
  <c r="Q153" i="4" s="1"/>
  <c r="Q154" i="4" s="1"/>
  <c r="AG186" i="67"/>
  <c r="AG178" i="67"/>
  <c r="AG188" i="67"/>
  <c r="AG179" i="67"/>
  <c r="AG258" i="45"/>
  <c r="AG59" i="58" s="1"/>
  <c r="AG154" i="58" s="1"/>
  <c r="AG161" i="58" s="1"/>
  <c r="AG163" i="58" s="1"/>
  <c r="AG170" i="58" s="1"/>
  <c r="AG178" i="52"/>
  <c r="AG253" i="45"/>
  <c r="AG58" i="64" s="1"/>
  <c r="AG154" i="64" s="1"/>
  <c r="AG161" i="64" s="1"/>
  <c r="AG163" i="64" s="1"/>
  <c r="AG170" i="64" s="1"/>
  <c r="AG252" i="45"/>
  <c r="AG58" i="63" s="1"/>
  <c r="AG154" i="63" s="1"/>
  <c r="AG161" i="63" s="1"/>
  <c r="AG163" i="63" s="1"/>
  <c r="AG170" i="63" s="1"/>
  <c r="AG260" i="45"/>
  <c r="AG59" i="55" s="1"/>
  <c r="AG154" i="55" s="1"/>
  <c r="AG161" i="55" s="1"/>
  <c r="AG163" i="55" s="1"/>
  <c r="AG170" i="55" s="1"/>
  <c r="AE194" i="57"/>
  <c r="AG194" i="52"/>
  <c r="AG179" i="51"/>
  <c r="AG249" i="45"/>
  <c r="AG58" i="61" s="1"/>
  <c r="AG154" i="61" s="1"/>
  <c r="AG161" i="61" s="1"/>
  <c r="AG163" i="61" s="1"/>
  <c r="AG170" i="61" s="1"/>
  <c r="AG187" i="52"/>
  <c r="AG188" i="52"/>
  <c r="AG250" i="45"/>
  <c r="AG58" i="38" s="1"/>
  <c r="AG261" i="45"/>
  <c r="AG59" i="66" s="1"/>
  <c r="AG154" i="66" s="1"/>
  <c r="AG161" i="66" s="1"/>
  <c r="AG163" i="66" s="1"/>
  <c r="AG170" i="66" s="1"/>
  <c r="AE186" i="66"/>
  <c r="AG179" i="52"/>
  <c r="AG259" i="45"/>
  <c r="AG59" i="65" s="1"/>
  <c r="AG154" i="65" s="1"/>
  <c r="AG161" i="65" s="1"/>
  <c r="AG163" i="65" s="1"/>
  <c r="AG170" i="65" s="1"/>
  <c r="F27" i="4"/>
  <c r="AF179" i="65"/>
  <c r="AF178" i="65"/>
  <c r="AF188" i="65"/>
  <c r="AF186" i="63"/>
  <c r="AF179" i="55"/>
  <c r="AF188" i="55"/>
  <c r="AF194" i="63"/>
  <c r="AF188" i="63"/>
  <c r="AF194" i="55"/>
  <c r="AF188" i="58"/>
  <c r="AF179" i="58"/>
  <c r="AF178" i="62"/>
  <c r="AF186" i="58"/>
  <c r="AF194" i="58"/>
  <c r="AF188" i="62"/>
  <c r="AF186" i="65"/>
  <c r="AF186" i="62"/>
  <c r="AF178" i="55"/>
  <c r="AF186" i="66"/>
  <c r="AF194" i="66"/>
  <c r="AF179" i="66"/>
  <c r="AF178" i="66"/>
  <c r="AF194" i="61"/>
  <c r="AF178" i="61"/>
  <c r="AF188" i="61"/>
  <c r="AF179" i="61"/>
  <c r="AF194" i="64"/>
  <c r="AF188" i="64"/>
  <c r="AF179" i="64"/>
  <c r="AF187" i="64"/>
  <c r="AF194" i="62"/>
  <c r="AF188" i="57"/>
  <c r="AG59" i="57"/>
  <c r="AG154" i="57" s="1"/>
  <c r="AG161" i="57" s="1"/>
  <c r="AG163" i="57" s="1"/>
  <c r="AG170" i="57" s="1"/>
  <c r="G115" i="4"/>
  <c r="P115" i="4" s="1"/>
  <c r="P120" i="4" s="1"/>
  <c r="E66" i="38"/>
  <c r="E64" i="38"/>
  <c r="F64" i="38"/>
  <c r="F66" i="38"/>
  <c r="I45" i="43"/>
  <c r="J45" i="43" s="1"/>
  <c r="J106" i="43"/>
  <c r="J106" i="42"/>
  <c r="J107" i="41"/>
  <c r="J106" i="40"/>
  <c r="J106" i="39"/>
  <c r="G67" i="41"/>
  <c r="G110" i="41" s="1"/>
  <c r="G115" i="41" s="1"/>
  <c r="F144" i="41"/>
  <c r="F149" i="41" s="1"/>
  <c r="F110" i="41"/>
  <c r="F115" i="41" s="1"/>
  <c r="F166" i="42"/>
  <c r="F174" i="42" s="1"/>
  <c r="G67" i="42"/>
  <c r="G69" i="42" s="1"/>
  <c r="G191" i="42" s="1"/>
  <c r="G196" i="42" s="1"/>
  <c r="C103" i="43"/>
  <c r="C206" i="41"/>
  <c r="C215" i="41" s="1"/>
  <c r="C219" i="41" s="1"/>
  <c r="D205" i="40"/>
  <c r="D211" i="40" s="1"/>
  <c r="D205" i="43"/>
  <c r="D211" i="43" s="1"/>
  <c r="D153" i="42"/>
  <c r="D154" i="42" s="1"/>
  <c r="F144" i="40"/>
  <c r="F149" i="40" s="1"/>
  <c r="C214" i="43"/>
  <c r="C218" i="43" s="1"/>
  <c r="D103" i="43"/>
  <c r="D153" i="43"/>
  <c r="D208" i="43" s="1"/>
  <c r="C154" i="43"/>
  <c r="H43" i="43"/>
  <c r="G47" i="43"/>
  <c r="G53" i="43" s="1"/>
  <c r="G50" i="43"/>
  <c r="F141" i="43"/>
  <c r="F91" i="43"/>
  <c r="F98" i="43" s="1"/>
  <c r="F93" i="43"/>
  <c r="F100" i="43" s="1"/>
  <c r="G86" i="43"/>
  <c r="G107" i="43" s="1"/>
  <c r="F54" i="43"/>
  <c r="F190" i="43"/>
  <c r="F195" i="43" s="1"/>
  <c r="F201" i="43" s="1"/>
  <c r="F142" i="43"/>
  <c r="F147" i="43" s="1"/>
  <c r="F152" i="43" s="1"/>
  <c r="N65" i="43"/>
  <c r="M89" i="43"/>
  <c r="M96" i="43" s="1"/>
  <c r="F70" i="43"/>
  <c r="E90" i="43"/>
  <c r="E97" i="43" s="1"/>
  <c r="C215" i="43"/>
  <c r="E174" i="43"/>
  <c r="E102" i="43"/>
  <c r="E205" i="43" s="1"/>
  <c r="I51" i="43"/>
  <c r="J44" i="43"/>
  <c r="E126" i="43"/>
  <c r="E131" i="43" s="1"/>
  <c r="E109" i="43"/>
  <c r="E114" i="43" s="1"/>
  <c r="F66" i="43"/>
  <c r="E143" i="43"/>
  <c r="E148" i="43" s="1"/>
  <c r="G67" i="43"/>
  <c r="F69" i="43"/>
  <c r="F191" i="43" s="1"/>
  <c r="F196" i="43" s="1"/>
  <c r="F166" i="43"/>
  <c r="E144" i="43"/>
  <c r="E149" i="43" s="1"/>
  <c r="E146" i="43"/>
  <c r="E151" i="43" s="1"/>
  <c r="I68" i="43"/>
  <c r="I41" i="43"/>
  <c r="G87" i="43"/>
  <c r="G94" i="43" s="1"/>
  <c r="G101" i="43" s="1"/>
  <c r="H39" i="43"/>
  <c r="D205" i="42"/>
  <c r="D211" i="42" s="1"/>
  <c r="E144" i="42"/>
  <c r="E149" i="42" s="1"/>
  <c r="E146" i="42"/>
  <c r="E151" i="42" s="1"/>
  <c r="C215" i="42"/>
  <c r="C205" i="42"/>
  <c r="C103" i="42"/>
  <c r="H87" i="42"/>
  <c r="H94" i="42" s="1"/>
  <c r="H101" i="42" s="1"/>
  <c r="I39" i="42"/>
  <c r="H41" i="42"/>
  <c r="F141" i="42"/>
  <c r="G86" i="42"/>
  <c r="G107" i="42" s="1"/>
  <c r="F91" i="42"/>
  <c r="F98" i="42" s="1"/>
  <c r="F93" i="42"/>
  <c r="F100" i="42" s="1"/>
  <c r="J68" i="42"/>
  <c r="G54" i="42"/>
  <c r="G190" i="42"/>
  <c r="G195" i="42" s="1"/>
  <c r="G201" i="42" s="1"/>
  <c r="G142" i="42"/>
  <c r="G147" i="42" s="1"/>
  <c r="G152" i="42" s="1"/>
  <c r="I45" i="42"/>
  <c r="H52" i="42"/>
  <c r="I51" i="42"/>
  <c r="J44" i="42"/>
  <c r="E126" i="42"/>
  <c r="E131" i="42" s="1"/>
  <c r="E109" i="42"/>
  <c r="E114" i="42" s="1"/>
  <c r="F66" i="42"/>
  <c r="E143" i="42"/>
  <c r="E148" i="42" s="1"/>
  <c r="H50" i="42"/>
  <c r="H47" i="42"/>
  <c r="H53" i="42" s="1"/>
  <c r="I43" i="42"/>
  <c r="F70" i="42"/>
  <c r="E90" i="42"/>
  <c r="E97" i="42" s="1"/>
  <c r="J65" i="42"/>
  <c r="I89" i="42"/>
  <c r="I96" i="42" s="1"/>
  <c r="E102" i="42"/>
  <c r="E205" i="42" s="1"/>
  <c r="C209" i="41"/>
  <c r="C216" i="41" s="1"/>
  <c r="R66" i="41"/>
  <c r="Q90" i="41"/>
  <c r="Q97" i="41" s="1"/>
  <c r="D104" i="41"/>
  <c r="D212" i="41"/>
  <c r="D215" i="41"/>
  <c r="D219" i="41" s="1"/>
  <c r="F92" i="41"/>
  <c r="F99" i="41" s="1"/>
  <c r="F142" i="41"/>
  <c r="F94" i="41"/>
  <c r="F101" i="41" s="1"/>
  <c r="G87" i="41"/>
  <c r="G108" i="41" s="1"/>
  <c r="E147" i="41"/>
  <c r="E152" i="41" s="1"/>
  <c r="E145" i="41"/>
  <c r="E150" i="41" s="1"/>
  <c r="E154" i="41" s="1"/>
  <c r="H42" i="41"/>
  <c r="F55" i="41"/>
  <c r="F191" i="41"/>
  <c r="F196" i="41" s="1"/>
  <c r="F202" i="41" s="1"/>
  <c r="F143" i="41"/>
  <c r="F148" i="41" s="1"/>
  <c r="F153" i="41" s="1"/>
  <c r="F175" i="41"/>
  <c r="G51" i="41"/>
  <c r="H44" i="41"/>
  <c r="G48" i="41"/>
  <c r="G54" i="41" s="1"/>
  <c r="D209" i="41"/>
  <c r="D155" i="41"/>
  <c r="I40" i="41"/>
  <c r="H88" i="41"/>
  <c r="H95" i="41" s="1"/>
  <c r="H102" i="41" s="1"/>
  <c r="G70" i="41"/>
  <c r="G192" i="41" s="1"/>
  <c r="G197" i="41" s="1"/>
  <c r="H68" i="41"/>
  <c r="G167" i="41"/>
  <c r="F71" i="41"/>
  <c r="E91" i="41"/>
  <c r="E98" i="41" s="1"/>
  <c r="H52" i="41"/>
  <c r="I45" i="41"/>
  <c r="I69" i="41"/>
  <c r="G53" i="41"/>
  <c r="H46" i="41"/>
  <c r="E103" i="41"/>
  <c r="E206" i="41" s="1"/>
  <c r="H86" i="40"/>
  <c r="G91" i="40"/>
  <c r="G98" i="40" s="1"/>
  <c r="G93" i="40"/>
  <c r="G100" i="40" s="1"/>
  <c r="G141" i="40"/>
  <c r="G146" i="40" s="1"/>
  <c r="G151" i="40" s="1"/>
  <c r="D215" i="40"/>
  <c r="I45" i="40"/>
  <c r="H52" i="40"/>
  <c r="F70" i="40"/>
  <c r="E90" i="40"/>
  <c r="E97" i="40" s="1"/>
  <c r="E102" i="40"/>
  <c r="L65" i="40"/>
  <c r="K89" i="40"/>
  <c r="K96" i="40" s="1"/>
  <c r="H68" i="40"/>
  <c r="D154" i="40"/>
  <c r="I39" i="40"/>
  <c r="H87" i="40"/>
  <c r="H94" i="40" s="1"/>
  <c r="H101" i="40" s="1"/>
  <c r="E174" i="40"/>
  <c r="H59" i="40"/>
  <c r="C103" i="40"/>
  <c r="C205" i="40"/>
  <c r="F69" i="40"/>
  <c r="F191" i="40" s="1"/>
  <c r="F196" i="40" s="1"/>
  <c r="G67" i="40"/>
  <c r="F166" i="40"/>
  <c r="I41" i="40"/>
  <c r="C215" i="40"/>
  <c r="H43" i="40"/>
  <c r="G50" i="40"/>
  <c r="G47" i="40"/>
  <c r="G53" i="40" s="1"/>
  <c r="I44" i="40"/>
  <c r="H51" i="40"/>
  <c r="D103" i="40"/>
  <c r="F54" i="40"/>
  <c r="F190" i="40"/>
  <c r="F195" i="40" s="1"/>
  <c r="F201" i="40" s="1"/>
  <c r="F142" i="40"/>
  <c r="F147" i="40" s="1"/>
  <c r="F152" i="40" s="1"/>
  <c r="E126" i="40"/>
  <c r="E131" i="40" s="1"/>
  <c r="E109" i="40"/>
  <c r="E114" i="40" s="1"/>
  <c r="F66" i="40"/>
  <c r="E143" i="40"/>
  <c r="E148" i="40" s="1"/>
  <c r="E153" i="40" s="1"/>
  <c r="H140" i="40"/>
  <c r="I60" i="40"/>
  <c r="CM129" i="2" l="1"/>
  <c r="CJ129" i="2" s="1"/>
  <c r="AJ14" i="14" a="1"/>
  <c r="AJ14" i="14" s="1"/>
  <c r="AG14" i="14" a="1"/>
  <c r="AG14" i="14" s="1"/>
  <c r="CM41" i="2"/>
  <c r="CJ41" i="2" s="1"/>
  <c r="H38" i="4" s="1"/>
  <c r="Q38" i="4" s="1"/>
  <c r="Q43" i="4" s="1"/>
  <c r="AG6" i="14" a="1"/>
  <c r="AG6" i="14" s="1"/>
  <c r="AJ6" i="14" a="1"/>
  <c r="AJ6" i="14" s="1"/>
  <c r="AG34" i="75"/>
  <c r="AF35" i="75"/>
  <c r="AG35" i="75" s="1"/>
  <c r="AG13" i="14" a="1"/>
  <c r="AG13" i="14" s="1"/>
  <c r="AJ13" i="14" a="1"/>
  <c r="AJ13" i="14" s="1"/>
  <c r="CM52" i="2"/>
  <c r="CJ52" i="2" s="1"/>
  <c r="H49" i="4" s="1"/>
  <c r="Q49" i="4" s="1"/>
  <c r="Q54" i="4" s="1"/>
  <c r="O55" i="4" s="1"/>
  <c r="AG7" i="14" a="1"/>
  <c r="AG7" i="14" s="1"/>
  <c r="AJ7" i="14" a="1"/>
  <c r="AJ7" i="14" s="1"/>
  <c r="CM96" i="2"/>
  <c r="CJ96" i="2" s="1"/>
  <c r="H93" i="4" s="1"/>
  <c r="Q93" i="4" s="1"/>
  <c r="Q98" i="4" s="1"/>
  <c r="AG11" i="14" a="1"/>
  <c r="AG11" i="14" s="1"/>
  <c r="AJ11" i="14" a="1"/>
  <c r="AJ11" i="14" s="1"/>
  <c r="CM140" i="2"/>
  <c r="CJ140" i="2" s="1"/>
  <c r="H137" i="4" s="1"/>
  <c r="Q137" i="4" s="1"/>
  <c r="Q142" i="4" s="1"/>
  <c r="AG15" i="14" a="1"/>
  <c r="AG15" i="14" s="1"/>
  <c r="AJ15" i="14" a="1"/>
  <c r="AJ15" i="14" s="1"/>
  <c r="CM107" i="2"/>
  <c r="CJ107" i="2" s="1"/>
  <c r="H104" i="4" s="1"/>
  <c r="Q104" i="4" s="1"/>
  <c r="Q109" i="4" s="1"/>
  <c r="AG12" i="14" a="1"/>
  <c r="AG12" i="14" s="1"/>
  <c r="AJ12" i="14" a="1"/>
  <c r="AJ12" i="14" s="1"/>
  <c r="AJ3" i="14" a="1"/>
  <c r="AJ3" i="14" s="1"/>
  <c r="AG3" i="14" a="1"/>
  <c r="AG3" i="14" s="1"/>
  <c r="CM30" i="2"/>
  <c r="CJ30" i="2" s="1"/>
  <c r="AG5" i="14" a="1"/>
  <c r="AG5" i="14" s="1"/>
  <c r="AJ5" i="14" a="1"/>
  <c r="AJ5" i="14" s="1"/>
  <c r="Q156" i="4"/>
  <c r="Q79" i="4"/>
  <c r="O68" i="4"/>
  <c r="Q88" i="4"/>
  <c r="P88" i="4"/>
  <c r="O88" i="4"/>
  <c r="AG178" i="65"/>
  <c r="CM118" i="2"/>
  <c r="CJ118" i="2" s="1"/>
  <c r="H115" i="4" s="1"/>
  <c r="Q115" i="4" s="1"/>
  <c r="Q120" i="4" s="1"/>
  <c r="AD11" i="75"/>
  <c r="AF11" i="75" s="1"/>
  <c r="AG11" i="75" s="1"/>
  <c r="CM8" i="2"/>
  <c r="CJ8" i="2" s="1"/>
  <c r="AF58" i="75"/>
  <c r="AG58" i="75" s="1"/>
  <c r="AE59" i="75"/>
  <c r="E70" i="74"/>
  <c r="AD19" i="75"/>
  <c r="E78" i="74"/>
  <c r="AD27" i="75"/>
  <c r="AE35" i="75"/>
  <c r="E102" i="74"/>
  <c r="AD51" i="75"/>
  <c r="AE43" i="75"/>
  <c r="AF43" i="75"/>
  <c r="AG43" i="75" s="1"/>
  <c r="E62" i="74"/>
  <c r="F11" i="75"/>
  <c r="Q66" i="4"/>
  <c r="P66" i="4"/>
  <c r="AG188" i="66"/>
  <c r="AG178" i="66"/>
  <c r="AG186" i="66"/>
  <c r="AG194" i="66"/>
  <c r="F115" i="4"/>
  <c r="O115" i="4" s="1"/>
  <c r="O120" i="4" s="1"/>
  <c r="P77" i="4"/>
  <c r="AG188" i="63"/>
  <c r="AG179" i="63"/>
  <c r="AG194" i="63"/>
  <c r="AG186" i="63"/>
  <c r="AG178" i="63"/>
  <c r="AG179" i="58"/>
  <c r="AG194" i="58"/>
  <c r="AG186" i="58"/>
  <c r="AG188" i="58"/>
  <c r="AG178" i="58"/>
  <c r="AG194" i="55"/>
  <c r="AG186" i="55"/>
  <c r="AG188" i="55"/>
  <c r="H126" i="4"/>
  <c r="Q126" i="4" s="1"/>
  <c r="Q131" i="4" s="1"/>
  <c r="AG178" i="55"/>
  <c r="AG179" i="55"/>
  <c r="AG194" i="65"/>
  <c r="AG187" i="64"/>
  <c r="AG187" i="61"/>
  <c r="AG178" i="61"/>
  <c r="AG178" i="64"/>
  <c r="AG179" i="64"/>
  <c r="AG194" i="64"/>
  <c r="AG188" i="61"/>
  <c r="AG188" i="65"/>
  <c r="O154" i="4"/>
  <c r="AG186" i="65"/>
  <c r="AG179" i="65"/>
  <c r="AG179" i="66"/>
  <c r="AG179" i="61"/>
  <c r="AG188" i="64"/>
  <c r="AG194" i="61"/>
  <c r="P154" i="4"/>
  <c r="O77" i="4"/>
  <c r="F93" i="4"/>
  <c r="O93" i="4" s="1"/>
  <c r="O98" i="4" s="1"/>
  <c r="AG179" i="57"/>
  <c r="AG186" i="57"/>
  <c r="AG188" i="57"/>
  <c r="AG178" i="57"/>
  <c r="AG194" i="57"/>
  <c r="AG188" i="62"/>
  <c r="AG179" i="62"/>
  <c r="AG194" i="62"/>
  <c r="AG178" i="62"/>
  <c r="AG186" i="62"/>
  <c r="G64" i="38"/>
  <c r="G66" i="38"/>
  <c r="G166" i="42"/>
  <c r="G174" i="42" s="1"/>
  <c r="I52" i="43"/>
  <c r="H67" i="42"/>
  <c r="H166" i="42" s="1"/>
  <c r="I86" i="40"/>
  <c r="I107" i="40" s="1"/>
  <c r="H107" i="40"/>
  <c r="K106" i="43"/>
  <c r="K106" i="42"/>
  <c r="K107" i="41"/>
  <c r="K106" i="40"/>
  <c r="K106" i="39"/>
  <c r="D214" i="43"/>
  <c r="D218" i="43" s="1"/>
  <c r="G144" i="41"/>
  <c r="G149" i="41" s="1"/>
  <c r="G127" i="41"/>
  <c r="G132" i="41" s="1"/>
  <c r="H67" i="41"/>
  <c r="H110" i="41" s="1"/>
  <c r="H115" i="41" s="1"/>
  <c r="C212" i="41"/>
  <c r="D214" i="40"/>
  <c r="D218" i="40" s="1"/>
  <c r="D214" i="42"/>
  <c r="D218" i="42" s="1"/>
  <c r="D208" i="42"/>
  <c r="D215" i="42" s="1"/>
  <c r="E153" i="42"/>
  <c r="E208" i="42" s="1"/>
  <c r="D154" i="43"/>
  <c r="E214" i="43"/>
  <c r="E218" i="43" s="1"/>
  <c r="E211" i="43"/>
  <c r="D215" i="43"/>
  <c r="H87" i="43"/>
  <c r="H94" i="43" s="1"/>
  <c r="H101" i="43" s="1"/>
  <c r="I39" i="43"/>
  <c r="O65" i="43"/>
  <c r="N89" i="43"/>
  <c r="N96" i="43" s="1"/>
  <c r="G54" i="43"/>
  <c r="G142" i="43"/>
  <c r="G147" i="43" s="1"/>
  <c r="G152" i="43" s="1"/>
  <c r="G190" i="43"/>
  <c r="G195" i="43" s="1"/>
  <c r="G201" i="43" s="1"/>
  <c r="F90" i="43"/>
  <c r="F97" i="43" s="1"/>
  <c r="G70" i="43"/>
  <c r="F174" i="43"/>
  <c r="J41" i="43"/>
  <c r="E153" i="43"/>
  <c r="E154" i="43" s="1"/>
  <c r="F126" i="43"/>
  <c r="F131" i="43" s="1"/>
  <c r="F109" i="43"/>
  <c r="F114" i="43" s="1"/>
  <c r="G66" i="43"/>
  <c r="F143" i="43"/>
  <c r="F148" i="43" s="1"/>
  <c r="I43" i="43"/>
  <c r="H47" i="43"/>
  <c r="H53" i="43" s="1"/>
  <c r="H50" i="43"/>
  <c r="K45" i="43"/>
  <c r="J52" i="43"/>
  <c r="E103" i="43"/>
  <c r="G141" i="43"/>
  <c r="G91" i="43"/>
  <c r="G98" i="43" s="1"/>
  <c r="G93" i="43"/>
  <c r="G100" i="43" s="1"/>
  <c r="H86" i="43"/>
  <c r="F144" i="43"/>
  <c r="F149" i="43" s="1"/>
  <c r="F146" i="43"/>
  <c r="F151" i="43" s="1"/>
  <c r="J68" i="43"/>
  <c r="K44" i="43"/>
  <c r="J51" i="43"/>
  <c r="H67" i="43"/>
  <c r="G69" i="43"/>
  <c r="G191" i="43" s="1"/>
  <c r="G196" i="43" s="1"/>
  <c r="G166" i="43"/>
  <c r="F102" i="43"/>
  <c r="F205" i="43" s="1"/>
  <c r="E103" i="42"/>
  <c r="E214" i="42"/>
  <c r="E218" i="42" s="1"/>
  <c r="E211" i="42"/>
  <c r="F146" i="42"/>
  <c r="F151" i="42" s="1"/>
  <c r="F144" i="42"/>
  <c r="F149" i="42" s="1"/>
  <c r="J39" i="42"/>
  <c r="I87" i="42"/>
  <c r="I94" i="42" s="1"/>
  <c r="I101" i="42" s="1"/>
  <c r="F126" i="42"/>
  <c r="F131" i="42" s="1"/>
  <c r="F109" i="42"/>
  <c r="F114" i="42" s="1"/>
  <c r="G66" i="42"/>
  <c r="F143" i="42"/>
  <c r="F148" i="42" s="1"/>
  <c r="I41" i="42"/>
  <c r="C211" i="42"/>
  <c r="C214" i="42"/>
  <c r="C218" i="42" s="1"/>
  <c r="G93" i="42"/>
  <c r="G100" i="42" s="1"/>
  <c r="G141" i="42"/>
  <c r="G91" i="42"/>
  <c r="G98" i="42" s="1"/>
  <c r="H86" i="42"/>
  <c r="I47" i="42"/>
  <c r="I53" i="42" s="1"/>
  <c r="J43" i="42"/>
  <c r="I50" i="42"/>
  <c r="H54" i="42"/>
  <c r="H190" i="42"/>
  <c r="H195" i="42" s="1"/>
  <c r="H201" i="42" s="1"/>
  <c r="H142" i="42"/>
  <c r="H147" i="42" s="1"/>
  <c r="H152" i="42" s="1"/>
  <c r="J51" i="42"/>
  <c r="K44" i="42"/>
  <c r="K68" i="42"/>
  <c r="K65" i="42"/>
  <c r="J89" i="42"/>
  <c r="J96" i="42" s="1"/>
  <c r="G70" i="42"/>
  <c r="F90" i="42"/>
  <c r="F97" i="42" s="1"/>
  <c r="I52" i="42"/>
  <c r="J45" i="42"/>
  <c r="F102" i="42"/>
  <c r="F205" i="42" s="1"/>
  <c r="S66" i="41"/>
  <c r="R90" i="41"/>
  <c r="R97" i="41" s="1"/>
  <c r="E212" i="41"/>
  <c r="E215" i="41"/>
  <c r="E219" i="41" s="1"/>
  <c r="D216" i="41"/>
  <c r="F103" i="41"/>
  <c r="F104" i="41" s="1"/>
  <c r="F91" i="41"/>
  <c r="F98" i="41" s="1"/>
  <c r="G71" i="41"/>
  <c r="I42" i="41"/>
  <c r="G175" i="41"/>
  <c r="E104" i="41"/>
  <c r="F145" i="41"/>
  <c r="F150" i="41" s="1"/>
  <c r="F154" i="41" s="1"/>
  <c r="F147" i="41"/>
  <c r="F152" i="41" s="1"/>
  <c r="I46" i="41"/>
  <c r="H53" i="41"/>
  <c r="H70" i="41"/>
  <c r="H192" i="41" s="1"/>
  <c r="H197" i="41" s="1"/>
  <c r="I68" i="41"/>
  <c r="H167" i="41"/>
  <c r="J69" i="41"/>
  <c r="J40" i="41"/>
  <c r="I88" i="41"/>
  <c r="I95" i="41" s="1"/>
  <c r="I102" i="41" s="1"/>
  <c r="G142" i="41"/>
  <c r="G94" i="41"/>
  <c r="G101" i="41" s="1"/>
  <c r="H87" i="41"/>
  <c r="G92" i="41"/>
  <c r="G99" i="41" s="1"/>
  <c r="E209" i="41"/>
  <c r="E155" i="41"/>
  <c r="I52" i="41"/>
  <c r="J45" i="41"/>
  <c r="H51" i="41"/>
  <c r="I44" i="41"/>
  <c r="H48" i="41"/>
  <c r="H54" i="41" s="1"/>
  <c r="G55" i="41"/>
  <c r="G143" i="41"/>
  <c r="G148" i="41" s="1"/>
  <c r="G153" i="41" s="1"/>
  <c r="G191" i="41"/>
  <c r="G196" i="41" s="1"/>
  <c r="G202" i="41" s="1"/>
  <c r="G144" i="40"/>
  <c r="G149" i="40" s="1"/>
  <c r="H93" i="40"/>
  <c r="H100" i="40" s="1"/>
  <c r="H91" i="40"/>
  <c r="H98" i="40" s="1"/>
  <c r="H141" i="40"/>
  <c r="H144" i="40" s="1"/>
  <c r="H149" i="40" s="1"/>
  <c r="E205" i="40"/>
  <c r="E103" i="40"/>
  <c r="G54" i="40"/>
  <c r="G190" i="40"/>
  <c r="G195" i="40" s="1"/>
  <c r="G201" i="40" s="1"/>
  <c r="G142" i="40"/>
  <c r="G147" i="40" s="1"/>
  <c r="G152" i="40" s="1"/>
  <c r="F90" i="40"/>
  <c r="F97" i="40" s="1"/>
  <c r="G70" i="40"/>
  <c r="F102" i="40"/>
  <c r="H47" i="40"/>
  <c r="H53" i="40" s="1"/>
  <c r="H50" i="40"/>
  <c r="I43" i="40"/>
  <c r="J41" i="40"/>
  <c r="I59" i="40"/>
  <c r="I52" i="40"/>
  <c r="J45" i="40"/>
  <c r="I68" i="40"/>
  <c r="F126" i="40"/>
  <c r="F131" i="40" s="1"/>
  <c r="F109" i="40"/>
  <c r="F114" i="40" s="1"/>
  <c r="G66" i="40"/>
  <c r="F143" i="40"/>
  <c r="F148" i="40" s="1"/>
  <c r="F153" i="40" s="1"/>
  <c r="F154" i="40" s="1"/>
  <c r="C211" i="40"/>
  <c r="C214" i="40"/>
  <c r="C218" i="40" s="1"/>
  <c r="I140" i="40"/>
  <c r="J60" i="40"/>
  <c r="F174" i="40"/>
  <c r="M65" i="40"/>
  <c r="L89" i="40"/>
  <c r="L96" i="40" s="1"/>
  <c r="I87" i="40"/>
  <c r="I94" i="40" s="1"/>
  <c r="I101" i="40" s="1"/>
  <c r="J39" i="40"/>
  <c r="I51" i="40"/>
  <c r="J44" i="40"/>
  <c r="G69" i="40"/>
  <c r="G191" i="40" s="1"/>
  <c r="G196" i="40" s="1"/>
  <c r="H67" i="40"/>
  <c r="G166" i="40"/>
  <c r="E154" i="40"/>
  <c r="E208" i="40"/>
  <c r="AE11" i="75" l="1"/>
  <c r="P156" i="4"/>
  <c r="O156" i="4"/>
  <c r="O157" i="4" s="1"/>
  <c r="O158" i="4" s="1"/>
  <c r="O90" i="4"/>
  <c r="P90" i="4"/>
  <c r="Q90" i="4"/>
  <c r="P79" i="4"/>
  <c r="O79" i="4"/>
  <c r="P68" i="4"/>
  <c r="Q68" i="4"/>
  <c r="O57" i="4"/>
  <c r="O121" i="4"/>
  <c r="AF51" i="75"/>
  <c r="AG51" i="75" s="1"/>
  <c r="AE51" i="75"/>
  <c r="AF27" i="75"/>
  <c r="AG27" i="75" s="1"/>
  <c r="AE27" i="75"/>
  <c r="AF19" i="75"/>
  <c r="AG19" i="75" s="1"/>
  <c r="AE19" i="75"/>
  <c r="H11" i="75"/>
  <c r="G11" i="75"/>
  <c r="P55" i="4"/>
  <c r="Q55" i="4"/>
  <c r="Q121" i="4"/>
  <c r="P121" i="4"/>
  <c r="P143" i="4"/>
  <c r="O143" i="4"/>
  <c r="Q143" i="4"/>
  <c r="Q44" i="4"/>
  <c r="O44" i="4"/>
  <c r="P44" i="4"/>
  <c r="Q132" i="4"/>
  <c r="P132" i="4"/>
  <c r="O132" i="4"/>
  <c r="Q110" i="4"/>
  <c r="P110" i="4"/>
  <c r="O110" i="4"/>
  <c r="Q99" i="4"/>
  <c r="O99" i="4"/>
  <c r="P99" i="4"/>
  <c r="H64" i="38"/>
  <c r="H66" i="38"/>
  <c r="H69" i="42"/>
  <c r="H191" i="42" s="1"/>
  <c r="H196" i="42" s="1"/>
  <c r="I67" i="42"/>
  <c r="I166" i="42" s="1"/>
  <c r="H127" i="41"/>
  <c r="H132" i="41" s="1"/>
  <c r="I87" i="41"/>
  <c r="I108" i="41" s="1"/>
  <c r="H108" i="41"/>
  <c r="I86" i="43"/>
  <c r="I107" i="43" s="1"/>
  <c r="H107" i="43"/>
  <c r="I86" i="42"/>
  <c r="I107" i="42" s="1"/>
  <c r="H107" i="42"/>
  <c r="L106" i="43"/>
  <c r="L106" i="42"/>
  <c r="L107" i="41"/>
  <c r="L106" i="40"/>
  <c r="L106" i="39"/>
  <c r="I67" i="41"/>
  <c r="I127" i="41" s="1"/>
  <c r="I132" i="41" s="1"/>
  <c r="H144" i="41"/>
  <c r="H149" i="41" s="1"/>
  <c r="E154" i="42"/>
  <c r="H138" i="40"/>
  <c r="F103" i="43"/>
  <c r="E208" i="43"/>
  <c r="E215" i="43" s="1"/>
  <c r="F211" i="43"/>
  <c r="F214" i="43"/>
  <c r="F218" i="43" s="1"/>
  <c r="G174" i="43"/>
  <c r="H54" i="43"/>
  <c r="H142" i="43"/>
  <c r="H147" i="43" s="1"/>
  <c r="H152" i="43" s="1"/>
  <c r="H190" i="43"/>
  <c r="H195" i="43" s="1"/>
  <c r="H201" i="43" s="1"/>
  <c r="K41" i="43"/>
  <c r="H69" i="43"/>
  <c r="H191" i="43" s="1"/>
  <c r="H196" i="43" s="1"/>
  <c r="I67" i="43"/>
  <c r="H166" i="43"/>
  <c r="J43" i="43"/>
  <c r="I47" i="43"/>
  <c r="I53" i="43" s="1"/>
  <c r="I50" i="43"/>
  <c r="P65" i="43"/>
  <c r="O89" i="43"/>
  <c r="O96" i="43" s="1"/>
  <c r="F153" i="43"/>
  <c r="F208" i="43" s="1"/>
  <c r="I87" i="43"/>
  <c r="I94" i="43" s="1"/>
  <c r="I101" i="43" s="1"/>
  <c r="J39" i="43"/>
  <c r="H141" i="43"/>
  <c r="H93" i="43"/>
  <c r="H100" i="43" s="1"/>
  <c r="H91" i="43"/>
  <c r="H98" i="43" s="1"/>
  <c r="G102" i="43"/>
  <c r="G205" i="43" s="1"/>
  <c r="G109" i="43"/>
  <c r="G114" i="43" s="1"/>
  <c r="G126" i="43"/>
  <c r="G131" i="43" s="1"/>
  <c r="H66" i="43"/>
  <c r="G143" i="43"/>
  <c r="G148" i="43" s="1"/>
  <c r="H70" i="43"/>
  <c r="G90" i="43"/>
  <c r="G97" i="43" s="1"/>
  <c r="L44" i="43"/>
  <c r="K51" i="43"/>
  <c r="G146" i="43"/>
  <c r="G151" i="43" s="1"/>
  <c r="G144" i="43"/>
  <c r="G149" i="43" s="1"/>
  <c r="K68" i="43"/>
  <c r="L45" i="43"/>
  <c r="K52" i="43"/>
  <c r="F103" i="42"/>
  <c r="J41" i="42"/>
  <c r="K39" i="42"/>
  <c r="J87" i="42"/>
  <c r="J94" i="42" s="1"/>
  <c r="J101" i="42" s="1"/>
  <c r="F214" i="42"/>
  <c r="F218" i="42" s="1"/>
  <c r="F211" i="42"/>
  <c r="K43" i="42"/>
  <c r="J47" i="42"/>
  <c r="J53" i="42" s="1"/>
  <c r="J50" i="42"/>
  <c r="G144" i="42"/>
  <c r="G149" i="42" s="1"/>
  <c r="G146" i="42"/>
  <c r="G151" i="42" s="1"/>
  <c r="L65" i="42"/>
  <c r="K89" i="42"/>
  <c r="K96" i="42" s="1"/>
  <c r="J52" i="42"/>
  <c r="K45" i="42"/>
  <c r="G102" i="42"/>
  <c r="G205" i="42" s="1"/>
  <c r="L44" i="42"/>
  <c r="K51" i="42"/>
  <c r="H141" i="42"/>
  <c r="H93" i="42"/>
  <c r="H100" i="42" s="1"/>
  <c r="H91" i="42"/>
  <c r="H98" i="42" s="1"/>
  <c r="L68" i="42"/>
  <c r="I54" i="42"/>
  <c r="I190" i="42"/>
  <c r="I195" i="42" s="1"/>
  <c r="I201" i="42" s="1"/>
  <c r="I142" i="42"/>
  <c r="I147" i="42" s="1"/>
  <c r="I152" i="42" s="1"/>
  <c r="E215" i="42"/>
  <c r="F153" i="42"/>
  <c r="F154" i="42" s="1"/>
  <c r="G90" i="42"/>
  <c r="G97" i="42" s="1"/>
  <c r="H70" i="42"/>
  <c r="G109" i="42"/>
  <c r="G114" i="42" s="1"/>
  <c r="H66" i="42"/>
  <c r="G126" i="42"/>
  <c r="G131" i="42" s="1"/>
  <c r="G143" i="42"/>
  <c r="G148" i="42" s="1"/>
  <c r="H174" i="42"/>
  <c r="T66" i="41"/>
  <c r="S90" i="41"/>
  <c r="S97" i="41" s="1"/>
  <c r="F206" i="41"/>
  <c r="F212" i="41" s="1"/>
  <c r="E216" i="41"/>
  <c r="G103" i="41"/>
  <c r="G104" i="41" s="1"/>
  <c r="J46" i="41"/>
  <c r="I53" i="41"/>
  <c r="J42" i="41"/>
  <c r="F209" i="41"/>
  <c r="F155" i="41"/>
  <c r="H142" i="41"/>
  <c r="H92" i="41"/>
  <c r="H99" i="41" s="1"/>
  <c r="H94" i="41"/>
  <c r="H101" i="41" s="1"/>
  <c r="I51" i="41"/>
  <c r="J44" i="41"/>
  <c r="I48" i="41"/>
  <c r="I54" i="41" s="1"/>
  <c r="G145" i="41"/>
  <c r="G150" i="41" s="1"/>
  <c r="G154" i="41" s="1"/>
  <c r="G147" i="41"/>
  <c r="G152" i="41" s="1"/>
  <c r="K69" i="41"/>
  <c r="K40" i="41"/>
  <c r="J88" i="41"/>
  <c r="J95" i="41" s="1"/>
  <c r="J102" i="41" s="1"/>
  <c r="H55" i="41"/>
  <c r="H191" i="41"/>
  <c r="H196" i="41" s="1"/>
  <c r="H202" i="41" s="1"/>
  <c r="H143" i="41"/>
  <c r="H148" i="41" s="1"/>
  <c r="H153" i="41" s="1"/>
  <c r="J52" i="41"/>
  <c r="K45" i="41"/>
  <c r="H175" i="41"/>
  <c r="I70" i="41"/>
  <c r="I192" i="41" s="1"/>
  <c r="I197" i="41" s="1"/>
  <c r="J68" i="41"/>
  <c r="I167" i="41"/>
  <c r="G91" i="41"/>
  <c r="G98" i="41" s="1"/>
  <c r="H71" i="41"/>
  <c r="H146" i="40"/>
  <c r="H151" i="40" s="1"/>
  <c r="I93" i="40"/>
  <c r="I100" i="40" s="1"/>
  <c r="I91" i="40"/>
  <c r="I98" i="40" s="1"/>
  <c r="J86" i="40"/>
  <c r="J107" i="40" s="1"/>
  <c r="I141" i="40"/>
  <c r="I146" i="40" s="1"/>
  <c r="I151" i="40" s="1"/>
  <c r="H54" i="40"/>
  <c r="H190" i="40"/>
  <c r="H195" i="40" s="1"/>
  <c r="H201" i="40" s="1"/>
  <c r="H142" i="40"/>
  <c r="H147" i="40" s="1"/>
  <c r="H152" i="40" s="1"/>
  <c r="G174" i="40"/>
  <c r="G126" i="40"/>
  <c r="G131" i="40" s="1"/>
  <c r="G109" i="40"/>
  <c r="G114" i="40" s="1"/>
  <c r="H66" i="40"/>
  <c r="G143" i="40"/>
  <c r="G148" i="40" s="1"/>
  <c r="G153" i="40" s="1"/>
  <c r="J140" i="40"/>
  <c r="K60" i="40"/>
  <c r="K44" i="40"/>
  <c r="J51" i="40"/>
  <c r="F103" i="40"/>
  <c r="F205" i="40"/>
  <c r="G90" i="40"/>
  <c r="G97" i="40" s="1"/>
  <c r="H70" i="40"/>
  <c r="G102" i="40"/>
  <c r="E215" i="40"/>
  <c r="J87" i="40"/>
  <c r="J94" i="40" s="1"/>
  <c r="J101" i="40" s="1"/>
  <c r="K39" i="40"/>
  <c r="J68" i="40"/>
  <c r="K45" i="40"/>
  <c r="J52" i="40"/>
  <c r="J59" i="40"/>
  <c r="N65" i="40"/>
  <c r="M89" i="40"/>
  <c r="M96" i="40" s="1"/>
  <c r="K41" i="40"/>
  <c r="E214" i="40"/>
  <c r="E218" i="40" s="1"/>
  <c r="E211" i="40"/>
  <c r="H69" i="40"/>
  <c r="H191" i="40" s="1"/>
  <c r="H196" i="40" s="1"/>
  <c r="I67" i="40"/>
  <c r="H166" i="40"/>
  <c r="I50" i="40"/>
  <c r="J43" i="40"/>
  <c r="I47" i="40"/>
  <c r="I53" i="40" s="1"/>
  <c r="F208" i="40"/>
  <c r="Q69" i="4" l="1"/>
  <c r="Q70" i="4" s="1"/>
  <c r="P91" i="4"/>
  <c r="O80" i="4"/>
  <c r="O81" i="4" s="1"/>
  <c r="P69" i="4"/>
  <c r="P70" i="4" s="1"/>
  <c r="P157" i="4"/>
  <c r="P158" i="4" s="1"/>
  <c r="O91" i="4"/>
  <c r="P80" i="4"/>
  <c r="P81" i="4" s="1"/>
  <c r="Q157" i="4"/>
  <c r="Q158" i="4" s="1"/>
  <c r="Q80" i="4"/>
  <c r="Q81" i="4" s="1"/>
  <c r="Q91" i="4"/>
  <c r="O69" i="4"/>
  <c r="O70" i="4"/>
  <c r="Q145" i="4"/>
  <c r="O145" i="4"/>
  <c r="P145" i="4"/>
  <c r="P134" i="4"/>
  <c r="O134" i="4"/>
  <c r="Q134" i="4"/>
  <c r="O123" i="4"/>
  <c r="Q123" i="4"/>
  <c r="P123" i="4"/>
  <c r="O112" i="4"/>
  <c r="P112" i="4"/>
  <c r="Q112" i="4"/>
  <c r="Q101" i="4"/>
  <c r="P101" i="4"/>
  <c r="O101" i="4"/>
  <c r="Q57" i="4"/>
  <c r="P57" i="4"/>
  <c r="Q46" i="4"/>
  <c r="O46" i="4"/>
  <c r="P46" i="4"/>
  <c r="H27" i="4"/>
  <c r="I64" i="38"/>
  <c r="I66" i="38"/>
  <c r="I69" i="42"/>
  <c r="I191" i="42" s="1"/>
  <c r="I196" i="42" s="1"/>
  <c r="J67" i="42"/>
  <c r="K67" i="42" s="1"/>
  <c r="M106" i="43"/>
  <c r="M106" i="42"/>
  <c r="M107" i="41"/>
  <c r="M106" i="40"/>
  <c r="M106" i="39"/>
  <c r="J67" i="41"/>
  <c r="J127" i="41" s="1"/>
  <c r="J132" i="41" s="1"/>
  <c r="I144" i="41"/>
  <c r="I149" i="41" s="1"/>
  <c r="I110" i="41"/>
  <c r="I115" i="41" s="1"/>
  <c r="J141" i="40"/>
  <c r="J144" i="40" s="1"/>
  <c r="J149" i="40" s="1"/>
  <c r="G103" i="43"/>
  <c r="G214" i="43"/>
  <c r="G218" i="43" s="1"/>
  <c r="G211" i="43"/>
  <c r="F215" i="43"/>
  <c r="I70" i="43"/>
  <c r="H90" i="43"/>
  <c r="H97" i="43" s="1"/>
  <c r="I69" i="43"/>
  <c r="I191" i="43" s="1"/>
  <c r="I196" i="43" s="1"/>
  <c r="J67" i="43"/>
  <c r="I166" i="43"/>
  <c r="M44" i="43"/>
  <c r="L51" i="43"/>
  <c r="G153" i="43"/>
  <c r="G208" i="43" s="1"/>
  <c r="H102" i="43"/>
  <c r="H205" i="43" s="1"/>
  <c r="H126" i="43"/>
  <c r="H131" i="43" s="1"/>
  <c r="I66" i="43"/>
  <c r="H109" i="43"/>
  <c r="H114" i="43" s="1"/>
  <c r="H143" i="43"/>
  <c r="H148" i="43" s="1"/>
  <c r="I141" i="43"/>
  <c r="J86" i="43"/>
  <c r="J107" i="43" s="1"/>
  <c r="I93" i="43"/>
  <c r="I100" i="43" s="1"/>
  <c r="I91" i="43"/>
  <c r="I98" i="43" s="1"/>
  <c r="L52" i="43"/>
  <c r="M45" i="43"/>
  <c r="F154" i="43"/>
  <c r="H144" i="43"/>
  <c r="H149" i="43" s="1"/>
  <c r="H138" i="43"/>
  <c r="H146" i="43"/>
  <c r="H151" i="43" s="1"/>
  <c r="Q65" i="43"/>
  <c r="P89" i="43"/>
  <c r="P96" i="43" s="1"/>
  <c r="H174" i="43"/>
  <c r="L68" i="43"/>
  <c r="I54" i="43"/>
  <c r="I142" i="43"/>
  <c r="I147" i="43" s="1"/>
  <c r="I152" i="43" s="1"/>
  <c r="I190" i="43"/>
  <c r="I195" i="43" s="1"/>
  <c r="I201" i="43" s="1"/>
  <c r="L41" i="43"/>
  <c r="J87" i="43"/>
  <c r="J94" i="43" s="1"/>
  <c r="J101" i="43" s="1"/>
  <c r="K39" i="43"/>
  <c r="K43" i="43"/>
  <c r="J50" i="43"/>
  <c r="J47" i="43"/>
  <c r="J53" i="43" s="1"/>
  <c r="G153" i="42"/>
  <c r="G208" i="42" s="1"/>
  <c r="G103" i="42"/>
  <c r="F208" i="42"/>
  <c r="I174" i="42"/>
  <c r="L43" i="42"/>
  <c r="K47" i="42"/>
  <c r="K53" i="42" s="1"/>
  <c r="K50" i="42"/>
  <c r="H146" i="42"/>
  <c r="H151" i="42" s="1"/>
  <c r="H144" i="42"/>
  <c r="H149" i="42" s="1"/>
  <c r="H138" i="42"/>
  <c r="H109" i="42"/>
  <c r="H114" i="42" s="1"/>
  <c r="H126" i="42"/>
  <c r="H131" i="42" s="1"/>
  <c r="I66" i="42"/>
  <c r="H143" i="42"/>
  <c r="H148" i="42" s="1"/>
  <c r="L45" i="42"/>
  <c r="K52" i="42"/>
  <c r="G214" i="42"/>
  <c r="G218" i="42" s="1"/>
  <c r="G211" i="42"/>
  <c r="L39" i="42"/>
  <c r="K87" i="42"/>
  <c r="K94" i="42" s="1"/>
  <c r="K101" i="42" s="1"/>
  <c r="H90" i="42"/>
  <c r="H97" i="42" s="1"/>
  <c r="I70" i="42"/>
  <c r="K41" i="42"/>
  <c r="M68" i="42"/>
  <c r="M65" i="42"/>
  <c r="L89" i="42"/>
  <c r="L96" i="42" s="1"/>
  <c r="I141" i="42"/>
  <c r="I91" i="42"/>
  <c r="I98" i="42" s="1"/>
  <c r="I93" i="42"/>
  <c r="I100" i="42" s="1"/>
  <c r="J86" i="42"/>
  <c r="J107" i="42" s="1"/>
  <c r="M44" i="42"/>
  <c r="L51" i="42"/>
  <c r="H102" i="42"/>
  <c r="H205" i="42" s="1"/>
  <c r="J54" i="42"/>
  <c r="J190" i="42"/>
  <c r="J195" i="42" s="1"/>
  <c r="J201" i="42" s="1"/>
  <c r="J142" i="42"/>
  <c r="J147" i="42" s="1"/>
  <c r="J152" i="42" s="1"/>
  <c r="F215" i="41"/>
  <c r="F219" i="41" s="1"/>
  <c r="U66" i="41"/>
  <c r="T90" i="41"/>
  <c r="T97" i="41" s="1"/>
  <c r="G206" i="41"/>
  <c r="G215" i="41" s="1"/>
  <c r="G219" i="41" s="1"/>
  <c r="I142" i="41"/>
  <c r="J87" i="41"/>
  <c r="J108" i="41" s="1"/>
  <c r="I92" i="41"/>
  <c r="I99" i="41" s="1"/>
  <c r="I94" i="41"/>
  <c r="I101" i="41" s="1"/>
  <c r="K42" i="41"/>
  <c r="G209" i="41"/>
  <c r="G155" i="41"/>
  <c r="I55" i="41"/>
  <c r="I191" i="41"/>
  <c r="I196" i="41" s="1"/>
  <c r="I202" i="41" s="1"/>
  <c r="I143" i="41"/>
  <c r="I148" i="41" s="1"/>
  <c r="I153" i="41" s="1"/>
  <c r="J51" i="41"/>
  <c r="K44" i="41"/>
  <c r="J48" i="41"/>
  <c r="J54" i="41" s="1"/>
  <c r="I71" i="41"/>
  <c r="H91" i="41"/>
  <c r="H98" i="41" s="1"/>
  <c r="L40" i="41"/>
  <c r="K88" i="41"/>
  <c r="K95" i="41" s="1"/>
  <c r="K102" i="41" s="1"/>
  <c r="H145" i="41"/>
  <c r="H150" i="41" s="1"/>
  <c r="H154" i="41" s="1"/>
  <c r="H147" i="41"/>
  <c r="H152" i="41" s="1"/>
  <c r="H139" i="41"/>
  <c r="K46" i="41"/>
  <c r="J53" i="41"/>
  <c r="K52" i="41"/>
  <c r="L45" i="41"/>
  <c r="I175" i="41"/>
  <c r="H103" i="41"/>
  <c r="H104" i="41" s="1"/>
  <c r="F216" i="41"/>
  <c r="J70" i="41"/>
  <c r="J192" i="41" s="1"/>
  <c r="J197" i="41" s="1"/>
  <c r="K68" i="41"/>
  <c r="J167" i="41"/>
  <c r="L69" i="41"/>
  <c r="K86" i="40"/>
  <c r="K107" i="40" s="1"/>
  <c r="J91" i="40"/>
  <c r="J98" i="40" s="1"/>
  <c r="J93" i="40"/>
  <c r="J100" i="40" s="1"/>
  <c r="I144" i="40"/>
  <c r="I149" i="40" s="1"/>
  <c r="J47" i="40"/>
  <c r="J53" i="40" s="1"/>
  <c r="K43" i="40"/>
  <c r="J50" i="40"/>
  <c r="K140" i="40"/>
  <c r="L60" i="40"/>
  <c r="O65" i="40"/>
  <c r="N89" i="40"/>
  <c r="N96" i="40" s="1"/>
  <c r="K59" i="40"/>
  <c r="G154" i="40"/>
  <c r="G208" i="40"/>
  <c r="H90" i="40"/>
  <c r="H97" i="40" s="1"/>
  <c r="I70" i="40"/>
  <c r="H102" i="40"/>
  <c r="F214" i="40"/>
  <c r="F218" i="40" s="1"/>
  <c r="F211" i="40"/>
  <c r="H126" i="40"/>
  <c r="H131" i="40" s="1"/>
  <c r="H109" i="40"/>
  <c r="H114" i="40" s="1"/>
  <c r="I66" i="40"/>
  <c r="H143" i="40"/>
  <c r="H148" i="40" s="1"/>
  <c r="H153" i="40" s="1"/>
  <c r="H208" i="40" s="1"/>
  <c r="K52" i="40"/>
  <c r="L45" i="40"/>
  <c r="I54" i="40"/>
  <c r="I190" i="40"/>
  <c r="I195" i="40" s="1"/>
  <c r="I201" i="40" s="1"/>
  <c r="I142" i="40"/>
  <c r="I147" i="40" s="1"/>
  <c r="I152" i="40" s="1"/>
  <c r="H174" i="40"/>
  <c r="G205" i="40"/>
  <c r="G103" i="40"/>
  <c r="I69" i="40"/>
  <c r="I191" i="40" s="1"/>
  <c r="I196" i="40" s="1"/>
  <c r="J67" i="40"/>
  <c r="I166" i="40"/>
  <c r="K68" i="40"/>
  <c r="F215" i="40"/>
  <c r="L41" i="40"/>
  <c r="L39" i="40"/>
  <c r="K87" i="40"/>
  <c r="K94" i="40" s="1"/>
  <c r="K101" i="40" s="1"/>
  <c r="K51" i="40"/>
  <c r="L44" i="40"/>
  <c r="P124" i="4" l="1"/>
  <c r="Q113" i="4"/>
  <c r="Q114" i="4" s="1"/>
  <c r="P146" i="4"/>
  <c r="P147" i="4" s="1"/>
  <c r="Q58" i="4"/>
  <c r="Q59" i="4" s="1"/>
  <c r="O102" i="4"/>
  <c r="O103" i="4" s="1"/>
  <c r="Q135" i="4"/>
  <c r="Q136" i="4" s="1"/>
  <c r="P47" i="4"/>
  <c r="P48" i="4" s="1"/>
  <c r="P113" i="4"/>
  <c r="P114" i="4" s="1"/>
  <c r="O113" i="4"/>
  <c r="O114" i="4" s="1"/>
  <c r="P135" i="4"/>
  <c r="P136" i="4" s="1"/>
  <c r="O58" i="4"/>
  <c r="O59" i="4" s="1"/>
  <c r="O47" i="4"/>
  <c r="O48" i="4" s="1"/>
  <c r="P125" i="4"/>
  <c r="Q47" i="4"/>
  <c r="Q48" i="4" s="1"/>
  <c r="Q124" i="4"/>
  <c r="Q125" i="4" s="1"/>
  <c r="O146" i="4"/>
  <c r="O147" i="4" s="1"/>
  <c r="O135" i="4"/>
  <c r="O136" i="4" s="1"/>
  <c r="P102" i="4"/>
  <c r="P103" i="4" s="1"/>
  <c r="P58" i="4"/>
  <c r="P59" i="4" s="1"/>
  <c r="Q102" i="4"/>
  <c r="Q103" i="4" s="1"/>
  <c r="O124" i="4"/>
  <c r="O125" i="4" s="1"/>
  <c r="Q146" i="4"/>
  <c r="Q147" i="4" s="1"/>
  <c r="J64" i="38"/>
  <c r="J66" i="38"/>
  <c r="J166" i="42"/>
  <c r="J174" i="42" s="1"/>
  <c r="J69" i="42"/>
  <c r="J191" i="42" s="1"/>
  <c r="J196" i="42" s="1"/>
  <c r="J110" i="41"/>
  <c r="J115" i="41" s="1"/>
  <c r="J144" i="41"/>
  <c r="J149" i="41" s="1"/>
  <c r="K67" i="41"/>
  <c r="K127" i="41" s="1"/>
  <c r="K132" i="41" s="1"/>
  <c r="N106" i="43"/>
  <c r="N106" i="42"/>
  <c r="N107" i="41"/>
  <c r="N106" i="40"/>
  <c r="N106" i="39"/>
  <c r="J146" i="40"/>
  <c r="J151" i="40" s="1"/>
  <c r="G154" i="43"/>
  <c r="H214" i="43"/>
  <c r="H218" i="43" s="1"/>
  <c r="H211" i="43"/>
  <c r="J54" i="43"/>
  <c r="J142" i="43"/>
  <c r="J147" i="43" s="1"/>
  <c r="J152" i="43" s="1"/>
  <c r="J190" i="43"/>
  <c r="J195" i="43" s="1"/>
  <c r="J201" i="43" s="1"/>
  <c r="J91" i="43"/>
  <c r="J98" i="43" s="1"/>
  <c r="J93" i="43"/>
  <c r="J100" i="43" s="1"/>
  <c r="J141" i="43"/>
  <c r="K86" i="43"/>
  <c r="K107" i="43" s="1"/>
  <c r="I102" i="43"/>
  <c r="I205" i="43" s="1"/>
  <c r="L43" i="43"/>
  <c r="K47" i="43"/>
  <c r="K53" i="43" s="1"/>
  <c r="K50" i="43"/>
  <c r="I146" i="43"/>
  <c r="I151" i="43" s="1"/>
  <c r="I144" i="43"/>
  <c r="I149" i="43" s="1"/>
  <c r="I90" i="43"/>
  <c r="I97" i="43" s="1"/>
  <c r="J70" i="43"/>
  <c r="R65" i="43"/>
  <c r="Q89" i="43"/>
  <c r="Q96" i="43" s="1"/>
  <c r="L39" i="43"/>
  <c r="K87" i="43"/>
  <c r="K94" i="43" s="1"/>
  <c r="K101" i="43" s="1"/>
  <c r="G215" i="43"/>
  <c r="N44" i="43"/>
  <c r="M51" i="43"/>
  <c r="M68" i="43"/>
  <c r="H103" i="43"/>
  <c r="H153" i="43"/>
  <c r="H208" i="43" s="1"/>
  <c r="I174" i="43"/>
  <c r="K67" i="43"/>
  <c r="J69" i="43"/>
  <c r="J191" i="43" s="1"/>
  <c r="J196" i="43" s="1"/>
  <c r="J166" i="43"/>
  <c r="I126" i="43"/>
  <c r="I131" i="43" s="1"/>
  <c r="I109" i="43"/>
  <c r="I114" i="43" s="1"/>
  <c r="J66" i="43"/>
  <c r="I143" i="43"/>
  <c r="I148" i="43" s="1"/>
  <c r="M52" i="43"/>
  <c r="N45" i="43"/>
  <c r="M41" i="43"/>
  <c r="H103" i="42"/>
  <c r="F215" i="42"/>
  <c r="H153" i="42"/>
  <c r="H208" i="42" s="1"/>
  <c r="G154" i="42"/>
  <c r="I102" i="42"/>
  <c r="I103" i="42" s="1"/>
  <c r="L87" i="42"/>
  <c r="L94" i="42" s="1"/>
  <c r="L101" i="42" s="1"/>
  <c r="M39" i="42"/>
  <c r="K69" i="42"/>
  <c r="L67" i="42"/>
  <c r="K166" i="42"/>
  <c r="I146" i="42"/>
  <c r="I151" i="42" s="1"/>
  <c r="I144" i="42"/>
  <c r="I149" i="42" s="1"/>
  <c r="J141" i="42"/>
  <c r="J93" i="42"/>
  <c r="J100" i="42" s="1"/>
  <c r="J91" i="42"/>
  <c r="J98" i="42" s="1"/>
  <c r="K86" i="42"/>
  <c r="K107" i="42" s="1"/>
  <c r="N68" i="42"/>
  <c r="G215" i="42"/>
  <c r="M51" i="42"/>
  <c r="N44" i="42"/>
  <c r="H214" i="42"/>
  <c r="H218" i="42" s="1"/>
  <c r="H211" i="42"/>
  <c r="I126" i="42"/>
  <c r="I131" i="42" s="1"/>
  <c r="J66" i="42"/>
  <c r="I109" i="42"/>
  <c r="I114" i="42" s="1"/>
  <c r="I143" i="42"/>
  <c r="I148" i="42" s="1"/>
  <c r="M43" i="42"/>
  <c r="L47" i="42"/>
  <c r="L53" i="42" s="1"/>
  <c r="L50" i="42"/>
  <c r="L41" i="42"/>
  <c r="K54" i="42"/>
  <c r="K190" i="42"/>
  <c r="K195" i="42" s="1"/>
  <c r="K201" i="42" s="1"/>
  <c r="K142" i="42"/>
  <c r="K147" i="42" s="1"/>
  <c r="K152" i="42" s="1"/>
  <c r="N65" i="42"/>
  <c r="M89" i="42"/>
  <c r="M96" i="42" s="1"/>
  <c r="L52" i="42"/>
  <c r="M45" i="42"/>
  <c r="I90" i="42"/>
  <c r="I97" i="42" s="1"/>
  <c r="J70" i="42"/>
  <c r="G212" i="41"/>
  <c r="V66" i="41"/>
  <c r="U90" i="41"/>
  <c r="U97" i="41" s="1"/>
  <c r="G216" i="41"/>
  <c r="L42" i="41"/>
  <c r="H209" i="41"/>
  <c r="H155" i="41"/>
  <c r="H206" i="41"/>
  <c r="M40" i="41"/>
  <c r="L88" i="41"/>
  <c r="L95" i="41" s="1"/>
  <c r="L102" i="41" s="1"/>
  <c r="I103" i="41"/>
  <c r="I104" i="41" s="1"/>
  <c r="J55" i="41"/>
  <c r="J191" i="41"/>
  <c r="J196" i="41" s="1"/>
  <c r="J202" i="41" s="1"/>
  <c r="J143" i="41"/>
  <c r="J148" i="41" s="1"/>
  <c r="J153" i="41" s="1"/>
  <c r="J142" i="41"/>
  <c r="J94" i="41"/>
  <c r="J101" i="41" s="1"/>
  <c r="K87" i="41"/>
  <c r="K108" i="41" s="1"/>
  <c r="J92" i="41"/>
  <c r="J99" i="41" s="1"/>
  <c r="K51" i="41"/>
  <c r="L44" i="41"/>
  <c r="K48" i="41"/>
  <c r="K54" i="41" s="1"/>
  <c r="M69" i="41"/>
  <c r="L46" i="41"/>
  <c r="K53" i="41"/>
  <c r="I147" i="41"/>
  <c r="I152" i="41" s="1"/>
  <c r="I145" i="41"/>
  <c r="I150" i="41" s="1"/>
  <c r="I154" i="41" s="1"/>
  <c r="J175" i="41"/>
  <c r="M45" i="41"/>
  <c r="L52" i="41"/>
  <c r="K70" i="41"/>
  <c r="L68" i="41"/>
  <c r="K167" i="41"/>
  <c r="J71" i="41"/>
  <c r="I91" i="41"/>
  <c r="I98" i="41" s="1"/>
  <c r="K91" i="40"/>
  <c r="K98" i="40" s="1"/>
  <c r="K93" i="40"/>
  <c r="K100" i="40" s="1"/>
  <c r="L86" i="40"/>
  <c r="L107" i="40" s="1"/>
  <c r="K141" i="40"/>
  <c r="K144" i="40" s="1"/>
  <c r="K149" i="40" s="1"/>
  <c r="H215" i="40"/>
  <c r="P65" i="40"/>
  <c r="O89" i="40"/>
  <c r="O96" i="40" s="1"/>
  <c r="G214" i="40"/>
  <c r="G218" i="40" s="1"/>
  <c r="G211" i="40"/>
  <c r="L51" i="40"/>
  <c r="M44" i="40"/>
  <c r="L140" i="40"/>
  <c r="M60" i="40"/>
  <c r="G215" i="40"/>
  <c r="L52" i="40"/>
  <c r="M45" i="40"/>
  <c r="I126" i="40"/>
  <c r="I131" i="40" s="1"/>
  <c r="J66" i="40"/>
  <c r="I109" i="40"/>
  <c r="I114" i="40" s="1"/>
  <c r="I143" i="40"/>
  <c r="I148" i="40" s="1"/>
  <c r="I153" i="40" s="1"/>
  <c r="I208" i="40" s="1"/>
  <c r="J69" i="40"/>
  <c r="J191" i="40" s="1"/>
  <c r="J196" i="40" s="1"/>
  <c r="K67" i="40"/>
  <c r="J166" i="40"/>
  <c r="H154" i="40"/>
  <c r="L68" i="40"/>
  <c r="H103" i="40"/>
  <c r="H205" i="40"/>
  <c r="M39" i="40"/>
  <c r="L87" i="40"/>
  <c r="L94" i="40" s="1"/>
  <c r="L101" i="40" s="1"/>
  <c r="I90" i="40"/>
  <c r="I97" i="40" s="1"/>
  <c r="J70" i="40"/>
  <c r="I102" i="40"/>
  <c r="J54" i="40"/>
  <c r="J190" i="40"/>
  <c r="J195" i="40" s="1"/>
  <c r="J201" i="40" s="1"/>
  <c r="J142" i="40"/>
  <c r="J147" i="40" s="1"/>
  <c r="J152" i="40" s="1"/>
  <c r="M41" i="40"/>
  <c r="I174" i="40"/>
  <c r="L59" i="40"/>
  <c r="K47" i="40"/>
  <c r="K53" i="40" s="1"/>
  <c r="L43" i="40"/>
  <c r="K50" i="40"/>
  <c r="K64" i="38" l="1"/>
  <c r="K66" i="38"/>
  <c r="K110" i="41"/>
  <c r="K115" i="41" s="1"/>
  <c r="K144" i="41"/>
  <c r="K149" i="41" s="1"/>
  <c r="L67" i="41"/>
  <c r="L144" i="41" s="1"/>
  <c r="L149" i="41" s="1"/>
  <c r="O106" i="43"/>
  <c r="O106" i="42"/>
  <c r="O107" i="41"/>
  <c r="O106" i="40"/>
  <c r="O106" i="39"/>
  <c r="I153" i="43"/>
  <c r="I208" i="43" s="1"/>
  <c r="I214" i="43"/>
  <c r="I218" i="43" s="1"/>
  <c r="I211" i="43"/>
  <c r="H215" i="43"/>
  <c r="J174" i="43"/>
  <c r="N52" i="43"/>
  <c r="O45" i="43"/>
  <c r="L67" i="43"/>
  <c r="K69" i="43"/>
  <c r="K166" i="43"/>
  <c r="N51" i="43"/>
  <c r="O44" i="43"/>
  <c r="K141" i="43"/>
  <c r="K91" i="43"/>
  <c r="K98" i="43" s="1"/>
  <c r="L86" i="43"/>
  <c r="L107" i="43" s="1"/>
  <c r="K93" i="43"/>
  <c r="K100" i="43" s="1"/>
  <c r="H154" i="43"/>
  <c r="J146" i="43"/>
  <c r="J151" i="43" s="1"/>
  <c r="J144" i="43"/>
  <c r="J149" i="43" s="1"/>
  <c r="S65" i="43"/>
  <c r="R89" i="43"/>
  <c r="R96" i="43" s="1"/>
  <c r="M39" i="43"/>
  <c r="L87" i="43"/>
  <c r="L94" i="43" s="1"/>
  <c r="L101" i="43" s="1"/>
  <c r="J102" i="43"/>
  <c r="J205" i="43" s="1"/>
  <c r="I103" i="43"/>
  <c r="K54" i="43"/>
  <c r="K142" i="43"/>
  <c r="K147" i="43" s="1"/>
  <c r="K152" i="43" s="1"/>
  <c r="K190" i="43"/>
  <c r="K195" i="43" s="1"/>
  <c r="K201" i="43" s="1"/>
  <c r="J90" i="43"/>
  <c r="J97" i="43" s="1"/>
  <c r="K70" i="43"/>
  <c r="N41" i="43"/>
  <c r="J126" i="43"/>
  <c r="J131" i="43" s="1"/>
  <c r="J109" i="43"/>
  <c r="J114" i="43" s="1"/>
  <c r="K66" i="43"/>
  <c r="J143" i="43"/>
  <c r="J148" i="43" s="1"/>
  <c r="N68" i="43"/>
  <c r="L47" i="43"/>
  <c r="L53" i="43" s="1"/>
  <c r="M43" i="43"/>
  <c r="L50" i="43"/>
  <c r="H154" i="42"/>
  <c r="I153" i="42"/>
  <c r="I154" i="42" s="1"/>
  <c r="I205" i="42"/>
  <c r="I214" i="42" s="1"/>
  <c r="I218" i="42" s="1"/>
  <c r="K191" i="42"/>
  <c r="K196" i="42" s="1"/>
  <c r="L54" i="42"/>
  <c r="L190" i="42"/>
  <c r="L195" i="42" s="1"/>
  <c r="L201" i="42" s="1"/>
  <c r="L142" i="42"/>
  <c r="L147" i="42" s="1"/>
  <c r="L152" i="42" s="1"/>
  <c r="K141" i="42"/>
  <c r="K91" i="42"/>
  <c r="K98" i="42" s="1"/>
  <c r="K93" i="42"/>
  <c r="K100" i="42" s="1"/>
  <c r="L86" i="42"/>
  <c r="L107" i="42" s="1"/>
  <c r="N51" i="42"/>
  <c r="O44" i="42"/>
  <c r="M87" i="42"/>
  <c r="M94" i="42" s="1"/>
  <c r="M101" i="42" s="1"/>
  <c r="N39" i="42"/>
  <c r="J126" i="42"/>
  <c r="J131" i="42" s="1"/>
  <c r="J109" i="42"/>
  <c r="J114" i="42" s="1"/>
  <c r="K66" i="42"/>
  <c r="J143" i="42"/>
  <c r="J148" i="42" s="1"/>
  <c r="J146" i="42"/>
  <c r="J151" i="42" s="1"/>
  <c r="J144" i="42"/>
  <c r="J149" i="42" s="1"/>
  <c r="M47" i="42"/>
  <c r="M53" i="42" s="1"/>
  <c r="M50" i="42"/>
  <c r="N43" i="42"/>
  <c r="K70" i="42"/>
  <c r="J90" i="42"/>
  <c r="J97" i="42" s="1"/>
  <c r="O65" i="42"/>
  <c r="N89" i="42"/>
  <c r="N96" i="42" s="1"/>
  <c r="N45" i="42"/>
  <c r="M52" i="42"/>
  <c r="J102" i="42"/>
  <c r="J205" i="42" s="1"/>
  <c r="O68" i="42"/>
  <c r="K174" i="42"/>
  <c r="M41" i="42"/>
  <c r="H215" i="42"/>
  <c r="L69" i="42"/>
  <c r="L191" i="42" s="1"/>
  <c r="L196" i="42" s="1"/>
  <c r="M67" i="42"/>
  <c r="L166" i="42"/>
  <c r="I206" i="41"/>
  <c r="I215" i="41" s="1"/>
  <c r="I219" i="41" s="1"/>
  <c r="W66" i="41"/>
  <c r="V90" i="41"/>
  <c r="V97" i="41" s="1"/>
  <c r="K192" i="41"/>
  <c r="K197" i="41" s="1"/>
  <c r="K55" i="41"/>
  <c r="K191" i="41"/>
  <c r="K196" i="41" s="1"/>
  <c r="K202" i="41" s="1"/>
  <c r="K143" i="41"/>
  <c r="K148" i="41" s="1"/>
  <c r="K153" i="41" s="1"/>
  <c r="M42" i="41"/>
  <c r="L51" i="41"/>
  <c r="M44" i="41"/>
  <c r="L48" i="41"/>
  <c r="L54" i="41" s="1"/>
  <c r="J103" i="41"/>
  <c r="J104" i="41" s="1"/>
  <c r="M46" i="41"/>
  <c r="L53" i="41"/>
  <c r="K142" i="41"/>
  <c r="K94" i="41"/>
  <c r="K101" i="41" s="1"/>
  <c r="L87" i="41"/>
  <c r="L108" i="41" s="1"/>
  <c r="K92" i="41"/>
  <c r="K99" i="41" s="1"/>
  <c r="I209" i="41"/>
  <c r="I155" i="41"/>
  <c r="H216" i="41"/>
  <c r="J91" i="41"/>
  <c r="J98" i="41" s="1"/>
  <c r="K71" i="41"/>
  <c r="N69" i="41"/>
  <c r="N40" i="41"/>
  <c r="M88" i="41"/>
  <c r="M95" i="41" s="1"/>
  <c r="M102" i="41" s="1"/>
  <c r="L70" i="41"/>
  <c r="L192" i="41" s="1"/>
  <c r="L197" i="41" s="1"/>
  <c r="M68" i="41"/>
  <c r="L167" i="41"/>
  <c r="N45" i="41"/>
  <c r="M52" i="41"/>
  <c r="K175" i="41"/>
  <c r="J145" i="41"/>
  <c r="J150" i="41" s="1"/>
  <c r="J154" i="41" s="1"/>
  <c r="J147" i="41"/>
  <c r="J152" i="41" s="1"/>
  <c r="H215" i="41"/>
  <c r="H219" i="41" s="1"/>
  <c r="H212" i="41"/>
  <c r="K146" i="40"/>
  <c r="K151" i="40" s="1"/>
  <c r="L141" i="40"/>
  <c r="L144" i="40" s="1"/>
  <c r="L149" i="40" s="1"/>
  <c r="I154" i="40"/>
  <c r="M86" i="40"/>
  <c r="M107" i="40" s="1"/>
  <c r="L91" i="40"/>
  <c r="L98" i="40" s="1"/>
  <c r="L93" i="40"/>
  <c r="L100" i="40" s="1"/>
  <c r="I215" i="40"/>
  <c r="J109" i="40"/>
  <c r="J114" i="40" s="1"/>
  <c r="K66" i="40"/>
  <c r="J126" i="40"/>
  <c r="J131" i="40" s="1"/>
  <c r="J143" i="40"/>
  <c r="J148" i="40" s="1"/>
  <c r="J153" i="40" s="1"/>
  <c r="J208" i="40" s="1"/>
  <c r="K54" i="40"/>
  <c r="K190" i="40"/>
  <c r="K195" i="40" s="1"/>
  <c r="K201" i="40" s="1"/>
  <c r="K142" i="40"/>
  <c r="K147" i="40" s="1"/>
  <c r="K152" i="40" s="1"/>
  <c r="I205" i="40"/>
  <c r="I103" i="40"/>
  <c r="J174" i="40"/>
  <c r="M68" i="40"/>
  <c r="M51" i="40"/>
  <c r="N44" i="40"/>
  <c r="M59" i="40"/>
  <c r="N45" i="40"/>
  <c r="M52" i="40"/>
  <c r="M43" i="40"/>
  <c r="L50" i="40"/>
  <c r="L47" i="40"/>
  <c r="L53" i="40" s="1"/>
  <c r="J90" i="40"/>
  <c r="J97" i="40" s="1"/>
  <c r="K70" i="40"/>
  <c r="J102" i="40"/>
  <c r="K69" i="40"/>
  <c r="L67" i="40"/>
  <c r="K166" i="40"/>
  <c r="Q65" i="40"/>
  <c r="P89" i="40"/>
  <c r="P96" i="40" s="1"/>
  <c r="H214" i="40"/>
  <c r="H218" i="40" s="1"/>
  <c r="H211" i="40"/>
  <c r="M140" i="40"/>
  <c r="N60" i="40"/>
  <c r="N41" i="40"/>
  <c r="N39" i="40"/>
  <c r="M87" i="40"/>
  <c r="M94" i="40" s="1"/>
  <c r="M101" i="40" s="1"/>
  <c r="L64" i="38" l="1"/>
  <c r="L66" i="38"/>
  <c r="M67" i="41"/>
  <c r="M127" i="41" s="1"/>
  <c r="M132" i="41" s="1"/>
  <c r="L127" i="41"/>
  <c r="L132" i="41" s="1"/>
  <c r="L110" i="41"/>
  <c r="L115" i="41" s="1"/>
  <c r="P106" i="43"/>
  <c r="P106" i="42"/>
  <c r="P107" i="41"/>
  <c r="P106" i="40"/>
  <c r="P106" i="39"/>
  <c r="J153" i="42"/>
  <c r="J208" i="42" s="1"/>
  <c r="I208" i="42"/>
  <c r="I215" i="42" s="1"/>
  <c r="I154" i="43"/>
  <c r="J214" i="43"/>
  <c r="J218" i="43" s="1"/>
  <c r="J211" i="43"/>
  <c r="K102" i="43"/>
  <c r="K103" i="43" s="1"/>
  <c r="K146" i="43"/>
  <c r="K151" i="43" s="1"/>
  <c r="K144" i="43"/>
  <c r="K149" i="43" s="1"/>
  <c r="I215" i="43"/>
  <c r="L141" i="43"/>
  <c r="L93" i="43"/>
  <c r="L100" i="43" s="1"/>
  <c r="M86" i="43"/>
  <c r="M107" i="43" s="1"/>
  <c r="L91" i="43"/>
  <c r="L98" i="43" s="1"/>
  <c r="M87" i="43"/>
  <c r="M94" i="43" s="1"/>
  <c r="M101" i="43" s="1"/>
  <c r="N39" i="43"/>
  <c r="O51" i="43"/>
  <c r="P44" i="43"/>
  <c r="J103" i="43"/>
  <c r="M50" i="43"/>
  <c r="M47" i="43"/>
  <c r="M53" i="43" s="1"/>
  <c r="N43" i="43"/>
  <c r="J153" i="43"/>
  <c r="J208" i="43" s="1"/>
  <c r="K174" i="43"/>
  <c r="P45" i="43"/>
  <c r="O52" i="43"/>
  <c r="L54" i="43"/>
  <c r="L142" i="43"/>
  <c r="L147" i="43" s="1"/>
  <c r="L152" i="43" s="1"/>
  <c r="L190" i="43"/>
  <c r="L195" i="43" s="1"/>
  <c r="L201" i="43" s="1"/>
  <c r="K126" i="43"/>
  <c r="K131" i="43" s="1"/>
  <c r="K109" i="43"/>
  <c r="K114" i="43" s="1"/>
  <c r="L66" i="43"/>
  <c r="K143" i="43"/>
  <c r="K148" i="43" s="1"/>
  <c r="K191" i="43"/>
  <c r="K196" i="43" s="1"/>
  <c r="L69" i="43"/>
  <c r="L191" i="43" s="1"/>
  <c r="L196" i="43" s="1"/>
  <c r="M67" i="43"/>
  <c r="L166" i="43"/>
  <c r="K90" i="43"/>
  <c r="K97" i="43" s="1"/>
  <c r="L70" i="43"/>
  <c r="O68" i="43"/>
  <c r="O41" i="43"/>
  <c r="T65" i="43"/>
  <c r="S89" i="43"/>
  <c r="S96" i="43" s="1"/>
  <c r="I211" i="42"/>
  <c r="J214" i="42"/>
  <c r="J218" i="42" s="1"/>
  <c r="J211" i="42"/>
  <c r="P65" i="42"/>
  <c r="O89" i="42"/>
  <c r="O96" i="42" s="1"/>
  <c r="K126" i="42"/>
  <c r="K131" i="42" s="1"/>
  <c r="L66" i="42"/>
  <c r="K109" i="42"/>
  <c r="K114" i="42" s="1"/>
  <c r="K143" i="42"/>
  <c r="K148" i="42" s="1"/>
  <c r="L91" i="42"/>
  <c r="L98" i="42" s="1"/>
  <c r="L141" i="42"/>
  <c r="L93" i="42"/>
  <c r="L100" i="42" s="1"/>
  <c r="M86" i="42"/>
  <c r="M107" i="42" s="1"/>
  <c r="L70" i="42"/>
  <c r="K90" i="42"/>
  <c r="K97" i="42" s="1"/>
  <c r="K102" i="42"/>
  <c r="K205" i="42" s="1"/>
  <c r="L174" i="42"/>
  <c r="N50" i="42"/>
  <c r="O43" i="42"/>
  <c r="N47" i="42"/>
  <c r="N53" i="42" s="1"/>
  <c r="K144" i="42"/>
  <c r="K149" i="42" s="1"/>
  <c r="K146" i="42"/>
  <c r="K151" i="42" s="1"/>
  <c r="N87" i="42"/>
  <c r="N94" i="42" s="1"/>
  <c r="N101" i="42" s="1"/>
  <c r="O39" i="42"/>
  <c r="M69" i="42"/>
  <c r="M191" i="42" s="1"/>
  <c r="M196" i="42" s="1"/>
  <c r="N67" i="42"/>
  <c r="M166" i="42"/>
  <c r="M54" i="42"/>
  <c r="M142" i="42"/>
  <c r="M147" i="42" s="1"/>
  <c r="M152" i="42" s="1"/>
  <c r="M190" i="42"/>
  <c r="M195" i="42" s="1"/>
  <c r="M201" i="42" s="1"/>
  <c r="P68" i="42"/>
  <c r="J103" i="42"/>
  <c r="N41" i="42"/>
  <c r="N52" i="42"/>
  <c r="O45" i="42"/>
  <c r="O51" i="42"/>
  <c r="P44" i="42"/>
  <c r="I212" i="41"/>
  <c r="X66" i="41"/>
  <c r="W90" i="41"/>
  <c r="W97" i="41" s="1"/>
  <c r="J206" i="41"/>
  <c r="J215" i="41" s="1"/>
  <c r="J219" i="41" s="1"/>
  <c r="I216" i="41"/>
  <c r="K103" i="41"/>
  <c r="K206" i="41" s="1"/>
  <c r="N42" i="41"/>
  <c r="O69" i="41"/>
  <c r="N44" i="41"/>
  <c r="M48" i="41"/>
  <c r="M54" i="41" s="1"/>
  <c r="M51" i="41"/>
  <c r="O45" i="41"/>
  <c r="N52" i="41"/>
  <c r="L55" i="41"/>
  <c r="L191" i="41"/>
  <c r="L196" i="41" s="1"/>
  <c r="L202" i="41" s="1"/>
  <c r="L143" i="41"/>
  <c r="L148" i="41" s="1"/>
  <c r="L153" i="41" s="1"/>
  <c r="O40" i="41"/>
  <c r="N88" i="41"/>
  <c r="N95" i="41" s="1"/>
  <c r="N102" i="41" s="1"/>
  <c r="K145" i="41"/>
  <c r="K150" i="41" s="1"/>
  <c r="K154" i="41" s="1"/>
  <c r="K147" i="41"/>
  <c r="K152" i="41" s="1"/>
  <c r="J209" i="41"/>
  <c r="J155" i="41"/>
  <c r="L71" i="41"/>
  <c r="K91" i="41"/>
  <c r="K98" i="41" s="1"/>
  <c r="M70" i="41"/>
  <c r="M192" i="41" s="1"/>
  <c r="M197" i="41" s="1"/>
  <c r="N68" i="41"/>
  <c r="M167" i="41"/>
  <c r="M87" i="41"/>
  <c r="M108" i="41" s="1"/>
  <c r="L142" i="41"/>
  <c r="L92" i="41"/>
  <c r="L99" i="41" s="1"/>
  <c r="L94" i="41"/>
  <c r="L101" i="41" s="1"/>
  <c r="L175" i="41"/>
  <c r="N46" i="41"/>
  <c r="M53" i="41"/>
  <c r="L146" i="40"/>
  <c r="L151" i="40" s="1"/>
  <c r="M141" i="40"/>
  <c r="M146" i="40" s="1"/>
  <c r="M151" i="40" s="1"/>
  <c r="N86" i="40"/>
  <c r="N107" i="40" s="1"/>
  <c r="M91" i="40"/>
  <c r="M98" i="40" s="1"/>
  <c r="M93" i="40"/>
  <c r="M100" i="40" s="1"/>
  <c r="J154" i="40"/>
  <c r="J215" i="40"/>
  <c r="N87" i="40"/>
  <c r="N94" i="40" s="1"/>
  <c r="N101" i="40" s="1"/>
  <c r="O39" i="40"/>
  <c r="O41" i="40"/>
  <c r="N68" i="40"/>
  <c r="I214" i="40"/>
  <c r="I218" i="40" s="1"/>
  <c r="I211" i="40"/>
  <c r="N140" i="40"/>
  <c r="O60" i="40"/>
  <c r="K90" i="40"/>
  <c r="K97" i="40" s="1"/>
  <c r="L70" i="40"/>
  <c r="K102" i="40"/>
  <c r="R65" i="40"/>
  <c r="Q89" i="40"/>
  <c r="Q96" i="40" s="1"/>
  <c r="L54" i="40"/>
  <c r="L190" i="40"/>
  <c r="L195" i="40" s="1"/>
  <c r="L201" i="40" s="1"/>
  <c r="L142" i="40"/>
  <c r="L147" i="40" s="1"/>
  <c r="L152" i="40" s="1"/>
  <c r="J103" i="40"/>
  <c r="J205" i="40"/>
  <c r="N43" i="40"/>
  <c r="M50" i="40"/>
  <c r="M47" i="40"/>
  <c r="M53" i="40" s="1"/>
  <c r="N51" i="40"/>
  <c r="O44" i="40"/>
  <c r="N52" i="40"/>
  <c r="O45" i="40"/>
  <c r="K174" i="40"/>
  <c r="L69" i="40"/>
  <c r="L191" i="40" s="1"/>
  <c r="L196" i="40" s="1"/>
  <c r="M67" i="40"/>
  <c r="L166" i="40"/>
  <c r="N59" i="40"/>
  <c r="L66" i="40"/>
  <c r="K126" i="40"/>
  <c r="K131" i="40" s="1"/>
  <c r="K109" i="40"/>
  <c r="K114" i="40" s="1"/>
  <c r="K143" i="40"/>
  <c r="K148" i="40" s="1"/>
  <c r="K153" i="40" s="1"/>
  <c r="K208" i="40" s="1"/>
  <c r="K191" i="40"/>
  <c r="K196" i="40" s="1"/>
  <c r="M64" i="38" l="1"/>
  <c r="M66" i="38"/>
  <c r="N67" i="41"/>
  <c r="N144" i="41" s="1"/>
  <c r="N149" i="41" s="1"/>
  <c r="M144" i="41"/>
  <c r="M149" i="41" s="1"/>
  <c r="M110" i="41"/>
  <c r="M115" i="41" s="1"/>
  <c r="Q106" i="43"/>
  <c r="Q106" i="42"/>
  <c r="Q107" i="41"/>
  <c r="Q106" i="40"/>
  <c r="Q106" i="39"/>
  <c r="J154" i="42"/>
  <c r="K153" i="42"/>
  <c r="K208" i="42" s="1"/>
  <c r="K205" i="43"/>
  <c r="K211" i="43" s="1"/>
  <c r="J154" i="43"/>
  <c r="J215" i="43"/>
  <c r="Q44" i="43"/>
  <c r="P51" i="43"/>
  <c r="M141" i="43"/>
  <c r="N86" i="43"/>
  <c r="N107" i="43" s="1"/>
  <c r="M93" i="43"/>
  <c r="M100" i="43" s="1"/>
  <c r="M91" i="43"/>
  <c r="M98" i="43" s="1"/>
  <c r="M70" i="43"/>
  <c r="L90" i="43"/>
  <c r="L97" i="43" s="1"/>
  <c r="L126" i="43"/>
  <c r="L131" i="43" s="1"/>
  <c r="L109" i="43"/>
  <c r="L114" i="43" s="1"/>
  <c r="M66" i="43"/>
  <c r="L143" i="43"/>
  <c r="L148" i="43" s="1"/>
  <c r="N50" i="43"/>
  <c r="N47" i="43"/>
  <c r="N53" i="43" s="1"/>
  <c r="O43" i="43"/>
  <c r="K153" i="43"/>
  <c r="K208" i="43" s="1"/>
  <c r="N87" i="43"/>
  <c r="N94" i="43" s="1"/>
  <c r="N101" i="43" s="1"/>
  <c r="O39" i="43"/>
  <c r="L144" i="43"/>
  <c r="L149" i="43" s="1"/>
  <c r="L146" i="43"/>
  <c r="L151" i="43" s="1"/>
  <c r="U65" i="43"/>
  <c r="T89" i="43"/>
  <c r="T96" i="43" s="1"/>
  <c r="L174" i="43"/>
  <c r="M54" i="43"/>
  <c r="M142" i="43"/>
  <c r="M147" i="43" s="1"/>
  <c r="M152" i="43" s="1"/>
  <c r="M190" i="43"/>
  <c r="M195" i="43" s="1"/>
  <c r="M201" i="43" s="1"/>
  <c r="P41" i="43"/>
  <c r="M69" i="43"/>
  <c r="M191" i="43" s="1"/>
  <c r="M196" i="43" s="1"/>
  <c r="N67" i="43"/>
  <c r="M166" i="43"/>
  <c r="L102" i="43"/>
  <c r="L205" i="43" s="1"/>
  <c r="P68" i="43"/>
  <c r="P52" i="43"/>
  <c r="Q45" i="43"/>
  <c r="K103" i="42"/>
  <c r="K214" i="42"/>
  <c r="K218" i="42" s="1"/>
  <c r="K211" i="42"/>
  <c r="O41" i="42"/>
  <c r="L126" i="42"/>
  <c r="L131" i="42" s="1"/>
  <c r="L109" i="42"/>
  <c r="L114" i="42" s="1"/>
  <c r="M66" i="42"/>
  <c r="L143" i="42"/>
  <c r="L148" i="42" s="1"/>
  <c r="N69" i="42"/>
  <c r="N191" i="42" s="1"/>
  <c r="N196" i="42" s="1"/>
  <c r="O67" i="42"/>
  <c r="N166" i="42"/>
  <c r="J215" i="42"/>
  <c r="Q65" i="42"/>
  <c r="P89" i="42"/>
  <c r="P96" i="42" s="1"/>
  <c r="P51" i="42"/>
  <c r="Q44" i="42"/>
  <c r="L146" i="42"/>
  <c r="L151" i="42" s="1"/>
  <c r="L144" i="42"/>
  <c r="L149" i="42" s="1"/>
  <c r="O87" i="42"/>
  <c r="O94" i="42" s="1"/>
  <c r="O101" i="42" s="1"/>
  <c r="P39" i="42"/>
  <c r="Q68" i="42"/>
  <c r="M70" i="42"/>
  <c r="L90" i="42"/>
  <c r="L97" i="42" s="1"/>
  <c r="L102" i="42"/>
  <c r="L205" i="42" s="1"/>
  <c r="M141" i="42"/>
  <c r="N86" i="42"/>
  <c r="N107" i="42" s="1"/>
  <c r="M91" i="42"/>
  <c r="M98" i="42" s="1"/>
  <c r="M93" i="42"/>
  <c r="M100" i="42" s="1"/>
  <c r="O47" i="42"/>
  <c r="O53" i="42" s="1"/>
  <c r="O50" i="42"/>
  <c r="P43" i="42"/>
  <c r="O52" i="42"/>
  <c r="P45" i="42"/>
  <c r="M174" i="42"/>
  <c r="N54" i="42"/>
  <c r="N190" i="42"/>
  <c r="N195" i="42" s="1"/>
  <c r="N201" i="42" s="1"/>
  <c r="N142" i="42"/>
  <c r="N147" i="42" s="1"/>
  <c r="N152" i="42" s="1"/>
  <c r="J212" i="41"/>
  <c r="Y66" i="41"/>
  <c r="X90" i="41"/>
  <c r="X97" i="41" s="1"/>
  <c r="K212" i="41"/>
  <c r="K215" i="41"/>
  <c r="K219" i="41" s="1"/>
  <c r="L103" i="41"/>
  <c r="L104" i="41" s="1"/>
  <c r="O88" i="41"/>
  <c r="O95" i="41" s="1"/>
  <c r="O102" i="41" s="1"/>
  <c r="P40" i="41"/>
  <c r="J216" i="41"/>
  <c r="M55" i="41"/>
  <c r="M143" i="41"/>
  <c r="M148" i="41" s="1"/>
  <c r="M153" i="41" s="1"/>
  <c r="M191" i="41"/>
  <c r="M196" i="41" s="1"/>
  <c r="M202" i="41" s="1"/>
  <c r="M71" i="41"/>
  <c r="L91" i="41"/>
  <c r="L98" i="41" s="1"/>
  <c r="K209" i="41"/>
  <c r="K155" i="41"/>
  <c r="P69" i="41"/>
  <c r="O42" i="41"/>
  <c r="N70" i="41"/>
  <c r="N192" i="41" s="1"/>
  <c r="N197" i="41" s="1"/>
  <c r="O68" i="41"/>
  <c r="N167" i="41"/>
  <c r="L145" i="41"/>
  <c r="L150" i="41" s="1"/>
  <c r="L154" i="41" s="1"/>
  <c r="L147" i="41"/>
  <c r="L152" i="41" s="1"/>
  <c r="M175" i="41"/>
  <c r="M142" i="41"/>
  <c r="M94" i="41"/>
  <c r="M101" i="41" s="1"/>
  <c r="N87" i="41"/>
  <c r="N108" i="41" s="1"/>
  <c r="M92" i="41"/>
  <c r="M99" i="41" s="1"/>
  <c r="K104" i="41"/>
  <c r="N48" i="41"/>
  <c r="N54" i="41" s="1"/>
  <c r="N51" i="41"/>
  <c r="O44" i="41"/>
  <c r="N53" i="41"/>
  <c r="O46" i="41"/>
  <c r="P45" i="41"/>
  <c r="O52" i="41"/>
  <c r="M144" i="40"/>
  <c r="M149" i="40" s="1"/>
  <c r="O86" i="40"/>
  <c r="O107" i="40" s="1"/>
  <c r="N93" i="40"/>
  <c r="N100" i="40" s="1"/>
  <c r="N91" i="40"/>
  <c r="N98" i="40" s="1"/>
  <c r="N141" i="40"/>
  <c r="N146" i="40" s="1"/>
  <c r="N151" i="40" s="1"/>
  <c r="K154" i="40"/>
  <c r="O68" i="40"/>
  <c r="J214" i="40"/>
  <c r="J218" i="40" s="1"/>
  <c r="J211" i="40"/>
  <c r="L174" i="40"/>
  <c r="O140" i="40"/>
  <c r="P60" i="40"/>
  <c r="O51" i="40"/>
  <c r="P44" i="40"/>
  <c r="M69" i="40"/>
  <c r="M191" i="40" s="1"/>
  <c r="M196" i="40" s="1"/>
  <c r="N67" i="40"/>
  <c r="M166" i="40"/>
  <c r="M54" i="40"/>
  <c r="M190" i="40"/>
  <c r="M195" i="40" s="1"/>
  <c r="M201" i="40" s="1"/>
  <c r="M142" i="40"/>
  <c r="M147" i="40" s="1"/>
  <c r="M152" i="40" s="1"/>
  <c r="P45" i="40"/>
  <c r="O52" i="40"/>
  <c r="K205" i="40"/>
  <c r="K103" i="40"/>
  <c r="N50" i="40"/>
  <c r="O43" i="40"/>
  <c r="N47" i="40"/>
  <c r="N53" i="40" s="1"/>
  <c r="L126" i="40"/>
  <c r="L131" i="40" s="1"/>
  <c r="M66" i="40"/>
  <c r="L109" i="40"/>
  <c r="L114" i="40" s="1"/>
  <c r="L143" i="40"/>
  <c r="L148" i="40" s="1"/>
  <c r="L153" i="40" s="1"/>
  <c r="S65" i="40"/>
  <c r="R89" i="40"/>
  <c r="R96" i="40" s="1"/>
  <c r="P41" i="40"/>
  <c r="O59" i="40"/>
  <c r="P39" i="40"/>
  <c r="O87" i="40"/>
  <c r="O94" i="40" s="1"/>
  <c r="O101" i="40" s="1"/>
  <c r="L90" i="40"/>
  <c r="L97" i="40" s="1"/>
  <c r="M70" i="40"/>
  <c r="L102" i="40"/>
  <c r="K215" i="40"/>
  <c r="N64" i="38" l="1"/>
  <c r="N66" i="38"/>
  <c r="N110" i="41"/>
  <c r="N115" i="41" s="1"/>
  <c r="O67" i="41"/>
  <c r="O127" i="41" s="1"/>
  <c r="O132" i="41" s="1"/>
  <c r="N127" i="41"/>
  <c r="N132" i="41" s="1"/>
  <c r="R106" i="43"/>
  <c r="R106" i="42"/>
  <c r="R107" i="41"/>
  <c r="R106" i="40"/>
  <c r="R106" i="39"/>
  <c r="L153" i="42"/>
  <c r="L154" i="42" s="1"/>
  <c r="K154" i="42"/>
  <c r="K214" i="43"/>
  <c r="K218" i="43" s="1"/>
  <c r="L103" i="43"/>
  <c r="L214" i="43"/>
  <c r="L218" i="43" s="1"/>
  <c r="L211" i="43"/>
  <c r="K215" i="43"/>
  <c r="R44" i="43"/>
  <c r="Q51" i="43"/>
  <c r="V65" i="43"/>
  <c r="U89" i="43"/>
  <c r="U96" i="43" s="1"/>
  <c r="Q41" i="43"/>
  <c r="N69" i="43"/>
  <c r="N191" i="43" s="1"/>
  <c r="N196" i="43" s="1"/>
  <c r="O67" i="43"/>
  <c r="N166" i="43"/>
  <c r="R45" i="43"/>
  <c r="Q52" i="43"/>
  <c r="K154" i="43"/>
  <c r="M174" i="43"/>
  <c r="N70" i="43"/>
  <c r="M90" i="43"/>
  <c r="M97" i="43" s="1"/>
  <c r="O87" i="43"/>
  <c r="O94" i="43" s="1"/>
  <c r="O101" i="43" s="1"/>
  <c r="P39" i="43"/>
  <c r="N54" i="43"/>
  <c r="N142" i="43"/>
  <c r="N147" i="43" s="1"/>
  <c r="N152" i="43" s="1"/>
  <c r="N190" i="43"/>
  <c r="N195" i="43" s="1"/>
  <c r="N201" i="43" s="1"/>
  <c r="O47" i="43"/>
  <c r="O53" i="43" s="1"/>
  <c r="O50" i="43"/>
  <c r="P43" i="43"/>
  <c r="Q68" i="43"/>
  <c r="L153" i="43"/>
  <c r="L208" i="43" s="1"/>
  <c r="M102" i="43"/>
  <c r="M103" i="43" s="1"/>
  <c r="M126" i="43"/>
  <c r="M131" i="43" s="1"/>
  <c r="M109" i="43"/>
  <c r="M114" i="43" s="1"/>
  <c r="N66" i="43"/>
  <c r="M143" i="43"/>
  <c r="M148" i="43" s="1"/>
  <c r="N141" i="43"/>
  <c r="N93" i="43"/>
  <c r="N100" i="43" s="1"/>
  <c r="N91" i="43"/>
  <c r="N98" i="43" s="1"/>
  <c r="O86" i="43"/>
  <c r="O107" i="43" s="1"/>
  <c r="M146" i="43"/>
  <c r="M151" i="43" s="1"/>
  <c r="M144" i="43"/>
  <c r="M149" i="43" s="1"/>
  <c r="L214" i="42"/>
  <c r="L218" i="42" s="1"/>
  <c r="L211" i="42"/>
  <c r="K215" i="42"/>
  <c r="L103" i="42"/>
  <c r="R44" i="42"/>
  <c r="Q51" i="42"/>
  <c r="M126" i="42"/>
  <c r="M131" i="42" s="1"/>
  <c r="M109" i="42"/>
  <c r="M114" i="42" s="1"/>
  <c r="N66" i="42"/>
  <c r="M143" i="42"/>
  <c r="M148" i="42" s="1"/>
  <c r="P52" i="42"/>
  <c r="Q45" i="42"/>
  <c r="M102" i="42"/>
  <c r="M205" i="42" s="1"/>
  <c r="N141" i="42"/>
  <c r="N91" i="42"/>
  <c r="N98" i="42" s="1"/>
  <c r="N93" i="42"/>
  <c r="N100" i="42" s="1"/>
  <c r="O86" i="42"/>
  <c r="O107" i="42" s="1"/>
  <c r="M90" i="42"/>
  <c r="M97" i="42" s="1"/>
  <c r="N70" i="42"/>
  <c r="P41" i="42"/>
  <c r="R68" i="42"/>
  <c r="P50" i="42"/>
  <c r="Q43" i="42"/>
  <c r="P47" i="42"/>
  <c r="P53" i="42" s="1"/>
  <c r="M146" i="42"/>
  <c r="M151" i="42" s="1"/>
  <c r="M144" i="42"/>
  <c r="M149" i="42" s="1"/>
  <c r="N174" i="42"/>
  <c r="O54" i="42"/>
  <c r="O190" i="42"/>
  <c r="O195" i="42" s="1"/>
  <c r="O201" i="42" s="1"/>
  <c r="O142" i="42"/>
  <c r="O147" i="42" s="1"/>
  <c r="O152" i="42" s="1"/>
  <c r="P87" i="42"/>
  <c r="P94" i="42" s="1"/>
  <c r="P101" i="42" s="1"/>
  <c r="Q39" i="42"/>
  <c r="P67" i="42"/>
  <c r="O69" i="42"/>
  <c r="O191" i="42" s="1"/>
  <c r="O196" i="42" s="1"/>
  <c r="O166" i="42"/>
  <c r="R65" i="42"/>
  <c r="Q89" i="42"/>
  <c r="Q96" i="42" s="1"/>
  <c r="L206" i="41"/>
  <c r="L215" i="41" s="1"/>
  <c r="L219" i="41" s="1"/>
  <c r="Z66" i="41"/>
  <c r="Y90" i="41"/>
  <c r="Y97" i="41" s="1"/>
  <c r="P42" i="41"/>
  <c r="Q69" i="41"/>
  <c r="L209" i="41"/>
  <c r="L155" i="41"/>
  <c r="P88" i="41"/>
  <c r="P95" i="41" s="1"/>
  <c r="P102" i="41" s="1"/>
  <c r="Q40" i="41"/>
  <c r="N55" i="41"/>
  <c r="N143" i="41"/>
  <c r="N148" i="41" s="1"/>
  <c r="N153" i="41" s="1"/>
  <c r="N191" i="41"/>
  <c r="N196" i="41" s="1"/>
  <c r="N202" i="41" s="1"/>
  <c r="M103" i="41"/>
  <c r="M104" i="41" s="1"/>
  <c r="P68" i="41"/>
  <c r="O70" i="41"/>
  <c r="O192" i="41" s="1"/>
  <c r="O197" i="41" s="1"/>
  <c r="O167" i="41"/>
  <c r="K216" i="41"/>
  <c r="N142" i="41"/>
  <c r="N94" i="41"/>
  <c r="N101" i="41" s="1"/>
  <c r="O87" i="41"/>
  <c r="O108" i="41" s="1"/>
  <c r="N92" i="41"/>
  <c r="N99" i="41" s="1"/>
  <c r="O53" i="41"/>
  <c r="P46" i="41"/>
  <c r="M91" i="41"/>
  <c r="M98" i="41" s="1"/>
  <c r="N71" i="41"/>
  <c r="Q45" i="41"/>
  <c r="P52" i="41"/>
  <c r="O48" i="41"/>
  <c r="O54" i="41" s="1"/>
  <c r="O51" i="41"/>
  <c r="P44" i="41"/>
  <c r="M147" i="41"/>
  <c r="M152" i="41" s="1"/>
  <c r="M145" i="41"/>
  <c r="M150" i="41" s="1"/>
  <c r="M154" i="41" s="1"/>
  <c r="N175" i="41"/>
  <c r="N144" i="40"/>
  <c r="N149" i="40" s="1"/>
  <c r="P86" i="40"/>
  <c r="P107" i="40" s="1"/>
  <c r="O91" i="40"/>
  <c r="O98" i="40" s="1"/>
  <c r="O93" i="40"/>
  <c r="O100" i="40" s="1"/>
  <c r="O141" i="40"/>
  <c r="O146" i="40" s="1"/>
  <c r="O151" i="40" s="1"/>
  <c r="P140" i="40"/>
  <c r="Q60" i="40"/>
  <c r="O67" i="40"/>
  <c r="N69" i="40"/>
  <c r="N191" i="40" s="1"/>
  <c r="N196" i="40" s="1"/>
  <c r="N166" i="40"/>
  <c r="P87" i="40"/>
  <c r="P94" i="40" s="1"/>
  <c r="P101" i="40" s="1"/>
  <c r="Q39" i="40"/>
  <c r="P59" i="40"/>
  <c r="M174" i="40"/>
  <c r="Q41" i="40"/>
  <c r="K211" i="40"/>
  <c r="K214" i="40"/>
  <c r="K218" i="40" s="1"/>
  <c r="P51" i="40"/>
  <c r="Q44" i="40"/>
  <c r="P68" i="40"/>
  <c r="L208" i="40"/>
  <c r="L154" i="40"/>
  <c r="P52" i="40"/>
  <c r="Q45" i="40"/>
  <c r="M90" i="40"/>
  <c r="M97" i="40" s="1"/>
  <c r="N70" i="40"/>
  <c r="M102" i="40"/>
  <c r="M126" i="40"/>
  <c r="M131" i="40" s="1"/>
  <c r="M109" i="40"/>
  <c r="M114" i="40" s="1"/>
  <c r="N66" i="40"/>
  <c r="M143" i="40"/>
  <c r="M148" i="40" s="1"/>
  <c r="M153" i="40" s="1"/>
  <c r="M154" i="40" s="1"/>
  <c r="O47" i="40"/>
  <c r="O53" i="40" s="1"/>
  <c r="O50" i="40"/>
  <c r="P43" i="40"/>
  <c r="N54" i="40"/>
  <c r="N190" i="40"/>
  <c r="N195" i="40" s="1"/>
  <c r="N201" i="40" s="1"/>
  <c r="N142" i="40"/>
  <c r="N147" i="40" s="1"/>
  <c r="N152" i="40" s="1"/>
  <c r="L103" i="40"/>
  <c r="L205" i="40"/>
  <c r="T65" i="40"/>
  <c r="S89" i="40"/>
  <c r="S96" i="40" s="1"/>
  <c r="O64" i="38" l="1"/>
  <c r="O66" i="38"/>
  <c r="O144" i="41"/>
  <c r="O149" i="41" s="1"/>
  <c r="O110" i="41"/>
  <c r="O115" i="41" s="1"/>
  <c r="P67" i="41"/>
  <c r="P110" i="41" s="1"/>
  <c r="P115" i="41" s="1"/>
  <c r="S106" i="43"/>
  <c r="S106" i="42"/>
  <c r="S107" i="41"/>
  <c r="S106" i="40"/>
  <c r="S106" i="39"/>
  <c r="L208" i="42"/>
  <c r="L215" i="42" s="1"/>
  <c r="O144" i="40"/>
  <c r="O149" i="40" s="1"/>
  <c r="M153" i="43"/>
  <c r="M208" i="43" s="1"/>
  <c r="L154" i="43"/>
  <c r="M205" i="43"/>
  <c r="M214" i="43" s="1"/>
  <c r="M218" i="43" s="1"/>
  <c r="L215" i="43"/>
  <c r="N102" i="43"/>
  <c r="N205" i="43" s="1"/>
  <c r="W65" i="43"/>
  <c r="V89" i="43"/>
  <c r="V96" i="43" s="1"/>
  <c r="N174" i="43"/>
  <c r="O54" i="43"/>
  <c r="O142" i="43"/>
  <c r="O147" i="43" s="1"/>
  <c r="O152" i="43" s="1"/>
  <c r="O190" i="43"/>
  <c r="O195" i="43" s="1"/>
  <c r="O201" i="43" s="1"/>
  <c r="O69" i="43"/>
  <c r="O191" i="43" s="1"/>
  <c r="O196" i="43" s="1"/>
  <c r="P67" i="43"/>
  <c r="O166" i="43"/>
  <c r="R68" i="43"/>
  <c r="N90" i="43"/>
  <c r="N97" i="43" s="1"/>
  <c r="O70" i="43"/>
  <c r="R51" i="43"/>
  <c r="S44" i="43"/>
  <c r="P47" i="43"/>
  <c r="P53" i="43" s="1"/>
  <c r="P50" i="43"/>
  <c r="Q43" i="43"/>
  <c r="R41" i="43"/>
  <c r="O141" i="43"/>
  <c r="O91" i="43"/>
  <c r="O98" i="43" s="1"/>
  <c r="O93" i="43"/>
  <c r="O100" i="43" s="1"/>
  <c r="P86" i="43"/>
  <c r="P107" i="43" s="1"/>
  <c r="N126" i="43"/>
  <c r="N131" i="43" s="1"/>
  <c r="N109" i="43"/>
  <c r="N114" i="43" s="1"/>
  <c r="O66" i="43"/>
  <c r="N143" i="43"/>
  <c r="N148" i="43" s="1"/>
  <c r="N146" i="43"/>
  <c r="N151" i="43" s="1"/>
  <c r="N144" i="43"/>
  <c r="N149" i="43" s="1"/>
  <c r="P87" i="43"/>
  <c r="P94" i="43" s="1"/>
  <c r="P101" i="43" s="1"/>
  <c r="Q39" i="43"/>
  <c r="R52" i="43"/>
  <c r="S45" i="43"/>
  <c r="M103" i="42"/>
  <c r="M214" i="42"/>
  <c r="M218" i="42" s="1"/>
  <c r="M211" i="42"/>
  <c r="N90" i="42"/>
  <c r="N97" i="42" s="1"/>
  <c r="O70" i="42"/>
  <c r="S44" i="42"/>
  <c r="R51" i="42"/>
  <c r="Q87" i="42"/>
  <c r="Q94" i="42" s="1"/>
  <c r="Q101" i="42" s="1"/>
  <c r="R39" i="42"/>
  <c r="S68" i="42"/>
  <c r="O141" i="42"/>
  <c r="O91" i="42"/>
  <c r="O98" i="42" s="1"/>
  <c r="P86" i="42"/>
  <c r="P107" i="42" s="1"/>
  <c r="O93" i="42"/>
  <c r="O100" i="42" s="1"/>
  <c r="R45" i="42"/>
  <c r="Q52" i="42"/>
  <c r="Q67" i="42"/>
  <c r="P69" i="42"/>
  <c r="P191" i="42" s="1"/>
  <c r="P196" i="42" s="1"/>
  <c r="P166" i="42"/>
  <c r="N146" i="42"/>
  <c r="N151" i="42" s="1"/>
  <c r="N144" i="42"/>
  <c r="N149" i="42" s="1"/>
  <c r="R43" i="42"/>
  <c r="Q47" i="42"/>
  <c r="Q53" i="42" s="1"/>
  <c r="Q50" i="42"/>
  <c r="N126" i="42"/>
  <c r="N131" i="42" s="1"/>
  <c r="N109" i="42"/>
  <c r="N114" i="42" s="1"/>
  <c r="O66" i="42"/>
  <c r="N143" i="42"/>
  <c r="N148" i="42" s="1"/>
  <c r="N102" i="42"/>
  <c r="N205" i="42" s="1"/>
  <c r="S65" i="42"/>
  <c r="R89" i="42"/>
  <c r="R96" i="42" s="1"/>
  <c r="M153" i="42"/>
  <c r="M154" i="42" s="1"/>
  <c r="P54" i="42"/>
  <c r="P190" i="42"/>
  <c r="P195" i="42" s="1"/>
  <c r="P201" i="42" s="1"/>
  <c r="P142" i="42"/>
  <c r="P147" i="42" s="1"/>
  <c r="P152" i="42" s="1"/>
  <c r="O174" i="42"/>
  <c r="Q41" i="42"/>
  <c r="L212" i="41"/>
  <c r="AA66" i="41"/>
  <c r="Z90" i="41"/>
  <c r="Z97" i="41" s="1"/>
  <c r="M206" i="41"/>
  <c r="M215" i="41" s="1"/>
  <c r="M219" i="41" s="1"/>
  <c r="P53" i="41"/>
  <c r="Q46" i="41"/>
  <c r="N103" i="41"/>
  <c r="N206" i="41" s="1"/>
  <c r="N145" i="41"/>
  <c r="N150" i="41" s="1"/>
  <c r="N154" i="41" s="1"/>
  <c r="N147" i="41"/>
  <c r="N152" i="41" s="1"/>
  <c r="Q88" i="41"/>
  <c r="Q95" i="41" s="1"/>
  <c r="Q102" i="41" s="1"/>
  <c r="R40" i="41"/>
  <c r="Q42" i="41"/>
  <c r="P48" i="41"/>
  <c r="P54" i="41" s="1"/>
  <c r="Q44" i="41"/>
  <c r="P51" i="41"/>
  <c r="O55" i="41"/>
  <c r="O191" i="41"/>
  <c r="O196" i="41" s="1"/>
  <c r="O202" i="41" s="1"/>
  <c r="O143" i="41"/>
  <c r="O148" i="41" s="1"/>
  <c r="O153" i="41" s="1"/>
  <c r="L216" i="41"/>
  <c r="O142" i="41"/>
  <c r="O94" i="41"/>
  <c r="O101" i="41" s="1"/>
  <c r="O92" i="41"/>
  <c r="O99" i="41" s="1"/>
  <c r="P87" i="41"/>
  <c r="P108" i="41" s="1"/>
  <c r="Q68" i="41"/>
  <c r="P70" i="41"/>
  <c r="P192" i="41" s="1"/>
  <c r="P197" i="41" s="1"/>
  <c r="P167" i="41"/>
  <c r="O71" i="41"/>
  <c r="N91" i="41"/>
  <c r="N98" i="41" s="1"/>
  <c r="R69" i="41"/>
  <c r="M209" i="41"/>
  <c r="M155" i="41"/>
  <c r="O175" i="41"/>
  <c r="R45" i="41"/>
  <c r="Q52" i="41"/>
  <c r="P141" i="40"/>
  <c r="P146" i="40" s="1"/>
  <c r="P151" i="40" s="1"/>
  <c r="Q86" i="40"/>
  <c r="Q107" i="40" s="1"/>
  <c r="P93" i="40"/>
  <c r="P100" i="40" s="1"/>
  <c r="P91" i="40"/>
  <c r="P98" i="40" s="1"/>
  <c r="O70" i="40"/>
  <c r="N90" i="40"/>
  <c r="N97" i="40" s="1"/>
  <c r="N102" i="40"/>
  <c r="Q87" i="40"/>
  <c r="Q94" i="40" s="1"/>
  <c r="Q101" i="40" s="1"/>
  <c r="R39" i="40"/>
  <c r="P67" i="40"/>
  <c r="O69" i="40"/>
  <c r="O191" i="40" s="1"/>
  <c r="O196" i="40" s="1"/>
  <c r="O166" i="40"/>
  <c r="Q140" i="40"/>
  <c r="R60" i="40"/>
  <c r="L214" i="40"/>
  <c r="L218" i="40" s="1"/>
  <c r="L211" i="40"/>
  <c r="L215" i="40"/>
  <c r="M208" i="40"/>
  <c r="N174" i="40"/>
  <c r="N109" i="40"/>
  <c r="N114" i="40" s="1"/>
  <c r="O66" i="40"/>
  <c r="N126" i="40"/>
  <c r="N131" i="40" s="1"/>
  <c r="N143" i="40"/>
  <c r="N148" i="40" s="1"/>
  <c r="N153" i="40" s="1"/>
  <c r="O54" i="40"/>
  <c r="O190" i="40"/>
  <c r="O195" i="40" s="1"/>
  <c r="O201" i="40" s="1"/>
  <c r="O142" i="40"/>
  <c r="O147" i="40" s="1"/>
  <c r="O152" i="40" s="1"/>
  <c r="Q52" i="40"/>
  <c r="R45" i="40"/>
  <c r="U65" i="40"/>
  <c r="T89" i="40"/>
  <c r="T96" i="40" s="1"/>
  <c r="R41" i="40"/>
  <c r="R44" i="40"/>
  <c r="Q51" i="40"/>
  <c r="Q43" i="40"/>
  <c r="P50" i="40"/>
  <c r="P47" i="40"/>
  <c r="P53" i="40" s="1"/>
  <c r="Q68" i="40"/>
  <c r="M205" i="40"/>
  <c r="M103" i="40"/>
  <c r="Q59" i="40"/>
  <c r="P64" i="38" l="1"/>
  <c r="P66" i="38"/>
  <c r="Q67" i="41"/>
  <c r="Q144" i="41" s="1"/>
  <c r="Q149" i="41" s="1"/>
  <c r="P144" i="41"/>
  <c r="P149" i="41" s="1"/>
  <c r="P127" i="41"/>
  <c r="P132" i="41" s="1"/>
  <c r="T106" i="43"/>
  <c r="T106" i="42"/>
  <c r="T107" i="41"/>
  <c r="T106" i="40"/>
  <c r="T106" i="39"/>
  <c r="N153" i="42"/>
  <c r="N208" i="42" s="1"/>
  <c r="N103" i="42"/>
  <c r="M154" i="43"/>
  <c r="N153" i="43"/>
  <c r="N208" i="43" s="1"/>
  <c r="N103" i="43"/>
  <c r="M211" i="43"/>
  <c r="P54" i="43"/>
  <c r="P190" i="43"/>
  <c r="P195" i="43" s="1"/>
  <c r="P201" i="43" s="1"/>
  <c r="P142" i="43"/>
  <c r="P147" i="43" s="1"/>
  <c r="P152" i="43" s="1"/>
  <c r="P69" i="43"/>
  <c r="P191" i="43" s="1"/>
  <c r="P196" i="43" s="1"/>
  <c r="Q67" i="43"/>
  <c r="P166" i="43"/>
  <c r="O174" i="43"/>
  <c r="O146" i="43"/>
  <c r="O151" i="43" s="1"/>
  <c r="O144" i="43"/>
  <c r="O149" i="43" s="1"/>
  <c r="O126" i="43"/>
  <c r="O131" i="43" s="1"/>
  <c r="O109" i="43"/>
  <c r="O114" i="43" s="1"/>
  <c r="P66" i="43"/>
  <c r="O143" i="43"/>
  <c r="O148" i="43" s="1"/>
  <c r="S51" i="43"/>
  <c r="T44" i="43"/>
  <c r="O90" i="43"/>
  <c r="O97" i="43" s="1"/>
  <c r="P70" i="43"/>
  <c r="Q87" i="43"/>
  <c r="Q94" i="43" s="1"/>
  <c r="Q101" i="43" s="1"/>
  <c r="R39" i="43"/>
  <c r="X65" i="43"/>
  <c r="W89" i="43"/>
  <c r="W96" i="43" s="1"/>
  <c r="S41" i="43"/>
  <c r="S68" i="43"/>
  <c r="P141" i="43"/>
  <c r="P93" i="43"/>
  <c r="P100" i="43" s="1"/>
  <c r="P91" i="43"/>
  <c r="P98" i="43" s="1"/>
  <c r="Q86" i="43"/>
  <c r="Q107" i="43" s="1"/>
  <c r="T45" i="43"/>
  <c r="S52" i="43"/>
  <c r="M215" i="43"/>
  <c r="O102" i="43"/>
  <c r="O205" i="43" s="1"/>
  <c r="Q47" i="43"/>
  <c r="Q53" i="43" s="1"/>
  <c r="Q50" i="43"/>
  <c r="R43" i="43"/>
  <c r="N211" i="43"/>
  <c r="N214" i="43"/>
  <c r="N218" i="43" s="1"/>
  <c r="O146" i="42"/>
  <c r="O151" i="42" s="1"/>
  <c r="O144" i="42"/>
  <c r="O149" i="42" s="1"/>
  <c r="N211" i="42"/>
  <c r="N214" i="42"/>
  <c r="N218" i="42" s="1"/>
  <c r="Q54" i="42"/>
  <c r="Q142" i="42"/>
  <c r="Q147" i="42" s="1"/>
  <c r="Q152" i="42" s="1"/>
  <c r="Q190" i="42"/>
  <c r="Q195" i="42" s="1"/>
  <c r="Q201" i="42" s="1"/>
  <c r="P174" i="42"/>
  <c r="S51" i="42"/>
  <c r="T44" i="42"/>
  <c r="O102" i="42"/>
  <c r="O205" i="42" s="1"/>
  <c r="O90" i="42"/>
  <c r="O97" i="42" s="1"/>
  <c r="P70" i="42"/>
  <c r="O126" i="42"/>
  <c r="O131" i="42" s="1"/>
  <c r="O109" i="42"/>
  <c r="O114" i="42" s="1"/>
  <c r="P66" i="42"/>
  <c r="O143" i="42"/>
  <c r="O148" i="42" s="1"/>
  <c r="S43" i="42"/>
  <c r="R47" i="42"/>
  <c r="R53" i="42" s="1"/>
  <c r="R50" i="42"/>
  <c r="R67" i="42"/>
  <c r="Q69" i="42"/>
  <c r="Q191" i="42" s="1"/>
  <c r="Q196" i="42" s="1"/>
  <c r="Q166" i="42"/>
  <c r="P141" i="42"/>
  <c r="P93" i="42"/>
  <c r="P100" i="42" s="1"/>
  <c r="P91" i="42"/>
  <c r="P98" i="42" s="1"/>
  <c r="Q86" i="42"/>
  <c r="Q107" i="42" s="1"/>
  <c r="R41" i="42"/>
  <c r="M208" i="42"/>
  <c r="T68" i="42"/>
  <c r="S39" i="42"/>
  <c r="R87" i="42"/>
  <c r="R94" i="42" s="1"/>
  <c r="R101" i="42" s="1"/>
  <c r="R52" i="42"/>
  <c r="S45" i="42"/>
  <c r="T65" i="42"/>
  <c r="S89" i="42"/>
  <c r="S96" i="42" s="1"/>
  <c r="M212" i="41"/>
  <c r="AB66" i="41"/>
  <c r="AA90" i="41"/>
  <c r="AA97" i="41" s="1"/>
  <c r="N215" i="41"/>
  <c r="N219" i="41" s="1"/>
  <c r="N212" i="41"/>
  <c r="R88" i="41"/>
  <c r="R95" i="41" s="1"/>
  <c r="R102" i="41" s="1"/>
  <c r="S40" i="41"/>
  <c r="Q53" i="41"/>
  <c r="R46" i="41"/>
  <c r="O103" i="41"/>
  <c r="O104" i="41" s="1"/>
  <c r="M216" i="41"/>
  <c r="P175" i="41"/>
  <c r="P55" i="41"/>
  <c r="P143" i="41"/>
  <c r="P148" i="41" s="1"/>
  <c r="P153" i="41" s="1"/>
  <c r="P191" i="41"/>
  <c r="P196" i="41" s="1"/>
  <c r="P202" i="41" s="1"/>
  <c r="N104" i="41"/>
  <c r="Q51" i="41"/>
  <c r="Q48" i="41"/>
  <c r="Q54" i="41" s="1"/>
  <c r="R44" i="41"/>
  <c r="N209" i="41"/>
  <c r="N155" i="41"/>
  <c r="O91" i="41"/>
  <c r="O98" i="41" s="1"/>
  <c r="P71" i="41"/>
  <c r="R68" i="41"/>
  <c r="Q70" i="41"/>
  <c r="Q192" i="41" s="1"/>
  <c r="Q197" i="41" s="1"/>
  <c r="Q167" i="41"/>
  <c r="S45" i="41"/>
  <c r="R52" i="41"/>
  <c r="S69" i="41"/>
  <c r="R42" i="41"/>
  <c r="O147" i="41"/>
  <c r="O152" i="41" s="1"/>
  <c r="O145" i="41"/>
  <c r="O150" i="41" s="1"/>
  <c r="O154" i="41" s="1"/>
  <c r="P94" i="41"/>
  <c r="P101" i="41" s="1"/>
  <c r="P92" i="41"/>
  <c r="P99" i="41" s="1"/>
  <c r="P142" i="41"/>
  <c r="Q87" i="41"/>
  <c r="Q108" i="41" s="1"/>
  <c r="P144" i="40"/>
  <c r="P149" i="40" s="1"/>
  <c r="Q141" i="40"/>
  <c r="Q146" i="40" s="1"/>
  <c r="Q151" i="40" s="1"/>
  <c r="R86" i="40"/>
  <c r="R107" i="40" s="1"/>
  <c r="Q91" i="40"/>
  <c r="Q98" i="40" s="1"/>
  <c r="Q93" i="40"/>
  <c r="Q100" i="40" s="1"/>
  <c r="M215" i="40"/>
  <c r="R59" i="40"/>
  <c r="Q67" i="40"/>
  <c r="P69" i="40"/>
  <c r="P191" i="40" s="1"/>
  <c r="P196" i="40" s="1"/>
  <c r="P166" i="40"/>
  <c r="N205" i="40"/>
  <c r="N103" i="40"/>
  <c r="N208" i="40"/>
  <c r="N154" i="40"/>
  <c r="P54" i="40"/>
  <c r="P190" i="40"/>
  <c r="P195" i="40" s="1"/>
  <c r="P201" i="40" s="1"/>
  <c r="P142" i="40"/>
  <c r="P147" i="40" s="1"/>
  <c r="P152" i="40" s="1"/>
  <c r="Q50" i="40"/>
  <c r="Q47" i="40"/>
  <c r="Q53" i="40" s="1"/>
  <c r="R43" i="40"/>
  <c r="V65" i="40"/>
  <c r="U89" i="40"/>
  <c r="U96" i="40" s="1"/>
  <c r="R52" i="40"/>
  <c r="S45" i="40"/>
  <c r="M214" i="40"/>
  <c r="M218" i="40" s="1"/>
  <c r="M211" i="40"/>
  <c r="P70" i="40"/>
  <c r="O90" i="40"/>
  <c r="O97" i="40" s="1"/>
  <c r="O102" i="40"/>
  <c r="S41" i="40"/>
  <c r="O174" i="40"/>
  <c r="R68" i="40"/>
  <c r="R87" i="40"/>
  <c r="R94" i="40" s="1"/>
  <c r="R101" i="40" s="1"/>
  <c r="S39" i="40"/>
  <c r="O126" i="40"/>
  <c r="O131" i="40" s="1"/>
  <c r="P66" i="40"/>
  <c r="O109" i="40"/>
  <c r="O114" i="40" s="1"/>
  <c r="O143" i="40"/>
  <c r="O148" i="40" s="1"/>
  <c r="O153" i="40" s="1"/>
  <c r="R51" i="40"/>
  <c r="S44" i="40"/>
  <c r="R140" i="40"/>
  <c r="S60" i="40"/>
  <c r="Q64" i="38" l="1"/>
  <c r="R67" i="41"/>
  <c r="Q66" i="38"/>
  <c r="Q110" i="41"/>
  <c r="Q115" i="41" s="1"/>
  <c r="Q127" i="41"/>
  <c r="Q132" i="41" s="1"/>
  <c r="U106" i="43"/>
  <c r="U106" i="42"/>
  <c r="U107" i="41"/>
  <c r="U106" i="40"/>
  <c r="U106" i="39"/>
  <c r="N154" i="42"/>
  <c r="R141" i="40"/>
  <c r="R146" i="40" s="1"/>
  <c r="R151" i="40" s="1"/>
  <c r="N154" i="43"/>
  <c r="O103" i="43"/>
  <c r="O211" i="43"/>
  <c r="O214" i="43"/>
  <c r="O218" i="43" s="1"/>
  <c r="R47" i="43"/>
  <c r="R53" i="43" s="1"/>
  <c r="R50" i="43"/>
  <c r="S43" i="43"/>
  <c r="T51" i="43"/>
  <c r="U44" i="43"/>
  <c r="P144" i="43"/>
  <c r="P149" i="43" s="1"/>
  <c r="P146" i="43"/>
  <c r="P151" i="43" s="1"/>
  <c r="Y65" i="43"/>
  <c r="X89" i="43"/>
  <c r="X96" i="43" s="1"/>
  <c r="Q69" i="43"/>
  <c r="Q191" i="43" s="1"/>
  <c r="Q196" i="43" s="1"/>
  <c r="R67" i="43"/>
  <c r="Q166" i="43"/>
  <c r="T68" i="43"/>
  <c r="P174" i="43"/>
  <c r="O153" i="43"/>
  <c r="O208" i="43" s="1"/>
  <c r="P126" i="43"/>
  <c r="P131" i="43" s="1"/>
  <c r="P109" i="43"/>
  <c r="P114" i="43" s="1"/>
  <c r="Q66" i="43"/>
  <c r="P143" i="43"/>
  <c r="P148" i="43" s="1"/>
  <c r="R87" i="43"/>
  <c r="R94" i="43" s="1"/>
  <c r="R101" i="43" s="1"/>
  <c r="S39" i="43"/>
  <c r="T52" i="43"/>
  <c r="U45" i="43"/>
  <c r="N215" i="43"/>
  <c r="Q141" i="43"/>
  <c r="Q91" i="43"/>
  <c r="Q98" i="43" s="1"/>
  <c r="Q93" i="43"/>
  <c r="Q100" i="43" s="1"/>
  <c r="R86" i="43"/>
  <c r="R107" i="43" s="1"/>
  <c r="Q70" i="43"/>
  <c r="P90" i="43"/>
  <c r="P97" i="43" s="1"/>
  <c r="Q54" i="43"/>
  <c r="Q142" i="43"/>
  <c r="Q147" i="43" s="1"/>
  <c r="Q152" i="43" s="1"/>
  <c r="Q190" i="43"/>
  <c r="Q195" i="43" s="1"/>
  <c r="Q201" i="43" s="1"/>
  <c r="P102" i="43"/>
  <c r="P205" i="43" s="1"/>
  <c r="T41" i="43"/>
  <c r="O153" i="42"/>
  <c r="O208" i="42" s="1"/>
  <c r="O103" i="42"/>
  <c r="O211" i="42"/>
  <c r="O214" i="42"/>
  <c r="O218" i="42" s="1"/>
  <c r="U44" i="42"/>
  <c r="T51" i="42"/>
  <c r="N215" i="42"/>
  <c r="U68" i="42"/>
  <c r="S41" i="42"/>
  <c r="P90" i="42"/>
  <c r="P97" i="42" s="1"/>
  <c r="Q70" i="42"/>
  <c r="M215" i="42"/>
  <c r="Q174" i="42"/>
  <c r="T43" i="42"/>
  <c r="S47" i="42"/>
  <c r="S53" i="42" s="1"/>
  <c r="S50" i="42"/>
  <c r="S87" i="42"/>
  <c r="S94" i="42" s="1"/>
  <c r="S101" i="42" s="1"/>
  <c r="T39" i="42"/>
  <c r="Q141" i="42"/>
  <c r="Q93" i="42"/>
  <c r="Q100" i="42" s="1"/>
  <c r="Q91" i="42"/>
  <c r="Q98" i="42" s="1"/>
  <c r="R86" i="42"/>
  <c r="R107" i="42" s="1"/>
  <c r="S52" i="42"/>
  <c r="T45" i="42"/>
  <c r="R69" i="42"/>
  <c r="R191" i="42" s="1"/>
  <c r="R196" i="42" s="1"/>
  <c r="S67" i="42"/>
  <c r="R166" i="42"/>
  <c r="P144" i="42"/>
  <c r="P149" i="42" s="1"/>
  <c r="P146" i="42"/>
  <c r="P151" i="42" s="1"/>
  <c r="P126" i="42"/>
  <c r="P131" i="42" s="1"/>
  <c r="P109" i="42"/>
  <c r="P114" i="42" s="1"/>
  <c r="Q66" i="42"/>
  <c r="P143" i="42"/>
  <c r="P148" i="42" s="1"/>
  <c r="P102" i="42"/>
  <c r="P205" i="42" s="1"/>
  <c r="U65" i="42"/>
  <c r="T89" i="42"/>
  <c r="T96" i="42" s="1"/>
  <c r="R54" i="42"/>
  <c r="R142" i="42"/>
  <c r="R147" i="42" s="1"/>
  <c r="R152" i="42" s="1"/>
  <c r="R190" i="42"/>
  <c r="R195" i="42" s="1"/>
  <c r="R201" i="42" s="1"/>
  <c r="O206" i="41"/>
  <c r="O212" i="41" s="1"/>
  <c r="AC66" i="41"/>
  <c r="AB90" i="41"/>
  <c r="AB97" i="41" s="1"/>
  <c r="P147" i="41"/>
  <c r="P152" i="41" s="1"/>
  <c r="P145" i="41"/>
  <c r="P150" i="41" s="1"/>
  <c r="P154" i="41" s="1"/>
  <c r="Q142" i="41"/>
  <c r="Q92" i="41"/>
  <c r="Q99" i="41" s="1"/>
  <c r="R87" i="41"/>
  <c r="R108" i="41" s="1"/>
  <c r="Q94" i="41"/>
  <c r="Q101" i="41" s="1"/>
  <c r="T45" i="41"/>
  <c r="S52" i="41"/>
  <c r="S68" i="41"/>
  <c r="R70" i="41"/>
  <c r="R192" i="41" s="1"/>
  <c r="R197" i="41" s="1"/>
  <c r="R167" i="41"/>
  <c r="N216" i="41"/>
  <c r="Q175" i="41"/>
  <c r="R127" i="41"/>
  <c r="R132" i="41" s="1"/>
  <c r="S67" i="41"/>
  <c r="R110" i="41"/>
  <c r="R115" i="41" s="1"/>
  <c r="R144" i="41"/>
  <c r="R149" i="41" s="1"/>
  <c r="O209" i="41"/>
  <c r="O155" i="41"/>
  <c r="R51" i="41"/>
  <c r="S44" i="41"/>
  <c r="R48" i="41"/>
  <c r="R54" i="41" s="1"/>
  <c r="P103" i="41"/>
  <c r="P104" i="41" s="1"/>
  <c r="Q55" i="41"/>
  <c r="Q143" i="41"/>
  <c r="Q148" i="41" s="1"/>
  <c r="Q153" i="41" s="1"/>
  <c r="Q191" i="41"/>
  <c r="Q196" i="41" s="1"/>
  <c r="Q202" i="41" s="1"/>
  <c r="S42" i="41"/>
  <c r="S88" i="41"/>
  <c r="S95" i="41" s="1"/>
  <c r="S102" i="41" s="1"/>
  <c r="T40" i="41"/>
  <c r="T69" i="41"/>
  <c r="Q71" i="41"/>
  <c r="P91" i="41"/>
  <c r="P98" i="41" s="1"/>
  <c r="R53" i="41"/>
  <c r="S46" i="41"/>
  <c r="Q144" i="40"/>
  <c r="Q149" i="40" s="1"/>
  <c r="S86" i="40"/>
  <c r="S107" i="40" s="1"/>
  <c r="R93" i="40"/>
  <c r="R100" i="40" s="1"/>
  <c r="R91" i="40"/>
  <c r="R98" i="40" s="1"/>
  <c r="P126" i="40"/>
  <c r="P131" i="40" s="1"/>
  <c r="P109" i="40"/>
  <c r="P114" i="40" s="1"/>
  <c r="Q66" i="40"/>
  <c r="P143" i="40"/>
  <c r="P148" i="40" s="1"/>
  <c r="P153" i="40" s="1"/>
  <c r="P208" i="40" s="1"/>
  <c r="S59" i="40"/>
  <c r="S140" i="40"/>
  <c r="T60" i="40"/>
  <c r="N215" i="40"/>
  <c r="Q54" i="40"/>
  <c r="Q190" i="40"/>
  <c r="Q195" i="40" s="1"/>
  <c r="Q201" i="40" s="1"/>
  <c r="Q142" i="40"/>
  <c r="Q147" i="40" s="1"/>
  <c r="Q152" i="40" s="1"/>
  <c r="W65" i="40"/>
  <c r="V89" i="40"/>
  <c r="V96" i="40" s="1"/>
  <c r="S87" i="40"/>
  <c r="S94" i="40" s="1"/>
  <c r="S101" i="40" s="1"/>
  <c r="T39" i="40"/>
  <c r="Q70" i="40"/>
  <c r="P90" i="40"/>
  <c r="P97" i="40" s="1"/>
  <c r="P102" i="40"/>
  <c r="P174" i="40"/>
  <c r="S68" i="40"/>
  <c r="O103" i="40"/>
  <c r="O205" i="40"/>
  <c r="R47" i="40"/>
  <c r="R53" i="40" s="1"/>
  <c r="S43" i="40"/>
  <c r="R50" i="40"/>
  <c r="N211" i="40"/>
  <c r="N214" i="40"/>
  <c r="N218" i="40" s="1"/>
  <c r="S51" i="40"/>
  <c r="T44" i="40"/>
  <c r="T41" i="40"/>
  <c r="Q69" i="40"/>
  <c r="Q191" i="40" s="1"/>
  <c r="Q196" i="40" s="1"/>
  <c r="R67" i="40"/>
  <c r="Q166" i="40"/>
  <c r="O208" i="40"/>
  <c r="O154" i="40"/>
  <c r="S52" i="40"/>
  <c r="T45" i="40"/>
  <c r="R64" i="38" l="1"/>
  <c r="R66" i="38"/>
  <c r="V106" i="43"/>
  <c r="V106" i="42"/>
  <c r="V107" i="41"/>
  <c r="V106" i="40"/>
  <c r="V106" i="39"/>
  <c r="P103" i="42"/>
  <c r="R144" i="40"/>
  <c r="R149" i="40" s="1"/>
  <c r="O154" i="43"/>
  <c r="P103" i="43"/>
  <c r="P211" i="43"/>
  <c r="P214" i="43"/>
  <c r="P218" i="43" s="1"/>
  <c r="Z65" i="43"/>
  <c r="Y89" i="43"/>
  <c r="Y96" i="43" s="1"/>
  <c r="U68" i="43"/>
  <c r="R70" i="43"/>
  <c r="Q90" i="43"/>
  <c r="Q97" i="43" s="1"/>
  <c r="O215" i="43"/>
  <c r="R141" i="43"/>
  <c r="R91" i="43"/>
  <c r="R98" i="43" s="1"/>
  <c r="R93" i="43"/>
  <c r="R100" i="43" s="1"/>
  <c r="S86" i="43"/>
  <c r="S107" i="43" s="1"/>
  <c r="P153" i="43"/>
  <c r="P208" i="43" s="1"/>
  <c r="U51" i="43"/>
  <c r="V44" i="43"/>
  <c r="U41" i="43"/>
  <c r="Q102" i="43"/>
  <c r="Q205" i="43" s="1"/>
  <c r="Q126" i="43"/>
  <c r="Q131" i="43" s="1"/>
  <c r="R66" i="43"/>
  <c r="Q109" i="43"/>
  <c r="Q114" i="43" s="1"/>
  <c r="Q143" i="43"/>
  <c r="Q148" i="43" s="1"/>
  <c r="T43" i="43"/>
  <c r="S47" i="43"/>
  <c r="S53" i="43" s="1"/>
  <c r="S50" i="43"/>
  <c r="V45" i="43"/>
  <c r="U52" i="43"/>
  <c r="S87" i="43"/>
  <c r="S94" i="43" s="1"/>
  <c r="S101" i="43" s="1"/>
  <c r="T39" i="43"/>
  <c r="R54" i="43"/>
  <c r="R190" i="43"/>
  <c r="R195" i="43" s="1"/>
  <c r="R201" i="43" s="1"/>
  <c r="R142" i="43"/>
  <c r="R147" i="43" s="1"/>
  <c r="R152" i="43" s="1"/>
  <c r="Q144" i="43"/>
  <c r="Q149" i="43" s="1"/>
  <c r="Q146" i="43"/>
  <c r="Q151" i="43" s="1"/>
  <c r="Q174" i="43"/>
  <c r="R69" i="43"/>
  <c r="R191" i="43" s="1"/>
  <c r="R196" i="43" s="1"/>
  <c r="S67" i="43"/>
  <c r="R166" i="43"/>
  <c r="O154" i="42"/>
  <c r="P153" i="42"/>
  <c r="P154" i="42" s="1"/>
  <c r="T87" i="42"/>
  <c r="T94" i="42" s="1"/>
  <c r="T101" i="42" s="1"/>
  <c r="U39" i="42"/>
  <c r="O215" i="42"/>
  <c r="T50" i="42"/>
  <c r="U43" i="42"/>
  <c r="T47" i="42"/>
  <c r="T53" i="42" s="1"/>
  <c r="R141" i="42"/>
  <c r="S86" i="42"/>
  <c r="S107" i="42" s="1"/>
  <c r="R93" i="42"/>
  <c r="R100" i="42" s="1"/>
  <c r="R91" i="42"/>
  <c r="R98" i="42" s="1"/>
  <c r="U51" i="42"/>
  <c r="V44" i="42"/>
  <c r="Q126" i="42"/>
  <c r="Q131" i="42" s="1"/>
  <c r="Q109" i="42"/>
  <c r="Q114" i="42" s="1"/>
  <c r="R66" i="42"/>
  <c r="Q143" i="42"/>
  <c r="Q148" i="42" s="1"/>
  <c r="R70" i="42"/>
  <c r="Q90" i="42"/>
  <c r="Q97" i="42" s="1"/>
  <c r="V68" i="42"/>
  <c r="S54" i="42"/>
  <c r="S190" i="42"/>
  <c r="S195" i="42" s="1"/>
  <c r="S201" i="42" s="1"/>
  <c r="S142" i="42"/>
  <c r="S147" i="42" s="1"/>
  <c r="S152" i="42" s="1"/>
  <c r="S69" i="42"/>
  <c r="S191" i="42" s="1"/>
  <c r="S196" i="42" s="1"/>
  <c r="T67" i="42"/>
  <c r="S166" i="42"/>
  <c r="Q102" i="42"/>
  <c r="Q205" i="42" s="1"/>
  <c r="P211" i="42"/>
  <c r="P214" i="42"/>
  <c r="P218" i="42" s="1"/>
  <c r="Q144" i="42"/>
  <c r="Q149" i="42" s="1"/>
  <c r="Q146" i="42"/>
  <c r="Q151" i="42" s="1"/>
  <c r="V65" i="42"/>
  <c r="U89" i="42"/>
  <c r="U96" i="42" s="1"/>
  <c r="T41" i="42"/>
  <c r="R174" i="42"/>
  <c r="U45" i="42"/>
  <c r="T52" i="42"/>
  <c r="O215" i="41"/>
  <c r="O219" i="41" s="1"/>
  <c r="AD66" i="41"/>
  <c r="AC90" i="41"/>
  <c r="AC97" i="41" s="1"/>
  <c r="R71" i="41"/>
  <c r="Q91" i="41"/>
  <c r="Q98" i="41" s="1"/>
  <c r="T67" i="41"/>
  <c r="S127" i="41"/>
  <c r="S132" i="41" s="1"/>
  <c r="S110" i="41"/>
  <c r="S115" i="41" s="1"/>
  <c r="S144" i="41"/>
  <c r="S149" i="41" s="1"/>
  <c r="Q103" i="41"/>
  <c r="Q206" i="41" s="1"/>
  <c r="O216" i="41"/>
  <c r="T42" i="41"/>
  <c r="R175" i="41"/>
  <c r="Q147" i="41"/>
  <c r="Q152" i="41" s="1"/>
  <c r="Q145" i="41"/>
  <c r="Q150" i="41" s="1"/>
  <c r="Q154" i="41" s="1"/>
  <c r="R92" i="41"/>
  <c r="R99" i="41" s="1"/>
  <c r="R142" i="41"/>
  <c r="R94" i="41"/>
  <c r="R101" i="41" s="1"/>
  <c r="S87" i="41"/>
  <c r="S108" i="41" s="1"/>
  <c r="T44" i="41"/>
  <c r="S51" i="41"/>
  <c r="S48" i="41"/>
  <c r="S54" i="41" s="1"/>
  <c r="S53" i="41"/>
  <c r="T46" i="41"/>
  <c r="T68" i="41"/>
  <c r="S70" i="41"/>
  <c r="S192" i="41" s="1"/>
  <c r="S197" i="41" s="1"/>
  <c r="S167" i="41"/>
  <c r="T88" i="41"/>
  <c r="T95" i="41" s="1"/>
  <c r="T102" i="41" s="1"/>
  <c r="U40" i="41"/>
  <c r="P209" i="41"/>
  <c r="P155" i="41"/>
  <c r="P206" i="41"/>
  <c r="T52" i="41"/>
  <c r="U45" i="41"/>
  <c r="U69" i="41"/>
  <c r="R55" i="41"/>
  <c r="R191" i="41"/>
  <c r="R196" i="41" s="1"/>
  <c r="R202" i="41" s="1"/>
  <c r="R143" i="41"/>
  <c r="R148" i="41" s="1"/>
  <c r="R153" i="41" s="1"/>
  <c r="P154" i="40"/>
  <c r="T86" i="40"/>
  <c r="T107" i="40" s="1"/>
  <c r="S91" i="40"/>
  <c r="S98" i="40" s="1"/>
  <c r="S93" i="40"/>
  <c r="S100" i="40" s="1"/>
  <c r="S141" i="40"/>
  <c r="S144" i="40" s="1"/>
  <c r="S149" i="40" s="1"/>
  <c r="P215" i="40"/>
  <c r="U44" i="40"/>
  <c r="T51" i="40"/>
  <c r="R54" i="40"/>
  <c r="R190" i="40"/>
  <c r="R195" i="40" s="1"/>
  <c r="R201" i="40" s="1"/>
  <c r="R142" i="40"/>
  <c r="R147" i="40" s="1"/>
  <c r="R152" i="40" s="1"/>
  <c r="S47" i="40"/>
  <c r="S53" i="40" s="1"/>
  <c r="T43" i="40"/>
  <c r="S50" i="40"/>
  <c r="P205" i="40"/>
  <c r="P103" i="40"/>
  <c r="T87" i="40"/>
  <c r="T94" i="40" s="1"/>
  <c r="T101" i="40" s="1"/>
  <c r="U39" i="40"/>
  <c r="X65" i="40"/>
  <c r="W89" i="40"/>
  <c r="W96" i="40" s="1"/>
  <c r="Q126" i="40"/>
  <c r="Q131" i="40" s="1"/>
  <c r="Q109" i="40"/>
  <c r="Q114" i="40" s="1"/>
  <c r="R66" i="40"/>
  <c r="Q143" i="40"/>
  <c r="Q148" i="40" s="1"/>
  <c r="Q153" i="40" s="1"/>
  <c r="T59" i="40"/>
  <c r="R70" i="40"/>
  <c r="Q90" i="40"/>
  <c r="Q97" i="40" s="1"/>
  <c r="Q102" i="40"/>
  <c r="Q174" i="40"/>
  <c r="S67" i="40"/>
  <c r="R69" i="40"/>
  <c r="R191" i="40" s="1"/>
  <c r="R196" i="40" s="1"/>
  <c r="R166" i="40"/>
  <c r="T68" i="40"/>
  <c r="T52" i="40"/>
  <c r="U45" i="40"/>
  <c r="O211" i="40"/>
  <c r="O214" i="40"/>
  <c r="O218" i="40" s="1"/>
  <c r="O215" i="40"/>
  <c r="U41" i="40"/>
  <c r="T140" i="40"/>
  <c r="U60" i="40"/>
  <c r="S64" i="38" l="1"/>
  <c r="S66" i="38"/>
  <c r="W106" i="43"/>
  <c r="W106" i="42"/>
  <c r="W107" i="41"/>
  <c r="W106" i="40"/>
  <c r="W106" i="39"/>
  <c r="P208" i="42"/>
  <c r="P215" i="42" s="1"/>
  <c r="T141" i="40"/>
  <c r="T144" i="40" s="1"/>
  <c r="T149" i="40" s="1"/>
  <c r="Q153" i="43"/>
  <c r="Q154" i="43" s="1"/>
  <c r="Q214" i="43"/>
  <c r="Q218" i="43" s="1"/>
  <c r="Q211" i="43"/>
  <c r="P215" i="43"/>
  <c r="V51" i="43"/>
  <c r="W44" i="43"/>
  <c r="R102" i="43"/>
  <c r="R103" i="43" s="1"/>
  <c r="T50" i="43"/>
  <c r="T47" i="43"/>
  <c r="T53" i="43" s="1"/>
  <c r="U43" i="43"/>
  <c r="R144" i="43"/>
  <c r="R149" i="43" s="1"/>
  <c r="R146" i="43"/>
  <c r="R151" i="43" s="1"/>
  <c r="V68" i="43"/>
  <c r="T67" i="43"/>
  <c r="S69" i="43"/>
  <c r="S191" i="43" s="1"/>
  <c r="S196" i="43" s="1"/>
  <c r="S166" i="43"/>
  <c r="AA65" i="43"/>
  <c r="Z89" i="43"/>
  <c r="Z96" i="43" s="1"/>
  <c r="P154" i="43"/>
  <c r="Q103" i="43"/>
  <c r="R126" i="43"/>
  <c r="R131" i="43" s="1"/>
  <c r="R109" i="43"/>
  <c r="R114" i="43" s="1"/>
  <c r="S66" i="43"/>
  <c r="R143" i="43"/>
  <c r="R148" i="43" s="1"/>
  <c r="R174" i="43"/>
  <c r="T87" i="43"/>
  <c r="T94" i="43" s="1"/>
  <c r="T101" i="43" s="1"/>
  <c r="U39" i="43"/>
  <c r="R90" i="43"/>
  <c r="R97" i="43" s="1"/>
  <c r="S70" i="43"/>
  <c r="W45" i="43"/>
  <c r="V52" i="43"/>
  <c r="V41" i="43"/>
  <c r="S141" i="43"/>
  <c r="S91" i="43"/>
  <c r="S98" i="43" s="1"/>
  <c r="S93" i="43"/>
  <c r="S100" i="43" s="1"/>
  <c r="T86" i="43"/>
  <c r="T107" i="43" s="1"/>
  <c r="S54" i="43"/>
  <c r="S142" i="43"/>
  <c r="S147" i="43" s="1"/>
  <c r="S152" i="43" s="1"/>
  <c r="S190" i="43"/>
  <c r="S195" i="43" s="1"/>
  <c r="S201" i="43" s="1"/>
  <c r="Q214" i="42"/>
  <c r="Q218" i="42" s="1"/>
  <c r="Q211" i="42"/>
  <c r="Q153" i="42"/>
  <c r="Q208" i="42" s="1"/>
  <c r="R109" i="42"/>
  <c r="R114" i="42" s="1"/>
  <c r="R126" i="42"/>
  <c r="R131" i="42" s="1"/>
  <c r="S66" i="42"/>
  <c r="R143" i="42"/>
  <c r="R148" i="42" s="1"/>
  <c r="R102" i="42"/>
  <c r="R205" i="42" s="1"/>
  <c r="V45" i="42"/>
  <c r="U52" i="42"/>
  <c r="S141" i="42"/>
  <c r="S93" i="42"/>
  <c r="S100" i="42" s="1"/>
  <c r="S91" i="42"/>
  <c r="S98" i="42" s="1"/>
  <c r="T86" i="42"/>
  <c r="T107" i="42" s="1"/>
  <c r="W65" i="42"/>
  <c r="V89" i="42"/>
  <c r="V96" i="42" s="1"/>
  <c r="U87" i="42"/>
  <c r="U94" i="42" s="1"/>
  <c r="U101" i="42" s="1"/>
  <c r="V39" i="42"/>
  <c r="T69" i="42"/>
  <c r="T191" i="42" s="1"/>
  <c r="T196" i="42" s="1"/>
  <c r="U67" i="42"/>
  <c r="T166" i="42"/>
  <c r="U41" i="42"/>
  <c r="Q103" i="42"/>
  <c r="R90" i="42"/>
  <c r="R97" i="42" s="1"/>
  <c r="S70" i="42"/>
  <c r="W44" i="42"/>
  <c r="V51" i="42"/>
  <c r="U47" i="42"/>
  <c r="U53" i="42" s="1"/>
  <c r="V43" i="42"/>
  <c r="U50" i="42"/>
  <c r="W68" i="42"/>
  <c r="R146" i="42"/>
  <c r="R151" i="42" s="1"/>
  <c r="R144" i="42"/>
  <c r="R149" i="42" s="1"/>
  <c r="S174" i="42"/>
  <c r="T54" i="42"/>
  <c r="T190" i="42"/>
  <c r="T195" i="42" s="1"/>
  <c r="T201" i="42" s="1"/>
  <c r="T142" i="42"/>
  <c r="T147" i="42" s="1"/>
  <c r="T152" i="42" s="1"/>
  <c r="AE66" i="41"/>
  <c r="AD90" i="41"/>
  <c r="AD97" i="41" s="1"/>
  <c r="Q212" i="41"/>
  <c r="Q215" i="41"/>
  <c r="Q219" i="41" s="1"/>
  <c r="T70" i="41"/>
  <c r="T192" i="41" s="1"/>
  <c r="T197" i="41" s="1"/>
  <c r="U68" i="41"/>
  <c r="T167" i="41"/>
  <c r="P216" i="41"/>
  <c r="Q104" i="41"/>
  <c r="T127" i="41"/>
  <c r="T132" i="41" s="1"/>
  <c r="U67" i="41"/>
  <c r="T110" i="41"/>
  <c r="T115" i="41" s="1"/>
  <c r="T144" i="41"/>
  <c r="T149" i="41" s="1"/>
  <c r="S142" i="41"/>
  <c r="S92" i="41"/>
  <c r="S99" i="41" s="1"/>
  <c r="S94" i="41"/>
  <c r="S101" i="41" s="1"/>
  <c r="T87" i="41"/>
  <c r="T108" i="41" s="1"/>
  <c r="U42" i="41"/>
  <c r="S55" i="41"/>
  <c r="S143" i="41"/>
  <c r="S148" i="41" s="1"/>
  <c r="S153" i="41" s="1"/>
  <c r="S191" i="41"/>
  <c r="S196" i="41" s="1"/>
  <c r="S202" i="41" s="1"/>
  <c r="T53" i="41"/>
  <c r="U46" i="41"/>
  <c r="R145" i="41"/>
  <c r="R150" i="41" s="1"/>
  <c r="R154" i="41" s="1"/>
  <c r="R147" i="41"/>
  <c r="R152" i="41" s="1"/>
  <c r="R103" i="41"/>
  <c r="R206" i="41" s="1"/>
  <c r="V40" i="41"/>
  <c r="U88" i="41"/>
  <c r="U95" i="41" s="1"/>
  <c r="U102" i="41" s="1"/>
  <c r="U44" i="41"/>
  <c r="T48" i="41"/>
  <c r="T54" i="41" s="1"/>
  <c r="T51" i="41"/>
  <c r="R91" i="41"/>
  <c r="R98" i="41" s="1"/>
  <c r="S71" i="41"/>
  <c r="Q209" i="41"/>
  <c r="Q155" i="41"/>
  <c r="P212" i="41"/>
  <c r="P215" i="41"/>
  <c r="P219" i="41" s="1"/>
  <c r="V69" i="41"/>
  <c r="U52" i="41"/>
  <c r="V45" i="41"/>
  <c r="S175" i="41"/>
  <c r="S146" i="40"/>
  <c r="S151" i="40" s="1"/>
  <c r="U86" i="40"/>
  <c r="U107" i="40" s="1"/>
  <c r="T91" i="40"/>
  <c r="T98" i="40" s="1"/>
  <c r="T93" i="40"/>
  <c r="T100" i="40" s="1"/>
  <c r="R90" i="40"/>
  <c r="R97" i="40" s="1"/>
  <c r="S70" i="40"/>
  <c r="R102" i="40"/>
  <c r="U87" i="40"/>
  <c r="U94" i="40" s="1"/>
  <c r="U101" i="40" s="1"/>
  <c r="V39" i="40"/>
  <c r="S69" i="40"/>
  <c r="S191" i="40" s="1"/>
  <c r="S196" i="40" s="1"/>
  <c r="T67" i="40"/>
  <c r="S166" i="40"/>
  <c r="S54" i="40"/>
  <c r="S190" i="40"/>
  <c r="S195" i="40" s="1"/>
  <c r="S201" i="40" s="1"/>
  <c r="S142" i="40"/>
  <c r="S147" i="40" s="1"/>
  <c r="S152" i="40" s="1"/>
  <c r="U59" i="40"/>
  <c r="Q154" i="40"/>
  <c r="Q208" i="40"/>
  <c r="R126" i="40"/>
  <c r="R131" i="40" s="1"/>
  <c r="R109" i="40"/>
  <c r="R114" i="40" s="1"/>
  <c r="S66" i="40"/>
  <c r="R143" i="40"/>
  <c r="R148" i="40" s="1"/>
  <c r="R153" i="40" s="1"/>
  <c r="P211" i="40"/>
  <c r="P214" i="40"/>
  <c r="P218" i="40" s="1"/>
  <c r="U43" i="40"/>
  <c r="T50" i="40"/>
  <c r="T47" i="40"/>
  <c r="T53" i="40" s="1"/>
  <c r="Y65" i="40"/>
  <c r="X89" i="40"/>
  <c r="X96" i="40" s="1"/>
  <c r="U140" i="40"/>
  <c r="V60" i="40"/>
  <c r="U52" i="40"/>
  <c r="V45" i="40"/>
  <c r="V44" i="40"/>
  <c r="U51" i="40"/>
  <c r="Q205" i="40"/>
  <c r="Q103" i="40"/>
  <c r="R174" i="40"/>
  <c r="V41" i="40"/>
  <c r="U68" i="40"/>
  <c r="T64" i="38" l="1"/>
  <c r="T66" i="38"/>
  <c r="X106" i="43"/>
  <c r="X106" i="42"/>
  <c r="X107" i="41"/>
  <c r="X106" i="40"/>
  <c r="X106" i="39"/>
  <c r="Q208" i="43"/>
  <c r="Q215" i="43" s="1"/>
  <c r="R103" i="42"/>
  <c r="T146" i="40"/>
  <c r="T151" i="40" s="1"/>
  <c r="R153" i="43"/>
  <c r="R208" i="43" s="1"/>
  <c r="R205" i="43"/>
  <c r="R214" i="43" s="1"/>
  <c r="R218" i="43" s="1"/>
  <c r="T54" i="43"/>
  <c r="T142" i="43"/>
  <c r="T147" i="43" s="1"/>
  <c r="T152" i="43" s="1"/>
  <c r="T190" i="43"/>
  <c r="T195" i="43" s="1"/>
  <c r="T201" i="43" s="1"/>
  <c r="S109" i="43"/>
  <c r="S114" i="43" s="1"/>
  <c r="S126" i="43"/>
  <c r="S131" i="43" s="1"/>
  <c r="T66" i="43"/>
  <c r="S143" i="43"/>
  <c r="S148" i="43" s="1"/>
  <c r="T70" i="43"/>
  <c r="S90" i="43"/>
  <c r="S97" i="43" s="1"/>
  <c r="S174" i="43"/>
  <c r="X45" i="43"/>
  <c r="W52" i="43"/>
  <c r="T69" i="43"/>
  <c r="T191" i="43" s="1"/>
  <c r="T196" i="43" s="1"/>
  <c r="U67" i="43"/>
  <c r="T166" i="43"/>
  <c r="W51" i="43"/>
  <c r="X44" i="43"/>
  <c r="W68" i="43"/>
  <c r="W41" i="43"/>
  <c r="U87" i="43"/>
  <c r="U94" i="43" s="1"/>
  <c r="U101" i="43" s="1"/>
  <c r="V39" i="43"/>
  <c r="AB65" i="43"/>
  <c r="AA89" i="43"/>
  <c r="AA96" i="43" s="1"/>
  <c r="S102" i="43"/>
  <c r="S103" i="43" s="1"/>
  <c r="U50" i="43"/>
  <c r="V43" i="43"/>
  <c r="U47" i="43"/>
  <c r="U53" i="43" s="1"/>
  <c r="T141" i="43"/>
  <c r="T93" i="43"/>
  <c r="T100" i="43" s="1"/>
  <c r="U86" i="43"/>
  <c r="U107" i="43" s="1"/>
  <c r="T91" i="43"/>
  <c r="T98" i="43" s="1"/>
  <c r="S146" i="43"/>
  <c r="S151" i="43" s="1"/>
  <c r="S144" i="43"/>
  <c r="S149" i="43" s="1"/>
  <c r="Q215" i="42"/>
  <c r="X65" i="42"/>
  <c r="W89" i="42"/>
  <c r="W96" i="42" s="1"/>
  <c r="R214" i="42"/>
  <c r="R218" i="42" s="1"/>
  <c r="R211" i="42"/>
  <c r="V41" i="42"/>
  <c r="W45" i="42"/>
  <c r="V52" i="42"/>
  <c r="S90" i="42"/>
  <c r="S97" i="42" s="1"/>
  <c r="T70" i="42"/>
  <c r="X44" i="42"/>
  <c r="W51" i="42"/>
  <c r="T174" i="42"/>
  <c r="S144" i="42"/>
  <c r="S149" i="42" s="1"/>
  <c r="S146" i="42"/>
  <c r="S151" i="42" s="1"/>
  <c r="R153" i="42"/>
  <c r="R208" i="42" s="1"/>
  <c r="S126" i="42"/>
  <c r="S131" i="42" s="1"/>
  <c r="T66" i="42"/>
  <c r="S109" i="42"/>
  <c r="S114" i="42" s="1"/>
  <c r="S143" i="42"/>
  <c r="S148" i="42" s="1"/>
  <c r="W43" i="42"/>
  <c r="V47" i="42"/>
  <c r="V53" i="42" s="1"/>
  <c r="V50" i="42"/>
  <c r="X68" i="42"/>
  <c r="S102" i="42"/>
  <c r="S205" i="42" s="1"/>
  <c r="V87" i="42"/>
  <c r="V94" i="42" s="1"/>
  <c r="V101" i="42" s="1"/>
  <c r="W39" i="42"/>
  <c r="U69" i="42"/>
  <c r="U191" i="42" s="1"/>
  <c r="U196" i="42" s="1"/>
  <c r="V67" i="42"/>
  <c r="U166" i="42"/>
  <c r="Q154" i="42"/>
  <c r="T141" i="42"/>
  <c r="U86" i="42"/>
  <c r="U107" i="42" s="1"/>
  <c r="T91" i="42"/>
  <c r="T98" i="42" s="1"/>
  <c r="T93" i="42"/>
  <c r="T100" i="42" s="1"/>
  <c r="U54" i="42"/>
  <c r="U190" i="42"/>
  <c r="U195" i="42" s="1"/>
  <c r="U201" i="42" s="1"/>
  <c r="U142" i="42"/>
  <c r="U147" i="42" s="1"/>
  <c r="U152" i="42" s="1"/>
  <c r="AF66" i="41"/>
  <c r="AE90" i="41"/>
  <c r="AE97" i="41" s="1"/>
  <c r="R104" i="41"/>
  <c r="W69" i="41"/>
  <c r="T175" i="41"/>
  <c r="U70" i="41"/>
  <c r="U192" i="41" s="1"/>
  <c r="U197" i="41" s="1"/>
  <c r="V68" i="41"/>
  <c r="U167" i="41"/>
  <c r="U53" i="41"/>
  <c r="V46" i="41"/>
  <c r="V52" i="41"/>
  <c r="W45" i="41"/>
  <c r="W40" i="41"/>
  <c r="V88" i="41"/>
  <c r="V95" i="41" s="1"/>
  <c r="V102" i="41" s="1"/>
  <c r="S103" i="41"/>
  <c r="S206" i="41" s="1"/>
  <c r="T55" i="41"/>
  <c r="T191" i="41"/>
  <c r="T196" i="41" s="1"/>
  <c r="T202" i="41" s="1"/>
  <c r="T143" i="41"/>
  <c r="T148" i="41" s="1"/>
  <c r="T153" i="41" s="1"/>
  <c r="R212" i="41"/>
  <c r="R215" i="41"/>
  <c r="R219" i="41" s="1"/>
  <c r="V44" i="41"/>
  <c r="U51" i="41"/>
  <c r="U48" i="41"/>
  <c r="U54" i="41" s="1"/>
  <c r="Q216" i="41"/>
  <c r="S145" i="41"/>
  <c r="S150" i="41" s="1"/>
  <c r="S154" i="41" s="1"/>
  <c r="S147" i="41"/>
  <c r="S152" i="41" s="1"/>
  <c r="U127" i="41"/>
  <c r="U132" i="41" s="1"/>
  <c r="U110" i="41"/>
  <c r="U115" i="41" s="1"/>
  <c r="V67" i="41"/>
  <c r="U144" i="41"/>
  <c r="U149" i="41" s="1"/>
  <c r="T142" i="41"/>
  <c r="T92" i="41"/>
  <c r="T99" i="41" s="1"/>
  <c r="T94" i="41"/>
  <c r="T101" i="41" s="1"/>
  <c r="U87" i="41"/>
  <c r="U108" i="41" s="1"/>
  <c r="S91" i="41"/>
  <c r="S98" i="41" s="1"/>
  <c r="T71" i="41"/>
  <c r="R209" i="41"/>
  <c r="R155" i="41"/>
  <c r="V42" i="41"/>
  <c r="U141" i="40"/>
  <c r="U144" i="40" s="1"/>
  <c r="U149" i="40" s="1"/>
  <c r="U93" i="40"/>
  <c r="U100" i="40" s="1"/>
  <c r="V86" i="40"/>
  <c r="V107" i="40" s="1"/>
  <c r="U91" i="40"/>
  <c r="U98" i="40" s="1"/>
  <c r="V59" i="40"/>
  <c r="W44" i="40"/>
  <c r="V51" i="40"/>
  <c r="V87" i="40"/>
  <c r="V94" i="40" s="1"/>
  <c r="V101" i="40" s="1"/>
  <c r="W39" i="40"/>
  <c r="T69" i="40"/>
  <c r="T191" i="40" s="1"/>
  <c r="T196" i="40" s="1"/>
  <c r="U67" i="40"/>
  <c r="T166" i="40"/>
  <c r="Z65" i="40"/>
  <c r="Y89" i="40"/>
  <c r="Y96" i="40" s="1"/>
  <c r="R208" i="40"/>
  <c r="R154" i="40"/>
  <c r="R103" i="40"/>
  <c r="R205" i="40"/>
  <c r="S126" i="40"/>
  <c r="S131" i="40" s="1"/>
  <c r="S109" i="40"/>
  <c r="S114" i="40" s="1"/>
  <c r="T66" i="40"/>
  <c r="S143" i="40"/>
  <c r="S148" i="40" s="1"/>
  <c r="S153" i="40" s="1"/>
  <c r="S208" i="40" s="1"/>
  <c r="S90" i="40"/>
  <c r="S97" i="40" s="1"/>
  <c r="T70" i="40"/>
  <c r="S102" i="40"/>
  <c r="T54" i="40"/>
  <c r="T190" i="40"/>
  <c r="T195" i="40" s="1"/>
  <c r="T201" i="40" s="1"/>
  <c r="T142" i="40"/>
  <c r="T147" i="40" s="1"/>
  <c r="T152" i="40" s="1"/>
  <c r="S174" i="40"/>
  <c r="V68" i="40"/>
  <c r="U50" i="40"/>
  <c r="V43" i="40"/>
  <c r="U47" i="40"/>
  <c r="U53" i="40" s="1"/>
  <c r="W41" i="40"/>
  <c r="Q214" i="40"/>
  <c r="Q218" i="40" s="1"/>
  <c r="Q211" i="40"/>
  <c r="V140" i="40"/>
  <c r="W60" i="40"/>
  <c r="V52" i="40"/>
  <c r="W45" i="40"/>
  <c r="Q215" i="40"/>
  <c r="U64" i="38" l="1"/>
  <c r="U66" i="38"/>
  <c r="R211" i="43"/>
  <c r="Y106" i="43"/>
  <c r="Y106" i="42"/>
  <c r="Y107" i="41"/>
  <c r="Y106" i="40"/>
  <c r="Y106" i="39"/>
  <c r="R154" i="43"/>
  <c r="V141" i="40"/>
  <c r="V144" i="40" s="1"/>
  <c r="V149" i="40" s="1"/>
  <c r="S205" i="43"/>
  <c r="S214" i="43" s="1"/>
  <c r="S218" i="43" s="1"/>
  <c r="S153" i="43"/>
  <c r="S154" i="43" s="1"/>
  <c r="U54" i="43"/>
  <c r="U142" i="43"/>
  <c r="U147" i="43" s="1"/>
  <c r="U152" i="43" s="1"/>
  <c r="U190" i="43"/>
  <c r="U195" i="43" s="1"/>
  <c r="U201" i="43" s="1"/>
  <c r="W43" i="43"/>
  <c r="V50" i="43"/>
  <c r="V47" i="43"/>
  <c r="V53" i="43" s="1"/>
  <c r="X51" i="43"/>
  <c r="Y44" i="43"/>
  <c r="T126" i="43"/>
  <c r="T131" i="43" s="1"/>
  <c r="U66" i="43"/>
  <c r="T109" i="43"/>
  <c r="T114" i="43" s="1"/>
  <c r="T143" i="43"/>
  <c r="T148" i="43" s="1"/>
  <c r="X52" i="43"/>
  <c r="Y45" i="43"/>
  <c r="R215" i="43"/>
  <c r="U69" i="43"/>
  <c r="U191" i="43" s="1"/>
  <c r="U196" i="43" s="1"/>
  <c r="V67" i="43"/>
  <c r="U166" i="43"/>
  <c r="U141" i="43"/>
  <c r="V86" i="43"/>
  <c r="V107" i="43" s="1"/>
  <c r="U93" i="43"/>
  <c r="U100" i="43" s="1"/>
  <c r="U91" i="43"/>
  <c r="U98" i="43" s="1"/>
  <c r="T90" i="43"/>
  <c r="T97" i="43" s="1"/>
  <c r="U70" i="43"/>
  <c r="X68" i="43"/>
  <c r="X41" i="43"/>
  <c r="T144" i="43"/>
  <c r="T149" i="43" s="1"/>
  <c r="T146" i="43"/>
  <c r="T151" i="43" s="1"/>
  <c r="T102" i="43"/>
  <c r="T103" i="43" s="1"/>
  <c r="AC65" i="43"/>
  <c r="AB89" i="43"/>
  <c r="AB96" i="43" s="1"/>
  <c r="V87" i="43"/>
  <c r="V94" i="43" s="1"/>
  <c r="V101" i="43" s="1"/>
  <c r="W39" i="43"/>
  <c r="T174" i="43"/>
  <c r="R154" i="42"/>
  <c r="S103" i="42"/>
  <c r="S153" i="42"/>
  <c r="S208" i="42" s="1"/>
  <c r="T102" i="42"/>
  <c r="T103" i="42" s="1"/>
  <c r="R215" i="42"/>
  <c r="U141" i="42"/>
  <c r="V86" i="42"/>
  <c r="V107" i="42" s="1"/>
  <c r="U91" i="42"/>
  <c r="U98" i="42" s="1"/>
  <c r="U93" i="42"/>
  <c r="U100" i="42" s="1"/>
  <c r="T126" i="42"/>
  <c r="T131" i="42" s="1"/>
  <c r="T109" i="42"/>
  <c r="T114" i="42" s="1"/>
  <c r="U66" i="42"/>
  <c r="T143" i="42"/>
  <c r="T148" i="42" s="1"/>
  <c r="T146" i="42"/>
  <c r="T151" i="42" s="1"/>
  <c r="T144" i="42"/>
  <c r="T149" i="42" s="1"/>
  <c r="X51" i="42"/>
  <c r="Y44" i="42"/>
  <c r="W87" i="42"/>
  <c r="W94" i="42" s="1"/>
  <c r="W101" i="42" s="1"/>
  <c r="X39" i="42"/>
  <c r="W41" i="42"/>
  <c r="Y65" i="42"/>
  <c r="X89" i="42"/>
  <c r="X96" i="42" s="1"/>
  <c r="U70" i="42"/>
  <c r="T90" i="42"/>
  <c r="T97" i="42" s="1"/>
  <c r="U174" i="42"/>
  <c r="V54" i="42"/>
  <c r="V142" i="42"/>
  <c r="V147" i="42" s="1"/>
  <c r="V152" i="42" s="1"/>
  <c r="V190" i="42"/>
  <c r="V195" i="42" s="1"/>
  <c r="V201" i="42" s="1"/>
  <c r="W67" i="42"/>
  <c r="V69" i="42"/>
  <c r="V191" i="42" s="1"/>
  <c r="V196" i="42" s="1"/>
  <c r="V166" i="42"/>
  <c r="Y68" i="42"/>
  <c r="S214" i="42"/>
  <c r="S218" i="42" s="1"/>
  <c r="S211" i="42"/>
  <c r="X43" i="42"/>
  <c r="W47" i="42"/>
  <c r="W53" i="42" s="1"/>
  <c r="W50" i="42"/>
  <c r="X45" i="42"/>
  <c r="W52" i="42"/>
  <c r="AG66" i="41"/>
  <c r="AG90" i="41" s="1"/>
  <c r="AG97" i="41" s="1"/>
  <c r="AF90" i="41"/>
  <c r="AF97" i="41" s="1"/>
  <c r="S215" i="41"/>
  <c r="S219" i="41" s="1"/>
  <c r="S212" i="41"/>
  <c r="V70" i="41"/>
  <c r="V192" i="41" s="1"/>
  <c r="V197" i="41" s="1"/>
  <c r="W68" i="41"/>
  <c r="V167" i="41"/>
  <c r="U175" i="41"/>
  <c r="X40" i="41"/>
  <c r="W88" i="41"/>
  <c r="W95" i="41" s="1"/>
  <c r="W102" i="41" s="1"/>
  <c r="V110" i="41"/>
  <c r="V115" i="41" s="1"/>
  <c r="V127" i="41"/>
  <c r="V132" i="41" s="1"/>
  <c r="W67" i="41"/>
  <c r="V144" i="41"/>
  <c r="V149" i="41" s="1"/>
  <c r="U55" i="41"/>
  <c r="U143" i="41"/>
  <c r="U148" i="41" s="1"/>
  <c r="U153" i="41" s="1"/>
  <c r="U191" i="41"/>
  <c r="U196" i="41" s="1"/>
  <c r="U202" i="41" s="1"/>
  <c r="S209" i="41"/>
  <c r="S155" i="41"/>
  <c r="W44" i="41"/>
  <c r="V51" i="41"/>
  <c r="V48" i="41"/>
  <c r="V54" i="41" s="1"/>
  <c r="S104" i="41"/>
  <c r="X69" i="41"/>
  <c r="W52" i="41"/>
  <c r="X45" i="41"/>
  <c r="U142" i="41"/>
  <c r="V87" i="41"/>
  <c r="V108" i="41" s="1"/>
  <c r="U94" i="41"/>
  <c r="U101" i="41" s="1"/>
  <c r="U92" i="41"/>
  <c r="U99" i="41" s="1"/>
  <c r="T145" i="41"/>
  <c r="T150" i="41" s="1"/>
  <c r="T154" i="41" s="1"/>
  <c r="T147" i="41"/>
  <c r="T152" i="41" s="1"/>
  <c r="R216" i="41"/>
  <c r="W46" i="41"/>
  <c r="V53" i="41"/>
  <c r="T91" i="41"/>
  <c r="T98" i="41" s="1"/>
  <c r="U71" i="41"/>
  <c r="W42" i="41"/>
  <c r="T103" i="41"/>
  <c r="T206" i="41" s="1"/>
  <c r="U146" i="40"/>
  <c r="U151" i="40" s="1"/>
  <c r="W86" i="40"/>
  <c r="W107" i="40" s="1"/>
  <c r="V93" i="40"/>
  <c r="V100" i="40" s="1"/>
  <c r="V91" i="40"/>
  <c r="V98" i="40" s="1"/>
  <c r="S154" i="40"/>
  <c r="S215" i="40"/>
  <c r="X41" i="40"/>
  <c r="T126" i="40"/>
  <c r="T131" i="40" s="1"/>
  <c r="U66" i="40"/>
  <c r="T109" i="40"/>
  <c r="T114" i="40" s="1"/>
  <c r="T143" i="40"/>
  <c r="T148" i="40" s="1"/>
  <c r="T153" i="40" s="1"/>
  <c r="W59" i="40"/>
  <c r="AA65" i="40"/>
  <c r="Z89" i="40"/>
  <c r="Z96" i="40" s="1"/>
  <c r="W51" i="40"/>
  <c r="X44" i="40"/>
  <c r="W140" i="40"/>
  <c r="X60" i="40"/>
  <c r="R214" i="40"/>
  <c r="R218" i="40" s="1"/>
  <c r="R211" i="40"/>
  <c r="T174" i="40"/>
  <c r="W52" i="40"/>
  <c r="X45" i="40"/>
  <c r="S103" i="40"/>
  <c r="S205" i="40"/>
  <c r="U69" i="40"/>
  <c r="U191" i="40" s="1"/>
  <c r="U196" i="40" s="1"/>
  <c r="V67" i="40"/>
  <c r="U166" i="40"/>
  <c r="V47" i="40"/>
  <c r="V53" i="40" s="1"/>
  <c r="W43" i="40"/>
  <c r="V50" i="40"/>
  <c r="T90" i="40"/>
  <c r="T97" i="40" s="1"/>
  <c r="U70" i="40"/>
  <c r="T102" i="40"/>
  <c r="U54" i="40"/>
  <c r="U190" i="40"/>
  <c r="U195" i="40" s="1"/>
  <c r="U201" i="40" s="1"/>
  <c r="U142" i="40"/>
  <c r="U147" i="40" s="1"/>
  <c r="U152" i="40" s="1"/>
  <c r="X39" i="40"/>
  <c r="W87" i="40"/>
  <c r="W94" i="40" s="1"/>
  <c r="W101" i="40" s="1"/>
  <c r="W68" i="40"/>
  <c r="R215" i="40"/>
  <c r="V64" i="38" l="1"/>
  <c r="V66" i="38"/>
  <c r="Z106" i="43"/>
  <c r="Z106" i="42"/>
  <c r="Z107" i="41"/>
  <c r="Z106" i="40"/>
  <c r="Z106" i="39"/>
  <c r="V146" i="40"/>
  <c r="V151" i="40" s="1"/>
  <c r="W141" i="40"/>
  <c r="W144" i="40" s="1"/>
  <c r="W149" i="40" s="1"/>
  <c r="T205" i="43"/>
  <c r="T214" i="43" s="1"/>
  <c r="T218" i="43" s="1"/>
  <c r="S208" i="43"/>
  <c r="S215" i="43" s="1"/>
  <c r="S211" i="43"/>
  <c r="U174" i="43"/>
  <c r="V70" i="43"/>
  <c r="U90" i="43"/>
  <c r="U97" i="43" s="1"/>
  <c r="U102" i="43"/>
  <c r="U205" i="43" s="1"/>
  <c r="Z44" i="43"/>
  <c r="Y51" i="43"/>
  <c r="AD65" i="43"/>
  <c r="AC89" i="43"/>
  <c r="AC96" i="43" s="1"/>
  <c r="Z45" i="43"/>
  <c r="Y52" i="43"/>
  <c r="V54" i="43"/>
  <c r="V142" i="43"/>
  <c r="V147" i="43" s="1"/>
  <c r="V152" i="43" s="1"/>
  <c r="V190" i="43"/>
  <c r="V195" i="43" s="1"/>
  <c r="V201" i="43" s="1"/>
  <c r="U126" i="43"/>
  <c r="U131" i="43" s="1"/>
  <c r="U109" i="43"/>
  <c r="U114" i="43" s="1"/>
  <c r="V66" i="43"/>
  <c r="U143" i="43"/>
  <c r="U148" i="43" s="1"/>
  <c r="Y41" i="43"/>
  <c r="V141" i="43"/>
  <c r="V91" i="43"/>
  <c r="V98" i="43" s="1"/>
  <c r="V93" i="43"/>
  <c r="V100" i="43" s="1"/>
  <c r="W86" i="43"/>
  <c r="X43" i="43"/>
  <c r="W47" i="43"/>
  <c r="W53" i="43" s="1"/>
  <c r="W50" i="43"/>
  <c r="U146" i="43"/>
  <c r="U151" i="43" s="1"/>
  <c r="U144" i="43"/>
  <c r="U149" i="43" s="1"/>
  <c r="Y68" i="43"/>
  <c r="T153" i="43"/>
  <c r="T208" i="43" s="1"/>
  <c r="V69" i="43"/>
  <c r="V191" i="43" s="1"/>
  <c r="V196" i="43" s="1"/>
  <c r="W67" i="43"/>
  <c r="V166" i="43"/>
  <c r="W87" i="43"/>
  <c r="W94" i="43" s="1"/>
  <c r="W101" i="43" s="1"/>
  <c r="X39" i="43"/>
  <c r="T205" i="42"/>
  <c r="T211" i="42" s="1"/>
  <c r="S154" i="42"/>
  <c r="X41" i="42"/>
  <c r="Y51" i="42"/>
  <c r="Z44" i="42"/>
  <c r="Z68" i="42"/>
  <c r="S215" i="42"/>
  <c r="X52" i="42"/>
  <c r="Y45" i="42"/>
  <c r="W54" i="42"/>
  <c r="W190" i="42"/>
  <c r="W195" i="42" s="1"/>
  <c r="W201" i="42" s="1"/>
  <c r="W142" i="42"/>
  <c r="W147" i="42" s="1"/>
  <c r="W152" i="42" s="1"/>
  <c r="Y43" i="42"/>
  <c r="X47" i="42"/>
  <c r="X53" i="42" s="1"/>
  <c r="X50" i="42"/>
  <c r="V174" i="42"/>
  <c r="U102" i="42"/>
  <c r="U205" i="42" s="1"/>
  <c r="U90" i="42"/>
  <c r="U97" i="42" s="1"/>
  <c r="V70" i="42"/>
  <c r="U146" i="42"/>
  <c r="U151" i="42" s="1"/>
  <c r="U144" i="42"/>
  <c r="U149" i="42" s="1"/>
  <c r="X67" i="42"/>
  <c r="W69" i="42"/>
  <c r="W191" i="42" s="1"/>
  <c r="W196" i="42" s="1"/>
  <c r="W166" i="42"/>
  <c r="Z65" i="42"/>
  <c r="Y89" i="42"/>
  <c r="Y96" i="42" s="1"/>
  <c r="T153" i="42"/>
  <c r="T208" i="42" s="1"/>
  <c r="V141" i="42"/>
  <c r="W86" i="42"/>
  <c r="V91" i="42"/>
  <c r="V98" i="42" s="1"/>
  <c r="V93" i="42"/>
  <c r="V100" i="42" s="1"/>
  <c r="X87" i="42"/>
  <c r="X94" i="42" s="1"/>
  <c r="X101" i="42" s="1"/>
  <c r="Y39" i="42"/>
  <c r="U126" i="42"/>
  <c r="U131" i="42" s="1"/>
  <c r="U109" i="42"/>
  <c r="U114" i="42" s="1"/>
  <c r="V66" i="42"/>
  <c r="U143" i="42"/>
  <c r="U148" i="42" s="1"/>
  <c r="T215" i="41"/>
  <c r="T219" i="41" s="1"/>
  <c r="T212" i="41"/>
  <c r="Y40" i="41"/>
  <c r="X88" i="41"/>
  <c r="X95" i="41" s="1"/>
  <c r="X102" i="41" s="1"/>
  <c r="T209" i="41"/>
  <c r="T155" i="41"/>
  <c r="U103" i="41"/>
  <c r="U206" i="41" s="1"/>
  <c r="S216" i="41"/>
  <c r="X42" i="41"/>
  <c r="T104" i="41"/>
  <c r="U91" i="41"/>
  <c r="U98" i="41" s="1"/>
  <c r="V71" i="41"/>
  <c r="W127" i="41"/>
  <c r="W132" i="41" s="1"/>
  <c r="W110" i="41"/>
  <c r="W115" i="41" s="1"/>
  <c r="X67" i="41"/>
  <c r="W144" i="41"/>
  <c r="W149" i="41" s="1"/>
  <c r="V55" i="41"/>
  <c r="V143" i="41"/>
  <c r="V148" i="41" s="1"/>
  <c r="V153" i="41" s="1"/>
  <c r="V191" i="41"/>
  <c r="V196" i="41" s="1"/>
  <c r="V202" i="41" s="1"/>
  <c r="U145" i="41"/>
  <c r="U150" i="41" s="1"/>
  <c r="U154" i="41" s="1"/>
  <c r="U147" i="41"/>
  <c r="U152" i="41" s="1"/>
  <c r="X52" i="41"/>
  <c r="Y45" i="41"/>
  <c r="V142" i="41"/>
  <c r="V94" i="41"/>
  <c r="V101" i="41" s="1"/>
  <c r="W87" i="41"/>
  <c r="V92" i="41"/>
  <c r="V99" i="41" s="1"/>
  <c r="X44" i="41"/>
  <c r="W51" i="41"/>
  <c r="W48" i="41"/>
  <c r="W54" i="41" s="1"/>
  <c r="Y69" i="41"/>
  <c r="V175" i="41"/>
  <c r="X46" i="41"/>
  <c r="W53" i="41"/>
  <c r="W70" i="41"/>
  <c r="W192" i="41" s="1"/>
  <c r="W197" i="41" s="1"/>
  <c r="X68" i="41"/>
  <c r="W167" i="41"/>
  <c r="W93" i="40"/>
  <c r="W100" i="40" s="1"/>
  <c r="W91" i="40"/>
  <c r="W98" i="40" s="1"/>
  <c r="X86" i="40"/>
  <c r="X107" i="40" s="1"/>
  <c r="T208" i="40"/>
  <c r="T154" i="40"/>
  <c r="X43" i="40"/>
  <c r="W50" i="40"/>
  <c r="W47" i="40"/>
  <c r="W53" i="40" s="1"/>
  <c r="T103" i="40"/>
  <c r="T205" i="40"/>
  <c r="U90" i="40"/>
  <c r="U97" i="40" s="1"/>
  <c r="V70" i="40"/>
  <c r="U102" i="40"/>
  <c r="S214" i="40"/>
  <c r="S218" i="40" s="1"/>
  <c r="S211" i="40"/>
  <c r="Y39" i="40"/>
  <c r="X87" i="40"/>
  <c r="X94" i="40" s="1"/>
  <c r="X101" i="40" s="1"/>
  <c r="U126" i="40"/>
  <c r="U131" i="40" s="1"/>
  <c r="U109" i="40"/>
  <c r="U114" i="40" s="1"/>
  <c r="V66" i="40"/>
  <c r="U143" i="40"/>
  <c r="U148" i="40" s="1"/>
  <c r="U153" i="40" s="1"/>
  <c r="V54" i="40"/>
  <c r="V190" i="40"/>
  <c r="V195" i="40" s="1"/>
  <c r="V201" i="40" s="1"/>
  <c r="V142" i="40"/>
  <c r="V147" i="40" s="1"/>
  <c r="V152" i="40" s="1"/>
  <c r="X51" i="40"/>
  <c r="Y44" i="40"/>
  <c r="AB65" i="40"/>
  <c r="AA89" i="40"/>
  <c r="AA96" i="40" s="1"/>
  <c r="X52" i="40"/>
  <c r="Y45" i="40"/>
  <c r="X59" i="40"/>
  <c r="Y41" i="40"/>
  <c r="V69" i="40"/>
  <c r="V191" i="40" s="1"/>
  <c r="V196" i="40" s="1"/>
  <c r="W67" i="40"/>
  <c r="V166" i="40"/>
  <c r="X140" i="40"/>
  <c r="Y60" i="40"/>
  <c r="U174" i="40"/>
  <c r="X68" i="40"/>
  <c r="W64" i="38" l="1"/>
  <c r="W66" i="38"/>
  <c r="W107" i="43"/>
  <c r="W108" i="41"/>
  <c r="W107" i="42"/>
  <c r="AA106" i="43"/>
  <c r="AA106" i="42"/>
  <c r="AA107" i="41"/>
  <c r="AA106" i="40"/>
  <c r="AA106" i="39"/>
  <c r="T211" i="43"/>
  <c r="W146" i="40"/>
  <c r="W151" i="40" s="1"/>
  <c r="X141" i="40"/>
  <c r="X146" i="40" s="1"/>
  <c r="X151" i="40" s="1"/>
  <c r="U153" i="43"/>
  <c r="U208" i="43" s="1"/>
  <c r="U103" i="42"/>
  <c r="U103" i="43"/>
  <c r="T215" i="43"/>
  <c r="X67" i="43"/>
  <c r="W69" i="43"/>
  <c r="W191" i="43" s="1"/>
  <c r="W196" i="43" s="1"/>
  <c r="W166" i="43"/>
  <c r="W54" i="43"/>
  <c r="W142" i="43"/>
  <c r="W147" i="43" s="1"/>
  <c r="W152" i="43" s="1"/>
  <c r="W190" i="43"/>
  <c r="W195" i="43" s="1"/>
  <c r="W201" i="43" s="1"/>
  <c r="T154" i="43"/>
  <c r="U214" i="43"/>
  <c r="U218" i="43" s="1"/>
  <c r="U211" i="43"/>
  <c r="V90" i="43"/>
  <c r="V97" i="43" s="1"/>
  <c r="W70" i="43"/>
  <c r="Y43" i="43"/>
  <c r="X47" i="43"/>
  <c r="X53" i="43" s="1"/>
  <c r="X50" i="43"/>
  <c r="AE65" i="43"/>
  <c r="AD89" i="43"/>
  <c r="AD96" i="43" s="1"/>
  <c r="V174" i="43"/>
  <c r="AA45" i="43"/>
  <c r="Z52" i="43"/>
  <c r="W141" i="43"/>
  <c r="W91" i="43"/>
  <c r="W98" i="43" s="1"/>
  <c r="W93" i="43"/>
  <c r="W100" i="43" s="1"/>
  <c r="X86" i="43"/>
  <c r="X107" i="43" s="1"/>
  <c r="Z51" i="43"/>
  <c r="AA44" i="43"/>
  <c r="AA51" i="43" s="1"/>
  <c r="V126" i="43"/>
  <c r="V131" i="43" s="1"/>
  <c r="V109" i="43"/>
  <c r="V114" i="43" s="1"/>
  <c r="W66" i="43"/>
  <c r="V143" i="43"/>
  <c r="V148" i="43" s="1"/>
  <c r="V102" i="43"/>
  <c r="V205" i="43" s="1"/>
  <c r="Z41" i="43"/>
  <c r="Z68" i="43"/>
  <c r="Y39" i="43"/>
  <c r="X87" i="43"/>
  <c r="X94" i="43" s="1"/>
  <c r="X101" i="43" s="1"/>
  <c r="V146" i="43"/>
  <c r="V151" i="43" s="1"/>
  <c r="V144" i="43"/>
  <c r="V149" i="43" s="1"/>
  <c r="T214" i="42"/>
  <c r="T218" i="42" s="1"/>
  <c r="T215" i="42"/>
  <c r="V102" i="42"/>
  <c r="V205" i="42" s="1"/>
  <c r="Z51" i="42"/>
  <c r="AA44" i="42"/>
  <c r="AA51" i="42" s="1"/>
  <c r="AA65" i="42"/>
  <c r="Z89" i="42"/>
  <c r="Z96" i="42" s="1"/>
  <c r="W141" i="42"/>
  <c r="W93" i="42"/>
  <c r="W100" i="42" s="1"/>
  <c r="W91" i="42"/>
  <c r="W98" i="42" s="1"/>
  <c r="X86" i="42"/>
  <c r="X107" i="42" s="1"/>
  <c r="U214" i="42"/>
  <c r="U218" i="42" s="1"/>
  <c r="U211" i="42"/>
  <c r="U153" i="42"/>
  <c r="U208" i="42" s="1"/>
  <c r="V146" i="42"/>
  <c r="V151" i="42" s="1"/>
  <c r="V144" i="42"/>
  <c r="V149" i="42" s="1"/>
  <c r="W174" i="42"/>
  <c r="W70" i="42"/>
  <c r="V90" i="42"/>
  <c r="V97" i="42" s="1"/>
  <c r="X54" i="42"/>
  <c r="X190" i="42"/>
  <c r="X195" i="42" s="1"/>
  <c r="X201" i="42" s="1"/>
  <c r="X142" i="42"/>
  <c r="X147" i="42" s="1"/>
  <c r="X152" i="42" s="1"/>
  <c r="V109" i="42"/>
  <c r="V114" i="42" s="1"/>
  <c r="W66" i="42"/>
  <c r="V126" i="42"/>
  <c r="V131" i="42" s="1"/>
  <c r="V143" i="42"/>
  <c r="V148" i="42" s="1"/>
  <c r="Y41" i="42"/>
  <c r="T154" i="42"/>
  <c r="X69" i="42"/>
  <c r="X191" i="42" s="1"/>
  <c r="X196" i="42" s="1"/>
  <c r="Y67" i="42"/>
  <c r="X166" i="42"/>
  <c r="AA68" i="42"/>
  <c r="Z43" i="42"/>
  <c r="Y47" i="42"/>
  <c r="Y53" i="42" s="1"/>
  <c r="Y50" i="42"/>
  <c r="Y87" i="42"/>
  <c r="Y94" i="42" s="1"/>
  <c r="Y101" i="42" s="1"/>
  <c r="Z39" i="42"/>
  <c r="Z45" i="42"/>
  <c r="Y52" i="42"/>
  <c r="U104" i="41"/>
  <c r="U215" i="41"/>
  <c r="U219" i="41" s="1"/>
  <c r="U212" i="41"/>
  <c r="Z40" i="41"/>
  <c r="Y88" i="41"/>
  <c r="Y95" i="41" s="1"/>
  <c r="Y102" i="41" s="1"/>
  <c r="W55" i="41"/>
  <c r="W143" i="41"/>
  <c r="W148" i="41" s="1"/>
  <c r="W153" i="41" s="1"/>
  <c r="W191" i="41"/>
  <c r="W196" i="41" s="1"/>
  <c r="W202" i="41" s="1"/>
  <c r="U209" i="41"/>
  <c r="U155" i="41"/>
  <c r="V91" i="41"/>
  <c r="V98" i="41" s="1"/>
  <c r="W71" i="41"/>
  <c r="Y44" i="41"/>
  <c r="X51" i="41"/>
  <c r="X48" i="41"/>
  <c r="X54" i="41" s="1"/>
  <c r="Y52" i="41"/>
  <c r="Z45" i="41"/>
  <c r="Z69" i="41"/>
  <c r="V103" i="41"/>
  <c r="V206" i="41" s="1"/>
  <c r="W142" i="41"/>
  <c r="W94" i="41"/>
  <c r="W101" i="41" s="1"/>
  <c r="X87" i="41"/>
  <c r="X108" i="41" s="1"/>
  <c r="W92" i="41"/>
  <c r="W99" i="41" s="1"/>
  <c r="X110" i="41"/>
  <c r="X115" i="41" s="1"/>
  <c r="X127" i="41"/>
  <c r="X132" i="41" s="1"/>
  <c r="Y67" i="41"/>
  <c r="X144" i="41"/>
  <c r="X149" i="41" s="1"/>
  <c r="Y42" i="41"/>
  <c r="T216" i="41"/>
  <c r="W175" i="41"/>
  <c r="X70" i="41"/>
  <c r="X192" i="41" s="1"/>
  <c r="X197" i="41" s="1"/>
  <c r="Y68" i="41"/>
  <c r="X167" i="41"/>
  <c r="Y46" i="41"/>
  <c r="X53" i="41"/>
  <c r="V145" i="41"/>
  <c r="V150" i="41" s="1"/>
  <c r="V154" i="41" s="1"/>
  <c r="V147" i="41"/>
  <c r="V152" i="41" s="1"/>
  <c r="X93" i="40"/>
  <c r="X100" i="40" s="1"/>
  <c r="X91" i="40"/>
  <c r="X98" i="40" s="1"/>
  <c r="Y86" i="40"/>
  <c r="Y107" i="40" s="1"/>
  <c r="T215" i="40"/>
  <c r="Y43" i="40"/>
  <c r="X50" i="40"/>
  <c r="X47" i="40"/>
  <c r="X53" i="40" s="1"/>
  <c r="Z45" i="40"/>
  <c r="Y52" i="40"/>
  <c r="Y140" i="40"/>
  <c r="Z60" i="40"/>
  <c r="W54" i="40"/>
  <c r="W190" i="40"/>
  <c r="W195" i="40" s="1"/>
  <c r="W201" i="40" s="1"/>
  <c r="W142" i="40"/>
  <c r="W147" i="40" s="1"/>
  <c r="W152" i="40" s="1"/>
  <c r="U208" i="40"/>
  <c r="U154" i="40"/>
  <c r="U205" i="40"/>
  <c r="U103" i="40"/>
  <c r="Y51" i="40"/>
  <c r="Z44" i="40"/>
  <c r="Z39" i="40"/>
  <c r="Y87" i="40"/>
  <c r="Y94" i="40" s="1"/>
  <c r="Y101" i="40" s="1"/>
  <c r="V109" i="40"/>
  <c r="V114" i="40" s="1"/>
  <c r="V126" i="40"/>
  <c r="V131" i="40" s="1"/>
  <c r="W66" i="40"/>
  <c r="V143" i="40"/>
  <c r="V148" i="40" s="1"/>
  <c r="V153" i="40" s="1"/>
  <c r="V154" i="40" s="1"/>
  <c r="V90" i="40"/>
  <c r="V97" i="40" s="1"/>
  <c r="W70" i="40"/>
  <c r="V102" i="40"/>
  <c r="V174" i="40"/>
  <c r="Y59" i="40"/>
  <c r="Y68" i="40"/>
  <c r="W69" i="40"/>
  <c r="W191" i="40" s="1"/>
  <c r="W196" i="40" s="1"/>
  <c r="X67" i="40"/>
  <c r="W166" i="40"/>
  <c r="T214" i="40"/>
  <c r="T218" i="40" s="1"/>
  <c r="T211" i="40"/>
  <c r="Z41" i="40"/>
  <c r="AC65" i="40"/>
  <c r="AB89" i="40"/>
  <c r="AB96" i="40" s="1"/>
  <c r="X64" i="38" l="1"/>
  <c r="X66" i="38"/>
  <c r="AB106" i="43"/>
  <c r="AB106" i="42"/>
  <c r="AB107" i="41"/>
  <c r="AB106" i="40"/>
  <c r="AB106" i="39"/>
  <c r="X144" i="40"/>
  <c r="X149" i="40" s="1"/>
  <c r="U154" i="43"/>
  <c r="Y141" i="40"/>
  <c r="Y146" i="40" s="1"/>
  <c r="Y151" i="40" s="1"/>
  <c r="V103" i="43"/>
  <c r="V153" i="43"/>
  <c r="V208" i="43" s="1"/>
  <c r="V214" i="43"/>
  <c r="V218" i="43" s="1"/>
  <c r="V211" i="43"/>
  <c r="AB45" i="43"/>
  <c r="AA52" i="43"/>
  <c r="X141" i="43"/>
  <c r="X91" i="43"/>
  <c r="X98" i="43" s="1"/>
  <c r="X93" i="43"/>
  <c r="X100" i="43" s="1"/>
  <c r="Y86" i="43"/>
  <c r="Y107" i="43" s="1"/>
  <c r="AA41" i="43"/>
  <c r="W109" i="43"/>
  <c r="W114" i="43" s="1"/>
  <c r="W126" i="43"/>
  <c r="W131" i="43" s="1"/>
  <c r="X66" i="43"/>
  <c r="W143" i="43"/>
  <c r="W148" i="43" s="1"/>
  <c r="W102" i="43"/>
  <c r="W205" i="43" s="1"/>
  <c r="AF65" i="43"/>
  <c r="AE89" i="43"/>
  <c r="AE96" i="43" s="1"/>
  <c r="W146" i="43"/>
  <c r="W151" i="43" s="1"/>
  <c r="W144" i="43"/>
  <c r="W149" i="43" s="1"/>
  <c r="X54" i="43"/>
  <c r="X142" i="43"/>
  <c r="X147" i="43" s="1"/>
  <c r="X152" i="43" s="1"/>
  <c r="X190" i="43"/>
  <c r="X195" i="43" s="1"/>
  <c r="X201" i="43" s="1"/>
  <c r="W174" i="43"/>
  <c r="AA68" i="43"/>
  <c r="U215" i="43"/>
  <c r="W90" i="43"/>
  <c r="W97" i="43" s="1"/>
  <c r="X70" i="43"/>
  <c r="Y50" i="43"/>
  <c r="Z43" i="43"/>
  <c r="Y47" i="43"/>
  <c r="Y53" i="43" s="1"/>
  <c r="Y67" i="43"/>
  <c r="X69" i="43"/>
  <c r="X191" i="43" s="1"/>
  <c r="X196" i="43" s="1"/>
  <c r="X166" i="43"/>
  <c r="Y87" i="43"/>
  <c r="Y94" i="43" s="1"/>
  <c r="Y101" i="43" s="1"/>
  <c r="Z39" i="43"/>
  <c r="U154" i="42"/>
  <c r="V153" i="42"/>
  <c r="V208" i="42" s="1"/>
  <c r="V214" i="42"/>
  <c r="V218" i="42" s="1"/>
  <c r="V211" i="42"/>
  <c r="Y69" i="42"/>
  <c r="Y191" i="42" s="1"/>
  <c r="Y196" i="42" s="1"/>
  <c r="Z67" i="42"/>
  <c r="Y166" i="42"/>
  <c r="Z41" i="42"/>
  <c r="W90" i="42"/>
  <c r="W97" i="42" s="1"/>
  <c r="X70" i="42"/>
  <c r="X141" i="42"/>
  <c r="X91" i="42"/>
  <c r="X98" i="42" s="1"/>
  <c r="X93" i="42"/>
  <c r="X100" i="42" s="1"/>
  <c r="Y86" i="42"/>
  <c r="Y107" i="42" s="1"/>
  <c r="X174" i="42"/>
  <c r="W102" i="42"/>
  <c r="W205" i="42" s="1"/>
  <c r="Z50" i="42"/>
  <c r="Z47" i="42"/>
  <c r="Z53" i="42" s="1"/>
  <c r="AA43" i="42"/>
  <c r="U215" i="42"/>
  <c r="Z52" i="42"/>
  <c r="AA45" i="42"/>
  <c r="V103" i="42"/>
  <c r="AB65" i="42"/>
  <c r="AA89" i="42"/>
  <c r="AA96" i="42" s="1"/>
  <c r="W126" i="42"/>
  <c r="W131" i="42" s="1"/>
  <c r="X66" i="42"/>
  <c r="W109" i="42"/>
  <c r="W114" i="42" s="1"/>
  <c r="W143" i="42"/>
  <c r="W148" i="42" s="1"/>
  <c r="Z87" i="42"/>
  <c r="Z94" i="42" s="1"/>
  <c r="Z101" i="42" s="1"/>
  <c r="AA39" i="42"/>
  <c r="AB68" i="42"/>
  <c r="W146" i="42"/>
  <c r="W151" i="42" s="1"/>
  <c r="W144" i="42"/>
  <c r="W149" i="42" s="1"/>
  <c r="Y54" i="42"/>
  <c r="Y190" i="42"/>
  <c r="Y195" i="42" s="1"/>
  <c r="Y201" i="42" s="1"/>
  <c r="Y142" i="42"/>
  <c r="Y147" i="42" s="1"/>
  <c r="Y152" i="42" s="1"/>
  <c r="V104" i="41"/>
  <c r="V212" i="41"/>
  <c r="V215" i="41"/>
  <c r="V219" i="41" s="1"/>
  <c r="AA40" i="41"/>
  <c r="Z88" i="41"/>
  <c r="Z95" i="41" s="1"/>
  <c r="Z102" i="41" s="1"/>
  <c r="V209" i="41"/>
  <c r="V155" i="41"/>
  <c r="X55" i="41"/>
  <c r="X143" i="41"/>
  <c r="X148" i="41" s="1"/>
  <c r="X153" i="41" s="1"/>
  <c r="X191" i="41"/>
  <c r="X196" i="41" s="1"/>
  <c r="X202" i="41" s="1"/>
  <c r="AA45" i="41"/>
  <c r="AA52" i="41" s="1"/>
  <c r="Z52" i="41"/>
  <c r="X175" i="41"/>
  <c r="Y127" i="41"/>
  <c r="Y132" i="41" s="1"/>
  <c r="Y110" i="41"/>
  <c r="Y115" i="41" s="1"/>
  <c r="Z67" i="41"/>
  <c r="Y144" i="41"/>
  <c r="Y149" i="41" s="1"/>
  <c r="Z44" i="41"/>
  <c r="Y51" i="41"/>
  <c r="Y48" i="41"/>
  <c r="Y54" i="41" s="1"/>
  <c r="X142" i="41"/>
  <c r="Y87" i="41"/>
  <c r="Y108" i="41" s="1"/>
  <c r="X94" i="41"/>
  <c r="X101" i="41" s="1"/>
  <c r="X92" i="41"/>
  <c r="X99" i="41" s="1"/>
  <c r="Z42" i="41"/>
  <c r="AA69" i="41"/>
  <c r="Z46" i="41"/>
  <c r="Y53" i="41"/>
  <c r="W145" i="41"/>
  <c r="W150" i="41" s="1"/>
  <c r="W154" i="41" s="1"/>
  <c r="W147" i="41"/>
  <c r="W152" i="41" s="1"/>
  <c r="W91" i="41"/>
  <c r="W98" i="41" s="1"/>
  <c r="X71" i="41"/>
  <c r="W103" i="41"/>
  <c r="W206" i="41" s="1"/>
  <c r="Y70" i="41"/>
  <c r="Y192" i="41" s="1"/>
  <c r="Y197" i="41" s="1"/>
  <c r="Z68" i="41"/>
  <c r="Y167" i="41"/>
  <c r="U216" i="41"/>
  <c r="Y93" i="40"/>
  <c r="Y100" i="40" s="1"/>
  <c r="Y91" i="40"/>
  <c r="Y98" i="40" s="1"/>
  <c r="Z86" i="40"/>
  <c r="Z107" i="40" s="1"/>
  <c r="V208" i="40"/>
  <c r="V215" i="40" s="1"/>
  <c r="V205" i="40"/>
  <c r="V103" i="40"/>
  <c r="U214" i="40"/>
  <c r="U218" i="40" s="1"/>
  <c r="U211" i="40"/>
  <c r="W90" i="40"/>
  <c r="W97" i="40" s="1"/>
  <c r="X70" i="40"/>
  <c r="W102" i="40"/>
  <c r="Z140" i="40"/>
  <c r="AA60" i="40"/>
  <c r="Z68" i="40"/>
  <c r="U215" i="40"/>
  <c r="W174" i="40"/>
  <c r="W126" i="40"/>
  <c r="W131" i="40" s="1"/>
  <c r="W109" i="40"/>
  <c r="W114" i="40" s="1"/>
  <c r="X66" i="40"/>
  <c r="W143" i="40"/>
  <c r="W148" i="40" s="1"/>
  <c r="W153" i="40" s="1"/>
  <c r="W154" i="40" s="1"/>
  <c r="Z59" i="40"/>
  <c r="AD65" i="40"/>
  <c r="AC89" i="40"/>
  <c r="AC96" i="40" s="1"/>
  <c r="X69" i="40"/>
  <c r="X191" i="40" s="1"/>
  <c r="X196" i="40" s="1"/>
  <c r="Y67" i="40"/>
  <c r="X166" i="40"/>
  <c r="AA45" i="40"/>
  <c r="Z52" i="40"/>
  <c r="Z87" i="40"/>
  <c r="Z94" i="40" s="1"/>
  <c r="Z101" i="40" s="1"/>
  <c r="AA39" i="40"/>
  <c r="Y50" i="40"/>
  <c r="Z43" i="40"/>
  <c r="Y47" i="40"/>
  <c r="Y53" i="40" s="1"/>
  <c r="AA41" i="40"/>
  <c r="Z51" i="40"/>
  <c r="AA44" i="40"/>
  <c r="AA51" i="40" s="1"/>
  <c r="X54" i="40"/>
  <c r="X190" i="40"/>
  <c r="X195" i="40" s="1"/>
  <c r="X201" i="40" s="1"/>
  <c r="X142" i="40"/>
  <c r="X147" i="40" s="1"/>
  <c r="X152" i="40" s="1"/>
  <c r="Y64" i="38" l="1"/>
  <c r="Y66" i="38"/>
  <c r="AC106" i="43"/>
  <c r="AC106" i="42"/>
  <c r="AC107" i="41"/>
  <c r="AC106" i="40"/>
  <c r="AC106" i="39"/>
  <c r="Y144" i="40"/>
  <c r="Y149" i="40" s="1"/>
  <c r="W153" i="42"/>
  <c r="W154" i="42" s="1"/>
  <c r="V154" i="42"/>
  <c r="Z141" i="40"/>
  <c r="Z144" i="40" s="1"/>
  <c r="Z149" i="40" s="1"/>
  <c r="W153" i="43"/>
  <c r="W208" i="43" s="1"/>
  <c r="V154" i="43"/>
  <c r="W214" i="43"/>
  <c r="W218" i="43" s="1"/>
  <c r="W211" i="43"/>
  <c r="V215" i="43"/>
  <c r="X146" i="43"/>
  <c r="X151" i="43" s="1"/>
  <c r="X144" i="43"/>
  <c r="X149" i="43" s="1"/>
  <c r="X102" i="43"/>
  <c r="X205" i="43" s="1"/>
  <c r="Y54" i="43"/>
  <c r="Y142" i="43"/>
  <c r="Y147" i="43" s="1"/>
  <c r="Y152" i="43" s="1"/>
  <c r="Y190" i="43"/>
  <c r="Y195" i="43" s="1"/>
  <c r="Y201" i="43" s="1"/>
  <c r="Z87" i="43"/>
  <c r="Z94" i="43" s="1"/>
  <c r="Z101" i="43" s="1"/>
  <c r="AA39" i="43"/>
  <c r="Y70" i="43"/>
  <c r="X90" i="43"/>
  <c r="X97" i="43" s="1"/>
  <c r="W103" i="43"/>
  <c r="AC45" i="43"/>
  <c r="AB52" i="43"/>
  <c r="AB68" i="43"/>
  <c r="X174" i="43"/>
  <c r="X109" i="43"/>
  <c r="X114" i="43" s="1"/>
  <c r="X126" i="43"/>
  <c r="X131" i="43" s="1"/>
  <c r="Y66" i="43"/>
  <c r="X143" i="43"/>
  <c r="X148" i="43" s="1"/>
  <c r="Y69" i="43"/>
  <c r="Y191" i="43" s="1"/>
  <c r="Y196" i="43" s="1"/>
  <c r="Z67" i="43"/>
  <c r="Y166" i="43"/>
  <c r="AG65" i="43"/>
  <c r="AG89" i="43" s="1"/>
  <c r="AG96" i="43" s="1"/>
  <c r="AF89" i="43"/>
  <c r="AF96" i="43" s="1"/>
  <c r="Z50" i="43"/>
  <c r="Z47" i="43"/>
  <c r="Z53" i="43" s="1"/>
  <c r="AA43" i="43"/>
  <c r="AB41" i="43"/>
  <c r="Y141" i="43"/>
  <c r="Z86" i="43"/>
  <c r="Z107" i="43" s="1"/>
  <c r="Y93" i="43"/>
  <c r="Y100" i="43" s="1"/>
  <c r="Y91" i="43"/>
  <c r="Y98" i="43" s="1"/>
  <c r="W103" i="42"/>
  <c r="W214" i="42"/>
  <c r="W218" i="42" s="1"/>
  <c r="W211" i="42"/>
  <c r="V215" i="42"/>
  <c r="AA47" i="42"/>
  <c r="AA53" i="42" s="1"/>
  <c r="AA50" i="42"/>
  <c r="AB43" i="42"/>
  <c r="Y141" i="42"/>
  <c r="Z86" i="42"/>
  <c r="Z107" i="42" s="1"/>
  <c r="Y93" i="42"/>
  <c r="Y100" i="42" s="1"/>
  <c r="Y91" i="42"/>
  <c r="Y98" i="42" s="1"/>
  <c r="X126" i="42"/>
  <c r="X131" i="42" s="1"/>
  <c r="X109" i="42"/>
  <c r="X114" i="42" s="1"/>
  <c r="Y66" i="42"/>
  <c r="X143" i="42"/>
  <c r="X148" i="42" s="1"/>
  <c r="AA87" i="42"/>
  <c r="AA94" i="42" s="1"/>
  <c r="AA101" i="42" s="1"/>
  <c r="AB39" i="42"/>
  <c r="AA52" i="42"/>
  <c r="AB45" i="42"/>
  <c r="Z54" i="42"/>
  <c r="Z190" i="42"/>
  <c r="Z195" i="42" s="1"/>
  <c r="Z201" i="42" s="1"/>
  <c r="Z142" i="42"/>
  <c r="Z147" i="42" s="1"/>
  <c r="Z152" i="42" s="1"/>
  <c r="X102" i="42"/>
  <c r="X103" i="42" s="1"/>
  <c r="X146" i="42"/>
  <c r="X151" i="42" s="1"/>
  <c r="X144" i="42"/>
  <c r="X149" i="42" s="1"/>
  <c r="Y174" i="42"/>
  <c r="AA41" i="42"/>
  <c r="AC68" i="42"/>
  <c r="AC65" i="42"/>
  <c r="AB89" i="42"/>
  <c r="AB96" i="42" s="1"/>
  <c r="AA67" i="42"/>
  <c r="Z69" i="42"/>
  <c r="Z191" i="42" s="1"/>
  <c r="Z196" i="42" s="1"/>
  <c r="Z166" i="42"/>
  <c r="Y70" i="42"/>
  <c r="X90" i="42"/>
  <c r="X97" i="42" s="1"/>
  <c r="W212" i="41"/>
  <c r="W215" i="41"/>
  <c r="W219" i="41" s="1"/>
  <c r="AA68" i="41"/>
  <c r="Z70" i="41"/>
  <c r="Z192" i="41" s="1"/>
  <c r="Z197" i="41" s="1"/>
  <c r="Z167" i="41"/>
  <c r="AA88" i="41"/>
  <c r="AA95" i="41" s="1"/>
  <c r="AA102" i="41" s="1"/>
  <c r="AB40" i="41"/>
  <c r="X103" i="41"/>
  <c r="X206" i="41" s="1"/>
  <c r="Y175" i="41"/>
  <c r="AB69" i="41"/>
  <c r="Y55" i="41"/>
  <c r="Y143" i="41"/>
  <c r="Y148" i="41" s="1"/>
  <c r="Y153" i="41" s="1"/>
  <c r="Y191" i="41"/>
  <c r="Y196" i="41" s="1"/>
  <c r="Y202" i="41" s="1"/>
  <c r="Y142" i="41"/>
  <c r="Y94" i="41"/>
  <c r="Y101" i="41" s="1"/>
  <c r="Z87" i="41"/>
  <c r="Z108" i="41" s="1"/>
  <c r="Y92" i="41"/>
  <c r="Y99" i="41" s="1"/>
  <c r="Z51" i="41"/>
  <c r="Z48" i="41"/>
  <c r="Z54" i="41" s="1"/>
  <c r="AA44" i="41"/>
  <c r="X91" i="41"/>
  <c r="X98" i="41" s="1"/>
  <c r="Y71" i="41"/>
  <c r="AA42" i="41"/>
  <c r="V216" i="41"/>
  <c r="X145" i="41"/>
  <c r="X150" i="41" s="1"/>
  <c r="X154" i="41" s="1"/>
  <c r="X147" i="41"/>
  <c r="X152" i="41" s="1"/>
  <c r="Z53" i="41"/>
  <c r="AA46" i="41"/>
  <c r="W104" i="41"/>
  <c r="Z127" i="41"/>
  <c r="Z132" i="41" s="1"/>
  <c r="AA67" i="41"/>
  <c r="Z110" i="41"/>
  <c r="Z115" i="41" s="1"/>
  <c r="Z144" i="41"/>
  <c r="Z149" i="41" s="1"/>
  <c r="W209" i="41"/>
  <c r="W155" i="41"/>
  <c r="Z93" i="40"/>
  <c r="Z100" i="40" s="1"/>
  <c r="Z91" i="40"/>
  <c r="Z98" i="40" s="1"/>
  <c r="AA86" i="40"/>
  <c r="AA107" i="40" s="1"/>
  <c r="W208" i="40"/>
  <c r="AA87" i="40"/>
  <c r="AA94" i="40" s="1"/>
  <c r="AA101" i="40" s="1"/>
  <c r="AB39" i="40"/>
  <c r="X90" i="40"/>
  <c r="X97" i="40" s="1"/>
  <c r="Y70" i="40"/>
  <c r="X102" i="40"/>
  <c r="AA59" i="40"/>
  <c r="Y69" i="40"/>
  <c r="Y191" i="40" s="1"/>
  <c r="Y196" i="40" s="1"/>
  <c r="Z67" i="40"/>
  <c r="Y166" i="40"/>
  <c r="AE65" i="40"/>
  <c r="AD89" i="40"/>
  <c r="AD96" i="40" s="1"/>
  <c r="V214" i="40"/>
  <c r="V218" i="40" s="1"/>
  <c r="V211" i="40"/>
  <c r="Y54" i="40"/>
  <c r="Y190" i="40"/>
  <c r="Y195" i="40" s="1"/>
  <c r="Y201" i="40" s="1"/>
  <c r="Y142" i="40"/>
  <c r="Y147" i="40" s="1"/>
  <c r="Y152" i="40" s="1"/>
  <c r="W205" i="40"/>
  <c r="W103" i="40"/>
  <c r="AB41" i="40"/>
  <c r="AB45" i="40"/>
  <c r="AA52" i="40"/>
  <c r="AA68" i="40"/>
  <c r="X109" i="40"/>
  <c r="X114" i="40" s="1"/>
  <c r="X126" i="40"/>
  <c r="X131" i="40" s="1"/>
  <c r="Y66" i="40"/>
  <c r="X143" i="40"/>
  <c r="X148" i="40" s="1"/>
  <c r="X153" i="40" s="1"/>
  <c r="X208" i="40" s="1"/>
  <c r="AA140" i="40"/>
  <c r="AB60" i="40"/>
  <c r="Z50" i="40"/>
  <c r="Z47" i="40"/>
  <c r="Z53" i="40" s="1"/>
  <c r="AA43" i="40"/>
  <c r="X174" i="40"/>
  <c r="Z64" i="38" l="1"/>
  <c r="Z66" i="38"/>
  <c r="W208" i="42"/>
  <c r="AD106" i="43"/>
  <c r="AD106" i="42"/>
  <c r="AD107" i="41"/>
  <c r="AD106" i="40"/>
  <c r="AD106" i="39"/>
  <c r="Z146" i="40"/>
  <c r="Z151" i="40" s="1"/>
  <c r="X154" i="40"/>
  <c r="W215" i="40"/>
  <c r="AA141" i="40"/>
  <c r="AA146" i="40" s="1"/>
  <c r="AA151" i="40" s="1"/>
  <c r="W154" i="43"/>
  <c r="X214" i="43"/>
  <c r="X218" i="43" s="1"/>
  <c r="X211" i="43"/>
  <c r="Z141" i="43"/>
  <c r="Z93" i="43"/>
  <c r="Z100" i="43" s="1"/>
  <c r="AA86" i="43"/>
  <c r="AA107" i="43" s="1"/>
  <c r="Z91" i="43"/>
  <c r="Z98" i="43" s="1"/>
  <c r="Y146" i="43"/>
  <c r="Y151" i="43" s="1"/>
  <c r="Y144" i="43"/>
  <c r="Y149" i="43" s="1"/>
  <c r="Y174" i="43"/>
  <c r="X103" i="43"/>
  <c r="Z70" i="43"/>
  <c r="Y90" i="43"/>
  <c r="Y97" i="43" s="1"/>
  <c r="AA87" i="43"/>
  <c r="AA94" i="43" s="1"/>
  <c r="AA101" i="43" s="1"/>
  <c r="AB39" i="43"/>
  <c r="AA67" i="43"/>
  <c r="Z69" i="43"/>
  <c r="Z191" i="43" s="1"/>
  <c r="Z196" i="43" s="1"/>
  <c r="Z166" i="43"/>
  <c r="AC41" i="43"/>
  <c r="AA47" i="43"/>
  <c r="AA53" i="43" s="1"/>
  <c r="AB43" i="43"/>
  <c r="AA50" i="43"/>
  <c r="W215" i="43"/>
  <c r="AC68" i="43"/>
  <c r="Z54" i="43"/>
  <c r="Z190" i="43"/>
  <c r="Z195" i="43" s="1"/>
  <c r="Z201" i="43" s="1"/>
  <c r="Z142" i="43"/>
  <c r="Z147" i="43" s="1"/>
  <c r="Z152" i="43" s="1"/>
  <c r="Y102" i="43"/>
  <c r="Y205" i="43" s="1"/>
  <c r="X153" i="43"/>
  <c r="X154" i="43" s="1"/>
  <c r="AD45" i="43"/>
  <c r="AC52" i="43"/>
  <c r="Y109" i="43"/>
  <c r="Y114" i="43" s="1"/>
  <c r="Y126" i="43"/>
  <c r="Y131" i="43" s="1"/>
  <c r="Z66" i="43"/>
  <c r="Y143" i="43"/>
  <c r="Y148" i="43" s="1"/>
  <c r="X153" i="42"/>
  <c r="X208" i="42" s="1"/>
  <c r="X205" i="42"/>
  <c r="X211" i="42" s="1"/>
  <c r="Z174" i="42"/>
  <c r="Y102" i="42"/>
  <c r="Y103" i="42" s="1"/>
  <c r="AB87" i="42"/>
  <c r="AB94" i="42" s="1"/>
  <c r="AB101" i="42" s="1"/>
  <c r="AC39" i="42"/>
  <c r="Z141" i="42"/>
  <c r="Z91" i="42"/>
  <c r="Z98" i="42" s="1"/>
  <c r="Z93" i="42"/>
  <c r="Z100" i="42" s="1"/>
  <c r="AA86" i="42"/>
  <c r="AA107" i="42" s="1"/>
  <c r="AD68" i="42"/>
  <c r="AD65" i="42"/>
  <c r="AC89" i="42"/>
  <c r="AC96" i="42" s="1"/>
  <c r="Y146" i="42"/>
  <c r="Y151" i="42" s="1"/>
  <c r="Y144" i="42"/>
  <c r="Y149" i="42" s="1"/>
  <c r="Y126" i="42"/>
  <c r="Y131" i="42" s="1"/>
  <c r="Y109" i="42"/>
  <c r="Y114" i="42" s="1"/>
  <c r="Z66" i="42"/>
  <c r="Y143" i="42"/>
  <c r="Y148" i="42" s="1"/>
  <c r="AB50" i="42"/>
  <c r="AB47" i="42"/>
  <c r="AB53" i="42" s="1"/>
  <c r="AB44" i="42"/>
  <c r="AB51" i="42" s="1"/>
  <c r="AC43" i="42"/>
  <c r="Y90" i="42"/>
  <c r="Y97" i="42" s="1"/>
  <c r="Z70" i="42"/>
  <c r="AA54" i="42"/>
  <c r="AA190" i="42"/>
  <c r="AA195" i="42" s="1"/>
  <c r="AA201" i="42" s="1"/>
  <c r="AA142" i="42"/>
  <c r="AA147" i="42" s="1"/>
  <c r="AA152" i="42" s="1"/>
  <c r="AA69" i="42"/>
  <c r="AA191" i="42" s="1"/>
  <c r="AA196" i="42" s="1"/>
  <c r="AB67" i="42"/>
  <c r="AA166" i="42"/>
  <c r="AB41" i="42"/>
  <c r="AC45" i="42"/>
  <c r="AB52" i="42"/>
  <c r="X104" i="41"/>
  <c r="X215" i="41"/>
  <c r="X219" i="41" s="1"/>
  <c r="X212" i="41"/>
  <c r="AA127" i="41"/>
  <c r="AA132" i="41" s="1"/>
  <c r="AA110" i="41"/>
  <c r="AA115" i="41" s="1"/>
  <c r="AB67" i="41"/>
  <c r="AA144" i="41"/>
  <c r="AA149" i="41" s="1"/>
  <c r="AC69" i="41"/>
  <c r="Y91" i="41"/>
  <c r="Y98" i="41" s="1"/>
  <c r="Z71" i="41"/>
  <c r="Y147" i="41"/>
  <c r="Y152" i="41" s="1"/>
  <c r="Y145" i="41"/>
  <c r="Y150" i="41" s="1"/>
  <c r="Y154" i="41" s="1"/>
  <c r="AB42" i="41"/>
  <c r="W216" i="41"/>
  <c r="AA53" i="41"/>
  <c r="AB46" i="41"/>
  <c r="Z175" i="41"/>
  <c r="Z55" i="41"/>
  <c r="Z191" i="41"/>
  <c r="Z196" i="41" s="1"/>
  <c r="Z202" i="41" s="1"/>
  <c r="Z143" i="41"/>
  <c r="Z148" i="41" s="1"/>
  <c r="Z153" i="41" s="1"/>
  <c r="AA70" i="41"/>
  <c r="AA192" i="41" s="1"/>
  <c r="AA197" i="41" s="1"/>
  <c r="AB68" i="41"/>
  <c r="AA167" i="41"/>
  <c r="Z142" i="41"/>
  <c r="Z94" i="41"/>
  <c r="Z101" i="41" s="1"/>
  <c r="AA87" i="41"/>
  <c r="AA108" i="41" s="1"/>
  <c r="Z92" i="41"/>
  <c r="Z99" i="41" s="1"/>
  <c r="X209" i="41"/>
  <c r="X155" i="41"/>
  <c r="AA48" i="41"/>
  <c r="AA54" i="41" s="1"/>
  <c r="AB44" i="41"/>
  <c r="AA51" i="41"/>
  <c r="AB88" i="41"/>
  <c r="AB95" i="41" s="1"/>
  <c r="AB102" i="41" s="1"/>
  <c r="AC40" i="41"/>
  <c r="Y103" i="41"/>
  <c r="Y206" i="41" s="1"/>
  <c r="AB86" i="40"/>
  <c r="AB107" i="40" s="1"/>
  <c r="AA93" i="40"/>
  <c r="AA100" i="40" s="1"/>
  <c r="AA91" i="40"/>
  <c r="AA98" i="40" s="1"/>
  <c r="X215" i="40"/>
  <c r="Z54" i="40"/>
  <c r="Z190" i="40"/>
  <c r="Z195" i="40" s="1"/>
  <c r="Z201" i="40" s="1"/>
  <c r="Z142" i="40"/>
  <c r="Z147" i="40" s="1"/>
  <c r="Z152" i="40" s="1"/>
  <c r="AB140" i="40"/>
  <c r="AC60" i="40"/>
  <c r="AB87" i="40"/>
  <c r="AB94" i="40" s="1"/>
  <c r="AB101" i="40" s="1"/>
  <c r="AC39" i="40"/>
  <c r="W211" i="40"/>
  <c r="W214" i="40"/>
  <c r="W218" i="40" s="1"/>
  <c r="AB68" i="40"/>
  <c r="Y90" i="40"/>
  <c r="Y97" i="40" s="1"/>
  <c r="Z70" i="40"/>
  <c r="Y102" i="40"/>
  <c r="AF65" i="40"/>
  <c r="AE89" i="40"/>
  <c r="AE96" i="40" s="1"/>
  <c r="AB59" i="40"/>
  <c r="AC45" i="40"/>
  <c r="AB52" i="40"/>
  <c r="Y109" i="40"/>
  <c r="Y114" i="40" s="1"/>
  <c r="Y126" i="40"/>
  <c r="Y131" i="40" s="1"/>
  <c r="Z66" i="40"/>
  <c r="Y143" i="40"/>
  <c r="Y148" i="40" s="1"/>
  <c r="Y153" i="40" s="1"/>
  <c r="Y154" i="40" s="1"/>
  <c r="X205" i="40"/>
  <c r="X103" i="40"/>
  <c r="Y174" i="40"/>
  <c r="AA47" i="40"/>
  <c r="AA53" i="40" s="1"/>
  <c r="AA50" i="40"/>
  <c r="AB43" i="40"/>
  <c r="AC41" i="40"/>
  <c r="Z69" i="40"/>
  <c r="Z191" i="40" s="1"/>
  <c r="Z196" i="40" s="1"/>
  <c r="AA67" i="40"/>
  <c r="Z166" i="40"/>
  <c r="AA64" i="38" l="1"/>
  <c r="AA66" i="38"/>
  <c r="W215" i="42"/>
  <c r="AE106" i="43"/>
  <c r="AE106" i="42"/>
  <c r="AE107" i="41"/>
  <c r="AE106" i="40"/>
  <c r="AE106" i="39"/>
  <c r="AA144" i="40"/>
  <c r="AA149" i="40" s="1"/>
  <c r="Y205" i="42"/>
  <c r="Y214" i="42" s="1"/>
  <c r="Y218" i="42" s="1"/>
  <c r="AB141" i="40"/>
  <c r="AB138" i="40" s="1"/>
  <c r="X154" i="42"/>
  <c r="X214" i="42"/>
  <c r="X218" i="42" s="1"/>
  <c r="Y103" i="43"/>
  <c r="X208" i="43"/>
  <c r="X215" i="43" s="1"/>
  <c r="AA69" i="43"/>
  <c r="AA191" i="43" s="1"/>
  <c r="AA196" i="43" s="1"/>
  <c r="AB67" i="43"/>
  <c r="AA166" i="43"/>
  <c r="AA70" i="43"/>
  <c r="Z90" i="43"/>
  <c r="Z97" i="43" s="1"/>
  <c r="Z102" i="43"/>
  <c r="Z205" i="43" s="1"/>
  <c r="AA141" i="43"/>
  <c r="AA91" i="43"/>
  <c r="AA98" i="43" s="1"/>
  <c r="AA93" i="43"/>
  <c r="AA100" i="43" s="1"/>
  <c r="AB86" i="43"/>
  <c r="AB107" i="43" s="1"/>
  <c r="Y214" i="43"/>
  <c r="Y218" i="43" s="1"/>
  <c r="Y211" i="43"/>
  <c r="AA54" i="43"/>
  <c r="AA190" i="43"/>
  <c r="AA195" i="43" s="1"/>
  <c r="AA201" i="43" s="1"/>
  <c r="AA142" i="43"/>
  <c r="AA147" i="43" s="1"/>
  <c r="AA152" i="43" s="1"/>
  <c r="AB44" i="43"/>
  <c r="AB51" i="43" s="1"/>
  <c r="AB50" i="43"/>
  <c r="AB47" i="43"/>
  <c r="AB53" i="43" s="1"/>
  <c r="AC43" i="43"/>
  <c r="Z146" i="43"/>
  <c r="Z151" i="43" s="1"/>
  <c r="Z144" i="43"/>
  <c r="Z149" i="43" s="1"/>
  <c r="AD68" i="43"/>
  <c r="AD41" i="43"/>
  <c r="Z126" i="43"/>
  <c r="Z131" i="43" s="1"/>
  <c r="Z109" i="43"/>
  <c r="Z114" i="43" s="1"/>
  <c r="AA66" i="43"/>
  <c r="Z143" i="43"/>
  <c r="Z148" i="43" s="1"/>
  <c r="AD52" i="43"/>
  <c r="AE45" i="43"/>
  <c r="AC39" i="43"/>
  <c r="AB87" i="43"/>
  <c r="AB94" i="43" s="1"/>
  <c r="AB101" i="43" s="1"/>
  <c r="Y153" i="43"/>
  <c r="Y208" i="43" s="1"/>
  <c r="Z174" i="43"/>
  <c r="X215" i="42"/>
  <c r="AC87" i="42"/>
  <c r="AC94" i="42" s="1"/>
  <c r="AC101" i="42" s="1"/>
  <c r="AD39" i="42"/>
  <c r="AD45" i="42"/>
  <c r="AC52" i="42"/>
  <c r="AD43" i="42"/>
  <c r="AC47" i="42"/>
  <c r="AC53" i="42" s="1"/>
  <c r="AC50" i="42"/>
  <c r="AC44" i="42"/>
  <c r="AC51" i="42" s="1"/>
  <c r="AA141" i="42"/>
  <c r="AA91" i="42"/>
  <c r="AA98" i="42" s="1"/>
  <c r="AA93" i="42"/>
  <c r="AA100" i="42" s="1"/>
  <c r="AB86" i="42"/>
  <c r="AB107" i="42" s="1"/>
  <c r="AA70" i="42"/>
  <c r="Z90" i="42"/>
  <c r="Z97" i="42" s="1"/>
  <c r="AC41" i="42"/>
  <c r="Y153" i="42"/>
  <c r="Y208" i="42" s="1"/>
  <c r="Z109" i="42"/>
  <c r="Z114" i="42" s="1"/>
  <c r="Z126" i="42"/>
  <c r="Z131" i="42" s="1"/>
  <c r="AA66" i="42"/>
  <c r="Z143" i="42"/>
  <c r="Z148" i="42" s="1"/>
  <c r="Z102" i="42"/>
  <c r="Z205" i="42" s="1"/>
  <c r="AA174" i="42"/>
  <c r="AE65" i="42"/>
  <c r="AD89" i="42"/>
  <c r="AD96" i="42" s="1"/>
  <c r="Z144" i="42"/>
  <c r="Z149" i="42" s="1"/>
  <c r="Z146" i="42"/>
  <c r="Z151" i="42" s="1"/>
  <c r="AB54" i="42"/>
  <c r="AB142" i="42"/>
  <c r="AB147" i="42" s="1"/>
  <c r="AB152" i="42" s="1"/>
  <c r="AB190" i="42"/>
  <c r="AB195" i="42" s="1"/>
  <c r="AB201" i="42" s="1"/>
  <c r="AB69" i="42"/>
  <c r="AB191" i="42" s="1"/>
  <c r="AB196" i="42" s="1"/>
  <c r="AC67" i="42"/>
  <c r="AB166" i="42"/>
  <c r="AE68" i="42"/>
  <c r="Y215" i="41"/>
  <c r="Y219" i="41" s="1"/>
  <c r="Y212" i="41"/>
  <c r="AB53" i="41"/>
  <c r="AC46" i="41"/>
  <c r="Y209" i="41"/>
  <c r="Y155" i="41"/>
  <c r="AA175" i="41"/>
  <c r="X216" i="41"/>
  <c r="Z103" i="41"/>
  <c r="Z206" i="41" s="1"/>
  <c r="Z91" i="41"/>
  <c r="Z98" i="41" s="1"/>
  <c r="AA71" i="41"/>
  <c r="AB70" i="41"/>
  <c r="AB192" i="41" s="1"/>
  <c r="AB197" i="41" s="1"/>
  <c r="AC68" i="41"/>
  <c r="AB167" i="41"/>
  <c r="AA142" i="41"/>
  <c r="AA92" i="41"/>
  <c r="AA99" i="41" s="1"/>
  <c r="AA94" i="41"/>
  <c r="AA101" i="41" s="1"/>
  <c r="AB87" i="41"/>
  <c r="AB108" i="41" s="1"/>
  <c r="AA55" i="41"/>
  <c r="AA191" i="41"/>
  <c r="AA196" i="41" s="1"/>
  <c r="AA202" i="41" s="1"/>
  <c r="AA143" i="41"/>
  <c r="AA148" i="41" s="1"/>
  <c r="AA153" i="41" s="1"/>
  <c r="AB48" i="41"/>
  <c r="AB54" i="41" s="1"/>
  <c r="AB45" i="41"/>
  <c r="AB52" i="41" s="1"/>
  <c r="AC44" i="41"/>
  <c r="AB51" i="41"/>
  <c r="Y104" i="41"/>
  <c r="Z147" i="41"/>
  <c r="Z152" i="41" s="1"/>
  <c r="Z145" i="41"/>
  <c r="Z150" i="41" s="1"/>
  <c r="Z154" i="41" s="1"/>
  <c r="AC42" i="41"/>
  <c r="AB110" i="41"/>
  <c r="AB115" i="41" s="1"/>
  <c r="AB127" i="41"/>
  <c r="AB132" i="41" s="1"/>
  <c r="AC67" i="41"/>
  <c r="AB144" i="41"/>
  <c r="AB149" i="41" s="1"/>
  <c r="AC88" i="41"/>
  <c r="AC95" i="41" s="1"/>
  <c r="AC102" i="41" s="1"/>
  <c r="AD40" i="41"/>
  <c r="AD69" i="41"/>
  <c r="Y208" i="40"/>
  <c r="Y215" i="40" s="1"/>
  <c r="AB93" i="40"/>
  <c r="AB100" i="40" s="1"/>
  <c r="AC86" i="40"/>
  <c r="AC107" i="40" s="1"/>
  <c r="AB91" i="40"/>
  <c r="AB98" i="40" s="1"/>
  <c r="AD41" i="40"/>
  <c r="Z174" i="40"/>
  <c r="Y205" i="40"/>
  <c r="Y103" i="40"/>
  <c r="AA70" i="40"/>
  <c r="Z90" i="40"/>
  <c r="Z97" i="40" s="1"/>
  <c r="Z102" i="40"/>
  <c r="AC140" i="40"/>
  <c r="AD60" i="40"/>
  <c r="AC87" i="40"/>
  <c r="AC94" i="40" s="1"/>
  <c r="AC101" i="40" s="1"/>
  <c r="AD39" i="40"/>
  <c r="AB50" i="40"/>
  <c r="AB44" i="40"/>
  <c r="AB51" i="40" s="1"/>
  <c r="AB47" i="40"/>
  <c r="AB53" i="40" s="1"/>
  <c r="AC43" i="40"/>
  <c r="AA54" i="40"/>
  <c r="AA190" i="40"/>
  <c r="AA195" i="40" s="1"/>
  <c r="AA201" i="40" s="1"/>
  <c r="AA142" i="40"/>
  <c r="AA147" i="40" s="1"/>
  <c r="AA152" i="40" s="1"/>
  <c r="AC68" i="40"/>
  <c r="X214" i="40"/>
  <c r="X218" i="40" s="1"/>
  <c r="X211" i="40"/>
  <c r="AA69" i="40"/>
  <c r="AA191" i="40" s="1"/>
  <c r="AA196" i="40" s="1"/>
  <c r="AB67" i="40"/>
  <c r="AA166" i="40"/>
  <c r="AG65" i="40"/>
  <c r="AG89" i="40" s="1"/>
  <c r="AG96" i="40" s="1"/>
  <c r="AF89" i="40"/>
  <c r="AF96" i="40" s="1"/>
  <c r="AC52" i="40"/>
  <c r="AD45" i="40"/>
  <c r="Z109" i="40"/>
  <c r="Z114" i="40" s="1"/>
  <c r="Z126" i="40"/>
  <c r="Z131" i="40" s="1"/>
  <c r="AA66" i="40"/>
  <c r="Z143" i="40"/>
  <c r="Z148" i="40" s="1"/>
  <c r="Z153" i="40" s="1"/>
  <c r="Z154" i="40" s="1"/>
  <c r="AC59" i="40"/>
  <c r="AB64" i="38" l="1"/>
  <c r="AB66" i="38"/>
  <c r="AF106" i="43"/>
  <c r="AF106" i="42"/>
  <c r="AF107" i="41"/>
  <c r="AF106" i="40"/>
  <c r="AF106" i="39"/>
  <c r="Y211" i="42"/>
  <c r="AB146" i="40"/>
  <c r="AB151" i="40" s="1"/>
  <c r="AB144" i="40"/>
  <c r="AB149" i="40" s="1"/>
  <c r="Y154" i="42"/>
  <c r="Z103" i="43"/>
  <c r="Y154" i="43"/>
  <c r="Z153" i="43"/>
  <c r="Z154" i="43" s="1"/>
  <c r="Z211" i="43"/>
  <c r="Z214" i="43"/>
  <c r="Z218" i="43" s="1"/>
  <c r="AE41" i="43"/>
  <c r="AA102" i="43"/>
  <c r="AA205" i="43" s="1"/>
  <c r="AB141" i="43"/>
  <c r="AB93" i="43"/>
  <c r="AB100" i="43" s="1"/>
  <c r="AC86" i="43"/>
  <c r="AC107" i="43" s="1"/>
  <c r="AB91" i="43"/>
  <c r="AB98" i="43" s="1"/>
  <c r="AF45" i="43"/>
  <c r="AE52" i="43"/>
  <c r="AB54" i="43"/>
  <c r="AB190" i="43"/>
  <c r="AB195" i="43" s="1"/>
  <c r="AB201" i="43" s="1"/>
  <c r="AB142" i="43"/>
  <c r="AB147" i="43" s="1"/>
  <c r="AB152" i="43" s="1"/>
  <c r="AA174" i="43"/>
  <c r="AA146" i="43"/>
  <c r="AA151" i="43" s="1"/>
  <c r="AA144" i="43"/>
  <c r="AA149" i="43" s="1"/>
  <c r="AB69" i="43"/>
  <c r="AB191" i="43" s="1"/>
  <c r="AB196" i="43" s="1"/>
  <c r="AC67" i="43"/>
  <c r="AB166" i="43"/>
  <c r="Y215" i="43"/>
  <c r="AC44" i="43"/>
  <c r="AC51" i="43" s="1"/>
  <c r="AC47" i="43"/>
  <c r="AC53" i="43" s="1"/>
  <c r="AD43" i="43"/>
  <c r="AC50" i="43"/>
  <c r="AA109" i="43"/>
  <c r="AA114" i="43" s="1"/>
  <c r="AA126" i="43"/>
  <c r="AA131" i="43" s="1"/>
  <c r="AB66" i="43"/>
  <c r="AA143" i="43"/>
  <c r="AA148" i="43" s="1"/>
  <c r="AE68" i="43"/>
  <c r="AC87" i="43"/>
  <c r="AC94" i="43" s="1"/>
  <c r="AC101" i="43" s="1"/>
  <c r="AD39" i="43"/>
  <c r="AA90" i="43"/>
  <c r="AA97" i="43" s="1"/>
  <c r="AB70" i="43"/>
  <c r="Z103" i="42"/>
  <c r="AA126" i="42"/>
  <c r="AA131" i="42" s="1"/>
  <c r="AA109" i="42"/>
  <c r="AA114" i="42" s="1"/>
  <c r="AB66" i="42"/>
  <c r="AA143" i="42"/>
  <c r="AA148" i="42" s="1"/>
  <c r="Y215" i="42"/>
  <c r="AA102" i="42"/>
  <c r="AA205" i="42" s="1"/>
  <c r="AA144" i="42"/>
  <c r="AA149" i="42" s="1"/>
  <c r="AA146" i="42"/>
  <c r="AA151" i="42" s="1"/>
  <c r="AD52" i="42"/>
  <c r="AE45" i="42"/>
  <c r="AB141" i="42"/>
  <c r="AC86" i="42"/>
  <c r="AC107" i="42" s="1"/>
  <c r="AB91" i="42"/>
  <c r="AB98" i="42" s="1"/>
  <c r="AB93" i="42"/>
  <c r="AB100" i="42" s="1"/>
  <c r="AF65" i="42"/>
  <c r="AE89" i="42"/>
  <c r="AE96" i="42" s="1"/>
  <c r="AB174" i="42"/>
  <c r="Z211" i="42"/>
  <c r="Z214" i="42"/>
  <c r="Z218" i="42" s="1"/>
  <c r="AE39" i="42"/>
  <c r="AD87" i="42"/>
  <c r="AD94" i="42" s="1"/>
  <c r="AD101" i="42" s="1"/>
  <c r="AC69" i="42"/>
  <c r="AC191" i="42" s="1"/>
  <c r="AC196" i="42" s="1"/>
  <c r="AD67" i="42"/>
  <c r="AC166" i="42"/>
  <c r="AD41" i="42"/>
  <c r="AC54" i="42"/>
  <c r="AC190" i="42"/>
  <c r="AC195" i="42" s="1"/>
  <c r="AC201" i="42" s="1"/>
  <c r="AC142" i="42"/>
  <c r="AC147" i="42" s="1"/>
  <c r="AC152" i="42" s="1"/>
  <c r="AF68" i="42"/>
  <c r="Z153" i="42"/>
  <c r="Z208" i="42" s="1"/>
  <c r="AB70" i="42"/>
  <c r="AA90" i="42"/>
  <c r="AA97" i="42" s="1"/>
  <c r="AD44" i="42"/>
  <c r="AD51" i="42" s="1"/>
  <c r="AD47" i="42"/>
  <c r="AD53" i="42" s="1"/>
  <c r="AD50" i="42"/>
  <c r="AE43" i="42"/>
  <c r="Z104" i="41"/>
  <c r="AC70" i="41"/>
  <c r="AC192" i="41" s="1"/>
  <c r="AC197" i="41" s="1"/>
  <c r="AD68" i="41"/>
  <c r="AC167" i="41"/>
  <c r="AA103" i="41"/>
  <c r="AA206" i="41" s="1"/>
  <c r="Z155" i="41"/>
  <c r="Z209" i="41"/>
  <c r="AC110" i="41"/>
  <c r="AC115" i="41" s="1"/>
  <c r="AD67" i="41"/>
  <c r="AC127" i="41"/>
  <c r="AC132" i="41" s="1"/>
  <c r="AC144" i="41"/>
  <c r="AC149" i="41" s="1"/>
  <c r="AA145" i="41"/>
  <c r="AA150" i="41" s="1"/>
  <c r="AA154" i="41" s="1"/>
  <c r="AA147" i="41"/>
  <c r="AA152" i="41" s="1"/>
  <c r="AA91" i="41"/>
  <c r="AA98" i="41" s="1"/>
  <c r="AB71" i="41"/>
  <c r="Y216" i="41"/>
  <c r="AD88" i="41"/>
  <c r="AD95" i="41" s="1"/>
  <c r="AD102" i="41" s="1"/>
  <c r="AE40" i="41"/>
  <c r="AB55" i="41"/>
  <c r="AB143" i="41"/>
  <c r="AB148" i="41" s="1"/>
  <c r="AB153" i="41" s="1"/>
  <c r="AB191" i="41"/>
  <c r="AB196" i="41" s="1"/>
  <c r="AB202" i="41" s="1"/>
  <c r="AC53" i="41"/>
  <c r="AD46" i="41"/>
  <c r="Z215" i="41"/>
  <c r="Z219" i="41" s="1"/>
  <c r="Z212" i="41"/>
  <c r="AE69" i="41"/>
  <c r="AD42" i="41"/>
  <c r="AB142" i="41"/>
  <c r="AB94" i="41"/>
  <c r="AB101" i="41" s="1"/>
  <c r="AC87" i="41"/>
  <c r="AC108" i="41" s="1"/>
  <c r="AB92" i="41"/>
  <c r="AB99" i="41" s="1"/>
  <c r="AC51" i="41"/>
  <c r="AC48" i="41"/>
  <c r="AC54" i="41" s="1"/>
  <c r="AC45" i="41"/>
  <c r="AC52" i="41" s="1"/>
  <c r="AD44" i="41"/>
  <c r="AB175" i="41"/>
  <c r="AD86" i="40"/>
  <c r="AD107" i="40" s="1"/>
  <c r="AC91" i="40"/>
  <c r="AC98" i="40" s="1"/>
  <c r="AC93" i="40"/>
  <c r="AC100" i="40" s="1"/>
  <c r="AC141" i="40"/>
  <c r="AC144" i="40" s="1"/>
  <c r="AC149" i="40" s="1"/>
  <c r="AB70" i="40"/>
  <c r="AA90" i="40"/>
  <c r="AA97" i="40" s="1"/>
  <c r="AA102" i="40"/>
  <c r="AD59" i="40"/>
  <c r="AD140" i="40"/>
  <c r="AE60" i="40"/>
  <c r="Y214" i="40"/>
  <c r="Y218" i="40" s="1"/>
  <c r="Y211" i="40"/>
  <c r="AB54" i="40"/>
  <c r="AB190" i="40"/>
  <c r="AB195" i="40" s="1"/>
  <c r="AB201" i="40" s="1"/>
  <c r="AB142" i="40"/>
  <c r="AB147" i="40" s="1"/>
  <c r="AB152" i="40" s="1"/>
  <c r="Z103" i="40"/>
  <c r="Z205" i="40"/>
  <c r="Z208" i="40"/>
  <c r="AE41" i="40"/>
  <c r="AA174" i="40"/>
  <c r="AC50" i="40"/>
  <c r="AC44" i="40"/>
  <c r="AC51" i="40" s="1"/>
  <c r="AC47" i="40"/>
  <c r="AC53" i="40" s="1"/>
  <c r="AD43" i="40"/>
  <c r="AD52" i="40"/>
  <c r="AE45" i="40"/>
  <c r="AD68" i="40"/>
  <c r="AB69" i="40"/>
  <c r="AB191" i="40" s="1"/>
  <c r="AB196" i="40" s="1"/>
  <c r="AC67" i="40"/>
  <c r="AB166" i="40"/>
  <c r="AA126" i="40"/>
  <c r="AA131" i="40" s="1"/>
  <c r="AA109" i="40"/>
  <c r="AA114" i="40" s="1"/>
  <c r="AB66" i="40"/>
  <c r="AA143" i="40"/>
  <c r="AA148" i="40" s="1"/>
  <c r="AA153" i="40" s="1"/>
  <c r="AA208" i="40" s="1"/>
  <c r="AD87" i="40"/>
  <c r="AD94" i="40" s="1"/>
  <c r="AD101" i="40" s="1"/>
  <c r="AE39" i="40"/>
  <c r="AC64" i="38" l="1"/>
  <c r="AC66" i="38"/>
  <c r="AG106" i="43"/>
  <c r="AG106" i="42"/>
  <c r="AG107" i="41"/>
  <c r="AG106" i="40"/>
  <c r="AG106" i="39"/>
  <c r="AC146" i="40"/>
  <c r="AC151" i="40" s="1"/>
  <c r="AD141" i="40"/>
  <c r="AD146" i="40" s="1"/>
  <c r="AD151" i="40" s="1"/>
  <c r="Z154" i="42"/>
  <c r="AA153" i="42"/>
  <c r="AA154" i="42" s="1"/>
  <c r="Z208" i="43"/>
  <c r="Z215" i="43" s="1"/>
  <c r="AA103" i="43"/>
  <c r="AC141" i="43"/>
  <c r="AC91" i="43"/>
  <c r="AC98" i="43" s="1"/>
  <c r="AD86" i="43"/>
  <c r="AD107" i="43" s="1"/>
  <c r="AC93" i="43"/>
  <c r="AC100" i="43" s="1"/>
  <c r="AB102" i="43"/>
  <c r="AB205" i="43" s="1"/>
  <c r="AC54" i="43"/>
  <c r="AC142" i="43"/>
  <c r="AC147" i="43" s="1"/>
  <c r="AC152" i="43" s="1"/>
  <c r="AC190" i="43"/>
  <c r="AC195" i="43" s="1"/>
  <c r="AC201" i="43" s="1"/>
  <c r="AD44" i="43"/>
  <c r="AD51" i="43" s="1"/>
  <c r="AD47" i="43"/>
  <c r="AD53" i="43" s="1"/>
  <c r="AD50" i="43"/>
  <c r="AE43" i="43"/>
  <c r="AB144" i="43"/>
  <c r="AB149" i="43" s="1"/>
  <c r="AB138" i="43"/>
  <c r="AB146" i="43"/>
  <c r="AB151" i="43" s="1"/>
  <c r="AD87" i="43"/>
  <c r="AD94" i="43" s="1"/>
  <c r="AD101" i="43" s="1"/>
  <c r="AE39" i="43"/>
  <c r="AB174" i="43"/>
  <c r="AA211" i="43"/>
  <c r="AA214" i="43"/>
  <c r="AA218" i="43" s="1"/>
  <c r="AC69" i="43"/>
  <c r="AC191" i="43" s="1"/>
  <c r="AC196" i="43" s="1"/>
  <c r="AD67" i="43"/>
  <c r="AC166" i="43"/>
  <c r="AF68" i="43"/>
  <c r="AF52" i="43"/>
  <c r="AG45" i="43"/>
  <c r="AG52" i="43" s="1"/>
  <c r="AF41" i="43"/>
  <c r="AA153" i="43"/>
  <c r="AA154" i="43" s="1"/>
  <c r="AB90" i="43"/>
  <c r="AB97" i="43" s="1"/>
  <c r="AC70" i="43"/>
  <c r="AB126" i="43"/>
  <c r="AB131" i="43" s="1"/>
  <c r="AC66" i="43"/>
  <c r="AB109" i="43"/>
  <c r="AB114" i="43" s="1"/>
  <c r="AB143" i="43"/>
  <c r="AB148" i="43" s="1"/>
  <c r="AA211" i="42"/>
  <c r="AA214" i="42"/>
  <c r="AA218" i="42" s="1"/>
  <c r="AG68" i="42"/>
  <c r="AC93" i="42"/>
  <c r="AC100" i="42" s="1"/>
  <c r="AC141" i="42"/>
  <c r="AC91" i="42"/>
  <c r="AC98" i="42" s="1"/>
  <c r="AD86" i="42"/>
  <c r="AD107" i="42" s="1"/>
  <c r="AE41" i="42"/>
  <c r="AG65" i="42"/>
  <c r="AG89" i="42" s="1"/>
  <c r="AG96" i="42" s="1"/>
  <c r="AF89" i="42"/>
  <c r="AF96" i="42" s="1"/>
  <c r="AB144" i="42"/>
  <c r="AB149" i="42" s="1"/>
  <c r="AB138" i="42"/>
  <c r="AB146" i="42"/>
  <c r="AB151" i="42" s="1"/>
  <c r="AE52" i="42"/>
  <c r="AF45" i="42"/>
  <c r="AA103" i="42"/>
  <c r="AC174" i="42"/>
  <c r="AE50" i="42"/>
  <c r="AF43" i="42"/>
  <c r="AE44" i="42"/>
  <c r="AE51" i="42" s="1"/>
  <c r="AE47" i="42"/>
  <c r="AE53" i="42" s="1"/>
  <c r="AB109" i="42"/>
  <c r="AB114" i="42" s="1"/>
  <c r="AB126" i="42"/>
  <c r="AB131" i="42" s="1"/>
  <c r="AC66" i="42"/>
  <c r="AB143" i="42"/>
  <c r="AB148" i="42" s="1"/>
  <c r="AD54" i="42"/>
  <c r="AD142" i="42"/>
  <c r="AD147" i="42" s="1"/>
  <c r="AD152" i="42" s="1"/>
  <c r="AD190" i="42"/>
  <c r="AD195" i="42" s="1"/>
  <c r="AD201" i="42" s="1"/>
  <c r="AD69" i="42"/>
  <c r="AD191" i="42" s="1"/>
  <c r="AD196" i="42" s="1"/>
  <c r="AE67" i="42"/>
  <c r="AD166" i="42"/>
  <c r="AB90" i="42"/>
  <c r="AB97" i="42" s="1"/>
  <c r="AC70" i="42"/>
  <c r="AB102" i="42"/>
  <c r="AB205" i="42" s="1"/>
  <c r="Z215" i="42"/>
  <c r="AE87" i="42"/>
  <c r="AE94" i="42" s="1"/>
  <c r="AE101" i="42" s="1"/>
  <c r="AF39" i="42"/>
  <c r="AA104" i="41"/>
  <c r="AA212" i="41"/>
  <c r="AA215" i="41"/>
  <c r="AA219" i="41" s="1"/>
  <c r="AC142" i="41"/>
  <c r="AC94" i="41"/>
  <c r="AC101" i="41" s="1"/>
  <c r="AC92" i="41"/>
  <c r="AC99" i="41" s="1"/>
  <c r="AD87" i="41"/>
  <c r="AD108" i="41" s="1"/>
  <c r="AC175" i="41"/>
  <c r="AB147" i="41"/>
  <c r="AB152" i="41" s="1"/>
  <c r="AB145" i="41"/>
  <c r="AB150" i="41" s="1"/>
  <c r="AB154" i="41" s="1"/>
  <c r="AB139" i="41"/>
  <c r="AD51" i="41"/>
  <c r="AD48" i="41"/>
  <c r="AD54" i="41" s="1"/>
  <c r="AD45" i="41"/>
  <c r="AD52" i="41" s="1"/>
  <c r="AE44" i="41"/>
  <c r="AE42" i="41"/>
  <c r="AD70" i="41"/>
  <c r="AD192" i="41" s="1"/>
  <c r="AD197" i="41" s="1"/>
  <c r="AE68" i="41"/>
  <c r="AD167" i="41"/>
  <c r="AD53" i="41"/>
  <c r="AE46" i="41"/>
  <c r="AA209" i="41"/>
  <c r="AA155" i="41"/>
  <c r="AE88" i="41"/>
  <c r="AE95" i="41" s="1"/>
  <c r="AE102" i="41" s="1"/>
  <c r="AF40" i="41"/>
  <c r="AC71" i="41"/>
  <c r="AB91" i="41"/>
  <c r="AB98" i="41" s="1"/>
  <c r="AD127" i="41"/>
  <c r="AD132" i="41" s="1"/>
  <c r="AD110" i="41"/>
  <c r="AD115" i="41" s="1"/>
  <c r="AE67" i="41"/>
  <c r="AD144" i="41"/>
  <c r="AD149" i="41" s="1"/>
  <c r="AB103" i="41"/>
  <c r="AB206" i="41" s="1"/>
  <c r="AC55" i="41"/>
  <c r="AC191" i="41"/>
  <c r="AC196" i="41" s="1"/>
  <c r="AC202" i="41" s="1"/>
  <c r="AC143" i="41"/>
  <c r="AC148" i="41" s="1"/>
  <c r="AC153" i="41" s="1"/>
  <c r="AF69" i="41"/>
  <c r="Z216" i="41"/>
  <c r="AE86" i="40"/>
  <c r="AE107" i="40" s="1"/>
  <c r="AD91" i="40"/>
  <c r="AD98" i="40" s="1"/>
  <c r="AD93" i="40"/>
  <c r="AD100" i="40" s="1"/>
  <c r="AA154" i="40"/>
  <c r="AA215" i="40"/>
  <c r="AE52" i="40"/>
  <c r="AF45" i="40"/>
  <c r="AE59" i="40"/>
  <c r="AA103" i="40"/>
  <c r="AA205" i="40"/>
  <c r="AB109" i="40"/>
  <c r="AB114" i="40" s="1"/>
  <c r="AB126" i="40"/>
  <c r="AB131" i="40" s="1"/>
  <c r="AC66" i="40"/>
  <c r="AB143" i="40"/>
  <c r="AB148" i="40" s="1"/>
  <c r="AB153" i="40" s="1"/>
  <c r="AB154" i="40" s="1"/>
  <c r="Z214" i="40"/>
  <c r="Z218" i="40" s="1"/>
  <c r="Z211" i="40"/>
  <c r="AC70" i="40"/>
  <c r="AB90" i="40"/>
  <c r="AB97" i="40" s="1"/>
  <c r="AB102" i="40"/>
  <c r="AB174" i="40"/>
  <c r="AC69" i="40"/>
  <c r="AC191" i="40" s="1"/>
  <c r="AC196" i="40" s="1"/>
  <c r="AD67" i="40"/>
  <c r="AC166" i="40"/>
  <c r="AF41" i="40"/>
  <c r="AC54" i="40"/>
  <c r="AC190" i="40"/>
  <c r="AC195" i="40" s="1"/>
  <c r="AC201" i="40" s="1"/>
  <c r="AC142" i="40"/>
  <c r="AC147" i="40" s="1"/>
  <c r="AC152" i="40" s="1"/>
  <c r="Z215" i="40"/>
  <c r="AD50" i="40"/>
  <c r="AE43" i="40"/>
  <c r="AD44" i="40"/>
  <c r="AD51" i="40" s="1"/>
  <c r="AD47" i="40"/>
  <c r="AD53" i="40" s="1"/>
  <c r="AE68" i="40"/>
  <c r="AE140" i="40"/>
  <c r="AF60" i="40"/>
  <c r="AE87" i="40"/>
  <c r="AE94" i="40" s="1"/>
  <c r="AE101" i="40" s="1"/>
  <c r="AF39" i="40"/>
  <c r="AD64" i="38" l="1"/>
  <c r="AD66" i="38"/>
  <c r="AD144" i="40"/>
  <c r="AD149" i="40" s="1"/>
  <c r="AA208" i="42"/>
  <c r="AA215" i="42" s="1"/>
  <c r="AB208" i="40"/>
  <c r="AB215" i="40" s="1"/>
  <c r="AB153" i="43"/>
  <c r="AB208" i="43" s="1"/>
  <c r="AA208" i="43"/>
  <c r="AA215" i="43" s="1"/>
  <c r="AB103" i="43"/>
  <c r="AE67" i="43"/>
  <c r="AD69" i="43"/>
  <c r="AD191" i="43" s="1"/>
  <c r="AD196" i="43" s="1"/>
  <c r="AD166" i="43"/>
  <c r="AF43" i="43"/>
  <c r="AE47" i="43"/>
  <c r="AE53" i="43" s="1"/>
  <c r="AE50" i="43"/>
  <c r="AE44" i="43"/>
  <c r="AE51" i="43" s="1"/>
  <c r="AC102" i="43"/>
  <c r="AC205" i="43" s="1"/>
  <c r="AD54" i="43"/>
  <c r="AD190" i="43"/>
  <c r="AD195" i="43" s="1"/>
  <c r="AD201" i="43" s="1"/>
  <c r="AD142" i="43"/>
  <c r="AD147" i="43" s="1"/>
  <c r="AD152" i="43" s="1"/>
  <c r="AG41" i="43"/>
  <c r="AC144" i="43"/>
  <c r="AC149" i="43" s="1"/>
  <c r="AC146" i="43"/>
  <c r="AC151" i="43" s="1"/>
  <c r="AB211" i="43"/>
  <c r="AB214" i="43"/>
  <c r="AB218" i="43" s="1"/>
  <c r="AC126" i="43"/>
  <c r="AC131" i="43" s="1"/>
  <c r="AC109" i="43"/>
  <c r="AC114" i="43" s="1"/>
  <c r="AD66" i="43"/>
  <c r="AC143" i="43"/>
  <c r="AC148" i="43" s="1"/>
  <c r="AE87" i="43"/>
  <c r="AE94" i="43" s="1"/>
  <c r="AE101" i="43" s="1"/>
  <c r="AF39" i="43"/>
  <c r="AG68" i="43"/>
  <c r="AD70" i="43"/>
  <c r="AC90" i="43"/>
  <c r="AC97" i="43" s="1"/>
  <c r="AC174" i="43"/>
  <c r="AD141" i="43"/>
  <c r="AE86" i="43"/>
  <c r="AE107" i="43" s="1"/>
  <c r="AD93" i="43"/>
  <c r="AD100" i="43" s="1"/>
  <c r="AD91" i="43"/>
  <c r="AD98" i="43" s="1"/>
  <c r="AB153" i="42"/>
  <c r="AB208" i="42" s="1"/>
  <c r="AB211" i="42"/>
  <c r="AB214" i="42"/>
  <c r="AB218" i="42" s="1"/>
  <c r="AF41" i="42"/>
  <c r="AD141" i="42"/>
  <c r="AE86" i="42"/>
  <c r="AE107" i="42" s="1"/>
  <c r="AD91" i="42"/>
  <c r="AD98" i="42" s="1"/>
  <c r="AD93" i="42"/>
  <c r="AD100" i="42" s="1"/>
  <c r="AC102" i="42"/>
  <c r="AC205" i="42" s="1"/>
  <c r="AC144" i="42"/>
  <c r="AC149" i="42" s="1"/>
  <c r="AC146" i="42"/>
  <c r="AC151" i="42" s="1"/>
  <c r="AC126" i="42"/>
  <c r="AC131" i="42" s="1"/>
  <c r="AC109" i="42"/>
  <c r="AC114" i="42" s="1"/>
  <c r="AD66" i="42"/>
  <c r="AC143" i="42"/>
  <c r="AC148" i="42" s="1"/>
  <c r="AD70" i="42"/>
  <c r="AC90" i="42"/>
  <c r="AC97" i="42" s="1"/>
  <c r="AF52" i="42"/>
  <c r="AG45" i="42"/>
  <c r="AG52" i="42" s="1"/>
  <c r="AD174" i="42"/>
  <c r="AB103" i="42"/>
  <c r="AF67" i="42"/>
  <c r="AE69" i="42"/>
  <c r="AE166" i="42"/>
  <c r="AF50" i="42"/>
  <c r="AF44" i="42"/>
  <c r="AF51" i="42" s="1"/>
  <c r="AG43" i="42"/>
  <c r="AF47" i="42"/>
  <c r="AF53" i="42" s="1"/>
  <c r="AG39" i="42"/>
  <c r="AG87" i="42" s="1"/>
  <c r="AG94" i="42" s="1"/>
  <c r="AG101" i="42" s="1"/>
  <c r="AF87" i="42"/>
  <c r="AF94" i="42" s="1"/>
  <c r="AF101" i="42" s="1"/>
  <c r="AE54" i="42"/>
  <c r="AE142" i="42"/>
  <c r="AE147" i="42" s="1"/>
  <c r="AE152" i="42" s="1"/>
  <c r="AE190" i="42"/>
  <c r="AE195" i="42" s="1"/>
  <c r="AE201" i="42" s="1"/>
  <c r="AB212" i="41"/>
  <c r="AB215" i="41"/>
  <c r="AB219" i="41" s="1"/>
  <c r="AD142" i="41"/>
  <c r="AD92" i="41"/>
  <c r="AD99" i="41" s="1"/>
  <c r="AD94" i="41"/>
  <c r="AD101" i="41" s="1"/>
  <c r="AE87" i="41"/>
  <c r="AE108" i="41" s="1"/>
  <c r="AB209" i="41"/>
  <c r="AB155" i="41"/>
  <c r="AC147" i="41"/>
  <c r="AC152" i="41" s="1"/>
  <c r="AC145" i="41"/>
  <c r="AC150" i="41" s="1"/>
  <c r="AC154" i="41" s="1"/>
  <c r="AA216" i="41"/>
  <c r="AB104" i="41"/>
  <c r="AC103" i="41"/>
  <c r="AC206" i="41" s="1"/>
  <c r="AD71" i="41"/>
  <c r="AC91" i="41"/>
  <c r="AC98" i="41" s="1"/>
  <c r="AG69" i="41"/>
  <c r="AE127" i="41"/>
  <c r="AE132" i="41" s="1"/>
  <c r="AE110" i="41"/>
  <c r="AE115" i="41" s="1"/>
  <c r="AF67" i="41"/>
  <c r="AE144" i="41"/>
  <c r="AE149" i="41" s="1"/>
  <c r="AD55" i="41"/>
  <c r="AD143" i="41"/>
  <c r="AD148" i="41" s="1"/>
  <c r="AD153" i="41" s="1"/>
  <c r="AD191" i="41"/>
  <c r="AD196" i="41" s="1"/>
  <c r="AD202" i="41" s="1"/>
  <c r="AF88" i="41"/>
  <c r="AF95" i="41" s="1"/>
  <c r="AF102" i="41" s="1"/>
  <c r="AG40" i="41"/>
  <c r="AG88" i="41" s="1"/>
  <c r="AG95" i="41" s="1"/>
  <c r="AG102" i="41" s="1"/>
  <c r="AE48" i="41"/>
  <c r="AE54" i="41" s="1"/>
  <c r="AE45" i="41"/>
  <c r="AE52" i="41" s="1"/>
  <c r="AF44" i="41"/>
  <c r="AE51" i="41"/>
  <c r="AE53" i="41"/>
  <c r="AF46" i="41"/>
  <c r="AF42" i="41"/>
  <c r="AF68" i="41"/>
  <c r="AE70" i="41"/>
  <c r="AE167" i="41"/>
  <c r="AD175" i="41"/>
  <c r="AF86" i="40"/>
  <c r="AF107" i="40" s="1"/>
  <c r="AE91" i="40"/>
  <c r="AE98" i="40" s="1"/>
  <c r="AE93" i="40"/>
  <c r="AE100" i="40" s="1"/>
  <c r="AE141" i="40"/>
  <c r="AE146" i="40" s="1"/>
  <c r="AE151" i="40" s="1"/>
  <c r="AF59" i="40"/>
  <c r="AF52" i="40"/>
  <c r="AG45" i="40"/>
  <c r="AG52" i="40" s="1"/>
  <c r="AF87" i="40"/>
  <c r="AF94" i="40" s="1"/>
  <c r="AF101" i="40" s="1"/>
  <c r="AG39" i="40"/>
  <c r="AG87" i="40" s="1"/>
  <c r="AG94" i="40" s="1"/>
  <c r="AG101" i="40" s="1"/>
  <c r="AC174" i="40"/>
  <c r="AD69" i="40"/>
  <c r="AD191" i="40" s="1"/>
  <c r="AD196" i="40" s="1"/>
  <c r="AE67" i="40"/>
  <c r="AD166" i="40"/>
  <c r="AB205" i="40"/>
  <c r="AB103" i="40"/>
  <c r="AD54" i="40"/>
  <c r="AD190" i="40"/>
  <c r="AD195" i="40" s="1"/>
  <c r="AD201" i="40" s="1"/>
  <c r="AD142" i="40"/>
  <c r="AD147" i="40" s="1"/>
  <c r="AD152" i="40" s="1"/>
  <c r="AF68" i="40"/>
  <c r="AC109" i="40"/>
  <c r="AC114" i="40" s="1"/>
  <c r="AC126" i="40"/>
  <c r="AC131" i="40" s="1"/>
  <c r="AD66" i="40"/>
  <c r="AC143" i="40"/>
  <c r="AC148" i="40" s="1"/>
  <c r="AC153" i="40" s="1"/>
  <c r="AD70" i="40"/>
  <c r="AC90" i="40"/>
  <c r="AC97" i="40" s="1"/>
  <c r="AC102" i="40"/>
  <c r="AE44" i="40"/>
  <c r="AE51" i="40" s="1"/>
  <c r="AE47" i="40"/>
  <c r="AE53" i="40" s="1"/>
  <c r="AF43" i="40"/>
  <c r="AE50" i="40"/>
  <c r="AF140" i="40"/>
  <c r="AG60" i="40"/>
  <c r="AG41" i="40"/>
  <c r="AA211" i="40"/>
  <c r="AA214" i="40"/>
  <c r="AA218" i="40" s="1"/>
  <c r="AE64" i="38" l="1"/>
  <c r="AE66" i="38"/>
  <c r="AF141" i="40"/>
  <c r="AF146" i="40" s="1"/>
  <c r="AF151" i="40" s="1"/>
  <c r="AB154" i="42"/>
  <c r="AE144" i="40"/>
  <c r="AE149" i="40" s="1"/>
  <c r="AC104" i="41"/>
  <c r="AB154" i="43"/>
  <c r="AC103" i="43"/>
  <c r="AD126" i="43"/>
  <c r="AD131" i="43" s="1"/>
  <c r="AD109" i="43"/>
  <c r="AD114" i="43" s="1"/>
  <c r="AE66" i="43"/>
  <c r="AD143" i="43"/>
  <c r="AD148" i="43" s="1"/>
  <c r="AC214" i="43"/>
  <c r="AC218" i="43" s="1"/>
  <c r="AC211" i="43"/>
  <c r="AE54" i="43"/>
  <c r="AE142" i="43"/>
  <c r="AE147" i="43" s="1"/>
  <c r="AE152" i="43" s="1"/>
  <c r="AE190" i="43"/>
  <c r="AE195" i="43" s="1"/>
  <c r="AE201" i="43" s="1"/>
  <c r="AF47" i="43"/>
  <c r="AF53" i="43" s="1"/>
  <c r="AF50" i="43"/>
  <c r="AG43" i="43"/>
  <c r="AF44" i="43"/>
  <c r="AF51" i="43" s="1"/>
  <c r="AE141" i="43"/>
  <c r="AE93" i="43"/>
  <c r="AE100" i="43" s="1"/>
  <c r="AE91" i="43"/>
  <c r="AE98" i="43" s="1"/>
  <c r="AF86" i="43"/>
  <c r="AF107" i="43" s="1"/>
  <c r="AD144" i="43"/>
  <c r="AD149" i="43" s="1"/>
  <c r="AD146" i="43"/>
  <c r="AD151" i="43" s="1"/>
  <c r="AD174" i="43"/>
  <c r="AF87" i="43"/>
  <c r="AF94" i="43" s="1"/>
  <c r="AF101" i="43" s="1"/>
  <c r="AG39" i="43"/>
  <c r="AG87" i="43" s="1"/>
  <c r="AG94" i="43" s="1"/>
  <c r="AG101" i="43" s="1"/>
  <c r="AB215" i="43"/>
  <c r="AE69" i="43"/>
  <c r="AF67" i="43"/>
  <c r="AE166" i="43"/>
  <c r="AD102" i="43"/>
  <c r="AD205" i="43" s="1"/>
  <c r="AD90" i="43"/>
  <c r="AD97" i="43" s="1"/>
  <c r="AE70" i="43"/>
  <c r="AC153" i="43"/>
  <c r="AC208" i="43" s="1"/>
  <c r="AC214" i="42"/>
  <c r="AC218" i="42" s="1"/>
  <c r="AC211" i="42"/>
  <c r="AG41" i="42"/>
  <c r="AE191" i="42"/>
  <c r="AE196" i="42" s="1"/>
  <c r="AF69" i="42"/>
  <c r="AF191" i="42" s="1"/>
  <c r="AF196" i="42" s="1"/>
  <c r="AG67" i="42"/>
  <c r="AF166" i="42"/>
  <c r="AB215" i="42"/>
  <c r="AF54" i="42"/>
  <c r="AF142" i="42"/>
  <c r="AF147" i="42" s="1"/>
  <c r="AF152" i="42" s="1"/>
  <c r="AF190" i="42"/>
  <c r="AF195" i="42" s="1"/>
  <c r="AF201" i="42" s="1"/>
  <c r="AC103" i="42"/>
  <c r="AE174" i="42"/>
  <c r="AC153" i="42"/>
  <c r="AC208" i="42" s="1"/>
  <c r="AD102" i="42"/>
  <c r="AD205" i="42" s="1"/>
  <c r="AE93" i="42"/>
  <c r="AE100" i="42" s="1"/>
  <c r="AE141" i="42"/>
  <c r="AE91" i="42"/>
  <c r="AE98" i="42" s="1"/>
  <c r="AF86" i="42"/>
  <c r="AF107" i="42" s="1"/>
  <c r="AG47" i="42"/>
  <c r="AG53" i="42" s="1"/>
  <c r="AG50" i="42"/>
  <c r="AG44" i="42"/>
  <c r="AG51" i="42" s="1"/>
  <c r="AD144" i="42"/>
  <c r="AD149" i="42" s="1"/>
  <c r="AD146" i="42"/>
  <c r="AD151" i="42" s="1"/>
  <c r="AD90" i="42"/>
  <c r="AD97" i="42" s="1"/>
  <c r="AE70" i="42"/>
  <c r="AD109" i="42"/>
  <c r="AD114" i="42" s="1"/>
  <c r="AD126" i="42"/>
  <c r="AD131" i="42" s="1"/>
  <c r="AE66" i="42"/>
  <c r="AD143" i="42"/>
  <c r="AD148" i="42" s="1"/>
  <c r="AD103" i="41"/>
  <c r="AD206" i="41" s="1"/>
  <c r="AC209" i="41"/>
  <c r="AC155" i="41"/>
  <c r="AE192" i="41"/>
  <c r="AE197" i="41" s="1"/>
  <c r="AD91" i="41"/>
  <c r="AD98" i="41" s="1"/>
  <c r="AE71" i="41"/>
  <c r="AC212" i="41"/>
  <c r="AC215" i="41"/>
  <c r="AC219" i="41" s="1"/>
  <c r="AG68" i="41"/>
  <c r="AF70" i="41"/>
  <c r="AF192" i="41" s="1"/>
  <c r="AF197" i="41" s="1"/>
  <c r="AF167" i="41"/>
  <c r="AB216" i="41"/>
  <c r="AG42" i="41"/>
  <c r="AE175" i="41"/>
  <c r="AE55" i="41"/>
  <c r="AE143" i="41"/>
  <c r="AE148" i="41" s="1"/>
  <c r="AE153" i="41" s="1"/>
  <c r="AE191" i="41"/>
  <c r="AE196" i="41" s="1"/>
  <c r="AE202" i="41" s="1"/>
  <c r="AF127" i="41"/>
  <c r="AF132" i="41" s="1"/>
  <c r="AG67" i="41"/>
  <c r="AF110" i="41"/>
  <c r="AF115" i="41" s="1"/>
  <c r="AF144" i="41"/>
  <c r="AF149" i="41" s="1"/>
  <c r="AD147" i="41"/>
  <c r="AD152" i="41" s="1"/>
  <c r="AD145" i="41"/>
  <c r="AD150" i="41" s="1"/>
  <c r="AD154" i="41" s="1"/>
  <c r="AF53" i="41"/>
  <c r="AG46" i="41"/>
  <c r="AG53" i="41" s="1"/>
  <c r="AF45" i="41"/>
  <c r="AF52" i="41" s="1"/>
  <c r="AG44" i="41"/>
  <c r="AF51" i="41"/>
  <c r="AF48" i="41"/>
  <c r="AF54" i="41" s="1"/>
  <c r="AE142" i="41"/>
  <c r="AE92" i="41"/>
  <c r="AE99" i="41" s="1"/>
  <c r="AE94" i="41"/>
  <c r="AE101" i="41" s="1"/>
  <c r="AF87" i="41"/>
  <c r="AF108" i="41" s="1"/>
  <c r="AG86" i="40"/>
  <c r="AG107" i="40" s="1"/>
  <c r="AF91" i="40"/>
  <c r="AF98" i="40" s="1"/>
  <c r="AF93" i="40"/>
  <c r="AF100" i="40" s="1"/>
  <c r="AD174" i="40"/>
  <c r="AF44" i="40"/>
  <c r="AF51" i="40" s="1"/>
  <c r="AF47" i="40"/>
  <c r="AF53" i="40" s="1"/>
  <c r="AG43" i="40"/>
  <c r="AF50" i="40"/>
  <c r="AD126" i="40"/>
  <c r="AD131" i="40" s="1"/>
  <c r="AD109" i="40"/>
  <c r="AD114" i="40" s="1"/>
  <c r="AE66" i="40"/>
  <c r="AD143" i="40"/>
  <c r="AD148" i="40" s="1"/>
  <c r="AD153" i="40" s="1"/>
  <c r="AD208" i="40" s="1"/>
  <c r="AE69" i="40"/>
  <c r="AF67" i="40"/>
  <c r="AE166" i="40"/>
  <c r="AE54" i="40"/>
  <c r="AE190" i="40"/>
  <c r="AE195" i="40" s="1"/>
  <c r="AE201" i="40" s="1"/>
  <c r="AE142" i="40"/>
  <c r="AE147" i="40" s="1"/>
  <c r="AE152" i="40" s="1"/>
  <c r="AG59" i="40"/>
  <c r="AG68" i="40"/>
  <c r="AC154" i="40"/>
  <c r="AC208" i="40"/>
  <c r="AC103" i="40"/>
  <c r="AC205" i="40"/>
  <c r="AE70" i="40"/>
  <c r="AD90" i="40"/>
  <c r="AD97" i="40" s="1"/>
  <c r="AD102" i="40"/>
  <c r="AG140" i="40"/>
  <c r="AF144" i="40"/>
  <c r="AF149" i="40" s="1"/>
  <c r="AB211" i="40"/>
  <c r="AB214" i="40"/>
  <c r="AB218" i="40" s="1"/>
  <c r="AF64" i="38" l="1"/>
  <c r="AF66" i="38"/>
  <c r="AG141" i="40"/>
  <c r="AG146" i="40" s="1"/>
  <c r="AG151" i="40" s="1"/>
  <c r="AD104" i="41"/>
  <c r="AD153" i="43"/>
  <c r="AD154" i="43" s="1"/>
  <c r="AD103" i="43"/>
  <c r="AC215" i="43"/>
  <c r="AE146" i="43"/>
  <c r="AE151" i="43" s="1"/>
  <c r="AE144" i="43"/>
  <c r="AE149" i="43" s="1"/>
  <c r="AC154" i="43"/>
  <c r="AE191" i="43"/>
  <c r="AE196" i="43" s="1"/>
  <c r="AF70" i="43"/>
  <c r="AE90" i="43"/>
  <c r="AE97" i="43" s="1"/>
  <c r="AD211" i="43"/>
  <c r="AD214" i="43"/>
  <c r="AD218" i="43" s="1"/>
  <c r="AG50" i="43"/>
  <c r="AG47" i="43"/>
  <c r="AG53" i="43" s="1"/>
  <c r="AG44" i="43"/>
  <c r="AG51" i="43" s="1"/>
  <c r="AF54" i="43"/>
  <c r="AF142" i="43"/>
  <c r="AF147" i="43" s="1"/>
  <c r="AF152" i="43" s="1"/>
  <c r="AF190" i="43"/>
  <c r="AF195" i="43" s="1"/>
  <c r="AF201" i="43" s="1"/>
  <c r="AE126" i="43"/>
  <c r="AE131" i="43" s="1"/>
  <c r="AE109" i="43"/>
  <c r="AE114" i="43" s="1"/>
  <c r="AF66" i="43"/>
  <c r="AE143" i="43"/>
  <c r="AE148" i="43" s="1"/>
  <c r="AE174" i="43"/>
  <c r="AF141" i="43"/>
  <c r="AF93" i="43"/>
  <c r="AF100" i="43" s="1"/>
  <c r="AG86" i="43"/>
  <c r="AG107" i="43" s="1"/>
  <c r="AF91" i="43"/>
  <c r="AF98" i="43" s="1"/>
  <c r="AF69" i="43"/>
  <c r="AF191" i="43" s="1"/>
  <c r="AF196" i="43" s="1"/>
  <c r="AG67" i="43"/>
  <c r="AF166" i="43"/>
  <c r="AE102" i="43"/>
  <c r="AE205" i="43" s="1"/>
  <c r="AD214" i="42"/>
  <c r="AD218" i="42" s="1"/>
  <c r="AD211" i="42"/>
  <c r="AC215" i="42"/>
  <c r="AC154" i="42"/>
  <c r="AD103" i="42"/>
  <c r="AF141" i="42"/>
  <c r="AG86" i="42"/>
  <c r="AG107" i="42" s="1"/>
  <c r="AF91" i="42"/>
  <c r="AF98" i="42" s="1"/>
  <c r="AF93" i="42"/>
  <c r="AF100" i="42" s="1"/>
  <c r="AE102" i="42"/>
  <c r="AE205" i="42" s="1"/>
  <c r="AE144" i="42"/>
  <c r="AE149" i="42" s="1"/>
  <c r="AE146" i="42"/>
  <c r="AE151" i="42" s="1"/>
  <c r="AG54" i="42"/>
  <c r="AG190" i="42"/>
  <c r="AG195" i="42" s="1"/>
  <c r="AG201" i="42" s="1"/>
  <c r="AG142" i="42"/>
  <c r="AG147" i="42" s="1"/>
  <c r="AG152" i="42" s="1"/>
  <c r="AD153" i="42"/>
  <c r="AD154" i="42" s="1"/>
  <c r="AF174" i="42"/>
  <c r="AE90" i="42"/>
  <c r="AE97" i="42" s="1"/>
  <c r="AF70" i="42"/>
  <c r="AG69" i="42"/>
  <c r="AG191" i="42" s="1"/>
  <c r="AG196" i="42" s="1"/>
  <c r="AG166" i="42"/>
  <c r="AE126" i="42"/>
  <c r="AE131" i="42" s="1"/>
  <c r="AF66" i="42"/>
  <c r="AE109" i="42"/>
  <c r="AE114" i="42" s="1"/>
  <c r="AE143" i="42"/>
  <c r="AE148" i="42" s="1"/>
  <c r="AG51" i="41"/>
  <c r="AG45" i="41"/>
  <c r="AG52" i="41" s="1"/>
  <c r="AG48" i="41"/>
  <c r="AG54" i="41" s="1"/>
  <c r="AC216" i="41"/>
  <c r="AD212" i="41"/>
  <c r="AD215" i="41"/>
  <c r="AD219" i="41" s="1"/>
  <c r="AE145" i="41"/>
  <c r="AE150" i="41" s="1"/>
  <c r="AE154" i="41" s="1"/>
  <c r="AE147" i="41"/>
  <c r="AE152" i="41" s="1"/>
  <c r="AF175" i="41"/>
  <c r="AD209" i="41"/>
  <c r="AD155" i="41"/>
  <c r="AF55" i="41"/>
  <c r="AF191" i="41"/>
  <c r="AF196" i="41" s="1"/>
  <c r="AF202" i="41" s="1"/>
  <c r="AF143" i="41"/>
  <c r="AF148" i="41" s="1"/>
  <c r="AF153" i="41" s="1"/>
  <c r="AG110" i="41"/>
  <c r="AG115" i="41" s="1"/>
  <c r="AG127" i="41"/>
  <c r="AG132" i="41" s="1"/>
  <c r="AG144" i="41"/>
  <c r="AG149" i="41" s="1"/>
  <c r="AG70" i="41"/>
  <c r="AG192" i="41" s="1"/>
  <c r="AG197" i="41" s="1"/>
  <c r="AG167" i="41"/>
  <c r="AF142" i="41"/>
  <c r="AF92" i="41"/>
  <c r="AF99" i="41" s="1"/>
  <c r="AG87" i="41"/>
  <c r="AG108" i="41" s="1"/>
  <c r="AF94" i="41"/>
  <c r="AF101" i="41" s="1"/>
  <c r="AE103" i="41"/>
  <c r="AE206" i="41" s="1"/>
  <c r="AF71" i="41"/>
  <c r="AE91" i="41"/>
  <c r="AE98" i="41" s="1"/>
  <c r="AG93" i="40"/>
  <c r="AG100" i="40" s="1"/>
  <c r="AG91" i="40"/>
  <c r="AG98" i="40" s="1"/>
  <c r="AD215" i="40"/>
  <c r="AE174" i="40"/>
  <c r="AD103" i="40"/>
  <c r="AD205" i="40"/>
  <c r="AF69" i="40"/>
  <c r="AF191" i="40" s="1"/>
  <c r="AF196" i="40" s="1"/>
  <c r="AG67" i="40"/>
  <c r="AF166" i="40"/>
  <c r="AF54" i="40"/>
  <c r="AF190" i="40"/>
  <c r="AF195" i="40" s="1"/>
  <c r="AF201" i="40" s="1"/>
  <c r="AF142" i="40"/>
  <c r="AF147" i="40" s="1"/>
  <c r="AF152" i="40" s="1"/>
  <c r="AE191" i="40"/>
  <c r="AE196" i="40" s="1"/>
  <c r="AG50" i="40"/>
  <c r="AG47" i="40"/>
  <c r="AG53" i="40" s="1"/>
  <c r="AG44" i="40"/>
  <c r="AG51" i="40" s="1"/>
  <c r="AC214" i="40"/>
  <c r="AC218" i="40" s="1"/>
  <c r="AC211" i="40"/>
  <c r="AE109" i="40"/>
  <c r="AE114" i="40" s="1"/>
  <c r="AE126" i="40"/>
  <c r="AE131" i="40" s="1"/>
  <c r="AF66" i="40"/>
  <c r="AE143" i="40"/>
  <c r="AE148" i="40" s="1"/>
  <c r="AE153" i="40" s="1"/>
  <c r="AE208" i="40" s="1"/>
  <c r="AE90" i="40"/>
  <c r="AE97" i="40" s="1"/>
  <c r="AF70" i="40"/>
  <c r="AE102" i="40"/>
  <c r="AC215" i="40"/>
  <c r="AD154" i="40"/>
  <c r="AG64" i="38" l="1"/>
  <c r="AG66" i="38"/>
  <c r="AG144" i="40"/>
  <c r="AG149" i="40" s="1"/>
  <c r="AD208" i="43"/>
  <c r="AD215" i="43" s="1"/>
  <c r="AE103" i="42"/>
  <c r="AE153" i="43"/>
  <c r="AE208" i="43" s="1"/>
  <c r="AE103" i="43"/>
  <c r="AE214" i="43"/>
  <c r="AE218" i="43" s="1"/>
  <c r="AE211" i="43"/>
  <c r="AF90" i="43"/>
  <c r="AF97" i="43" s="1"/>
  <c r="AG70" i="43"/>
  <c r="AG90" i="43" s="1"/>
  <c r="AG97" i="43" s="1"/>
  <c r="AF102" i="43"/>
  <c r="AF103" i="43" s="1"/>
  <c r="AG69" i="43"/>
  <c r="AG191" i="43" s="1"/>
  <c r="AG196" i="43" s="1"/>
  <c r="AG166" i="43"/>
  <c r="AG141" i="43"/>
  <c r="AG91" i="43"/>
  <c r="AG98" i="43" s="1"/>
  <c r="AG93" i="43"/>
  <c r="AG100" i="43" s="1"/>
  <c r="AF126" i="43"/>
  <c r="AF131" i="43" s="1"/>
  <c r="AG66" i="43"/>
  <c r="AF109" i="43"/>
  <c r="AF114" i="43" s="1"/>
  <c r="AF143" i="43"/>
  <c r="AF148" i="43" s="1"/>
  <c r="AG54" i="43"/>
  <c r="AG190" i="43"/>
  <c r="AG195" i="43" s="1"/>
  <c r="AG201" i="43" s="1"/>
  <c r="AG142" i="43"/>
  <c r="AG147" i="43" s="1"/>
  <c r="AG152" i="43" s="1"/>
  <c r="AF174" i="43"/>
  <c r="AF144" i="43"/>
  <c r="AF149" i="43" s="1"/>
  <c r="AF146" i="43"/>
  <c r="AF151" i="43" s="1"/>
  <c r="AD208" i="42"/>
  <c r="AF109" i="42"/>
  <c r="AF114" i="42" s="1"/>
  <c r="AF126" i="42"/>
  <c r="AF131" i="42" s="1"/>
  <c r="AG66" i="42"/>
  <c r="AF143" i="42"/>
  <c r="AF148" i="42" s="1"/>
  <c r="AG174" i="42"/>
  <c r="AF144" i="42"/>
  <c r="AF149" i="42" s="1"/>
  <c r="AF146" i="42"/>
  <c r="AF151" i="42" s="1"/>
  <c r="AG141" i="42"/>
  <c r="AG93" i="42"/>
  <c r="AG100" i="42" s="1"/>
  <c r="AG91" i="42"/>
  <c r="AG98" i="42" s="1"/>
  <c r="AF90" i="42"/>
  <c r="AF97" i="42" s="1"/>
  <c r="AG70" i="42"/>
  <c r="AG90" i="42" s="1"/>
  <c r="AG97" i="42" s="1"/>
  <c r="AE214" i="42"/>
  <c r="AE218" i="42" s="1"/>
  <c r="AE211" i="42"/>
  <c r="AF102" i="42"/>
  <c r="AF205" i="42" s="1"/>
  <c r="AE153" i="42"/>
  <c r="AE208" i="42" s="1"/>
  <c r="AE215" i="41"/>
  <c r="AE219" i="41" s="1"/>
  <c r="AE212" i="41"/>
  <c r="AE104" i="41"/>
  <c r="AG175" i="41"/>
  <c r="AE209" i="41"/>
  <c r="AE155" i="41"/>
  <c r="AG55" i="41"/>
  <c r="AG191" i="41"/>
  <c r="AG196" i="41" s="1"/>
  <c r="AG202" i="41" s="1"/>
  <c r="AG143" i="41"/>
  <c r="AG148" i="41" s="1"/>
  <c r="AG153" i="41" s="1"/>
  <c r="AG142" i="41"/>
  <c r="AG92" i="41"/>
  <c r="AG99" i="41" s="1"/>
  <c r="AG94" i="41"/>
  <c r="AG101" i="41" s="1"/>
  <c r="AF103" i="41"/>
  <c r="AF206" i="41" s="1"/>
  <c r="AD216" i="41"/>
  <c r="AF145" i="41"/>
  <c r="AF150" i="41" s="1"/>
  <c r="AF154" i="41" s="1"/>
  <c r="AF147" i="41"/>
  <c r="AF152" i="41" s="1"/>
  <c r="AF91" i="41"/>
  <c r="AF98" i="41" s="1"/>
  <c r="AG71" i="41"/>
  <c r="AG91" i="41" s="1"/>
  <c r="AG98" i="41" s="1"/>
  <c r="AE215" i="40"/>
  <c r="AG54" i="40"/>
  <c r="AG190" i="40"/>
  <c r="AG195" i="40" s="1"/>
  <c r="AG201" i="40" s="1"/>
  <c r="AG142" i="40"/>
  <c r="AG147" i="40" s="1"/>
  <c r="AG152" i="40" s="1"/>
  <c r="AE205" i="40"/>
  <c r="AE103" i="40"/>
  <c r="AF90" i="40"/>
  <c r="AF97" i="40" s="1"/>
  <c r="AG70" i="40"/>
  <c r="AF102" i="40"/>
  <c r="AG69" i="40"/>
  <c r="AG191" i="40" s="1"/>
  <c r="AG196" i="40" s="1"/>
  <c r="AG166" i="40"/>
  <c r="AE154" i="40"/>
  <c r="AF174" i="40"/>
  <c r="AF126" i="40"/>
  <c r="AF131" i="40" s="1"/>
  <c r="AG66" i="40"/>
  <c r="AF109" i="40"/>
  <c r="AF114" i="40" s="1"/>
  <c r="AF143" i="40"/>
  <c r="AF148" i="40" s="1"/>
  <c r="AF153" i="40" s="1"/>
  <c r="AD214" i="40"/>
  <c r="AD218" i="40" s="1"/>
  <c r="AD211" i="40"/>
  <c r="AF153" i="43" l="1"/>
  <c r="AF208" i="43" s="1"/>
  <c r="AE154" i="43"/>
  <c r="AF205" i="43"/>
  <c r="AG146" i="43"/>
  <c r="AG151" i="43" s="1"/>
  <c r="AG144" i="43"/>
  <c r="AG149" i="43" s="1"/>
  <c r="AG102" i="43"/>
  <c r="AG205" i="43" s="1"/>
  <c r="AE215" i="43"/>
  <c r="AG174" i="43"/>
  <c r="AG126" i="43"/>
  <c r="AG131" i="43" s="1"/>
  <c r="AG109" i="43"/>
  <c r="AG114" i="43" s="1"/>
  <c r="AG143" i="43"/>
  <c r="AG148" i="43" s="1"/>
  <c r="AE154" i="42"/>
  <c r="AF214" i="42"/>
  <c r="AF218" i="42" s="1"/>
  <c r="AF211" i="42"/>
  <c r="AF153" i="42"/>
  <c r="AF154" i="42" s="1"/>
  <c r="AF103" i="42"/>
  <c r="AG126" i="42"/>
  <c r="AG131" i="42" s="1"/>
  <c r="AG109" i="42"/>
  <c r="AG114" i="42" s="1"/>
  <c r="AG143" i="42"/>
  <c r="AG148" i="42" s="1"/>
  <c r="AD215" i="42"/>
  <c r="AE215" i="42"/>
  <c r="AG146" i="42"/>
  <c r="AG151" i="42" s="1"/>
  <c r="AG144" i="42"/>
  <c r="AG149" i="42" s="1"/>
  <c r="AG102" i="42"/>
  <c r="AG205" i="42" s="1"/>
  <c r="AF215" i="41"/>
  <c r="AF219" i="41" s="1"/>
  <c r="AF212" i="41"/>
  <c r="AF104" i="41"/>
  <c r="AE216" i="41"/>
  <c r="AG103" i="41"/>
  <c r="AG206" i="41" s="1"/>
  <c r="AF209" i="41"/>
  <c r="AF155" i="41"/>
  <c r="AG147" i="41"/>
  <c r="AG152" i="41" s="1"/>
  <c r="AG145" i="41"/>
  <c r="AG150" i="41" s="1"/>
  <c r="AG154" i="41" s="1"/>
  <c r="AF208" i="40"/>
  <c r="AF154" i="40"/>
  <c r="AE214" i="40"/>
  <c r="AE218" i="40" s="1"/>
  <c r="AE211" i="40"/>
  <c r="AG174" i="40"/>
  <c r="AG90" i="40"/>
  <c r="AG97" i="40" s="1"/>
  <c r="AG102" i="40"/>
  <c r="AG126" i="40"/>
  <c r="AG131" i="40" s="1"/>
  <c r="AG109" i="40"/>
  <c r="AG114" i="40" s="1"/>
  <c r="AG143" i="40"/>
  <c r="AG148" i="40" s="1"/>
  <c r="AG153" i="40" s="1"/>
  <c r="AF205" i="40"/>
  <c r="AF103" i="40"/>
  <c r="AG103" i="42" l="1"/>
  <c r="AG153" i="42"/>
  <c r="AG208" i="42" s="1"/>
  <c r="AF154" i="43"/>
  <c r="AG153" i="43"/>
  <c r="AG154" i="43" s="1"/>
  <c r="AG214" i="43"/>
  <c r="AG218" i="43" s="1"/>
  <c r="AG211" i="43"/>
  <c r="AF214" i="43"/>
  <c r="AF218" i="43" s="1"/>
  <c r="AF211" i="43"/>
  <c r="AG103" i="43"/>
  <c r="AF215" i="43"/>
  <c r="AF208" i="42"/>
  <c r="AG214" i="42"/>
  <c r="AG218" i="42" s="1"/>
  <c r="AG211" i="42"/>
  <c r="AG104" i="41"/>
  <c r="AF216" i="41"/>
  <c r="AG215" i="41"/>
  <c r="AG219" i="41" s="1"/>
  <c r="AG212" i="41"/>
  <c r="AG209" i="41"/>
  <c r="AG155" i="41"/>
  <c r="AG208" i="40"/>
  <c r="AG154" i="40"/>
  <c r="AF215" i="40"/>
  <c r="AF214" i="40"/>
  <c r="AF218" i="40" s="1"/>
  <c r="AF211" i="40"/>
  <c r="AG205" i="40"/>
  <c r="AG103" i="40"/>
  <c r="AG154" i="42" l="1"/>
  <c r="AG208" i="43"/>
  <c r="AG215" i="42"/>
  <c r="AF215" i="42"/>
  <c r="AG216" i="41"/>
  <c r="AG214" i="40"/>
  <c r="AG218" i="40" s="1"/>
  <c r="AG211" i="40"/>
  <c r="AG215" i="40"/>
  <c r="AG215" i="43" l="1"/>
  <c r="C29" i="39" l="1"/>
  <c r="C29" i="41"/>
  <c r="C29" i="43"/>
  <c r="C29" i="40"/>
  <c r="C29" i="42"/>
  <c r="C42" i="39"/>
  <c r="D42" i="39" s="1"/>
  <c r="E42" i="39" s="1"/>
  <c r="F42" i="39" s="1"/>
  <c r="G42" i="39" s="1"/>
  <c r="H42" i="39" s="1"/>
  <c r="I42" i="39" s="1"/>
  <c r="J42" i="39" s="1"/>
  <c r="K42" i="39" s="1"/>
  <c r="L42" i="39" s="1"/>
  <c r="M42" i="39" s="1"/>
  <c r="N42" i="39" s="1"/>
  <c r="O42" i="39" s="1"/>
  <c r="P42" i="39" s="1"/>
  <c r="Q42" i="39" s="1"/>
  <c r="R42" i="39" s="1"/>
  <c r="S42" i="39" s="1"/>
  <c r="T42" i="39" s="1"/>
  <c r="U42" i="39" s="1"/>
  <c r="V42" i="39" s="1"/>
  <c r="W42" i="39" s="1"/>
  <c r="X42" i="39" s="1"/>
  <c r="Y42" i="39" s="1"/>
  <c r="Z42" i="39" s="1"/>
  <c r="AA42" i="39" s="1"/>
  <c r="AB42" i="39" s="1"/>
  <c r="AC42" i="39" s="1"/>
  <c r="AD42" i="39" s="1"/>
  <c r="AE42" i="39" s="1"/>
  <c r="AF42" i="39" s="1"/>
  <c r="AG42" i="39" s="1"/>
  <c r="C28" i="39"/>
  <c r="C27" i="39"/>
  <c r="C80" i="39"/>
  <c r="H80" i="39" s="1"/>
  <c r="C67" i="39"/>
  <c r="C69" i="39" s="1"/>
  <c r="C30" i="39"/>
  <c r="C24" i="39"/>
  <c r="C26" i="39" s="1"/>
  <c r="C22" i="39"/>
  <c r="C21" i="39"/>
  <c r="C19" i="39"/>
  <c r="G81" i="39" s="1"/>
  <c r="C16" i="39"/>
  <c r="C15" i="39"/>
  <c r="C65" i="39" s="1"/>
  <c r="C66" i="39" s="1"/>
  <c r="C12" i="39"/>
  <c r="C159" i="39" s="1"/>
  <c r="D220" i="39"/>
  <c r="E220" i="39" s="1"/>
  <c r="F220" i="39" s="1"/>
  <c r="G220" i="39" s="1"/>
  <c r="H220" i="39" s="1"/>
  <c r="I220" i="39" s="1"/>
  <c r="J220" i="39" s="1"/>
  <c r="K220" i="39" s="1"/>
  <c r="L220" i="39" s="1"/>
  <c r="M220" i="39" s="1"/>
  <c r="N220" i="39" s="1"/>
  <c r="O220" i="39" s="1"/>
  <c r="P220" i="39" s="1"/>
  <c r="Q220" i="39" s="1"/>
  <c r="R220" i="39" s="1"/>
  <c r="S220" i="39" s="1"/>
  <c r="T220" i="39" s="1"/>
  <c r="U220" i="39" s="1"/>
  <c r="V220" i="39" s="1"/>
  <c r="W220" i="39" s="1"/>
  <c r="X220" i="39" s="1"/>
  <c r="Y220" i="39" s="1"/>
  <c r="Z220" i="39" s="1"/>
  <c r="AA220" i="39" s="1"/>
  <c r="AB220" i="39" s="1"/>
  <c r="AC220" i="39" s="1"/>
  <c r="AD220" i="39" s="1"/>
  <c r="AE220" i="39" s="1"/>
  <c r="AF220" i="39" s="1"/>
  <c r="AG220" i="39" s="1"/>
  <c r="D213" i="39"/>
  <c r="E213" i="39" s="1"/>
  <c r="F213" i="39" s="1"/>
  <c r="G213" i="39" s="1"/>
  <c r="H213" i="39" s="1"/>
  <c r="I213" i="39" s="1"/>
  <c r="J213" i="39" s="1"/>
  <c r="K213" i="39" s="1"/>
  <c r="L213" i="39" s="1"/>
  <c r="M213" i="39" s="1"/>
  <c r="N213" i="39" s="1"/>
  <c r="O213" i="39" s="1"/>
  <c r="P213" i="39" s="1"/>
  <c r="Q213" i="39" s="1"/>
  <c r="R213" i="39" s="1"/>
  <c r="S213" i="39" s="1"/>
  <c r="T213" i="39" s="1"/>
  <c r="U213" i="39" s="1"/>
  <c r="V213" i="39" s="1"/>
  <c r="W213" i="39" s="1"/>
  <c r="X213" i="39" s="1"/>
  <c r="Y213" i="39" s="1"/>
  <c r="Z213" i="39" s="1"/>
  <c r="AA213" i="39" s="1"/>
  <c r="AB213" i="39" s="1"/>
  <c r="AC213" i="39" s="1"/>
  <c r="AD213" i="39" s="1"/>
  <c r="AE213" i="39" s="1"/>
  <c r="AF213" i="39" s="1"/>
  <c r="AG213" i="39" s="1"/>
  <c r="A210" i="39"/>
  <c r="B210" i="39" s="1"/>
  <c r="A209" i="39"/>
  <c r="B209" i="39" s="1"/>
  <c r="A208" i="39"/>
  <c r="A222" i="39" s="1"/>
  <c r="A205" i="39"/>
  <c r="D204" i="39"/>
  <c r="E204" i="39" s="1"/>
  <c r="F204" i="39" s="1"/>
  <c r="G204" i="39" s="1"/>
  <c r="H204" i="39" s="1"/>
  <c r="I204" i="39" s="1"/>
  <c r="J204" i="39" s="1"/>
  <c r="K204" i="39" s="1"/>
  <c r="L204" i="39" s="1"/>
  <c r="M204" i="39" s="1"/>
  <c r="N204" i="39" s="1"/>
  <c r="O204" i="39" s="1"/>
  <c r="P204" i="39" s="1"/>
  <c r="Q204" i="39" s="1"/>
  <c r="R204" i="39" s="1"/>
  <c r="S204" i="39" s="1"/>
  <c r="T204" i="39" s="1"/>
  <c r="U204" i="39" s="1"/>
  <c r="V204" i="39" s="1"/>
  <c r="W204" i="39" s="1"/>
  <c r="X204" i="39" s="1"/>
  <c r="Y204" i="39" s="1"/>
  <c r="Z204" i="39" s="1"/>
  <c r="AA204" i="39" s="1"/>
  <c r="AB204" i="39" s="1"/>
  <c r="AC204" i="39" s="1"/>
  <c r="AD204" i="39" s="1"/>
  <c r="AE204" i="39" s="1"/>
  <c r="AF204" i="39" s="1"/>
  <c r="AG204" i="39" s="1"/>
  <c r="D183" i="39"/>
  <c r="E183" i="39" s="1"/>
  <c r="F183" i="39" s="1"/>
  <c r="G183" i="39" s="1"/>
  <c r="H183" i="39" s="1"/>
  <c r="I183" i="39" s="1"/>
  <c r="J183" i="39" s="1"/>
  <c r="K183" i="39" s="1"/>
  <c r="L183" i="39" s="1"/>
  <c r="M183" i="39" s="1"/>
  <c r="N183" i="39" s="1"/>
  <c r="O183" i="39" s="1"/>
  <c r="P183" i="39" s="1"/>
  <c r="Q183" i="39" s="1"/>
  <c r="R183" i="39" s="1"/>
  <c r="S183" i="39" s="1"/>
  <c r="T183" i="39" s="1"/>
  <c r="U183" i="39" s="1"/>
  <c r="V183" i="39" s="1"/>
  <c r="W183" i="39" s="1"/>
  <c r="X183" i="39" s="1"/>
  <c r="Y183" i="39" s="1"/>
  <c r="Z183" i="39" s="1"/>
  <c r="AA183" i="39" s="1"/>
  <c r="AB183" i="39" s="1"/>
  <c r="AC183" i="39" s="1"/>
  <c r="AD183" i="39" s="1"/>
  <c r="AE183" i="39" s="1"/>
  <c r="AF183" i="39" s="1"/>
  <c r="AG183" i="39" s="1"/>
  <c r="A175" i="39"/>
  <c r="B167" i="39"/>
  <c r="B175" i="39" s="1"/>
  <c r="F163" i="39"/>
  <c r="E163" i="39"/>
  <c r="D163" i="39"/>
  <c r="C163" i="39"/>
  <c r="D156" i="39"/>
  <c r="E156" i="39" s="1"/>
  <c r="F156" i="39" s="1"/>
  <c r="G156" i="39" s="1"/>
  <c r="H156" i="39" s="1"/>
  <c r="I156" i="39" s="1"/>
  <c r="J156" i="39" s="1"/>
  <c r="K156" i="39" s="1"/>
  <c r="L156" i="39" s="1"/>
  <c r="M156" i="39" s="1"/>
  <c r="N156" i="39" s="1"/>
  <c r="O156" i="39" s="1"/>
  <c r="P156" i="39" s="1"/>
  <c r="Q156" i="39" s="1"/>
  <c r="R156" i="39" s="1"/>
  <c r="S156" i="39" s="1"/>
  <c r="T156" i="39" s="1"/>
  <c r="U156" i="39" s="1"/>
  <c r="V156" i="39" s="1"/>
  <c r="W156" i="39" s="1"/>
  <c r="X156" i="39" s="1"/>
  <c r="Y156" i="39" s="1"/>
  <c r="Z156" i="39" s="1"/>
  <c r="AA156" i="39" s="1"/>
  <c r="AB156" i="39" s="1"/>
  <c r="AC156" i="39" s="1"/>
  <c r="AD156" i="39" s="1"/>
  <c r="AE156" i="39" s="1"/>
  <c r="AF156" i="39" s="1"/>
  <c r="AG156" i="39" s="1"/>
  <c r="D139" i="39"/>
  <c r="E139" i="39" s="1"/>
  <c r="F139" i="39" s="1"/>
  <c r="G139" i="39" s="1"/>
  <c r="H139" i="39" s="1"/>
  <c r="I139" i="39" s="1"/>
  <c r="J139" i="39" s="1"/>
  <c r="K139" i="39" s="1"/>
  <c r="L139" i="39" s="1"/>
  <c r="M139" i="39" s="1"/>
  <c r="N139" i="39" s="1"/>
  <c r="O139" i="39" s="1"/>
  <c r="P139" i="39" s="1"/>
  <c r="Q139" i="39" s="1"/>
  <c r="R139" i="39" s="1"/>
  <c r="S139" i="39" s="1"/>
  <c r="T139" i="39" s="1"/>
  <c r="U139" i="39" s="1"/>
  <c r="V139" i="39" s="1"/>
  <c r="W139" i="39" s="1"/>
  <c r="X139" i="39" s="1"/>
  <c r="Y139" i="39" s="1"/>
  <c r="Z139" i="39" s="1"/>
  <c r="AA139" i="39" s="1"/>
  <c r="AB139" i="39" s="1"/>
  <c r="AC139" i="39" s="1"/>
  <c r="AD139" i="39" s="1"/>
  <c r="AE139" i="39" s="1"/>
  <c r="AF139" i="39" s="1"/>
  <c r="AG139" i="39" s="1"/>
  <c r="D122" i="39"/>
  <c r="E122" i="39" s="1"/>
  <c r="F122" i="39" s="1"/>
  <c r="G122" i="39" s="1"/>
  <c r="H122" i="39" s="1"/>
  <c r="I122" i="39" s="1"/>
  <c r="J122" i="39" s="1"/>
  <c r="K122" i="39" s="1"/>
  <c r="L122" i="39" s="1"/>
  <c r="M122" i="39" s="1"/>
  <c r="N122" i="39" s="1"/>
  <c r="O122" i="39" s="1"/>
  <c r="P122" i="39" s="1"/>
  <c r="Q122" i="39" s="1"/>
  <c r="R122" i="39" s="1"/>
  <c r="S122" i="39" s="1"/>
  <c r="T122" i="39" s="1"/>
  <c r="U122" i="39" s="1"/>
  <c r="V122" i="39" s="1"/>
  <c r="W122" i="39" s="1"/>
  <c r="X122" i="39" s="1"/>
  <c r="Y122" i="39" s="1"/>
  <c r="Z122" i="39" s="1"/>
  <c r="AA122" i="39" s="1"/>
  <c r="AB122" i="39" s="1"/>
  <c r="AC122" i="39" s="1"/>
  <c r="AD122" i="39" s="1"/>
  <c r="AE122" i="39" s="1"/>
  <c r="AF122" i="39" s="1"/>
  <c r="AG122" i="39" s="1"/>
  <c r="D105" i="39"/>
  <c r="E105" i="39" s="1"/>
  <c r="F105" i="39" s="1"/>
  <c r="G105" i="39" s="1"/>
  <c r="H105" i="39" s="1"/>
  <c r="I105" i="39" s="1"/>
  <c r="J105" i="39" s="1"/>
  <c r="K105" i="39" s="1"/>
  <c r="L105" i="39" s="1"/>
  <c r="M105" i="39" s="1"/>
  <c r="N105" i="39" s="1"/>
  <c r="O105" i="39" s="1"/>
  <c r="P105" i="39" s="1"/>
  <c r="Q105" i="39" s="1"/>
  <c r="R105" i="39" s="1"/>
  <c r="S105" i="39" s="1"/>
  <c r="T105" i="39" s="1"/>
  <c r="U105" i="39" s="1"/>
  <c r="V105" i="39" s="1"/>
  <c r="W105" i="39" s="1"/>
  <c r="X105" i="39" s="1"/>
  <c r="Y105" i="39" s="1"/>
  <c r="Z105" i="39" s="1"/>
  <c r="AA105" i="39" s="1"/>
  <c r="AB105" i="39" s="1"/>
  <c r="AC105" i="39" s="1"/>
  <c r="AD105" i="39" s="1"/>
  <c r="AE105" i="39" s="1"/>
  <c r="AF105" i="39" s="1"/>
  <c r="AG105" i="39" s="1"/>
  <c r="A97" i="39"/>
  <c r="A96" i="39"/>
  <c r="A166" i="39" s="1"/>
  <c r="A174" i="39" s="1"/>
  <c r="D85" i="39"/>
  <c r="E85" i="39" s="1"/>
  <c r="F85" i="39" s="1"/>
  <c r="G85" i="39" s="1"/>
  <c r="H85" i="39" s="1"/>
  <c r="I85" i="39" s="1"/>
  <c r="J85" i="39" s="1"/>
  <c r="K85" i="39" s="1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X85" i="39" s="1"/>
  <c r="Y85" i="39" s="1"/>
  <c r="Z85" i="39" s="1"/>
  <c r="AA85" i="39" s="1"/>
  <c r="AB85" i="39" s="1"/>
  <c r="AC85" i="39" s="1"/>
  <c r="AD85" i="39" s="1"/>
  <c r="AE85" i="39" s="1"/>
  <c r="AF85" i="39" s="1"/>
  <c r="AG85" i="39" s="1"/>
  <c r="K80" i="39"/>
  <c r="H78" i="39"/>
  <c r="G78" i="39"/>
  <c r="F78" i="39"/>
  <c r="E78" i="39"/>
  <c r="C78" i="39"/>
  <c r="J74" i="39"/>
  <c r="J75" i="39" s="1"/>
  <c r="D68" i="39"/>
  <c r="D60" i="39"/>
  <c r="D59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AC57" i="39" s="1"/>
  <c r="AD57" i="39" s="1"/>
  <c r="AE57" i="39" s="1"/>
  <c r="AF57" i="39" s="1"/>
  <c r="AG57" i="39" s="1"/>
  <c r="D56" i="39"/>
  <c r="E56" i="39" s="1"/>
  <c r="F56" i="39" s="1"/>
  <c r="G56" i="39" s="1"/>
  <c r="H56" i="39" s="1"/>
  <c r="I56" i="39" s="1"/>
  <c r="J56" i="39" s="1"/>
  <c r="K56" i="39" s="1"/>
  <c r="L56" i="39" s="1"/>
  <c r="M56" i="39" s="1"/>
  <c r="N56" i="39" s="1"/>
  <c r="O56" i="39" s="1"/>
  <c r="P56" i="39" s="1"/>
  <c r="Q56" i="39" s="1"/>
  <c r="R56" i="39" s="1"/>
  <c r="S56" i="39" s="1"/>
  <c r="T56" i="39" s="1"/>
  <c r="U56" i="39" s="1"/>
  <c r="V56" i="39" s="1"/>
  <c r="W56" i="39" s="1"/>
  <c r="X56" i="39" s="1"/>
  <c r="Y56" i="39" s="1"/>
  <c r="Z56" i="39" s="1"/>
  <c r="AA56" i="39" s="1"/>
  <c r="AB56" i="39" s="1"/>
  <c r="AC56" i="39" s="1"/>
  <c r="AD56" i="39" s="1"/>
  <c r="AE56" i="39" s="1"/>
  <c r="AF56" i="39" s="1"/>
  <c r="AG56" i="39" s="1"/>
  <c r="D55" i="39"/>
  <c r="E55" i="39" s="1"/>
  <c r="F55" i="39" s="1"/>
  <c r="G55" i="39" s="1"/>
  <c r="H55" i="39" s="1"/>
  <c r="I55" i="39" s="1"/>
  <c r="J55" i="39" s="1"/>
  <c r="K55" i="39" s="1"/>
  <c r="L55" i="39" s="1"/>
  <c r="M55" i="39" s="1"/>
  <c r="N55" i="39" s="1"/>
  <c r="O55" i="39" s="1"/>
  <c r="P55" i="39" s="1"/>
  <c r="Q55" i="39" s="1"/>
  <c r="R55" i="39" s="1"/>
  <c r="S55" i="39" s="1"/>
  <c r="T55" i="39" s="1"/>
  <c r="U55" i="39" s="1"/>
  <c r="V55" i="39" s="1"/>
  <c r="W55" i="39" s="1"/>
  <c r="X55" i="39" s="1"/>
  <c r="Y55" i="39" s="1"/>
  <c r="Z55" i="39" s="1"/>
  <c r="AA55" i="39" s="1"/>
  <c r="AB55" i="39" s="1"/>
  <c r="AC55" i="39" s="1"/>
  <c r="AD55" i="39" s="1"/>
  <c r="AE55" i="39" s="1"/>
  <c r="AF55" i="39" s="1"/>
  <c r="AG55" i="39" s="1"/>
  <c r="C52" i="39"/>
  <c r="C51" i="39"/>
  <c r="C50" i="39"/>
  <c r="D48" i="39"/>
  <c r="E48" i="39" s="1"/>
  <c r="F48" i="39" s="1"/>
  <c r="G48" i="39" s="1"/>
  <c r="H48" i="39" s="1"/>
  <c r="I48" i="39" s="1"/>
  <c r="J48" i="39" s="1"/>
  <c r="K48" i="39" s="1"/>
  <c r="L48" i="39" s="1"/>
  <c r="M48" i="39" s="1"/>
  <c r="N48" i="39" s="1"/>
  <c r="O48" i="39" s="1"/>
  <c r="P48" i="39" s="1"/>
  <c r="Q48" i="39" s="1"/>
  <c r="R48" i="39" s="1"/>
  <c r="S48" i="39" s="1"/>
  <c r="T48" i="39" s="1"/>
  <c r="U48" i="39" s="1"/>
  <c r="V48" i="39" s="1"/>
  <c r="W48" i="39" s="1"/>
  <c r="X48" i="39" s="1"/>
  <c r="Y48" i="39" s="1"/>
  <c r="Z48" i="39" s="1"/>
  <c r="AA48" i="39" s="1"/>
  <c r="AB48" i="39" s="1"/>
  <c r="AC48" i="39" s="1"/>
  <c r="AD48" i="39" s="1"/>
  <c r="AE48" i="39" s="1"/>
  <c r="AF48" i="39" s="1"/>
  <c r="AG48" i="39" s="1"/>
  <c r="C47" i="39"/>
  <c r="C53" i="39" s="1"/>
  <c r="X46" i="39"/>
  <c r="Y46" i="39" s="1"/>
  <c r="Z46" i="39" s="1"/>
  <c r="AA46" i="39" s="1"/>
  <c r="AB46" i="39" s="1"/>
  <c r="AC46" i="39" s="1"/>
  <c r="AD46" i="39" s="1"/>
  <c r="AE46" i="39" s="1"/>
  <c r="AF46" i="39" s="1"/>
  <c r="AG46" i="39" s="1"/>
  <c r="T46" i="39"/>
  <c r="U46" i="39" s="1"/>
  <c r="V46" i="39" s="1"/>
  <c r="O46" i="39"/>
  <c r="P46" i="39" s="1"/>
  <c r="Q46" i="39" s="1"/>
  <c r="R46" i="39" s="1"/>
  <c r="J46" i="39"/>
  <c r="K46" i="39" s="1"/>
  <c r="L46" i="39" s="1"/>
  <c r="M46" i="39" s="1"/>
  <c r="D46" i="39"/>
  <c r="E46" i="39" s="1"/>
  <c r="F46" i="39" s="1"/>
  <c r="G46" i="39" s="1"/>
  <c r="H46" i="39" s="1"/>
  <c r="D45" i="39"/>
  <c r="D44" i="39"/>
  <c r="E44" i="39" s="1"/>
  <c r="D43" i="39"/>
  <c r="D41" i="39"/>
  <c r="D40" i="39"/>
  <c r="E40" i="39" s="1"/>
  <c r="F40" i="39" s="1"/>
  <c r="G40" i="39" s="1"/>
  <c r="H40" i="39" s="1"/>
  <c r="I40" i="39" s="1"/>
  <c r="J40" i="39" s="1"/>
  <c r="K40" i="39" s="1"/>
  <c r="D39" i="39"/>
  <c r="E39" i="39" s="1"/>
  <c r="F39" i="39" s="1"/>
  <c r="G39" i="39" s="1"/>
  <c r="D38" i="39"/>
  <c r="E38" i="39" s="1"/>
  <c r="F38" i="39" s="1"/>
  <c r="G38" i="39" s="1"/>
  <c r="H38" i="39" s="1"/>
  <c r="I38" i="39" s="1"/>
  <c r="J38" i="39" s="1"/>
  <c r="K38" i="39" s="1"/>
  <c r="L38" i="39" s="1"/>
  <c r="M38" i="39" s="1"/>
  <c r="N38" i="39" s="1"/>
  <c r="O38" i="39" s="1"/>
  <c r="P38" i="39" s="1"/>
  <c r="Q38" i="39" s="1"/>
  <c r="R38" i="39" s="1"/>
  <c r="S38" i="39" s="1"/>
  <c r="T38" i="39" s="1"/>
  <c r="U38" i="39" s="1"/>
  <c r="V38" i="39" s="1"/>
  <c r="W38" i="39" s="1"/>
  <c r="X38" i="39" s="1"/>
  <c r="Y38" i="39" s="1"/>
  <c r="Z38" i="39" s="1"/>
  <c r="AA38" i="39" s="1"/>
  <c r="AB38" i="39" s="1"/>
  <c r="AC38" i="39" s="1"/>
  <c r="AD38" i="39" s="1"/>
  <c r="AE38" i="39" s="1"/>
  <c r="AF38" i="39" s="1"/>
  <c r="AG38" i="39" s="1"/>
  <c r="L10" i="39"/>
  <c r="K10" i="39"/>
  <c r="L9" i="39"/>
  <c r="L11" i="39" s="1"/>
  <c r="K9" i="39"/>
  <c r="J9" i="39"/>
  <c r="J11" i="39" s="1"/>
  <c r="I9" i="39"/>
  <c r="I11" i="39" s="1"/>
  <c r="D80" i="38"/>
  <c r="E80" i="38" s="1"/>
  <c r="F80" i="38" s="1"/>
  <c r="G80" i="38" s="1"/>
  <c r="H80" i="38" s="1"/>
  <c r="I80" i="38" s="1"/>
  <c r="J80" i="38" s="1"/>
  <c r="K80" i="38" s="1"/>
  <c r="L80" i="38" s="1"/>
  <c r="M80" i="38" s="1"/>
  <c r="N80" i="38" s="1"/>
  <c r="O80" i="38" s="1"/>
  <c r="P80" i="38" s="1"/>
  <c r="Q80" i="38" s="1"/>
  <c r="R80" i="38" s="1"/>
  <c r="S80" i="38" s="1"/>
  <c r="T80" i="38" s="1"/>
  <c r="U80" i="38" s="1"/>
  <c r="V80" i="38" s="1"/>
  <c r="W80" i="38" s="1"/>
  <c r="X80" i="38" s="1"/>
  <c r="Y80" i="38" s="1"/>
  <c r="Z80" i="38" s="1"/>
  <c r="AA80" i="38" s="1"/>
  <c r="AB80" i="38" s="1"/>
  <c r="AC80" i="38" s="1"/>
  <c r="AD80" i="38" s="1"/>
  <c r="AE80" i="38" s="1"/>
  <c r="AF80" i="38" s="1"/>
  <c r="AG80" i="38" s="1"/>
  <c r="A165" i="38"/>
  <c r="A192" i="38" s="1"/>
  <c r="D40" i="38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AG40" i="38" s="1"/>
  <c r="D191" i="38"/>
  <c r="E191" i="38" s="1"/>
  <c r="F191" i="38" s="1"/>
  <c r="G191" i="38" s="1"/>
  <c r="H191" i="38" s="1"/>
  <c r="I191" i="38" s="1"/>
  <c r="J191" i="38" s="1"/>
  <c r="K191" i="38" s="1"/>
  <c r="L191" i="38" s="1"/>
  <c r="M191" i="38" s="1"/>
  <c r="N191" i="38" s="1"/>
  <c r="O191" i="38" s="1"/>
  <c r="P191" i="38" s="1"/>
  <c r="Q191" i="38" s="1"/>
  <c r="R191" i="38" s="1"/>
  <c r="S191" i="38" s="1"/>
  <c r="T191" i="38" s="1"/>
  <c r="U191" i="38" s="1"/>
  <c r="V191" i="38" s="1"/>
  <c r="W191" i="38" s="1"/>
  <c r="X191" i="38" s="1"/>
  <c r="Y191" i="38" s="1"/>
  <c r="Z191" i="38" s="1"/>
  <c r="AA191" i="38" s="1"/>
  <c r="AB191" i="38" s="1"/>
  <c r="AC191" i="38" s="1"/>
  <c r="AD191" i="38" s="1"/>
  <c r="AE191" i="38" s="1"/>
  <c r="AF191" i="38" s="1"/>
  <c r="AG191" i="38" s="1"/>
  <c r="D173" i="38"/>
  <c r="E173" i="38" s="1"/>
  <c r="F173" i="38" s="1"/>
  <c r="G173" i="38" s="1"/>
  <c r="H173" i="38" s="1"/>
  <c r="I173" i="38" s="1"/>
  <c r="J173" i="38" s="1"/>
  <c r="K173" i="38" s="1"/>
  <c r="L173" i="38" s="1"/>
  <c r="M173" i="38" s="1"/>
  <c r="N173" i="38" s="1"/>
  <c r="O173" i="38" s="1"/>
  <c r="P173" i="38" s="1"/>
  <c r="Q173" i="38" s="1"/>
  <c r="R173" i="38" s="1"/>
  <c r="S173" i="38" s="1"/>
  <c r="T173" i="38" s="1"/>
  <c r="U173" i="38" s="1"/>
  <c r="V173" i="38" s="1"/>
  <c r="W173" i="38" s="1"/>
  <c r="X173" i="38" s="1"/>
  <c r="Y173" i="38" s="1"/>
  <c r="Z173" i="38" s="1"/>
  <c r="AA173" i="38" s="1"/>
  <c r="AB173" i="38" s="1"/>
  <c r="AC173" i="38" s="1"/>
  <c r="AD173" i="38" s="1"/>
  <c r="AE173" i="38" s="1"/>
  <c r="AF173" i="38" s="1"/>
  <c r="AG173" i="38" s="1"/>
  <c r="A170" i="38"/>
  <c r="B178" i="38" s="1"/>
  <c r="A168" i="38"/>
  <c r="A177" i="38" s="1"/>
  <c r="A169" i="38"/>
  <c r="D164" i="38"/>
  <c r="E164" i="38" s="1"/>
  <c r="F164" i="38" s="1"/>
  <c r="G164" i="38" s="1"/>
  <c r="H164" i="38" s="1"/>
  <c r="I164" i="38" s="1"/>
  <c r="J164" i="38" s="1"/>
  <c r="K164" i="38" s="1"/>
  <c r="L164" i="38" s="1"/>
  <c r="M164" i="38" s="1"/>
  <c r="N164" i="38" s="1"/>
  <c r="O164" i="38" s="1"/>
  <c r="P164" i="38" s="1"/>
  <c r="Q164" i="38" s="1"/>
  <c r="R164" i="38" s="1"/>
  <c r="S164" i="38" s="1"/>
  <c r="T164" i="38" s="1"/>
  <c r="U164" i="38" s="1"/>
  <c r="V164" i="38" s="1"/>
  <c r="W164" i="38" s="1"/>
  <c r="X164" i="38" s="1"/>
  <c r="Y164" i="38" s="1"/>
  <c r="Z164" i="38" s="1"/>
  <c r="AA164" i="38" s="1"/>
  <c r="AB164" i="38" s="1"/>
  <c r="AC164" i="38" s="1"/>
  <c r="AD164" i="38" s="1"/>
  <c r="AE164" i="38" s="1"/>
  <c r="AF164" i="38" s="1"/>
  <c r="AG164" i="38" s="1"/>
  <c r="D148" i="38"/>
  <c r="E148" i="38" s="1"/>
  <c r="F148" i="38" s="1"/>
  <c r="G148" i="38" s="1"/>
  <c r="H148" i="38" s="1"/>
  <c r="I148" i="38" s="1"/>
  <c r="J148" i="38" s="1"/>
  <c r="K148" i="38" s="1"/>
  <c r="L148" i="38" s="1"/>
  <c r="M148" i="38" s="1"/>
  <c r="N148" i="38" s="1"/>
  <c r="O148" i="38" s="1"/>
  <c r="P148" i="38" s="1"/>
  <c r="Q148" i="38" s="1"/>
  <c r="R148" i="38" s="1"/>
  <c r="S148" i="38" s="1"/>
  <c r="T148" i="38" s="1"/>
  <c r="U148" i="38" s="1"/>
  <c r="V148" i="38" s="1"/>
  <c r="W148" i="38" s="1"/>
  <c r="X148" i="38" s="1"/>
  <c r="Y148" i="38" s="1"/>
  <c r="Z148" i="38" s="1"/>
  <c r="AA148" i="38" s="1"/>
  <c r="AB148" i="38" s="1"/>
  <c r="AC148" i="38" s="1"/>
  <c r="AD148" i="38" s="1"/>
  <c r="AE148" i="38" s="1"/>
  <c r="AF148" i="38" s="1"/>
  <c r="AG148" i="38" s="1"/>
  <c r="D131" i="38"/>
  <c r="D114" i="38"/>
  <c r="E114" i="38" s="1"/>
  <c r="F114" i="38" s="1"/>
  <c r="G114" i="38" s="1"/>
  <c r="H114" i="38" s="1"/>
  <c r="I114" i="38" s="1"/>
  <c r="J114" i="38" s="1"/>
  <c r="K114" i="38" s="1"/>
  <c r="L114" i="38" s="1"/>
  <c r="M114" i="38" s="1"/>
  <c r="N114" i="38" s="1"/>
  <c r="O114" i="38" s="1"/>
  <c r="P114" i="38" s="1"/>
  <c r="Q114" i="38" s="1"/>
  <c r="R114" i="38" s="1"/>
  <c r="S114" i="38" s="1"/>
  <c r="T114" i="38" s="1"/>
  <c r="U114" i="38" s="1"/>
  <c r="V114" i="38" s="1"/>
  <c r="W114" i="38" s="1"/>
  <c r="X114" i="38" s="1"/>
  <c r="Y114" i="38" s="1"/>
  <c r="Z114" i="38" s="1"/>
  <c r="AA114" i="38" s="1"/>
  <c r="AB114" i="38" s="1"/>
  <c r="AC114" i="38" s="1"/>
  <c r="AD114" i="38" s="1"/>
  <c r="AE114" i="38" s="1"/>
  <c r="AF114" i="38" s="1"/>
  <c r="AG114" i="38" s="1"/>
  <c r="D97" i="38"/>
  <c r="E97" i="38" s="1"/>
  <c r="F97" i="38" s="1"/>
  <c r="G97" i="38" s="1"/>
  <c r="H97" i="38" s="1"/>
  <c r="I97" i="38" s="1"/>
  <c r="J97" i="38" s="1"/>
  <c r="K97" i="38" s="1"/>
  <c r="L97" i="38" s="1"/>
  <c r="M97" i="38" s="1"/>
  <c r="N97" i="38" s="1"/>
  <c r="O97" i="38" s="1"/>
  <c r="P97" i="38" s="1"/>
  <c r="Q97" i="38" s="1"/>
  <c r="R97" i="38" s="1"/>
  <c r="S97" i="38" s="1"/>
  <c r="T97" i="38" s="1"/>
  <c r="U97" i="38" s="1"/>
  <c r="V97" i="38" s="1"/>
  <c r="W97" i="38" s="1"/>
  <c r="X97" i="38" s="1"/>
  <c r="Y97" i="38" s="1"/>
  <c r="Z97" i="38" s="1"/>
  <c r="AA97" i="38" s="1"/>
  <c r="AB97" i="38" s="1"/>
  <c r="AC97" i="38" s="1"/>
  <c r="AD97" i="38" s="1"/>
  <c r="AE97" i="38" s="1"/>
  <c r="AF97" i="38" s="1"/>
  <c r="AG97" i="38" s="1"/>
  <c r="D62" i="38"/>
  <c r="B177" i="38" l="1"/>
  <c r="A186" i="38"/>
  <c r="B186" i="38" s="1"/>
  <c r="E131" i="38"/>
  <c r="C77" i="38"/>
  <c r="D77" i="38"/>
  <c r="E77" i="38"/>
  <c r="F77" i="38"/>
  <c r="G77" i="38"/>
  <c r="H77" i="38"/>
  <c r="I77" i="38"/>
  <c r="J77" i="38"/>
  <c r="K77" i="38"/>
  <c r="L77" i="38"/>
  <c r="M77" i="38"/>
  <c r="N77" i="38"/>
  <c r="O77" i="38"/>
  <c r="P77" i="38"/>
  <c r="Q77" i="38"/>
  <c r="R77" i="38"/>
  <c r="S77" i="38"/>
  <c r="T77" i="38"/>
  <c r="U77" i="38"/>
  <c r="V77" i="38"/>
  <c r="W77" i="38"/>
  <c r="X77" i="38"/>
  <c r="Y77" i="38"/>
  <c r="Z77" i="38"/>
  <c r="AA77" i="38"/>
  <c r="AB77" i="38"/>
  <c r="AC77" i="38"/>
  <c r="AD77" i="38"/>
  <c r="AE77" i="38"/>
  <c r="AF77" i="38"/>
  <c r="AG77" i="38"/>
  <c r="E62" i="38"/>
  <c r="C82" i="38"/>
  <c r="C74" i="38"/>
  <c r="D74" i="38"/>
  <c r="E74" i="38"/>
  <c r="F74" i="38"/>
  <c r="G74" i="38"/>
  <c r="H74" i="38"/>
  <c r="I74" i="38"/>
  <c r="J74" i="38"/>
  <c r="K74" i="38"/>
  <c r="L74" i="38"/>
  <c r="M74" i="38"/>
  <c r="N74" i="38"/>
  <c r="O74" i="38"/>
  <c r="P74" i="38"/>
  <c r="Q74" i="38"/>
  <c r="R74" i="38"/>
  <c r="S74" i="38"/>
  <c r="T74" i="38"/>
  <c r="U74" i="38"/>
  <c r="V74" i="38"/>
  <c r="X74" i="38"/>
  <c r="W74" i="38"/>
  <c r="Y74" i="38"/>
  <c r="Z74" i="38"/>
  <c r="AA74" i="38"/>
  <c r="AB74" i="38"/>
  <c r="AC74" i="38"/>
  <c r="AD74" i="38"/>
  <c r="AE74" i="38"/>
  <c r="AF74" i="38"/>
  <c r="AG74" i="38"/>
  <c r="K11" i="39"/>
  <c r="A215" i="39"/>
  <c r="B215" i="39" s="1"/>
  <c r="A216" i="39"/>
  <c r="B216" i="39" s="1"/>
  <c r="E60" i="39"/>
  <c r="D140" i="39"/>
  <c r="D52" i="39"/>
  <c r="C63" i="39"/>
  <c r="C188" i="40"/>
  <c r="C197" i="40" s="1"/>
  <c r="D188" i="40"/>
  <c r="D197" i="40" s="1"/>
  <c r="E188" i="40"/>
  <c r="E197" i="40" s="1"/>
  <c r="F188" i="40"/>
  <c r="F197" i="40" s="1"/>
  <c r="G188" i="40"/>
  <c r="G197" i="40" s="1"/>
  <c r="H188" i="40"/>
  <c r="H197" i="40" s="1"/>
  <c r="I188" i="40"/>
  <c r="I197" i="40" s="1"/>
  <c r="J188" i="40"/>
  <c r="J197" i="40" s="1"/>
  <c r="K188" i="40"/>
  <c r="K197" i="40" s="1"/>
  <c r="L188" i="40"/>
  <c r="L197" i="40" s="1"/>
  <c r="M188" i="40"/>
  <c r="M197" i="40" s="1"/>
  <c r="N188" i="40"/>
  <c r="N197" i="40" s="1"/>
  <c r="O188" i="40"/>
  <c r="O197" i="40" s="1"/>
  <c r="P188" i="40"/>
  <c r="P197" i="40" s="1"/>
  <c r="Q188" i="40"/>
  <c r="Q197" i="40" s="1"/>
  <c r="R188" i="40"/>
  <c r="R197" i="40" s="1"/>
  <c r="S188" i="40"/>
  <c r="S197" i="40" s="1"/>
  <c r="T188" i="40"/>
  <c r="T197" i="40" s="1"/>
  <c r="U188" i="40"/>
  <c r="U197" i="40" s="1"/>
  <c r="V188" i="40"/>
  <c r="V197" i="40" s="1"/>
  <c r="W188" i="40"/>
  <c r="W197" i="40" s="1"/>
  <c r="X188" i="40"/>
  <c r="X197" i="40" s="1"/>
  <c r="Y188" i="40"/>
  <c r="Y197" i="40" s="1"/>
  <c r="Z188" i="40"/>
  <c r="Z197" i="40" s="1"/>
  <c r="AA188" i="40"/>
  <c r="AA197" i="40" s="1"/>
  <c r="AB188" i="40"/>
  <c r="AB197" i="40" s="1"/>
  <c r="AC188" i="40"/>
  <c r="AC197" i="40" s="1"/>
  <c r="AD188" i="40"/>
  <c r="AD197" i="40" s="1"/>
  <c r="AE188" i="40"/>
  <c r="AE197" i="40" s="1"/>
  <c r="AF188" i="40"/>
  <c r="AF197" i="40" s="1"/>
  <c r="AG188" i="40"/>
  <c r="AG197" i="40" s="1"/>
  <c r="C188" i="43"/>
  <c r="C197" i="43" s="1"/>
  <c r="E188" i="43"/>
  <c r="E197" i="43" s="1"/>
  <c r="D188" i="43"/>
  <c r="D197" i="43" s="1"/>
  <c r="F188" i="43"/>
  <c r="F197" i="43" s="1"/>
  <c r="G188" i="43"/>
  <c r="G197" i="43" s="1"/>
  <c r="H188" i="43"/>
  <c r="H197" i="43" s="1"/>
  <c r="I188" i="43"/>
  <c r="I197" i="43" s="1"/>
  <c r="J188" i="43"/>
  <c r="J197" i="43" s="1"/>
  <c r="K188" i="43"/>
  <c r="K197" i="43" s="1"/>
  <c r="L188" i="43"/>
  <c r="L197" i="43" s="1"/>
  <c r="M188" i="43"/>
  <c r="M197" i="43" s="1"/>
  <c r="N188" i="43"/>
  <c r="N197" i="43" s="1"/>
  <c r="O188" i="43"/>
  <c r="O197" i="43" s="1"/>
  <c r="P188" i="43"/>
  <c r="P197" i="43" s="1"/>
  <c r="Q188" i="43"/>
  <c r="Q197" i="43" s="1"/>
  <c r="R188" i="43"/>
  <c r="R197" i="43" s="1"/>
  <c r="S188" i="43"/>
  <c r="S197" i="43" s="1"/>
  <c r="T188" i="43"/>
  <c r="T197" i="43" s="1"/>
  <c r="U188" i="43"/>
  <c r="U197" i="43" s="1"/>
  <c r="V188" i="43"/>
  <c r="V197" i="43" s="1"/>
  <c r="W188" i="43"/>
  <c r="W197" i="43" s="1"/>
  <c r="X188" i="43"/>
  <c r="X197" i="43" s="1"/>
  <c r="Y188" i="43"/>
  <c r="Y197" i="43" s="1"/>
  <c r="Z188" i="43"/>
  <c r="Z197" i="43" s="1"/>
  <c r="AA188" i="43"/>
  <c r="AA197" i="43" s="1"/>
  <c r="AB188" i="43"/>
  <c r="AB197" i="43" s="1"/>
  <c r="AC188" i="43"/>
  <c r="AC197" i="43" s="1"/>
  <c r="AD188" i="43"/>
  <c r="AD197" i="43" s="1"/>
  <c r="AE188" i="43"/>
  <c r="AE197" i="43" s="1"/>
  <c r="AF188" i="43"/>
  <c r="AF197" i="43" s="1"/>
  <c r="AG188" i="43"/>
  <c r="AG197" i="43" s="1"/>
  <c r="C189" i="41"/>
  <c r="C198" i="41" s="1"/>
  <c r="E189" i="41"/>
  <c r="E198" i="41" s="1"/>
  <c r="D189" i="41"/>
  <c r="D198" i="41" s="1"/>
  <c r="F189" i="41"/>
  <c r="F198" i="41" s="1"/>
  <c r="G189" i="41"/>
  <c r="G198" i="41" s="1"/>
  <c r="H189" i="41"/>
  <c r="H198" i="41" s="1"/>
  <c r="I189" i="41"/>
  <c r="I198" i="41" s="1"/>
  <c r="J189" i="41"/>
  <c r="J198" i="41" s="1"/>
  <c r="K189" i="41"/>
  <c r="K198" i="41" s="1"/>
  <c r="L189" i="41"/>
  <c r="L198" i="41" s="1"/>
  <c r="M189" i="41"/>
  <c r="M198" i="41" s="1"/>
  <c r="N189" i="41"/>
  <c r="N198" i="41" s="1"/>
  <c r="O189" i="41"/>
  <c r="O198" i="41" s="1"/>
  <c r="P189" i="41"/>
  <c r="P198" i="41" s="1"/>
  <c r="Q189" i="41"/>
  <c r="Q198" i="41" s="1"/>
  <c r="R189" i="41"/>
  <c r="R198" i="41" s="1"/>
  <c r="S189" i="41"/>
  <c r="S198" i="41" s="1"/>
  <c r="T189" i="41"/>
  <c r="T198" i="41" s="1"/>
  <c r="U189" i="41"/>
  <c r="U198" i="41" s="1"/>
  <c r="V189" i="41"/>
  <c r="V198" i="41" s="1"/>
  <c r="W189" i="41"/>
  <c r="W198" i="41" s="1"/>
  <c r="X189" i="41"/>
  <c r="X198" i="41" s="1"/>
  <c r="Y189" i="41"/>
  <c r="Y198" i="41" s="1"/>
  <c r="Z189" i="41"/>
  <c r="Z198" i="41" s="1"/>
  <c r="AA189" i="41"/>
  <c r="AA198" i="41" s="1"/>
  <c r="AB189" i="41"/>
  <c r="AB198" i="41" s="1"/>
  <c r="AC189" i="41"/>
  <c r="AC198" i="41" s="1"/>
  <c r="AD189" i="41"/>
  <c r="AD198" i="41" s="1"/>
  <c r="AE189" i="41"/>
  <c r="AE198" i="41" s="1"/>
  <c r="AF189" i="41"/>
  <c r="AF198" i="41" s="1"/>
  <c r="AG189" i="41"/>
  <c r="AG198" i="41" s="1"/>
  <c r="F188" i="42"/>
  <c r="F197" i="42" s="1"/>
  <c r="E188" i="42"/>
  <c r="E197" i="42" s="1"/>
  <c r="D188" i="42"/>
  <c r="D197" i="42" s="1"/>
  <c r="C188" i="42"/>
  <c r="C197" i="42" s="1"/>
  <c r="G188" i="42"/>
  <c r="G197" i="42" s="1"/>
  <c r="H188" i="42"/>
  <c r="H197" i="42" s="1"/>
  <c r="I188" i="42"/>
  <c r="I197" i="42" s="1"/>
  <c r="J188" i="42"/>
  <c r="J197" i="42" s="1"/>
  <c r="K188" i="42"/>
  <c r="K197" i="42" s="1"/>
  <c r="L188" i="42"/>
  <c r="L197" i="42" s="1"/>
  <c r="M188" i="42"/>
  <c r="M197" i="42" s="1"/>
  <c r="N188" i="42"/>
  <c r="N197" i="42" s="1"/>
  <c r="O188" i="42"/>
  <c r="O197" i="42" s="1"/>
  <c r="P188" i="42"/>
  <c r="P197" i="42" s="1"/>
  <c r="Q188" i="42"/>
  <c r="Q197" i="42" s="1"/>
  <c r="R188" i="42"/>
  <c r="R197" i="42" s="1"/>
  <c r="S188" i="42"/>
  <c r="S197" i="42" s="1"/>
  <c r="T188" i="42"/>
  <c r="T197" i="42" s="1"/>
  <c r="U188" i="42"/>
  <c r="U197" i="42" s="1"/>
  <c r="V188" i="42"/>
  <c r="V197" i="42" s="1"/>
  <c r="W188" i="42"/>
  <c r="W197" i="42" s="1"/>
  <c r="X188" i="42"/>
  <c r="X197" i="42" s="1"/>
  <c r="Y188" i="42"/>
  <c r="Y197" i="42" s="1"/>
  <c r="Z188" i="42"/>
  <c r="Z197" i="42" s="1"/>
  <c r="AA188" i="42"/>
  <c r="AA197" i="42" s="1"/>
  <c r="AB188" i="42"/>
  <c r="AB197" i="42" s="1"/>
  <c r="AC188" i="42"/>
  <c r="AC197" i="42" s="1"/>
  <c r="AD188" i="42"/>
  <c r="AD197" i="42" s="1"/>
  <c r="AE188" i="42"/>
  <c r="AE197" i="42" s="1"/>
  <c r="AF188" i="42"/>
  <c r="AF197" i="42" s="1"/>
  <c r="AG188" i="42"/>
  <c r="AG197" i="42" s="1"/>
  <c r="E59" i="39"/>
  <c r="F59" i="39" s="1"/>
  <c r="C166" i="39"/>
  <c r="C174" i="39" s="1"/>
  <c r="C175" i="39"/>
  <c r="A217" i="39"/>
  <c r="B217" i="39" s="1"/>
  <c r="C54" i="39"/>
  <c r="E45" i="39"/>
  <c r="F45" i="39" s="1"/>
  <c r="D47" i="39"/>
  <c r="D53" i="39" s="1"/>
  <c r="D159" i="39"/>
  <c r="F80" i="39"/>
  <c r="F82" i="39" s="1"/>
  <c r="D67" i="39"/>
  <c r="D166" i="39" s="1"/>
  <c r="C188" i="39"/>
  <c r="C82" i="39"/>
  <c r="Y175" i="39"/>
  <c r="H82" i="39"/>
  <c r="N175" i="39"/>
  <c r="Z175" i="39"/>
  <c r="O175" i="39"/>
  <c r="AA175" i="39"/>
  <c r="D175" i="39"/>
  <c r="P175" i="39"/>
  <c r="AB175" i="39"/>
  <c r="E175" i="39"/>
  <c r="Q175" i="39"/>
  <c r="AC175" i="39"/>
  <c r="F175" i="39"/>
  <c r="R175" i="39"/>
  <c r="AD175" i="39"/>
  <c r="AE175" i="39"/>
  <c r="S175" i="39"/>
  <c r="T175" i="39"/>
  <c r="I175" i="39"/>
  <c r="U175" i="39"/>
  <c r="AG175" i="39"/>
  <c r="G175" i="39"/>
  <c r="H175" i="39"/>
  <c r="AF175" i="39"/>
  <c r="J175" i="39"/>
  <c r="V175" i="39"/>
  <c r="K175" i="39"/>
  <c r="W175" i="39"/>
  <c r="L175" i="39"/>
  <c r="X175" i="39"/>
  <c r="C70" i="39"/>
  <c r="C167" i="39" s="1"/>
  <c r="M175" i="39"/>
  <c r="L40" i="39"/>
  <c r="E41" i="39"/>
  <c r="D51" i="39"/>
  <c r="E51" i="39"/>
  <c r="F44" i="39"/>
  <c r="D50" i="39"/>
  <c r="E43" i="39"/>
  <c r="H39" i="39"/>
  <c r="D65" i="39"/>
  <c r="C89" i="39"/>
  <c r="C96" i="39" s="1"/>
  <c r="Y157" i="39"/>
  <c r="Y161" i="39" s="1"/>
  <c r="M157" i="39"/>
  <c r="M161" i="39" s="1"/>
  <c r="X157" i="39"/>
  <c r="X161" i="39" s="1"/>
  <c r="L157" i="39"/>
  <c r="L161" i="39" s="1"/>
  <c r="W157" i="39"/>
  <c r="W161" i="39" s="1"/>
  <c r="K157" i="39"/>
  <c r="K161" i="39" s="1"/>
  <c r="V157" i="39"/>
  <c r="V161" i="39" s="1"/>
  <c r="J157" i="39"/>
  <c r="J161" i="39" s="1"/>
  <c r="AG157" i="39"/>
  <c r="AG161" i="39" s="1"/>
  <c r="U157" i="39"/>
  <c r="U161" i="39" s="1"/>
  <c r="I157" i="39"/>
  <c r="I161" i="39" s="1"/>
  <c r="AF157" i="39"/>
  <c r="AF161" i="39" s="1"/>
  <c r="T157" i="39"/>
  <c r="T161" i="39" s="1"/>
  <c r="H157" i="39"/>
  <c r="H161" i="39" s="1"/>
  <c r="AE157" i="39"/>
  <c r="AE161" i="39" s="1"/>
  <c r="S157" i="39"/>
  <c r="S161" i="39" s="1"/>
  <c r="G157" i="39"/>
  <c r="G161" i="39" s="1"/>
  <c r="AD157" i="39"/>
  <c r="AD161" i="39" s="1"/>
  <c r="R157" i="39"/>
  <c r="R161" i="39" s="1"/>
  <c r="F157" i="39"/>
  <c r="F161" i="39" s="1"/>
  <c r="AC157" i="39"/>
  <c r="AC161" i="39" s="1"/>
  <c r="Q157" i="39"/>
  <c r="Q161" i="39" s="1"/>
  <c r="E157" i="39"/>
  <c r="E161" i="39" s="1"/>
  <c r="AB157" i="39"/>
  <c r="AB161" i="39" s="1"/>
  <c r="P157" i="39"/>
  <c r="P161" i="39" s="1"/>
  <c r="D157" i="39"/>
  <c r="D161" i="39" s="1"/>
  <c r="N157" i="39"/>
  <c r="N161" i="39" s="1"/>
  <c r="C157" i="39"/>
  <c r="C161" i="39" s="1"/>
  <c r="Z157" i="39"/>
  <c r="Z161" i="39" s="1"/>
  <c r="O157" i="39"/>
  <c r="O161" i="39" s="1"/>
  <c r="AA157" i="39"/>
  <c r="AA161" i="39" s="1"/>
  <c r="D188" i="39"/>
  <c r="E68" i="39"/>
  <c r="W187" i="39"/>
  <c r="K187" i="39"/>
  <c r="V187" i="39"/>
  <c r="J187" i="39"/>
  <c r="AG187" i="39"/>
  <c r="U187" i="39"/>
  <c r="I187" i="39"/>
  <c r="AF187" i="39"/>
  <c r="T187" i="39"/>
  <c r="H187" i="39"/>
  <c r="AE187" i="39"/>
  <c r="S187" i="39"/>
  <c r="G187" i="39"/>
  <c r="AD187" i="39"/>
  <c r="R187" i="39"/>
  <c r="F187" i="39"/>
  <c r="AC187" i="39"/>
  <c r="Q187" i="39"/>
  <c r="E187" i="39"/>
  <c r="AB187" i="39"/>
  <c r="P187" i="39"/>
  <c r="D187" i="39"/>
  <c r="AA187" i="39"/>
  <c r="O187" i="39"/>
  <c r="C187" i="39"/>
  <c r="Z187" i="39"/>
  <c r="N187" i="39"/>
  <c r="Y187" i="39"/>
  <c r="X187" i="39"/>
  <c r="M187" i="39"/>
  <c r="L187" i="39"/>
  <c r="AE185" i="39"/>
  <c r="S185" i="39"/>
  <c r="G185" i="39"/>
  <c r="AD185" i="39"/>
  <c r="R185" i="39"/>
  <c r="F185" i="39"/>
  <c r="AC185" i="39"/>
  <c r="Q185" i="39"/>
  <c r="E185" i="39"/>
  <c r="AB185" i="39"/>
  <c r="P185" i="39"/>
  <c r="D185" i="39"/>
  <c r="AA185" i="39"/>
  <c r="O185" i="39"/>
  <c r="C185" i="39"/>
  <c r="Z185" i="39"/>
  <c r="N185" i="39"/>
  <c r="Y185" i="39"/>
  <c r="M185" i="39"/>
  <c r="X185" i="39"/>
  <c r="L185" i="39"/>
  <c r="W185" i="39"/>
  <c r="K185" i="39"/>
  <c r="V185" i="39"/>
  <c r="J185" i="39"/>
  <c r="AG185" i="39"/>
  <c r="AF185" i="39"/>
  <c r="U185" i="39"/>
  <c r="T185" i="39"/>
  <c r="I185" i="39"/>
  <c r="H185" i="39"/>
  <c r="C191" i="39"/>
  <c r="C196" i="39" s="1"/>
  <c r="B205" i="39"/>
  <c r="A214" i="39"/>
  <c r="B214" i="39" s="1"/>
  <c r="A221" i="39"/>
  <c r="A223" i="39"/>
  <c r="B208" i="39"/>
  <c r="C137" i="38"/>
  <c r="D154" i="38"/>
  <c r="AG69" i="38"/>
  <c r="AE69" i="38"/>
  <c r="AF69" i="38"/>
  <c r="AD69" i="38"/>
  <c r="AC69" i="38"/>
  <c r="D137" i="38"/>
  <c r="B165" i="38"/>
  <c r="R69" i="38"/>
  <c r="D69" i="38"/>
  <c r="E69" i="38"/>
  <c r="AA69" i="38"/>
  <c r="O69" i="38"/>
  <c r="C69" i="38"/>
  <c r="Z69" i="38"/>
  <c r="N69" i="38"/>
  <c r="Y69" i="38"/>
  <c r="M69" i="38"/>
  <c r="Q69" i="38"/>
  <c r="P69" i="38"/>
  <c r="L69" i="38"/>
  <c r="K69" i="38"/>
  <c r="AB69" i="38"/>
  <c r="J69" i="38"/>
  <c r="X69" i="38"/>
  <c r="I69" i="38"/>
  <c r="W69" i="38"/>
  <c r="H69" i="38"/>
  <c r="V69" i="38"/>
  <c r="G69" i="38"/>
  <c r="U69" i="38"/>
  <c r="F69" i="38"/>
  <c r="S69" i="38"/>
  <c r="T69" i="38"/>
  <c r="A194" i="38"/>
  <c r="A179" i="38"/>
  <c r="B170" i="38"/>
  <c r="A193" i="38"/>
  <c r="B169" i="38"/>
  <c r="B168" i="38"/>
  <c r="B174" i="38" l="1"/>
  <c r="A183" i="38"/>
  <c r="B183" i="38" s="1"/>
  <c r="B179" i="38"/>
  <c r="A188" i="38"/>
  <c r="B188" i="38" s="1"/>
  <c r="B175" i="38"/>
  <c r="A184" i="38"/>
  <c r="B184" i="38" s="1"/>
  <c r="C105" i="38"/>
  <c r="C88" i="38"/>
  <c r="F131" i="38"/>
  <c r="C84" i="38"/>
  <c r="C91" i="38" s="1"/>
  <c r="C94" i="38"/>
  <c r="F62" i="38"/>
  <c r="D82" i="38"/>
  <c r="K88" i="39"/>
  <c r="K95" i="39" s="1"/>
  <c r="J88" i="39"/>
  <c r="J95" i="39" s="1"/>
  <c r="I88" i="39"/>
  <c r="I95" i="39" s="1"/>
  <c r="H88" i="39"/>
  <c r="H95" i="39" s="1"/>
  <c r="E88" i="39"/>
  <c r="E95" i="39" s="1"/>
  <c r="C88" i="39"/>
  <c r="C95" i="39" s="1"/>
  <c r="D88" i="39"/>
  <c r="D95" i="39" s="1"/>
  <c r="F88" i="39"/>
  <c r="F95" i="39" s="1"/>
  <c r="G88" i="39"/>
  <c r="G95" i="39" s="1"/>
  <c r="L88" i="39"/>
  <c r="L95" i="39" s="1"/>
  <c r="C87" i="39"/>
  <c r="C94" i="39" s="1"/>
  <c r="F60" i="39"/>
  <c r="E140" i="39"/>
  <c r="E52" i="39"/>
  <c r="C64" i="39"/>
  <c r="D64" i="39" s="1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AC64" i="39" s="1"/>
  <c r="AD64" i="39" s="1"/>
  <c r="AE64" i="39" s="1"/>
  <c r="AF64" i="39" s="1"/>
  <c r="AG64" i="39" s="1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C63" i="39" s="1"/>
  <c r="AD63" i="39" s="1"/>
  <c r="AE63" i="39" s="1"/>
  <c r="AF63" i="39" s="1"/>
  <c r="AG63" i="39" s="1"/>
  <c r="F52" i="39"/>
  <c r="G45" i="39"/>
  <c r="E159" i="39"/>
  <c r="C142" i="39"/>
  <c r="C147" i="39" s="1"/>
  <c r="C152" i="39" s="1"/>
  <c r="I82" i="39"/>
  <c r="J82" i="39" s="1"/>
  <c r="D142" i="39"/>
  <c r="D147" i="39" s="1"/>
  <c r="D152" i="39" s="1"/>
  <c r="C190" i="39"/>
  <c r="C195" i="39" s="1"/>
  <c r="C201" i="39" s="1"/>
  <c r="E67" i="39"/>
  <c r="E69" i="39" s="1"/>
  <c r="E191" i="39" s="1"/>
  <c r="E196" i="39" s="1"/>
  <c r="D69" i="39"/>
  <c r="D191" i="39" s="1"/>
  <c r="D196" i="39" s="1"/>
  <c r="D190" i="39"/>
  <c r="D195" i="39" s="1"/>
  <c r="D201" i="39" s="1"/>
  <c r="G87" i="39"/>
  <c r="G94" i="39" s="1"/>
  <c r="C197" i="39"/>
  <c r="D87" i="39"/>
  <c r="D94" i="39" s="1"/>
  <c r="F87" i="39"/>
  <c r="F94" i="39" s="1"/>
  <c r="E87" i="39"/>
  <c r="E94" i="39" s="1"/>
  <c r="C90" i="39"/>
  <c r="C97" i="39" s="1"/>
  <c r="D70" i="39"/>
  <c r="D167" i="39" s="1"/>
  <c r="E188" i="39"/>
  <c r="E197" i="39" s="1"/>
  <c r="F68" i="39"/>
  <c r="D197" i="39"/>
  <c r="G59" i="39"/>
  <c r="E50" i="39"/>
  <c r="E47" i="39"/>
  <c r="E53" i="39" s="1"/>
  <c r="F43" i="39"/>
  <c r="F51" i="39"/>
  <c r="G44" i="39"/>
  <c r="H87" i="39"/>
  <c r="H94" i="39" s="1"/>
  <c r="I39" i="39"/>
  <c r="D174" i="39"/>
  <c r="D54" i="39"/>
  <c r="F41" i="39"/>
  <c r="D89" i="39"/>
  <c r="D96" i="39" s="1"/>
  <c r="E65" i="39"/>
  <c r="C143" i="39"/>
  <c r="C148" i="39" s="1"/>
  <c r="C109" i="39"/>
  <c r="C114" i="39" s="1"/>
  <c r="C126" i="39"/>
  <c r="C131" i="39" s="1"/>
  <c r="D66" i="39"/>
  <c r="M40" i="39"/>
  <c r="M88" i="39" s="1"/>
  <c r="C120" i="38"/>
  <c r="C86" i="38"/>
  <c r="H37" i="38"/>
  <c r="F37" i="38"/>
  <c r="C37" i="38"/>
  <c r="C71" i="38"/>
  <c r="C154" i="38"/>
  <c r="E137" i="38"/>
  <c r="C103" i="38"/>
  <c r="D86" i="38"/>
  <c r="D153" i="38" l="1"/>
  <c r="P153" i="38"/>
  <c r="AB153" i="38"/>
  <c r="V153" i="38"/>
  <c r="M153" i="38"/>
  <c r="E153" i="38"/>
  <c r="Q153" i="38"/>
  <c r="AC153" i="38"/>
  <c r="J153" i="38"/>
  <c r="W153" i="38"/>
  <c r="Y153" i="38"/>
  <c r="F153" i="38"/>
  <c r="R153" i="38"/>
  <c r="AD153" i="38"/>
  <c r="U153" i="38"/>
  <c r="C153" i="38"/>
  <c r="L153" i="38"/>
  <c r="G153" i="38"/>
  <c r="S153" i="38"/>
  <c r="AE153" i="38"/>
  <c r="I153" i="38"/>
  <c r="K153" i="38"/>
  <c r="X153" i="38"/>
  <c r="H153" i="38"/>
  <c r="T153" i="38"/>
  <c r="AF153" i="38"/>
  <c r="AG153" i="38"/>
  <c r="N153" i="38"/>
  <c r="Z153" i="38"/>
  <c r="O153" i="38"/>
  <c r="AA153" i="38"/>
  <c r="E119" i="38"/>
  <c r="Q119" i="38"/>
  <c r="AC119" i="38"/>
  <c r="F119" i="38"/>
  <c r="R119" i="38"/>
  <c r="AD119" i="38"/>
  <c r="G119" i="38"/>
  <c r="S119" i="38"/>
  <c r="AE119" i="38"/>
  <c r="W119" i="38"/>
  <c r="H119" i="38"/>
  <c r="T119" i="38"/>
  <c r="AF119" i="38"/>
  <c r="J119" i="38"/>
  <c r="I119" i="38"/>
  <c r="U119" i="38"/>
  <c r="AG119" i="38"/>
  <c r="V119" i="38"/>
  <c r="D119" i="38"/>
  <c r="C119" i="38"/>
  <c r="K119" i="38"/>
  <c r="L119" i="38"/>
  <c r="X119" i="38"/>
  <c r="N119" i="38"/>
  <c r="M119" i="38"/>
  <c r="Y119" i="38"/>
  <c r="Z119" i="38"/>
  <c r="O119" i="38"/>
  <c r="AA119" i="38"/>
  <c r="P119" i="38"/>
  <c r="AB119" i="38"/>
  <c r="D88" i="38"/>
  <c r="D105" i="38"/>
  <c r="G131" i="38"/>
  <c r="D84" i="38"/>
  <c r="D91" i="38" s="1"/>
  <c r="D94" i="38"/>
  <c r="G62" i="38"/>
  <c r="E82" i="38"/>
  <c r="E68" i="38"/>
  <c r="W68" i="38"/>
  <c r="F68" i="38"/>
  <c r="X68" i="38"/>
  <c r="I68" i="38"/>
  <c r="AA68" i="38"/>
  <c r="N68" i="38"/>
  <c r="AF68" i="38"/>
  <c r="O68" i="38"/>
  <c r="AG68" i="38"/>
  <c r="D68" i="38"/>
  <c r="R68" i="38"/>
  <c r="Z68" i="38"/>
  <c r="P68" i="38"/>
  <c r="Q68" i="38"/>
  <c r="C68" i="38"/>
  <c r="S68" i="38"/>
  <c r="T68" i="38"/>
  <c r="H68" i="38"/>
  <c r="AB68" i="38"/>
  <c r="AC68" i="38"/>
  <c r="M68" i="38"/>
  <c r="J68" i="38"/>
  <c r="U68" i="38"/>
  <c r="V68" i="38"/>
  <c r="G68" i="38"/>
  <c r="Y68" i="38"/>
  <c r="K68" i="38"/>
  <c r="L68" i="38"/>
  <c r="AD68" i="38"/>
  <c r="AE68" i="38"/>
  <c r="C101" i="39"/>
  <c r="G60" i="39"/>
  <c r="F140" i="39"/>
  <c r="E166" i="39"/>
  <c r="E174" i="39" s="1"/>
  <c r="H45" i="39"/>
  <c r="G52" i="39"/>
  <c r="F101" i="39"/>
  <c r="F67" i="39"/>
  <c r="F166" i="39" s="1"/>
  <c r="F159" i="39"/>
  <c r="D101" i="39"/>
  <c r="H101" i="39"/>
  <c r="E101" i="39"/>
  <c r="G101" i="39"/>
  <c r="E70" i="39"/>
  <c r="E167" i="39" s="1"/>
  <c r="D90" i="39"/>
  <c r="D97" i="39" s="1"/>
  <c r="G51" i="39"/>
  <c r="H44" i="39"/>
  <c r="I87" i="39"/>
  <c r="I94" i="39" s="1"/>
  <c r="I101" i="39" s="1"/>
  <c r="J39" i="39"/>
  <c r="D143" i="39"/>
  <c r="D148" i="39" s="1"/>
  <c r="D109" i="39"/>
  <c r="D114" i="39" s="1"/>
  <c r="D126" i="39"/>
  <c r="D131" i="39" s="1"/>
  <c r="E66" i="39"/>
  <c r="E54" i="39"/>
  <c r="E142" i="39"/>
  <c r="E147" i="39" s="1"/>
  <c r="E152" i="39" s="1"/>
  <c r="E190" i="39"/>
  <c r="E195" i="39" s="1"/>
  <c r="E201" i="39" s="1"/>
  <c r="F65" i="39"/>
  <c r="E89" i="39"/>
  <c r="E96" i="39" s="1"/>
  <c r="H59" i="39"/>
  <c r="F188" i="39"/>
  <c r="F197" i="39" s="1"/>
  <c r="G68" i="39"/>
  <c r="N40" i="39"/>
  <c r="N88" i="39" s="1"/>
  <c r="M95" i="39"/>
  <c r="G41" i="39"/>
  <c r="F47" i="39"/>
  <c r="F53" i="39" s="1"/>
  <c r="F50" i="39"/>
  <c r="G43" i="39"/>
  <c r="C67" i="38"/>
  <c r="D67" i="38"/>
  <c r="E67" i="38"/>
  <c r="E154" i="38"/>
  <c r="D71" i="38"/>
  <c r="D120" i="38"/>
  <c r="F137" i="38"/>
  <c r="D103" i="38"/>
  <c r="E86" i="38"/>
  <c r="F67" i="38"/>
  <c r="E88" i="38" l="1"/>
  <c r="E105" i="38"/>
  <c r="H131" i="38"/>
  <c r="E84" i="38"/>
  <c r="E91" i="38" s="1"/>
  <c r="E94" i="38"/>
  <c r="H62" i="38"/>
  <c r="F82" i="38"/>
  <c r="E75" i="38"/>
  <c r="F75" i="38"/>
  <c r="D75" i="38"/>
  <c r="C75" i="38"/>
  <c r="H60" i="39"/>
  <c r="G140" i="39"/>
  <c r="H52" i="39"/>
  <c r="I45" i="39"/>
  <c r="G67" i="39"/>
  <c r="H67" i="39" s="1"/>
  <c r="F69" i="39"/>
  <c r="F191" i="39" s="1"/>
  <c r="F196" i="39" s="1"/>
  <c r="G159" i="39"/>
  <c r="F70" i="39"/>
  <c r="F167" i="39" s="1"/>
  <c r="E90" i="39"/>
  <c r="E97" i="39" s="1"/>
  <c r="O40" i="39"/>
  <c r="O88" i="39" s="1"/>
  <c r="N95" i="39"/>
  <c r="I44" i="39"/>
  <c r="H51" i="39"/>
  <c r="G188" i="39"/>
  <c r="G197" i="39" s="1"/>
  <c r="H68" i="39"/>
  <c r="F174" i="39"/>
  <c r="I59" i="39"/>
  <c r="H41" i="39"/>
  <c r="H43" i="39"/>
  <c r="G50" i="39"/>
  <c r="G47" i="39"/>
  <c r="G53" i="39" s="1"/>
  <c r="F54" i="39"/>
  <c r="F142" i="39"/>
  <c r="F147" i="39" s="1"/>
  <c r="F152" i="39" s="1"/>
  <c r="F190" i="39"/>
  <c r="F195" i="39" s="1"/>
  <c r="F201" i="39" s="1"/>
  <c r="J87" i="39"/>
  <c r="J94" i="39" s="1"/>
  <c r="J101" i="39" s="1"/>
  <c r="K39" i="39"/>
  <c r="E109" i="39"/>
  <c r="E114" i="39" s="1"/>
  <c r="E143" i="39"/>
  <c r="E148" i="39" s="1"/>
  <c r="E126" i="39"/>
  <c r="E131" i="39" s="1"/>
  <c r="F66" i="39"/>
  <c r="F89" i="39"/>
  <c r="F96" i="39" s="1"/>
  <c r="G65" i="39"/>
  <c r="F154" i="38"/>
  <c r="E71" i="38"/>
  <c r="E120" i="38"/>
  <c r="G137" i="38"/>
  <c r="G67" i="38"/>
  <c r="E103" i="38"/>
  <c r="C126" i="38" l="1"/>
  <c r="C160" i="38"/>
  <c r="F88" i="38"/>
  <c r="F105" i="38"/>
  <c r="I131" i="38"/>
  <c r="F84" i="38"/>
  <c r="F91" i="38" s="1"/>
  <c r="F94" i="38"/>
  <c r="I62" i="38"/>
  <c r="G82" i="38"/>
  <c r="G75" i="38"/>
  <c r="H140" i="39"/>
  <c r="I60" i="39"/>
  <c r="I52" i="39"/>
  <c r="J45" i="39"/>
  <c r="G69" i="39"/>
  <c r="G191" i="39" s="1"/>
  <c r="G196" i="39" s="1"/>
  <c r="G166" i="39"/>
  <c r="G174" i="39" s="1"/>
  <c r="H159" i="39"/>
  <c r="G70" i="39"/>
  <c r="G167" i="39" s="1"/>
  <c r="F90" i="39"/>
  <c r="F97" i="39" s="1"/>
  <c r="H50" i="39"/>
  <c r="I43" i="39"/>
  <c r="H47" i="39"/>
  <c r="H53" i="39" s="1"/>
  <c r="P40" i="39"/>
  <c r="P88" i="39" s="1"/>
  <c r="O95" i="39"/>
  <c r="I41" i="39"/>
  <c r="H166" i="39"/>
  <c r="H69" i="39"/>
  <c r="H191" i="39" s="1"/>
  <c r="H196" i="39" s="1"/>
  <c r="I67" i="39"/>
  <c r="G54" i="39"/>
  <c r="G190" i="39"/>
  <c r="G195" i="39" s="1"/>
  <c r="G201" i="39" s="1"/>
  <c r="G142" i="39"/>
  <c r="G147" i="39" s="1"/>
  <c r="G152" i="39" s="1"/>
  <c r="K87" i="39"/>
  <c r="K94" i="39" s="1"/>
  <c r="K101" i="39" s="1"/>
  <c r="L39" i="39"/>
  <c r="F143" i="39"/>
  <c r="F148" i="39" s="1"/>
  <c r="F126" i="39"/>
  <c r="F131" i="39" s="1"/>
  <c r="F109" i="39"/>
  <c r="F114" i="39" s="1"/>
  <c r="G66" i="39"/>
  <c r="H188" i="39"/>
  <c r="H197" i="39" s="1"/>
  <c r="I68" i="39"/>
  <c r="G89" i="39"/>
  <c r="G96" i="39" s="1"/>
  <c r="H65" i="39"/>
  <c r="J59" i="39"/>
  <c r="I51" i="39"/>
  <c r="J44" i="39"/>
  <c r="F120" i="38"/>
  <c r="F86" i="38"/>
  <c r="G154" i="38"/>
  <c r="F71" i="38"/>
  <c r="H137" i="38"/>
  <c r="H67" i="38"/>
  <c r="F103" i="38"/>
  <c r="G105" i="38" l="1"/>
  <c r="G88" i="38"/>
  <c r="J131" i="38"/>
  <c r="G84" i="38"/>
  <c r="G91" i="38" s="1"/>
  <c r="G94" i="38"/>
  <c r="J62" i="38"/>
  <c r="H82" i="38"/>
  <c r="H75" i="38"/>
  <c r="I140" i="39"/>
  <c r="J60" i="39"/>
  <c r="K45" i="39"/>
  <c r="J52" i="39"/>
  <c r="I159" i="39"/>
  <c r="H70" i="39"/>
  <c r="H167" i="39" s="1"/>
  <c r="G90" i="39"/>
  <c r="G97" i="39" s="1"/>
  <c r="K59" i="39"/>
  <c r="I50" i="39"/>
  <c r="J43" i="39"/>
  <c r="I47" i="39"/>
  <c r="I53" i="39" s="1"/>
  <c r="L87" i="39"/>
  <c r="L94" i="39" s="1"/>
  <c r="L101" i="39" s="1"/>
  <c r="M39" i="39"/>
  <c r="H54" i="39"/>
  <c r="H142" i="39"/>
  <c r="H147" i="39" s="1"/>
  <c r="H152" i="39" s="1"/>
  <c r="H190" i="39"/>
  <c r="H195" i="39" s="1"/>
  <c r="H201" i="39" s="1"/>
  <c r="G143" i="39"/>
  <c r="G148" i="39" s="1"/>
  <c r="G109" i="39"/>
  <c r="G114" i="39" s="1"/>
  <c r="G126" i="39"/>
  <c r="G131" i="39" s="1"/>
  <c r="H66" i="39"/>
  <c r="J41" i="39"/>
  <c r="H89" i="39"/>
  <c r="H96" i="39" s="1"/>
  <c r="I65" i="39"/>
  <c r="I188" i="39"/>
  <c r="I197" i="39" s="1"/>
  <c r="J68" i="39"/>
  <c r="J51" i="39"/>
  <c r="K44" i="39"/>
  <c r="Q40" i="39"/>
  <c r="Q88" i="39" s="1"/>
  <c r="P95" i="39"/>
  <c r="I166" i="39"/>
  <c r="J67" i="39"/>
  <c r="I69" i="39"/>
  <c r="I191" i="39" s="1"/>
  <c r="I196" i="39" s="1"/>
  <c r="H174" i="39"/>
  <c r="G120" i="38"/>
  <c r="G86" i="38"/>
  <c r="H154" i="38"/>
  <c r="G71" i="38"/>
  <c r="I137" i="38"/>
  <c r="G103" i="38"/>
  <c r="I67" i="38"/>
  <c r="H105" i="38" l="1"/>
  <c r="H88" i="38"/>
  <c r="K131" i="38"/>
  <c r="H84" i="38"/>
  <c r="H91" i="38" s="1"/>
  <c r="H94" i="38"/>
  <c r="K62" i="38"/>
  <c r="I82" i="38"/>
  <c r="I75" i="38"/>
  <c r="J140" i="39"/>
  <c r="K60" i="39"/>
  <c r="L45" i="39"/>
  <c r="K52" i="39"/>
  <c r="J159" i="39"/>
  <c r="H90" i="39"/>
  <c r="H97" i="39" s="1"/>
  <c r="I70" i="39"/>
  <c r="I167" i="39" s="1"/>
  <c r="M87" i="39"/>
  <c r="M94" i="39" s="1"/>
  <c r="M101" i="39" s="1"/>
  <c r="N39" i="39"/>
  <c r="K41" i="39"/>
  <c r="J166" i="39"/>
  <c r="K67" i="39"/>
  <c r="J69" i="39"/>
  <c r="J191" i="39" s="1"/>
  <c r="J196" i="39" s="1"/>
  <c r="I174" i="39"/>
  <c r="J50" i="39"/>
  <c r="K43" i="39"/>
  <c r="J47" i="39"/>
  <c r="J53" i="39" s="1"/>
  <c r="J65" i="39"/>
  <c r="I89" i="39"/>
  <c r="I96" i="39" s="1"/>
  <c r="I54" i="39"/>
  <c r="I142" i="39"/>
  <c r="I147" i="39" s="1"/>
  <c r="I152" i="39" s="1"/>
  <c r="I190" i="39"/>
  <c r="I195" i="39" s="1"/>
  <c r="I201" i="39" s="1"/>
  <c r="K51" i="39"/>
  <c r="L44" i="39"/>
  <c r="L59" i="39"/>
  <c r="R40" i="39"/>
  <c r="R88" i="39" s="1"/>
  <c r="Q95" i="39"/>
  <c r="J188" i="39"/>
  <c r="J197" i="39" s="1"/>
  <c r="K68" i="39"/>
  <c r="H126" i="39"/>
  <c r="H131" i="39" s="1"/>
  <c r="H143" i="39"/>
  <c r="H148" i="39" s="1"/>
  <c r="H109" i="39"/>
  <c r="H114" i="39" s="1"/>
  <c r="I66" i="39"/>
  <c r="H120" i="38"/>
  <c r="H86" i="38"/>
  <c r="I154" i="38"/>
  <c r="H71" i="38"/>
  <c r="J137" i="38"/>
  <c r="H103" i="38"/>
  <c r="J67" i="38"/>
  <c r="I105" i="38" l="1"/>
  <c r="I88" i="38"/>
  <c r="L131" i="38"/>
  <c r="I84" i="38"/>
  <c r="I91" i="38" s="1"/>
  <c r="I94" i="38"/>
  <c r="L62" i="38"/>
  <c r="J82" i="38"/>
  <c r="J75" i="38"/>
  <c r="K140" i="39"/>
  <c r="L60" i="39"/>
  <c r="L52" i="39"/>
  <c r="M45" i="39"/>
  <c r="K159" i="39"/>
  <c r="J70" i="39"/>
  <c r="J167" i="39" s="1"/>
  <c r="I90" i="39"/>
  <c r="I97" i="39" s="1"/>
  <c r="I143" i="39"/>
  <c r="I148" i="39" s="1"/>
  <c r="I126" i="39"/>
  <c r="I131" i="39" s="1"/>
  <c r="I109" i="39"/>
  <c r="I114" i="39" s="1"/>
  <c r="J66" i="39"/>
  <c r="M59" i="39"/>
  <c r="J54" i="39"/>
  <c r="J142" i="39"/>
  <c r="J147" i="39" s="1"/>
  <c r="J152" i="39" s="1"/>
  <c r="J190" i="39"/>
  <c r="J195" i="39" s="1"/>
  <c r="J201" i="39" s="1"/>
  <c r="N87" i="39"/>
  <c r="N94" i="39" s="1"/>
  <c r="N101" i="39" s="1"/>
  <c r="O39" i="39"/>
  <c r="J174" i="39"/>
  <c r="K188" i="39"/>
  <c r="K197" i="39" s="1"/>
  <c r="L68" i="39"/>
  <c r="J89" i="39"/>
  <c r="J96" i="39" s="1"/>
  <c r="K65" i="39"/>
  <c r="L41" i="39"/>
  <c r="L43" i="39"/>
  <c r="K47" i="39"/>
  <c r="K53" i="39" s="1"/>
  <c r="K50" i="39"/>
  <c r="K166" i="39"/>
  <c r="L67" i="39"/>
  <c r="K69" i="39"/>
  <c r="S40" i="39"/>
  <c r="S88" i="39" s="1"/>
  <c r="R95" i="39"/>
  <c r="L51" i="39"/>
  <c r="M44" i="39"/>
  <c r="I120" i="38"/>
  <c r="I86" i="38"/>
  <c r="J154" i="38"/>
  <c r="I71" i="38"/>
  <c r="K137" i="38"/>
  <c r="I103" i="38"/>
  <c r="K67" i="38"/>
  <c r="J105" i="38" l="1"/>
  <c r="J88" i="38"/>
  <c r="M131" i="38"/>
  <c r="J84" i="38"/>
  <c r="J91" i="38" s="1"/>
  <c r="J94" i="38"/>
  <c r="M62" i="38"/>
  <c r="K82" i="38"/>
  <c r="K75" i="38"/>
  <c r="L140" i="39"/>
  <c r="M60" i="39"/>
  <c r="M52" i="39"/>
  <c r="N45" i="39"/>
  <c r="L159" i="39"/>
  <c r="J90" i="39"/>
  <c r="J97" i="39" s="1"/>
  <c r="K70" i="39"/>
  <c r="K167" i="39" s="1"/>
  <c r="K54" i="39"/>
  <c r="K190" i="39"/>
  <c r="K195" i="39" s="1"/>
  <c r="K201" i="39" s="1"/>
  <c r="K142" i="39"/>
  <c r="K147" i="39" s="1"/>
  <c r="K152" i="39" s="1"/>
  <c r="M43" i="39"/>
  <c r="L47" i="39"/>
  <c r="L53" i="39" s="1"/>
  <c r="L50" i="39"/>
  <c r="J143" i="39"/>
  <c r="J148" i="39" s="1"/>
  <c r="J126" i="39"/>
  <c r="J131" i="39" s="1"/>
  <c r="J109" i="39"/>
  <c r="J114" i="39" s="1"/>
  <c r="K66" i="39"/>
  <c r="L188" i="39"/>
  <c r="L197" i="39" s="1"/>
  <c r="M68" i="39"/>
  <c r="N44" i="39"/>
  <c r="M51" i="39"/>
  <c r="O87" i="39"/>
  <c r="O94" i="39" s="1"/>
  <c r="O101" i="39" s="1"/>
  <c r="P39" i="39"/>
  <c r="T40" i="39"/>
  <c r="T88" i="39" s="1"/>
  <c r="S95" i="39"/>
  <c r="K191" i="39"/>
  <c r="K196" i="39" s="1"/>
  <c r="L166" i="39"/>
  <c r="L69" i="39"/>
  <c r="L191" i="39" s="1"/>
  <c r="L196" i="39" s="1"/>
  <c r="M67" i="39"/>
  <c r="K174" i="39"/>
  <c r="M41" i="39"/>
  <c r="N59" i="39"/>
  <c r="L65" i="39"/>
  <c r="K89" i="39"/>
  <c r="K96" i="39" s="1"/>
  <c r="J120" i="38"/>
  <c r="J86" i="38"/>
  <c r="K154" i="38"/>
  <c r="J71" i="38"/>
  <c r="L137" i="38"/>
  <c r="L67" i="38"/>
  <c r="J103" i="38"/>
  <c r="K105" i="38" l="1"/>
  <c r="K88" i="38"/>
  <c r="N131" i="38"/>
  <c r="K84" i="38"/>
  <c r="K91" i="38" s="1"/>
  <c r="K94" i="38"/>
  <c r="N62" i="38"/>
  <c r="L82" i="38"/>
  <c r="L75" i="38"/>
  <c r="M140" i="39"/>
  <c r="N60" i="39"/>
  <c r="O45" i="39"/>
  <c r="N52" i="39"/>
  <c r="M159" i="39"/>
  <c r="K90" i="39"/>
  <c r="K97" i="39" s="1"/>
  <c r="L70" i="39"/>
  <c r="L167" i="39" s="1"/>
  <c r="K143" i="39"/>
  <c r="K148" i="39" s="1"/>
  <c r="K126" i="39"/>
  <c r="K131" i="39" s="1"/>
  <c r="K109" i="39"/>
  <c r="K114" i="39" s="1"/>
  <c r="L66" i="39"/>
  <c r="N51" i="39"/>
  <c r="O44" i="39"/>
  <c r="L54" i="39"/>
  <c r="L142" i="39"/>
  <c r="L147" i="39" s="1"/>
  <c r="L152" i="39" s="1"/>
  <c r="L190" i="39"/>
  <c r="L195" i="39" s="1"/>
  <c r="L201" i="39" s="1"/>
  <c r="U40" i="39"/>
  <c r="U88" i="39" s="1"/>
  <c r="T95" i="39"/>
  <c r="N43" i="39"/>
  <c r="M47" i="39"/>
  <c r="M53" i="39" s="1"/>
  <c r="M50" i="39"/>
  <c r="L174" i="39"/>
  <c r="P87" i="39"/>
  <c r="P94" i="39" s="1"/>
  <c r="P101" i="39" s="1"/>
  <c r="Q39" i="39"/>
  <c r="M188" i="39"/>
  <c r="M197" i="39" s="1"/>
  <c r="N68" i="39"/>
  <c r="M166" i="39"/>
  <c r="M69" i="39"/>
  <c r="M191" i="39" s="1"/>
  <c r="M196" i="39" s="1"/>
  <c r="N67" i="39"/>
  <c r="L89" i="39"/>
  <c r="L96" i="39" s="1"/>
  <c r="M65" i="39"/>
  <c r="N41" i="39"/>
  <c r="O59" i="39"/>
  <c r="K120" i="38"/>
  <c r="K86" i="38"/>
  <c r="L154" i="38"/>
  <c r="K71" i="38"/>
  <c r="M137" i="38"/>
  <c r="K103" i="38"/>
  <c r="M67" i="38"/>
  <c r="L88" i="38" l="1"/>
  <c r="L105" i="38"/>
  <c r="O131" i="38"/>
  <c r="L84" i="38"/>
  <c r="L91" i="38" s="1"/>
  <c r="L94" i="38"/>
  <c r="O62" i="38"/>
  <c r="M82" i="38"/>
  <c r="M75" i="38"/>
  <c r="N140" i="39"/>
  <c r="O60" i="39"/>
  <c r="P45" i="39"/>
  <c r="O52" i="39"/>
  <c r="N159" i="39"/>
  <c r="L90" i="39"/>
  <c r="L97" i="39" s="1"/>
  <c r="M70" i="39"/>
  <c r="M167" i="39" s="1"/>
  <c r="N166" i="39"/>
  <c r="N69" i="39"/>
  <c r="N191" i="39" s="1"/>
  <c r="N196" i="39" s="1"/>
  <c r="O67" i="39"/>
  <c r="M54" i="39"/>
  <c r="M142" i="39"/>
  <c r="M147" i="39" s="1"/>
  <c r="M152" i="39" s="1"/>
  <c r="M190" i="39"/>
  <c r="M195" i="39" s="1"/>
  <c r="M201" i="39" s="1"/>
  <c r="O43" i="39"/>
  <c r="N50" i="39"/>
  <c r="N47" i="39"/>
  <c r="N53" i="39" s="1"/>
  <c r="V40" i="39"/>
  <c r="V88" i="39" s="1"/>
  <c r="U95" i="39"/>
  <c r="M174" i="39"/>
  <c r="O41" i="39"/>
  <c r="N65" i="39"/>
  <c r="M89" i="39"/>
  <c r="M96" i="39" s="1"/>
  <c r="Q87" i="39"/>
  <c r="Q94" i="39" s="1"/>
  <c r="Q101" i="39" s="1"/>
  <c r="R39" i="39"/>
  <c r="N188" i="39"/>
  <c r="N197" i="39" s="1"/>
  <c r="O68" i="39"/>
  <c r="L143" i="39"/>
  <c r="L148" i="39" s="1"/>
  <c r="L126" i="39"/>
  <c r="L131" i="39" s="1"/>
  <c r="L109" i="39"/>
  <c r="L114" i="39" s="1"/>
  <c r="M66" i="39"/>
  <c r="P59" i="39"/>
  <c r="O51" i="39"/>
  <c r="P44" i="39"/>
  <c r="L120" i="38"/>
  <c r="L86" i="38"/>
  <c r="M154" i="38"/>
  <c r="L71" i="38"/>
  <c r="N137" i="38"/>
  <c r="N67" i="38"/>
  <c r="L103" i="38"/>
  <c r="M88" i="38" l="1"/>
  <c r="M105" i="38"/>
  <c r="P131" i="38"/>
  <c r="M84" i="38"/>
  <c r="M91" i="38" s="1"/>
  <c r="M94" i="38"/>
  <c r="P62" i="38"/>
  <c r="N82" i="38"/>
  <c r="N75" i="38"/>
  <c r="O140" i="39"/>
  <c r="P60" i="39"/>
  <c r="Q45" i="39"/>
  <c r="P52" i="39"/>
  <c r="O159" i="39"/>
  <c r="M90" i="39"/>
  <c r="M97" i="39" s="1"/>
  <c r="N70" i="39"/>
  <c r="N167" i="39" s="1"/>
  <c r="W40" i="39"/>
  <c r="W88" i="39" s="1"/>
  <c r="V95" i="39"/>
  <c r="O166" i="39"/>
  <c r="O69" i="39"/>
  <c r="O191" i="39" s="1"/>
  <c r="O196" i="39" s="1"/>
  <c r="P67" i="39"/>
  <c r="O188" i="39"/>
  <c r="O197" i="39" s="1"/>
  <c r="P68" i="39"/>
  <c r="O65" i="39"/>
  <c r="N89" i="39"/>
  <c r="N96" i="39" s="1"/>
  <c r="N54" i="39"/>
  <c r="N190" i="39"/>
  <c r="N195" i="39" s="1"/>
  <c r="N201" i="39" s="1"/>
  <c r="N142" i="39"/>
  <c r="N147" i="39" s="1"/>
  <c r="N152" i="39" s="1"/>
  <c r="N174" i="39"/>
  <c r="P51" i="39"/>
  <c r="Q44" i="39"/>
  <c r="R87" i="39"/>
  <c r="R94" i="39" s="1"/>
  <c r="R101" i="39" s="1"/>
  <c r="S39" i="39"/>
  <c r="Q59" i="39"/>
  <c r="M143" i="39"/>
  <c r="M148" i="39" s="1"/>
  <c r="M109" i="39"/>
  <c r="M114" i="39" s="1"/>
  <c r="M126" i="39"/>
  <c r="M131" i="39" s="1"/>
  <c r="N66" i="39"/>
  <c r="P41" i="39"/>
  <c r="O47" i="39"/>
  <c r="O53" i="39" s="1"/>
  <c r="P43" i="39"/>
  <c r="O50" i="39"/>
  <c r="M120" i="38"/>
  <c r="M86" i="38"/>
  <c r="N154" i="38"/>
  <c r="M71" i="38"/>
  <c r="O137" i="38"/>
  <c r="M103" i="38"/>
  <c r="O67" i="38"/>
  <c r="N88" i="38" l="1"/>
  <c r="N105" i="38"/>
  <c r="Q131" i="38"/>
  <c r="N84" i="38"/>
  <c r="N91" i="38" s="1"/>
  <c r="N94" i="38"/>
  <c r="Q62" i="38"/>
  <c r="O82" i="38"/>
  <c r="O75" i="38"/>
  <c r="P140" i="39"/>
  <c r="Q60" i="39"/>
  <c r="Q52" i="39"/>
  <c r="R45" i="39"/>
  <c r="P159" i="39"/>
  <c r="N90" i="39"/>
  <c r="N97" i="39" s="1"/>
  <c r="O70" i="39"/>
  <c r="O167" i="39" s="1"/>
  <c r="W95" i="39"/>
  <c r="X40" i="39"/>
  <c r="X88" i="39" s="1"/>
  <c r="R59" i="39"/>
  <c r="P166" i="39"/>
  <c r="P69" i="39"/>
  <c r="P191" i="39" s="1"/>
  <c r="P196" i="39" s="1"/>
  <c r="Q67" i="39"/>
  <c r="O174" i="39"/>
  <c r="N143" i="39"/>
  <c r="N148" i="39" s="1"/>
  <c r="N109" i="39"/>
  <c r="N114" i="39" s="1"/>
  <c r="N126" i="39"/>
  <c r="N131" i="39" s="1"/>
  <c r="O66" i="39"/>
  <c r="T39" i="39"/>
  <c r="S87" i="39"/>
  <c r="S94" i="39" s="1"/>
  <c r="S101" i="39" s="1"/>
  <c r="P65" i="39"/>
  <c r="O89" i="39"/>
  <c r="O96" i="39" s="1"/>
  <c r="Q41" i="39"/>
  <c r="O54" i="39"/>
  <c r="O190" i="39"/>
  <c r="O195" i="39" s="1"/>
  <c r="O201" i="39" s="1"/>
  <c r="O142" i="39"/>
  <c r="O147" i="39" s="1"/>
  <c r="O152" i="39" s="1"/>
  <c r="P188" i="39"/>
  <c r="P197" i="39" s="1"/>
  <c r="Q68" i="39"/>
  <c r="P50" i="39"/>
  <c r="P47" i="39"/>
  <c r="P53" i="39" s="1"/>
  <c r="Q43" i="39"/>
  <c r="Q51" i="39"/>
  <c r="R44" i="39"/>
  <c r="N120" i="38"/>
  <c r="N86" i="38"/>
  <c r="O154" i="38"/>
  <c r="N71" i="38"/>
  <c r="P137" i="38"/>
  <c r="P67" i="38"/>
  <c r="N103" i="38"/>
  <c r="O88" i="38" l="1"/>
  <c r="O105" i="38"/>
  <c r="R131" i="38"/>
  <c r="O84" i="38"/>
  <c r="O91" i="38" s="1"/>
  <c r="O94" i="38"/>
  <c r="R62" i="38"/>
  <c r="P82" i="38"/>
  <c r="P75" i="38"/>
  <c r="Q140" i="39"/>
  <c r="R60" i="39"/>
  <c r="S45" i="39"/>
  <c r="R52" i="39"/>
  <c r="Q159" i="39"/>
  <c r="O90" i="39"/>
  <c r="O97" i="39" s="1"/>
  <c r="P70" i="39"/>
  <c r="P167" i="39" s="1"/>
  <c r="P54" i="39"/>
  <c r="P142" i="39"/>
  <c r="P147" i="39" s="1"/>
  <c r="P152" i="39" s="1"/>
  <c r="P190" i="39"/>
  <c r="P195" i="39" s="1"/>
  <c r="P201" i="39" s="1"/>
  <c r="Q188" i="39"/>
  <c r="Q197" i="39" s="1"/>
  <c r="R68" i="39"/>
  <c r="Q166" i="39"/>
  <c r="Q69" i="39"/>
  <c r="Q191" i="39" s="1"/>
  <c r="Q196" i="39" s="1"/>
  <c r="R67" i="39"/>
  <c r="S59" i="39"/>
  <c r="P89" i="39"/>
  <c r="P96" i="39" s="1"/>
  <c r="Q65" i="39"/>
  <c r="Y40" i="39"/>
  <c r="Y88" i="39" s="1"/>
  <c r="X95" i="39"/>
  <c r="T87" i="39"/>
  <c r="T94" i="39" s="1"/>
  <c r="T101" i="39" s="1"/>
  <c r="U39" i="39"/>
  <c r="P174" i="39"/>
  <c r="O143" i="39"/>
  <c r="O148" i="39" s="1"/>
  <c r="O109" i="39"/>
  <c r="O114" i="39" s="1"/>
  <c r="O126" i="39"/>
  <c r="O131" i="39" s="1"/>
  <c r="P66" i="39"/>
  <c r="R51" i="39"/>
  <c r="S44" i="39"/>
  <c r="R41" i="39"/>
  <c r="Q50" i="39"/>
  <c r="Q47" i="39"/>
  <c r="Q53" i="39" s="1"/>
  <c r="R43" i="39"/>
  <c r="O120" i="38"/>
  <c r="O86" i="38"/>
  <c r="P154" i="38"/>
  <c r="O71" i="38"/>
  <c r="Q137" i="38"/>
  <c r="O103" i="38"/>
  <c r="Q67" i="38"/>
  <c r="P88" i="38" l="1"/>
  <c r="P105" i="38"/>
  <c r="S131" i="38"/>
  <c r="P84" i="38"/>
  <c r="P91" i="38" s="1"/>
  <c r="P94" i="38"/>
  <c r="S62" i="38"/>
  <c r="Q82" i="38"/>
  <c r="Q75" i="38"/>
  <c r="R140" i="39"/>
  <c r="S60" i="39"/>
  <c r="T45" i="39"/>
  <c r="S52" i="39"/>
  <c r="R159" i="39"/>
  <c r="P90" i="39"/>
  <c r="P97" i="39" s="1"/>
  <c r="Q70" i="39"/>
  <c r="Q167" i="39" s="1"/>
  <c r="Q174" i="39"/>
  <c r="T59" i="39"/>
  <c r="Z40" i="39"/>
  <c r="Z88" i="39" s="1"/>
  <c r="Y95" i="39"/>
  <c r="V39" i="39"/>
  <c r="U87" i="39"/>
  <c r="U94" i="39" s="1"/>
  <c r="U101" i="39" s="1"/>
  <c r="S41" i="39"/>
  <c r="S51" i="39"/>
  <c r="T44" i="39"/>
  <c r="Q54" i="39"/>
  <c r="Q190" i="39"/>
  <c r="Q195" i="39" s="1"/>
  <c r="Q201" i="39" s="1"/>
  <c r="Q142" i="39"/>
  <c r="Q147" i="39" s="1"/>
  <c r="Q152" i="39" s="1"/>
  <c r="R166" i="39"/>
  <c r="R69" i="39"/>
  <c r="R191" i="39" s="1"/>
  <c r="R196" i="39" s="1"/>
  <c r="S67" i="39"/>
  <c r="R188" i="39"/>
  <c r="R197" i="39" s="1"/>
  <c r="S68" i="39"/>
  <c r="P143" i="39"/>
  <c r="P148" i="39" s="1"/>
  <c r="P109" i="39"/>
  <c r="P114" i="39" s="1"/>
  <c r="P126" i="39"/>
  <c r="P131" i="39" s="1"/>
  <c r="Q66" i="39"/>
  <c r="R47" i="39"/>
  <c r="R53" i="39" s="1"/>
  <c r="S43" i="39"/>
  <c r="R50" i="39"/>
  <c r="R65" i="39"/>
  <c r="Q89" i="39"/>
  <c r="Q96" i="39" s="1"/>
  <c r="P120" i="38"/>
  <c r="P86" i="38"/>
  <c r="Q154" i="38"/>
  <c r="P71" i="38"/>
  <c r="R137" i="38"/>
  <c r="P103" i="38"/>
  <c r="R67" i="38"/>
  <c r="Q88" i="38" l="1"/>
  <c r="Q105" i="38"/>
  <c r="T131" i="38"/>
  <c r="Q84" i="38"/>
  <c r="Q91" i="38" s="1"/>
  <c r="Q94" i="38"/>
  <c r="T62" i="38"/>
  <c r="R82" i="38"/>
  <c r="R75" i="38"/>
  <c r="S140" i="39"/>
  <c r="T60" i="39"/>
  <c r="T52" i="39"/>
  <c r="U45" i="39"/>
  <c r="S159" i="39"/>
  <c r="R70" i="39"/>
  <c r="R167" i="39" s="1"/>
  <c r="Q90" i="39"/>
  <c r="Q97" i="39" s="1"/>
  <c r="U44" i="39"/>
  <c r="T51" i="39"/>
  <c r="S188" i="39"/>
  <c r="S197" i="39" s="1"/>
  <c r="T68" i="39"/>
  <c r="T41" i="39"/>
  <c r="R89" i="39"/>
  <c r="R96" i="39" s="1"/>
  <c r="S65" i="39"/>
  <c r="R54" i="39"/>
  <c r="R190" i="39"/>
  <c r="R195" i="39" s="1"/>
  <c r="R201" i="39" s="1"/>
  <c r="R142" i="39"/>
  <c r="R147" i="39" s="1"/>
  <c r="R152" i="39" s="1"/>
  <c r="S166" i="39"/>
  <c r="S69" i="39"/>
  <c r="S191" i="39" s="1"/>
  <c r="S196" i="39" s="1"/>
  <c r="T67" i="39"/>
  <c r="AA40" i="39"/>
  <c r="AA88" i="39" s="1"/>
  <c r="Z95" i="39"/>
  <c r="U59" i="39"/>
  <c r="Q143" i="39"/>
  <c r="Q148" i="39" s="1"/>
  <c r="Q109" i="39"/>
  <c r="Q114" i="39" s="1"/>
  <c r="Q126" i="39"/>
  <c r="Q131" i="39" s="1"/>
  <c r="R66" i="39"/>
  <c r="R174" i="39"/>
  <c r="V87" i="39"/>
  <c r="V94" i="39" s="1"/>
  <c r="V101" i="39" s="1"/>
  <c r="W39" i="39"/>
  <c r="T43" i="39"/>
  <c r="S50" i="39"/>
  <c r="S47" i="39"/>
  <c r="S53" i="39" s="1"/>
  <c r="Q120" i="38"/>
  <c r="Q86" i="38"/>
  <c r="R154" i="38"/>
  <c r="Q71" i="38"/>
  <c r="S137" i="38"/>
  <c r="Q103" i="38"/>
  <c r="S67" i="38"/>
  <c r="R88" i="38" l="1"/>
  <c r="R105" i="38"/>
  <c r="U131" i="38"/>
  <c r="R84" i="38"/>
  <c r="R91" i="38" s="1"/>
  <c r="R94" i="38"/>
  <c r="U62" i="38"/>
  <c r="S82" i="38"/>
  <c r="S75" i="38"/>
  <c r="T140" i="39"/>
  <c r="U60" i="39"/>
  <c r="V45" i="39"/>
  <c r="U52" i="39"/>
  <c r="T159" i="39"/>
  <c r="S70" i="39"/>
  <c r="S167" i="39" s="1"/>
  <c r="R90" i="39"/>
  <c r="R97" i="39" s="1"/>
  <c r="T47" i="39"/>
  <c r="T53" i="39" s="1"/>
  <c r="T50" i="39"/>
  <c r="U43" i="39"/>
  <c r="T188" i="39"/>
  <c r="T197" i="39" s="1"/>
  <c r="U68" i="39"/>
  <c r="T65" i="39"/>
  <c r="S89" i="39"/>
  <c r="S96" i="39" s="1"/>
  <c r="U41" i="39"/>
  <c r="U51" i="39"/>
  <c r="V44" i="39"/>
  <c r="R143" i="39"/>
  <c r="R148" i="39" s="1"/>
  <c r="R126" i="39"/>
  <c r="R131" i="39" s="1"/>
  <c r="S66" i="39"/>
  <c r="R109" i="39"/>
  <c r="R114" i="39" s="1"/>
  <c r="T166" i="39"/>
  <c r="T69" i="39"/>
  <c r="T191" i="39" s="1"/>
  <c r="T196" i="39" s="1"/>
  <c r="U67" i="39"/>
  <c r="W87" i="39"/>
  <c r="W94" i="39" s="1"/>
  <c r="W101" i="39" s="1"/>
  <c r="X39" i="39"/>
  <c r="V59" i="39"/>
  <c r="AB40" i="39"/>
  <c r="AB88" i="39" s="1"/>
  <c r="AA95" i="39"/>
  <c r="S54" i="39"/>
  <c r="S190" i="39"/>
  <c r="S195" i="39" s="1"/>
  <c r="S201" i="39" s="1"/>
  <c r="S142" i="39"/>
  <c r="S147" i="39" s="1"/>
  <c r="S152" i="39" s="1"/>
  <c r="S174" i="39"/>
  <c r="R120" i="38"/>
  <c r="R86" i="38"/>
  <c r="S154" i="38"/>
  <c r="R71" i="38"/>
  <c r="T137" i="38"/>
  <c r="R103" i="38"/>
  <c r="T67" i="38"/>
  <c r="S105" i="38" l="1"/>
  <c r="S88" i="38"/>
  <c r="V131" i="38"/>
  <c r="S84" i="38"/>
  <c r="S91" i="38" s="1"/>
  <c r="S94" i="38"/>
  <c r="V62" i="38"/>
  <c r="T82" i="38"/>
  <c r="T75" i="38"/>
  <c r="U140" i="39"/>
  <c r="V60" i="39"/>
  <c r="W45" i="39"/>
  <c r="V52" i="39"/>
  <c r="U159" i="39"/>
  <c r="S90" i="39"/>
  <c r="S97" i="39" s="1"/>
  <c r="T70" i="39"/>
  <c r="T167" i="39" s="1"/>
  <c r="T89" i="39"/>
  <c r="T96" i="39" s="1"/>
  <c r="U65" i="39"/>
  <c r="AC40" i="39"/>
  <c r="AC88" i="39" s="1"/>
  <c r="AB95" i="39"/>
  <c r="U166" i="39"/>
  <c r="U69" i="39"/>
  <c r="U191" i="39" s="1"/>
  <c r="U196" i="39" s="1"/>
  <c r="V67" i="39"/>
  <c r="T174" i="39"/>
  <c r="S143" i="39"/>
  <c r="S148" i="39" s="1"/>
  <c r="S109" i="39"/>
  <c r="S114" i="39" s="1"/>
  <c r="S126" i="39"/>
  <c r="S131" i="39" s="1"/>
  <c r="T66" i="39"/>
  <c r="U188" i="39"/>
  <c r="U197" i="39" s="1"/>
  <c r="V68" i="39"/>
  <c r="V41" i="39"/>
  <c r="W59" i="39"/>
  <c r="X87" i="39"/>
  <c r="X94" i="39" s="1"/>
  <c r="X101" i="39" s="1"/>
  <c r="Y39" i="39"/>
  <c r="U50" i="39"/>
  <c r="V43" i="39"/>
  <c r="U47" i="39"/>
  <c r="U53" i="39" s="1"/>
  <c r="V51" i="39"/>
  <c r="W44" i="39"/>
  <c r="T54" i="39"/>
  <c r="T142" i="39"/>
  <c r="T147" i="39" s="1"/>
  <c r="T152" i="39" s="1"/>
  <c r="T190" i="39"/>
  <c r="T195" i="39" s="1"/>
  <c r="T201" i="39" s="1"/>
  <c r="S120" i="38"/>
  <c r="S86" i="38"/>
  <c r="T154" i="38"/>
  <c r="S71" i="38"/>
  <c r="U137" i="38"/>
  <c r="S103" i="38"/>
  <c r="U67" i="38"/>
  <c r="T105" i="38" l="1"/>
  <c r="T88" i="38"/>
  <c r="W131" i="38"/>
  <c r="T84" i="38"/>
  <c r="T91" i="38" s="1"/>
  <c r="T94" i="38"/>
  <c r="W62" i="38"/>
  <c r="U82" i="38"/>
  <c r="U75" i="38"/>
  <c r="V140" i="39"/>
  <c r="W60" i="39"/>
  <c r="W52" i="39"/>
  <c r="X45" i="39"/>
  <c r="V159" i="39"/>
  <c r="U70" i="39"/>
  <c r="U167" i="39" s="1"/>
  <c r="T90" i="39"/>
  <c r="T97" i="39" s="1"/>
  <c r="U174" i="39"/>
  <c r="V188" i="39"/>
  <c r="V197" i="39" s="1"/>
  <c r="W68" i="39"/>
  <c r="X59" i="39"/>
  <c r="AD40" i="39"/>
  <c r="AD88" i="39" s="1"/>
  <c r="AC95" i="39"/>
  <c r="Y87" i="39"/>
  <c r="Y94" i="39" s="1"/>
  <c r="Y101" i="39" s="1"/>
  <c r="Z39" i="39"/>
  <c r="V50" i="39"/>
  <c r="W43" i="39"/>
  <c r="V47" i="39"/>
  <c r="V53" i="39" s="1"/>
  <c r="V166" i="39"/>
  <c r="V69" i="39"/>
  <c r="V191" i="39" s="1"/>
  <c r="V196" i="39" s="1"/>
  <c r="W67" i="39"/>
  <c r="T143" i="39"/>
  <c r="T148" i="39" s="1"/>
  <c r="T126" i="39"/>
  <c r="T131" i="39" s="1"/>
  <c r="T109" i="39"/>
  <c r="T114" i="39" s="1"/>
  <c r="U66" i="39"/>
  <c r="W41" i="39"/>
  <c r="W51" i="39"/>
  <c r="X44" i="39"/>
  <c r="U54" i="39"/>
  <c r="U142" i="39"/>
  <c r="U147" i="39" s="1"/>
  <c r="U152" i="39" s="1"/>
  <c r="U190" i="39"/>
  <c r="U195" i="39" s="1"/>
  <c r="U201" i="39" s="1"/>
  <c r="V65" i="39"/>
  <c r="U89" i="39"/>
  <c r="U96" i="39" s="1"/>
  <c r="T120" i="38"/>
  <c r="T86" i="38"/>
  <c r="U154" i="38"/>
  <c r="T71" i="38"/>
  <c r="V137" i="38"/>
  <c r="T103" i="38"/>
  <c r="V67" i="38"/>
  <c r="U105" i="38" l="1"/>
  <c r="U88" i="38"/>
  <c r="X131" i="38"/>
  <c r="U84" i="38"/>
  <c r="U91" i="38" s="1"/>
  <c r="U94" i="38"/>
  <c r="X62" i="38"/>
  <c r="V82" i="38"/>
  <c r="V75" i="38"/>
  <c r="W140" i="39"/>
  <c r="X60" i="39"/>
  <c r="X52" i="39"/>
  <c r="Y45" i="39"/>
  <c r="W159" i="39"/>
  <c r="U90" i="39"/>
  <c r="U97" i="39" s="1"/>
  <c r="V70" i="39"/>
  <c r="V167" i="39" s="1"/>
  <c r="W166" i="39"/>
  <c r="W69" i="39"/>
  <c r="W191" i="39" s="1"/>
  <c r="W196" i="39" s="1"/>
  <c r="X67" i="39"/>
  <c r="V54" i="39"/>
  <c r="V190" i="39"/>
  <c r="V195" i="39" s="1"/>
  <c r="V201" i="39" s="1"/>
  <c r="V142" i="39"/>
  <c r="V147" i="39" s="1"/>
  <c r="V152" i="39" s="1"/>
  <c r="V174" i="39"/>
  <c r="W188" i="39"/>
  <c r="W197" i="39" s="1"/>
  <c r="X68" i="39"/>
  <c r="X41" i="39"/>
  <c r="AE40" i="39"/>
  <c r="AE88" i="39" s="1"/>
  <c r="AD95" i="39"/>
  <c r="X51" i="39"/>
  <c r="Y44" i="39"/>
  <c r="Z87" i="39"/>
  <c r="Z94" i="39" s="1"/>
  <c r="Z101" i="39" s="1"/>
  <c r="AA39" i="39"/>
  <c r="V89" i="39"/>
  <c r="V96" i="39" s="1"/>
  <c r="W65" i="39"/>
  <c r="Y59" i="39"/>
  <c r="U143" i="39"/>
  <c r="U148" i="39" s="1"/>
  <c r="U126" i="39"/>
  <c r="U131" i="39" s="1"/>
  <c r="U109" i="39"/>
  <c r="U114" i="39" s="1"/>
  <c r="V66" i="39"/>
  <c r="X43" i="39"/>
  <c r="W47" i="39"/>
  <c r="W53" i="39" s="1"/>
  <c r="W50" i="39"/>
  <c r="U120" i="38"/>
  <c r="U86" i="38"/>
  <c r="V154" i="38"/>
  <c r="U71" i="38"/>
  <c r="W137" i="38"/>
  <c r="U103" i="38"/>
  <c r="W67" i="38"/>
  <c r="V105" i="38" l="1"/>
  <c r="V88" i="38"/>
  <c r="Y131" i="38"/>
  <c r="V84" i="38"/>
  <c r="V91" i="38" s="1"/>
  <c r="V94" i="38"/>
  <c r="Y62" i="38"/>
  <c r="W75" i="38"/>
  <c r="X140" i="39"/>
  <c r="Y60" i="39"/>
  <c r="Z45" i="39"/>
  <c r="Y52" i="39"/>
  <c r="X159" i="39"/>
  <c r="V90" i="39"/>
  <c r="V97" i="39" s="1"/>
  <c r="W70" i="39"/>
  <c r="W167" i="39" s="1"/>
  <c r="W54" i="39"/>
  <c r="W190" i="39"/>
  <c r="W195" i="39" s="1"/>
  <c r="W201" i="39" s="1"/>
  <c r="W142" i="39"/>
  <c r="W147" i="39" s="1"/>
  <c r="W152" i="39" s="1"/>
  <c r="AF40" i="39"/>
  <c r="AF88" i="39" s="1"/>
  <c r="AE95" i="39"/>
  <c r="W89" i="39"/>
  <c r="W96" i="39" s="1"/>
  <c r="X65" i="39"/>
  <c r="X166" i="39"/>
  <c r="Y67" i="39"/>
  <c r="X69" i="39"/>
  <c r="X191" i="39" s="1"/>
  <c r="X196" i="39" s="1"/>
  <c r="Z59" i="39"/>
  <c r="W174" i="39"/>
  <c r="Z44" i="39"/>
  <c r="Y51" i="39"/>
  <c r="Y41" i="39"/>
  <c r="V143" i="39"/>
  <c r="V148" i="39" s="1"/>
  <c r="V126" i="39"/>
  <c r="V131" i="39" s="1"/>
  <c r="W66" i="39"/>
  <c r="V109" i="39"/>
  <c r="V114" i="39" s="1"/>
  <c r="AA87" i="39"/>
  <c r="AA94" i="39" s="1"/>
  <c r="AA101" i="39" s="1"/>
  <c r="AB39" i="39"/>
  <c r="X188" i="39"/>
  <c r="X197" i="39" s="1"/>
  <c r="Y68" i="39"/>
  <c r="X50" i="39"/>
  <c r="Y43" i="39"/>
  <c r="X47" i="39"/>
  <c r="X53" i="39" s="1"/>
  <c r="V120" i="38"/>
  <c r="V86" i="38"/>
  <c r="W154" i="38"/>
  <c r="V71" i="38"/>
  <c r="X137" i="38"/>
  <c r="X67" i="38"/>
  <c r="V103" i="38"/>
  <c r="W82" i="38" l="1"/>
  <c r="W94" i="38" s="1"/>
  <c r="W105" i="38"/>
  <c r="W88" i="38"/>
  <c r="Z131" i="38"/>
  <c r="W84" i="38"/>
  <c r="W91" i="38" s="1"/>
  <c r="Z62" i="38"/>
  <c r="X82" i="38"/>
  <c r="X75" i="38"/>
  <c r="Y140" i="39"/>
  <c r="Z60" i="39"/>
  <c r="Z52" i="39"/>
  <c r="AA45" i="39"/>
  <c r="Y159" i="39"/>
  <c r="W90" i="39"/>
  <c r="W97" i="39" s="1"/>
  <c r="X70" i="39"/>
  <c r="X167" i="39" s="1"/>
  <c r="Z51" i="39"/>
  <c r="AA44" i="39"/>
  <c r="AA51" i="39" s="1"/>
  <c r="AG40" i="39"/>
  <c r="AF95" i="39"/>
  <c r="W143" i="39"/>
  <c r="W148" i="39" s="1"/>
  <c r="W126" i="39"/>
  <c r="W131" i="39" s="1"/>
  <c r="X66" i="39"/>
  <c r="W109" i="39"/>
  <c r="W114" i="39" s="1"/>
  <c r="AA59" i="39"/>
  <c r="Z43" i="39"/>
  <c r="Y50" i="39"/>
  <c r="Y47" i="39"/>
  <c r="Y53" i="39" s="1"/>
  <c r="X54" i="39"/>
  <c r="X142" i="39"/>
  <c r="X147" i="39" s="1"/>
  <c r="X152" i="39" s="1"/>
  <c r="X190" i="39"/>
  <c r="X195" i="39" s="1"/>
  <c r="X201" i="39" s="1"/>
  <c r="AB87" i="39"/>
  <c r="AB94" i="39" s="1"/>
  <c r="AB101" i="39" s="1"/>
  <c r="AC39" i="39"/>
  <c r="Y166" i="39"/>
  <c r="Y69" i="39"/>
  <c r="Y191" i="39" s="1"/>
  <c r="Y196" i="39" s="1"/>
  <c r="Z67" i="39"/>
  <c r="X174" i="39"/>
  <c r="Y188" i="39"/>
  <c r="Y197" i="39" s="1"/>
  <c r="Z68" i="39"/>
  <c r="Z41" i="39"/>
  <c r="X89" i="39"/>
  <c r="X96" i="39" s="1"/>
  <c r="Y65" i="39"/>
  <c r="W120" i="38"/>
  <c r="W86" i="38"/>
  <c r="X154" i="38"/>
  <c r="W71" i="38"/>
  <c r="Y137" i="38"/>
  <c r="Y67" i="38"/>
  <c r="W103" i="38"/>
  <c r="X88" i="38" l="1"/>
  <c r="X105" i="38"/>
  <c r="AA131" i="38"/>
  <c r="X84" i="38"/>
  <c r="X91" i="38" s="1"/>
  <c r="X94" i="38"/>
  <c r="AA62" i="38"/>
  <c r="Y82" i="38"/>
  <c r="Y75" i="38"/>
  <c r="AG88" i="39"/>
  <c r="AG95" i="39" s="1"/>
  <c r="Z140" i="39"/>
  <c r="AA60" i="39"/>
  <c r="AA52" i="39"/>
  <c r="AB45" i="39"/>
  <c r="Z159" i="39"/>
  <c r="X90" i="39"/>
  <c r="X97" i="39" s="1"/>
  <c r="Y70" i="39"/>
  <c r="Y167" i="39" s="1"/>
  <c r="Z166" i="39"/>
  <c r="Z69" i="39"/>
  <c r="Z191" i="39" s="1"/>
  <c r="Z196" i="39" s="1"/>
  <c r="AA67" i="39"/>
  <c r="Y174" i="39"/>
  <c r="AA41" i="39"/>
  <c r="X143" i="39"/>
  <c r="X148" i="39" s="1"/>
  <c r="X126" i="39"/>
  <c r="X131" i="39" s="1"/>
  <c r="X109" i="39"/>
  <c r="X114" i="39" s="1"/>
  <c r="Y66" i="39"/>
  <c r="Y54" i="39"/>
  <c r="Y142" i="39"/>
  <c r="Y147" i="39" s="1"/>
  <c r="Y152" i="39" s="1"/>
  <c r="Y190" i="39"/>
  <c r="Y195" i="39" s="1"/>
  <c r="Y201" i="39" s="1"/>
  <c r="Z188" i="39"/>
  <c r="Z197" i="39" s="1"/>
  <c r="AA68" i="39"/>
  <c r="AA43" i="39"/>
  <c r="Z50" i="39"/>
  <c r="Z47" i="39"/>
  <c r="Z53" i="39" s="1"/>
  <c r="Y89" i="39"/>
  <c r="Y96" i="39" s="1"/>
  <c r="Z65" i="39"/>
  <c r="AC87" i="39"/>
  <c r="AC94" i="39" s="1"/>
  <c r="AC101" i="39" s="1"/>
  <c r="AD39" i="39"/>
  <c r="AB59" i="39"/>
  <c r="X120" i="38"/>
  <c r="X86" i="38"/>
  <c r="Y154" i="38"/>
  <c r="X71" i="38"/>
  <c r="Z137" i="38"/>
  <c r="Z67" i="38"/>
  <c r="X103" i="38"/>
  <c r="Y88" i="38" l="1"/>
  <c r="Y105" i="38"/>
  <c r="AB131" i="38"/>
  <c r="Y84" i="38"/>
  <c r="Y91" i="38" s="1"/>
  <c r="Y94" i="38"/>
  <c r="AB62" i="38"/>
  <c r="Z82" i="38"/>
  <c r="Z75" i="38"/>
  <c r="AA140" i="39"/>
  <c r="AB60" i="39"/>
  <c r="AB52" i="39"/>
  <c r="AC45" i="39"/>
  <c r="AA159" i="39"/>
  <c r="Z70" i="39"/>
  <c r="Z167" i="39" s="1"/>
  <c r="Y90" i="39"/>
  <c r="Y97" i="39" s="1"/>
  <c r="Z54" i="39"/>
  <c r="Z190" i="39"/>
  <c r="Z195" i="39" s="1"/>
  <c r="Z201" i="39" s="1"/>
  <c r="Z142" i="39"/>
  <c r="Z147" i="39" s="1"/>
  <c r="Z152" i="39" s="1"/>
  <c r="Y143" i="39"/>
  <c r="Y148" i="39" s="1"/>
  <c r="Y109" i="39"/>
  <c r="Y114" i="39" s="1"/>
  <c r="Y126" i="39"/>
  <c r="Y131" i="39" s="1"/>
  <c r="Z66" i="39"/>
  <c r="AD87" i="39"/>
  <c r="AD94" i="39" s="1"/>
  <c r="AD101" i="39" s="1"/>
  <c r="AE39" i="39"/>
  <c r="AA65" i="39"/>
  <c r="Z89" i="39"/>
  <c r="Z96" i="39" s="1"/>
  <c r="AA47" i="39"/>
  <c r="AA53" i="39" s="1"/>
  <c r="AA50" i="39"/>
  <c r="AB43" i="39"/>
  <c r="AA166" i="39"/>
  <c r="AB67" i="39"/>
  <c r="AA69" i="39"/>
  <c r="AA191" i="39" s="1"/>
  <c r="AA196" i="39" s="1"/>
  <c r="AC59" i="39"/>
  <c r="AA188" i="39"/>
  <c r="AA197" i="39" s="1"/>
  <c r="AB68" i="39"/>
  <c r="AB41" i="39"/>
  <c r="Z174" i="39"/>
  <c r="Y120" i="38"/>
  <c r="Y86" i="38"/>
  <c r="Z154" i="38"/>
  <c r="Y71" i="38"/>
  <c r="AA137" i="38"/>
  <c r="AA67" i="38"/>
  <c r="Y103" i="38"/>
  <c r="Z88" i="38" l="1"/>
  <c r="Z105" i="38"/>
  <c r="AC131" i="38"/>
  <c r="Z84" i="38"/>
  <c r="Z91" i="38" s="1"/>
  <c r="Z94" i="38"/>
  <c r="AC62" i="38"/>
  <c r="AA82" i="38"/>
  <c r="AA75" i="38"/>
  <c r="AB140" i="39"/>
  <c r="AC60" i="39"/>
  <c r="AC52" i="39"/>
  <c r="AD45" i="39"/>
  <c r="AB159" i="39"/>
  <c r="Z90" i="39"/>
  <c r="Z97" i="39" s="1"/>
  <c r="AA70" i="39"/>
  <c r="AA167" i="39" s="1"/>
  <c r="Z143" i="39"/>
  <c r="Z148" i="39" s="1"/>
  <c r="Z109" i="39"/>
  <c r="Z114" i="39" s="1"/>
  <c r="Z126" i="39"/>
  <c r="Z131" i="39" s="1"/>
  <c r="AA66" i="39"/>
  <c r="AD59" i="39"/>
  <c r="AE87" i="39"/>
  <c r="AE94" i="39" s="1"/>
  <c r="AE101" i="39" s="1"/>
  <c r="AF39" i="39"/>
  <c r="AA174" i="39"/>
  <c r="AB50" i="39"/>
  <c r="AC43" i="39"/>
  <c r="AB47" i="39"/>
  <c r="AB53" i="39" s="1"/>
  <c r="AB44" i="39"/>
  <c r="AB51" i="39" s="1"/>
  <c r="AB65" i="39"/>
  <c r="AA89" i="39"/>
  <c r="AA96" i="39" s="1"/>
  <c r="AB188" i="39"/>
  <c r="AB197" i="39" s="1"/>
  <c r="AC68" i="39"/>
  <c r="AB166" i="39"/>
  <c r="AB69" i="39"/>
  <c r="AB191" i="39" s="1"/>
  <c r="AB196" i="39" s="1"/>
  <c r="AC67" i="39"/>
  <c r="AC41" i="39"/>
  <c r="AA54" i="39"/>
  <c r="AA142" i="39"/>
  <c r="AA147" i="39" s="1"/>
  <c r="AA152" i="39" s="1"/>
  <c r="AA190" i="39"/>
  <c r="AA195" i="39" s="1"/>
  <c r="AA201" i="39" s="1"/>
  <c r="Z120" i="38"/>
  <c r="Z86" i="38"/>
  <c r="AA154" i="38"/>
  <c r="Z71" i="38"/>
  <c r="AB137" i="38"/>
  <c r="AB67" i="38"/>
  <c r="Z103" i="38"/>
  <c r="AA105" i="38" l="1"/>
  <c r="AA88" i="38"/>
  <c r="AD131" i="38"/>
  <c r="AA84" i="38"/>
  <c r="AA91" i="38" s="1"/>
  <c r="AA94" i="38"/>
  <c r="AD62" i="38"/>
  <c r="AB82" i="38"/>
  <c r="AB75" i="38"/>
  <c r="AC140" i="39"/>
  <c r="AD60" i="39"/>
  <c r="AE45" i="39"/>
  <c r="AD52" i="39"/>
  <c r="AC159" i="39"/>
  <c r="AB70" i="39"/>
  <c r="AB167" i="39" s="1"/>
  <c r="AA90" i="39"/>
  <c r="AA97" i="39" s="1"/>
  <c r="AA143" i="39"/>
  <c r="AA148" i="39" s="1"/>
  <c r="AA109" i="39"/>
  <c r="AA114" i="39" s="1"/>
  <c r="AA126" i="39"/>
  <c r="AA131" i="39" s="1"/>
  <c r="AB66" i="39"/>
  <c r="AE59" i="39"/>
  <c r="AC188" i="39"/>
  <c r="AC197" i="39" s="1"/>
  <c r="AD68" i="39"/>
  <c r="AD41" i="39"/>
  <c r="AB174" i="39"/>
  <c r="AF87" i="39"/>
  <c r="AF94" i="39" s="1"/>
  <c r="AF101" i="39" s="1"/>
  <c r="AG39" i="39"/>
  <c r="AG87" i="39" s="1"/>
  <c r="AG94" i="39" s="1"/>
  <c r="AG101" i="39" s="1"/>
  <c r="AB89" i="39"/>
  <c r="AB96" i="39" s="1"/>
  <c r="AC65" i="39"/>
  <c r="AC50" i="39"/>
  <c r="AC47" i="39"/>
  <c r="AC53" i="39" s="1"/>
  <c r="AD43" i="39"/>
  <c r="AC44" i="39"/>
  <c r="AC51" i="39" s="1"/>
  <c r="AC166" i="39"/>
  <c r="AD67" i="39"/>
  <c r="AC69" i="39"/>
  <c r="AC191" i="39" s="1"/>
  <c r="AC196" i="39" s="1"/>
  <c r="AB54" i="39"/>
  <c r="AB142" i="39"/>
  <c r="AB147" i="39" s="1"/>
  <c r="AB152" i="39" s="1"/>
  <c r="AB190" i="39"/>
  <c r="AB195" i="39" s="1"/>
  <c r="AB201" i="39" s="1"/>
  <c r="AA120" i="38"/>
  <c r="AA86" i="38"/>
  <c r="AB154" i="38"/>
  <c r="AA71" i="38"/>
  <c r="AC67" i="38"/>
  <c r="AC137" i="38"/>
  <c r="AA103" i="38"/>
  <c r="AB88" i="38" l="1"/>
  <c r="AB105" i="38"/>
  <c r="AE131" i="38"/>
  <c r="AB84" i="38"/>
  <c r="AB91" i="38" s="1"/>
  <c r="AB94" i="38"/>
  <c r="AE62" i="38"/>
  <c r="AC82" i="38"/>
  <c r="AC75" i="38"/>
  <c r="AD140" i="39"/>
  <c r="AE60" i="39"/>
  <c r="AE52" i="39"/>
  <c r="AF45" i="39"/>
  <c r="AD159" i="39"/>
  <c r="AB90" i="39"/>
  <c r="AB97" i="39" s="1"/>
  <c r="AC70" i="39"/>
  <c r="AC167" i="39" s="1"/>
  <c r="AD47" i="39"/>
  <c r="AD53" i="39" s="1"/>
  <c r="AD44" i="39"/>
  <c r="AD51" i="39" s="1"/>
  <c r="AD50" i="39"/>
  <c r="AE43" i="39"/>
  <c r="AC54" i="39"/>
  <c r="AC190" i="39"/>
  <c r="AC195" i="39" s="1"/>
  <c r="AC201" i="39" s="1"/>
  <c r="AC142" i="39"/>
  <c r="AC147" i="39" s="1"/>
  <c r="AC152" i="39" s="1"/>
  <c r="AD166" i="39"/>
  <c r="AE67" i="39"/>
  <c r="AD69" i="39"/>
  <c r="AD191" i="39" s="1"/>
  <c r="AD196" i="39" s="1"/>
  <c r="AD188" i="39"/>
  <c r="AD197" i="39" s="1"/>
  <c r="AE68" i="39"/>
  <c r="AC174" i="39"/>
  <c r="AF59" i="39"/>
  <c r="AE41" i="39"/>
  <c r="AB143" i="39"/>
  <c r="AB148" i="39" s="1"/>
  <c r="AB126" i="39"/>
  <c r="AB131" i="39" s="1"/>
  <c r="AB109" i="39"/>
  <c r="AB114" i="39" s="1"/>
  <c r="AC66" i="39"/>
  <c r="AD65" i="39"/>
  <c r="AC89" i="39"/>
  <c r="AC96" i="39" s="1"/>
  <c r="AB120" i="38"/>
  <c r="AB86" i="38"/>
  <c r="AC154" i="38"/>
  <c r="AB71" i="38"/>
  <c r="AD67" i="38"/>
  <c r="AD137" i="38"/>
  <c r="AB103" i="38"/>
  <c r="AC86" i="38"/>
  <c r="AC88" i="38" l="1"/>
  <c r="AC105" i="38"/>
  <c r="AF131" i="38"/>
  <c r="AC84" i="38"/>
  <c r="AC91" i="38" s="1"/>
  <c r="AC94" i="38"/>
  <c r="AF62" i="38"/>
  <c r="AD82" i="38"/>
  <c r="AD75" i="38"/>
  <c r="AE140" i="39"/>
  <c r="AF60" i="39"/>
  <c r="AF52" i="39"/>
  <c r="AG45" i="39"/>
  <c r="AG52" i="39" s="1"/>
  <c r="AE159" i="39"/>
  <c r="AD70" i="39"/>
  <c r="AD167" i="39" s="1"/>
  <c r="AC90" i="39"/>
  <c r="AC97" i="39" s="1"/>
  <c r="AD54" i="39"/>
  <c r="AD142" i="39"/>
  <c r="AD147" i="39" s="1"/>
  <c r="AD152" i="39" s="1"/>
  <c r="AD190" i="39"/>
  <c r="AD195" i="39" s="1"/>
  <c r="AD201" i="39" s="1"/>
  <c r="AE188" i="39"/>
  <c r="AE197" i="39" s="1"/>
  <c r="AF68" i="39"/>
  <c r="AG59" i="39"/>
  <c r="AC109" i="39"/>
  <c r="AC114" i="39" s="1"/>
  <c r="AC126" i="39"/>
  <c r="AC131" i="39" s="1"/>
  <c r="AC143" i="39"/>
  <c r="AC148" i="39" s="1"/>
  <c r="AD66" i="39"/>
  <c r="AF43" i="39"/>
  <c r="AE47" i="39"/>
  <c r="AE53" i="39" s="1"/>
  <c r="AE44" i="39"/>
  <c r="AE51" i="39" s="1"/>
  <c r="AE50" i="39"/>
  <c r="AE166" i="39"/>
  <c r="AE69" i="39"/>
  <c r="AF67" i="39"/>
  <c r="AD174" i="39"/>
  <c r="AD89" i="39"/>
  <c r="AD96" i="39" s="1"/>
  <c r="AE65" i="39"/>
  <c r="AF41" i="39"/>
  <c r="AD154" i="38"/>
  <c r="AC71" i="38"/>
  <c r="AD86" i="38"/>
  <c r="AC120" i="38"/>
  <c r="AC103" i="38"/>
  <c r="AE67" i="38"/>
  <c r="AE137" i="38"/>
  <c r="AD88" i="38" l="1"/>
  <c r="AD105" i="38"/>
  <c r="AG131" i="38"/>
  <c r="AD84" i="38"/>
  <c r="AD91" i="38" s="1"/>
  <c r="AD94" i="38"/>
  <c r="AG62" i="38"/>
  <c r="AE82" i="38"/>
  <c r="AE75" i="38"/>
  <c r="AF140" i="39"/>
  <c r="AG60" i="39"/>
  <c r="AG140" i="39" s="1"/>
  <c r="AF159" i="39"/>
  <c r="AE70" i="39"/>
  <c r="AE167" i="39" s="1"/>
  <c r="AD90" i="39"/>
  <c r="AD97" i="39" s="1"/>
  <c r="AG41" i="39"/>
  <c r="AD143" i="39"/>
  <c r="AD148" i="39" s="1"/>
  <c r="AD126" i="39"/>
  <c r="AD131" i="39" s="1"/>
  <c r="AD109" i="39"/>
  <c r="AD114" i="39" s="1"/>
  <c r="AE66" i="39"/>
  <c r="AE54" i="39"/>
  <c r="AE142" i="39"/>
  <c r="AE147" i="39" s="1"/>
  <c r="AE152" i="39" s="1"/>
  <c r="AE190" i="39"/>
  <c r="AE195" i="39" s="1"/>
  <c r="AE201" i="39" s="1"/>
  <c r="AF188" i="39"/>
  <c r="AF197" i="39" s="1"/>
  <c r="AG68" i="39"/>
  <c r="AG188" i="39" s="1"/>
  <c r="AG197" i="39" s="1"/>
  <c r="AE191" i="39"/>
  <c r="AE196" i="39" s="1"/>
  <c r="AE174" i="39"/>
  <c r="AF44" i="39"/>
  <c r="AF51" i="39" s="1"/>
  <c r="AF50" i="39"/>
  <c r="AF47" i="39"/>
  <c r="AF53" i="39" s="1"/>
  <c r="AG43" i="39"/>
  <c r="AE89" i="39"/>
  <c r="AE96" i="39" s="1"/>
  <c r="AF65" i="39"/>
  <c r="AF166" i="39"/>
  <c r="AF69" i="39"/>
  <c r="AF191" i="39" s="1"/>
  <c r="AF196" i="39" s="1"/>
  <c r="AG67" i="39"/>
  <c r="AE154" i="38"/>
  <c r="AD71" i="38"/>
  <c r="AG67" i="38"/>
  <c r="AF67" i="38"/>
  <c r="AE86" i="38"/>
  <c r="AD103" i="38"/>
  <c r="AD120" i="38"/>
  <c r="AF137" i="38"/>
  <c r="AE105" i="38" l="1"/>
  <c r="AE88" i="38"/>
  <c r="AE84" i="38"/>
  <c r="AE91" i="38" s="1"/>
  <c r="AE94" i="38"/>
  <c r="AF82" i="38"/>
  <c r="AF75" i="38"/>
  <c r="AG75" i="38"/>
  <c r="AG159" i="39"/>
  <c r="AE90" i="39"/>
  <c r="AE97" i="39" s="1"/>
  <c r="AF70" i="39"/>
  <c r="AF167" i="39" s="1"/>
  <c r="AG166" i="39"/>
  <c r="AG69" i="39"/>
  <c r="AG191" i="39" s="1"/>
  <c r="AG196" i="39" s="1"/>
  <c r="AE143" i="39"/>
  <c r="AE148" i="39" s="1"/>
  <c r="AE109" i="39"/>
  <c r="AE114" i="39" s="1"/>
  <c r="AE126" i="39"/>
  <c r="AE131" i="39" s="1"/>
  <c r="AF66" i="39"/>
  <c r="AG44" i="39"/>
  <c r="AG51" i="39" s="1"/>
  <c r="AG47" i="39"/>
  <c r="AG53" i="39" s="1"/>
  <c r="AG50" i="39"/>
  <c r="AF174" i="39"/>
  <c r="AF89" i="39"/>
  <c r="AF96" i="39" s="1"/>
  <c r="AG65" i="39"/>
  <c r="AG89" i="39" s="1"/>
  <c r="AG96" i="39" s="1"/>
  <c r="AF54" i="39"/>
  <c r="AF142" i="39"/>
  <c r="AF147" i="39" s="1"/>
  <c r="AF152" i="39" s="1"/>
  <c r="AF190" i="39"/>
  <c r="AF195" i="39" s="1"/>
  <c r="AF201" i="39" s="1"/>
  <c r="AF154" i="38"/>
  <c r="AE71" i="38"/>
  <c r="AF86" i="38"/>
  <c r="AE103" i="38"/>
  <c r="AE120" i="38"/>
  <c r="AG137" i="38"/>
  <c r="AG71" i="38" l="1"/>
  <c r="AF105" i="38"/>
  <c r="AF88" i="38"/>
  <c r="AF84" i="38"/>
  <c r="AF91" i="38" s="1"/>
  <c r="AF94" i="38"/>
  <c r="AG82" i="38"/>
  <c r="AG70" i="39"/>
  <c r="AF90" i="39"/>
  <c r="AF97" i="39" s="1"/>
  <c r="AG174" i="39"/>
  <c r="AF143" i="39"/>
  <c r="AF148" i="39" s="1"/>
  <c r="AF126" i="39"/>
  <c r="AF131" i="39" s="1"/>
  <c r="AF109" i="39"/>
  <c r="AF114" i="39" s="1"/>
  <c r="AG66" i="39"/>
  <c r="AG54" i="39"/>
  <c r="AG190" i="39"/>
  <c r="AG195" i="39" s="1"/>
  <c r="AG201" i="39" s="1"/>
  <c r="AG142" i="39"/>
  <c r="AG147" i="39" s="1"/>
  <c r="AG152" i="39" s="1"/>
  <c r="AG154" i="38"/>
  <c r="AF71" i="38"/>
  <c r="AG86" i="38"/>
  <c r="AF103" i="38"/>
  <c r="AF120" i="38"/>
  <c r="AG105" i="38" l="1"/>
  <c r="AG88" i="38"/>
  <c r="AG84" i="38"/>
  <c r="AG91" i="38" s="1"/>
  <c r="AG94" i="38"/>
  <c r="AG90" i="39"/>
  <c r="AG97" i="39" s="1"/>
  <c r="AG167" i="39"/>
  <c r="AG143" i="39"/>
  <c r="AG148" i="39" s="1"/>
  <c r="AG126" i="39"/>
  <c r="AG131" i="39" s="1"/>
  <c r="AG109" i="39"/>
  <c r="AG114" i="39" s="1"/>
  <c r="AG103" i="38"/>
  <c r="AG120" i="38"/>
  <c r="G79" i="40" l="1"/>
  <c r="G82" i="40" s="1"/>
  <c r="G79" i="39"/>
  <c r="E80" i="40" l="1"/>
  <c r="E82" i="40" s="1"/>
  <c r="D80" i="40"/>
  <c r="D82" i="40" s="1"/>
  <c r="E80" i="43"/>
  <c r="E82" i="43" s="1"/>
  <c r="D80" i="43"/>
  <c r="D82" i="43" s="1"/>
  <c r="V165" i="40"/>
  <c r="V173" i="40" s="1"/>
  <c r="V179" i="40" s="1"/>
  <c r="R165" i="40"/>
  <c r="R173" i="40" s="1"/>
  <c r="R179" i="40" s="1"/>
  <c r="Y165" i="40"/>
  <c r="Y173" i="40" s="1"/>
  <c r="Y179" i="40" s="1"/>
  <c r="AG165" i="40"/>
  <c r="AG173" i="40" s="1"/>
  <c r="AG179" i="40" s="1"/>
  <c r="AC165" i="40"/>
  <c r="AC173" i="40" s="1"/>
  <c r="AC179" i="40" s="1"/>
  <c r="N165" i="40"/>
  <c r="N173" i="40" s="1"/>
  <c r="N179" i="40" s="1"/>
  <c r="AF165" i="40"/>
  <c r="AF173" i="40" s="1"/>
  <c r="AF179" i="40" s="1"/>
  <c r="C164" i="40"/>
  <c r="J165" i="40"/>
  <c r="J173" i="40" s="1"/>
  <c r="J179" i="40" s="1"/>
  <c r="F165" i="40"/>
  <c r="F173" i="40" s="1"/>
  <c r="F179" i="40" s="1"/>
  <c r="X165" i="40"/>
  <c r="X173" i="40" s="1"/>
  <c r="X179" i="40" s="1"/>
  <c r="AE165" i="40"/>
  <c r="AE173" i="40" s="1"/>
  <c r="AE179" i="40" s="1"/>
  <c r="U165" i="40"/>
  <c r="U173" i="40" s="1"/>
  <c r="U179" i="40" s="1"/>
  <c r="Q165" i="40"/>
  <c r="Q173" i="40" s="1"/>
  <c r="Q179" i="40" s="1"/>
  <c r="M165" i="40"/>
  <c r="M173" i="40" s="1"/>
  <c r="M179" i="40" s="1"/>
  <c r="I165" i="40"/>
  <c r="I173" i="40" s="1"/>
  <c r="I179" i="40" s="1"/>
  <c r="E165" i="40"/>
  <c r="E173" i="40" s="1"/>
  <c r="E179" i="40" s="1"/>
  <c r="L165" i="40"/>
  <c r="L173" i="40" s="1"/>
  <c r="L179" i="40" s="1"/>
  <c r="AA165" i="40"/>
  <c r="AA173" i="40" s="1"/>
  <c r="AA179" i="40" s="1"/>
  <c r="AB165" i="40"/>
  <c r="AB173" i="40" s="1"/>
  <c r="AB179" i="40" s="1"/>
  <c r="H165" i="40"/>
  <c r="H173" i="40" s="1"/>
  <c r="H179" i="40" s="1"/>
  <c r="T165" i="40"/>
  <c r="T173" i="40" s="1"/>
  <c r="T179" i="40" s="1"/>
  <c r="P165" i="40"/>
  <c r="P173" i="40" s="1"/>
  <c r="P179" i="40" s="1"/>
  <c r="D165" i="40"/>
  <c r="D173" i="40" s="1"/>
  <c r="D179" i="40" s="1"/>
  <c r="S165" i="40"/>
  <c r="S173" i="40" s="1"/>
  <c r="S179" i="40" s="1"/>
  <c r="W165" i="40"/>
  <c r="W173" i="40" s="1"/>
  <c r="W179" i="40" s="1"/>
  <c r="G165" i="40"/>
  <c r="G173" i="40" s="1"/>
  <c r="G179" i="40" s="1"/>
  <c r="C165" i="40"/>
  <c r="C173" i="40" s="1"/>
  <c r="C179" i="40" s="1"/>
  <c r="K165" i="40"/>
  <c r="K173" i="40" s="1"/>
  <c r="K179" i="40" s="1"/>
  <c r="AD165" i="40"/>
  <c r="AD173" i="40" s="1"/>
  <c r="AD179" i="40" s="1"/>
  <c r="Z165" i="40"/>
  <c r="Z173" i="40" s="1"/>
  <c r="Z179" i="40" s="1"/>
  <c r="O165" i="40"/>
  <c r="O173" i="40" s="1"/>
  <c r="O179" i="40" s="1"/>
  <c r="E81" i="41"/>
  <c r="E83" i="41" s="1"/>
  <c r="D81" i="41"/>
  <c r="D83" i="41" s="1"/>
  <c r="E80" i="42"/>
  <c r="E82" i="42" s="1"/>
  <c r="D80" i="42"/>
  <c r="D82" i="42" s="1"/>
  <c r="E80" i="39"/>
  <c r="D80" i="39"/>
  <c r="D82" i="39" s="1"/>
  <c r="G37" i="38"/>
  <c r="G82" i="39"/>
  <c r="D37" i="38"/>
  <c r="D6" i="23"/>
  <c r="V172" i="40" l="1"/>
  <c r="R172" i="40"/>
  <c r="N172" i="40"/>
  <c r="F172" i="40"/>
  <c r="M172" i="40"/>
  <c r="J172" i="40"/>
  <c r="AC172" i="40"/>
  <c r="AG172" i="40"/>
  <c r="L172" i="40"/>
  <c r="U172" i="40"/>
  <c r="Q172" i="40"/>
  <c r="K172" i="40"/>
  <c r="AA172" i="40"/>
  <c r="I172" i="40"/>
  <c r="E172" i="40"/>
  <c r="Y172" i="40"/>
  <c r="AB172" i="40"/>
  <c r="W172" i="40"/>
  <c r="D172" i="40"/>
  <c r="AE172" i="40"/>
  <c r="AF172" i="40"/>
  <c r="T172" i="40"/>
  <c r="P172" i="40"/>
  <c r="X172" i="40"/>
  <c r="H172" i="40"/>
  <c r="AD172" i="40"/>
  <c r="S172" i="40"/>
  <c r="O172" i="40"/>
  <c r="Z172" i="40"/>
  <c r="G172" i="40"/>
  <c r="C172" i="40"/>
  <c r="C108" i="42"/>
  <c r="C113" i="42" s="1"/>
  <c r="C118" i="42" s="1"/>
  <c r="E108" i="42"/>
  <c r="E113" i="42" s="1"/>
  <c r="E118" i="42" s="1"/>
  <c r="D108" i="42"/>
  <c r="D113" i="42" s="1"/>
  <c r="D118" i="42" s="1"/>
  <c r="F108" i="42"/>
  <c r="F113" i="42" s="1"/>
  <c r="F118" i="42" s="1"/>
  <c r="G108" i="42"/>
  <c r="G113" i="42" s="1"/>
  <c r="G118" i="42" s="1"/>
  <c r="H108" i="42"/>
  <c r="H113" i="42" s="1"/>
  <c r="H118" i="42" s="1"/>
  <c r="I108" i="42"/>
  <c r="I113" i="42" s="1"/>
  <c r="I118" i="42" s="1"/>
  <c r="J108" i="42"/>
  <c r="J113" i="42" s="1"/>
  <c r="J118" i="42" s="1"/>
  <c r="K108" i="42"/>
  <c r="K113" i="42" s="1"/>
  <c r="K118" i="42" s="1"/>
  <c r="L108" i="42"/>
  <c r="L113" i="42" s="1"/>
  <c r="L118" i="42" s="1"/>
  <c r="M108" i="42"/>
  <c r="M113" i="42" s="1"/>
  <c r="M118" i="42" s="1"/>
  <c r="N108" i="42"/>
  <c r="N113" i="42" s="1"/>
  <c r="N118" i="42" s="1"/>
  <c r="O108" i="42"/>
  <c r="O113" i="42" s="1"/>
  <c r="O118" i="42" s="1"/>
  <c r="P108" i="42"/>
  <c r="P113" i="42" s="1"/>
  <c r="P118" i="42" s="1"/>
  <c r="Q108" i="42"/>
  <c r="Q113" i="42" s="1"/>
  <c r="Q118" i="42" s="1"/>
  <c r="R108" i="42"/>
  <c r="R113" i="42" s="1"/>
  <c r="R118" i="42" s="1"/>
  <c r="S108" i="42"/>
  <c r="S113" i="42" s="1"/>
  <c r="S118" i="42" s="1"/>
  <c r="T108" i="42"/>
  <c r="T113" i="42" s="1"/>
  <c r="T118" i="42" s="1"/>
  <c r="U108" i="42"/>
  <c r="U113" i="42" s="1"/>
  <c r="U118" i="42" s="1"/>
  <c r="V108" i="42"/>
  <c r="V113" i="42" s="1"/>
  <c r="V118" i="42" s="1"/>
  <c r="W108" i="42"/>
  <c r="W113" i="42" s="1"/>
  <c r="W118" i="42" s="1"/>
  <c r="X108" i="42"/>
  <c r="X113" i="42" s="1"/>
  <c r="X118" i="42" s="1"/>
  <c r="Y108" i="42"/>
  <c r="Y113" i="42" s="1"/>
  <c r="Y118" i="42" s="1"/>
  <c r="Z108" i="42"/>
  <c r="Z113" i="42" s="1"/>
  <c r="Z118" i="42" s="1"/>
  <c r="AA108" i="42"/>
  <c r="AA113" i="42" s="1"/>
  <c r="AA118" i="42" s="1"/>
  <c r="AB108" i="42"/>
  <c r="AB113" i="42" s="1"/>
  <c r="AB118" i="42" s="1"/>
  <c r="AC108" i="42"/>
  <c r="AC113" i="42" s="1"/>
  <c r="AC118" i="42" s="1"/>
  <c r="AD108" i="42"/>
  <c r="AD113" i="42" s="1"/>
  <c r="AD118" i="42" s="1"/>
  <c r="AE108" i="42"/>
  <c r="AE113" i="42" s="1"/>
  <c r="AE118" i="42" s="1"/>
  <c r="AF108" i="42"/>
  <c r="AF113" i="42" s="1"/>
  <c r="AF118" i="42" s="1"/>
  <c r="AG108" i="42"/>
  <c r="AG113" i="42" s="1"/>
  <c r="AG118" i="42" s="1"/>
  <c r="C108" i="43"/>
  <c r="C113" i="43" s="1"/>
  <c r="C118" i="43" s="1"/>
  <c r="F108" i="43"/>
  <c r="F113" i="43" s="1"/>
  <c r="F118" i="43" s="1"/>
  <c r="E108" i="43"/>
  <c r="E113" i="43" s="1"/>
  <c r="E118" i="43" s="1"/>
  <c r="D108" i="43"/>
  <c r="D113" i="43" s="1"/>
  <c r="D118" i="43" s="1"/>
  <c r="G108" i="43"/>
  <c r="G113" i="43" s="1"/>
  <c r="G118" i="43" s="1"/>
  <c r="H108" i="43"/>
  <c r="H113" i="43" s="1"/>
  <c r="H118" i="43" s="1"/>
  <c r="I108" i="43"/>
  <c r="I113" i="43" s="1"/>
  <c r="I118" i="43" s="1"/>
  <c r="J108" i="43"/>
  <c r="J113" i="43" s="1"/>
  <c r="J118" i="43" s="1"/>
  <c r="K108" i="43"/>
  <c r="K113" i="43" s="1"/>
  <c r="K118" i="43" s="1"/>
  <c r="L108" i="43"/>
  <c r="L113" i="43" s="1"/>
  <c r="L118" i="43" s="1"/>
  <c r="M108" i="43"/>
  <c r="M113" i="43" s="1"/>
  <c r="M118" i="43" s="1"/>
  <c r="N108" i="43"/>
  <c r="N113" i="43" s="1"/>
  <c r="N118" i="43" s="1"/>
  <c r="O108" i="43"/>
  <c r="O113" i="43" s="1"/>
  <c r="O118" i="43" s="1"/>
  <c r="P108" i="43"/>
  <c r="P113" i="43" s="1"/>
  <c r="P118" i="43" s="1"/>
  <c r="Q108" i="43"/>
  <c r="Q113" i="43" s="1"/>
  <c r="Q118" i="43" s="1"/>
  <c r="R108" i="43"/>
  <c r="R113" i="43" s="1"/>
  <c r="R118" i="43" s="1"/>
  <c r="S108" i="43"/>
  <c r="S113" i="43" s="1"/>
  <c r="S118" i="43" s="1"/>
  <c r="T108" i="43"/>
  <c r="T113" i="43" s="1"/>
  <c r="T118" i="43" s="1"/>
  <c r="U108" i="43"/>
  <c r="U113" i="43" s="1"/>
  <c r="U118" i="43" s="1"/>
  <c r="V108" i="43"/>
  <c r="V113" i="43" s="1"/>
  <c r="V118" i="43" s="1"/>
  <c r="W108" i="43"/>
  <c r="W113" i="43" s="1"/>
  <c r="W118" i="43" s="1"/>
  <c r="X108" i="43"/>
  <c r="X113" i="43" s="1"/>
  <c r="X118" i="43" s="1"/>
  <c r="Y108" i="43"/>
  <c r="Y113" i="43" s="1"/>
  <c r="Y118" i="43" s="1"/>
  <c r="Z108" i="43"/>
  <c r="Z113" i="43" s="1"/>
  <c r="Z118" i="43" s="1"/>
  <c r="AA108" i="43"/>
  <c r="AA113" i="43" s="1"/>
  <c r="AA118" i="43" s="1"/>
  <c r="AB108" i="43"/>
  <c r="AB113" i="43" s="1"/>
  <c r="AB118" i="43" s="1"/>
  <c r="AC108" i="43"/>
  <c r="AC113" i="43" s="1"/>
  <c r="AC118" i="43" s="1"/>
  <c r="AD108" i="43"/>
  <c r="AD113" i="43" s="1"/>
  <c r="AD118" i="43" s="1"/>
  <c r="AE108" i="43"/>
  <c r="AE113" i="43" s="1"/>
  <c r="AE118" i="43" s="1"/>
  <c r="AF108" i="43"/>
  <c r="AF113" i="43" s="1"/>
  <c r="AF118" i="43" s="1"/>
  <c r="AG108" i="43"/>
  <c r="AG113" i="43" s="1"/>
  <c r="AG118" i="43" s="1"/>
  <c r="X125" i="42"/>
  <c r="X130" i="42" s="1"/>
  <c r="X135" i="42" s="1"/>
  <c r="AD125" i="42"/>
  <c r="AD130" i="42" s="1"/>
  <c r="AD135" i="42" s="1"/>
  <c r="AG125" i="42"/>
  <c r="AG130" i="42" s="1"/>
  <c r="AG135" i="42" s="1"/>
  <c r="U125" i="42"/>
  <c r="U130" i="42" s="1"/>
  <c r="U135" i="42" s="1"/>
  <c r="L125" i="42"/>
  <c r="L130" i="42" s="1"/>
  <c r="L135" i="42" s="1"/>
  <c r="H125" i="42"/>
  <c r="H130" i="42" s="1"/>
  <c r="H135" i="42" s="1"/>
  <c r="AE125" i="42"/>
  <c r="AE130" i="42" s="1"/>
  <c r="AE135" i="42" s="1"/>
  <c r="V125" i="42"/>
  <c r="V130" i="42" s="1"/>
  <c r="V135" i="42" s="1"/>
  <c r="Z125" i="42"/>
  <c r="Z130" i="42" s="1"/>
  <c r="Z135" i="42" s="1"/>
  <c r="AC125" i="42"/>
  <c r="AC130" i="42" s="1"/>
  <c r="AC135" i="42" s="1"/>
  <c r="J125" i="42"/>
  <c r="J130" i="42" s="1"/>
  <c r="J135" i="42" s="1"/>
  <c r="D125" i="42"/>
  <c r="D130" i="42" s="1"/>
  <c r="D135" i="42" s="1"/>
  <c r="P125" i="42"/>
  <c r="P130" i="42" s="1"/>
  <c r="P135" i="42" s="1"/>
  <c r="AB125" i="42"/>
  <c r="AB130" i="42" s="1"/>
  <c r="AB135" i="42" s="1"/>
  <c r="Y125" i="42"/>
  <c r="Y130" i="42" s="1"/>
  <c r="Y135" i="42" s="1"/>
  <c r="O125" i="42"/>
  <c r="O130" i="42" s="1"/>
  <c r="O135" i="42" s="1"/>
  <c r="N125" i="42"/>
  <c r="N130" i="42" s="1"/>
  <c r="N135" i="42" s="1"/>
  <c r="C125" i="42"/>
  <c r="C130" i="42" s="1"/>
  <c r="C135" i="42" s="1"/>
  <c r="I125" i="42"/>
  <c r="I130" i="42" s="1"/>
  <c r="I135" i="42" s="1"/>
  <c r="AA125" i="42"/>
  <c r="AA130" i="42" s="1"/>
  <c r="AA135" i="42" s="1"/>
  <c r="W125" i="42"/>
  <c r="W130" i="42" s="1"/>
  <c r="W135" i="42" s="1"/>
  <c r="E125" i="42"/>
  <c r="E130" i="42" s="1"/>
  <c r="E135" i="42" s="1"/>
  <c r="M125" i="42"/>
  <c r="M130" i="42" s="1"/>
  <c r="M135" i="42" s="1"/>
  <c r="S125" i="42"/>
  <c r="S130" i="42" s="1"/>
  <c r="S135" i="42" s="1"/>
  <c r="E81" i="42"/>
  <c r="R125" i="42"/>
  <c r="R130" i="42" s="1"/>
  <c r="R135" i="42" s="1"/>
  <c r="G125" i="42"/>
  <c r="G130" i="42" s="1"/>
  <c r="G135" i="42" s="1"/>
  <c r="T125" i="42"/>
  <c r="T130" i="42" s="1"/>
  <c r="T135" i="42" s="1"/>
  <c r="AF125" i="42"/>
  <c r="AF130" i="42" s="1"/>
  <c r="AF135" i="42" s="1"/>
  <c r="F125" i="42"/>
  <c r="F130" i="42" s="1"/>
  <c r="F135" i="42" s="1"/>
  <c r="K125" i="42"/>
  <c r="K130" i="42" s="1"/>
  <c r="K135" i="42" s="1"/>
  <c r="Q125" i="42"/>
  <c r="Q130" i="42" s="1"/>
  <c r="Q135" i="42" s="1"/>
  <c r="C109" i="41"/>
  <c r="C114" i="41" s="1"/>
  <c r="C119" i="41" s="1"/>
  <c r="D109" i="41"/>
  <c r="D114" i="41" s="1"/>
  <c r="D119" i="41" s="1"/>
  <c r="E109" i="41"/>
  <c r="E114" i="41" s="1"/>
  <c r="E119" i="41" s="1"/>
  <c r="F109" i="41"/>
  <c r="F114" i="41" s="1"/>
  <c r="F119" i="41" s="1"/>
  <c r="G109" i="41"/>
  <c r="G114" i="41" s="1"/>
  <c r="G119" i="41" s="1"/>
  <c r="H109" i="41"/>
  <c r="H114" i="41" s="1"/>
  <c r="H119" i="41" s="1"/>
  <c r="I109" i="41"/>
  <c r="I114" i="41" s="1"/>
  <c r="I119" i="41" s="1"/>
  <c r="J109" i="41"/>
  <c r="J114" i="41" s="1"/>
  <c r="J119" i="41" s="1"/>
  <c r="K109" i="41"/>
  <c r="K114" i="41" s="1"/>
  <c r="K119" i="41" s="1"/>
  <c r="L109" i="41"/>
  <c r="L114" i="41" s="1"/>
  <c r="L119" i="41" s="1"/>
  <c r="M109" i="41"/>
  <c r="M114" i="41" s="1"/>
  <c r="M119" i="41" s="1"/>
  <c r="N109" i="41"/>
  <c r="N114" i="41" s="1"/>
  <c r="N119" i="41" s="1"/>
  <c r="O109" i="41"/>
  <c r="O114" i="41" s="1"/>
  <c r="O119" i="41" s="1"/>
  <c r="P109" i="41"/>
  <c r="P114" i="41" s="1"/>
  <c r="P119" i="41" s="1"/>
  <c r="Q109" i="41"/>
  <c r="Q114" i="41" s="1"/>
  <c r="Q119" i="41" s="1"/>
  <c r="R109" i="41"/>
  <c r="R114" i="41" s="1"/>
  <c r="R119" i="41" s="1"/>
  <c r="S109" i="41"/>
  <c r="S114" i="41" s="1"/>
  <c r="S119" i="41" s="1"/>
  <c r="T109" i="41"/>
  <c r="T114" i="41" s="1"/>
  <c r="T119" i="41" s="1"/>
  <c r="U109" i="41"/>
  <c r="U114" i="41" s="1"/>
  <c r="U119" i="41" s="1"/>
  <c r="V109" i="41"/>
  <c r="V114" i="41" s="1"/>
  <c r="V119" i="41" s="1"/>
  <c r="W109" i="41"/>
  <c r="W114" i="41" s="1"/>
  <c r="W119" i="41" s="1"/>
  <c r="X109" i="41"/>
  <c r="X114" i="41" s="1"/>
  <c r="X119" i="41" s="1"/>
  <c r="Y109" i="41"/>
  <c r="Y114" i="41" s="1"/>
  <c r="Y119" i="41" s="1"/>
  <c r="Z109" i="41"/>
  <c r="Z114" i="41" s="1"/>
  <c r="Z119" i="41" s="1"/>
  <c r="AA109" i="41"/>
  <c r="AA114" i="41" s="1"/>
  <c r="AA119" i="41" s="1"/>
  <c r="AB109" i="41"/>
  <c r="AB114" i="41" s="1"/>
  <c r="AB119" i="41" s="1"/>
  <c r="AC109" i="41"/>
  <c r="AC114" i="41" s="1"/>
  <c r="AC119" i="41" s="1"/>
  <c r="AD109" i="41"/>
  <c r="AD114" i="41" s="1"/>
  <c r="AD119" i="41" s="1"/>
  <c r="AE109" i="41"/>
  <c r="AE114" i="41" s="1"/>
  <c r="AE119" i="41" s="1"/>
  <c r="AF109" i="41"/>
  <c r="AF114" i="41" s="1"/>
  <c r="AF119" i="41" s="1"/>
  <c r="AG109" i="41"/>
  <c r="AG114" i="41" s="1"/>
  <c r="AG119" i="41" s="1"/>
  <c r="C108" i="40"/>
  <c r="C113" i="40" s="1"/>
  <c r="C118" i="40" s="1"/>
  <c r="F108" i="40"/>
  <c r="F113" i="40" s="1"/>
  <c r="F118" i="40" s="1"/>
  <c r="D108" i="40"/>
  <c r="D113" i="40" s="1"/>
  <c r="D118" i="40" s="1"/>
  <c r="E108" i="40"/>
  <c r="E113" i="40" s="1"/>
  <c r="E118" i="40" s="1"/>
  <c r="G108" i="40"/>
  <c r="G113" i="40" s="1"/>
  <c r="G118" i="40" s="1"/>
  <c r="H108" i="40"/>
  <c r="H113" i="40" s="1"/>
  <c r="H118" i="40" s="1"/>
  <c r="I108" i="40"/>
  <c r="I113" i="40" s="1"/>
  <c r="I118" i="40" s="1"/>
  <c r="J108" i="40"/>
  <c r="J113" i="40" s="1"/>
  <c r="J118" i="40" s="1"/>
  <c r="K108" i="40"/>
  <c r="K113" i="40" s="1"/>
  <c r="K118" i="40" s="1"/>
  <c r="L108" i="40"/>
  <c r="L113" i="40" s="1"/>
  <c r="L118" i="40" s="1"/>
  <c r="M108" i="40"/>
  <c r="M113" i="40" s="1"/>
  <c r="M118" i="40" s="1"/>
  <c r="N108" i="40"/>
  <c r="N113" i="40" s="1"/>
  <c r="N118" i="40" s="1"/>
  <c r="O108" i="40"/>
  <c r="O113" i="40" s="1"/>
  <c r="O118" i="40" s="1"/>
  <c r="P108" i="40"/>
  <c r="P113" i="40" s="1"/>
  <c r="P118" i="40" s="1"/>
  <c r="Q108" i="40"/>
  <c r="Q113" i="40" s="1"/>
  <c r="Q118" i="40" s="1"/>
  <c r="R108" i="40"/>
  <c r="R113" i="40" s="1"/>
  <c r="R118" i="40" s="1"/>
  <c r="S108" i="40"/>
  <c r="S113" i="40" s="1"/>
  <c r="S118" i="40" s="1"/>
  <c r="T108" i="40"/>
  <c r="T113" i="40" s="1"/>
  <c r="T118" i="40" s="1"/>
  <c r="U108" i="40"/>
  <c r="U113" i="40" s="1"/>
  <c r="U118" i="40" s="1"/>
  <c r="V108" i="40"/>
  <c r="V113" i="40" s="1"/>
  <c r="V118" i="40" s="1"/>
  <c r="W108" i="40"/>
  <c r="W113" i="40" s="1"/>
  <c r="W118" i="40" s="1"/>
  <c r="X108" i="40"/>
  <c r="X113" i="40" s="1"/>
  <c r="X118" i="40" s="1"/>
  <c r="Y108" i="40"/>
  <c r="Y113" i="40" s="1"/>
  <c r="Y118" i="40" s="1"/>
  <c r="Z108" i="40"/>
  <c r="Z113" i="40" s="1"/>
  <c r="Z118" i="40" s="1"/>
  <c r="AA108" i="40"/>
  <c r="AA113" i="40" s="1"/>
  <c r="AA118" i="40" s="1"/>
  <c r="AB108" i="40"/>
  <c r="AB113" i="40" s="1"/>
  <c r="AB118" i="40" s="1"/>
  <c r="AC108" i="40"/>
  <c r="AC113" i="40" s="1"/>
  <c r="AC118" i="40" s="1"/>
  <c r="AD108" i="40"/>
  <c r="AD113" i="40" s="1"/>
  <c r="AD118" i="40" s="1"/>
  <c r="AE108" i="40"/>
  <c r="AE113" i="40" s="1"/>
  <c r="AE118" i="40" s="1"/>
  <c r="AF108" i="40"/>
  <c r="AF113" i="40" s="1"/>
  <c r="AF118" i="40" s="1"/>
  <c r="AG108" i="40"/>
  <c r="AG113" i="40" s="1"/>
  <c r="AG118" i="40" s="1"/>
  <c r="AC125" i="43"/>
  <c r="AC130" i="43" s="1"/>
  <c r="AC135" i="43" s="1"/>
  <c r="S125" i="43"/>
  <c r="S130" i="43" s="1"/>
  <c r="S135" i="43" s="1"/>
  <c r="X125" i="43"/>
  <c r="X130" i="43" s="1"/>
  <c r="X135" i="43" s="1"/>
  <c r="G125" i="43"/>
  <c r="G130" i="43" s="1"/>
  <c r="G135" i="43" s="1"/>
  <c r="N125" i="43"/>
  <c r="N130" i="43" s="1"/>
  <c r="N135" i="43" s="1"/>
  <c r="D125" i="43"/>
  <c r="D130" i="43" s="1"/>
  <c r="D135" i="43" s="1"/>
  <c r="AB125" i="43"/>
  <c r="AB130" i="43" s="1"/>
  <c r="AB135" i="43" s="1"/>
  <c r="R125" i="43"/>
  <c r="R130" i="43" s="1"/>
  <c r="R135" i="43" s="1"/>
  <c r="Y125" i="43"/>
  <c r="Y130" i="43" s="1"/>
  <c r="Y135" i="43" s="1"/>
  <c r="L125" i="43"/>
  <c r="L130" i="43" s="1"/>
  <c r="L135" i="43" s="1"/>
  <c r="C125" i="43"/>
  <c r="C130" i="43" s="1"/>
  <c r="C135" i="43" s="1"/>
  <c r="M125" i="43"/>
  <c r="M130" i="43" s="1"/>
  <c r="M135" i="43" s="1"/>
  <c r="AA125" i="43"/>
  <c r="AA130" i="43" s="1"/>
  <c r="AA135" i="43" s="1"/>
  <c r="AF125" i="43"/>
  <c r="AF130" i="43" s="1"/>
  <c r="AF135" i="43" s="1"/>
  <c r="W125" i="43"/>
  <c r="W130" i="43" s="1"/>
  <c r="W135" i="43" s="1"/>
  <c r="J125" i="43"/>
  <c r="J130" i="43" s="1"/>
  <c r="J135" i="43" s="1"/>
  <c r="Q125" i="43"/>
  <c r="Q130" i="43" s="1"/>
  <c r="Q135" i="43" s="1"/>
  <c r="K125" i="43"/>
  <c r="K130" i="43" s="1"/>
  <c r="K135" i="43" s="1"/>
  <c r="Z125" i="43"/>
  <c r="Z130" i="43" s="1"/>
  <c r="Z135" i="43" s="1"/>
  <c r="E125" i="43"/>
  <c r="E130" i="43" s="1"/>
  <c r="E135" i="43" s="1"/>
  <c r="AG125" i="43"/>
  <c r="AG130" i="43" s="1"/>
  <c r="AG135" i="43" s="1"/>
  <c r="H125" i="43"/>
  <c r="H130" i="43" s="1"/>
  <c r="H135" i="43" s="1"/>
  <c r="T125" i="43"/>
  <c r="T130" i="43" s="1"/>
  <c r="T135" i="43" s="1"/>
  <c r="U125" i="43"/>
  <c r="U130" i="43" s="1"/>
  <c r="U135" i="43" s="1"/>
  <c r="P125" i="43"/>
  <c r="P130" i="43" s="1"/>
  <c r="P135" i="43" s="1"/>
  <c r="I125" i="43"/>
  <c r="I130" i="43" s="1"/>
  <c r="I135" i="43" s="1"/>
  <c r="AD125" i="43"/>
  <c r="AD130" i="43" s="1"/>
  <c r="AD135" i="43" s="1"/>
  <c r="V125" i="43"/>
  <c r="V130" i="43" s="1"/>
  <c r="V135" i="43" s="1"/>
  <c r="AE125" i="43"/>
  <c r="AE130" i="43" s="1"/>
  <c r="AE135" i="43" s="1"/>
  <c r="O125" i="43"/>
  <c r="O130" i="43" s="1"/>
  <c r="O135" i="43" s="1"/>
  <c r="F125" i="43"/>
  <c r="F130" i="43" s="1"/>
  <c r="F135" i="43" s="1"/>
  <c r="E81" i="43"/>
  <c r="AF126" i="41"/>
  <c r="AF131" i="41" s="1"/>
  <c r="AF136" i="41" s="1"/>
  <c r="R126" i="41"/>
  <c r="R131" i="41" s="1"/>
  <c r="R136" i="41" s="1"/>
  <c r="K126" i="41"/>
  <c r="K131" i="41" s="1"/>
  <c r="K136" i="41" s="1"/>
  <c r="AG126" i="41"/>
  <c r="AG131" i="41" s="1"/>
  <c r="AG136" i="41" s="1"/>
  <c r="E126" i="41"/>
  <c r="E131" i="41" s="1"/>
  <c r="E136" i="41" s="1"/>
  <c r="D126" i="41"/>
  <c r="D131" i="41" s="1"/>
  <c r="D136" i="41" s="1"/>
  <c r="N126" i="41"/>
  <c r="N131" i="41" s="1"/>
  <c r="N136" i="41" s="1"/>
  <c r="T126" i="41"/>
  <c r="T131" i="41" s="1"/>
  <c r="T136" i="41" s="1"/>
  <c r="P126" i="41"/>
  <c r="P131" i="41" s="1"/>
  <c r="P136" i="41" s="1"/>
  <c r="I126" i="41"/>
  <c r="I131" i="41" s="1"/>
  <c r="I136" i="41" s="1"/>
  <c r="H126" i="41"/>
  <c r="H131" i="41" s="1"/>
  <c r="H136" i="41" s="1"/>
  <c r="AE126" i="41"/>
  <c r="AE131" i="41" s="1"/>
  <c r="AE136" i="41" s="1"/>
  <c r="AB126" i="41"/>
  <c r="AB131" i="41" s="1"/>
  <c r="AB136" i="41" s="1"/>
  <c r="AA126" i="41"/>
  <c r="AA131" i="41" s="1"/>
  <c r="AA136" i="41" s="1"/>
  <c r="M126" i="41"/>
  <c r="M131" i="41" s="1"/>
  <c r="M136" i="41" s="1"/>
  <c r="X126" i="41"/>
  <c r="X131" i="41" s="1"/>
  <c r="X136" i="41" s="1"/>
  <c r="O126" i="41"/>
  <c r="O131" i="41" s="1"/>
  <c r="O136" i="41" s="1"/>
  <c r="AD126" i="41"/>
  <c r="AD131" i="41" s="1"/>
  <c r="AD136" i="41" s="1"/>
  <c r="Q126" i="41"/>
  <c r="Q131" i="41" s="1"/>
  <c r="Q136" i="41" s="1"/>
  <c r="C126" i="41"/>
  <c r="C131" i="41" s="1"/>
  <c r="C136" i="41" s="1"/>
  <c r="J126" i="41"/>
  <c r="J131" i="41" s="1"/>
  <c r="J136" i="41" s="1"/>
  <c r="W126" i="41"/>
  <c r="W131" i="41" s="1"/>
  <c r="W136" i="41" s="1"/>
  <c r="F126" i="41"/>
  <c r="F131" i="41" s="1"/>
  <c r="F136" i="41" s="1"/>
  <c r="S126" i="41"/>
  <c r="S131" i="41" s="1"/>
  <c r="S136" i="41" s="1"/>
  <c r="Y126" i="41"/>
  <c r="Y131" i="41" s="1"/>
  <c r="Y136" i="41" s="1"/>
  <c r="E82" i="41"/>
  <c r="G126" i="41"/>
  <c r="G131" i="41" s="1"/>
  <c r="G136" i="41" s="1"/>
  <c r="Z126" i="41"/>
  <c r="Z131" i="41" s="1"/>
  <c r="Z136" i="41" s="1"/>
  <c r="V126" i="41"/>
  <c r="V131" i="41" s="1"/>
  <c r="V136" i="41" s="1"/>
  <c r="L126" i="41"/>
  <c r="L131" i="41" s="1"/>
  <c r="L136" i="41" s="1"/>
  <c r="U126" i="41"/>
  <c r="U131" i="41" s="1"/>
  <c r="U136" i="41" s="1"/>
  <c r="AC126" i="41"/>
  <c r="AC131" i="41" s="1"/>
  <c r="AC136" i="41" s="1"/>
  <c r="C125" i="40"/>
  <c r="C130" i="40" s="1"/>
  <c r="C135" i="40" s="1"/>
  <c r="N125" i="40"/>
  <c r="N130" i="40" s="1"/>
  <c r="N135" i="40" s="1"/>
  <c r="Y125" i="40"/>
  <c r="Y130" i="40" s="1"/>
  <c r="Y135" i="40" s="1"/>
  <c r="E81" i="40"/>
  <c r="M125" i="40"/>
  <c r="M130" i="40" s="1"/>
  <c r="M135" i="40" s="1"/>
  <c r="X125" i="40"/>
  <c r="X130" i="40" s="1"/>
  <c r="X135" i="40" s="1"/>
  <c r="AG125" i="40"/>
  <c r="AG130" i="40" s="1"/>
  <c r="AG135" i="40" s="1"/>
  <c r="O125" i="40"/>
  <c r="O130" i="40" s="1"/>
  <c r="O135" i="40" s="1"/>
  <c r="E125" i="40"/>
  <c r="E130" i="40" s="1"/>
  <c r="E135" i="40" s="1"/>
  <c r="G125" i="40"/>
  <c r="G130" i="40" s="1"/>
  <c r="G135" i="40" s="1"/>
  <c r="Q125" i="40"/>
  <c r="Q130" i="40" s="1"/>
  <c r="Q135" i="40" s="1"/>
  <c r="P125" i="40"/>
  <c r="P130" i="40" s="1"/>
  <c r="P135" i="40" s="1"/>
  <c r="T125" i="40"/>
  <c r="T130" i="40" s="1"/>
  <c r="T135" i="40" s="1"/>
  <c r="AA125" i="40"/>
  <c r="AA130" i="40" s="1"/>
  <c r="AA135" i="40" s="1"/>
  <c r="F125" i="40"/>
  <c r="F130" i="40" s="1"/>
  <c r="F135" i="40" s="1"/>
  <c r="L125" i="40"/>
  <c r="L130" i="40" s="1"/>
  <c r="L135" i="40" s="1"/>
  <c r="J125" i="40"/>
  <c r="J130" i="40" s="1"/>
  <c r="J135" i="40" s="1"/>
  <c r="AF125" i="40"/>
  <c r="AF130" i="40" s="1"/>
  <c r="AF135" i="40" s="1"/>
  <c r="V125" i="40"/>
  <c r="V130" i="40" s="1"/>
  <c r="V135" i="40" s="1"/>
  <c r="S125" i="40"/>
  <c r="S130" i="40" s="1"/>
  <c r="S135" i="40" s="1"/>
  <c r="Z125" i="40"/>
  <c r="Z130" i="40" s="1"/>
  <c r="Z135" i="40" s="1"/>
  <c r="W125" i="40"/>
  <c r="W130" i="40" s="1"/>
  <c r="W135" i="40" s="1"/>
  <c r="H125" i="40"/>
  <c r="H130" i="40" s="1"/>
  <c r="H135" i="40" s="1"/>
  <c r="R125" i="40"/>
  <c r="R130" i="40" s="1"/>
  <c r="R135" i="40" s="1"/>
  <c r="AB125" i="40"/>
  <c r="AB130" i="40" s="1"/>
  <c r="AB135" i="40" s="1"/>
  <c r="I125" i="40"/>
  <c r="I130" i="40" s="1"/>
  <c r="I135" i="40" s="1"/>
  <c r="U125" i="40"/>
  <c r="U130" i="40" s="1"/>
  <c r="U135" i="40" s="1"/>
  <c r="AD125" i="40"/>
  <c r="AD130" i="40" s="1"/>
  <c r="AD135" i="40" s="1"/>
  <c r="K125" i="40"/>
  <c r="K130" i="40" s="1"/>
  <c r="K135" i="40" s="1"/>
  <c r="AE125" i="40"/>
  <c r="AE130" i="40" s="1"/>
  <c r="AE135" i="40" s="1"/>
  <c r="D125" i="40"/>
  <c r="D130" i="40" s="1"/>
  <c r="D135" i="40" s="1"/>
  <c r="AC125" i="40"/>
  <c r="AC130" i="40" s="1"/>
  <c r="AC135" i="40" s="1"/>
  <c r="C164" i="39"/>
  <c r="C165" i="39"/>
  <c r="C173" i="39" s="1"/>
  <c r="C179" i="39" s="1"/>
  <c r="H85" i="38"/>
  <c r="E85" i="38"/>
  <c r="AB85" i="38"/>
  <c r="J85" i="38"/>
  <c r="W85" i="38"/>
  <c r="P85" i="38"/>
  <c r="I85" i="38"/>
  <c r="K85" i="38"/>
  <c r="D85" i="38"/>
  <c r="V85" i="38"/>
  <c r="O85" i="38"/>
  <c r="AG85" i="38"/>
  <c r="AE85" i="38"/>
  <c r="AA85" i="38"/>
  <c r="S85" i="38"/>
  <c r="N85" i="38"/>
  <c r="T85" i="38"/>
  <c r="G85" i="38"/>
  <c r="Z85" i="38"/>
  <c r="AD85" i="38"/>
  <c r="L85" i="38"/>
  <c r="U85" i="38"/>
  <c r="X85" i="38"/>
  <c r="R85" i="38"/>
  <c r="Y85" i="38"/>
  <c r="AF85" i="38"/>
  <c r="F85" i="38"/>
  <c r="M85" i="38"/>
  <c r="C85" i="38"/>
  <c r="AC85" i="38"/>
  <c r="Q85" i="38"/>
  <c r="C108" i="39"/>
  <c r="C113" i="39" s="1"/>
  <c r="C118" i="39" s="1"/>
  <c r="D108" i="39"/>
  <c r="D113" i="39" s="1"/>
  <c r="D118" i="39" s="1"/>
  <c r="E108" i="39"/>
  <c r="E113" i="39" s="1"/>
  <c r="E118" i="39" s="1"/>
  <c r="F108" i="39"/>
  <c r="F113" i="39" s="1"/>
  <c r="F118" i="39" s="1"/>
  <c r="G108" i="39"/>
  <c r="G113" i="39" s="1"/>
  <c r="G118" i="39" s="1"/>
  <c r="H108" i="39"/>
  <c r="H113" i="39" s="1"/>
  <c r="H118" i="39" s="1"/>
  <c r="I108" i="39"/>
  <c r="I113" i="39" s="1"/>
  <c r="I118" i="39" s="1"/>
  <c r="J108" i="39"/>
  <c r="J113" i="39" s="1"/>
  <c r="J118" i="39" s="1"/>
  <c r="K108" i="39"/>
  <c r="K113" i="39" s="1"/>
  <c r="K118" i="39" s="1"/>
  <c r="L108" i="39"/>
  <c r="L113" i="39" s="1"/>
  <c r="L118" i="39" s="1"/>
  <c r="M108" i="39"/>
  <c r="M113" i="39" s="1"/>
  <c r="M118" i="39" s="1"/>
  <c r="N108" i="39"/>
  <c r="N113" i="39" s="1"/>
  <c r="N118" i="39" s="1"/>
  <c r="O108" i="39"/>
  <c r="O113" i="39" s="1"/>
  <c r="O118" i="39" s="1"/>
  <c r="P108" i="39"/>
  <c r="P113" i="39" s="1"/>
  <c r="P118" i="39" s="1"/>
  <c r="Q108" i="39"/>
  <c r="Q113" i="39" s="1"/>
  <c r="Q118" i="39" s="1"/>
  <c r="R108" i="39"/>
  <c r="R113" i="39" s="1"/>
  <c r="R118" i="39" s="1"/>
  <c r="S108" i="39"/>
  <c r="S113" i="39" s="1"/>
  <c r="S118" i="39" s="1"/>
  <c r="T108" i="39"/>
  <c r="T113" i="39" s="1"/>
  <c r="T118" i="39" s="1"/>
  <c r="U108" i="39"/>
  <c r="U113" i="39" s="1"/>
  <c r="U118" i="39" s="1"/>
  <c r="V108" i="39"/>
  <c r="V113" i="39" s="1"/>
  <c r="V118" i="39" s="1"/>
  <c r="W108" i="39"/>
  <c r="W113" i="39" s="1"/>
  <c r="W118" i="39" s="1"/>
  <c r="X108" i="39"/>
  <c r="X113" i="39" s="1"/>
  <c r="X118" i="39" s="1"/>
  <c r="Y108" i="39"/>
  <c r="Y113" i="39" s="1"/>
  <c r="Y118" i="39" s="1"/>
  <c r="Z108" i="39"/>
  <c r="Z113" i="39" s="1"/>
  <c r="Z118" i="39" s="1"/>
  <c r="AA108" i="39"/>
  <c r="AA113" i="39" s="1"/>
  <c r="AA118" i="39" s="1"/>
  <c r="AB108" i="39"/>
  <c r="AB113" i="39" s="1"/>
  <c r="AB118" i="39" s="1"/>
  <c r="AC108" i="39"/>
  <c r="AC113" i="39" s="1"/>
  <c r="AC118" i="39" s="1"/>
  <c r="AD108" i="39"/>
  <c r="AD113" i="39" s="1"/>
  <c r="AD118" i="39" s="1"/>
  <c r="AE108" i="39"/>
  <c r="AE113" i="39" s="1"/>
  <c r="AE118" i="39" s="1"/>
  <c r="AF108" i="39"/>
  <c r="AF113" i="39" s="1"/>
  <c r="AF118" i="39" s="1"/>
  <c r="AG108" i="39"/>
  <c r="AG113" i="39" s="1"/>
  <c r="AG118" i="39" s="1"/>
  <c r="E82" i="39"/>
  <c r="E37" i="38"/>
  <c r="AD165" i="39"/>
  <c r="AD173" i="39" s="1"/>
  <c r="AD179" i="39" s="1"/>
  <c r="Z165" i="39"/>
  <c r="Z173" i="39" s="1"/>
  <c r="Z179" i="39" s="1"/>
  <c r="V165" i="39"/>
  <c r="V173" i="39" s="1"/>
  <c r="V179" i="39" s="1"/>
  <c r="R165" i="39"/>
  <c r="R173" i="39" s="1"/>
  <c r="R179" i="39" s="1"/>
  <c r="N165" i="39"/>
  <c r="N173" i="39" s="1"/>
  <c r="N179" i="39" s="1"/>
  <c r="J165" i="39"/>
  <c r="J173" i="39" s="1"/>
  <c r="J179" i="39" s="1"/>
  <c r="F165" i="39"/>
  <c r="F173" i="39" s="1"/>
  <c r="F179" i="39" s="1"/>
  <c r="AG165" i="39"/>
  <c r="AG173" i="39" s="1"/>
  <c r="AG179" i="39" s="1"/>
  <c r="AC165" i="39"/>
  <c r="AC173" i="39" s="1"/>
  <c r="AC179" i="39" s="1"/>
  <c r="Y165" i="39"/>
  <c r="Y173" i="39" s="1"/>
  <c r="Y179" i="39" s="1"/>
  <c r="U165" i="39"/>
  <c r="U173" i="39" s="1"/>
  <c r="U179" i="39" s="1"/>
  <c r="E165" i="39"/>
  <c r="E173" i="39" s="1"/>
  <c r="E179" i="39" s="1"/>
  <c r="AF165" i="39"/>
  <c r="AF173" i="39" s="1"/>
  <c r="AF179" i="39" s="1"/>
  <c r="Q165" i="39"/>
  <c r="Q173" i="39" s="1"/>
  <c r="Q179" i="39" s="1"/>
  <c r="M165" i="39"/>
  <c r="M173" i="39" s="1"/>
  <c r="M179" i="39" s="1"/>
  <c r="I165" i="39"/>
  <c r="I173" i="39" s="1"/>
  <c r="I179" i="39" s="1"/>
  <c r="AB165" i="39"/>
  <c r="AB173" i="39" s="1"/>
  <c r="AB179" i="39" s="1"/>
  <c r="X165" i="39"/>
  <c r="X173" i="39" s="1"/>
  <c r="X179" i="39" s="1"/>
  <c r="AE165" i="39"/>
  <c r="AE173" i="39" s="1"/>
  <c r="AE179" i="39" s="1"/>
  <c r="P165" i="39"/>
  <c r="P173" i="39" s="1"/>
  <c r="P179" i="39" s="1"/>
  <c r="L165" i="39"/>
  <c r="L173" i="39" s="1"/>
  <c r="L179" i="39" s="1"/>
  <c r="T165" i="39"/>
  <c r="T173" i="39" s="1"/>
  <c r="T179" i="39" s="1"/>
  <c r="D165" i="39"/>
  <c r="D173" i="39" s="1"/>
  <c r="D179" i="39" s="1"/>
  <c r="S165" i="39"/>
  <c r="S173" i="39" s="1"/>
  <c r="S179" i="39" s="1"/>
  <c r="AA165" i="39"/>
  <c r="AA173" i="39" s="1"/>
  <c r="AA179" i="39" s="1"/>
  <c r="W165" i="39"/>
  <c r="W173" i="39" s="1"/>
  <c r="W179" i="39" s="1"/>
  <c r="H165" i="39"/>
  <c r="H173" i="39" s="1"/>
  <c r="H179" i="39" s="1"/>
  <c r="O165" i="39"/>
  <c r="O173" i="39" s="1"/>
  <c r="O179" i="39" s="1"/>
  <c r="K165" i="39"/>
  <c r="K173" i="39" s="1"/>
  <c r="K179" i="39" s="1"/>
  <c r="G165" i="39"/>
  <c r="G173" i="39" s="1"/>
  <c r="G179" i="39" s="1"/>
  <c r="L136" i="38"/>
  <c r="L143" i="38" s="1"/>
  <c r="O136" i="38"/>
  <c r="O143" i="38" s="1"/>
  <c r="V136" i="38"/>
  <c r="V143" i="38" s="1"/>
  <c r="K136" i="38"/>
  <c r="K143" i="38" s="1"/>
  <c r="W136" i="38"/>
  <c r="W143" i="38" s="1"/>
  <c r="AC136" i="38"/>
  <c r="AC143" i="38" s="1"/>
  <c r="Q136" i="38"/>
  <c r="Q143" i="38" s="1"/>
  <c r="G136" i="38"/>
  <c r="G143" i="38" s="1"/>
  <c r="E136" i="38"/>
  <c r="E143" i="38" s="1"/>
  <c r="AA136" i="38"/>
  <c r="AA143" i="38" s="1"/>
  <c r="Z136" i="38"/>
  <c r="Z143" i="38" s="1"/>
  <c r="F136" i="38"/>
  <c r="F143" i="38" s="1"/>
  <c r="I136" i="38"/>
  <c r="I143" i="38" s="1"/>
  <c r="AD136" i="38"/>
  <c r="AD143" i="38" s="1"/>
  <c r="AB136" i="38"/>
  <c r="AB143" i="38" s="1"/>
  <c r="C136" i="38"/>
  <c r="C143" i="38" s="1"/>
  <c r="P136" i="38"/>
  <c r="P143" i="38" s="1"/>
  <c r="Y136" i="38"/>
  <c r="Y143" i="38" s="1"/>
  <c r="X136" i="38"/>
  <c r="X143" i="38" s="1"/>
  <c r="T136" i="38"/>
  <c r="T143" i="38" s="1"/>
  <c r="AE136" i="38"/>
  <c r="AE143" i="38" s="1"/>
  <c r="D136" i="38"/>
  <c r="D143" i="38" s="1"/>
  <c r="U136" i="38"/>
  <c r="U143" i="38" s="1"/>
  <c r="S136" i="38"/>
  <c r="S143" i="38" s="1"/>
  <c r="J136" i="38"/>
  <c r="J143" i="38" s="1"/>
  <c r="H136" i="38"/>
  <c r="H143" i="38" s="1"/>
  <c r="AF136" i="38"/>
  <c r="AF143" i="38" s="1"/>
  <c r="N136" i="38"/>
  <c r="N143" i="38" s="1"/>
  <c r="R136" i="38"/>
  <c r="R143" i="38" s="1"/>
  <c r="AG136" i="38"/>
  <c r="AG143" i="38" s="1"/>
  <c r="M136" i="38"/>
  <c r="M143" i="38" s="1"/>
  <c r="K92" i="38" l="1"/>
  <c r="P92" i="38"/>
  <c r="C92" i="38"/>
  <c r="T92" i="38"/>
  <c r="W92" i="38"/>
  <c r="M92" i="38"/>
  <c r="N92" i="38"/>
  <c r="J92" i="38"/>
  <c r="Q92" i="38"/>
  <c r="F92" i="38"/>
  <c r="S92" i="38"/>
  <c r="AB92" i="38"/>
  <c r="I92" i="38"/>
  <c r="AF92" i="38"/>
  <c r="AA92" i="38"/>
  <c r="E92" i="38"/>
  <c r="Z92" i="38"/>
  <c r="Y92" i="38"/>
  <c r="AE92" i="38"/>
  <c r="H92" i="38"/>
  <c r="R92" i="38"/>
  <c r="AG92" i="38"/>
  <c r="X92" i="38"/>
  <c r="O92" i="38"/>
  <c r="AD92" i="38"/>
  <c r="G92" i="38"/>
  <c r="U92" i="38"/>
  <c r="V92" i="38"/>
  <c r="AC92" i="38"/>
  <c r="L92" i="38"/>
  <c r="D92" i="38"/>
  <c r="L172" i="39"/>
  <c r="J172" i="39"/>
  <c r="K172" i="39"/>
  <c r="U172" i="39"/>
  <c r="AE172" i="39"/>
  <c r="AG172" i="39"/>
  <c r="C172" i="39"/>
  <c r="W172" i="39"/>
  <c r="AB172" i="39"/>
  <c r="V172" i="39"/>
  <c r="S172" i="39"/>
  <c r="Z172" i="39"/>
  <c r="E172" i="39"/>
  <c r="N172" i="39"/>
  <c r="T172" i="39"/>
  <c r="D172" i="39"/>
  <c r="I172" i="39"/>
  <c r="Y172" i="39"/>
  <c r="F172" i="39"/>
  <c r="AC172" i="39"/>
  <c r="Q172" i="39"/>
  <c r="P172" i="39"/>
  <c r="M172" i="39"/>
  <c r="AF172" i="39"/>
  <c r="O172" i="39"/>
  <c r="AA172" i="39"/>
  <c r="AD172" i="39"/>
  <c r="R172" i="39"/>
  <c r="G172" i="39"/>
  <c r="X172" i="39"/>
  <c r="H172" i="39"/>
  <c r="AF102" i="38"/>
  <c r="N102" i="38"/>
  <c r="C102" i="38"/>
  <c r="G102" i="38"/>
  <c r="AD102" i="38"/>
  <c r="Y102" i="38"/>
  <c r="O102" i="38"/>
  <c r="AC102" i="38"/>
  <c r="M102" i="38"/>
  <c r="I102" i="38"/>
  <c r="AA102" i="38"/>
  <c r="V102" i="38"/>
  <c r="X102" i="38"/>
  <c r="S102" i="38"/>
  <c r="H102" i="38"/>
  <c r="K102" i="38"/>
  <c r="F102" i="38"/>
  <c r="W102" i="38"/>
  <c r="T102" i="38"/>
  <c r="Q102" i="38"/>
  <c r="L102" i="38"/>
  <c r="AB102" i="38"/>
  <c r="U102" i="38"/>
  <c r="E102" i="38"/>
  <c r="P102" i="38"/>
  <c r="R102" i="38"/>
  <c r="AG102" i="38"/>
  <c r="D102" i="38"/>
  <c r="J102" i="38"/>
  <c r="Z102" i="38"/>
  <c r="AE102" i="38"/>
  <c r="AD125" i="39"/>
  <c r="AD130" i="39" s="1"/>
  <c r="AD135" i="39" s="1"/>
  <c r="X125" i="39"/>
  <c r="X130" i="39" s="1"/>
  <c r="X135" i="39" s="1"/>
  <c r="V125" i="39"/>
  <c r="V130" i="39" s="1"/>
  <c r="V135" i="39" s="1"/>
  <c r="R125" i="39"/>
  <c r="R130" i="39" s="1"/>
  <c r="R135" i="39" s="1"/>
  <c r="L125" i="39"/>
  <c r="L130" i="39" s="1"/>
  <c r="L135" i="39" s="1"/>
  <c r="J125" i="39"/>
  <c r="J130" i="39" s="1"/>
  <c r="J135" i="39" s="1"/>
  <c r="F125" i="39"/>
  <c r="F130" i="39" s="1"/>
  <c r="F135" i="39" s="1"/>
  <c r="AG125" i="39"/>
  <c r="AG130" i="39" s="1"/>
  <c r="AG135" i="39" s="1"/>
  <c r="AC125" i="39"/>
  <c r="AC130" i="39" s="1"/>
  <c r="AC135" i="39" s="1"/>
  <c r="W125" i="39"/>
  <c r="W130" i="39" s="1"/>
  <c r="W135" i="39" s="1"/>
  <c r="I125" i="39"/>
  <c r="I130" i="39" s="1"/>
  <c r="I135" i="39" s="1"/>
  <c r="E125" i="39"/>
  <c r="E130" i="39" s="1"/>
  <c r="E135" i="39" s="1"/>
  <c r="N125" i="39"/>
  <c r="N130" i="39" s="1"/>
  <c r="N135" i="39" s="1"/>
  <c r="Y125" i="39"/>
  <c r="Y130" i="39" s="1"/>
  <c r="Y135" i="39" s="1"/>
  <c r="U125" i="39"/>
  <c r="U130" i="39" s="1"/>
  <c r="U135" i="39" s="1"/>
  <c r="Q125" i="39"/>
  <c r="Q130" i="39" s="1"/>
  <c r="Q135" i="39" s="1"/>
  <c r="K125" i="39"/>
  <c r="K130" i="39" s="1"/>
  <c r="K135" i="39" s="1"/>
  <c r="E81" i="39"/>
  <c r="AF125" i="39"/>
  <c r="AF130" i="39" s="1"/>
  <c r="AF135" i="39" s="1"/>
  <c r="AB125" i="39"/>
  <c r="AB130" i="39" s="1"/>
  <c r="AB135" i="39" s="1"/>
  <c r="M125" i="39"/>
  <c r="M130" i="39" s="1"/>
  <c r="M135" i="39" s="1"/>
  <c r="T125" i="39"/>
  <c r="T130" i="39" s="1"/>
  <c r="T135" i="39" s="1"/>
  <c r="P125" i="39"/>
  <c r="P130" i="39" s="1"/>
  <c r="P135" i="39" s="1"/>
  <c r="H125" i="39"/>
  <c r="H130" i="39" s="1"/>
  <c r="H135" i="39" s="1"/>
  <c r="D125" i="39"/>
  <c r="D130" i="39" s="1"/>
  <c r="D135" i="39" s="1"/>
  <c r="AE125" i="39"/>
  <c r="AE130" i="39" s="1"/>
  <c r="AE135" i="39" s="1"/>
  <c r="AA125" i="39"/>
  <c r="AA130" i="39" s="1"/>
  <c r="AA135" i="39" s="1"/>
  <c r="Z125" i="39"/>
  <c r="Z130" i="39" s="1"/>
  <c r="Z135" i="39" s="1"/>
  <c r="S125" i="39"/>
  <c r="S130" i="39" s="1"/>
  <c r="S135" i="39" s="1"/>
  <c r="O125" i="39"/>
  <c r="O130" i="39" s="1"/>
  <c r="O135" i="39" s="1"/>
  <c r="G125" i="39"/>
  <c r="G130" i="39" s="1"/>
  <c r="G135" i="39" s="1"/>
  <c r="C125" i="39"/>
  <c r="C130" i="39" s="1"/>
  <c r="C135" i="39" s="1"/>
  <c r="C83" i="25"/>
  <c r="D83" i="25"/>
  <c r="E83" i="25"/>
  <c r="F83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C84" i="25"/>
  <c r="D84" i="25"/>
  <c r="E84" i="25"/>
  <c r="F84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C85" i="25"/>
  <c r="D85" i="25"/>
  <c r="E85" i="25"/>
  <c r="F85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C86" i="25"/>
  <c r="D86" i="25"/>
  <c r="E86" i="25"/>
  <c r="F86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B83" i="25"/>
  <c r="B84" i="25"/>
  <c r="B85" i="25"/>
  <c r="B86" i="25"/>
  <c r="C94" i="25"/>
  <c r="D94" i="25"/>
  <c r="E94" i="25"/>
  <c r="F94" i="25"/>
  <c r="G94" i="25"/>
  <c r="H94" i="25"/>
  <c r="I94" i="25"/>
  <c r="J94" i="25"/>
  <c r="K94" i="25"/>
  <c r="L94" i="25"/>
  <c r="M94" i="25"/>
  <c r="N94" i="25"/>
  <c r="O94" i="25"/>
  <c r="P94" i="25"/>
  <c r="Q94" i="25"/>
  <c r="R94" i="25"/>
  <c r="S94" i="25"/>
  <c r="T94" i="25"/>
  <c r="U94" i="25"/>
  <c r="V94" i="25"/>
  <c r="W94" i="25"/>
  <c r="X94" i="25"/>
  <c r="Y94" i="25"/>
  <c r="Z94" i="25"/>
  <c r="AA94" i="25"/>
  <c r="AB94" i="25"/>
  <c r="AC94" i="25"/>
  <c r="AD94" i="25"/>
  <c r="AE94" i="25"/>
  <c r="AF94" i="25"/>
  <c r="C95" i="25"/>
  <c r="D95" i="25"/>
  <c r="E95" i="25"/>
  <c r="F95" i="25"/>
  <c r="G95" i="25"/>
  <c r="H95" i="25"/>
  <c r="I95" i="25"/>
  <c r="J95" i="25"/>
  <c r="K95" i="25"/>
  <c r="L95" i="25"/>
  <c r="M95" i="25"/>
  <c r="N95" i="25"/>
  <c r="O95" i="25"/>
  <c r="P95" i="25"/>
  <c r="Q95" i="25"/>
  <c r="R95" i="25"/>
  <c r="S95" i="25"/>
  <c r="T95" i="25"/>
  <c r="U95" i="25"/>
  <c r="V95" i="25"/>
  <c r="W95" i="25"/>
  <c r="X95" i="25"/>
  <c r="Y95" i="25"/>
  <c r="Z95" i="25"/>
  <c r="AA95" i="25"/>
  <c r="AB95" i="25"/>
  <c r="AC95" i="25"/>
  <c r="AD95" i="25"/>
  <c r="AE95" i="25"/>
  <c r="AF95" i="25"/>
  <c r="C96" i="25"/>
  <c r="D96" i="25"/>
  <c r="E96" i="25"/>
  <c r="F96" i="25"/>
  <c r="G96" i="25"/>
  <c r="H96" i="25"/>
  <c r="I96" i="25"/>
  <c r="J96" i="25"/>
  <c r="K96" i="25"/>
  <c r="L96" i="25"/>
  <c r="M96" i="25"/>
  <c r="N96" i="25"/>
  <c r="O96" i="25"/>
  <c r="P96" i="25"/>
  <c r="Q96" i="25"/>
  <c r="R96" i="25"/>
  <c r="S96" i="25"/>
  <c r="T96" i="25"/>
  <c r="U96" i="25"/>
  <c r="V96" i="25"/>
  <c r="W96" i="25"/>
  <c r="X96" i="25"/>
  <c r="Y96" i="25"/>
  <c r="Z96" i="25"/>
  <c r="AA96" i="25"/>
  <c r="AB96" i="25"/>
  <c r="AC96" i="25"/>
  <c r="AD96" i="25"/>
  <c r="AE96" i="25"/>
  <c r="AF96" i="25"/>
  <c r="C97" i="25"/>
  <c r="D97" i="25"/>
  <c r="E97" i="25"/>
  <c r="F97" i="25"/>
  <c r="G97" i="25"/>
  <c r="H97" i="25"/>
  <c r="I97" i="25"/>
  <c r="J97" i="25"/>
  <c r="K97" i="25"/>
  <c r="L97" i="25"/>
  <c r="M97" i="25"/>
  <c r="N97" i="25"/>
  <c r="O97" i="25"/>
  <c r="P97" i="25"/>
  <c r="Q97" i="25"/>
  <c r="R97" i="25"/>
  <c r="S97" i="25"/>
  <c r="T97" i="25"/>
  <c r="U97" i="25"/>
  <c r="V97" i="25"/>
  <c r="W97" i="25"/>
  <c r="X97" i="25"/>
  <c r="Y97" i="25"/>
  <c r="Z97" i="25"/>
  <c r="AA97" i="25"/>
  <c r="AB97" i="25"/>
  <c r="AC97" i="25"/>
  <c r="AD97" i="25"/>
  <c r="AE97" i="25"/>
  <c r="AF97" i="25"/>
  <c r="C98" i="25"/>
  <c r="D98" i="25"/>
  <c r="E98" i="25"/>
  <c r="F98" i="25"/>
  <c r="G98" i="25"/>
  <c r="H98" i="25"/>
  <c r="I98" i="25"/>
  <c r="J98" i="25"/>
  <c r="K98" i="25"/>
  <c r="L98" i="25"/>
  <c r="M98" i="25"/>
  <c r="N98" i="25"/>
  <c r="O98" i="25"/>
  <c r="P98" i="25"/>
  <c r="Q98" i="25"/>
  <c r="R98" i="25"/>
  <c r="S98" i="25"/>
  <c r="T98" i="25"/>
  <c r="U98" i="25"/>
  <c r="V98" i="25"/>
  <c r="W98" i="25"/>
  <c r="X98" i="25"/>
  <c r="Y98" i="25"/>
  <c r="Z98" i="25"/>
  <c r="AA98" i="25"/>
  <c r="AB98" i="25"/>
  <c r="AC98" i="25"/>
  <c r="AD98" i="25"/>
  <c r="AE98" i="25"/>
  <c r="AF98" i="25"/>
  <c r="B94" i="25"/>
  <c r="B95" i="25"/>
  <c r="B96" i="25"/>
  <c r="B97" i="25"/>
  <c r="B98" i="25"/>
  <c r="M109" i="38" l="1"/>
  <c r="AE109" i="38"/>
  <c r="Z109" i="38"/>
  <c r="W109" i="38"/>
  <c r="O109" i="38"/>
  <c r="J109" i="38"/>
  <c r="F109" i="38"/>
  <c r="Y109" i="38"/>
  <c r="L109" i="38"/>
  <c r="K109" i="38"/>
  <c r="AD109" i="38"/>
  <c r="AC109" i="38"/>
  <c r="G109" i="38"/>
  <c r="C109" i="38"/>
  <c r="H109" i="38"/>
  <c r="X109" i="38"/>
  <c r="N109" i="38"/>
  <c r="T109" i="38"/>
  <c r="S109" i="38"/>
  <c r="E109" i="38"/>
  <c r="V109" i="38"/>
  <c r="AF109" i="38"/>
  <c r="R109" i="38"/>
  <c r="P109" i="38"/>
  <c r="U109" i="38"/>
  <c r="AA109" i="38"/>
  <c r="Q109" i="38"/>
  <c r="D109" i="38"/>
  <c r="AG109" i="38"/>
  <c r="AB109" i="38"/>
  <c r="I109" i="38"/>
  <c r="H74" i="41" l="1"/>
  <c r="H73" i="43"/>
  <c r="H73" i="39"/>
  <c r="C25" i="43" l="1"/>
  <c r="K185" i="41"/>
  <c r="AD185" i="41"/>
  <c r="AA185" i="41"/>
  <c r="S185" i="41"/>
  <c r="V185" i="41"/>
  <c r="R185" i="41"/>
  <c r="N185" i="41"/>
  <c r="E185" i="41"/>
  <c r="J185" i="41"/>
  <c r="F185" i="41"/>
  <c r="X185" i="41"/>
  <c r="AG185" i="41"/>
  <c r="AB185" i="41"/>
  <c r="U185" i="41"/>
  <c r="P185" i="41"/>
  <c r="AE185" i="41"/>
  <c r="C185" i="41"/>
  <c r="I185" i="41"/>
  <c r="D185" i="41"/>
  <c r="L185" i="41"/>
  <c r="AF185" i="41"/>
  <c r="AC185" i="41"/>
  <c r="O185" i="41"/>
  <c r="Y185" i="41"/>
  <c r="T185" i="41"/>
  <c r="Z185" i="41"/>
  <c r="W185" i="41"/>
  <c r="M185" i="41"/>
  <c r="H185" i="41"/>
  <c r="Q185" i="41"/>
  <c r="G185" i="41"/>
  <c r="E73" i="42"/>
  <c r="E73" i="40"/>
  <c r="H73" i="40"/>
  <c r="H73" i="42"/>
  <c r="C25" i="41"/>
  <c r="C14" i="43"/>
  <c r="C61" i="43" s="1"/>
  <c r="E74" i="41"/>
  <c r="C25" i="42"/>
  <c r="C25" i="40"/>
  <c r="E73" i="39"/>
  <c r="E73" i="43"/>
  <c r="G184" i="43"/>
  <c r="X184" i="43"/>
  <c r="Y184" i="43"/>
  <c r="S184" i="43"/>
  <c r="AD184" i="43"/>
  <c r="L184" i="43"/>
  <c r="R184" i="43"/>
  <c r="W184" i="43"/>
  <c r="F184" i="43"/>
  <c r="K184" i="43"/>
  <c r="H184" i="43"/>
  <c r="C184" i="43"/>
  <c r="AG184" i="43"/>
  <c r="AC184" i="43"/>
  <c r="AA184" i="43"/>
  <c r="D184" i="43"/>
  <c r="M184" i="43"/>
  <c r="U184" i="43"/>
  <c r="Q184" i="43"/>
  <c r="Z184" i="43"/>
  <c r="AE184" i="43"/>
  <c r="I184" i="43"/>
  <c r="E184" i="43"/>
  <c r="V184" i="43"/>
  <c r="N184" i="43"/>
  <c r="AF184" i="43"/>
  <c r="AB184" i="43"/>
  <c r="O184" i="43"/>
  <c r="T184" i="43"/>
  <c r="P184" i="43"/>
  <c r="J184" i="43"/>
  <c r="C23" i="40"/>
  <c r="C23" i="42"/>
  <c r="C23" i="41"/>
  <c r="C23" i="43"/>
  <c r="C14" i="40"/>
  <c r="C61" i="40" s="1"/>
  <c r="C14" i="42"/>
  <c r="C61" i="42" s="1"/>
  <c r="C14" i="41"/>
  <c r="C62" i="41" s="1"/>
  <c r="C23" i="39"/>
  <c r="C184" i="39"/>
  <c r="G184" i="39"/>
  <c r="E184" i="39"/>
  <c r="H184" i="39"/>
  <c r="F184" i="39"/>
  <c r="D184" i="39"/>
  <c r="I184" i="39"/>
  <c r="J184" i="39"/>
  <c r="K184" i="39"/>
  <c r="L184" i="39"/>
  <c r="M184" i="39"/>
  <c r="N184" i="39"/>
  <c r="O184" i="39"/>
  <c r="P184" i="39"/>
  <c r="Q184" i="39"/>
  <c r="R184" i="39"/>
  <c r="S184" i="39"/>
  <c r="T184" i="39"/>
  <c r="U184" i="39"/>
  <c r="V184" i="39"/>
  <c r="W184" i="39"/>
  <c r="X184" i="39"/>
  <c r="Y184" i="39"/>
  <c r="Z184" i="39"/>
  <c r="AA184" i="39"/>
  <c r="AB184" i="39"/>
  <c r="AC184" i="39"/>
  <c r="AD184" i="39"/>
  <c r="AE184" i="39"/>
  <c r="AF184" i="39"/>
  <c r="AG184" i="39"/>
  <c r="C25" i="39"/>
  <c r="C14" i="39"/>
  <c r="C61" i="39" s="1"/>
  <c r="C11" i="39"/>
  <c r="C86" i="39" s="1"/>
  <c r="C49" i="23"/>
  <c r="D49" i="23" s="1"/>
  <c r="E49" i="23" s="1"/>
  <c r="F49" i="23" s="1"/>
  <c r="G49" i="23" s="1"/>
  <c r="H49" i="23" s="1"/>
  <c r="I49" i="23" s="1"/>
  <c r="J49" i="23" s="1"/>
  <c r="K49" i="23" s="1"/>
  <c r="L49" i="23" s="1"/>
  <c r="M49" i="23" s="1"/>
  <c r="N49" i="23" s="1"/>
  <c r="O49" i="23" s="1"/>
  <c r="P49" i="23" s="1"/>
  <c r="Q49" i="23" s="1"/>
  <c r="R49" i="23" s="1"/>
  <c r="S49" i="23" s="1"/>
  <c r="T49" i="23" s="1"/>
  <c r="U49" i="23" s="1"/>
  <c r="V49" i="23" s="1"/>
  <c r="W49" i="23" s="1"/>
  <c r="X49" i="23" s="1"/>
  <c r="Y49" i="23" s="1"/>
  <c r="Z49" i="23" s="1"/>
  <c r="AA49" i="23" s="1"/>
  <c r="AB49" i="23" s="1"/>
  <c r="AC49" i="23" s="1"/>
  <c r="AD49" i="23" s="1"/>
  <c r="AE49" i="23" s="1"/>
  <c r="AF49" i="23" s="1"/>
  <c r="D2" i="23"/>
  <c r="D5" i="23"/>
  <c r="D7" i="23"/>
  <c r="C3" i="23"/>
  <c r="B3" i="23"/>
  <c r="D3" i="23" s="1"/>
  <c r="C4" i="23"/>
  <c r="B4" i="23"/>
  <c r="D4" i="23" s="1"/>
  <c r="D86" i="39" l="1"/>
  <c r="D91" i="39" s="1"/>
  <c r="D98" i="39" s="1"/>
  <c r="C107" i="39"/>
  <c r="C91" i="39"/>
  <c r="C98" i="39" s="1"/>
  <c r="C141" i="39"/>
  <c r="C146" i="39" s="1"/>
  <c r="C151" i="39" s="1"/>
  <c r="C93" i="39"/>
  <c r="C100" i="39" s="1"/>
  <c r="S123" i="42"/>
  <c r="S124" i="42" s="1"/>
  <c r="Y123" i="42"/>
  <c r="Y124" i="42" s="1"/>
  <c r="C123" i="42"/>
  <c r="C124" i="42" s="1"/>
  <c r="AE123" i="42"/>
  <c r="AE124" i="42" s="1"/>
  <c r="AD123" i="42"/>
  <c r="AD124" i="42" s="1"/>
  <c r="G123" i="42"/>
  <c r="G124" i="42" s="1"/>
  <c r="M123" i="42"/>
  <c r="M124" i="42" s="1"/>
  <c r="Z123" i="42"/>
  <c r="Z124" i="42" s="1"/>
  <c r="R123" i="42"/>
  <c r="R124" i="42" s="1"/>
  <c r="V123" i="42"/>
  <c r="V124" i="42" s="1"/>
  <c r="F123" i="42"/>
  <c r="F124" i="42" s="1"/>
  <c r="E123" i="42"/>
  <c r="E124" i="42" s="1"/>
  <c r="W123" i="42"/>
  <c r="W124" i="42" s="1"/>
  <c r="H123" i="42"/>
  <c r="H124" i="42" s="1"/>
  <c r="AF123" i="42"/>
  <c r="AF124" i="42" s="1"/>
  <c r="U123" i="42"/>
  <c r="U124" i="42" s="1"/>
  <c r="T123" i="42"/>
  <c r="T124" i="42" s="1"/>
  <c r="K123" i="42"/>
  <c r="K124" i="42" s="1"/>
  <c r="O123" i="42"/>
  <c r="O124" i="42" s="1"/>
  <c r="N123" i="42"/>
  <c r="N124" i="42" s="1"/>
  <c r="D123" i="42"/>
  <c r="D124" i="42" s="1"/>
  <c r="I123" i="42"/>
  <c r="I124" i="42" s="1"/>
  <c r="AB123" i="42"/>
  <c r="AB124" i="42" s="1"/>
  <c r="P123" i="42"/>
  <c r="P124" i="42" s="1"/>
  <c r="X123" i="42"/>
  <c r="X124" i="42" s="1"/>
  <c r="J123" i="42"/>
  <c r="J124" i="42" s="1"/>
  <c r="AG123" i="42"/>
  <c r="AG124" i="42" s="1"/>
  <c r="L123" i="42"/>
  <c r="L124" i="42" s="1"/>
  <c r="AA123" i="42"/>
  <c r="AA124" i="42" s="1"/>
  <c r="AC123" i="42"/>
  <c r="AC124" i="42" s="1"/>
  <c r="Q123" i="42"/>
  <c r="Q124" i="42" s="1"/>
  <c r="C123" i="40"/>
  <c r="C124" i="40" s="1"/>
  <c r="D123" i="40"/>
  <c r="D124" i="40" s="1"/>
  <c r="E123" i="40"/>
  <c r="E124" i="40" s="1"/>
  <c r="F123" i="40"/>
  <c r="F124" i="40" s="1"/>
  <c r="G123" i="40"/>
  <c r="G124" i="40" s="1"/>
  <c r="H123" i="40"/>
  <c r="H124" i="40" s="1"/>
  <c r="I123" i="40"/>
  <c r="I124" i="40" s="1"/>
  <c r="J123" i="40"/>
  <c r="J124" i="40" s="1"/>
  <c r="K123" i="40"/>
  <c r="K124" i="40" s="1"/>
  <c r="L123" i="40"/>
  <c r="L124" i="40" s="1"/>
  <c r="M123" i="40"/>
  <c r="M124" i="40" s="1"/>
  <c r="N123" i="40"/>
  <c r="N124" i="40" s="1"/>
  <c r="O123" i="40"/>
  <c r="O124" i="40" s="1"/>
  <c r="P123" i="40"/>
  <c r="P124" i="40" s="1"/>
  <c r="Q123" i="40"/>
  <c r="Q124" i="40" s="1"/>
  <c r="R123" i="40"/>
  <c r="R124" i="40" s="1"/>
  <c r="S123" i="40"/>
  <c r="S124" i="40" s="1"/>
  <c r="T123" i="40"/>
  <c r="T124" i="40" s="1"/>
  <c r="U123" i="40"/>
  <c r="U124" i="40" s="1"/>
  <c r="V123" i="40"/>
  <c r="V124" i="40" s="1"/>
  <c r="W123" i="40"/>
  <c r="W124" i="40" s="1"/>
  <c r="X123" i="40"/>
  <c r="X124" i="40" s="1"/>
  <c r="Y123" i="40"/>
  <c r="Y124" i="40" s="1"/>
  <c r="Z123" i="40"/>
  <c r="Z124" i="40" s="1"/>
  <c r="AA123" i="40"/>
  <c r="AA124" i="40" s="1"/>
  <c r="AB123" i="40"/>
  <c r="AB124" i="40" s="1"/>
  <c r="AC123" i="40"/>
  <c r="AC124" i="40" s="1"/>
  <c r="AD123" i="40"/>
  <c r="AD124" i="40" s="1"/>
  <c r="AE123" i="40"/>
  <c r="AE124" i="40" s="1"/>
  <c r="AF123" i="40"/>
  <c r="AF124" i="40" s="1"/>
  <c r="AG123" i="40"/>
  <c r="AG124" i="40" s="1"/>
  <c r="E124" i="41"/>
  <c r="E125" i="41" s="1"/>
  <c r="O124" i="41"/>
  <c r="O125" i="41" s="1"/>
  <c r="H124" i="41"/>
  <c r="H125" i="41" s="1"/>
  <c r="AC124" i="41"/>
  <c r="AC125" i="41" s="1"/>
  <c r="X124" i="41"/>
  <c r="X125" i="41" s="1"/>
  <c r="K124" i="41"/>
  <c r="K125" i="41" s="1"/>
  <c r="F124" i="41"/>
  <c r="F125" i="41" s="1"/>
  <c r="I124" i="41"/>
  <c r="I125" i="41" s="1"/>
  <c r="G124" i="41"/>
  <c r="G125" i="41" s="1"/>
  <c r="V124" i="41"/>
  <c r="V125" i="41" s="1"/>
  <c r="U124" i="41"/>
  <c r="U125" i="41" s="1"/>
  <c r="AA124" i="41"/>
  <c r="AA125" i="41" s="1"/>
  <c r="W124" i="41"/>
  <c r="W125" i="41" s="1"/>
  <c r="R124" i="41"/>
  <c r="R125" i="41" s="1"/>
  <c r="J124" i="41"/>
  <c r="J125" i="41" s="1"/>
  <c r="C124" i="41"/>
  <c r="C125" i="41" s="1"/>
  <c r="AF124" i="41"/>
  <c r="AF125" i="41" s="1"/>
  <c r="Y124" i="41"/>
  <c r="Y125" i="41" s="1"/>
  <c r="S124" i="41"/>
  <c r="S125" i="41" s="1"/>
  <c r="M124" i="41"/>
  <c r="M125" i="41" s="1"/>
  <c r="L124" i="41"/>
  <c r="L125" i="41" s="1"/>
  <c r="P124" i="41"/>
  <c r="P125" i="41" s="1"/>
  <c r="D124" i="41"/>
  <c r="D125" i="41" s="1"/>
  <c r="AB124" i="41"/>
  <c r="AB125" i="41" s="1"/>
  <c r="AG124" i="41"/>
  <c r="AG125" i="41" s="1"/>
  <c r="AD124" i="41"/>
  <c r="AD125" i="41" s="1"/>
  <c r="AE124" i="41"/>
  <c r="AE125" i="41" s="1"/>
  <c r="Q124" i="41"/>
  <c r="Q125" i="41" s="1"/>
  <c r="Z124" i="41"/>
  <c r="Z125" i="41" s="1"/>
  <c r="T124" i="41"/>
  <c r="T125" i="41" s="1"/>
  <c r="N124" i="41"/>
  <c r="N125" i="41" s="1"/>
  <c r="C111" i="41"/>
  <c r="C116" i="41" s="1"/>
  <c r="C120" i="41" s="1"/>
  <c r="C113" i="41"/>
  <c r="C118" i="41" s="1"/>
  <c r="C159" i="41"/>
  <c r="D62" i="41"/>
  <c r="C158" i="43"/>
  <c r="D61" i="43"/>
  <c r="C158" i="42"/>
  <c r="D61" i="42"/>
  <c r="C158" i="40"/>
  <c r="D61" i="40"/>
  <c r="J123" i="43"/>
  <c r="J124" i="43" s="1"/>
  <c r="R123" i="43"/>
  <c r="R124" i="43" s="1"/>
  <c r="AB123" i="43"/>
  <c r="AB124" i="43" s="1"/>
  <c r="Z123" i="43"/>
  <c r="Z124" i="43" s="1"/>
  <c r="AF123" i="43"/>
  <c r="AF124" i="43" s="1"/>
  <c r="D123" i="43"/>
  <c r="D124" i="43" s="1"/>
  <c r="L123" i="43"/>
  <c r="L124" i="43" s="1"/>
  <c r="AA123" i="43"/>
  <c r="AA124" i="43" s="1"/>
  <c r="I123" i="43"/>
  <c r="I124" i="43" s="1"/>
  <c r="Q123" i="43"/>
  <c r="Q124" i="43" s="1"/>
  <c r="O123" i="43"/>
  <c r="O124" i="43" s="1"/>
  <c r="X123" i="43"/>
  <c r="X124" i="43" s="1"/>
  <c r="AE123" i="43"/>
  <c r="AE124" i="43" s="1"/>
  <c r="AC123" i="43"/>
  <c r="AC124" i="43" s="1"/>
  <c r="AG123" i="43"/>
  <c r="AG124" i="43" s="1"/>
  <c r="C123" i="43"/>
  <c r="C124" i="43" s="1"/>
  <c r="H123" i="43"/>
  <c r="H124" i="43" s="1"/>
  <c r="P123" i="43"/>
  <c r="P124" i="43" s="1"/>
  <c r="Y123" i="43"/>
  <c r="Y124" i="43" s="1"/>
  <c r="V123" i="43"/>
  <c r="V124" i="43" s="1"/>
  <c r="AD123" i="43"/>
  <c r="AD124" i="43" s="1"/>
  <c r="M123" i="43"/>
  <c r="M124" i="43" s="1"/>
  <c r="G123" i="43"/>
  <c r="G124" i="43" s="1"/>
  <c r="S123" i="43"/>
  <c r="S124" i="43" s="1"/>
  <c r="E123" i="43"/>
  <c r="E124" i="43" s="1"/>
  <c r="W123" i="43"/>
  <c r="W124" i="43" s="1"/>
  <c r="U123" i="43"/>
  <c r="U124" i="43" s="1"/>
  <c r="N123" i="43"/>
  <c r="N124" i="43" s="1"/>
  <c r="K123" i="43"/>
  <c r="K124" i="43" s="1"/>
  <c r="F123" i="43"/>
  <c r="F124" i="43" s="1"/>
  <c r="T123" i="43"/>
  <c r="T124" i="43" s="1"/>
  <c r="C184" i="42"/>
  <c r="H184" i="42"/>
  <c r="AD184" i="42"/>
  <c r="O184" i="42"/>
  <c r="Z184" i="42"/>
  <c r="S184" i="42"/>
  <c r="T184" i="42"/>
  <c r="N184" i="42"/>
  <c r="G184" i="42"/>
  <c r="M184" i="42"/>
  <c r="J184" i="42"/>
  <c r="I184" i="42"/>
  <c r="Q184" i="42"/>
  <c r="X184" i="42"/>
  <c r="E184" i="42"/>
  <c r="AF184" i="42"/>
  <c r="L184" i="42"/>
  <c r="D184" i="42"/>
  <c r="W184" i="42"/>
  <c r="V184" i="42"/>
  <c r="P184" i="42"/>
  <c r="F184" i="42"/>
  <c r="K184" i="42"/>
  <c r="AB184" i="42"/>
  <c r="U184" i="42"/>
  <c r="R184" i="42"/>
  <c r="AA184" i="42"/>
  <c r="Y184" i="42"/>
  <c r="AC184" i="42"/>
  <c r="AE184" i="42"/>
  <c r="AG184" i="42"/>
  <c r="I123" i="39"/>
  <c r="T123" i="39"/>
  <c r="AA123" i="39"/>
  <c r="AC123" i="39"/>
  <c r="AB123" i="39"/>
  <c r="AE123" i="39"/>
  <c r="S123" i="39"/>
  <c r="H123" i="39"/>
  <c r="D123" i="39"/>
  <c r="G123" i="39"/>
  <c r="Q123" i="39"/>
  <c r="E123" i="39"/>
  <c r="AF123" i="39"/>
  <c r="P123" i="39"/>
  <c r="O123" i="39"/>
  <c r="M123" i="39"/>
  <c r="X123" i="39"/>
  <c r="U123" i="39"/>
  <c r="L123" i="39"/>
  <c r="Z123" i="39"/>
  <c r="W123" i="39"/>
  <c r="N123" i="39"/>
  <c r="K123" i="39"/>
  <c r="C123" i="39"/>
  <c r="C124" i="39" s="1"/>
  <c r="C129" i="39" s="1"/>
  <c r="C134" i="39" s="1"/>
  <c r="Y123" i="39"/>
  <c r="AD123" i="39"/>
  <c r="V123" i="39"/>
  <c r="R123" i="39"/>
  <c r="J123" i="39"/>
  <c r="F123" i="39"/>
  <c r="AG123" i="39"/>
  <c r="C184" i="40"/>
  <c r="E184" i="40"/>
  <c r="D184" i="40"/>
  <c r="F184" i="40"/>
  <c r="G184" i="40"/>
  <c r="H184" i="40"/>
  <c r="I184" i="40"/>
  <c r="J184" i="40"/>
  <c r="K184" i="40"/>
  <c r="L184" i="40"/>
  <c r="M184" i="40"/>
  <c r="N184" i="40"/>
  <c r="O184" i="40"/>
  <c r="P184" i="40"/>
  <c r="Q184" i="40"/>
  <c r="R184" i="40"/>
  <c r="S184" i="40"/>
  <c r="T184" i="40"/>
  <c r="U184" i="40"/>
  <c r="V184" i="40"/>
  <c r="W184" i="40"/>
  <c r="X184" i="40"/>
  <c r="Y184" i="40"/>
  <c r="Z184" i="40"/>
  <c r="AA184" i="40"/>
  <c r="AB184" i="40"/>
  <c r="AC184" i="40"/>
  <c r="AD184" i="40"/>
  <c r="AE184" i="40"/>
  <c r="AF184" i="40"/>
  <c r="AG184" i="40"/>
  <c r="C112" i="43"/>
  <c r="C117" i="43" s="1"/>
  <c r="C110" i="43"/>
  <c r="C115" i="43" s="1"/>
  <c r="C119" i="43" s="1"/>
  <c r="C99" i="38"/>
  <c r="C158" i="39"/>
  <c r="C160" i="39" s="1"/>
  <c r="D61" i="39"/>
  <c r="C102" i="39"/>
  <c r="C116" i="38"/>
  <c r="C72" i="38"/>
  <c r="B1" i="25" a="1"/>
  <c r="B1" i="25" s="1"/>
  <c r="C150" i="38" l="1"/>
  <c r="D141" i="39"/>
  <c r="D93" i="39"/>
  <c r="D100" i="39" s="1"/>
  <c r="C118" i="38"/>
  <c r="C125" i="38" s="1"/>
  <c r="C128" i="38"/>
  <c r="C101" i="38"/>
  <c r="C108" i="38" s="1"/>
  <c r="C111" i="38"/>
  <c r="C76" i="38"/>
  <c r="D124" i="39"/>
  <c r="C144" i="39"/>
  <c r="C149" i="39" s="1"/>
  <c r="C153" i="39" s="1"/>
  <c r="C103" i="39"/>
  <c r="E86" i="39"/>
  <c r="D107" i="39"/>
  <c r="D112" i="39" s="1"/>
  <c r="D117" i="39" s="1"/>
  <c r="C127" i="39"/>
  <c r="C132" i="39" s="1"/>
  <c r="C136" i="39" s="1"/>
  <c r="C121" i="41"/>
  <c r="C206" i="43"/>
  <c r="C207" i="41"/>
  <c r="C186" i="43"/>
  <c r="C189" i="43" s="1"/>
  <c r="C160" i="43"/>
  <c r="AC129" i="40"/>
  <c r="AC134" i="40" s="1"/>
  <c r="AC127" i="40"/>
  <c r="AC132" i="40" s="1"/>
  <c r="AC136" i="40" s="1"/>
  <c r="V127" i="42"/>
  <c r="V132" i="42" s="1"/>
  <c r="V136" i="42" s="1"/>
  <c r="V129" i="42"/>
  <c r="V134" i="42" s="1"/>
  <c r="D113" i="41"/>
  <c r="D118" i="41" s="1"/>
  <c r="D111" i="41"/>
  <c r="D116" i="41" s="1"/>
  <c r="D120" i="41" s="1"/>
  <c r="C120" i="43"/>
  <c r="F129" i="43"/>
  <c r="F134" i="43" s="1"/>
  <c r="F127" i="43"/>
  <c r="F132" i="43" s="1"/>
  <c r="F136" i="43" s="1"/>
  <c r="P129" i="43"/>
  <c r="P134" i="43" s="1"/>
  <c r="P127" i="43"/>
  <c r="P132" i="43" s="1"/>
  <c r="P136" i="43" s="1"/>
  <c r="D129" i="43"/>
  <c r="D134" i="43" s="1"/>
  <c r="D127" i="43"/>
  <c r="D132" i="43" s="1"/>
  <c r="D136" i="43" s="1"/>
  <c r="D158" i="40"/>
  <c r="E61" i="40"/>
  <c r="T130" i="41"/>
  <c r="T135" i="41" s="1"/>
  <c r="T128" i="41"/>
  <c r="T133" i="41" s="1"/>
  <c r="T137" i="41" s="1"/>
  <c r="Y130" i="41"/>
  <c r="Y135" i="41" s="1"/>
  <c r="Y128" i="41"/>
  <c r="Y133" i="41" s="1"/>
  <c r="Y137" i="41" s="1"/>
  <c r="K130" i="41"/>
  <c r="K135" i="41" s="1"/>
  <c r="K128" i="41"/>
  <c r="K133" i="41" s="1"/>
  <c r="K137" i="41" s="1"/>
  <c r="AB121" i="40"/>
  <c r="AB129" i="40"/>
  <c r="AB134" i="40" s="1"/>
  <c r="AB127" i="40"/>
  <c r="AB132" i="40" s="1"/>
  <c r="AB136" i="40" s="1"/>
  <c r="P129" i="40"/>
  <c r="P134" i="40" s="1"/>
  <c r="P127" i="40"/>
  <c r="P132" i="40" s="1"/>
  <c r="P136" i="40" s="1"/>
  <c r="D129" i="40"/>
  <c r="D134" i="40" s="1"/>
  <c r="D127" i="40"/>
  <c r="D132" i="40" s="1"/>
  <c r="D136" i="40" s="1"/>
  <c r="D127" i="42"/>
  <c r="D132" i="42" s="1"/>
  <c r="D136" i="42" s="1"/>
  <c r="D129" i="42"/>
  <c r="D134" i="42" s="1"/>
  <c r="R127" i="42"/>
  <c r="R132" i="42" s="1"/>
  <c r="R136" i="42" s="1"/>
  <c r="R129" i="42"/>
  <c r="R134" i="42" s="1"/>
  <c r="N128" i="41"/>
  <c r="N133" i="41" s="1"/>
  <c r="N137" i="41" s="1"/>
  <c r="N130" i="41"/>
  <c r="N135" i="41" s="1"/>
  <c r="I127" i="42"/>
  <c r="I132" i="42" s="1"/>
  <c r="I136" i="42" s="1"/>
  <c r="I129" i="42"/>
  <c r="I134" i="42" s="1"/>
  <c r="K127" i="43"/>
  <c r="K132" i="43" s="1"/>
  <c r="K136" i="43" s="1"/>
  <c r="K129" i="43"/>
  <c r="K134" i="43" s="1"/>
  <c r="H129" i="43"/>
  <c r="H134" i="43" s="1"/>
  <c r="H127" i="43"/>
  <c r="H132" i="43" s="1"/>
  <c r="H136" i="43" s="1"/>
  <c r="H121" i="43"/>
  <c r="AF127" i="43"/>
  <c r="AF132" i="43" s="1"/>
  <c r="AF136" i="43" s="1"/>
  <c r="AF129" i="43"/>
  <c r="AF134" i="43" s="1"/>
  <c r="C186" i="40"/>
  <c r="C189" i="40" s="1"/>
  <c r="C160" i="40"/>
  <c r="Z128" i="41"/>
  <c r="Z133" i="41" s="1"/>
  <c r="Z137" i="41" s="1"/>
  <c r="Z130" i="41"/>
  <c r="Z135" i="41" s="1"/>
  <c r="AF130" i="41"/>
  <c r="AF135" i="41" s="1"/>
  <c r="AF128" i="41"/>
  <c r="AF133" i="41" s="1"/>
  <c r="AF137" i="41" s="1"/>
  <c r="X128" i="41"/>
  <c r="X133" i="41" s="1"/>
  <c r="X137" i="41" s="1"/>
  <c r="X130" i="41"/>
  <c r="X135" i="41" s="1"/>
  <c r="AA127" i="40"/>
  <c r="AA132" i="40" s="1"/>
  <c r="AA136" i="40" s="1"/>
  <c r="AA129" i="40"/>
  <c r="AA134" i="40" s="1"/>
  <c r="O127" i="40"/>
  <c r="O132" i="40" s="1"/>
  <c r="O136" i="40" s="1"/>
  <c r="O129" i="40"/>
  <c r="O134" i="40" s="1"/>
  <c r="C127" i="40"/>
  <c r="C132" i="40" s="1"/>
  <c r="C136" i="40" s="1"/>
  <c r="C129" i="40"/>
  <c r="C134" i="40" s="1"/>
  <c r="N127" i="42"/>
  <c r="N132" i="42" s="1"/>
  <c r="N136" i="42" s="1"/>
  <c r="N129" i="42"/>
  <c r="N134" i="42" s="1"/>
  <c r="Z127" i="42"/>
  <c r="Z132" i="42" s="1"/>
  <c r="Z136" i="42" s="1"/>
  <c r="Z129" i="42"/>
  <c r="Z134" i="42" s="1"/>
  <c r="L129" i="43"/>
  <c r="L134" i="43" s="1"/>
  <c r="L127" i="43"/>
  <c r="L132" i="43" s="1"/>
  <c r="L136" i="43" s="1"/>
  <c r="N129" i="43"/>
  <c r="N134" i="43" s="1"/>
  <c r="N127" i="43"/>
  <c r="N132" i="43" s="1"/>
  <c r="N136" i="43" s="1"/>
  <c r="C127" i="43"/>
  <c r="C132" i="43" s="1"/>
  <c r="C136" i="43" s="1"/>
  <c r="C129" i="43"/>
  <c r="C134" i="43" s="1"/>
  <c r="Z127" i="43"/>
  <c r="Z132" i="43" s="1"/>
  <c r="Z136" i="43" s="1"/>
  <c r="Z129" i="43"/>
  <c r="Z134" i="43" s="1"/>
  <c r="D159" i="41"/>
  <c r="E62" i="41"/>
  <c r="Q130" i="41"/>
  <c r="Q135" i="41" s="1"/>
  <c r="Q128" i="41"/>
  <c r="Q133" i="41" s="1"/>
  <c r="Q137" i="41" s="1"/>
  <c r="C128" i="41"/>
  <c r="C133" i="41" s="1"/>
  <c r="C137" i="41" s="1"/>
  <c r="C130" i="41"/>
  <c r="C135" i="41" s="1"/>
  <c r="AC128" i="41"/>
  <c r="AC133" i="41" s="1"/>
  <c r="AC137" i="41" s="1"/>
  <c r="AC130" i="41"/>
  <c r="AC135" i="41" s="1"/>
  <c r="Z127" i="40"/>
  <c r="Z132" i="40" s="1"/>
  <c r="Z136" i="40" s="1"/>
  <c r="Z129" i="40"/>
  <c r="Z134" i="40" s="1"/>
  <c r="N129" i="40"/>
  <c r="N134" i="40" s="1"/>
  <c r="N127" i="40"/>
  <c r="N132" i="40" s="1"/>
  <c r="N136" i="40" s="1"/>
  <c r="Q127" i="42"/>
  <c r="Q132" i="42" s="1"/>
  <c r="Q136" i="42" s="1"/>
  <c r="Q129" i="42"/>
  <c r="Q134" i="42" s="1"/>
  <c r="O129" i="42"/>
  <c r="O134" i="42" s="1"/>
  <c r="O127" i="42"/>
  <c r="O132" i="42" s="1"/>
  <c r="O136" i="42" s="1"/>
  <c r="M127" i="42"/>
  <c r="M132" i="42" s="1"/>
  <c r="M136" i="42" s="1"/>
  <c r="M129" i="42"/>
  <c r="M134" i="42" s="1"/>
  <c r="S128" i="41"/>
  <c r="S133" i="41" s="1"/>
  <c r="S137" i="41" s="1"/>
  <c r="S130" i="41"/>
  <c r="S135" i="41" s="1"/>
  <c r="U129" i="43"/>
  <c r="U134" i="43" s="1"/>
  <c r="U127" i="43"/>
  <c r="U132" i="43" s="1"/>
  <c r="U136" i="43" s="1"/>
  <c r="AG127" i="43"/>
  <c r="AG132" i="43" s="1"/>
  <c r="AG136" i="43" s="1"/>
  <c r="AG129" i="43"/>
  <c r="AG134" i="43" s="1"/>
  <c r="AB121" i="43"/>
  <c r="AB129" i="43"/>
  <c r="AB134" i="43" s="1"/>
  <c r="AB127" i="43"/>
  <c r="AB132" i="43" s="1"/>
  <c r="AB136" i="43" s="1"/>
  <c r="C187" i="41"/>
  <c r="C190" i="41" s="1"/>
  <c r="C161" i="41"/>
  <c r="AE128" i="41"/>
  <c r="AE133" i="41" s="1"/>
  <c r="AE137" i="41" s="1"/>
  <c r="AE130" i="41"/>
  <c r="AE135" i="41" s="1"/>
  <c r="J128" i="41"/>
  <c r="J133" i="41" s="1"/>
  <c r="J137" i="41" s="1"/>
  <c r="J130" i="41"/>
  <c r="J135" i="41" s="1"/>
  <c r="H130" i="41"/>
  <c r="H135" i="41" s="1"/>
  <c r="H128" i="41"/>
  <c r="H133" i="41" s="1"/>
  <c r="H137" i="41" s="1"/>
  <c r="H122" i="41"/>
  <c r="Y127" i="40"/>
  <c r="Y132" i="40" s="1"/>
  <c r="Y136" i="40" s="1"/>
  <c r="Y129" i="40"/>
  <c r="Y134" i="40" s="1"/>
  <c r="M129" i="40"/>
  <c r="M134" i="40" s="1"/>
  <c r="M127" i="40"/>
  <c r="M132" i="40" s="1"/>
  <c r="M136" i="40" s="1"/>
  <c r="AC129" i="42"/>
  <c r="AC134" i="42" s="1"/>
  <c r="AC127" i="42"/>
  <c r="AC132" i="42" s="1"/>
  <c r="AC136" i="42" s="1"/>
  <c r="K129" i="42"/>
  <c r="K134" i="42" s="1"/>
  <c r="K127" i="42"/>
  <c r="K132" i="42" s="1"/>
  <c r="K136" i="42" s="1"/>
  <c r="G129" i="42"/>
  <c r="G134" i="42" s="1"/>
  <c r="G127" i="42"/>
  <c r="G132" i="42" s="1"/>
  <c r="G136" i="42" s="1"/>
  <c r="T127" i="43"/>
  <c r="T132" i="43" s="1"/>
  <c r="T136" i="43" s="1"/>
  <c r="T129" i="43"/>
  <c r="T134" i="43" s="1"/>
  <c r="E129" i="40"/>
  <c r="E134" i="40" s="1"/>
  <c r="E127" i="40"/>
  <c r="E132" i="40" s="1"/>
  <c r="E136" i="40" s="1"/>
  <c r="W127" i="43"/>
  <c r="W132" i="43" s="1"/>
  <c r="W136" i="43" s="1"/>
  <c r="W129" i="43"/>
  <c r="W134" i="43" s="1"/>
  <c r="AC127" i="43"/>
  <c r="AC132" i="43" s="1"/>
  <c r="AC136" i="43" s="1"/>
  <c r="AC129" i="43"/>
  <c r="AC134" i="43" s="1"/>
  <c r="R127" i="43"/>
  <c r="R132" i="43" s="1"/>
  <c r="R136" i="43" s="1"/>
  <c r="R129" i="43"/>
  <c r="R134" i="43" s="1"/>
  <c r="D158" i="42"/>
  <c r="E61" i="42"/>
  <c r="AD128" i="41"/>
  <c r="AD133" i="41" s="1"/>
  <c r="AD137" i="41" s="1"/>
  <c r="AD130" i="41"/>
  <c r="AD135" i="41" s="1"/>
  <c r="R130" i="41"/>
  <c r="R135" i="41" s="1"/>
  <c r="R128" i="41"/>
  <c r="R133" i="41" s="1"/>
  <c r="R137" i="41" s="1"/>
  <c r="O130" i="41"/>
  <c r="O135" i="41" s="1"/>
  <c r="O128" i="41"/>
  <c r="O133" i="41" s="1"/>
  <c r="O137" i="41" s="1"/>
  <c r="X127" i="40"/>
  <c r="X132" i="40" s="1"/>
  <c r="X136" i="40" s="1"/>
  <c r="X129" i="40"/>
  <c r="X134" i="40" s="1"/>
  <c r="L129" i="40"/>
  <c r="L134" i="40" s="1"/>
  <c r="L127" i="40"/>
  <c r="L132" i="40" s="1"/>
  <c r="L136" i="40" s="1"/>
  <c r="AA129" i="42"/>
  <c r="AA134" i="42" s="1"/>
  <c r="AA127" i="42"/>
  <c r="AA132" i="42" s="1"/>
  <c r="AA136" i="42" s="1"/>
  <c r="T127" i="42"/>
  <c r="T132" i="42" s="1"/>
  <c r="T136" i="42" s="1"/>
  <c r="T129" i="42"/>
  <c r="T134" i="42" s="1"/>
  <c r="AD127" i="42"/>
  <c r="AD132" i="42" s="1"/>
  <c r="AD136" i="42" s="1"/>
  <c r="AD129" i="42"/>
  <c r="AD134" i="42" s="1"/>
  <c r="Y127" i="43"/>
  <c r="Y132" i="43" s="1"/>
  <c r="Y136" i="43" s="1"/>
  <c r="Y129" i="43"/>
  <c r="Y134" i="43" s="1"/>
  <c r="F130" i="41"/>
  <c r="F135" i="41" s="1"/>
  <c r="F128" i="41"/>
  <c r="F133" i="41" s="1"/>
  <c r="F137" i="41" s="1"/>
  <c r="AG130" i="41"/>
  <c r="AG135" i="41" s="1"/>
  <c r="AG128" i="41"/>
  <c r="AG133" i="41" s="1"/>
  <c r="AG137" i="41" s="1"/>
  <c r="W130" i="41"/>
  <c r="W135" i="41" s="1"/>
  <c r="W128" i="41"/>
  <c r="W133" i="41" s="1"/>
  <c r="W137" i="41" s="1"/>
  <c r="E130" i="41"/>
  <c r="E135" i="41" s="1"/>
  <c r="E128" i="41"/>
  <c r="E133" i="41" s="1"/>
  <c r="E137" i="41" s="1"/>
  <c r="W129" i="40"/>
  <c r="W134" i="40" s="1"/>
  <c r="W127" i="40"/>
  <c r="W132" i="40" s="1"/>
  <c r="W136" i="40" s="1"/>
  <c r="K129" i="40"/>
  <c r="K134" i="40" s="1"/>
  <c r="K127" i="40"/>
  <c r="K132" i="40" s="1"/>
  <c r="K136" i="40" s="1"/>
  <c r="L127" i="42"/>
  <c r="L132" i="42" s="1"/>
  <c r="L136" i="42" s="1"/>
  <c r="L129" i="42"/>
  <c r="L134" i="42" s="1"/>
  <c r="U127" i="42"/>
  <c r="U132" i="42" s="1"/>
  <c r="U136" i="42" s="1"/>
  <c r="U129" i="42"/>
  <c r="U134" i="42" s="1"/>
  <c r="AE129" i="42"/>
  <c r="AE134" i="42" s="1"/>
  <c r="AE127" i="42"/>
  <c r="AE132" i="42" s="1"/>
  <c r="AE136" i="42" s="1"/>
  <c r="E129" i="43"/>
  <c r="E134" i="43" s="1"/>
  <c r="E127" i="43"/>
  <c r="E132" i="43" s="1"/>
  <c r="E136" i="43" s="1"/>
  <c r="AE127" i="43"/>
  <c r="AE132" i="43" s="1"/>
  <c r="AE136" i="43" s="1"/>
  <c r="AE129" i="43"/>
  <c r="AE134" i="43" s="1"/>
  <c r="J127" i="43"/>
  <c r="J132" i="43" s="1"/>
  <c r="J136" i="43" s="1"/>
  <c r="J129" i="43"/>
  <c r="J134" i="43" s="1"/>
  <c r="D110" i="43"/>
  <c r="D115" i="43" s="1"/>
  <c r="D119" i="43" s="1"/>
  <c r="D112" i="43"/>
  <c r="D117" i="43" s="1"/>
  <c r="S127" i="43"/>
  <c r="S132" i="43" s="1"/>
  <c r="S136" i="43" s="1"/>
  <c r="S129" i="43"/>
  <c r="S134" i="43" s="1"/>
  <c r="X127" i="43"/>
  <c r="X132" i="43" s="1"/>
  <c r="X136" i="43" s="1"/>
  <c r="X129" i="43"/>
  <c r="X134" i="43" s="1"/>
  <c r="C112" i="42"/>
  <c r="C117" i="42" s="1"/>
  <c r="C110" i="42"/>
  <c r="C115" i="42" s="1"/>
  <c r="C119" i="42" s="1"/>
  <c r="AB122" i="41"/>
  <c r="AB128" i="41"/>
  <c r="AB133" i="41" s="1"/>
  <c r="AB137" i="41" s="1"/>
  <c r="AB130" i="41"/>
  <c r="AB135" i="41" s="1"/>
  <c r="AA130" i="41"/>
  <c r="AA135" i="41" s="1"/>
  <c r="AA128" i="41"/>
  <c r="AA133" i="41" s="1"/>
  <c r="AA137" i="41" s="1"/>
  <c r="V129" i="40"/>
  <c r="V134" i="40" s="1"/>
  <c r="V127" i="40"/>
  <c r="V132" i="40" s="1"/>
  <c r="V136" i="40" s="1"/>
  <c r="J129" i="40"/>
  <c r="J134" i="40" s="1"/>
  <c r="J127" i="40"/>
  <c r="J132" i="40" s="1"/>
  <c r="J136" i="40" s="1"/>
  <c r="AG127" i="42"/>
  <c r="AG132" i="42" s="1"/>
  <c r="AG136" i="42" s="1"/>
  <c r="AG129" i="42"/>
  <c r="AG134" i="42" s="1"/>
  <c r="AF127" i="42"/>
  <c r="AF132" i="42" s="1"/>
  <c r="AF136" i="42" s="1"/>
  <c r="AF129" i="42"/>
  <c r="AF134" i="42" s="1"/>
  <c r="C127" i="42"/>
  <c r="C132" i="42" s="1"/>
  <c r="C136" i="42" s="1"/>
  <c r="C129" i="42"/>
  <c r="C134" i="42" s="1"/>
  <c r="Q127" i="40"/>
  <c r="Q132" i="40" s="1"/>
  <c r="Q136" i="40" s="1"/>
  <c r="Q129" i="40"/>
  <c r="Q134" i="40" s="1"/>
  <c r="C186" i="42"/>
  <c r="C189" i="42" s="1"/>
  <c r="C160" i="42"/>
  <c r="G127" i="43"/>
  <c r="G132" i="43" s="1"/>
  <c r="G136" i="43" s="1"/>
  <c r="G129" i="43"/>
  <c r="G134" i="43" s="1"/>
  <c r="O127" i="43"/>
  <c r="O132" i="43" s="1"/>
  <c r="O136" i="43" s="1"/>
  <c r="O129" i="43"/>
  <c r="O134" i="43" s="1"/>
  <c r="C112" i="40"/>
  <c r="C117" i="40" s="1"/>
  <c r="C110" i="40"/>
  <c r="C115" i="40" s="1"/>
  <c r="C119" i="40" s="1"/>
  <c r="D128" i="41"/>
  <c r="D133" i="41" s="1"/>
  <c r="D137" i="41" s="1"/>
  <c r="D130" i="41"/>
  <c r="D135" i="41" s="1"/>
  <c r="U130" i="41"/>
  <c r="U135" i="41" s="1"/>
  <c r="U128" i="41"/>
  <c r="U133" i="41" s="1"/>
  <c r="U137" i="41" s="1"/>
  <c r="AG129" i="40"/>
  <c r="AG134" i="40" s="1"/>
  <c r="AG127" i="40"/>
  <c r="AG132" i="40" s="1"/>
  <c r="AG136" i="40" s="1"/>
  <c r="U129" i="40"/>
  <c r="U134" i="40" s="1"/>
  <c r="U127" i="40"/>
  <c r="U132" i="40" s="1"/>
  <c r="U136" i="40" s="1"/>
  <c r="I127" i="40"/>
  <c r="I132" i="40" s="1"/>
  <c r="I136" i="40" s="1"/>
  <c r="I129" i="40"/>
  <c r="I134" i="40" s="1"/>
  <c r="J127" i="42"/>
  <c r="J132" i="42" s="1"/>
  <c r="J136" i="42" s="1"/>
  <c r="J129" i="42"/>
  <c r="J134" i="42" s="1"/>
  <c r="H127" i="42"/>
  <c r="H132" i="42" s="1"/>
  <c r="H136" i="42" s="1"/>
  <c r="H129" i="42"/>
  <c r="H134" i="42" s="1"/>
  <c r="H121" i="42"/>
  <c r="Y129" i="42"/>
  <c r="Y134" i="42" s="1"/>
  <c r="Y127" i="42"/>
  <c r="Y132" i="42" s="1"/>
  <c r="Y136" i="42" s="1"/>
  <c r="M127" i="43"/>
  <c r="M132" i="43" s="1"/>
  <c r="M136" i="43" s="1"/>
  <c r="M129" i="43"/>
  <c r="M134" i="43" s="1"/>
  <c r="Q129" i="43"/>
  <c r="Q134" i="43" s="1"/>
  <c r="Q127" i="43"/>
  <c r="Q132" i="43" s="1"/>
  <c r="Q136" i="43" s="1"/>
  <c r="P130" i="41"/>
  <c r="P135" i="41" s="1"/>
  <c r="P128" i="41"/>
  <c r="P133" i="41" s="1"/>
  <c r="P137" i="41" s="1"/>
  <c r="V130" i="41"/>
  <c r="V135" i="41" s="1"/>
  <c r="V128" i="41"/>
  <c r="V133" i="41" s="1"/>
  <c r="V137" i="41" s="1"/>
  <c r="AF129" i="40"/>
  <c r="AF134" i="40" s="1"/>
  <c r="AF127" i="40"/>
  <c r="AF132" i="40" s="1"/>
  <c r="AF136" i="40" s="1"/>
  <c r="T127" i="40"/>
  <c r="T132" i="40" s="1"/>
  <c r="T136" i="40" s="1"/>
  <c r="T129" i="40"/>
  <c r="T134" i="40" s="1"/>
  <c r="H127" i="40"/>
  <c r="H132" i="40" s="1"/>
  <c r="H136" i="40" s="1"/>
  <c r="H129" i="40"/>
  <c r="H134" i="40" s="1"/>
  <c r="H121" i="40"/>
  <c r="X129" i="42"/>
  <c r="X134" i="42" s="1"/>
  <c r="X127" i="42"/>
  <c r="X132" i="42" s="1"/>
  <c r="X136" i="42" s="1"/>
  <c r="W127" i="42"/>
  <c r="W132" i="42" s="1"/>
  <c r="W136" i="42" s="1"/>
  <c r="W129" i="42"/>
  <c r="W134" i="42" s="1"/>
  <c r="S129" i="42"/>
  <c r="S134" i="42" s="1"/>
  <c r="S127" i="42"/>
  <c r="S132" i="42" s="1"/>
  <c r="S136" i="42" s="1"/>
  <c r="AD127" i="43"/>
  <c r="AD132" i="43" s="1"/>
  <c r="AD136" i="43" s="1"/>
  <c r="AD129" i="43"/>
  <c r="AD134" i="43" s="1"/>
  <c r="I127" i="43"/>
  <c r="I132" i="43" s="1"/>
  <c r="I136" i="43" s="1"/>
  <c r="I129" i="43"/>
  <c r="I134" i="43" s="1"/>
  <c r="L130" i="41"/>
  <c r="L135" i="41" s="1"/>
  <c r="L128" i="41"/>
  <c r="L133" i="41" s="1"/>
  <c r="L137" i="41" s="1"/>
  <c r="G130" i="41"/>
  <c r="G135" i="41" s="1"/>
  <c r="G128" i="41"/>
  <c r="G133" i="41" s="1"/>
  <c r="G137" i="41" s="1"/>
  <c r="AE127" i="40"/>
  <c r="AE132" i="40" s="1"/>
  <c r="AE136" i="40" s="1"/>
  <c r="AE129" i="40"/>
  <c r="AE134" i="40" s="1"/>
  <c r="S127" i="40"/>
  <c r="S132" i="40" s="1"/>
  <c r="S136" i="40" s="1"/>
  <c r="S129" i="40"/>
  <c r="S134" i="40" s="1"/>
  <c r="G127" i="40"/>
  <c r="G132" i="40" s="1"/>
  <c r="G136" i="40" s="1"/>
  <c r="G129" i="40"/>
  <c r="G134" i="40" s="1"/>
  <c r="P129" i="42"/>
  <c r="P134" i="42" s="1"/>
  <c r="P127" i="42"/>
  <c r="P132" i="42" s="1"/>
  <c r="P136" i="42" s="1"/>
  <c r="E127" i="42"/>
  <c r="E132" i="42" s="1"/>
  <c r="E136" i="42" s="1"/>
  <c r="E129" i="42"/>
  <c r="E134" i="42" s="1"/>
  <c r="V129" i="43"/>
  <c r="V134" i="43" s="1"/>
  <c r="V127" i="43"/>
  <c r="V132" i="43" s="1"/>
  <c r="V136" i="43" s="1"/>
  <c r="AA127" i="43"/>
  <c r="AA132" i="43" s="1"/>
  <c r="AA136" i="43" s="1"/>
  <c r="AA129" i="43"/>
  <c r="AA134" i="43" s="1"/>
  <c r="D158" i="43"/>
  <c r="E61" i="43"/>
  <c r="M128" i="41"/>
  <c r="M133" i="41" s="1"/>
  <c r="M137" i="41" s="1"/>
  <c r="M130" i="41"/>
  <c r="M135" i="41" s="1"/>
  <c r="I128" i="41"/>
  <c r="I133" i="41" s="1"/>
  <c r="I137" i="41" s="1"/>
  <c r="I130" i="41"/>
  <c r="I135" i="41" s="1"/>
  <c r="AD129" i="40"/>
  <c r="AD134" i="40" s="1"/>
  <c r="AD127" i="40"/>
  <c r="AD132" i="40" s="1"/>
  <c r="AD136" i="40" s="1"/>
  <c r="R129" i="40"/>
  <c r="R134" i="40" s="1"/>
  <c r="R127" i="40"/>
  <c r="R132" i="40" s="1"/>
  <c r="R136" i="40" s="1"/>
  <c r="F127" i="40"/>
  <c r="F132" i="40" s="1"/>
  <c r="F136" i="40" s="1"/>
  <c r="F129" i="40"/>
  <c r="F134" i="40" s="1"/>
  <c r="AB129" i="42"/>
  <c r="AB134" i="42" s="1"/>
  <c r="AB127" i="42"/>
  <c r="AB132" i="42" s="1"/>
  <c r="AB136" i="42" s="1"/>
  <c r="AB121" i="42"/>
  <c r="F129" i="42"/>
  <c r="F134" i="42" s="1"/>
  <c r="F127" i="42"/>
  <c r="F132" i="42" s="1"/>
  <c r="F136" i="42" s="1"/>
  <c r="C171" i="39"/>
  <c r="C178" i="39" s="1"/>
  <c r="C110" i="39"/>
  <c r="C115" i="39" s="1"/>
  <c r="C119" i="39" s="1"/>
  <c r="C112" i="39"/>
  <c r="C117" i="39" s="1"/>
  <c r="C186" i="39"/>
  <c r="C189" i="39" s="1"/>
  <c r="E61" i="39"/>
  <c r="D158" i="39"/>
  <c r="D160" i="39" s="1"/>
  <c r="C205" i="39"/>
  <c r="D144" i="39"/>
  <c r="D149" i="39" s="1"/>
  <c r="D153" i="39" s="1"/>
  <c r="D146" i="39"/>
  <c r="D151" i="39" s="1"/>
  <c r="D129" i="39"/>
  <c r="D134" i="39" s="1"/>
  <c r="D127" i="39"/>
  <c r="D132" i="39" s="1"/>
  <c r="D136" i="39" s="1"/>
  <c r="D102" i="39"/>
  <c r="D205" i="39" s="1"/>
  <c r="C137" i="39"/>
  <c r="C207" i="39"/>
  <c r="E99" i="38"/>
  <c r="C208" i="39"/>
  <c r="C154" i="39"/>
  <c r="C123" i="38"/>
  <c r="C127" i="38" s="1"/>
  <c r="D99" i="38"/>
  <c r="D116" i="38"/>
  <c r="D72" i="38"/>
  <c r="C89" i="38"/>
  <c r="C106" i="38"/>
  <c r="B1" i="24" a="1"/>
  <c r="B1" i="24" s="1"/>
  <c r="B1" i="20" a="1"/>
  <c r="B1" i="20" s="1"/>
  <c r="T28" i="22"/>
  <c r="C129" i="38" l="1"/>
  <c r="C169" i="38" s="1"/>
  <c r="C162" i="38"/>
  <c r="C159" i="38"/>
  <c r="C133" i="38"/>
  <c r="C157" i="38"/>
  <c r="C161" i="38" s="1"/>
  <c r="D118" i="38"/>
  <c r="D125" i="38" s="1"/>
  <c r="D128" i="38"/>
  <c r="D101" i="38"/>
  <c r="D108" i="38" s="1"/>
  <c r="D111" i="38"/>
  <c r="E101" i="38"/>
  <c r="E108" i="38" s="1"/>
  <c r="E111" i="38"/>
  <c r="C78" i="38"/>
  <c r="C165" i="38" s="1"/>
  <c r="C110" i="38"/>
  <c r="C112" i="38" s="1"/>
  <c r="C167" i="38" s="1"/>
  <c r="C93" i="38"/>
  <c r="C95" i="38" s="1"/>
  <c r="C166" i="38" s="1"/>
  <c r="D76" i="38"/>
  <c r="D78" i="38" s="1"/>
  <c r="D165" i="38" s="1"/>
  <c r="D110" i="39"/>
  <c r="D115" i="39" s="1"/>
  <c r="D119" i="39" s="1"/>
  <c r="F86" i="39"/>
  <c r="E107" i="39"/>
  <c r="E112" i="39" s="1"/>
  <c r="E117" i="39" s="1"/>
  <c r="C120" i="42"/>
  <c r="C120" i="40"/>
  <c r="C192" i="42"/>
  <c r="C194" i="42"/>
  <c r="C200" i="42" s="1"/>
  <c r="I207" i="43"/>
  <c r="I137" i="43"/>
  <c r="P207" i="42"/>
  <c r="P137" i="42"/>
  <c r="P208" i="41"/>
  <c r="P138" i="41"/>
  <c r="I207" i="40"/>
  <c r="I137" i="40"/>
  <c r="C206" i="42"/>
  <c r="AE207" i="43"/>
  <c r="AE137" i="43"/>
  <c r="O208" i="41"/>
  <c r="O138" i="41"/>
  <c r="AC137" i="42"/>
  <c r="AC207" i="42"/>
  <c r="C163" i="41"/>
  <c r="C170" i="41" s="1"/>
  <c r="C172" i="41"/>
  <c r="C179" i="41" s="1"/>
  <c r="N207" i="43"/>
  <c r="N137" i="43"/>
  <c r="AA137" i="40"/>
  <c r="AA207" i="40"/>
  <c r="D186" i="43"/>
  <c r="D189" i="43" s="1"/>
  <c r="D160" i="43"/>
  <c r="K137" i="40"/>
  <c r="K207" i="40"/>
  <c r="F137" i="43"/>
  <c r="F207" i="43"/>
  <c r="F207" i="40"/>
  <c r="F137" i="40"/>
  <c r="AA207" i="43"/>
  <c r="AA137" i="43"/>
  <c r="O137" i="43"/>
  <c r="O207" i="43"/>
  <c r="AG207" i="42"/>
  <c r="AG137" i="42"/>
  <c r="C206" i="39"/>
  <c r="G137" i="40"/>
  <c r="G207" i="40"/>
  <c r="AD207" i="43"/>
  <c r="AD137" i="43"/>
  <c r="X207" i="42"/>
  <c r="X137" i="42"/>
  <c r="X137" i="43"/>
  <c r="X207" i="43"/>
  <c r="W207" i="40"/>
  <c r="W137" i="40"/>
  <c r="AD137" i="42"/>
  <c r="AD207" i="42"/>
  <c r="C195" i="41"/>
  <c r="C201" i="41" s="1"/>
  <c r="C193" i="41"/>
  <c r="M207" i="42"/>
  <c r="M137" i="42"/>
  <c r="C208" i="41"/>
  <c r="C138" i="41"/>
  <c r="D207" i="42"/>
  <c r="D137" i="42"/>
  <c r="Y138" i="41"/>
  <c r="Y208" i="41"/>
  <c r="Q137" i="43"/>
  <c r="Q207" i="43"/>
  <c r="G207" i="43"/>
  <c r="G137" i="43"/>
  <c r="R138" i="41"/>
  <c r="R208" i="41"/>
  <c r="M207" i="40"/>
  <c r="M137" i="40"/>
  <c r="X138" i="41"/>
  <c r="X208" i="41"/>
  <c r="H207" i="43"/>
  <c r="H137" i="43"/>
  <c r="R137" i="40"/>
  <c r="R207" i="40"/>
  <c r="V207" i="43"/>
  <c r="V137" i="43"/>
  <c r="S137" i="40"/>
  <c r="S207" i="40"/>
  <c r="H137" i="40"/>
  <c r="H207" i="40"/>
  <c r="M207" i="43"/>
  <c r="M137" i="43"/>
  <c r="U207" i="40"/>
  <c r="U137" i="40"/>
  <c r="J207" i="40"/>
  <c r="J137" i="40"/>
  <c r="S137" i="43"/>
  <c r="S207" i="43"/>
  <c r="E137" i="43"/>
  <c r="E207" i="43"/>
  <c r="E138" i="41"/>
  <c r="E208" i="41"/>
  <c r="T137" i="42"/>
  <c r="T207" i="42"/>
  <c r="AD208" i="41"/>
  <c r="AD138" i="41"/>
  <c r="Y137" i="40"/>
  <c r="Y207" i="40"/>
  <c r="AB137" i="43"/>
  <c r="AB207" i="43"/>
  <c r="L207" i="43"/>
  <c r="L137" i="43"/>
  <c r="K137" i="43"/>
  <c r="K207" i="43"/>
  <c r="T208" i="41"/>
  <c r="T138" i="41"/>
  <c r="D207" i="41"/>
  <c r="D121" i="41"/>
  <c r="C162" i="42"/>
  <c r="C169" i="42" s="1"/>
  <c r="C171" i="42"/>
  <c r="C178" i="42" s="1"/>
  <c r="E207" i="40"/>
  <c r="E137" i="40"/>
  <c r="O137" i="42"/>
  <c r="O207" i="42"/>
  <c r="Q208" i="41"/>
  <c r="Q138" i="41"/>
  <c r="Z207" i="42"/>
  <c r="Z137" i="42"/>
  <c r="D207" i="40"/>
  <c r="D137" i="40"/>
  <c r="E158" i="40"/>
  <c r="F61" i="40"/>
  <c r="V137" i="42"/>
  <c r="V207" i="42"/>
  <c r="AG207" i="40"/>
  <c r="AG137" i="40"/>
  <c r="V207" i="40"/>
  <c r="V137" i="40"/>
  <c r="AE137" i="42"/>
  <c r="AE207" i="42"/>
  <c r="W208" i="41"/>
  <c r="W138" i="41"/>
  <c r="E158" i="42"/>
  <c r="F61" i="42"/>
  <c r="T137" i="43"/>
  <c r="T207" i="43"/>
  <c r="AG137" i="43"/>
  <c r="AG207" i="43"/>
  <c r="Q137" i="42"/>
  <c r="Q207" i="42"/>
  <c r="E159" i="41"/>
  <c r="F62" i="41"/>
  <c r="AF208" i="41"/>
  <c r="AF138" i="41"/>
  <c r="D186" i="40"/>
  <c r="D189" i="40" s="1"/>
  <c r="D160" i="40"/>
  <c r="AE207" i="40"/>
  <c r="AE137" i="40"/>
  <c r="I208" i="41"/>
  <c r="I138" i="41"/>
  <c r="D112" i="40"/>
  <c r="D117" i="40" s="1"/>
  <c r="D110" i="40"/>
  <c r="D115" i="40" s="1"/>
  <c r="D119" i="40" s="1"/>
  <c r="Y207" i="42"/>
  <c r="Y137" i="42"/>
  <c r="Q207" i="40"/>
  <c r="Q137" i="40"/>
  <c r="U137" i="42"/>
  <c r="U207" i="42"/>
  <c r="AA137" i="42"/>
  <c r="AA207" i="42"/>
  <c r="D186" i="42"/>
  <c r="D189" i="42" s="1"/>
  <c r="D160" i="42"/>
  <c r="D187" i="41"/>
  <c r="D190" i="41" s="1"/>
  <c r="D161" i="41"/>
  <c r="N137" i="42"/>
  <c r="N207" i="42"/>
  <c r="Z208" i="41"/>
  <c r="Z138" i="41"/>
  <c r="P137" i="40"/>
  <c r="P207" i="40"/>
  <c r="Y207" i="43"/>
  <c r="Y137" i="43"/>
  <c r="AC208" i="41"/>
  <c r="AC138" i="41"/>
  <c r="K208" i="41"/>
  <c r="K138" i="41"/>
  <c r="AA208" i="41"/>
  <c r="AA138" i="41"/>
  <c r="AG138" i="41"/>
  <c r="AG208" i="41"/>
  <c r="R207" i="43"/>
  <c r="R137" i="43"/>
  <c r="H208" i="41"/>
  <c r="H138" i="41"/>
  <c r="Z207" i="43"/>
  <c r="Z137" i="43"/>
  <c r="I137" i="42"/>
  <c r="I207" i="42"/>
  <c r="D207" i="43"/>
  <c r="D137" i="43"/>
  <c r="AC137" i="40"/>
  <c r="AC207" i="40"/>
  <c r="U208" i="41"/>
  <c r="U138" i="41"/>
  <c r="F137" i="42"/>
  <c r="F207" i="42"/>
  <c r="M208" i="41"/>
  <c r="M138" i="41"/>
  <c r="C194" i="40"/>
  <c r="C200" i="40" s="1"/>
  <c r="C192" i="40"/>
  <c r="G208" i="41"/>
  <c r="G138" i="41"/>
  <c r="S207" i="42"/>
  <c r="S137" i="42"/>
  <c r="AF207" i="40"/>
  <c r="AF137" i="40"/>
  <c r="H207" i="42"/>
  <c r="H137" i="42"/>
  <c r="D208" i="41"/>
  <c r="D138" i="41"/>
  <c r="C207" i="42"/>
  <c r="C137" i="42"/>
  <c r="AB138" i="41"/>
  <c r="AB208" i="41"/>
  <c r="D206" i="43"/>
  <c r="D120" i="43"/>
  <c r="L137" i="42"/>
  <c r="L207" i="42"/>
  <c r="L137" i="40"/>
  <c r="L207" i="40"/>
  <c r="G137" i="42"/>
  <c r="G207" i="42"/>
  <c r="J208" i="41"/>
  <c r="J138" i="41"/>
  <c r="U137" i="43"/>
  <c r="U207" i="43"/>
  <c r="N137" i="40"/>
  <c r="N207" i="40"/>
  <c r="C207" i="40"/>
  <c r="C137" i="40"/>
  <c r="C171" i="40"/>
  <c r="C178" i="40" s="1"/>
  <c r="C162" i="40"/>
  <c r="C169" i="40" s="1"/>
  <c r="AB137" i="40"/>
  <c r="AB207" i="40"/>
  <c r="C171" i="43"/>
  <c r="C178" i="43" s="1"/>
  <c r="C162" i="43"/>
  <c r="C169" i="43" s="1"/>
  <c r="R137" i="42"/>
  <c r="R207" i="42"/>
  <c r="T207" i="40"/>
  <c r="T137" i="40"/>
  <c r="E111" i="41"/>
  <c r="E116" i="41" s="1"/>
  <c r="E120" i="41" s="1"/>
  <c r="E113" i="41"/>
  <c r="E118" i="41" s="1"/>
  <c r="E112" i="43"/>
  <c r="E117" i="43" s="1"/>
  <c r="E110" i="43"/>
  <c r="E115" i="43" s="1"/>
  <c r="E119" i="43" s="1"/>
  <c r="E207" i="42"/>
  <c r="E137" i="42"/>
  <c r="W207" i="42"/>
  <c r="W137" i="42"/>
  <c r="X137" i="40"/>
  <c r="X207" i="40"/>
  <c r="AC207" i="43"/>
  <c r="AC137" i="43"/>
  <c r="Z207" i="40"/>
  <c r="Z137" i="40"/>
  <c r="C207" i="43"/>
  <c r="C137" i="43"/>
  <c r="N208" i="41"/>
  <c r="N138" i="41"/>
  <c r="P137" i="43"/>
  <c r="P207" i="43"/>
  <c r="C194" i="43"/>
  <c r="C200" i="43" s="1"/>
  <c r="C192" i="43"/>
  <c r="AB207" i="42"/>
  <c r="AB137" i="42"/>
  <c r="W207" i="43"/>
  <c r="W137" i="43"/>
  <c r="AD137" i="40"/>
  <c r="AD207" i="40"/>
  <c r="D110" i="42"/>
  <c r="D115" i="42" s="1"/>
  <c r="D119" i="42" s="1"/>
  <c r="D112" i="42"/>
  <c r="D117" i="42" s="1"/>
  <c r="E158" i="43"/>
  <c r="F61" i="43"/>
  <c r="L208" i="41"/>
  <c r="L138" i="41"/>
  <c r="V138" i="41"/>
  <c r="V208" i="41"/>
  <c r="J207" i="42"/>
  <c r="J137" i="42"/>
  <c r="C206" i="40"/>
  <c r="AF137" i="42"/>
  <c r="AF207" i="42"/>
  <c r="J207" i="43"/>
  <c r="J137" i="43"/>
  <c r="F208" i="41"/>
  <c r="F138" i="41"/>
  <c r="K207" i="42"/>
  <c r="K137" i="42"/>
  <c r="AE138" i="41"/>
  <c r="AE208" i="41"/>
  <c r="S138" i="41"/>
  <c r="S208" i="41"/>
  <c r="O207" i="40"/>
  <c r="O137" i="40"/>
  <c r="AF207" i="43"/>
  <c r="AF137" i="43"/>
  <c r="B26" i="24" a="1"/>
  <c r="B26" i="24" s="1"/>
  <c r="C120" i="39"/>
  <c r="E72" i="38"/>
  <c r="E116" i="38"/>
  <c r="D154" i="39"/>
  <c r="D103" i="39"/>
  <c r="C215" i="39"/>
  <c r="D206" i="39"/>
  <c r="D120" i="39"/>
  <c r="D207" i="39"/>
  <c r="D137" i="39"/>
  <c r="C211" i="39"/>
  <c r="C214" i="39"/>
  <c r="C218" i="39" s="1"/>
  <c r="F72" i="38"/>
  <c r="D186" i="39"/>
  <c r="D189" i="39" s="1"/>
  <c r="E93" i="39"/>
  <c r="E100" i="39" s="1"/>
  <c r="E91" i="39"/>
  <c r="E98" i="39" s="1"/>
  <c r="E141" i="39"/>
  <c r="E124" i="39"/>
  <c r="E158" i="39"/>
  <c r="E186" i="39" s="1"/>
  <c r="E189" i="39" s="1"/>
  <c r="F61" i="39"/>
  <c r="C162" i="39"/>
  <c r="C169" i="39" s="1"/>
  <c r="C176" i="39" s="1"/>
  <c r="D208" i="39"/>
  <c r="C192" i="39"/>
  <c r="C194" i="39"/>
  <c r="C200" i="39" s="1"/>
  <c r="D211" i="39"/>
  <c r="D214" i="39"/>
  <c r="D218" i="39" s="1"/>
  <c r="E106" i="38"/>
  <c r="D123" i="38"/>
  <c r="D127" i="38" s="1"/>
  <c r="D106" i="38"/>
  <c r="D89" i="38"/>
  <c r="C176" i="38" l="1"/>
  <c r="C185" i="38"/>
  <c r="C184" i="38"/>
  <c r="C175" i="38"/>
  <c r="D171" i="38"/>
  <c r="D183" i="38"/>
  <c r="D189" i="38" s="1"/>
  <c r="D174" i="38"/>
  <c r="D180" i="38" s="1"/>
  <c r="C174" i="38"/>
  <c r="C180" i="38" s="1"/>
  <c r="C183" i="38"/>
  <c r="C189" i="38" s="1"/>
  <c r="C145" i="38"/>
  <c r="C163" i="38"/>
  <c r="C170" i="38" s="1"/>
  <c r="C187" i="38" s="1"/>
  <c r="C180" i="39"/>
  <c r="C181" i="39" s="1"/>
  <c r="C198" i="42"/>
  <c r="C202" i="42" s="1"/>
  <c r="D150" i="38"/>
  <c r="C198" i="43"/>
  <c r="C202" i="43" s="1"/>
  <c r="C198" i="39"/>
  <c r="C202" i="39" s="1"/>
  <c r="C198" i="40"/>
  <c r="C202" i="40" s="1"/>
  <c r="C199" i="41"/>
  <c r="C203" i="41" s="1"/>
  <c r="C204" i="41" s="1"/>
  <c r="C142" i="38"/>
  <c r="D133" i="38"/>
  <c r="C171" i="38"/>
  <c r="C140" i="38"/>
  <c r="C144" i="38" s="1"/>
  <c r="E118" i="38"/>
  <c r="E125" i="38" s="1"/>
  <c r="E128" i="38"/>
  <c r="E123" i="38"/>
  <c r="E127" i="38" s="1"/>
  <c r="D110" i="38"/>
  <c r="E110" i="38"/>
  <c r="D93" i="38"/>
  <c r="E76" i="38"/>
  <c r="E78" i="38" s="1"/>
  <c r="E165" i="38" s="1"/>
  <c r="F76" i="38"/>
  <c r="F78" i="38" s="1"/>
  <c r="F165" i="38" s="1"/>
  <c r="E110" i="39"/>
  <c r="E115" i="39" s="1"/>
  <c r="E119" i="39" s="1"/>
  <c r="E120" i="39" s="1"/>
  <c r="G86" i="39"/>
  <c r="F107" i="39"/>
  <c r="F110" i="39" s="1"/>
  <c r="F115" i="39" s="1"/>
  <c r="F119" i="39" s="1"/>
  <c r="D120" i="40"/>
  <c r="D206" i="42"/>
  <c r="F113" i="41"/>
  <c r="F118" i="41" s="1"/>
  <c r="F111" i="41"/>
  <c r="F116" i="41" s="1"/>
  <c r="F120" i="41" s="1"/>
  <c r="D171" i="40"/>
  <c r="D178" i="40" s="1"/>
  <c r="D162" i="40"/>
  <c r="D169" i="40" s="1"/>
  <c r="F158" i="42"/>
  <c r="G61" i="42"/>
  <c r="F158" i="40"/>
  <c r="G61" i="40"/>
  <c r="C177" i="41"/>
  <c r="C181" i="41"/>
  <c r="C210" i="41" s="1"/>
  <c r="D194" i="40"/>
  <c r="D200" i="40" s="1"/>
  <c r="D192" i="40"/>
  <c r="E186" i="42"/>
  <c r="E189" i="42" s="1"/>
  <c r="E160" i="42"/>
  <c r="E186" i="40"/>
  <c r="E189" i="40" s="1"/>
  <c r="E160" i="40"/>
  <c r="C176" i="42"/>
  <c r="C180" i="42"/>
  <c r="C209" i="42" s="1"/>
  <c r="G61" i="43"/>
  <c r="F158" i="43"/>
  <c r="E112" i="42"/>
  <c r="E117" i="42" s="1"/>
  <c r="E110" i="42"/>
  <c r="E115" i="42" s="1"/>
  <c r="E119" i="42" s="1"/>
  <c r="E186" i="43"/>
  <c r="E189" i="43" s="1"/>
  <c r="E160" i="43"/>
  <c r="D120" i="42"/>
  <c r="G62" i="41"/>
  <c r="F159" i="41"/>
  <c r="E112" i="40"/>
  <c r="E117" i="40" s="1"/>
  <c r="E110" i="40"/>
  <c r="E115" i="40" s="1"/>
  <c r="E119" i="40" s="1"/>
  <c r="D192" i="42"/>
  <c r="D194" i="42"/>
  <c r="D200" i="42" s="1"/>
  <c r="E187" i="41"/>
  <c r="E190" i="41" s="1"/>
  <c r="E161" i="41"/>
  <c r="D162" i="43"/>
  <c r="D169" i="43" s="1"/>
  <c r="D171" i="43"/>
  <c r="D178" i="43" s="1"/>
  <c r="C176" i="43"/>
  <c r="C180" i="43"/>
  <c r="C181" i="43" s="1"/>
  <c r="D163" i="41"/>
  <c r="D170" i="41" s="1"/>
  <c r="D172" i="41"/>
  <c r="D179" i="41" s="1"/>
  <c r="D206" i="40"/>
  <c r="D192" i="43"/>
  <c r="D194" i="43"/>
  <c r="D200" i="43" s="1"/>
  <c r="F110" i="43"/>
  <c r="F115" i="43" s="1"/>
  <c r="F119" i="43" s="1"/>
  <c r="F112" i="43"/>
  <c r="F117" i="43" s="1"/>
  <c r="E207" i="41"/>
  <c r="E121" i="41"/>
  <c r="D193" i="41"/>
  <c r="D195" i="41"/>
  <c r="D201" i="41" s="1"/>
  <c r="E206" i="43"/>
  <c r="E120" i="43"/>
  <c r="C176" i="40"/>
  <c r="C180" i="40"/>
  <c r="C209" i="40" s="1"/>
  <c r="D171" i="42"/>
  <c r="D178" i="42" s="1"/>
  <c r="D162" i="42"/>
  <c r="D169" i="42" s="1"/>
  <c r="F116" i="38"/>
  <c r="F99" i="38"/>
  <c r="E160" i="39"/>
  <c r="E194" i="39"/>
  <c r="E200" i="39" s="1"/>
  <c r="E192" i="39"/>
  <c r="G72" i="38"/>
  <c r="D215" i="39"/>
  <c r="E129" i="39"/>
  <c r="E134" i="39" s="1"/>
  <c r="E127" i="39"/>
  <c r="E132" i="39" s="1"/>
  <c r="E136" i="39" s="1"/>
  <c r="E150" i="38"/>
  <c r="E144" i="39"/>
  <c r="E149" i="39" s="1"/>
  <c r="E153" i="39" s="1"/>
  <c r="E146" i="39"/>
  <c r="E151" i="39" s="1"/>
  <c r="E102" i="39"/>
  <c r="E103" i="39" s="1"/>
  <c r="F91" i="39"/>
  <c r="F98" i="39" s="1"/>
  <c r="F93" i="39"/>
  <c r="F100" i="39" s="1"/>
  <c r="F141" i="39"/>
  <c r="F124" i="39"/>
  <c r="D171" i="39"/>
  <c r="D178" i="39" s="1"/>
  <c r="D162" i="39"/>
  <c r="D169" i="39" s="1"/>
  <c r="D192" i="39"/>
  <c r="D194" i="39"/>
  <c r="D200" i="39" s="1"/>
  <c r="F158" i="39"/>
  <c r="F186" i="39" s="1"/>
  <c r="F189" i="39" s="1"/>
  <c r="G61" i="39"/>
  <c r="C209" i="39"/>
  <c r="G99" i="38"/>
  <c r="E89" i="38"/>
  <c r="F112" i="39" l="1"/>
  <c r="F117" i="39" s="1"/>
  <c r="C188" i="38"/>
  <c r="C178" i="38"/>
  <c r="E171" i="38"/>
  <c r="E183" i="38"/>
  <c r="E189" i="38" s="1"/>
  <c r="E174" i="38"/>
  <c r="E180" i="38" s="1"/>
  <c r="F171" i="38"/>
  <c r="F183" i="38"/>
  <c r="F189" i="38" s="1"/>
  <c r="F174" i="38"/>
  <c r="F180" i="38" s="1"/>
  <c r="C179" i="38"/>
  <c r="D145" i="38"/>
  <c r="D157" i="38"/>
  <c r="D161" i="38" s="1"/>
  <c r="E133" i="38"/>
  <c r="C203" i="43"/>
  <c r="C210" i="43"/>
  <c r="C210" i="40"/>
  <c r="C203" i="40"/>
  <c r="C210" i="42"/>
  <c r="C203" i="42"/>
  <c r="C203" i="39"/>
  <c r="C210" i="39"/>
  <c r="D198" i="39"/>
  <c r="D202" i="39" s="1"/>
  <c r="D198" i="40"/>
  <c r="D202" i="40" s="1"/>
  <c r="D198" i="43"/>
  <c r="D202" i="43" s="1"/>
  <c r="D198" i="42"/>
  <c r="D202" i="42" s="1"/>
  <c r="D159" i="38"/>
  <c r="D162" i="38"/>
  <c r="E198" i="39"/>
  <c r="E202" i="39" s="1"/>
  <c r="C211" i="41"/>
  <c r="C218" i="41" s="1"/>
  <c r="D199" i="41"/>
  <c r="D203" i="41" s="1"/>
  <c r="E162" i="38"/>
  <c r="E159" i="38"/>
  <c r="C146" i="38"/>
  <c r="C168" i="38" s="1"/>
  <c r="D142" i="38"/>
  <c r="D112" i="38"/>
  <c r="D167" i="38" s="1"/>
  <c r="E112" i="38"/>
  <c r="E167" i="38" s="1"/>
  <c r="D95" i="38"/>
  <c r="D166" i="38" s="1"/>
  <c r="F111" i="38"/>
  <c r="D140" i="38"/>
  <c r="D144" i="38" s="1"/>
  <c r="F118" i="38"/>
  <c r="F125" i="38" s="1"/>
  <c r="F128" i="38"/>
  <c r="G101" i="38"/>
  <c r="G108" i="38" s="1"/>
  <c r="G111" i="38"/>
  <c r="F101" i="38"/>
  <c r="F108" i="38" s="1"/>
  <c r="E93" i="38"/>
  <c r="E95" i="38" s="1"/>
  <c r="E166" i="38" s="1"/>
  <c r="G76" i="38"/>
  <c r="G78" i="38" s="1"/>
  <c r="G165" i="38" s="1"/>
  <c r="E206" i="39"/>
  <c r="H86" i="39"/>
  <c r="G107" i="39"/>
  <c r="G110" i="39" s="1"/>
  <c r="G115" i="39" s="1"/>
  <c r="G119" i="39" s="1"/>
  <c r="F106" i="38"/>
  <c r="C209" i="43"/>
  <c r="C216" i="43" s="1"/>
  <c r="C181" i="42"/>
  <c r="C222" i="41"/>
  <c r="C217" i="41"/>
  <c r="C223" i="41"/>
  <c r="C216" i="42"/>
  <c r="C222" i="42"/>
  <c r="C221" i="42"/>
  <c r="C221" i="40"/>
  <c r="C216" i="40"/>
  <c r="C222" i="40"/>
  <c r="E194" i="40"/>
  <c r="E200" i="40" s="1"/>
  <c r="E192" i="40"/>
  <c r="G158" i="42"/>
  <c r="H61" i="42"/>
  <c r="F186" i="42"/>
  <c r="F189" i="42" s="1"/>
  <c r="F160" i="42"/>
  <c r="C217" i="42"/>
  <c r="C223" i="42"/>
  <c r="E172" i="41"/>
  <c r="E179" i="41" s="1"/>
  <c r="E163" i="41"/>
  <c r="E170" i="41" s="1"/>
  <c r="E192" i="43"/>
  <c r="E194" i="43"/>
  <c r="E200" i="43" s="1"/>
  <c r="E192" i="42"/>
  <c r="E194" i="42"/>
  <c r="E200" i="42" s="1"/>
  <c r="D176" i="43"/>
  <c r="D180" i="43"/>
  <c r="D209" i="43" s="1"/>
  <c r="G110" i="43"/>
  <c r="G115" i="43" s="1"/>
  <c r="G119" i="43" s="1"/>
  <c r="G112" i="43"/>
  <c r="G117" i="43" s="1"/>
  <c r="E195" i="41"/>
  <c r="E201" i="41" s="1"/>
  <c r="E193" i="41"/>
  <c r="E171" i="40"/>
  <c r="E178" i="40" s="1"/>
  <c r="E162" i="40"/>
  <c r="E169" i="40" s="1"/>
  <c r="E171" i="43"/>
  <c r="E178" i="43" s="1"/>
  <c r="E162" i="43"/>
  <c r="E169" i="43" s="1"/>
  <c r="D177" i="41"/>
  <c r="D181" i="41"/>
  <c r="D182" i="41" s="1"/>
  <c r="E120" i="42"/>
  <c r="E206" i="42"/>
  <c r="D176" i="40"/>
  <c r="D180" i="40"/>
  <c r="D209" i="40" s="1"/>
  <c r="F110" i="40"/>
  <c r="F115" i="40" s="1"/>
  <c r="F119" i="40" s="1"/>
  <c r="F112" i="40"/>
  <c r="F117" i="40" s="1"/>
  <c r="C217" i="40"/>
  <c r="C223" i="40"/>
  <c r="C217" i="43"/>
  <c r="C223" i="43"/>
  <c r="C182" i="41"/>
  <c r="E171" i="42"/>
  <c r="E178" i="42" s="1"/>
  <c r="E162" i="42"/>
  <c r="E169" i="42" s="1"/>
  <c r="D176" i="42"/>
  <c r="D180" i="42"/>
  <c r="D209" i="42" s="1"/>
  <c r="F112" i="42"/>
  <c r="F117" i="42" s="1"/>
  <c r="F110" i="42"/>
  <c r="F115" i="42" s="1"/>
  <c r="F119" i="42" s="1"/>
  <c r="F186" i="40"/>
  <c r="F189" i="40" s="1"/>
  <c r="F160" i="40"/>
  <c r="E206" i="40"/>
  <c r="E120" i="40"/>
  <c r="F186" i="43"/>
  <c r="F189" i="43" s="1"/>
  <c r="F160" i="43"/>
  <c r="F187" i="41"/>
  <c r="F190" i="41" s="1"/>
  <c r="F161" i="41"/>
  <c r="G158" i="43"/>
  <c r="H61" i="43"/>
  <c r="F120" i="43"/>
  <c r="F206" i="43"/>
  <c r="H62" i="41"/>
  <c r="G159" i="41"/>
  <c r="C181" i="40"/>
  <c r="F207" i="41"/>
  <c r="F121" i="41"/>
  <c r="G113" i="41"/>
  <c r="G118" i="41" s="1"/>
  <c r="G111" i="41"/>
  <c r="G116" i="41" s="1"/>
  <c r="G120" i="41" s="1"/>
  <c r="G158" i="40"/>
  <c r="H61" i="40"/>
  <c r="F123" i="38"/>
  <c r="F127" i="38" s="1"/>
  <c r="G116" i="38"/>
  <c r="F160" i="39"/>
  <c r="E205" i="39"/>
  <c r="E211" i="39" s="1"/>
  <c r="E208" i="39"/>
  <c r="E215" i="39" s="1"/>
  <c r="F192" i="39"/>
  <c r="F194" i="39"/>
  <c r="F200" i="39" s="1"/>
  <c r="H61" i="39"/>
  <c r="G158" i="39"/>
  <c r="G186" i="39" s="1"/>
  <c r="G189" i="39" s="1"/>
  <c r="C217" i="39"/>
  <c r="C223" i="39"/>
  <c r="D176" i="39"/>
  <c r="D180" i="39"/>
  <c r="D209" i="39" s="1"/>
  <c r="E207" i="39"/>
  <c r="E137" i="39"/>
  <c r="E171" i="39"/>
  <c r="E178" i="39" s="1"/>
  <c r="E162" i="39"/>
  <c r="E169" i="39" s="1"/>
  <c r="F206" i="39"/>
  <c r="F120" i="39"/>
  <c r="G112" i="39"/>
  <c r="G117" i="39" s="1"/>
  <c r="F129" i="39"/>
  <c r="F134" i="39" s="1"/>
  <c r="F127" i="39"/>
  <c r="F132" i="39" s="1"/>
  <c r="F136" i="39" s="1"/>
  <c r="E154" i="39"/>
  <c r="C216" i="39"/>
  <c r="C221" i="39"/>
  <c r="C222" i="39"/>
  <c r="F146" i="39"/>
  <c r="F151" i="39" s="1"/>
  <c r="F144" i="39"/>
  <c r="F149" i="39" s="1"/>
  <c r="F153" i="39" s="1"/>
  <c r="G93" i="39"/>
  <c r="G100" i="39" s="1"/>
  <c r="G141" i="39"/>
  <c r="G91" i="39"/>
  <c r="G98" i="39" s="1"/>
  <c r="G124" i="39"/>
  <c r="F102" i="39"/>
  <c r="F205" i="39" s="1"/>
  <c r="F150" i="38"/>
  <c r="E157" i="38"/>
  <c r="E161" i="38" s="1"/>
  <c r="H116" i="38"/>
  <c r="F89" i="38"/>
  <c r="G106" i="38"/>
  <c r="G14" i="17"/>
  <c r="H14" i="17" s="1"/>
  <c r="G13" i="17"/>
  <c r="H13" i="17" s="1"/>
  <c r="G12" i="17"/>
  <c r="H12" i="17" s="1"/>
  <c r="G11" i="17"/>
  <c r="H11" i="17" s="1"/>
  <c r="G10" i="17"/>
  <c r="H10" i="17" s="1"/>
  <c r="G9" i="17"/>
  <c r="H9" i="17" s="1"/>
  <c r="E9" i="17"/>
  <c r="F9" i="17" s="1"/>
  <c r="W8" i="17"/>
  <c r="G8" i="17"/>
  <c r="H8" i="17" s="1"/>
  <c r="E8" i="17"/>
  <c r="F8" i="17" s="1"/>
  <c r="W7" i="17"/>
  <c r="G7" i="17"/>
  <c r="H7" i="17" s="1"/>
  <c r="E7" i="17"/>
  <c r="F7" i="17" s="1"/>
  <c r="G6" i="17"/>
  <c r="H6" i="17" s="1"/>
  <c r="E6" i="17"/>
  <c r="F6" i="17" s="1"/>
  <c r="G5" i="17"/>
  <c r="H5" i="17" s="1"/>
  <c r="E5" i="17"/>
  <c r="F5" i="17" s="1"/>
  <c r="G4" i="17"/>
  <c r="H4" i="17" s="1"/>
  <c r="E4" i="17"/>
  <c r="F4" i="17" s="1"/>
  <c r="G3" i="17"/>
  <c r="H3" i="17" s="1"/>
  <c r="E3" i="17"/>
  <c r="F3" i="17" s="1"/>
  <c r="G2" i="17"/>
  <c r="H2" i="17" s="1"/>
  <c r="E2" i="17"/>
  <c r="F2" i="17" s="1"/>
  <c r="C186" i="38" l="1"/>
  <c r="E176" i="38"/>
  <c r="E185" i="38"/>
  <c r="D176" i="38"/>
  <c r="D185" i="38"/>
  <c r="C177" i="38"/>
  <c r="G171" i="38"/>
  <c r="G183" i="38"/>
  <c r="G189" i="38" s="1"/>
  <c r="G174" i="38"/>
  <c r="G180" i="38" s="1"/>
  <c r="E145" i="38"/>
  <c r="D146" i="38"/>
  <c r="D168" i="38" s="1"/>
  <c r="D186" i="38" s="1"/>
  <c r="E142" i="38"/>
  <c r="F133" i="38"/>
  <c r="F145" i="38" s="1"/>
  <c r="D203" i="43"/>
  <c r="D210" i="43"/>
  <c r="D210" i="40"/>
  <c r="D203" i="40"/>
  <c r="E203" i="39"/>
  <c r="E210" i="39"/>
  <c r="D210" i="42"/>
  <c r="D203" i="42"/>
  <c r="D210" i="39"/>
  <c r="D203" i="39"/>
  <c r="F198" i="39"/>
  <c r="F202" i="39" s="1"/>
  <c r="C224" i="41"/>
  <c r="E198" i="40"/>
  <c r="E202" i="40" s="1"/>
  <c r="E198" i="42"/>
  <c r="E202" i="42" s="1"/>
  <c r="E198" i="43"/>
  <c r="E202" i="43" s="1"/>
  <c r="C193" i="38"/>
  <c r="D211" i="41"/>
  <c r="D204" i="41"/>
  <c r="E199" i="41"/>
  <c r="E203" i="41" s="1"/>
  <c r="F162" i="38"/>
  <c r="F159" i="38"/>
  <c r="C194" i="38"/>
  <c r="F142" i="38"/>
  <c r="C192" i="38"/>
  <c r="E140" i="38"/>
  <c r="E144" i="38" s="1"/>
  <c r="G118" i="38"/>
  <c r="G125" i="38" s="1"/>
  <c r="G128" i="38"/>
  <c r="H118" i="38"/>
  <c r="H125" i="38" s="1"/>
  <c r="H128" i="38"/>
  <c r="G110" i="38"/>
  <c r="G123" i="38"/>
  <c r="G127" i="38" s="1"/>
  <c r="F110" i="38"/>
  <c r="F112" i="38" s="1"/>
  <c r="F167" i="38" s="1"/>
  <c r="F93" i="38"/>
  <c r="C222" i="43"/>
  <c r="C221" i="43"/>
  <c r="I86" i="39"/>
  <c r="I107" i="39" s="1"/>
  <c r="H107" i="39"/>
  <c r="H104" i="39" s="1"/>
  <c r="G207" i="41"/>
  <c r="D210" i="41"/>
  <c r="D217" i="41" s="1"/>
  <c r="D181" i="40"/>
  <c r="F195" i="41"/>
  <c r="F201" i="41" s="1"/>
  <c r="F193" i="41"/>
  <c r="F120" i="42"/>
  <c r="F206" i="42"/>
  <c r="E177" i="41"/>
  <c r="E181" i="41"/>
  <c r="E182" i="41" s="1"/>
  <c r="D218" i="41"/>
  <c r="G121" i="41"/>
  <c r="F162" i="43"/>
  <c r="F169" i="43" s="1"/>
  <c r="F171" i="43"/>
  <c r="F178" i="43" s="1"/>
  <c r="D216" i="42"/>
  <c r="D221" i="42"/>
  <c r="D222" i="42"/>
  <c r="F192" i="43"/>
  <c r="F194" i="43"/>
  <c r="F200" i="43" s="1"/>
  <c r="D217" i="42"/>
  <c r="D223" i="42"/>
  <c r="G206" i="43"/>
  <c r="G120" i="43"/>
  <c r="F172" i="41"/>
  <c r="F179" i="41" s="1"/>
  <c r="F163" i="41"/>
  <c r="F170" i="41" s="1"/>
  <c r="G110" i="42"/>
  <c r="G115" i="42" s="1"/>
  <c r="G119" i="42" s="1"/>
  <c r="G112" i="42"/>
  <c r="G117" i="42" s="1"/>
  <c r="G110" i="40"/>
  <c r="G115" i="40" s="1"/>
  <c r="G119" i="40" s="1"/>
  <c r="G112" i="40"/>
  <c r="G117" i="40" s="1"/>
  <c r="F206" i="40"/>
  <c r="F120" i="40"/>
  <c r="D216" i="43"/>
  <c r="D221" i="43"/>
  <c r="D222" i="43"/>
  <c r="F171" i="42"/>
  <c r="F178" i="42" s="1"/>
  <c r="F162" i="42"/>
  <c r="F169" i="42" s="1"/>
  <c r="H110" i="43"/>
  <c r="H115" i="43" s="1"/>
  <c r="H119" i="43" s="1"/>
  <c r="H112" i="43"/>
  <c r="H117" i="43" s="1"/>
  <c r="H104" i="43"/>
  <c r="G187" i="41"/>
  <c r="G190" i="41" s="1"/>
  <c r="G161" i="41"/>
  <c r="E180" i="42"/>
  <c r="E209" i="42" s="1"/>
  <c r="E176" i="42"/>
  <c r="F194" i="42"/>
  <c r="F200" i="42" s="1"/>
  <c r="F192" i="42"/>
  <c r="H159" i="41"/>
  <c r="I62" i="41"/>
  <c r="D181" i="42"/>
  <c r="E176" i="43"/>
  <c r="E180" i="43"/>
  <c r="E181" i="43" s="1"/>
  <c r="H158" i="42"/>
  <c r="I61" i="42"/>
  <c r="D216" i="40"/>
  <c r="D222" i="40"/>
  <c r="D221" i="40"/>
  <c r="G186" i="42"/>
  <c r="G189" i="42" s="1"/>
  <c r="G160" i="42"/>
  <c r="H111" i="41"/>
  <c r="H116" i="41" s="1"/>
  <c r="H120" i="41" s="1"/>
  <c r="H113" i="41"/>
  <c r="H118" i="41" s="1"/>
  <c r="H105" i="41"/>
  <c r="F192" i="40"/>
  <c r="F194" i="40"/>
  <c r="F200" i="40" s="1"/>
  <c r="G160" i="40"/>
  <c r="G186" i="40"/>
  <c r="G189" i="40" s="1"/>
  <c r="H158" i="43"/>
  <c r="I61" i="43"/>
  <c r="D217" i="43"/>
  <c r="D223" i="43"/>
  <c r="D223" i="40"/>
  <c r="D217" i="40"/>
  <c r="E176" i="40"/>
  <c r="E180" i="40"/>
  <c r="E209" i="40" s="1"/>
  <c r="E210" i="40"/>
  <c r="E203" i="40"/>
  <c r="F162" i="40"/>
  <c r="F169" i="40" s="1"/>
  <c r="F171" i="40"/>
  <c r="F178" i="40" s="1"/>
  <c r="H158" i="40"/>
  <c r="I61" i="40"/>
  <c r="G186" i="43"/>
  <c r="G189" i="43" s="1"/>
  <c r="G160" i="43"/>
  <c r="D181" i="43"/>
  <c r="H99" i="38"/>
  <c r="H72" i="38"/>
  <c r="E214" i="39"/>
  <c r="E218" i="39" s="1"/>
  <c r="G160" i="39"/>
  <c r="G171" i="39" s="1"/>
  <c r="G178" i="39" s="1"/>
  <c r="D181" i="39"/>
  <c r="F211" i="39"/>
  <c r="F214" i="39"/>
  <c r="F218" i="39" s="1"/>
  <c r="F103" i="39"/>
  <c r="F207" i="39"/>
  <c r="F137" i="39"/>
  <c r="D217" i="39"/>
  <c r="D223" i="39"/>
  <c r="F157" i="38"/>
  <c r="F161" i="38" s="1"/>
  <c r="G150" i="38"/>
  <c r="G127" i="39"/>
  <c r="G132" i="39" s="1"/>
  <c r="G136" i="39" s="1"/>
  <c r="G129" i="39"/>
  <c r="G134" i="39" s="1"/>
  <c r="F162" i="39"/>
  <c r="F169" i="39" s="1"/>
  <c r="F171" i="39"/>
  <c r="F178" i="39" s="1"/>
  <c r="G102" i="39"/>
  <c r="G103" i="39" s="1"/>
  <c r="F208" i="39"/>
  <c r="F154" i="39"/>
  <c r="G146" i="39"/>
  <c r="G151" i="39" s="1"/>
  <c r="G144" i="39"/>
  <c r="G149" i="39" s="1"/>
  <c r="G153" i="39" s="1"/>
  <c r="E176" i="39"/>
  <c r="E180" i="39"/>
  <c r="E209" i="39" s="1"/>
  <c r="E223" i="39" s="1"/>
  <c r="G192" i="39"/>
  <c r="G194" i="39"/>
  <c r="G200" i="39" s="1"/>
  <c r="H158" i="39"/>
  <c r="H160" i="39" s="1"/>
  <c r="I61" i="39"/>
  <c r="E217" i="39"/>
  <c r="G206" i="39"/>
  <c r="G120" i="39"/>
  <c r="H91" i="39"/>
  <c r="H98" i="39" s="1"/>
  <c r="H93" i="39"/>
  <c r="H100" i="39" s="1"/>
  <c r="H141" i="39"/>
  <c r="H124" i="39"/>
  <c r="D216" i="39"/>
  <c r="D221" i="39"/>
  <c r="D222" i="39"/>
  <c r="G89" i="38"/>
  <c r="H113" i="38"/>
  <c r="H123" i="38"/>
  <c r="H127" i="38" s="1"/>
  <c r="G18" i="16"/>
  <c r="H18" i="16" s="1"/>
  <c r="G17" i="16"/>
  <c r="H17" i="16" s="1"/>
  <c r="G16" i="16"/>
  <c r="H16" i="16" s="1"/>
  <c r="G15" i="16"/>
  <c r="H15" i="16" s="1"/>
  <c r="G14" i="16"/>
  <c r="H14" i="16" s="1"/>
  <c r="G13" i="16"/>
  <c r="H13" i="16" s="1"/>
  <c r="G12" i="16"/>
  <c r="H12" i="16" s="1"/>
  <c r="G11" i="16"/>
  <c r="H11" i="16" s="1"/>
  <c r="G10" i="16"/>
  <c r="H10" i="16" s="1"/>
  <c r="G9" i="16"/>
  <c r="H9" i="16" s="1"/>
  <c r="E9" i="16"/>
  <c r="F9" i="16" s="1"/>
  <c r="W8" i="16"/>
  <c r="G8" i="16"/>
  <c r="H8" i="16" s="1"/>
  <c r="E8" i="16"/>
  <c r="F8" i="16" s="1"/>
  <c r="W7" i="16"/>
  <c r="G7" i="16"/>
  <c r="H7" i="16" s="1"/>
  <c r="E7" i="16"/>
  <c r="F7" i="16" s="1"/>
  <c r="G6" i="16"/>
  <c r="H6" i="16" s="1"/>
  <c r="E6" i="16"/>
  <c r="F6" i="16" s="1"/>
  <c r="G5" i="16"/>
  <c r="H5" i="16" s="1"/>
  <c r="E5" i="16"/>
  <c r="F5" i="16" s="1"/>
  <c r="G4" i="16"/>
  <c r="H4" i="16" s="1"/>
  <c r="E4" i="16"/>
  <c r="F4" i="16" s="1"/>
  <c r="G3" i="16"/>
  <c r="H3" i="16" s="1"/>
  <c r="E3" i="16"/>
  <c r="F3" i="16" s="1"/>
  <c r="G2" i="16"/>
  <c r="H2" i="16" s="1"/>
  <c r="E2" i="16"/>
  <c r="F2" i="16" s="1"/>
  <c r="F176" i="38" l="1"/>
  <c r="F185" i="38"/>
  <c r="G133" i="38"/>
  <c r="G145" i="38" s="1"/>
  <c r="D177" i="38"/>
  <c r="E146" i="38"/>
  <c r="E168" i="38" s="1"/>
  <c r="E203" i="43"/>
  <c r="E210" i="43"/>
  <c r="E217" i="43" s="1"/>
  <c r="E203" i="42"/>
  <c r="E210" i="42"/>
  <c r="E223" i="42" s="1"/>
  <c r="F203" i="39"/>
  <c r="F210" i="39"/>
  <c r="G198" i="39"/>
  <c r="G202" i="39" s="1"/>
  <c r="F198" i="43"/>
  <c r="F202" i="43" s="1"/>
  <c r="F198" i="40"/>
  <c r="F202" i="40" s="1"/>
  <c r="F198" i="42"/>
  <c r="F202" i="42" s="1"/>
  <c r="E204" i="41"/>
  <c r="E211" i="41"/>
  <c r="F199" i="41"/>
  <c r="F203" i="41" s="1"/>
  <c r="G162" i="38"/>
  <c r="G159" i="38"/>
  <c r="D192" i="38"/>
  <c r="G112" i="38"/>
  <c r="G167" i="38" s="1"/>
  <c r="H111" i="38"/>
  <c r="F95" i="38"/>
  <c r="F166" i="38" s="1"/>
  <c r="F140" i="38"/>
  <c r="F144" i="38" s="1"/>
  <c r="F146" i="38" s="1"/>
  <c r="H96" i="38"/>
  <c r="H101" i="38"/>
  <c r="H108" i="38" s="1"/>
  <c r="G93" i="38"/>
  <c r="G95" i="38" s="1"/>
  <c r="G166" i="38" s="1"/>
  <c r="H76" i="38"/>
  <c r="H78" i="38" s="1"/>
  <c r="H165" i="38" s="1"/>
  <c r="H110" i="39"/>
  <c r="H115" i="39" s="1"/>
  <c r="H119" i="39" s="1"/>
  <c r="H112" i="39"/>
  <c r="H117" i="39" s="1"/>
  <c r="H120" i="39" s="1"/>
  <c r="J86" i="39"/>
  <c r="D222" i="41"/>
  <c r="D224" i="41"/>
  <c r="D223" i="41"/>
  <c r="E181" i="40"/>
  <c r="E210" i="41"/>
  <c r="E223" i="41" s="1"/>
  <c r="H121" i="41"/>
  <c r="G162" i="43"/>
  <c r="G169" i="43" s="1"/>
  <c r="G171" i="43"/>
  <c r="G178" i="43" s="1"/>
  <c r="H207" i="41"/>
  <c r="E216" i="42"/>
  <c r="E221" i="42"/>
  <c r="E222" i="42"/>
  <c r="G192" i="43"/>
  <c r="G194" i="43"/>
  <c r="G200" i="43" s="1"/>
  <c r="G163" i="41"/>
  <c r="G170" i="41" s="1"/>
  <c r="G172" i="41"/>
  <c r="G179" i="41" s="1"/>
  <c r="F203" i="43"/>
  <c r="F210" i="43"/>
  <c r="G120" i="40"/>
  <c r="G206" i="40"/>
  <c r="H186" i="42"/>
  <c r="H189" i="42" s="1"/>
  <c r="H160" i="42"/>
  <c r="G171" i="42"/>
  <c r="G178" i="42" s="1"/>
  <c r="G162" i="42"/>
  <c r="G169" i="42" s="1"/>
  <c r="H160" i="40"/>
  <c r="H186" i="40"/>
  <c r="H189" i="40" s="1"/>
  <c r="I158" i="43"/>
  <c r="J61" i="43"/>
  <c r="G192" i="42"/>
  <c r="G194" i="42"/>
  <c r="G200" i="42" s="1"/>
  <c r="F176" i="43"/>
  <c r="F180" i="43"/>
  <c r="F209" i="43" s="1"/>
  <c r="G193" i="41"/>
  <c r="G195" i="41"/>
  <c r="G201" i="41" s="1"/>
  <c r="H186" i="43"/>
  <c r="H189" i="43" s="1"/>
  <c r="H160" i="43"/>
  <c r="H155" i="43" s="1"/>
  <c r="E209" i="43"/>
  <c r="H206" i="43"/>
  <c r="H120" i="43"/>
  <c r="G206" i="42"/>
  <c r="G120" i="42"/>
  <c r="F176" i="40"/>
  <c r="F180" i="40"/>
  <c r="F181" i="40" s="1"/>
  <c r="G194" i="40"/>
  <c r="G200" i="40" s="1"/>
  <c r="G192" i="40"/>
  <c r="J62" i="41"/>
  <c r="I159" i="41"/>
  <c r="I112" i="43"/>
  <c r="I117" i="43" s="1"/>
  <c r="I110" i="43"/>
  <c r="I115" i="43" s="1"/>
  <c r="I119" i="43" s="1"/>
  <c r="G162" i="40"/>
  <c r="G169" i="40" s="1"/>
  <c r="G171" i="40"/>
  <c r="G178" i="40" s="1"/>
  <c r="H187" i="41"/>
  <c r="H190" i="41" s="1"/>
  <c r="H161" i="41"/>
  <c r="F181" i="41"/>
  <c r="F182" i="41" s="1"/>
  <c r="F177" i="41"/>
  <c r="J61" i="40"/>
  <c r="I158" i="40"/>
  <c r="H110" i="40"/>
  <c r="H115" i="40" s="1"/>
  <c r="H119" i="40" s="1"/>
  <c r="H112" i="40"/>
  <c r="H117" i="40" s="1"/>
  <c r="H104" i="40"/>
  <c r="E218" i="41"/>
  <c r="I111" i="41"/>
  <c r="I116" i="41" s="1"/>
  <c r="I120" i="41" s="1"/>
  <c r="I113" i="41"/>
  <c r="I118" i="41" s="1"/>
  <c r="E217" i="40"/>
  <c r="E223" i="40"/>
  <c r="E181" i="42"/>
  <c r="H110" i="42"/>
  <c r="H115" i="42" s="1"/>
  <c r="H119" i="42" s="1"/>
  <c r="H112" i="42"/>
  <c r="H117" i="42" s="1"/>
  <c r="H104" i="42"/>
  <c r="F176" i="42"/>
  <c r="F180" i="42"/>
  <c r="F209" i="42" s="1"/>
  <c r="E216" i="40"/>
  <c r="E222" i="40"/>
  <c r="E221" i="40"/>
  <c r="I158" i="42"/>
  <c r="J61" i="42"/>
  <c r="H106" i="38"/>
  <c r="G162" i="39"/>
  <c r="G169" i="39" s="1"/>
  <c r="G176" i="39" s="1"/>
  <c r="I99" i="38"/>
  <c r="I116" i="38"/>
  <c r="G208" i="39"/>
  <c r="G215" i="39" s="1"/>
  <c r="H162" i="39"/>
  <c r="H169" i="39" s="1"/>
  <c r="H171" i="39"/>
  <c r="H178" i="39" s="1"/>
  <c r="E181" i="39"/>
  <c r="G180" i="39"/>
  <c r="G209" i="39" s="1"/>
  <c r="G216" i="39" s="1"/>
  <c r="F215" i="39"/>
  <c r="H206" i="39"/>
  <c r="G154" i="39"/>
  <c r="G157" i="38"/>
  <c r="G161" i="38" s="1"/>
  <c r="J61" i="39"/>
  <c r="I158" i="39"/>
  <c r="I186" i="39" s="1"/>
  <c r="I189" i="39" s="1"/>
  <c r="H150" i="38"/>
  <c r="I93" i="39"/>
  <c r="I100" i="39" s="1"/>
  <c r="I91" i="39"/>
  <c r="I98" i="39" s="1"/>
  <c r="I141" i="39"/>
  <c r="I124" i="39"/>
  <c r="I110" i="39"/>
  <c r="I115" i="39" s="1"/>
  <c r="I119" i="39" s="1"/>
  <c r="I112" i="39"/>
  <c r="I117" i="39" s="1"/>
  <c r="H129" i="39"/>
  <c r="H134" i="39" s="1"/>
  <c r="H121" i="39"/>
  <c r="H127" i="39"/>
  <c r="H132" i="39" s="1"/>
  <c r="H136" i="39" s="1"/>
  <c r="H186" i="39"/>
  <c r="H189" i="39" s="1"/>
  <c r="H155" i="39"/>
  <c r="H144" i="39"/>
  <c r="H149" i="39" s="1"/>
  <c r="H153" i="39" s="1"/>
  <c r="H138" i="39"/>
  <c r="H146" i="39"/>
  <c r="H151" i="39" s="1"/>
  <c r="G205" i="39"/>
  <c r="I72" i="38"/>
  <c r="F176" i="39"/>
  <c r="F180" i="39"/>
  <c r="F209" i="39" s="1"/>
  <c r="F222" i="39" s="1"/>
  <c r="H102" i="39"/>
  <c r="H205" i="39" s="1"/>
  <c r="E216" i="39"/>
  <c r="E222" i="39"/>
  <c r="E221" i="39"/>
  <c r="J72" i="38"/>
  <c r="F217" i="39"/>
  <c r="G137" i="39"/>
  <c r="G207" i="39"/>
  <c r="H89" i="38"/>
  <c r="H79" i="38"/>
  <c r="E186" i="38" l="1"/>
  <c r="E217" i="42"/>
  <c r="G176" i="38"/>
  <c r="G185" i="38"/>
  <c r="G142" i="38"/>
  <c r="H171" i="38"/>
  <c r="H183" i="38"/>
  <c r="H189" i="38" s="1"/>
  <c r="H174" i="38"/>
  <c r="H180" i="38" s="1"/>
  <c r="E192" i="38"/>
  <c r="E177" i="38"/>
  <c r="H133" i="38"/>
  <c r="H145" i="38" s="1"/>
  <c r="F203" i="40"/>
  <c r="F210" i="40"/>
  <c r="F217" i="40" s="1"/>
  <c r="F203" i="42"/>
  <c r="F210" i="42"/>
  <c r="F217" i="42" s="1"/>
  <c r="G210" i="39"/>
  <c r="G203" i="39"/>
  <c r="G198" i="42"/>
  <c r="G202" i="42" s="1"/>
  <c r="G198" i="43"/>
  <c r="G202" i="43" s="1"/>
  <c r="G198" i="40"/>
  <c r="G202" i="40" s="1"/>
  <c r="F204" i="41"/>
  <c r="F211" i="41"/>
  <c r="G199" i="41"/>
  <c r="G203" i="41" s="1"/>
  <c r="H162" i="38"/>
  <c r="H159" i="38"/>
  <c r="I111" i="38"/>
  <c r="G140" i="38"/>
  <c r="I118" i="38"/>
  <c r="I125" i="38" s="1"/>
  <c r="I128" i="38"/>
  <c r="H110" i="38"/>
  <c r="I106" i="38"/>
  <c r="I101" i="38"/>
  <c r="I108" i="38" s="1"/>
  <c r="H93" i="38"/>
  <c r="H95" i="38" s="1"/>
  <c r="H166" i="38" s="1"/>
  <c r="J76" i="38"/>
  <c r="J78" i="38" s="1"/>
  <c r="J165" i="38" s="1"/>
  <c r="I76" i="38"/>
  <c r="I78" i="38" s="1"/>
  <c r="I165" i="38" s="1"/>
  <c r="E224" i="41"/>
  <c r="E222" i="41"/>
  <c r="K86" i="39"/>
  <c r="J107" i="39"/>
  <c r="E217" i="41"/>
  <c r="I123" i="38"/>
  <c r="I127" i="38" s="1"/>
  <c r="F210" i="41"/>
  <c r="F223" i="41" s="1"/>
  <c r="J113" i="41"/>
  <c r="J118" i="41" s="1"/>
  <c r="J111" i="41"/>
  <c r="J116" i="41" s="1"/>
  <c r="J120" i="41" s="1"/>
  <c r="I207" i="41"/>
  <c r="I121" i="41"/>
  <c r="H156" i="41"/>
  <c r="H172" i="41"/>
  <c r="H179" i="41" s="1"/>
  <c r="H163" i="41"/>
  <c r="H170" i="41" s="1"/>
  <c r="F222" i="43"/>
  <c r="F221" i="43"/>
  <c r="F216" i="43"/>
  <c r="G176" i="42"/>
  <c r="G180" i="42"/>
  <c r="G209" i="42" s="1"/>
  <c r="F181" i="43"/>
  <c r="F218" i="41"/>
  <c r="H195" i="41"/>
  <c r="H201" i="41" s="1"/>
  <c r="H183" i="41"/>
  <c r="H193" i="41"/>
  <c r="H155" i="42"/>
  <c r="H162" i="42"/>
  <c r="H169" i="42" s="1"/>
  <c r="H171" i="42"/>
  <c r="H178" i="42" s="1"/>
  <c r="H192" i="42"/>
  <c r="H194" i="42"/>
  <c r="H200" i="42" s="1"/>
  <c r="H182" i="42"/>
  <c r="G176" i="40"/>
  <c r="G180" i="40"/>
  <c r="G209" i="40" s="1"/>
  <c r="F223" i="42"/>
  <c r="F216" i="42"/>
  <c r="F221" i="42"/>
  <c r="F222" i="42"/>
  <c r="F181" i="42"/>
  <c r="J158" i="43"/>
  <c r="K61" i="43"/>
  <c r="K61" i="42"/>
  <c r="J158" i="42"/>
  <c r="E223" i="43"/>
  <c r="E216" i="43"/>
  <c r="E221" i="43"/>
  <c r="E222" i="43"/>
  <c r="I186" i="43"/>
  <c r="I189" i="43" s="1"/>
  <c r="I160" i="43"/>
  <c r="F223" i="43"/>
  <c r="F217" i="43"/>
  <c r="I186" i="42"/>
  <c r="I189" i="42" s="1"/>
  <c r="I160" i="42"/>
  <c r="H120" i="40"/>
  <c r="H206" i="40"/>
  <c r="I120" i="43"/>
  <c r="I206" i="43"/>
  <c r="H182" i="40"/>
  <c r="H192" i="40"/>
  <c r="H194" i="40"/>
  <c r="H200" i="40" s="1"/>
  <c r="J110" i="43"/>
  <c r="J115" i="43" s="1"/>
  <c r="J119" i="43" s="1"/>
  <c r="J112" i="43"/>
  <c r="J117" i="43" s="1"/>
  <c r="H206" i="42"/>
  <c r="H120" i="42"/>
  <c r="I187" i="41"/>
  <c r="I190" i="41" s="1"/>
  <c r="I161" i="41"/>
  <c r="H162" i="43"/>
  <c r="H169" i="43" s="1"/>
  <c r="H171" i="43"/>
  <c r="H178" i="43" s="1"/>
  <c r="H155" i="40"/>
  <c r="H171" i="40"/>
  <c r="H178" i="40" s="1"/>
  <c r="H162" i="40"/>
  <c r="H169" i="40" s="1"/>
  <c r="I186" i="40"/>
  <c r="I189" i="40" s="1"/>
  <c r="I160" i="40"/>
  <c r="K62" i="41"/>
  <c r="J159" i="41"/>
  <c r="H192" i="43"/>
  <c r="H182" i="43"/>
  <c r="H194" i="43"/>
  <c r="H200" i="43" s="1"/>
  <c r="I110" i="42"/>
  <c r="I115" i="42" s="1"/>
  <c r="I119" i="42" s="1"/>
  <c r="I112" i="42"/>
  <c r="I117" i="42" s="1"/>
  <c r="G176" i="43"/>
  <c r="G180" i="43"/>
  <c r="G209" i="43" s="1"/>
  <c r="J158" i="40"/>
  <c r="K61" i="40"/>
  <c r="F209" i="40"/>
  <c r="I110" i="40"/>
  <c r="I115" i="40" s="1"/>
  <c r="I119" i="40" s="1"/>
  <c r="I112" i="40"/>
  <c r="I117" i="40" s="1"/>
  <c r="G177" i="41"/>
  <c r="G181" i="41"/>
  <c r="G210" i="41" s="1"/>
  <c r="I160" i="39"/>
  <c r="F223" i="39"/>
  <c r="H154" i="39"/>
  <c r="H103" i="39"/>
  <c r="F181" i="39"/>
  <c r="H182" i="39"/>
  <c r="H194" i="39"/>
  <c r="H200" i="39" s="1"/>
  <c r="H192" i="39"/>
  <c r="H157" i="38"/>
  <c r="H161" i="38" s="1"/>
  <c r="H147" i="38"/>
  <c r="H214" i="39"/>
  <c r="H218" i="39" s="1"/>
  <c r="H211" i="39"/>
  <c r="I192" i="39"/>
  <c r="I194" i="39"/>
  <c r="I200" i="39" s="1"/>
  <c r="K61" i="39"/>
  <c r="J158" i="39"/>
  <c r="J186" i="39" s="1"/>
  <c r="J189" i="39" s="1"/>
  <c r="H207" i="39"/>
  <c r="H137" i="39"/>
  <c r="F168" i="38"/>
  <c r="F186" i="38" s="1"/>
  <c r="I120" i="39"/>
  <c r="I206" i="39"/>
  <c r="G211" i="39"/>
  <c r="G214" i="39"/>
  <c r="G218" i="39" s="1"/>
  <c r="G221" i="39"/>
  <c r="G217" i="39"/>
  <c r="G223" i="39"/>
  <c r="J99" i="38"/>
  <c r="I127" i="39"/>
  <c r="I132" i="39" s="1"/>
  <c r="I136" i="39" s="1"/>
  <c r="I129" i="39"/>
  <c r="I134" i="39" s="1"/>
  <c r="J116" i="38"/>
  <c r="H208" i="39"/>
  <c r="I146" i="39"/>
  <c r="I151" i="39" s="1"/>
  <c r="I144" i="39"/>
  <c r="I149" i="39" s="1"/>
  <c r="I153" i="39" s="1"/>
  <c r="H176" i="39"/>
  <c r="H180" i="39"/>
  <c r="H209" i="39" s="1"/>
  <c r="H216" i="39" s="1"/>
  <c r="G181" i="39"/>
  <c r="I150" i="38"/>
  <c r="I102" i="39"/>
  <c r="I205" i="39" s="1"/>
  <c r="G222" i="39"/>
  <c r="J110" i="39"/>
  <c r="J115" i="39" s="1"/>
  <c r="J119" i="39" s="1"/>
  <c r="J112" i="39"/>
  <c r="J117" i="39" s="1"/>
  <c r="K99" i="38"/>
  <c r="J91" i="39"/>
  <c r="J98" i="39" s="1"/>
  <c r="J93" i="39"/>
  <c r="J100" i="39" s="1"/>
  <c r="J141" i="39"/>
  <c r="J124" i="39"/>
  <c r="F216" i="39"/>
  <c r="F221" i="39"/>
  <c r="K72" i="38"/>
  <c r="I89" i="38"/>
  <c r="H142" i="38" l="1"/>
  <c r="J171" i="38"/>
  <c r="J174" i="38"/>
  <c r="J180" i="38" s="1"/>
  <c r="J183" i="38"/>
  <c r="J189" i="38" s="1"/>
  <c r="F177" i="38"/>
  <c r="I171" i="38"/>
  <c r="I174" i="38"/>
  <c r="I180" i="38" s="1"/>
  <c r="I183" i="38"/>
  <c r="I189" i="38" s="1"/>
  <c r="I133" i="38"/>
  <c r="G203" i="40"/>
  <c r="G210" i="40"/>
  <c r="G217" i="40" s="1"/>
  <c r="G203" i="43"/>
  <c r="G210" i="43"/>
  <c r="G203" i="42"/>
  <c r="G210" i="42"/>
  <c r="I198" i="39"/>
  <c r="I202" i="39" s="1"/>
  <c r="H198" i="43"/>
  <c r="H202" i="43" s="1"/>
  <c r="H198" i="42"/>
  <c r="H202" i="42" s="1"/>
  <c r="H198" i="40"/>
  <c r="H202" i="40" s="1"/>
  <c r="H198" i="39"/>
  <c r="H202" i="39" s="1"/>
  <c r="F192" i="38"/>
  <c r="G204" i="41"/>
  <c r="G211" i="41"/>
  <c r="G218" i="41" s="1"/>
  <c r="H199" i="41"/>
  <c r="H203" i="41" s="1"/>
  <c r="J150" i="38"/>
  <c r="I162" i="38"/>
  <c r="I159" i="38"/>
  <c r="G144" i="38"/>
  <c r="H112" i="38"/>
  <c r="H167" i="38" s="1"/>
  <c r="J111" i="38"/>
  <c r="H140" i="38"/>
  <c r="H144" i="38" s="1"/>
  <c r="J118" i="38"/>
  <c r="J125" i="38" s="1"/>
  <c r="J128" i="38"/>
  <c r="K101" i="38"/>
  <c r="K108" i="38" s="1"/>
  <c r="K111" i="38"/>
  <c r="J123" i="38"/>
  <c r="J127" i="38" s="1"/>
  <c r="I110" i="38"/>
  <c r="J106" i="38"/>
  <c r="J101" i="38"/>
  <c r="J108" i="38" s="1"/>
  <c r="I93" i="38"/>
  <c r="I95" i="38" s="1"/>
  <c r="I166" i="38" s="1"/>
  <c r="K76" i="38"/>
  <c r="K78" i="38" s="1"/>
  <c r="K165" i="38" s="1"/>
  <c r="F217" i="41"/>
  <c r="L86" i="39"/>
  <c r="K107" i="39"/>
  <c r="K110" i="39" s="1"/>
  <c r="K115" i="39" s="1"/>
  <c r="K119" i="39" s="1"/>
  <c r="F222" i="41"/>
  <c r="F224" i="41"/>
  <c r="G181" i="40"/>
  <c r="J207" i="41"/>
  <c r="G181" i="43"/>
  <c r="G182" i="41"/>
  <c r="J121" i="41"/>
  <c r="H177" i="41"/>
  <c r="H181" i="41"/>
  <c r="H210" i="41" s="1"/>
  <c r="K158" i="43"/>
  <c r="L61" i="43"/>
  <c r="G217" i="41"/>
  <c r="G223" i="41"/>
  <c r="G222" i="41"/>
  <c r="H180" i="40"/>
  <c r="H181" i="40" s="1"/>
  <c r="H176" i="40"/>
  <c r="I162" i="43"/>
  <c r="I169" i="43" s="1"/>
  <c r="I171" i="43"/>
  <c r="I178" i="43" s="1"/>
  <c r="J186" i="43"/>
  <c r="J189" i="43" s="1"/>
  <c r="J160" i="43"/>
  <c r="G217" i="42"/>
  <c r="G223" i="42"/>
  <c r="K112" i="43"/>
  <c r="K117" i="43" s="1"/>
  <c r="K110" i="43"/>
  <c r="K115" i="43" s="1"/>
  <c r="K119" i="43" s="1"/>
  <c r="I192" i="43"/>
  <c r="I194" i="43"/>
  <c r="I200" i="43" s="1"/>
  <c r="J206" i="43"/>
  <c r="J120" i="43"/>
  <c r="I120" i="40"/>
  <c r="I206" i="40"/>
  <c r="J187" i="41"/>
  <c r="J190" i="41" s="1"/>
  <c r="J161" i="41"/>
  <c r="K159" i="41"/>
  <c r="L62" i="41"/>
  <c r="H176" i="43"/>
  <c r="H180" i="43"/>
  <c r="H181" i="43" s="1"/>
  <c r="F223" i="40"/>
  <c r="F216" i="40"/>
  <c r="F221" i="40"/>
  <c r="F222" i="40"/>
  <c r="I171" i="40"/>
  <c r="I178" i="40" s="1"/>
  <c r="I162" i="40"/>
  <c r="I169" i="40" s="1"/>
  <c r="G216" i="42"/>
  <c r="G221" i="42"/>
  <c r="G222" i="42"/>
  <c r="I120" i="42"/>
  <c r="I206" i="42"/>
  <c r="I103" i="39"/>
  <c r="K158" i="40"/>
  <c r="L61" i="40"/>
  <c r="I194" i="40"/>
  <c r="I200" i="40" s="1"/>
  <c r="I192" i="40"/>
  <c r="I172" i="41"/>
  <c r="I179" i="41" s="1"/>
  <c r="I163" i="41"/>
  <c r="I170" i="41" s="1"/>
  <c r="H176" i="42"/>
  <c r="H180" i="42"/>
  <c r="H209" i="42" s="1"/>
  <c r="G181" i="42"/>
  <c r="K113" i="41"/>
  <c r="K118" i="41" s="1"/>
  <c r="K111" i="41"/>
  <c r="K116" i="41" s="1"/>
  <c r="K120" i="41" s="1"/>
  <c r="J186" i="40"/>
  <c r="J189" i="40" s="1"/>
  <c r="J160" i="40"/>
  <c r="J112" i="42"/>
  <c r="J117" i="42" s="1"/>
  <c r="J110" i="42"/>
  <c r="J115" i="42" s="1"/>
  <c r="J119" i="42" s="1"/>
  <c r="I193" i="41"/>
  <c r="I195" i="41"/>
  <c r="I201" i="41" s="1"/>
  <c r="I171" i="42"/>
  <c r="I178" i="42" s="1"/>
  <c r="I162" i="42"/>
  <c r="I169" i="42" s="1"/>
  <c r="J186" i="42"/>
  <c r="J189" i="42" s="1"/>
  <c r="J160" i="42"/>
  <c r="G223" i="43"/>
  <c r="G217" i="43"/>
  <c r="G221" i="43"/>
  <c r="G222" i="43"/>
  <c r="G216" i="43"/>
  <c r="J110" i="40"/>
  <c r="J115" i="40" s="1"/>
  <c r="J119" i="40" s="1"/>
  <c r="J112" i="40"/>
  <c r="J117" i="40" s="1"/>
  <c r="I192" i="42"/>
  <c r="I194" i="42"/>
  <c r="I200" i="42" s="1"/>
  <c r="K158" i="42"/>
  <c r="L61" i="42"/>
  <c r="G216" i="40"/>
  <c r="G222" i="40"/>
  <c r="G221" i="40"/>
  <c r="I208" i="39"/>
  <c r="I215" i="39" s="1"/>
  <c r="J160" i="39"/>
  <c r="H221" i="39"/>
  <c r="K91" i="39"/>
  <c r="K98" i="39" s="1"/>
  <c r="K93" i="39"/>
  <c r="K100" i="39" s="1"/>
  <c r="K141" i="39"/>
  <c r="K124" i="39"/>
  <c r="I203" i="39"/>
  <c r="I210" i="39"/>
  <c r="I157" i="38"/>
  <c r="I161" i="38" s="1"/>
  <c r="J102" i="39"/>
  <c r="J103" i="39" s="1"/>
  <c r="K116" i="38"/>
  <c r="K112" i="39"/>
  <c r="K117" i="39" s="1"/>
  <c r="I137" i="39"/>
  <c r="I207" i="39"/>
  <c r="J206" i="39"/>
  <c r="J120" i="39"/>
  <c r="J129" i="39"/>
  <c r="J134" i="39" s="1"/>
  <c r="J127" i="39"/>
  <c r="J132" i="39" s="1"/>
  <c r="J136" i="39" s="1"/>
  <c r="H181" i="39"/>
  <c r="K158" i="39"/>
  <c r="K186" i="39" s="1"/>
  <c r="K189" i="39" s="1"/>
  <c r="L61" i="39"/>
  <c r="I214" i="39"/>
  <c r="I218" i="39" s="1"/>
  <c r="I211" i="39"/>
  <c r="J144" i="39"/>
  <c r="J149" i="39" s="1"/>
  <c r="J153" i="39" s="1"/>
  <c r="J146" i="39"/>
  <c r="J151" i="39" s="1"/>
  <c r="I154" i="39"/>
  <c r="I171" i="39"/>
  <c r="I178" i="39" s="1"/>
  <c r="I162" i="39"/>
  <c r="I169" i="39" s="1"/>
  <c r="H215" i="39"/>
  <c r="H222" i="39"/>
  <c r="J192" i="39"/>
  <c r="J194" i="39"/>
  <c r="J200" i="39" s="1"/>
  <c r="K106" i="38"/>
  <c r="J89" i="38"/>
  <c r="G223" i="40" l="1"/>
  <c r="G224" i="41"/>
  <c r="H176" i="38"/>
  <c r="H185" i="38"/>
  <c r="H146" i="38"/>
  <c r="H168" i="38" s="1"/>
  <c r="H186" i="38" s="1"/>
  <c r="J159" i="38"/>
  <c r="K171" i="38"/>
  <c r="K174" i="38"/>
  <c r="K180" i="38" s="1"/>
  <c r="K183" i="38"/>
  <c r="K189" i="38" s="1"/>
  <c r="I145" i="38"/>
  <c r="I142" i="38"/>
  <c r="G146" i="38"/>
  <c r="G168" i="38" s="1"/>
  <c r="J157" i="38"/>
  <c r="J161" i="38" s="1"/>
  <c r="J162" i="38"/>
  <c r="H210" i="42"/>
  <c r="H203" i="42"/>
  <c r="H210" i="39"/>
  <c r="H203" i="39"/>
  <c r="H203" i="43"/>
  <c r="H210" i="43"/>
  <c r="H217" i="43" s="1"/>
  <c r="H210" i="40"/>
  <c r="H203" i="40"/>
  <c r="I198" i="43"/>
  <c r="I202" i="43" s="1"/>
  <c r="I210" i="43" s="1"/>
  <c r="J198" i="39"/>
  <c r="J202" i="39" s="1"/>
  <c r="I198" i="42"/>
  <c r="I202" i="42" s="1"/>
  <c r="I198" i="40"/>
  <c r="I202" i="40" s="1"/>
  <c r="H211" i="41"/>
  <c r="H224" i="41" s="1"/>
  <c r="H204" i="41"/>
  <c r="I199" i="41"/>
  <c r="I203" i="41" s="1"/>
  <c r="K133" i="38"/>
  <c r="I112" i="38"/>
  <c r="I167" i="38" s="1"/>
  <c r="J133" i="38"/>
  <c r="I140" i="38"/>
  <c r="I144" i="38" s="1"/>
  <c r="K118" i="38"/>
  <c r="K125" i="38" s="1"/>
  <c r="K128" i="38"/>
  <c r="J110" i="38"/>
  <c r="K110" i="38"/>
  <c r="J93" i="38"/>
  <c r="J95" i="38" s="1"/>
  <c r="J166" i="38" s="1"/>
  <c r="M86" i="39"/>
  <c r="L107" i="39"/>
  <c r="L110" i="39" s="1"/>
  <c r="L115" i="39" s="1"/>
  <c r="L119" i="39" s="1"/>
  <c r="H182" i="41"/>
  <c r="H209" i="43"/>
  <c r="H221" i="43" s="1"/>
  <c r="K123" i="38"/>
  <c r="K127" i="38" s="1"/>
  <c r="J162" i="39"/>
  <c r="J169" i="39" s="1"/>
  <c r="K121" i="41"/>
  <c r="J171" i="39"/>
  <c r="J178" i="39" s="1"/>
  <c r="J162" i="42"/>
  <c r="J169" i="42" s="1"/>
  <c r="J171" i="42"/>
  <c r="J178" i="42" s="1"/>
  <c r="H181" i="42"/>
  <c r="L158" i="42"/>
  <c r="M61" i="42"/>
  <c r="J192" i="42"/>
  <c r="J194" i="42"/>
  <c r="J200" i="42" s="1"/>
  <c r="K186" i="42"/>
  <c r="K189" i="42" s="1"/>
  <c r="K160" i="42"/>
  <c r="H222" i="42"/>
  <c r="H216" i="42"/>
  <c r="H221" i="42"/>
  <c r="I203" i="43"/>
  <c r="K110" i="42"/>
  <c r="K115" i="42" s="1"/>
  <c r="K119" i="42" s="1"/>
  <c r="K112" i="42"/>
  <c r="K117" i="42" s="1"/>
  <c r="I176" i="42"/>
  <c r="I180" i="42"/>
  <c r="I209" i="42" s="1"/>
  <c r="L159" i="41"/>
  <c r="M62" i="41"/>
  <c r="K110" i="40"/>
  <c r="K115" i="40" s="1"/>
  <c r="K119" i="40" s="1"/>
  <c r="K112" i="40"/>
  <c r="K117" i="40" s="1"/>
  <c r="I177" i="41"/>
  <c r="I181" i="41"/>
  <c r="I182" i="41" s="1"/>
  <c r="K187" i="41"/>
  <c r="K190" i="41" s="1"/>
  <c r="K161" i="41"/>
  <c r="L111" i="41"/>
  <c r="L116" i="41" s="1"/>
  <c r="L120" i="41" s="1"/>
  <c r="L113" i="41"/>
  <c r="L118" i="41" s="1"/>
  <c r="J120" i="40"/>
  <c r="J206" i="40"/>
  <c r="K206" i="43"/>
  <c r="K120" i="43"/>
  <c r="J172" i="41"/>
  <c r="J179" i="41" s="1"/>
  <c r="J163" i="41"/>
  <c r="J170" i="41" s="1"/>
  <c r="L110" i="43"/>
  <c r="L115" i="43" s="1"/>
  <c r="L119" i="43" s="1"/>
  <c r="L112" i="43"/>
  <c r="L117" i="43" s="1"/>
  <c r="I180" i="40"/>
  <c r="I209" i="40" s="1"/>
  <c r="I176" i="40"/>
  <c r="J193" i="41"/>
  <c r="J195" i="41"/>
  <c r="J201" i="41" s="1"/>
  <c r="L158" i="43"/>
  <c r="M61" i="43"/>
  <c r="J206" i="42"/>
  <c r="J120" i="42"/>
  <c r="J162" i="43"/>
  <c r="J169" i="43" s="1"/>
  <c r="J171" i="43"/>
  <c r="J178" i="43" s="1"/>
  <c r="K186" i="43"/>
  <c r="K189" i="43" s="1"/>
  <c r="K160" i="43"/>
  <c r="J171" i="40"/>
  <c r="J178" i="40" s="1"/>
  <c r="J162" i="40"/>
  <c r="J169" i="40" s="1"/>
  <c r="M61" i="40"/>
  <c r="L158" i="40"/>
  <c r="H223" i="42"/>
  <c r="H217" i="42"/>
  <c r="J194" i="43"/>
  <c r="J200" i="43" s="1"/>
  <c r="J192" i="43"/>
  <c r="J192" i="40"/>
  <c r="J194" i="40"/>
  <c r="J200" i="40" s="1"/>
  <c r="K186" i="40"/>
  <c r="K189" i="40" s="1"/>
  <c r="K160" i="40"/>
  <c r="H217" i="40"/>
  <c r="H217" i="41"/>
  <c r="H222" i="41"/>
  <c r="H223" i="41"/>
  <c r="K207" i="41"/>
  <c r="I176" i="43"/>
  <c r="I180" i="43"/>
  <c r="I209" i="43" s="1"/>
  <c r="H209" i="40"/>
  <c r="J208" i="39"/>
  <c r="J215" i="39" s="1"/>
  <c r="K160" i="39"/>
  <c r="J154" i="39"/>
  <c r="J205" i="39"/>
  <c r="J214" i="39" s="1"/>
  <c r="J218" i="39" s="1"/>
  <c r="L116" i="38"/>
  <c r="K194" i="39"/>
  <c r="K200" i="39" s="1"/>
  <c r="K192" i="39"/>
  <c r="L99" i="38"/>
  <c r="L72" i="38"/>
  <c r="I176" i="39"/>
  <c r="I180" i="39"/>
  <c r="I209" i="39" s="1"/>
  <c r="I223" i="39" s="1"/>
  <c r="K127" i="39"/>
  <c r="K132" i="39" s="1"/>
  <c r="K136" i="39" s="1"/>
  <c r="K129" i="39"/>
  <c r="K134" i="39" s="1"/>
  <c r="J137" i="39"/>
  <c r="J207" i="39"/>
  <c r="K144" i="39"/>
  <c r="K149" i="39" s="1"/>
  <c r="K153" i="39" s="1"/>
  <c r="K146" i="39"/>
  <c r="K151" i="39" s="1"/>
  <c r="J180" i="39"/>
  <c r="J176" i="39"/>
  <c r="K102" i="39"/>
  <c r="K205" i="39" s="1"/>
  <c r="L93" i="39"/>
  <c r="L100" i="39" s="1"/>
  <c r="L91" i="39"/>
  <c r="L98" i="39" s="1"/>
  <c r="L141" i="39"/>
  <c r="L124" i="39"/>
  <c r="K120" i="39"/>
  <c r="K206" i="39"/>
  <c r="H217" i="39"/>
  <c r="H223" i="39"/>
  <c r="I217" i="39"/>
  <c r="M72" i="38"/>
  <c r="M61" i="39"/>
  <c r="L158" i="39"/>
  <c r="L186" i="39" s="1"/>
  <c r="L189" i="39" s="1"/>
  <c r="K89" i="38"/>
  <c r="G186" i="38" l="1"/>
  <c r="I176" i="38"/>
  <c r="I185" i="38"/>
  <c r="H177" i="38"/>
  <c r="G192" i="38"/>
  <c r="G177" i="38"/>
  <c r="K150" i="38"/>
  <c r="K162" i="38" s="1"/>
  <c r="I146" i="38"/>
  <c r="I168" i="38" s="1"/>
  <c r="I186" i="38" s="1"/>
  <c r="K159" i="38"/>
  <c r="K157" i="38"/>
  <c r="K161" i="38" s="1"/>
  <c r="I210" i="42"/>
  <c r="I203" i="42"/>
  <c r="J203" i="39"/>
  <c r="J210" i="39"/>
  <c r="I203" i="40"/>
  <c r="I210" i="40"/>
  <c r="J198" i="43"/>
  <c r="J202" i="43" s="1"/>
  <c r="J210" i="43" s="1"/>
  <c r="K198" i="39"/>
  <c r="K202" i="39" s="1"/>
  <c r="J198" i="42"/>
  <c r="J202" i="42" s="1"/>
  <c r="J198" i="40"/>
  <c r="J202" i="40" s="1"/>
  <c r="I204" i="41"/>
  <c r="I211" i="41"/>
  <c r="I218" i="41" s="1"/>
  <c r="H218" i="41"/>
  <c r="J199" i="41"/>
  <c r="J203" i="41" s="1"/>
  <c r="J142" i="38"/>
  <c r="K142" i="38"/>
  <c r="J112" i="38"/>
  <c r="J167" i="38" s="1"/>
  <c r="K112" i="38"/>
  <c r="K167" i="38" s="1"/>
  <c r="L111" i="38"/>
  <c r="J145" i="38"/>
  <c r="J140" i="38"/>
  <c r="J144" i="38" s="1"/>
  <c r="L118" i="38"/>
  <c r="L125" i="38" s="1"/>
  <c r="L128" i="38"/>
  <c r="L101" i="38"/>
  <c r="L108" i="38" s="1"/>
  <c r="K93" i="38"/>
  <c r="K95" i="38" s="1"/>
  <c r="K166" i="38" s="1"/>
  <c r="L76" i="38"/>
  <c r="L78" i="38" s="1"/>
  <c r="L165" i="38" s="1"/>
  <c r="M76" i="38"/>
  <c r="M78" i="38" s="1"/>
  <c r="M165" i="38" s="1"/>
  <c r="AN19" i="2" s="1"/>
  <c r="AH19" i="2" s="1"/>
  <c r="F17" i="79" s="1"/>
  <c r="R17" i="79" s="1"/>
  <c r="R22" i="79" s="1"/>
  <c r="L112" i="39"/>
  <c r="L117" i="39" s="1"/>
  <c r="N86" i="39"/>
  <c r="M107" i="39"/>
  <c r="M112" i="39" s="1"/>
  <c r="M117" i="39" s="1"/>
  <c r="H216" i="43"/>
  <c r="H223" i="43"/>
  <c r="H222" i="43"/>
  <c r="I210" i="41"/>
  <c r="I223" i="41" s="1"/>
  <c r="K171" i="39"/>
  <c r="K178" i="39" s="1"/>
  <c r="J209" i="39"/>
  <c r="J216" i="39" s="1"/>
  <c r="I181" i="43"/>
  <c r="K162" i="39"/>
  <c r="K169" i="39" s="1"/>
  <c r="K176" i="39" s="1"/>
  <c r="J211" i="39"/>
  <c r="L186" i="43"/>
  <c r="L189" i="43" s="1"/>
  <c r="L160" i="43"/>
  <c r="L112" i="42"/>
  <c r="L117" i="42" s="1"/>
  <c r="L110" i="42"/>
  <c r="L115" i="42" s="1"/>
  <c r="L119" i="42" s="1"/>
  <c r="L207" i="41"/>
  <c r="L121" i="41"/>
  <c r="L187" i="41"/>
  <c r="L190" i="41" s="1"/>
  <c r="L161" i="41"/>
  <c r="K171" i="42"/>
  <c r="K178" i="42" s="1"/>
  <c r="K162" i="42"/>
  <c r="K169" i="42" s="1"/>
  <c r="K171" i="40"/>
  <c r="K178" i="40" s="1"/>
  <c r="K162" i="40"/>
  <c r="K169" i="40" s="1"/>
  <c r="L110" i="40"/>
  <c r="L115" i="40" s="1"/>
  <c r="L119" i="40" s="1"/>
  <c r="L112" i="40"/>
  <c r="L117" i="40" s="1"/>
  <c r="I216" i="42"/>
  <c r="I221" i="42"/>
  <c r="I222" i="42"/>
  <c r="K194" i="42"/>
  <c r="K200" i="42" s="1"/>
  <c r="K192" i="42"/>
  <c r="K194" i="40"/>
  <c r="K200" i="40" s="1"/>
  <c r="K192" i="40"/>
  <c r="K162" i="43"/>
  <c r="K169" i="43" s="1"/>
  <c r="K171" i="43"/>
  <c r="K178" i="43" s="1"/>
  <c r="M158" i="43"/>
  <c r="N61" i="43"/>
  <c r="H222" i="40"/>
  <c r="H221" i="40"/>
  <c r="H216" i="40"/>
  <c r="K194" i="43"/>
  <c r="K200" i="43" s="1"/>
  <c r="K192" i="43"/>
  <c r="M159" i="41"/>
  <c r="N62" i="41"/>
  <c r="M111" i="41"/>
  <c r="M116" i="41" s="1"/>
  <c r="M120" i="41" s="1"/>
  <c r="M113" i="41"/>
  <c r="M118" i="41" s="1"/>
  <c r="I216" i="43"/>
  <c r="I221" i="43"/>
  <c r="I222" i="43"/>
  <c r="J176" i="43"/>
  <c r="J180" i="43"/>
  <c r="J209" i="43" s="1"/>
  <c r="I222" i="40"/>
  <c r="I216" i="40"/>
  <c r="I221" i="40"/>
  <c r="K163" i="41"/>
  <c r="K170" i="41" s="1"/>
  <c r="K172" i="41"/>
  <c r="K179" i="41" s="1"/>
  <c r="I217" i="42"/>
  <c r="I223" i="42"/>
  <c r="N61" i="42"/>
  <c r="M158" i="42"/>
  <c r="L120" i="43"/>
  <c r="L206" i="43"/>
  <c r="K195" i="41"/>
  <c r="K201" i="41" s="1"/>
  <c r="K193" i="41"/>
  <c r="K120" i="42"/>
  <c r="K206" i="42"/>
  <c r="L186" i="42"/>
  <c r="L189" i="42" s="1"/>
  <c r="L160" i="42"/>
  <c r="L106" i="38"/>
  <c r="J180" i="40"/>
  <c r="J209" i="40" s="1"/>
  <c r="J176" i="40"/>
  <c r="I223" i="40"/>
  <c r="I217" i="40"/>
  <c r="M110" i="43"/>
  <c r="M115" i="43" s="1"/>
  <c r="M119" i="43" s="1"/>
  <c r="M112" i="43"/>
  <c r="M117" i="43" s="1"/>
  <c r="I181" i="42"/>
  <c r="I217" i="43"/>
  <c r="I223" i="43"/>
  <c r="L160" i="40"/>
  <c r="L186" i="40"/>
  <c r="L189" i="40" s="1"/>
  <c r="J177" i="41"/>
  <c r="J181" i="41"/>
  <c r="J210" i="41" s="1"/>
  <c r="K120" i="40"/>
  <c r="K206" i="40"/>
  <c r="J176" i="42"/>
  <c r="J180" i="42"/>
  <c r="J209" i="42" s="1"/>
  <c r="H223" i="40"/>
  <c r="M158" i="40"/>
  <c r="N61" i="40"/>
  <c r="I181" i="40"/>
  <c r="L160" i="39"/>
  <c r="K103" i="39"/>
  <c r="I181" i="39"/>
  <c r="J181" i="39"/>
  <c r="K214" i="39"/>
  <c r="K218" i="39" s="1"/>
  <c r="K211" i="39"/>
  <c r="L192" i="39"/>
  <c r="L194" i="39"/>
  <c r="L200" i="39" s="1"/>
  <c r="M158" i="39"/>
  <c r="M186" i="39" s="1"/>
  <c r="M189" i="39" s="1"/>
  <c r="N61" i="39"/>
  <c r="L127" i="39"/>
  <c r="L132" i="39" s="1"/>
  <c r="L136" i="39" s="1"/>
  <c r="L129" i="39"/>
  <c r="L134" i="39" s="1"/>
  <c r="M91" i="39"/>
  <c r="M98" i="39" s="1"/>
  <c r="M93" i="39"/>
  <c r="M100" i="39" s="1"/>
  <c r="M141" i="39"/>
  <c r="M124" i="39"/>
  <c r="L144" i="39"/>
  <c r="L149" i="39" s="1"/>
  <c r="L153" i="39" s="1"/>
  <c r="L146" i="39"/>
  <c r="L151" i="39" s="1"/>
  <c r="L102" i="39"/>
  <c r="L205" i="39" s="1"/>
  <c r="L123" i="38"/>
  <c r="L127" i="38" s="1"/>
  <c r="M99" i="38"/>
  <c r="N116" i="38"/>
  <c r="K208" i="39"/>
  <c r="K154" i="39"/>
  <c r="I216" i="39"/>
  <c r="I221" i="39"/>
  <c r="I222" i="39"/>
  <c r="M116" i="38"/>
  <c r="K203" i="39"/>
  <c r="K210" i="39"/>
  <c r="H192" i="38"/>
  <c r="J217" i="39"/>
  <c r="L120" i="39"/>
  <c r="L206" i="39"/>
  <c r="L133" i="38"/>
  <c r="K207" i="39"/>
  <c r="K137" i="39"/>
  <c r="K145" i="38"/>
  <c r="L89" i="38"/>
  <c r="K180" i="39" l="1"/>
  <c r="K176" i="38"/>
  <c r="K185" i="38"/>
  <c r="J176" i="38"/>
  <c r="J185" i="38"/>
  <c r="I192" i="38"/>
  <c r="I177" i="38"/>
  <c r="M171" i="38"/>
  <c r="M174" i="38"/>
  <c r="M180" i="38" s="1"/>
  <c r="M183" i="38"/>
  <c r="M189" i="38" s="1"/>
  <c r="L171" i="38"/>
  <c r="L174" i="38"/>
  <c r="L180" i="38" s="1"/>
  <c r="L183" i="38"/>
  <c r="L189" i="38" s="1"/>
  <c r="J146" i="38"/>
  <c r="J168" i="38" s="1"/>
  <c r="J186" i="38" s="1"/>
  <c r="J210" i="42"/>
  <c r="J203" i="42"/>
  <c r="J203" i="40"/>
  <c r="J210" i="40"/>
  <c r="K198" i="43"/>
  <c r="K202" i="43" s="1"/>
  <c r="K198" i="40"/>
  <c r="K202" i="40" s="1"/>
  <c r="K198" i="42"/>
  <c r="K202" i="42" s="1"/>
  <c r="L150" i="38"/>
  <c r="J203" i="43"/>
  <c r="L198" i="39"/>
  <c r="L202" i="39" s="1"/>
  <c r="J211" i="41"/>
  <c r="J218" i="41" s="1"/>
  <c r="J204" i="41"/>
  <c r="K199" i="41"/>
  <c r="K203" i="41" s="1"/>
  <c r="M133" i="38"/>
  <c r="L142" i="38"/>
  <c r="M111" i="38"/>
  <c r="K140" i="38"/>
  <c r="K144" i="38" s="1"/>
  <c r="K146" i="38" s="1"/>
  <c r="N118" i="38"/>
  <c r="N125" i="38" s="1"/>
  <c r="N128" i="38"/>
  <c r="M118" i="38"/>
  <c r="M125" i="38" s="1"/>
  <c r="M128" i="38"/>
  <c r="M123" i="38"/>
  <c r="M127" i="38" s="1"/>
  <c r="L110" i="38"/>
  <c r="L112" i="38" s="1"/>
  <c r="L167" i="38" s="1"/>
  <c r="M106" i="38"/>
  <c r="M101" i="38"/>
  <c r="M108" i="38" s="1"/>
  <c r="L93" i="38"/>
  <c r="L95" i="38" s="1"/>
  <c r="L166" i="38" s="1"/>
  <c r="M110" i="39"/>
  <c r="M115" i="39" s="1"/>
  <c r="M119" i="39" s="1"/>
  <c r="M120" i="39" s="1"/>
  <c r="O86" i="39"/>
  <c r="N107" i="39"/>
  <c r="N112" i="39" s="1"/>
  <c r="N117" i="39" s="1"/>
  <c r="J223" i="39"/>
  <c r="I217" i="41"/>
  <c r="J222" i="39"/>
  <c r="I224" i="41"/>
  <c r="I222" i="41"/>
  <c r="K209" i="39"/>
  <c r="K216" i="39" s="1"/>
  <c r="J221" i="39"/>
  <c r="J181" i="42"/>
  <c r="J181" i="40"/>
  <c r="J182" i="41"/>
  <c r="M207" i="41"/>
  <c r="M112" i="40"/>
  <c r="M117" i="40" s="1"/>
  <c r="M110" i="40"/>
  <c r="M115" i="40" s="1"/>
  <c r="M119" i="40" s="1"/>
  <c r="N158" i="42"/>
  <c r="O61" i="42"/>
  <c r="M206" i="43"/>
  <c r="M120" i="43"/>
  <c r="L171" i="42"/>
  <c r="L178" i="42" s="1"/>
  <c r="L162" i="42"/>
  <c r="L169" i="42" s="1"/>
  <c r="M112" i="42"/>
  <c r="M117" i="42" s="1"/>
  <c r="M110" i="42"/>
  <c r="M115" i="42" s="1"/>
  <c r="M119" i="42" s="1"/>
  <c r="K180" i="42"/>
  <c r="K209" i="42" s="1"/>
  <c r="K176" i="42"/>
  <c r="J217" i="41"/>
  <c r="J223" i="41"/>
  <c r="J222" i="41"/>
  <c r="L194" i="42"/>
  <c r="L200" i="42" s="1"/>
  <c r="L192" i="42"/>
  <c r="M121" i="41"/>
  <c r="N158" i="43"/>
  <c r="O61" i="43"/>
  <c r="K176" i="40"/>
  <c r="K180" i="40"/>
  <c r="K209" i="40" s="1"/>
  <c r="N159" i="41"/>
  <c r="O62" i="41"/>
  <c r="M186" i="43"/>
  <c r="M189" i="43" s="1"/>
  <c r="M160" i="43"/>
  <c r="L163" i="41"/>
  <c r="L170" i="41" s="1"/>
  <c r="L172" i="41"/>
  <c r="L179" i="41" s="1"/>
  <c r="L192" i="40"/>
  <c r="L194" i="40"/>
  <c r="L200" i="40" s="1"/>
  <c r="K181" i="41"/>
  <c r="K182" i="41" s="1"/>
  <c r="K177" i="41"/>
  <c r="M187" i="41"/>
  <c r="M190" i="41" s="1"/>
  <c r="M161" i="41"/>
  <c r="L120" i="40"/>
  <c r="L206" i="40"/>
  <c r="L193" i="41"/>
  <c r="L195" i="41"/>
  <c r="L201" i="41" s="1"/>
  <c r="N110" i="43"/>
  <c r="N115" i="43" s="1"/>
  <c r="N119" i="43" s="1"/>
  <c r="N112" i="43"/>
  <c r="N117" i="43" s="1"/>
  <c r="L171" i="40"/>
  <c r="L178" i="40" s="1"/>
  <c r="L162" i="40"/>
  <c r="L169" i="40" s="1"/>
  <c r="J217" i="42"/>
  <c r="J223" i="42"/>
  <c r="J217" i="43"/>
  <c r="J223" i="43"/>
  <c r="N111" i="41"/>
  <c r="N116" i="41" s="1"/>
  <c r="N120" i="41" s="1"/>
  <c r="N113" i="41"/>
  <c r="N118" i="41" s="1"/>
  <c r="N158" i="40"/>
  <c r="O61" i="40"/>
  <c r="J217" i="40"/>
  <c r="J223" i="40"/>
  <c r="K180" i="43"/>
  <c r="K209" i="43" s="1"/>
  <c r="K176" i="43"/>
  <c r="M186" i="40"/>
  <c r="M189" i="40" s="1"/>
  <c r="M160" i="40"/>
  <c r="L120" i="42"/>
  <c r="L206" i="42"/>
  <c r="J222" i="43"/>
  <c r="J221" i="43"/>
  <c r="J216" i="43"/>
  <c r="L103" i="39"/>
  <c r="J221" i="40"/>
  <c r="J216" i="40"/>
  <c r="J222" i="40"/>
  <c r="J181" i="43"/>
  <c r="L162" i="43"/>
  <c r="L169" i="43" s="1"/>
  <c r="L171" i="43"/>
  <c r="L178" i="43" s="1"/>
  <c r="J222" i="42"/>
  <c r="J216" i="42"/>
  <c r="J221" i="42"/>
  <c r="M186" i="42"/>
  <c r="M189" i="42" s="1"/>
  <c r="M160" i="42"/>
  <c r="K203" i="40"/>
  <c r="K210" i="40"/>
  <c r="L194" i="43"/>
  <c r="L200" i="43" s="1"/>
  <c r="L192" i="43"/>
  <c r="K181" i="39"/>
  <c r="N99" i="38"/>
  <c r="M160" i="39"/>
  <c r="L154" i="39"/>
  <c r="N158" i="39"/>
  <c r="N186" i="39" s="1"/>
  <c r="N189" i="39" s="1"/>
  <c r="O61" i="39"/>
  <c r="M192" i="39"/>
  <c r="M194" i="39"/>
  <c r="M200" i="39" s="1"/>
  <c r="K215" i="39"/>
  <c r="L208" i="39"/>
  <c r="L162" i="39"/>
  <c r="L169" i="39" s="1"/>
  <c r="L171" i="39"/>
  <c r="L178" i="39" s="1"/>
  <c r="N91" i="39"/>
  <c r="N98" i="39" s="1"/>
  <c r="N93" i="39"/>
  <c r="N100" i="39" s="1"/>
  <c r="N141" i="39"/>
  <c r="N124" i="39"/>
  <c r="K217" i="39"/>
  <c r="M127" i="39"/>
  <c r="M132" i="39" s="1"/>
  <c r="M136" i="39" s="1"/>
  <c r="M129" i="39"/>
  <c r="M134" i="39" s="1"/>
  <c r="L214" i="39"/>
  <c r="L218" i="39" s="1"/>
  <c r="L211" i="39"/>
  <c r="M144" i="39"/>
  <c r="M149" i="39" s="1"/>
  <c r="M153" i="39" s="1"/>
  <c r="M146" i="39"/>
  <c r="M151" i="39" s="1"/>
  <c r="N72" i="38"/>
  <c r="L145" i="38"/>
  <c r="O72" i="38"/>
  <c r="M102" i="39"/>
  <c r="M103" i="39" s="1"/>
  <c r="L207" i="39"/>
  <c r="L137" i="39"/>
  <c r="M89" i="38"/>
  <c r="N123" i="38"/>
  <c r="N127" i="38" s="1"/>
  <c r="G13" i="3"/>
  <c r="H13" i="3"/>
  <c r="L176" i="38" l="1"/>
  <c r="L185" i="38"/>
  <c r="J177" i="38"/>
  <c r="K210" i="42"/>
  <c r="K203" i="42"/>
  <c r="L203" i="39"/>
  <c r="L210" i="39"/>
  <c r="K210" i="43"/>
  <c r="K217" i="43" s="1"/>
  <c r="K203" i="43"/>
  <c r="L157" i="38"/>
  <c r="L161" i="38" s="1"/>
  <c r="L162" i="38"/>
  <c r="L159" i="38"/>
  <c r="M198" i="39"/>
  <c r="M202" i="39" s="1"/>
  <c r="M150" i="38"/>
  <c r="L198" i="43"/>
  <c r="L202" i="43" s="1"/>
  <c r="L198" i="40"/>
  <c r="L202" i="40" s="1"/>
  <c r="L210" i="40" s="1"/>
  <c r="L198" i="42"/>
  <c r="L202" i="42" s="1"/>
  <c r="L203" i="42" s="1"/>
  <c r="K204" i="41"/>
  <c r="K211" i="41"/>
  <c r="K218" i="41" s="1"/>
  <c r="L199" i="41"/>
  <c r="L203" i="41" s="1"/>
  <c r="J224" i="41"/>
  <c r="M142" i="38"/>
  <c r="N111" i="38"/>
  <c r="L140" i="38"/>
  <c r="L144" i="38" s="1"/>
  <c r="L146" i="38" s="1"/>
  <c r="M110" i="38"/>
  <c r="N106" i="38"/>
  <c r="N101" i="38"/>
  <c r="N108" i="38" s="1"/>
  <c r="M93" i="38"/>
  <c r="M95" i="38" s="1"/>
  <c r="M166" i="38" s="1"/>
  <c r="AO19" i="2" s="1"/>
  <c r="AI19" i="2" s="1"/>
  <c r="G17" i="79" s="1"/>
  <c r="S17" i="79" s="1"/>
  <c r="S22" i="79" s="1"/>
  <c r="O76" i="38"/>
  <c r="O78" i="38" s="1"/>
  <c r="O165" i="38" s="1"/>
  <c r="N76" i="38"/>
  <c r="N78" i="38" s="1"/>
  <c r="N165" i="38" s="1"/>
  <c r="N110" i="39"/>
  <c r="N115" i="39" s="1"/>
  <c r="N119" i="39" s="1"/>
  <c r="N120" i="39" s="1"/>
  <c r="M206" i="39"/>
  <c r="K221" i="39"/>
  <c r="P86" i="39"/>
  <c r="O107" i="39"/>
  <c r="O110" i="39" s="1"/>
  <c r="O115" i="39" s="1"/>
  <c r="O119" i="39" s="1"/>
  <c r="K223" i="39"/>
  <c r="K222" i="39"/>
  <c r="N121" i="41"/>
  <c r="K181" i="42"/>
  <c r="K181" i="40"/>
  <c r="J192" i="38"/>
  <c r="N160" i="39"/>
  <c r="K210" i="41"/>
  <c r="K217" i="41" s="1"/>
  <c r="M206" i="42"/>
  <c r="M120" i="42"/>
  <c r="N112" i="40"/>
  <c r="N117" i="40" s="1"/>
  <c r="N110" i="40"/>
  <c r="N115" i="40" s="1"/>
  <c r="N119" i="40" s="1"/>
  <c r="N186" i="43"/>
  <c r="N189" i="43" s="1"/>
  <c r="N160" i="43"/>
  <c r="L176" i="42"/>
  <c r="L180" i="42"/>
  <c r="L209" i="42" s="1"/>
  <c r="O158" i="43"/>
  <c r="P61" i="43"/>
  <c r="K223" i="40"/>
  <c r="K217" i="40"/>
  <c r="N120" i="43"/>
  <c r="N206" i="43"/>
  <c r="M194" i="40"/>
  <c r="M200" i="40" s="1"/>
  <c r="M192" i="40"/>
  <c r="M162" i="42"/>
  <c r="M169" i="42" s="1"/>
  <c r="M171" i="42"/>
  <c r="M178" i="42" s="1"/>
  <c r="K222" i="43"/>
  <c r="K216" i="43"/>
  <c r="K221" i="43"/>
  <c r="L177" i="41"/>
  <c r="L181" i="41"/>
  <c r="L210" i="41" s="1"/>
  <c r="M194" i="42"/>
  <c r="M200" i="42" s="1"/>
  <c r="M192" i="42"/>
  <c r="M171" i="43"/>
  <c r="M178" i="43" s="1"/>
  <c r="M162" i="43"/>
  <c r="M169" i="43" s="1"/>
  <c r="M194" i="43"/>
  <c r="M200" i="43" s="1"/>
  <c r="M192" i="43"/>
  <c r="O158" i="42"/>
  <c r="P61" i="42"/>
  <c r="O110" i="43"/>
  <c r="O115" i="43" s="1"/>
  <c r="O119" i="43" s="1"/>
  <c r="O112" i="43"/>
  <c r="O117" i="43" s="1"/>
  <c r="O158" i="40"/>
  <c r="P61" i="40"/>
  <c r="K223" i="43"/>
  <c r="O159" i="41"/>
  <c r="P62" i="41"/>
  <c r="N186" i="42"/>
  <c r="N189" i="42" s="1"/>
  <c r="N160" i="42"/>
  <c r="N186" i="40"/>
  <c r="N189" i="40" s="1"/>
  <c r="N160" i="40"/>
  <c r="M172" i="41"/>
  <c r="M179" i="41" s="1"/>
  <c r="M163" i="41"/>
  <c r="M170" i="41" s="1"/>
  <c r="N187" i="41"/>
  <c r="N190" i="41" s="1"/>
  <c r="N161" i="41"/>
  <c r="N112" i="42"/>
  <c r="N117" i="42" s="1"/>
  <c r="N110" i="42"/>
  <c r="N115" i="42" s="1"/>
  <c r="N119" i="42" s="1"/>
  <c r="M195" i="41"/>
  <c r="M201" i="41" s="1"/>
  <c r="M193" i="41"/>
  <c r="K216" i="40"/>
  <c r="K222" i="40"/>
  <c r="K221" i="40"/>
  <c r="K223" i="42"/>
  <c r="K217" i="42"/>
  <c r="L180" i="43"/>
  <c r="L209" i="43" s="1"/>
  <c r="L176" i="43"/>
  <c r="N207" i="41"/>
  <c r="K216" i="42"/>
  <c r="K221" i="42"/>
  <c r="K222" i="42"/>
  <c r="O111" i="41"/>
  <c r="O116" i="41" s="1"/>
  <c r="O120" i="41" s="1"/>
  <c r="O113" i="41"/>
  <c r="O118" i="41" s="1"/>
  <c r="M171" i="40"/>
  <c r="M178" i="40" s="1"/>
  <c r="M162" i="40"/>
  <c r="M169" i="40" s="1"/>
  <c r="K181" i="43"/>
  <c r="L180" i="40"/>
  <c r="L209" i="40" s="1"/>
  <c r="L176" i="40"/>
  <c r="M206" i="40"/>
  <c r="M120" i="40"/>
  <c r="K168" i="38"/>
  <c r="K186" i="38" s="1"/>
  <c r="M145" i="38"/>
  <c r="M208" i="39"/>
  <c r="M171" i="39"/>
  <c r="M178" i="39" s="1"/>
  <c r="M162" i="39"/>
  <c r="M169" i="39" s="1"/>
  <c r="M154" i="39"/>
  <c r="L215" i="39"/>
  <c r="P116" i="38"/>
  <c r="O91" i="39"/>
  <c r="O98" i="39" s="1"/>
  <c r="O93" i="39"/>
  <c r="O100" i="39" s="1"/>
  <c r="O141" i="39"/>
  <c r="O124" i="39"/>
  <c r="N127" i="39"/>
  <c r="N132" i="39" s="1"/>
  <c r="N136" i="39" s="1"/>
  <c r="N129" i="39"/>
  <c r="N134" i="39" s="1"/>
  <c r="N146" i="39"/>
  <c r="N151" i="39" s="1"/>
  <c r="N144" i="39"/>
  <c r="N149" i="39" s="1"/>
  <c r="N153" i="39" s="1"/>
  <c r="L217" i="39"/>
  <c r="O112" i="39"/>
  <c r="O117" i="39" s="1"/>
  <c r="N102" i="39"/>
  <c r="N103" i="39" s="1"/>
  <c r="M205" i="39"/>
  <c r="O99" i="38"/>
  <c r="M207" i="39"/>
  <c r="M137" i="39"/>
  <c r="N150" i="38"/>
  <c r="O116" i="38"/>
  <c r="L176" i="39"/>
  <c r="L180" i="39"/>
  <c r="L209" i="39" s="1"/>
  <c r="L223" i="39" s="1"/>
  <c r="O158" i="39"/>
  <c r="O186" i="39" s="1"/>
  <c r="O189" i="39" s="1"/>
  <c r="P61" i="39"/>
  <c r="N194" i="39"/>
  <c r="N200" i="39" s="1"/>
  <c r="N192" i="39"/>
  <c r="N89" i="38"/>
  <c r="O171" i="38" l="1"/>
  <c r="O183" i="38"/>
  <c r="O189" i="38" s="1"/>
  <c r="O174" i="38"/>
  <c r="O180" i="38" s="1"/>
  <c r="N171" i="38"/>
  <c r="N174" i="38"/>
  <c r="N180" i="38" s="1"/>
  <c r="N183" i="38"/>
  <c r="N189" i="38" s="1"/>
  <c r="K177" i="38"/>
  <c r="K192" i="38"/>
  <c r="N133" i="38"/>
  <c r="M203" i="39"/>
  <c r="M210" i="39"/>
  <c r="L203" i="43"/>
  <c r="L210" i="43"/>
  <c r="M198" i="40"/>
  <c r="M202" i="40" s="1"/>
  <c r="M198" i="42"/>
  <c r="M202" i="42" s="1"/>
  <c r="M198" i="43"/>
  <c r="M202" i="43" s="1"/>
  <c r="L203" i="40"/>
  <c r="L210" i="42"/>
  <c r="L217" i="42" s="1"/>
  <c r="M157" i="38"/>
  <c r="M161" i="38" s="1"/>
  <c r="M162" i="38"/>
  <c r="M159" i="38"/>
  <c r="N198" i="39"/>
  <c r="N202" i="39" s="1"/>
  <c r="L204" i="41"/>
  <c r="L211" i="41"/>
  <c r="L218" i="41" s="1"/>
  <c r="M199" i="41"/>
  <c r="M203" i="41" s="1"/>
  <c r="N162" i="38"/>
  <c r="N159" i="38"/>
  <c r="M112" i="38"/>
  <c r="M167" i="38" s="1"/>
  <c r="AP19" i="2" s="1"/>
  <c r="AJ19" i="2" s="1"/>
  <c r="H17" i="79" s="1"/>
  <c r="T17" i="79" s="1"/>
  <c r="T22" i="79" s="1"/>
  <c r="O111" i="38"/>
  <c r="M140" i="38"/>
  <c r="M144" i="38" s="1"/>
  <c r="O125" i="38"/>
  <c r="O128" i="38"/>
  <c r="P125" i="38"/>
  <c r="P128" i="38"/>
  <c r="O123" i="38"/>
  <c r="O127" i="38" s="1"/>
  <c r="N110" i="38"/>
  <c r="N112" i="38" s="1"/>
  <c r="N167" i="38" s="1"/>
  <c r="O106" i="38"/>
  <c r="O101" i="38"/>
  <c r="O108" i="38" s="1"/>
  <c r="N93" i="38"/>
  <c r="N95" i="38" s="1"/>
  <c r="N166" i="38" s="1"/>
  <c r="N206" i="39"/>
  <c r="Q86" i="39"/>
  <c r="P107" i="39"/>
  <c r="N171" i="39"/>
  <c r="N178" i="39" s="1"/>
  <c r="N162" i="39"/>
  <c r="N169" i="39" s="1"/>
  <c r="N180" i="39" s="1"/>
  <c r="K223" i="41"/>
  <c r="K222" i="41"/>
  <c r="L181" i="43"/>
  <c r="O207" i="41"/>
  <c r="K224" i="41"/>
  <c r="L181" i="40"/>
  <c r="L181" i="42"/>
  <c r="N162" i="42"/>
  <c r="N169" i="42" s="1"/>
  <c r="N171" i="42"/>
  <c r="N178" i="42" s="1"/>
  <c r="O186" i="43"/>
  <c r="O189" i="43" s="1"/>
  <c r="O160" i="43"/>
  <c r="P158" i="43"/>
  <c r="Q61" i="43"/>
  <c r="N194" i="42"/>
  <c r="N200" i="42" s="1"/>
  <c r="N192" i="42"/>
  <c r="L217" i="40"/>
  <c r="L223" i="40"/>
  <c r="N192" i="40"/>
  <c r="N194" i="40"/>
  <c r="N200" i="40" s="1"/>
  <c r="P159" i="41"/>
  <c r="Q62" i="41"/>
  <c r="P111" i="41"/>
  <c r="P116" i="41" s="1"/>
  <c r="P120" i="41" s="1"/>
  <c r="P113" i="41"/>
  <c r="P118" i="41" s="1"/>
  <c r="O187" i="41"/>
  <c r="O190" i="41" s="1"/>
  <c r="O161" i="41"/>
  <c r="L216" i="42"/>
  <c r="L221" i="42"/>
  <c r="L222" i="42"/>
  <c r="N120" i="42"/>
  <c r="N206" i="42"/>
  <c r="L182" i="41"/>
  <c r="L216" i="40"/>
  <c r="L221" i="40"/>
  <c r="L222" i="40"/>
  <c r="N163" i="41"/>
  <c r="N170" i="41" s="1"/>
  <c r="N172" i="41"/>
  <c r="N179" i="41" s="1"/>
  <c r="P158" i="40"/>
  <c r="Q61" i="40"/>
  <c r="N171" i="43"/>
  <c r="N178" i="43" s="1"/>
  <c r="N162" i="43"/>
  <c r="N169" i="43" s="1"/>
  <c r="N195" i="41"/>
  <c r="N201" i="41" s="1"/>
  <c r="N193" i="41"/>
  <c r="O160" i="40"/>
  <c r="O186" i="40"/>
  <c r="O189" i="40" s="1"/>
  <c r="M176" i="43"/>
  <c r="M180" i="43"/>
  <c r="M209" i="43" s="1"/>
  <c r="N194" i="43"/>
  <c r="N200" i="43" s="1"/>
  <c r="N192" i="43"/>
  <c r="L216" i="43"/>
  <c r="L221" i="43"/>
  <c r="L222" i="43"/>
  <c r="M177" i="41"/>
  <c r="M181" i="41"/>
  <c r="M182" i="41" s="1"/>
  <c r="O186" i="42"/>
  <c r="O189" i="42" s="1"/>
  <c r="O160" i="42"/>
  <c r="P110" i="43"/>
  <c r="P115" i="43" s="1"/>
  <c r="P119" i="43" s="1"/>
  <c r="P112" i="43"/>
  <c r="P117" i="43" s="1"/>
  <c r="M215" i="39"/>
  <c r="M176" i="40"/>
  <c r="M180" i="40"/>
  <c r="M181" i="40" s="1"/>
  <c r="O206" i="43"/>
  <c r="O120" i="43"/>
  <c r="M203" i="42"/>
  <c r="M210" i="42"/>
  <c r="M176" i="42"/>
  <c r="M180" i="42"/>
  <c r="M209" i="42" s="1"/>
  <c r="N120" i="40"/>
  <c r="N206" i="40"/>
  <c r="L222" i="41"/>
  <c r="L217" i="41"/>
  <c r="L223" i="41"/>
  <c r="L217" i="43"/>
  <c r="L223" i="43"/>
  <c r="O112" i="40"/>
  <c r="O117" i="40" s="1"/>
  <c r="O110" i="40"/>
  <c r="O115" i="40" s="1"/>
  <c r="O119" i="40" s="1"/>
  <c r="O121" i="41"/>
  <c r="N171" i="40"/>
  <c r="N178" i="40" s="1"/>
  <c r="N162" i="40"/>
  <c r="N169" i="40" s="1"/>
  <c r="Q61" i="42"/>
  <c r="P158" i="42"/>
  <c r="O112" i="42"/>
  <c r="O117" i="42" s="1"/>
  <c r="O110" i="42"/>
  <c r="O115" i="42" s="1"/>
  <c r="O119" i="42" s="1"/>
  <c r="O160" i="39"/>
  <c r="N154" i="39"/>
  <c r="L222" i="39"/>
  <c r="L181" i="39"/>
  <c r="M217" i="39"/>
  <c r="N157" i="38"/>
  <c r="N161" i="38" s="1"/>
  <c r="M211" i="39"/>
  <c r="M214" i="39"/>
  <c r="M218" i="39" s="1"/>
  <c r="N208" i="39"/>
  <c r="N176" i="39"/>
  <c r="Q61" i="39"/>
  <c r="P158" i="39"/>
  <c r="P186" i="39" s="1"/>
  <c r="P189" i="39" s="1"/>
  <c r="N207" i="39"/>
  <c r="N137" i="39"/>
  <c r="O192" i="39"/>
  <c r="O194" i="39"/>
  <c r="O200" i="39" s="1"/>
  <c r="L216" i="39"/>
  <c r="L221" i="39"/>
  <c r="Q116" i="38"/>
  <c r="O206" i="39"/>
  <c r="O120" i="39"/>
  <c r="O127" i="39"/>
  <c r="O132" i="39" s="1"/>
  <c r="O136" i="39" s="1"/>
  <c r="O129" i="39"/>
  <c r="O134" i="39" s="1"/>
  <c r="P99" i="38"/>
  <c r="L168" i="38"/>
  <c r="L186" i="38" s="1"/>
  <c r="O144" i="39"/>
  <c r="O149" i="39" s="1"/>
  <c r="O153" i="39" s="1"/>
  <c r="O146" i="39"/>
  <c r="O151" i="39" s="1"/>
  <c r="M176" i="39"/>
  <c r="M180" i="39"/>
  <c r="M209" i="39" s="1"/>
  <c r="P110" i="39"/>
  <c r="P115" i="39" s="1"/>
  <c r="P119" i="39" s="1"/>
  <c r="P112" i="39"/>
  <c r="P117" i="39" s="1"/>
  <c r="P72" i="38"/>
  <c r="O150" i="38"/>
  <c r="N205" i="39"/>
  <c r="O102" i="39"/>
  <c r="O205" i="39" s="1"/>
  <c r="P91" i="39"/>
  <c r="P98" i="39" s="1"/>
  <c r="P93" i="39"/>
  <c r="P100" i="39" s="1"/>
  <c r="P141" i="39"/>
  <c r="P124" i="39"/>
  <c r="P123" i="38"/>
  <c r="P127" i="38" s="1"/>
  <c r="O89" i="38"/>
  <c r="L224" i="41" l="1"/>
  <c r="M176" i="38"/>
  <c r="M185" i="38"/>
  <c r="N176" i="38"/>
  <c r="N185" i="38"/>
  <c r="L177" i="38"/>
  <c r="L192" i="38"/>
  <c r="N142" i="38"/>
  <c r="N145" i="38"/>
  <c r="M146" i="38"/>
  <c r="M168" i="38" s="1"/>
  <c r="O133" i="38"/>
  <c r="M203" i="40"/>
  <c r="M210" i="40"/>
  <c r="M217" i="40" s="1"/>
  <c r="M210" i="43"/>
  <c r="M203" i="43"/>
  <c r="N203" i="39"/>
  <c r="N210" i="39"/>
  <c r="N198" i="40"/>
  <c r="N202" i="40" s="1"/>
  <c r="N210" i="40" s="1"/>
  <c r="L223" i="42"/>
  <c r="O198" i="39"/>
  <c r="O202" i="39" s="1"/>
  <c r="N198" i="43"/>
  <c r="N202" i="43" s="1"/>
  <c r="N210" i="43" s="1"/>
  <c r="N198" i="42"/>
  <c r="N202" i="42" s="1"/>
  <c r="M204" i="41"/>
  <c r="M211" i="41"/>
  <c r="M218" i="41" s="1"/>
  <c r="N199" i="41"/>
  <c r="N203" i="41" s="1"/>
  <c r="P133" i="38"/>
  <c r="O162" i="38"/>
  <c r="O159" i="38"/>
  <c r="P111" i="38"/>
  <c r="N140" i="38"/>
  <c r="N144" i="38" s="1"/>
  <c r="Q125" i="38"/>
  <c r="Q128" i="38"/>
  <c r="O110" i="38"/>
  <c r="P101" i="38"/>
  <c r="P108" i="38" s="1"/>
  <c r="O93" i="38"/>
  <c r="P76" i="38"/>
  <c r="P78" i="38" s="1"/>
  <c r="P165" i="38" s="1"/>
  <c r="N209" i="39"/>
  <c r="N216" i="39" s="1"/>
  <c r="R86" i="39"/>
  <c r="Q107" i="39"/>
  <c r="M210" i="41"/>
  <c r="M223" i="41" s="1"/>
  <c r="M209" i="40"/>
  <c r="M222" i="40" s="1"/>
  <c r="M181" i="43"/>
  <c r="M181" i="42"/>
  <c r="P187" i="41"/>
  <c r="P190" i="41" s="1"/>
  <c r="P161" i="41"/>
  <c r="M223" i="43"/>
  <c r="M217" i="43"/>
  <c r="N176" i="43"/>
  <c r="N180" i="43"/>
  <c r="N209" i="43" s="1"/>
  <c r="P186" i="42"/>
  <c r="P189" i="42" s="1"/>
  <c r="P160" i="42"/>
  <c r="P112" i="40"/>
  <c r="P117" i="40" s="1"/>
  <c r="P110" i="40"/>
  <c r="P115" i="40" s="1"/>
  <c r="P119" i="40" s="1"/>
  <c r="P110" i="42"/>
  <c r="P115" i="42" s="1"/>
  <c r="P119" i="42" s="1"/>
  <c r="P112" i="42"/>
  <c r="P117" i="42" s="1"/>
  <c r="N180" i="40"/>
  <c r="N209" i="40" s="1"/>
  <c r="N176" i="40"/>
  <c r="Q158" i="40"/>
  <c r="R61" i="40"/>
  <c r="Q158" i="43"/>
  <c r="R61" i="43"/>
  <c r="Q112" i="43"/>
  <c r="Q117" i="43" s="1"/>
  <c r="Q110" i="43"/>
  <c r="Q115" i="43" s="1"/>
  <c r="Q119" i="43" s="1"/>
  <c r="P120" i="43"/>
  <c r="P206" i="43"/>
  <c r="P186" i="40"/>
  <c r="P189" i="40" s="1"/>
  <c r="P160" i="40"/>
  <c r="P186" i="43"/>
  <c r="P189" i="43" s="1"/>
  <c r="P160" i="43"/>
  <c r="Q158" i="42"/>
  <c r="R61" i="42"/>
  <c r="M216" i="42"/>
  <c r="M221" i="42"/>
  <c r="M222" i="42"/>
  <c r="M216" i="43"/>
  <c r="M222" i="43"/>
  <c r="M221" i="43"/>
  <c r="N177" i="41"/>
  <c r="N181" i="41"/>
  <c r="N182" i="41" s="1"/>
  <c r="O163" i="41"/>
  <c r="O170" i="41" s="1"/>
  <c r="O172" i="41"/>
  <c r="O179" i="41" s="1"/>
  <c r="O171" i="43"/>
  <c r="O178" i="43" s="1"/>
  <c r="O162" i="43"/>
  <c r="O169" i="43" s="1"/>
  <c r="O162" i="42"/>
  <c r="O169" i="42" s="1"/>
  <c r="O171" i="42"/>
  <c r="O178" i="42" s="1"/>
  <c r="O193" i="41"/>
  <c r="O195" i="41"/>
  <c r="O201" i="41" s="1"/>
  <c r="O192" i="43"/>
  <c r="O194" i="43"/>
  <c r="O200" i="43" s="1"/>
  <c r="O206" i="40"/>
  <c r="O120" i="40"/>
  <c r="M223" i="42"/>
  <c r="M217" i="42"/>
  <c r="O192" i="42"/>
  <c r="O194" i="42"/>
  <c r="O200" i="42" s="1"/>
  <c r="O194" i="40"/>
  <c r="O200" i="40" s="1"/>
  <c r="O192" i="40"/>
  <c r="P121" i="41"/>
  <c r="P207" i="41"/>
  <c r="Q111" i="41"/>
  <c r="Q116" i="41" s="1"/>
  <c r="Q120" i="41" s="1"/>
  <c r="Q113" i="41"/>
  <c r="Q118" i="41" s="1"/>
  <c r="O171" i="40"/>
  <c r="O178" i="40" s="1"/>
  <c r="O162" i="40"/>
  <c r="O169" i="40" s="1"/>
  <c r="O206" i="42"/>
  <c r="O120" i="42"/>
  <c r="R62" i="41"/>
  <c r="Q159" i="41"/>
  <c r="N176" i="42"/>
  <c r="N180" i="42"/>
  <c r="N209" i="42" s="1"/>
  <c r="P106" i="38"/>
  <c r="P160" i="39"/>
  <c r="Q72" i="38"/>
  <c r="O103" i="39"/>
  <c r="O208" i="39"/>
  <c r="O215" i="39" s="1"/>
  <c r="O211" i="39"/>
  <c r="O214" i="39"/>
  <c r="O218" i="39" s="1"/>
  <c r="O207" i="39"/>
  <c r="O137" i="39"/>
  <c r="P129" i="39"/>
  <c r="P134" i="39" s="1"/>
  <c r="P127" i="39"/>
  <c r="P132" i="39" s="1"/>
  <c r="P136" i="39" s="1"/>
  <c r="M216" i="39"/>
  <c r="M222" i="39"/>
  <c r="N181" i="39"/>
  <c r="P144" i="39"/>
  <c r="P149" i="39" s="1"/>
  <c r="P153" i="39" s="1"/>
  <c r="P146" i="39"/>
  <c r="P151" i="39" s="1"/>
  <c r="N223" i="39"/>
  <c r="N217" i="39"/>
  <c r="P194" i="39"/>
  <c r="P200" i="39" s="1"/>
  <c r="P192" i="39"/>
  <c r="M223" i="39"/>
  <c r="P102" i="39"/>
  <c r="P103" i="39" s="1"/>
  <c r="Q93" i="39"/>
  <c r="Q100" i="39" s="1"/>
  <c r="Q91" i="39"/>
  <c r="Q98" i="39" s="1"/>
  <c r="Q141" i="39"/>
  <c r="Q124" i="39"/>
  <c r="R61" i="39"/>
  <c r="Q158" i="39"/>
  <c r="Q186" i="39" s="1"/>
  <c r="Q189" i="39" s="1"/>
  <c r="N211" i="39"/>
  <c r="N214" i="39"/>
  <c r="N218" i="39" s="1"/>
  <c r="N221" i="39"/>
  <c r="M181" i="39"/>
  <c r="O162" i="39"/>
  <c r="O169" i="39" s="1"/>
  <c r="O171" i="39"/>
  <c r="O178" i="39" s="1"/>
  <c r="O154" i="39"/>
  <c r="N215" i="39"/>
  <c r="N222" i="39"/>
  <c r="O157" i="38"/>
  <c r="O161" i="38" s="1"/>
  <c r="M221" i="39"/>
  <c r="R116" i="38"/>
  <c r="Q99" i="38"/>
  <c r="Q112" i="39"/>
  <c r="Q117" i="39" s="1"/>
  <c r="Q110" i="39"/>
  <c r="Q115" i="39" s="1"/>
  <c r="Q119" i="39" s="1"/>
  <c r="P120" i="39"/>
  <c r="P206" i="39"/>
  <c r="O210" i="39"/>
  <c r="O203" i="39"/>
  <c r="P89" i="38"/>
  <c r="Q123" i="38"/>
  <c r="Q127" i="38" s="1"/>
  <c r="J13" i="3"/>
  <c r="K13" i="3"/>
  <c r="I13" i="3"/>
  <c r="F13" i="3"/>
  <c r="M1" i="3"/>
  <c r="P27" i="4"/>
  <c r="M186" i="38" l="1"/>
  <c r="AQ19" i="2"/>
  <c r="AK19" i="2" s="1"/>
  <c r="I17" i="79" s="1"/>
  <c r="U17" i="79" s="1"/>
  <c r="U22" i="79" s="1"/>
  <c r="Q31" i="4"/>
  <c r="O31" i="4"/>
  <c r="P31" i="4"/>
  <c r="P30" i="4"/>
  <c r="Q30" i="4"/>
  <c r="O30" i="4"/>
  <c r="P29" i="4"/>
  <c r="O29" i="4"/>
  <c r="Q29" i="4"/>
  <c r="O20" i="4"/>
  <c r="P20" i="4"/>
  <c r="Q20" i="4"/>
  <c r="Q19" i="4"/>
  <c r="P19" i="4"/>
  <c r="O19" i="4"/>
  <c r="P18" i="4"/>
  <c r="Q18" i="4"/>
  <c r="O9" i="4"/>
  <c r="O8" i="4"/>
  <c r="O7" i="4"/>
  <c r="M177" i="38"/>
  <c r="P171" i="38"/>
  <c r="P183" i="38"/>
  <c r="P189" i="38" s="1"/>
  <c r="P174" i="38"/>
  <c r="P180" i="38" s="1"/>
  <c r="O145" i="38"/>
  <c r="N146" i="38"/>
  <c r="N168" i="38" s="1"/>
  <c r="N186" i="38" s="1"/>
  <c r="O142" i="38"/>
  <c r="N203" i="42"/>
  <c r="N210" i="42"/>
  <c r="N217" i="42" s="1"/>
  <c r="O198" i="40"/>
  <c r="O202" i="40" s="1"/>
  <c r="N203" i="40"/>
  <c r="P198" i="39"/>
  <c r="P202" i="39" s="1"/>
  <c r="O198" i="42"/>
  <c r="O202" i="42" s="1"/>
  <c r="P150" i="38"/>
  <c r="N203" i="43"/>
  <c r="O198" i="43"/>
  <c r="O202" i="43" s="1"/>
  <c r="O203" i="43" s="1"/>
  <c r="N204" i="41"/>
  <c r="N211" i="41"/>
  <c r="O199" i="41"/>
  <c r="O203" i="41" s="1"/>
  <c r="P142" i="38"/>
  <c r="O112" i="38"/>
  <c r="O167" i="38" s="1"/>
  <c r="O95" i="38"/>
  <c r="O166" i="38" s="1"/>
  <c r="Q111" i="38"/>
  <c r="O140" i="38"/>
  <c r="O144" i="38" s="1"/>
  <c r="R125" i="38"/>
  <c r="R128" i="38"/>
  <c r="P110" i="38"/>
  <c r="Q101" i="38"/>
  <c r="Q108" i="38" s="1"/>
  <c r="P93" i="38"/>
  <c r="Q76" i="38"/>
  <c r="Q78" i="38" s="1"/>
  <c r="Q165" i="38" s="1"/>
  <c r="M217" i="41"/>
  <c r="M222" i="41"/>
  <c r="M223" i="40"/>
  <c r="M224" i="41"/>
  <c r="M221" i="40"/>
  <c r="M216" i="40"/>
  <c r="S86" i="39"/>
  <c r="R107" i="39"/>
  <c r="R112" i="39" s="1"/>
  <c r="R117" i="39" s="1"/>
  <c r="N181" i="43"/>
  <c r="N210" i="41"/>
  <c r="N223" i="41" s="1"/>
  <c r="N181" i="40"/>
  <c r="N221" i="42"/>
  <c r="N222" i="42"/>
  <c r="N216" i="42"/>
  <c r="R158" i="43"/>
  <c r="S61" i="43"/>
  <c r="O176" i="43"/>
  <c r="O180" i="43"/>
  <c r="O209" i="43" s="1"/>
  <c r="R158" i="42"/>
  <c r="S61" i="42"/>
  <c r="Q186" i="43"/>
  <c r="Q189" i="43" s="1"/>
  <c r="Q160" i="43"/>
  <c r="N217" i="40"/>
  <c r="N223" i="40"/>
  <c r="N216" i="43"/>
  <c r="N221" i="43"/>
  <c r="N222" i="43"/>
  <c r="Q187" i="41"/>
  <c r="Q190" i="41" s="1"/>
  <c r="Q161" i="41"/>
  <c r="Q186" i="42"/>
  <c r="Q189" i="42" s="1"/>
  <c r="Q160" i="42"/>
  <c r="R158" i="40"/>
  <c r="S61" i="40"/>
  <c r="R159" i="41"/>
  <c r="S62" i="41"/>
  <c r="N181" i="42"/>
  <c r="O177" i="41"/>
  <c r="O181" i="41"/>
  <c r="O182" i="41" s="1"/>
  <c r="P162" i="43"/>
  <c r="P169" i="43" s="1"/>
  <c r="P171" i="43"/>
  <c r="P178" i="43" s="1"/>
  <c r="Q186" i="40"/>
  <c r="Q189" i="40" s="1"/>
  <c r="Q160" i="40"/>
  <c r="N223" i="42"/>
  <c r="P192" i="43"/>
  <c r="P194" i="43"/>
  <c r="P200" i="43" s="1"/>
  <c r="P162" i="40"/>
  <c r="P169" i="40" s="1"/>
  <c r="P171" i="40"/>
  <c r="P178" i="40" s="1"/>
  <c r="N217" i="43"/>
  <c r="N223" i="43"/>
  <c r="P171" i="42"/>
  <c r="P178" i="42" s="1"/>
  <c r="P162" i="42"/>
  <c r="P169" i="42" s="1"/>
  <c r="R110" i="43"/>
  <c r="R115" i="43" s="1"/>
  <c r="R119" i="43" s="1"/>
  <c r="R112" i="43"/>
  <c r="R117" i="43" s="1"/>
  <c r="O176" i="40"/>
  <c r="O180" i="40"/>
  <c r="O181" i="40" s="1"/>
  <c r="P194" i="40"/>
  <c r="P200" i="40" s="1"/>
  <c r="P192" i="40"/>
  <c r="P192" i="42"/>
  <c r="P194" i="42"/>
  <c r="P200" i="42" s="1"/>
  <c r="Q112" i="42"/>
  <c r="Q117" i="42" s="1"/>
  <c r="Q110" i="42"/>
  <c r="Q115" i="42" s="1"/>
  <c r="Q119" i="42" s="1"/>
  <c r="N216" i="40"/>
  <c r="N221" i="40"/>
  <c r="N222" i="40"/>
  <c r="N218" i="41"/>
  <c r="Q112" i="40"/>
  <c r="Q117" i="40" s="1"/>
  <c r="Q110" i="40"/>
  <c r="Q115" i="40" s="1"/>
  <c r="Q119" i="40" s="1"/>
  <c r="O180" i="42"/>
  <c r="O209" i="42" s="1"/>
  <c r="O176" i="42"/>
  <c r="P120" i="42"/>
  <c r="P206" i="42"/>
  <c r="Q121" i="41"/>
  <c r="Q207" i="41"/>
  <c r="P172" i="41"/>
  <c r="P179" i="41" s="1"/>
  <c r="P163" i="41"/>
  <c r="P170" i="41" s="1"/>
  <c r="R113" i="41"/>
  <c r="R118" i="41" s="1"/>
  <c r="R111" i="41"/>
  <c r="R116" i="41" s="1"/>
  <c r="R120" i="41" s="1"/>
  <c r="P162" i="39"/>
  <c r="P169" i="39" s="1"/>
  <c r="P180" i="39" s="1"/>
  <c r="Q206" i="43"/>
  <c r="Q120" i="43"/>
  <c r="P120" i="40"/>
  <c r="P206" i="40"/>
  <c r="P193" i="41"/>
  <c r="P195" i="41"/>
  <c r="P201" i="41" s="1"/>
  <c r="P171" i="39"/>
  <c r="P178" i="39" s="1"/>
  <c r="P208" i="39"/>
  <c r="P215" i="39" s="1"/>
  <c r="Q160" i="39"/>
  <c r="M192" i="38"/>
  <c r="R91" i="39"/>
  <c r="R98" i="39" s="1"/>
  <c r="R93" i="39"/>
  <c r="R100" i="39" s="1"/>
  <c r="R141" i="39"/>
  <c r="R124" i="39"/>
  <c r="P137" i="39"/>
  <c r="P207" i="39"/>
  <c r="S72" i="38"/>
  <c r="R99" i="38"/>
  <c r="O217" i="39"/>
  <c r="Q194" i="39"/>
  <c r="Q200" i="39" s="1"/>
  <c r="Q192" i="39"/>
  <c r="P205" i="39"/>
  <c r="O180" i="39"/>
  <c r="O209" i="39" s="1"/>
  <c r="O176" i="39"/>
  <c r="S61" i="39"/>
  <c r="R158" i="39"/>
  <c r="R186" i="39" s="1"/>
  <c r="R189" i="39" s="1"/>
  <c r="R72" i="38"/>
  <c r="Q127" i="39"/>
  <c r="Q132" i="39" s="1"/>
  <c r="Q136" i="39" s="1"/>
  <c r="Q129" i="39"/>
  <c r="Q134" i="39" s="1"/>
  <c r="Q206" i="39"/>
  <c r="Q120" i="39"/>
  <c r="Q106" i="38"/>
  <c r="P145" i="38"/>
  <c r="Q102" i="39"/>
  <c r="Q103" i="39" s="1"/>
  <c r="P154" i="39"/>
  <c r="Q146" i="39"/>
  <c r="Q151" i="39" s="1"/>
  <c r="Q144" i="39"/>
  <c r="Q149" i="39" s="1"/>
  <c r="Q153" i="39" s="1"/>
  <c r="Q89" i="38"/>
  <c r="R123" i="38"/>
  <c r="R127" i="38" s="1"/>
  <c r="S116" i="38"/>
  <c r="T21" i="3" l="1"/>
  <c r="W21" i="3" s="1"/>
  <c r="T33" i="3"/>
  <c r="W33" i="3" s="1"/>
  <c r="R21" i="3"/>
  <c r="U21" i="3" s="1"/>
  <c r="R33" i="3"/>
  <c r="U33" i="3" s="1"/>
  <c r="S21" i="3"/>
  <c r="V21" i="3" s="1"/>
  <c r="S33" i="3"/>
  <c r="V33" i="3" s="1"/>
  <c r="S20" i="3"/>
  <c r="V20" i="3" s="1"/>
  <c r="S32" i="3"/>
  <c r="V32" i="3" s="1"/>
  <c r="T20" i="3"/>
  <c r="W20" i="3" s="1"/>
  <c r="T32" i="3"/>
  <c r="W32" i="3" s="1"/>
  <c r="R20" i="3"/>
  <c r="U20" i="3" s="1"/>
  <c r="R32" i="3"/>
  <c r="U32" i="3" s="1"/>
  <c r="R19" i="3"/>
  <c r="U19" i="3" s="1"/>
  <c r="R31" i="3"/>
  <c r="U31" i="3" s="1"/>
  <c r="T19" i="3"/>
  <c r="W19" i="3" s="1"/>
  <c r="T31" i="3"/>
  <c r="W31" i="3" s="1"/>
  <c r="S19" i="3"/>
  <c r="V19" i="3" s="1"/>
  <c r="S31" i="3"/>
  <c r="V31" i="3" s="1"/>
  <c r="P9" i="4"/>
  <c r="Q9" i="4"/>
  <c r="P8" i="4"/>
  <c r="Q8" i="4"/>
  <c r="P7" i="4"/>
  <c r="Q7" i="4"/>
  <c r="P176" i="39"/>
  <c r="O176" i="38"/>
  <c r="O185" i="38"/>
  <c r="Q150" i="38"/>
  <c r="Q171" i="38"/>
  <c r="Q183" i="38"/>
  <c r="Q189" i="38" s="1"/>
  <c r="Q174" i="38"/>
  <c r="Q180" i="38" s="1"/>
  <c r="N177" i="38"/>
  <c r="O146" i="38"/>
  <c r="O168" i="38" s="1"/>
  <c r="O186" i="38" s="1"/>
  <c r="N192" i="38"/>
  <c r="O210" i="42"/>
  <c r="O203" i="42"/>
  <c r="P210" i="39"/>
  <c r="P217" i="39" s="1"/>
  <c r="P203" i="39"/>
  <c r="O203" i="40"/>
  <c r="O210" i="40"/>
  <c r="P198" i="42"/>
  <c r="P202" i="42" s="1"/>
  <c r="P157" i="38"/>
  <c r="P161" i="38" s="1"/>
  <c r="P162" i="38"/>
  <c r="P159" i="38"/>
  <c r="P198" i="40"/>
  <c r="P202" i="40" s="1"/>
  <c r="P198" i="43"/>
  <c r="P202" i="43" s="1"/>
  <c r="O210" i="43"/>
  <c r="O223" i="43" s="1"/>
  <c r="Q198" i="39"/>
  <c r="Q202" i="39" s="1"/>
  <c r="O204" i="41"/>
  <c r="O211" i="41"/>
  <c r="P199" i="41"/>
  <c r="P203" i="41" s="1"/>
  <c r="P112" i="38"/>
  <c r="P167" i="38" s="1"/>
  <c r="P95" i="38"/>
  <c r="P166" i="38" s="1"/>
  <c r="R111" i="38"/>
  <c r="Q133" i="38"/>
  <c r="P140" i="38"/>
  <c r="P144" i="38" s="1"/>
  <c r="P146" i="38" s="1"/>
  <c r="S125" i="38"/>
  <c r="S128" i="38"/>
  <c r="Q110" i="38"/>
  <c r="R106" i="38"/>
  <c r="R101" i="38"/>
  <c r="R108" i="38" s="1"/>
  <c r="Q93" i="38"/>
  <c r="R76" i="38"/>
  <c r="R78" i="38" s="1"/>
  <c r="R165" i="38" s="1"/>
  <c r="BA19" i="2" s="1"/>
  <c r="AU19" i="2" s="1"/>
  <c r="F17" i="77" s="1"/>
  <c r="R17" i="77" s="1"/>
  <c r="R22" i="77" s="1"/>
  <c r="S76" i="38"/>
  <c r="S78" i="38" s="1"/>
  <c r="S165" i="38" s="1"/>
  <c r="N224" i="41"/>
  <c r="R110" i="39"/>
  <c r="R115" i="39" s="1"/>
  <c r="R119" i="39" s="1"/>
  <c r="R120" i="39" s="1"/>
  <c r="T86" i="39"/>
  <c r="S107" i="39"/>
  <c r="S110" i="39" s="1"/>
  <c r="S115" i="39" s="1"/>
  <c r="S119" i="39" s="1"/>
  <c r="N217" i="41"/>
  <c r="N222" i="41"/>
  <c r="P181" i="39"/>
  <c r="O210" i="41"/>
  <c r="O222" i="41" s="1"/>
  <c r="R160" i="39"/>
  <c r="O181" i="42"/>
  <c r="R207" i="41"/>
  <c r="O209" i="40"/>
  <c r="O216" i="40" s="1"/>
  <c r="Q192" i="43"/>
  <c r="Q194" i="43"/>
  <c r="Q200" i="43" s="1"/>
  <c r="Q171" i="40"/>
  <c r="Q178" i="40" s="1"/>
  <c r="Q162" i="40"/>
  <c r="Q169" i="40" s="1"/>
  <c r="S158" i="42"/>
  <c r="T61" i="42"/>
  <c r="Q194" i="42"/>
  <c r="Q200" i="42" s="1"/>
  <c r="Q192" i="42"/>
  <c r="R186" i="42"/>
  <c r="R189" i="42" s="1"/>
  <c r="R160" i="42"/>
  <c r="P176" i="43"/>
  <c r="P180" i="43"/>
  <c r="P209" i="43" s="1"/>
  <c r="O216" i="43"/>
  <c r="O222" i="43"/>
  <c r="O221" i="43"/>
  <c r="Q192" i="40"/>
  <c r="Q194" i="40"/>
  <c r="Q200" i="40" s="1"/>
  <c r="O217" i="40"/>
  <c r="Q172" i="41"/>
  <c r="Q179" i="41" s="1"/>
  <c r="Q163" i="41"/>
  <c r="Q170" i="41" s="1"/>
  <c r="Q171" i="43"/>
  <c r="Q178" i="43" s="1"/>
  <c r="Q162" i="43"/>
  <c r="Q169" i="43" s="1"/>
  <c r="S113" i="41"/>
  <c r="S118" i="41" s="1"/>
  <c r="S111" i="41"/>
  <c r="S116" i="41" s="1"/>
  <c r="S120" i="41" s="1"/>
  <c r="O222" i="42"/>
  <c r="O216" i="42"/>
  <c r="O221" i="42"/>
  <c r="R206" i="43"/>
  <c r="R120" i="43"/>
  <c r="O218" i="41"/>
  <c r="Q193" i="41"/>
  <c r="Q195" i="41"/>
  <c r="Q201" i="41" s="1"/>
  <c r="T61" i="43"/>
  <c r="S158" i="43"/>
  <c r="P203" i="40"/>
  <c r="P210" i="40"/>
  <c r="P180" i="40"/>
  <c r="P209" i="40" s="1"/>
  <c r="P176" i="40"/>
  <c r="O223" i="42"/>
  <c r="O217" i="42"/>
  <c r="R186" i="43"/>
  <c r="R189" i="43" s="1"/>
  <c r="R160" i="43"/>
  <c r="Q171" i="42"/>
  <c r="Q178" i="42" s="1"/>
  <c r="Q162" i="42"/>
  <c r="Q169" i="42" s="1"/>
  <c r="R121" i="41"/>
  <c r="Q206" i="42"/>
  <c r="Q120" i="42"/>
  <c r="R110" i="40"/>
  <c r="R115" i="40" s="1"/>
  <c r="R119" i="40" s="1"/>
  <c r="R112" i="40"/>
  <c r="R117" i="40" s="1"/>
  <c r="S159" i="41"/>
  <c r="T62" i="41"/>
  <c r="O181" i="43"/>
  <c r="P177" i="41"/>
  <c r="P181" i="41"/>
  <c r="P182" i="41" s="1"/>
  <c r="R110" i="42"/>
  <c r="R115" i="42" s="1"/>
  <c r="R119" i="42" s="1"/>
  <c r="R112" i="42"/>
  <c r="R117" i="42" s="1"/>
  <c r="R187" i="41"/>
  <c r="R190" i="41" s="1"/>
  <c r="R161" i="41"/>
  <c r="P176" i="42"/>
  <c r="P180" i="42"/>
  <c r="P209" i="42" s="1"/>
  <c r="S158" i="40"/>
  <c r="T61" i="40"/>
  <c r="S112" i="43"/>
  <c r="S117" i="43" s="1"/>
  <c r="S110" i="43"/>
  <c r="S115" i="43" s="1"/>
  <c r="S119" i="43" s="1"/>
  <c r="Q206" i="40"/>
  <c r="Q120" i="40"/>
  <c r="R186" i="40"/>
  <c r="R189" i="40" s="1"/>
  <c r="R160" i="40"/>
  <c r="Q154" i="39"/>
  <c r="Q205" i="39"/>
  <c r="Q214" i="39" s="1"/>
  <c r="Q218" i="39" s="1"/>
  <c r="P209" i="39"/>
  <c r="P222" i="39" s="1"/>
  <c r="O181" i="39"/>
  <c r="O216" i="39"/>
  <c r="O221" i="39"/>
  <c r="O222" i="39"/>
  <c r="O223" i="39"/>
  <c r="T72" i="38"/>
  <c r="R192" i="39"/>
  <c r="R194" i="39"/>
  <c r="R200" i="39" s="1"/>
  <c r="S93" i="39"/>
  <c r="S100" i="39" s="1"/>
  <c r="S91" i="39"/>
  <c r="S98" i="39" s="1"/>
  <c r="S141" i="39"/>
  <c r="S124" i="39"/>
  <c r="Q208" i="39"/>
  <c r="R129" i="39"/>
  <c r="R134" i="39" s="1"/>
  <c r="R127" i="39"/>
  <c r="R132" i="39" s="1"/>
  <c r="R136" i="39" s="1"/>
  <c r="R146" i="39"/>
  <c r="R151" i="39" s="1"/>
  <c r="R144" i="39"/>
  <c r="R149" i="39" s="1"/>
  <c r="R153" i="39" s="1"/>
  <c r="S158" i="39"/>
  <c r="S186" i="39" s="1"/>
  <c r="S189" i="39" s="1"/>
  <c r="T61" i="39"/>
  <c r="P211" i="39"/>
  <c r="P214" i="39"/>
  <c r="P218" i="39" s="1"/>
  <c r="Q207" i="39"/>
  <c r="Q137" i="39"/>
  <c r="R206" i="39"/>
  <c r="R102" i="39"/>
  <c r="R103" i="39" s="1"/>
  <c r="S99" i="38"/>
  <c r="Q171" i="39"/>
  <c r="Q178" i="39" s="1"/>
  <c r="Q162" i="39"/>
  <c r="Q169" i="39" s="1"/>
  <c r="R150" i="38"/>
  <c r="S123" i="38"/>
  <c r="S127" i="38" s="1"/>
  <c r="T116" i="38"/>
  <c r="T99" i="38"/>
  <c r="R89" i="38"/>
  <c r="I10" i="4"/>
  <c r="L34" i="3"/>
  <c r="L22" i="3"/>
  <c r="I32" i="4"/>
  <c r="I21" i="4"/>
  <c r="L10" i="3"/>
  <c r="J139" i="4" l="1"/>
  <c r="J117" i="4"/>
  <c r="J95" i="4"/>
  <c r="J73" i="4"/>
  <c r="J51" i="4"/>
  <c r="J138" i="4"/>
  <c r="J116" i="4"/>
  <c r="J94" i="4"/>
  <c r="J72" i="4"/>
  <c r="J50" i="4"/>
  <c r="J137" i="4"/>
  <c r="J115" i="4"/>
  <c r="J93" i="4"/>
  <c r="J71" i="4"/>
  <c r="J49" i="4"/>
  <c r="J152" i="4"/>
  <c r="J130" i="4"/>
  <c r="J108" i="4"/>
  <c r="J86" i="4"/>
  <c r="J64" i="4"/>
  <c r="J151" i="4"/>
  <c r="J129" i="4"/>
  <c r="J107" i="4"/>
  <c r="J85" i="4"/>
  <c r="J63" i="4"/>
  <c r="J150" i="4"/>
  <c r="J128" i="4"/>
  <c r="J106" i="4"/>
  <c r="J84" i="4"/>
  <c r="J62" i="4"/>
  <c r="J149" i="4"/>
  <c r="J127" i="4"/>
  <c r="J105" i="4"/>
  <c r="J83" i="4"/>
  <c r="J61" i="4"/>
  <c r="J148" i="4"/>
  <c r="J126" i="4"/>
  <c r="J104" i="4"/>
  <c r="J82" i="4"/>
  <c r="J60" i="4"/>
  <c r="J141" i="4"/>
  <c r="J119" i="4"/>
  <c r="J97" i="4"/>
  <c r="J75" i="4"/>
  <c r="J53" i="4"/>
  <c r="J140" i="4"/>
  <c r="J118" i="4"/>
  <c r="J96" i="4"/>
  <c r="J74" i="4"/>
  <c r="J52" i="4"/>
  <c r="M165" i="3"/>
  <c r="M163" i="3"/>
  <c r="M161" i="3"/>
  <c r="M164" i="3"/>
  <c r="M162" i="3"/>
  <c r="M153" i="3"/>
  <c r="M152" i="3"/>
  <c r="M151" i="3"/>
  <c r="M150" i="3"/>
  <c r="M149" i="3"/>
  <c r="M140" i="3"/>
  <c r="M139" i="3"/>
  <c r="M138" i="3"/>
  <c r="M137" i="3"/>
  <c r="M141" i="3"/>
  <c r="M129" i="3"/>
  <c r="M128" i="3"/>
  <c r="M126" i="3"/>
  <c r="M125" i="3"/>
  <c r="M127" i="3"/>
  <c r="M117" i="3"/>
  <c r="M116" i="3"/>
  <c r="M114" i="3"/>
  <c r="M115" i="3"/>
  <c r="M113" i="3"/>
  <c r="M101" i="3"/>
  <c r="M105" i="3"/>
  <c r="M104" i="3"/>
  <c r="M103" i="3"/>
  <c r="M102" i="3"/>
  <c r="M92" i="3"/>
  <c r="M90" i="3"/>
  <c r="M93" i="3"/>
  <c r="M91" i="3"/>
  <c r="M89" i="3"/>
  <c r="M81" i="3"/>
  <c r="M77" i="3"/>
  <c r="M80" i="3"/>
  <c r="M79" i="3"/>
  <c r="M78" i="3"/>
  <c r="M69" i="3"/>
  <c r="M68" i="3"/>
  <c r="M67" i="3"/>
  <c r="M65" i="3"/>
  <c r="M66" i="3"/>
  <c r="M56" i="3"/>
  <c r="M57" i="3"/>
  <c r="M55" i="3"/>
  <c r="M54" i="3"/>
  <c r="M53" i="3"/>
  <c r="J42" i="4"/>
  <c r="J41" i="4"/>
  <c r="J38" i="4"/>
  <c r="J40" i="4"/>
  <c r="J39" i="4"/>
  <c r="M45" i="3"/>
  <c r="M44" i="3"/>
  <c r="M43" i="3"/>
  <c r="M42" i="3"/>
  <c r="M41" i="3"/>
  <c r="O217" i="43"/>
  <c r="P176" i="38"/>
  <c r="P185" i="38"/>
  <c r="R133" i="38"/>
  <c r="R145" i="38" s="1"/>
  <c r="S171" i="38"/>
  <c r="S183" i="38"/>
  <c r="S189" i="38" s="1"/>
  <c r="S174" i="38"/>
  <c r="S180" i="38" s="1"/>
  <c r="O177" i="38"/>
  <c r="R171" i="38"/>
  <c r="R183" i="38"/>
  <c r="R189" i="38" s="1"/>
  <c r="R174" i="38"/>
  <c r="R180" i="38" s="1"/>
  <c r="Q140" i="38"/>
  <c r="Q144" i="38" s="1"/>
  <c r="Q145" i="38"/>
  <c r="O192" i="38"/>
  <c r="Q203" i="39"/>
  <c r="Q210" i="39"/>
  <c r="Q217" i="39" s="1"/>
  <c r="P203" i="42"/>
  <c r="P210" i="42"/>
  <c r="P203" i="43"/>
  <c r="P210" i="43"/>
  <c r="Q198" i="43"/>
  <c r="Q202" i="43" s="1"/>
  <c r="Q157" i="38"/>
  <c r="Q161" i="38" s="1"/>
  <c r="Q162" i="38"/>
  <c r="Q159" i="38"/>
  <c r="Q198" i="42"/>
  <c r="Q202" i="42" s="1"/>
  <c r="Q198" i="40"/>
  <c r="Q202" i="40" s="1"/>
  <c r="R198" i="39"/>
  <c r="R202" i="39" s="1"/>
  <c r="P211" i="41"/>
  <c r="P218" i="41" s="1"/>
  <c r="P204" i="41"/>
  <c r="Q199" i="41"/>
  <c r="Q203" i="41" s="1"/>
  <c r="S133" i="38"/>
  <c r="R162" i="38"/>
  <c r="R159" i="38"/>
  <c r="Q142" i="38"/>
  <c r="P168" i="38"/>
  <c r="P186" i="38" s="1"/>
  <c r="Q112" i="38"/>
  <c r="Q167" i="38" s="1"/>
  <c r="S111" i="38"/>
  <c r="Q95" i="38"/>
  <c r="Q166" i="38" s="1"/>
  <c r="T125" i="38"/>
  <c r="T128" i="38"/>
  <c r="T101" i="38"/>
  <c r="T108" i="38" s="1"/>
  <c r="T111" i="38"/>
  <c r="R110" i="38"/>
  <c r="R112" i="38" s="1"/>
  <c r="R167" i="38" s="1"/>
  <c r="BC19" i="2" s="1"/>
  <c r="AW19" i="2" s="1"/>
  <c r="H17" i="77" s="1"/>
  <c r="T17" i="77" s="1"/>
  <c r="T22" i="77" s="1"/>
  <c r="S101" i="38"/>
  <c r="S108" i="38" s="1"/>
  <c r="R93" i="38"/>
  <c r="T76" i="38"/>
  <c r="T78" i="38" s="1"/>
  <c r="T165" i="38" s="1"/>
  <c r="R171" i="39"/>
  <c r="R178" i="39" s="1"/>
  <c r="S112" i="39"/>
  <c r="S117" i="39" s="1"/>
  <c r="S206" i="39" s="1"/>
  <c r="U86" i="39"/>
  <c r="T107" i="39"/>
  <c r="T112" i="39" s="1"/>
  <c r="T117" i="39" s="1"/>
  <c r="O224" i="41"/>
  <c r="R162" i="39"/>
  <c r="R169" i="39" s="1"/>
  <c r="O217" i="41"/>
  <c r="O223" i="41"/>
  <c r="O223" i="40"/>
  <c r="P181" i="42"/>
  <c r="O222" i="40"/>
  <c r="O221" i="40"/>
  <c r="S121" i="41"/>
  <c r="S110" i="40"/>
  <c r="S115" i="40" s="1"/>
  <c r="S119" i="40" s="1"/>
  <c r="S112" i="40"/>
  <c r="S117" i="40" s="1"/>
  <c r="P223" i="42"/>
  <c r="P217" i="42"/>
  <c r="S112" i="42"/>
  <c r="S117" i="42" s="1"/>
  <c r="S110" i="42"/>
  <c r="S115" i="42" s="1"/>
  <c r="S119" i="42" s="1"/>
  <c r="T158" i="42"/>
  <c r="U61" i="42"/>
  <c r="S186" i="42"/>
  <c r="S189" i="42" s="1"/>
  <c r="S160" i="42"/>
  <c r="Q211" i="39"/>
  <c r="R192" i="40"/>
  <c r="R194" i="40"/>
  <c r="R200" i="40" s="1"/>
  <c r="R172" i="41"/>
  <c r="R179" i="41" s="1"/>
  <c r="R163" i="41"/>
  <c r="R170" i="41" s="1"/>
  <c r="R192" i="43"/>
  <c r="R194" i="43"/>
  <c r="R200" i="43" s="1"/>
  <c r="P216" i="43"/>
  <c r="P222" i="43"/>
  <c r="P221" i="43"/>
  <c r="R193" i="41"/>
  <c r="R195" i="41"/>
  <c r="R201" i="41" s="1"/>
  <c r="T159" i="41"/>
  <c r="U62" i="41"/>
  <c r="R206" i="42"/>
  <c r="R120" i="42"/>
  <c r="S187" i="41"/>
  <c r="S190" i="41" s="1"/>
  <c r="S161" i="41"/>
  <c r="Q177" i="41"/>
  <c r="Q181" i="41"/>
  <c r="Q182" i="41" s="1"/>
  <c r="P223" i="43"/>
  <c r="P217" i="43"/>
  <c r="P210" i="41"/>
  <c r="R120" i="40"/>
  <c r="R206" i="40"/>
  <c r="P181" i="43"/>
  <c r="T112" i="43"/>
  <c r="T117" i="43" s="1"/>
  <c r="T110" i="43"/>
  <c r="T115" i="43" s="1"/>
  <c r="T119" i="43" s="1"/>
  <c r="P216" i="40"/>
  <c r="P222" i="40"/>
  <c r="P221" i="40"/>
  <c r="R171" i="42"/>
  <c r="R178" i="42" s="1"/>
  <c r="R162" i="42"/>
  <c r="R169" i="42" s="1"/>
  <c r="P181" i="40"/>
  <c r="R171" i="40"/>
  <c r="R178" i="40" s="1"/>
  <c r="R162" i="40"/>
  <c r="R169" i="40" s="1"/>
  <c r="S120" i="43"/>
  <c r="S206" i="43"/>
  <c r="P223" i="40"/>
  <c r="P217" i="40"/>
  <c r="R192" i="42"/>
  <c r="R194" i="42"/>
  <c r="R200" i="42" s="1"/>
  <c r="T111" i="41"/>
  <c r="T116" i="41" s="1"/>
  <c r="T120" i="41" s="1"/>
  <c r="T113" i="41"/>
  <c r="T118" i="41" s="1"/>
  <c r="T158" i="40"/>
  <c r="U61" i="40"/>
  <c r="Q180" i="40"/>
  <c r="Q181" i="40" s="1"/>
  <c r="Q176" i="40"/>
  <c r="S160" i="40"/>
  <c r="S186" i="40"/>
  <c r="S189" i="40" s="1"/>
  <c r="S186" i="43"/>
  <c r="S189" i="43" s="1"/>
  <c r="S160" i="43"/>
  <c r="R162" i="43"/>
  <c r="R169" i="43" s="1"/>
  <c r="R171" i="43"/>
  <c r="R178" i="43" s="1"/>
  <c r="P216" i="42"/>
  <c r="P221" i="42"/>
  <c r="P222" i="42"/>
  <c r="T158" i="43"/>
  <c r="U61" i="43"/>
  <c r="S207" i="41"/>
  <c r="Q176" i="42"/>
  <c r="Q180" i="42"/>
  <c r="Q209" i="42" s="1"/>
  <c r="Q176" i="43"/>
  <c r="Q180" i="43"/>
  <c r="Q209" i="43" s="1"/>
  <c r="Q203" i="42"/>
  <c r="Q210" i="42"/>
  <c r="Q217" i="42" s="1"/>
  <c r="S106" i="38"/>
  <c r="P221" i="39"/>
  <c r="P223" i="39"/>
  <c r="S160" i="39"/>
  <c r="S162" i="39" s="1"/>
  <c r="S169" i="39" s="1"/>
  <c r="R154" i="39"/>
  <c r="P216" i="39"/>
  <c r="R208" i="39"/>
  <c r="R215" i="39" s="1"/>
  <c r="T158" i="39"/>
  <c r="T186" i="39" s="1"/>
  <c r="T189" i="39" s="1"/>
  <c r="U61" i="39"/>
  <c r="S127" i="39"/>
  <c r="S132" i="39" s="1"/>
  <c r="S136" i="39" s="1"/>
  <c r="S129" i="39"/>
  <c r="S134" i="39" s="1"/>
  <c r="T93" i="39"/>
  <c r="T100" i="39" s="1"/>
  <c r="T91" i="39"/>
  <c r="T98" i="39" s="1"/>
  <c r="T141" i="39"/>
  <c r="T124" i="39"/>
  <c r="S192" i="39"/>
  <c r="S194" i="39"/>
  <c r="S200" i="39" s="1"/>
  <c r="S144" i="39"/>
  <c r="S149" i="39" s="1"/>
  <c r="S153" i="39" s="1"/>
  <c r="S146" i="39"/>
  <c r="S151" i="39" s="1"/>
  <c r="S102" i="39"/>
  <c r="S205" i="39" s="1"/>
  <c r="Q176" i="39"/>
  <c r="Q180" i="39"/>
  <c r="Q209" i="39" s="1"/>
  <c r="R205" i="39"/>
  <c r="R137" i="39"/>
  <c r="R207" i="39"/>
  <c r="R176" i="39"/>
  <c r="R180" i="39"/>
  <c r="Q215" i="39"/>
  <c r="U72" i="38"/>
  <c r="R157" i="38"/>
  <c r="R161" i="38" s="1"/>
  <c r="T106" i="38"/>
  <c r="T123" i="38"/>
  <c r="T127" i="38" s="1"/>
  <c r="S89" i="38"/>
  <c r="M18" i="3"/>
  <c r="M20" i="3"/>
  <c r="M21" i="3"/>
  <c r="M19" i="3"/>
  <c r="M17" i="3"/>
  <c r="J19" i="4"/>
  <c r="J17" i="4"/>
  <c r="J18" i="4"/>
  <c r="J20" i="4"/>
  <c r="J16" i="4"/>
  <c r="J30" i="4"/>
  <c r="J28" i="4"/>
  <c r="J29" i="4"/>
  <c r="J31" i="4"/>
  <c r="M31" i="3"/>
  <c r="M30" i="3"/>
  <c r="M32" i="3"/>
  <c r="M33" i="3"/>
  <c r="J27" i="4"/>
  <c r="M29" i="3"/>
  <c r="J8" i="4"/>
  <c r="J5" i="4"/>
  <c r="J7" i="4"/>
  <c r="M7" i="3"/>
  <c r="M5" i="3"/>
  <c r="M8" i="3"/>
  <c r="M6" i="3"/>
  <c r="J6" i="4"/>
  <c r="J9" i="4"/>
  <c r="M9" i="3"/>
  <c r="Q176" i="38" l="1"/>
  <c r="Q185" i="38"/>
  <c r="R176" i="38"/>
  <c r="R185" i="38"/>
  <c r="R142" i="38"/>
  <c r="P192" i="38"/>
  <c r="P177" i="38"/>
  <c r="T171" i="38"/>
  <c r="T174" i="38"/>
  <c r="T180" i="38" s="1"/>
  <c r="T183" i="38"/>
  <c r="T189" i="38" s="1"/>
  <c r="S150" i="38"/>
  <c r="S162" i="38" s="1"/>
  <c r="Q146" i="38"/>
  <c r="Q168" i="38" s="1"/>
  <c r="Q186" i="38" s="1"/>
  <c r="S157" i="38"/>
  <c r="S161" i="38" s="1"/>
  <c r="S159" i="38"/>
  <c r="Q210" i="40"/>
  <c r="Q203" i="40"/>
  <c r="Q203" i="43"/>
  <c r="Q210" i="43"/>
  <c r="R210" i="39"/>
  <c r="R203" i="39"/>
  <c r="R198" i="40"/>
  <c r="R202" i="40" s="1"/>
  <c r="R210" i="40" s="1"/>
  <c r="R209" i="39"/>
  <c r="R222" i="39" s="1"/>
  <c r="R198" i="42"/>
  <c r="R202" i="42" s="1"/>
  <c r="R198" i="43"/>
  <c r="R202" i="43" s="1"/>
  <c r="S198" i="39"/>
  <c r="S202" i="39" s="1"/>
  <c r="Q211" i="41"/>
  <c r="Q218" i="41" s="1"/>
  <c r="Q204" i="41"/>
  <c r="P224" i="41"/>
  <c r="R199" i="41"/>
  <c r="R203" i="41" s="1"/>
  <c r="S142" i="38"/>
  <c r="R95" i="38"/>
  <c r="R166" i="38" s="1"/>
  <c r="BB19" i="2" s="1"/>
  <c r="AV19" i="2" s="1"/>
  <c r="G17" i="77" s="1"/>
  <c r="S17" i="77" s="1"/>
  <c r="S22" i="77" s="1"/>
  <c r="R140" i="38"/>
  <c r="S110" i="38"/>
  <c r="T110" i="38"/>
  <c r="T112" i="38" s="1"/>
  <c r="T167" i="38" s="1"/>
  <c r="S93" i="38"/>
  <c r="U76" i="38"/>
  <c r="U78" i="38" s="1"/>
  <c r="U165" i="38" s="1"/>
  <c r="T110" i="39"/>
  <c r="T115" i="39" s="1"/>
  <c r="T119" i="39" s="1"/>
  <c r="S120" i="39"/>
  <c r="V86" i="39"/>
  <c r="U107" i="39"/>
  <c r="U110" i="39" s="1"/>
  <c r="U115" i="39" s="1"/>
  <c r="U119" i="39" s="1"/>
  <c r="Q210" i="41"/>
  <c r="Q217" i="41" s="1"/>
  <c r="S171" i="43"/>
  <c r="S178" i="43" s="1"/>
  <c r="S162" i="43"/>
  <c r="S169" i="43" s="1"/>
  <c r="S171" i="42"/>
  <c r="S178" i="42" s="1"/>
  <c r="S162" i="42"/>
  <c r="S169" i="42" s="1"/>
  <c r="S192" i="43"/>
  <c r="S194" i="43"/>
  <c r="S200" i="43" s="1"/>
  <c r="Q217" i="40"/>
  <c r="S192" i="42"/>
  <c r="S194" i="42"/>
  <c r="S200" i="42" s="1"/>
  <c r="S194" i="40"/>
  <c r="S200" i="40" s="1"/>
  <c r="S192" i="40"/>
  <c r="S172" i="41"/>
  <c r="S179" i="41" s="1"/>
  <c r="S163" i="41"/>
  <c r="S170" i="41" s="1"/>
  <c r="R210" i="43"/>
  <c r="R217" i="43" s="1"/>
  <c r="R203" i="43"/>
  <c r="Q181" i="43"/>
  <c r="V61" i="42"/>
  <c r="U158" i="42"/>
  <c r="U158" i="43"/>
  <c r="V61" i="43"/>
  <c r="S171" i="40"/>
  <c r="S178" i="40" s="1"/>
  <c r="S162" i="40"/>
  <c r="S169" i="40" s="1"/>
  <c r="S195" i="41"/>
  <c r="S201" i="41" s="1"/>
  <c r="S193" i="41"/>
  <c r="U110" i="43"/>
  <c r="U115" i="43" s="1"/>
  <c r="U119" i="43" s="1"/>
  <c r="U112" i="43"/>
  <c r="U117" i="43" s="1"/>
  <c r="Q216" i="43"/>
  <c r="Q222" i="43"/>
  <c r="Q221" i="43"/>
  <c r="T186" i="43"/>
  <c r="T189" i="43" s="1"/>
  <c r="T160" i="43"/>
  <c r="T186" i="42"/>
  <c r="T189" i="42" s="1"/>
  <c r="T160" i="42"/>
  <c r="T120" i="43"/>
  <c r="T206" i="43"/>
  <c r="R181" i="41"/>
  <c r="R210" i="41" s="1"/>
  <c r="R177" i="41"/>
  <c r="Q181" i="42"/>
  <c r="U111" i="41"/>
  <c r="U116" i="41" s="1"/>
  <c r="U120" i="41" s="1"/>
  <c r="U113" i="41"/>
  <c r="U118" i="41" s="1"/>
  <c r="S103" i="39"/>
  <c r="V61" i="40"/>
  <c r="U158" i="40"/>
  <c r="R176" i="40"/>
  <c r="R180" i="40"/>
  <c r="R209" i="40" s="1"/>
  <c r="T160" i="40"/>
  <c r="T186" i="40"/>
  <c r="T189" i="40" s="1"/>
  <c r="U159" i="41"/>
  <c r="V62" i="41"/>
  <c r="S206" i="42"/>
  <c r="S120" i="42"/>
  <c r="Q223" i="42"/>
  <c r="Q216" i="42"/>
  <c r="Q221" i="42"/>
  <c r="Q222" i="42"/>
  <c r="R176" i="43"/>
  <c r="R180" i="43"/>
  <c r="R209" i="43" s="1"/>
  <c r="T121" i="41"/>
  <c r="T207" i="41"/>
  <c r="T187" i="41"/>
  <c r="T190" i="41" s="1"/>
  <c r="T161" i="41"/>
  <c r="P217" i="41"/>
  <c r="P223" i="41"/>
  <c r="P222" i="41"/>
  <c r="Q223" i="43"/>
  <c r="Q217" i="43"/>
  <c r="T112" i="40"/>
  <c r="T117" i="40" s="1"/>
  <c r="T110" i="40"/>
  <c r="T115" i="40" s="1"/>
  <c r="T119" i="40" s="1"/>
  <c r="S206" i="40"/>
  <c r="S120" i="40"/>
  <c r="Q209" i="40"/>
  <c r="R180" i="42"/>
  <c r="R209" i="42" s="1"/>
  <c r="R176" i="42"/>
  <c r="T110" i="42"/>
  <c r="T115" i="42" s="1"/>
  <c r="T119" i="42" s="1"/>
  <c r="T112" i="42"/>
  <c r="T117" i="42" s="1"/>
  <c r="S171" i="39"/>
  <c r="S178" i="39" s="1"/>
  <c r="S180" i="39"/>
  <c r="U116" i="38"/>
  <c r="U99" i="38"/>
  <c r="T160" i="39"/>
  <c r="S208" i="39"/>
  <c r="S215" i="39" s="1"/>
  <c r="S154" i="39"/>
  <c r="U158" i="39"/>
  <c r="U186" i="39" s="1"/>
  <c r="U189" i="39" s="1"/>
  <c r="V61" i="39"/>
  <c r="U112" i="39"/>
  <c r="U117" i="39" s="1"/>
  <c r="Q216" i="39"/>
  <c r="Q221" i="39"/>
  <c r="T194" i="39"/>
  <c r="T200" i="39" s="1"/>
  <c r="T192" i="39"/>
  <c r="Q181" i="39"/>
  <c r="S214" i="39"/>
  <c r="S218" i="39" s="1"/>
  <c r="S211" i="39"/>
  <c r="T120" i="39"/>
  <c r="T206" i="39"/>
  <c r="U91" i="39"/>
  <c r="U98" i="39" s="1"/>
  <c r="U93" i="39"/>
  <c r="U100" i="39" s="1"/>
  <c r="U141" i="39"/>
  <c r="U124" i="39"/>
  <c r="Q222" i="39"/>
  <c r="T127" i="39"/>
  <c r="T132" i="39" s="1"/>
  <c r="T136" i="39" s="1"/>
  <c r="T129" i="39"/>
  <c r="T134" i="39" s="1"/>
  <c r="R211" i="39"/>
  <c r="R214" i="39"/>
  <c r="R218" i="39" s="1"/>
  <c r="T146" i="39"/>
  <c r="T151" i="39" s="1"/>
  <c r="T144" i="39"/>
  <c r="T149" i="39" s="1"/>
  <c r="T153" i="39" s="1"/>
  <c r="Q223" i="39"/>
  <c r="R217" i="39"/>
  <c r="T102" i="39"/>
  <c r="T205" i="39" s="1"/>
  <c r="R181" i="39"/>
  <c r="T150" i="38"/>
  <c r="S145" i="38"/>
  <c r="S207" i="39"/>
  <c r="S137" i="39"/>
  <c r="T89" i="38"/>
  <c r="V99" i="38"/>
  <c r="R221" i="39" l="1"/>
  <c r="R216" i="39"/>
  <c r="R223" i="39"/>
  <c r="T176" i="38"/>
  <c r="T185" i="38"/>
  <c r="Q177" i="38"/>
  <c r="U171" i="38"/>
  <c r="U174" i="38"/>
  <c r="U180" i="38" s="1"/>
  <c r="U183" i="38"/>
  <c r="U189" i="38" s="1"/>
  <c r="T133" i="38"/>
  <c r="Q192" i="38"/>
  <c r="R210" i="42"/>
  <c r="R217" i="42" s="1"/>
  <c r="R203" i="42"/>
  <c r="S210" i="39"/>
  <c r="S217" i="39" s="1"/>
  <c r="S203" i="39"/>
  <c r="S198" i="42"/>
  <c r="S202" i="42" s="1"/>
  <c r="S198" i="43"/>
  <c r="S202" i="43" s="1"/>
  <c r="R203" i="40"/>
  <c r="T198" i="39"/>
  <c r="T202" i="39" s="1"/>
  <c r="S198" i="40"/>
  <c r="S202" i="40" s="1"/>
  <c r="S203" i="40" s="1"/>
  <c r="R211" i="41"/>
  <c r="R218" i="41" s="1"/>
  <c r="R204" i="41"/>
  <c r="S199" i="41"/>
  <c r="S203" i="41" s="1"/>
  <c r="U133" i="38"/>
  <c r="T162" i="38"/>
  <c r="T159" i="38"/>
  <c r="R144" i="38"/>
  <c r="S112" i="38"/>
  <c r="S167" i="38" s="1"/>
  <c r="S95" i="38"/>
  <c r="S166" i="38" s="1"/>
  <c r="U111" i="38"/>
  <c r="S140" i="38"/>
  <c r="S144" i="38" s="1"/>
  <c r="S146" i="38" s="1"/>
  <c r="U125" i="38"/>
  <c r="U128" i="38"/>
  <c r="V101" i="38"/>
  <c r="V108" i="38" s="1"/>
  <c r="V111" i="38"/>
  <c r="U123" i="38"/>
  <c r="U127" i="38" s="1"/>
  <c r="U106" i="38"/>
  <c r="U101" i="38"/>
  <c r="U108" i="38" s="1"/>
  <c r="T93" i="38"/>
  <c r="W86" i="39"/>
  <c r="V107" i="39"/>
  <c r="V110" i="39" s="1"/>
  <c r="V115" i="39" s="1"/>
  <c r="V119" i="39" s="1"/>
  <c r="Q224" i="41"/>
  <c r="Q222" i="41"/>
  <c r="Q223" i="41"/>
  <c r="S176" i="39"/>
  <c r="T208" i="39"/>
  <c r="T215" i="39" s="1"/>
  <c r="R182" i="41"/>
  <c r="R181" i="40"/>
  <c r="T171" i="40"/>
  <c r="T178" i="40" s="1"/>
  <c r="T162" i="40"/>
  <c r="T169" i="40" s="1"/>
  <c r="U121" i="41"/>
  <c r="U207" i="41"/>
  <c r="V158" i="42"/>
  <c r="W61" i="42"/>
  <c r="R222" i="42"/>
  <c r="R221" i="42"/>
  <c r="R216" i="42"/>
  <c r="Q221" i="40"/>
  <c r="Q222" i="40"/>
  <c r="Q216" i="40"/>
  <c r="U206" i="43"/>
  <c r="U120" i="43"/>
  <c r="U112" i="42"/>
  <c r="U117" i="42" s="1"/>
  <c r="U110" i="42"/>
  <c r="U115" i="42" s="1"/>
  <c r="U119" i="42" s="1"/>
  <c r="R181" i="43"/>
  <c r="R223" i="41"/>
  <c r="R217" i="41"/>
  <c r="R222" i="41"/>
  <c r="U112" i="40"/>
  <c r="U117" i="40" s="1"/>
  <c r="U110" i="40"/>
  <c r="U115" i="40" s="1"/>
  <c r="U119" i="40" s="1"/>
  <c r="V111" i="41"/>
  <c r="V116" i="41" s="1"/>
  <c r="V120" i="41" s="1"/>
  <c r="V113" i="41"/>
  <c r="V118" i="41" s="1"/>
  <c r="T172" i="41"/>
  <c r="T179" i="41" s="1"/>
  <c r="T163" i="41"/>
  <c r="T170" i="41" s="1"/>
  <c r="S209" i="39"/>
  <c r="S216" i="39" s="1"/>
  <c r="T206" i="40"/>
  <c r="T120" i="40"/>
  <c r="T193" i="41"/>
  <c r="T195" i="41"/>
  <c r="T201" i="41" s="1"/>
  <c r="S181" i="41"/>
  <c r="S210" i="41" s="1"/>
  <c r="S177" i="41"/>
  <c r="S180" i="42"/>
  <c r="S209" i="42" s="1"/>
  <c r="S176" i="42"/>
  <c r="R216" i="40"/>
  <c r="R222" i="40"/>
  <c r="R221" i="40"/>
  <c r="T171" i="42"/>
  <c r="T178" i="42" s="1"/>
  <c r="T162" i="42"/>
  <c r="T169" i="42" s="1"/>
  <c r="V110" i="43"/>
  <c r="V115" i="43" s="1"/>
  <c r="V119" i="43" s="1"/>
  <c r="V112" i="43"/>
  <c r="V117" i="43" s="1"/>
  <c r="R217" i="40"/>
  <c r="R223" i="40"/>
  <c r="T194" i="42"/>
  <c r="T200" i="42" s="1"/>
  <c r="T192" i="42"/>
  <c r="S176" i="40"/>
  <c r="S180" i="40"/>
  <c r="S209" i="40" s="1"/>
  <c r="R181" i="42"/>
  <c r="V159" i="41"/>
  <c r="W62" i="41"/>
  <c r="U186" i="40"/>
  <c r="U189" i="40" s="1"/>
  <c r="U160" i="40"/>
  <c r="T162" i="43"/>
  <c r="T169" i="43" s="1"/>
  <c r="T171" i="43"/>
  <c r="T178" i="43" s="1"/>
  <c r="V158" i="43"/>
  <c r="W61" i="43"/>
  <c r="T206" i="42"/>
  <c r="T120" i="42"/>
  <c r="R223" i="43"/>
  <c r="R222" i="43"/>
  <c r="R216" i="43"/>
  <c r="R221" i="43"/>
  <c r="U187" i="41"/>
  <c r="U190" i="41" s="1"/>
  <c r="U161" i="41"/>
  <c r="V158" i="40"/>
  <c r="W61" i="40"/>
  <c r="T192" i="43"/>
  <c r="T194" i="43"/>
  <c r="T200" i="43" s="1"/>
  <c r="U186" i="43"/>
  <c r="U189" i="43" s="1"/>
  <c r="U160" i="43"/>
  <c r="T192" i="40"/>
  <c r="T194" i="40"/>
  <c r="T200" i="40" s="1"/>
  <c r="U186" i="42"/>
  <c r="U189" i="42" s="1"/>
  <c r="U160" i="42"/>
  <c r="Q223" i="40"/>
  <c r="S176" i="43"/>
  <c r="S180" i="43"/>
  <c r="S209" i="43" s="1"/>
  <c r="V116" i="38"/>
  <c r="U160" i="39"/>
  <c r="T214" i="39"/>
  <c r="T218" i="39" s="1"/>
  <c r="T211" i="39"/>
  <c r="V91" i="39"/>
  <c r="V98" i="39" s="1"/>
  <c r="V93" i="39"/>
  <c r="V100" i="39" s="1"/>
  <c r="V141" i="39"/>
  <c r="V124" i="39"/>
  <c r="U136" i="39"/>
  <c r="U102" i="39"/>
  <c r="U103" i="39" s="1"/>
  <c r="T137" i="39"/>
  <c r="T207" i="39"/>
  <c r="U120" i="39"/>
  <c r="U206" i="39"/>
  <c r="T157" i="38"/>
  <c r="T161" i="38" s="1"/>
  <c r="V158" i="39"/>
  <c r="V186" i="39" s="1"/>
  <c r="V189" i="39" s="1"/>
  <c r="W61" i="39"/>
  <c r="V72" i="38"/>
  <c r="T103" i="39"/>
  <c r="T162" i="39"/>
  <c r="T169" i="39" s="1"/>
  <c r="T171" i="39"/>
  <c r="T178" i="39" s="1"/>
  <c r="U194" i="39"/>
  <c r="U200" i="39" s="1"/>
  <c r="U192" i="39"/>
  <c r="T154" i="39"/>
  <c r="S181" i="39"/>
  <c r="U127" i="39"/>
  <c r="U132" i="39" s="1"/>
  <c r="U129" i="39"/>
  <c r="U134" i="39" s="1"/>
  <c r="U144" i="39"/>
  <c r="U149" i="39" s="1"/>
  <c r="U153" i="39" s="1"/>
  <c r="U146" i="39"/>
  <c r="U151" i="39" s="1"/>
  <c r="T203" i="39"/>
  <c r="T210" i="39"/>
  <c r="V106" i="38"/>
  <c r="U89" i="38"/>
  <c r="R223" i="42" l="1"/>
  <c r="S176" i="38"/>
  <c r="S185" i="38"/>
  <c r="U150" i="38"/>
  <c r="U162" i="38" s="1"/>
  <c r="T145" i="38"/>
  <c r="T142" i="38"/>
  <c r="R146" i="38"/>
  <c r="R168" i="38" s="1"/>
  <c r="U157" i="38"/>
  <c r="U161" i="38" s="1"/>
  <c r="S203" i="43"/>
  <c r="S210" i="43"/>
  <c r="S203" i="42"/>
  <c r="S210" i="42"/>
  <c r="S217" i="42" s="1"/>
  <c r="T198" i="40"/>
  <c r="T202" i="40" s="1"/>
  <c r="S210" i="40"/>
  <c r="U198" i="39"/>
  <c r="U202" i="39" s="1"/>
  <c r="T198" i="43"/>
  <c r="T202" i="43" s="1"/>
  <c r="T198" i="42"/>
  <c r="T202" i="42" s="1"/>
  <c r="T203" i="42" s="1"/>
  <c r="S204" i="41"/>
  <c r="S211" i="41"/>
  <c r="S218" i="41" s="1"/>
  <c r="R224" i="41"/>
  <c r="T199" i="41"/>
  <c r="T203" i="41" s="1"/>
  <c r="V133" i="38"/>
  <c r="U142" i="38"/>
  <c r="S168" i="38"/>
  <c r="S186" i="38" s="1"/>
  <c r="T95" i="38"/>
  <c r="T166" i="38" s="1"/>
  <c r="T140" i="38"/>
  <c r="V125" i="38"/>
  <c r="V128" i="38"/>
  <c r="V110" i="38"/>
  <c r="U110" i="38"/>
  <c r="U93" i="38"/>
  <c r="U95" i="38" s="1"/>
  <c r="U166" i="38" s="1"/>
  <c r="V76" i="38"/>
  <c r="V78" i="38" s="1"/>
  <c r="V165" i="38" s="1"/>
  <c r="V112" i="39"/>
  <c r="V117" i="39" s="1"/>
  <c r="V206" i="39" s="1"/>
  <c r="X86" i="39"/>
  <c r="W107" i="39"/>
  <c r="S182" i="41"/>
  <c r="S221" i="39"/>
  <c r="S222" i="39"/>
  <c r="S223" i="39"/>
  <c r="S181" i="42"/>
  <c r="S181" i="40"/>
  <c r="V123" i="38"/>
  <c r="V127" i="38" s="1"/>
  <c r="S216" i="43"/>
  <c r="S221" i="43"/>
  <c r="S222" i="43"/>
  <c r="X61" i="40"/>
  <c r="W158" i="40"/>
  <c r="W112" i="43"/>
  <c r="W117" i="43" s="1"/>
  <c r="W110" i="43"/>
  <c r="W115" i="43" s="1"/>
  <c r="W119" i="43" s="1"/>
  <c r="U163" i="41"/>
  <c r="U170" i="41" s="1"/>
  <c r="U172" i="41"/>
  <c r="U179" i="41" s="1"/>
  <c r="S216" i="40"/>
  <c r="S222" i="40"/>
  <c r="S221" i="40"/>
  <c r="U206" i="40"/>
  <c r="U120" i="40"/>
  <c r="S217" i="43"/>
  <c r="S223" i="43"/>
  <c r="W113" i="41"/>
  <c r="W118" i="41" s="1"/>
  <c r="W111" i="41"/>
  <c r="W116" i="41" s="1"/>
  <c r="W120" i="41" s="1"/>
  <c r="U195" i="41"/>
  <c r="U201" i="41" s="1"/>
  <c r="U193" i="41"/>
  <c r="T176" i="43"/>
  <c r="T180" i="43"/>
  <c r="T209" i="43" s="1"/>
  <c r="U171" i="42"/>
  <c r="U178" i="42" s="1"/>
  <c r="U162" i="42"/>
  <c r="U169" i="42" s="1"/>
  <c r="U162" i="40"/>
  <c r="U169" i="40" s="1"/>
  <c r="U171" i="40"/>
  <c r="U178" i="40" s="1"/>
  <c r="T210" i="42"/>
  <c r="S181" i="43"/>
  <c r="U192" i="40"/>
  <c r="U194" i="40"/>
  <c r="U200" i="40" s="1"/>
  <c r="W159" i="41"/>
  <c r="X62" i="41"/>
  <c r="W158" i="42"/>
  <c r="X61" i="42"/>
  <c r="U162" i="43"/>
  <c r="U169" i="43" s="1"/>
  <c r="U171" i="43"/>
  <c r="U178" i="43" s="1"/>
  <c r="V187" i="41"/>
  <c r="V190" i="41" s="1"/>
  <c r="V161" i="41"/>
  <c r="V120" i="43"/>
  <c r="V206" i="43"/>
  <c r="U120" i="42"/>
  <c r="U206" i="42"/>
  <c r="V186" i="42"/>
  <c r="V189" i="42" s="1"/>
  <c r="V160" i="42"/>
  <c r="U192" i="43"/>
  <c r="U194" i="43"/>
  <c r="U200" i="43" s="1"/>
  <c r="V110" i="42"/>
  <c r="V115" i="42" s="1"/>
  <c r="V119" i="42" s="1"/>
  <c r="V112" i="42"/>
  <c r="V117" i="42" s="1"/>
  <c r="S216" i="42"/>
  <c r="S221" i="42"/>
  <c r="S222" i="42"/>
  <c r="T181" i="41"/>
  <c r="T182" i="41" s="1"/>
  <c r="T177" i="41"/>
  <c r="V110" i="40"/>
  <c r="V115" i="40" s="1"/>
  <c r="V119" i="40" s="1"/>
  <c r="V112" i="40"/>
  <c r="V117" i="40" s="1"/>
  <c r="S222" i="41"/>
  <c r="S223" i="41"/>
  <c r="S217" i="41"/>
  <c r="V121" i="41"/>
  <c r="V207" i="41"/>
  <c r="T176" i="40"/>
  <c r="T180" i="40"/>
  <c r="T209" i="40" s="1"/>
  <c r="W158" i="43"/>
  <c r="X61" i="43"/>
  <c r="S223" i="40"/>
  <c r="S217" i="40"/>
  <c r="T176" i="42"/>
  <c r="T180" i="42"/>
  <c r="T209" i="42" s="1"/>
  <c r="U194" i="42"/>
  <c r="U200" i="42" s="1"/>
  <c r="U192" i="42"/>
  <c r="V186" i="40"/>
  <c r="V189" i="40" s="1"/>
  <c r="V160" i="40"/>
  <c r="V186" i="43"/>
  <c r="V189" i="43" s="1"/>
  <c r="V160" i="43"/>
  <c r="U205" i="39"/>
  <c r="U211" i="39" s="1"/>
  <c r="W72" i="38"/>
  <c r="W99" i="38"/>
  <c r="W116" i="38"/>
  <c r="V160" i="39"/>
  <c r="U154" i="39"/>
  <c r="U145" i="38"/>
  <c r="T217" i="39"/>
  <c r="W158" i="39"/>
  <c r="W186" i="39" s="1"/>
  <c r="W189" i="39" s="1"/>
  <c r="X61" i="39"/>
  <c r="V129" i="39"/>
  <c r="V134" i="39" s="1"/>
  <c r="V127" i="39"/>
  <c r="V132" i="39" s="1"/>
  <c r="V136" i="39" s="1"/>
  <c r="U171" i="39"/>
  <c r="U178" i="39" s="1"/>
  <c r="U162" i="39"/>
  <c r="U169" i="39" s="1"/>
  <c r="V194" i="39"/>
  <c r="V200" i="39" s="1"/>
  <c r="V192" i="39"/>
  <c r="V146" i="39"/>
  <c r="V151" i="39" s="1"/>
  <c r="V144" i="39"/>
  <c r="V149" i="39" s="1"/>
  <c r="V153" i="39" s="1"/>
  <c r="V102" i="39"/>
  <c r="V205" i="39" s="1"/>
  <c r="V120" i="39"/>
  <c r="T176" i="39"/>
  <c r="T180" i="39"/>
  <c r="T181" i="39" s="1"/>
  <c r="W91" i="39"/>
  <c r="W98" i="39" s="1"/>
  <c r="W93" i="39"/>
  <c r="W100" i="39" s="1"/>
  <c r="W141" i="39"/>
  <c r="W124" i="39"/>
  <c r="U208" i="39"/>
  <c r="U215" i="39" s="1"/>
  <c r="U207" i="39"/>
  <c r="U137" i="39"/>
  <c r="V89" i="38"/>
  <c r="R18" i="3"/>
  <c r="R186" i="38" l="1"/>
  <c r="BD19" i="2"/>
  <c r="AX19" i="2" s="1"/>
  <c r="I17" i="77" s="1"/>
  <c r="U17" i="77" s="1"/>
  <c r="U22" i="77" s="1"/>
  <c r="S223" i="42"/>
  <c r="S224" i="41"/>
  <c r="U159" i="38"/>
  <c r="V150" i="38"/>
  <c r="V171" i="38"/>
  <c r="V174" i="38"/>
  <c r="V180" i="38" s="1"/>
  <c r="V183" i="38"/>
  <c r="V189" i="38" s="1"/>
  <c r="S177" i="38"/>
  <c r="R192" i="38"/>
  <c r="R177" i="38"/>
  <c r="T210" i="43"/>
  <c r="T217" i="43" s="1"/>
  <c r="T203" i="43"/>
  <c r="T210" i="40"/>
  <c r="T203" i="40"/>
  <c r="U210" i="39"/>
  <c r="U203" i="39"/>
  <c r="V198" i="39"/>
  <c r="V202" i="39" s="1"/>
  <c r="U198" i="43"/>
  <c r="U202" i="43" s="1"/>
  <c r="U198" i="40"/>
  <c r="U202" i="40" s="1"/>
  <c r="U198" i="42"/>
  <c r="U202" i="42" s="1"/>
  <c r="T18" i="3"/>
  <c r="W18" i="3" s="1"/>
  <c r="T204" i="41"/>
  <c r="T211" i="41"/>
  <c r="T218" i="41" s="1"/>
  <c r="U199" i="41"/>
  <c r="U203" i="41" s="1"/>
  <c r="T144" i="38"/>
  <c r="V142" i="38"/>
  <c r="U112" i="38"/>
  <c r="U167" i="38" s="1"/>
  <c r="V112" i="38"/>
  <c r="V167" i="38" s="1"/>
  <c r="U140" i="38"/>
  <c r="U144" i="38" s="1"/>
  <c r="W125" i="38"/>
  <c r="W128" i="38"/>
  <c r="W101" i="38"/>
  <c r="W108" i="38" s="1"/>
  <c r="W111" i="38"/>
  <c r="V93" i="38"/>
  <c r="V95" i="38" s="1"/>
  <c r="V166" i="38" s="1"/>
  <c r="W76" i="38"/>
  <c r="W78" i="38" s="1"/>
  <c r="W165" i="38" s="1"/>
  <c r="BN19" i="2" s="1"/>
  <c r="R30" i="3"/>
  <c r="W106" i="38"/>
  <c r="W110" i="39"/>
  <c r="W115" i="39" s="1"/>
  <c r="W119" i="39" s="1"/>
  <c r="W112" i="39"/>
  <c r="W117" i="39" s="1"/>
  <c r="Y86" i="39"/>
  <c r="X107" i="39"/>
  <c r="X112" i="39" s="1"/>
  <c r="X117" i="39" s="1"/>
  <c r="U214" i="39"/>
  <c r="U218" i="39" s="1"/>
  <c r="W123" i="38"/>
  <c r="W127" i="38" s="1"/>
  <c r="V103" i="39"/>
  <c r="T181" i="40"/>
  <c r="V120" i="40"/>
  <c r="V206" i="40"/>
  <c r="U176" i="43"/>
  <c r="U180" i="43"/>
  <c r="U181" i="43" s="1"/>
  <c r="X158" i="42"/>
  <c r="Y61" i="42"/>
  <c r="V171" i="43"/>
  <c r="V178" i="43" s="1"/>
  <c r="V162" i="43"/>
  <c r="V169" i="43" s="1"/>
  <c r="X158" i="43"/>
  <c r="Y61" i="43"/>
  <c r="U181" i="41"/>
  <c r="U210" i="41" s="1"/>
  <c r="U177" i="41"/>
  <c r="W207" i="41"/>
  <c r="W121" i="41"/>
  <c r="W186" i="42"/>
  <c r="W189" i="42" s="1"/>
  <c r="W160" i="42"/>
  <c r="V194" i="40"/>
  <c r="V200" i="40" s="1"/>
  <c r="V192" i="40"/>
  <c r="V194" i="42"/>
  <c r="V200" i="42" s="1"/>
  <c r="V192" i="42"/>
  <c r="X159" i="41"/>
  <c r="Y62" i="41"/>
  <c r="U176" i="40"/>
  <c r="U180" i="40"/>
  <c r="U181" i="40" s="1"/>
  <c r="T217" i="40"/>
  <c r="T223" i="40"/>
  <c r="W187" i="41"/>
  <c r="W190" i="41" s="1"/>
  <c r="W161" i="41"/>
  <c r="X110" i="43"/>
  <c r="X115" i="43" s="1"/>
  <c r="X119" i="43" s="1"/>
  <c r="X112" i="43"/>
  <c r="X117" i="43" s="1"/>
  <c r="W110" i="42"/>
  <c r="W115" i="42" s="1"/>
  <c r="W119" i="42" s="1"/>
  <c r="W112" i="42"/>
  <c r="W117" i="42" s="1"/>
  <c r="W206" i="43"/>
  <c r="W120" i="43"/>
  <c r="W186" i="43"/>
  <c r="W189" i="43" s="1"/>
  <c r="W160" i="43"/>
  <c r="T223" i="42"/>
  <c r="T217" i="42"/>
  <c r="X113" i="41"/>
  <c r="X118" i="41" s="1"/>
  <c r="X111" i="41"/>
  <c r="X116" i="41" s="1"/>
  <c r="X120" i="41" s="1"/>
  <c r="W112" i="40"/>
  <c r="W117" i="40" s="1"/>
  <c r="W110" i="40"/>
  <c r="W115" i="40" s="1"/>
  <c r="W119" i="40" s="1"/>
  <c r="T181" i="42"/>
  <c r="W186" i="40"/>
  <c r="W189" i="40" s="1"/>
  <c r="W160" i="40"/>
  <c r="U176" i="42"/>
  <c r="U180" i="42"/>
  <c r="U181" i="42" s="1"/>
  <c r="X158" i="40"/>
  <c r="Y61" i="40"/>
  <c r="V162" i="42"/>
  <c r="V169" i="42" s="1"/>
  <c r="V171" i="42"/>
  <c r="V178" i="42" s="1"/>
  <c r="T222" i="42"/>
  <c r="T216" i="42"/>
  <c r="T221" i="42"/>
  <c r="V172" i="41"/>
  <c r="V179" i="41" s="1"/>
  <c r="V163" i="41"/>
  <c r="V170" i="41" s="1"/>
  <c r="T222" i="43"/>
  <c r="T216" i="43"/>
  <c r="T221" i="43"/>
  <c r="V192" i="43"/>
  <c r="V194" i="43"/>
  <c r="V200" i="43" s="1"/>
  <c r="V171" i="40"/>
  <c r="V178" i="40" s="1"/>
  <c r="V162" i="40"/>
  <c r="V169" i="40" s="1"/>
  <c r="V193" i="41"/>
  <c r="V195" i="41"/>
  <c r="V201" i="41" s="1"/>
  <c r="U210" i="40"/>
  <c r="U217" i="40" s="1"/>
  <c r="U203" i="40"/>
  <c r="T216" i="40"/>
  <c r="T222" i="40"/>
  <c r="T221" i="40"/>
  <c r="T210" i="41"/>
  <c r="V206" i="42"/>
  <c r="V120" i="42"/>
  <c r="T181" i="43"/>
  <c r="X99" i="38"/>
  <c r="S192" i="38"/>
  <c r="W160" i="39"/>
  <c r="W136" i="39"/>
  <c r="W102" i="39"/>
  <c r="W103" i="39" s="1"/>
  <c r="V137" i="39"/>
  <c r="V207" i="39"/>
  <c r="V214" i="39"/>
  <c r="V218" i="39" s="1"/>
  <c r="V211" i="39"/>
  <c r="X158" i="39"/>
  <c r="X186" i="39" s="1"/>
  <c r="X189" i="39" s="1"/>
  <c r="Y61" i="39"/>
  <c r="X93" i="39"/>
  <c r="X100" i="39" s="1"/>
  <c r="X91" i="39"/>
  <c r="X98" i="39" s="1"/>
  <c r="X141" i="39"/>
  <c r="X124" i="39"/>
  <c r="T209" i="39"/>
  <c r="W194" i="39"/>
  <c r="W200" i="39" s="1"/>
  <c r="W192" i="39"/>
  <c r="V145" i="38"/>
  <c r="V154" i="39"/>
  <c r="V208" i="39"/>
  <c r="V162" i="39"/>
  <c r="V169" i="39" s="1"/>
  <c r="V171" i="39"/>
  <c r="V178" i="39" s="1"/>
  <c r="X116" i="38"/>
  <c r="V210" i="39"/>
  <c r="V203" i="39"/>
  <c r="W127" i="39"/>
  <c r="W132" i="39" s="1"/>
  <c r="W129" i="39"/>
  <c r="W134" i="39" s="1"/>
  <c r="X72" i="38"/>
  <c r="W150" i="38"/>
  <c r="W144" i="39"/>
  <c r="W149" i="39" s="1"/>
  <c r="W153" i="39" s="1"/>
  <c r="W146" i="39"/>
  <c r="W151" i="39" s="1"/>
  <c r="U217" i="39"/>
  <c r="U176" i="39"/>
  <c r="U180" i="39"/>
  <c r="U181" i="39" s="1"/>
  <c r="W89" i="38"/>
  <c r="BH19" i="2" l="1"/>
  <c r="F17" i="3" s="1"/>
  <c r="S30" i="3"/>
  <c r="X110" i="39"/>
  <c r="X115" i="39" s="1"/>
  <c r="X119" i="39" s="1"/>
  <c r="T224" i="41"/>
  <c r="T223" i="43"/>
  <c r="V176" i="38"/>
  <c r="V185" i="38"/>
  <c r="U176" i="38"/>
  <c r="U185" i="38"/>
  <c r="W171" i="38"/>
  <c r="W174" i="38"/>
  <c r="W180" i="38" s="1"/>
  <c r="W183" i="38"/>
  <c r="W189" i="38" s="1"/>
  <c r="W133" i="38"/>
  <c r="T146" i="38"/>
  <c r="T168" i="38" s="1"/>
  <c r="T186" i="38" s="1"/>
  <c r="U146" i="38"/>
  <c r="U168" i="38" s="1"/>
  <c r="U186" i="38" s="1"/>
  <c r="V157" i="38"/>
  <c r="V161" i="38" s="1"/>
  <c r="U210" i="43"/>
  <c r="U217" i="43" s="1"/>
  <c r="U203" i="43"/>
  <c r="U203" i="42"/>
  <c r="U210" i="42"/>
  <c r="V162" i="38"/>
  <c r="V159" i="38"/>
  <c r="S18" i="3"/>
  <c r="V18" i="3" s="1"/>
  <c r="V198" i="42"/>
  <c r="V202" i="42" s="1"/>
  <c r="V203" i="42" s="1"/>
  <c r="W198" i="39"/>
  <c r="W202" i="39" s="1"/>
  <c r="V198" i="40"/>
  <c r="V202" i="40" s="1"/>
  <c r="V198" i="43"/>
  <c r="V202" i="43" s="1"/>
  <c r="U211" i="41"/>
  <c r="U204" i="41"/>
  <c r="V199" i="41"/>
  <c r="V203" i="41" s="1"/>
  <c r="V211" i="41" s="1"/>
  <c r="X133" i="38"/>
  <c r="W162" i="38"/>
  <c r="W159" i="38"/>
  <c r="X111" i="38"/>
  <c r="V140" i="38"/>
  <c r="V144" i="38" s="1"/>
  <c r="V146" i="38" s="1"/>
  <c r="X125" i="38"/>
  <c r="X128" i="38"/>
  <c r="X123" i="38"/>
  <c r="X127" i="38" s="1"/>
  <c r="W110" i="38"/>
  <c r="W112" i="38" s="1"/>
  <c r="W167" i="38" s="1"/>
  <c r="X106" i="38"/>
  <c r="X101" i="38"/>
  <c r="X108" i="38" s="1"/>
  <c r="W93" i="38"/>
  <c r="W95" i="38" s="1"/>
  <c r="W166" i="38" s="1"/>
  <c r="X76" i="38"/>
  <c r="X78" i="38" s="1"/>
  <c r="X165" i="38" s="1"/>
  <c r="W120" i="39"/>
  <c r="W206" i="39"/>
  <c r="Z86" i="39"/>
  <c r="Y107" i="39"/>
  <c r="Y112" i="39" s="1"/>
  <c r="Y117" i="39" s="1"/>
  <c r="U209" i="42"/>
  <c r="U222" i="42" s="1"/>
  <c r="U182" i="41"/>
  <c r="U209" i="43"/>
  <c r="U221" i="43" s="1"/>
  <c r="T217" i="41"/>
  <c r="T222" i="41"/>
  <c r="T223" i="41"/>
  <c r="V176" i="40"/>
  <c r="V180" i="40"/>
  <c r="V209" i="40" s="1"/>
  <c r="W194" i="43"/>
  <c r="W200" i="43" s="1"/>
  <c r="W192" i="43"/>
  <c r="W172" i="41"/>
  <c r="W179" i="41" s="1"/>
  <c r="W163" i="41"/>
  <c r="W171" i="42"/>
  <c r="W178" i="42" s="1"/>
  <c r="W162" i="42"/>
  <c r="X112" i="42"/>
  <c r="X117" i="42" s="1"/>
  <c r="X110" i="42"/>
  <c r="X115" i="42" s="1"/>
  <c r="X119" i="42" s="1"/>
  <c r="V176" i="42"/>
  <c r="V180" i="42"/>
  <c r="V209" i="42" s="1"/>
  <c r="W195" i="41"/>
  <c r="W201" i="41" s="1"/>
  <c r="W193" i="41"/>
  <c r="W194" i="42"/>
  <c r="W200" i="42" s="1"/>
  <c r="W192" i="42"/>
  <c r="Y158" i="42"/>
  <c r="Z61" i="42"/>
  <c r="X110" i="40"/>
  <c r="X115" i="40" s="1"/>
  <c r="X119" i="40" s="1"/>
  <c r="X112" i="40"/>
  <c r="X117" i="40" s="1"/>
  <c r="Y158" i="40"/>
  <c r="Z61" i="40"/>
  <c r="X186" i="40"/>
  <c r="X189" i="40" s="1"/>
  <c r="X160" i="40"/>
  <c r="U223" i="41"/>
  <c r="U222" i="41"/>
  <c r="U217" i="41"/>
  <c r="U224" i="41"/>
  <c r="U218" i="41"/>
  <c r="W120" i="42"/>
  <c r="W206" i="42"/>
  <c r="U217" i="42"/>
  <c r="Y159" i="41"/>
  <c r="Z62" i="41"/>
  <c r="X121" i="41"/>
  <c r="X207" i="41"/>
  <c r="X187" i="41"/>
  <c r="X190" i="41" s="1"/>
  <c r="X161" i="41"/>
  <c r="X186" i="42"/>
  <c r="X189" i="42" s="1"/>
  <c r="X160" i="42"/>
  <c r="Z61" i="43"/>
  <c r="Y158" i="43"/>
  <c r="V177" i="41"/>
  <c r="V181" i="41"/>
  <c r="V210" i="41" s="1"/>
  <c r="X206" i="43"/>
  <c r="X120" i="43"/>
  <c r="V210" i="42"/>
  <c r="X186" i="43"/>
  <c r="X189" i="43" s="1"/>
  <c r="X160" i="43"/>
  <c r="W171" i="40"/>
  <c r="W178" i="40" s="1"/>
  <c r="W162" i="40"/>
  <c r="W169" i="40" s="1"/>
  <c r="V176" i="43"/>
  <c r="V180" i="43"/>
  <c r="V181" i="43" s="1"/>
  <c r="W120" i="40"/>
  <c r="W206" i="40"/>
  <c r="Y110" i="43"/>
  <c r="Y115" i="43" s="1"/>
  <c r="Y119" i="43" s="1"/>
  <c r="Y112" i="43"/>
  <c r="Y117" i="43" s="1"/>
  <c r="Y111" i="41"/>
  <c r="Y116" i="41" s="1"/>
  <c r="Y120" i="41" s="1"/>
  <c r="Y113" i="41"/>
  <c r="Y118" i="41" s="1"/>
  <c r="W194" i="40"/>
  <c r="W200" i="40" s="1"/>
  <c r="W192" i="40"/>
  <c r="W162" i="43"/>
  <c r="W171" i="43"/>
  <c r="W178" i="43" s="1"/>
  <c r="U209" i="40"/>
  <c r="V210" i="40"/>
  <c r="V203" i="40"/>
  <c r="Y99" i="38"/>
  <c r="W205" i="39"/>
  <c r="Y72" i="38"/>
  <c r="Y116" i="38"/>
  <c r="X160" i="39"/>
  <c r="U209" i="39"/>
  <c r="U222" i="39" s="1"/>
  <c r="W157" i="38"/>
  <c r="W161" i="38" s="1"/>
  <c r="Z61" i="39"/>
  <c r="Y158" i="39"/>
  <c r="Y186" i="39" s="1"/>
  <c r="Y189" i="39" s="1"/>
  <c r="X192" i="39"/>
  <c r="X194" i="39"/>
  <c r="X200" i="39" s="1"/>
  <c r="Y93" i="39"/>
  <c r="Y100" i="39" s="1"/>
  <c r="Y91" i="39"/>
  <c r="Y98" i="39" s="1"/>
  <c r="Y141" i="39"/>
  <c r="Y124" i="39"/>
  <c r="X120" i="39"/>
  <c r="X206" i="39"/>
  <c r="W207" i="39"/>
  <c r="W137" i="39"/>
  <c r="V180" i="39"/>
  <c r="V209" i="39" s="1"/>
  <c r="V222" i="39" s="1"/>
  <c r="V176" i="39"/>
  <c r="T216" i="39"/>
  <c r="T221" i="39"/>
  <c r="T222" i="39"/>
  <c r="T223" i="39"/>
  <c r="V215" i="39"/>
  <c r="X129" i="39"/>
  <c r="X134" i="39" s="1"/>
  <c r="X127" i="39"/>
  <c r="X132" i="39" s="1"/>
  <c r="X136" i="39" s="1"/>
  <c r="W208" i="39"/>
  <c r="W154" i="39"/>
  <c r="V217" i="39"/>
  <c r="X144" i="39"/>
  <c r="X149" i="39" s="1"/>
  <c r="X153" i="39" s="1"/>
  <c r="X146" i="39"/>
  <c r="X151" i="39" s="1"/>
  <c r="Z116" i="38"/>
  <c r="W162" i="39"/>
  <c r="W171" i="39"/>
  <c r="W178" i="39" s="1"/>
  <c r="X102" i="39"/>
  <c r="X205" i="39" s="1"/>
  <c r="X89" i="38"/>
  <c r="BP19" i="2" l="1"/>
  <c r="BJ19" i="2" s="1"/>
  <c r="H17" i="3" s="1"/>
  <c r="BO19" i="2"/>
  <c r="BI19" i="2" s="1"/>
  <c r="G17" i="3" s="1"/>
  <c r="T29" i="3"/>
  <c r="R29" i="3"/>
  <c r="R34" i="3" s="1"/>
  <c r="W176" i="38"/>
  <c r="W185" i="38"/>
  <c r="X171" i="38"/>
  <c r="X174" i="38"/>
  <c r="X180" i="38" s="1"/>
  <c r="X183" i="38"/>
  <c r="X189" i="38" s="1"/>
  <c r="U177" i="38"/>
  <c r="T177" i="38"/>
  <c r="W145" i="38"/>
  <c r="W142" i="38"/>
  <c r="T192" i="38"/>
  <c r="V203" i="43"/>
  <c r="V210" i="43"/>
  <c r="W210" i="39"/>
  <c r="W203" i="39"/>
  <c r="W198" i="43"/>
  <c r="W202" i="43" s="1"/>
  <c r="W169" i="43"/>
  <c r="W169" i="42"/>
  <c r="W176" i="42" s="1"/>
  <c r="W198" i="40"/>
  <c r="W202" i="40" s="1"/>
  <c r="W198" i="42"/>
  <c r="W202" i="42" s="1"/>
  <c r="W169" i="39"/>
  <c r="X150" i="38"/>
  <c r="X198" i="39"/>
  <c r="X202" i="39" s="1"/>
  <c r="V204" i="41"/>
  <c r="W199" i="41"/>
  <c r="W203" i="41" s="1"/>
  <c r="W170" i="41"/>
  <c r="W181" i="41" s="1"/>
  <c r="W182" i="41" s="1"/>
  <c r="Y133" i="38"/>
  <c r="X142" i="38"/>
  <c r="Y111" i="38"/>
  <c r="Z125" i="38"/>
  <c r="Z128" i="38"/>
  <c r="Y125" i="38"/>
  <c r="Y128" i="38"/>
  <c r="Y123" i="38"/>
  <c r="Y127" i="38" s="1"/>
  <c r="X110" i="38"/>
  <c r="Y106" i="38"/>
  <c r="Y101" i="38"/>
  <c r="Y108" i="38" s="1"/>
  <c r="X93" i="38"/>
  <c r="Y76" i="38"/>
  <c r="Y78" i="38" s="1"/>
  <c r="Y165" i="38" s="1"/>
  <c r="V30" i="3"/>
  <c r="T30" i="3"/>
  <c r="W140" i="38"/>
  <c r="W144" i="38" s="1"/>
  <c r="Y110" i="39"/>
  <c r="Y115" i="39" s="1"/>
  <c r="Y119" i="39" s="1"/>
  <c r="AA86" i="39"/>
  <c r="Z107" i="39"/>
  <c r="Z110" i="39" s="1"/>
  <c r="Z115" i="39" s="1"/>
  <c r="Z119" i="39" s="1"/>
  <c r="U222" i="43"/>
  <c r="U223" i="43"/>
  <c r="U221" i="42"/>
  <c r="U216" i="43"/>
  <c r="U223" i="42"/>
  <c r="U216" i="42"/>
  <c r="W211" i="39"/>
  <c r="V181" i="40"/>
  <c r="V217" i="41"/>
  <c r="V222" i="41"/>
  <c r="V223" i="41"/>
  <c r="V224" i="41"/>
  <c r="V218" i="41"/>
  <c r="Y186" i="40"/>
  <c r="Y189" i="40" s="1"/>
  <c r="Y160" i="40"/>
  <c r="X171" i="42"/>
  <c r="X178" i="42" s="1"/>
  <c r="X162" i="42"/>
  <c r="X169" i="42" s="1"/>
  <c r="V216" i="42"/>
  <c r="V221" i="42"/>
  <c r="V222" i="42"/>
  <c r="W176" i="40"/>
  <c r="W180" i="40"/>
  <c r="W209" i="40" s="1"/>
  <c r="X194" i="42"/>
  <c r="X200" i="42" s="1"/>
  <c r="X192" i="42"/>
  <c r="X120" i="40"/>
  <c r="X206" i="40"/>
  <c r="Y207" i="41"/>
  <c r="Y121" i="41"/>
  <c r="Y110" i="40"/>
  <c r="Y115" i="40" s="1"/>
  <c r="Y119" i="40" s="1"/>
  <c r="Y112" i="40"/>
  <c r="Y117" i="40" s="1"/>
  <c r="X163" i="41"/>
  <c r="X170" i="41" s="1"/>
  <c r="X172" i="41"/>
  <c r="X179" i="41" s="1"/>
  <c r="X193" i="41"/>
  <c r="X195" i="41"/>
  <c r="X201" i="41" s="1"/>
  <c r="AA61" i="42"/>
  <c r="Z158" i="42"/>
  <c r="Y120" i="43"/>
  <c r="Y206" i="43"/>
  <c r="Y186" i="42"/>
  <c r="Y189" i="42" s="1"/>
  <c r="Y160" i="42"/>
  <c r="V217" i="43"/>
  <c r="Y110" i="42"/>
  <c r="Y115" i="42" s="1"/>
  <c r="Y119" i="42" s="1"/>
  <c r="Y112" i="42"/>
  <c r="Y117" i="42" s="1"/>
  <c r="X162" i="43"/>
  <c r="X169" i="43" s="1"/>
  <c r="X171" i="43"/>
  <c r="X178" i="43" s="1"/>
  <c r="V216" i="40"/>
  <c r="V222" i="40"/>
  <c r="V221" i="40"/>
  <c r="Z159" i="41"/>
  <c r="AA62" i="41"/>
  <c r="X171" i="40"/>
  <c r="X178" i="40" s="1"/>
  <c r="X162" i="40"/>
  <c r="X169" i="40" s="1"/>
  <c r="X120" i="42"/>
  <c r="X206" i="42"/>
  <c r="AA61" i="40"/>
  <c r="Z158" i="40"/>
  <c r="W214" i="39"/>
  <c r="W218" i="39" s="1"/>
  <c r="U223" i="40"/>
  <c r="U216" i="40"/>
  <c r="U222" i="40"/>
  <c r="U221" i="40"/>
  <c r="Y186" i="43"/>
  <c r="Y189" i="43" s="1"/>
  <c r="Y160" i="43"/>
  <c r="Y187" i="41"/>
  <c r="Y190" i="41" s="1"/>
  <c r="Y161" i="41"/>
  <c r="X194" i="40"/>
  <c r="X200" i="40" s="1"/>
  <c r="X192" i="40"/>
  <c r="Z111" i="41"/>
  <c r="Z116" i="41" s="1"/>
  <c r="Z120" i="41" s="1"/>
  <c r="Z113" i="41"/>
  <c r="Z118" i="41" s="1"/>
  <c r="Z110" i="43"/>
  <c r="Z115" i="43" s="1"/>
  <c r="Z119" i="43" s="1"/>
  <c r="Z112" i="43"/>
  <c r="Z117" i="43" s="1"/>
  <c r="V217" i="40"/>
  <c r="V223" i="40"/>
  <c r="X192" i="43"/>
  <c r="X194" i="43"/>
  <c r="X200" i="43" s="1"/>
  <c r="V181" i="42"/>
  <c r="V217" i="42"/>
  <c r="V223" i="42"/>
  <c r="Z158" i="43"/>
  <c r="AA61" i="43"/>
  <c r="V209" i="43"/>
  <c r="V223" i="43" s="1"/>
  <c r="W176" i="43"/>
  <c r="W180" i="43"/>
  <c r="W209" i="43" s="1"/>
  <c r="V182" i="41"/>
  <c r="U221" i="39"/>
  <c r="U216" i="39"/>
  <c r="U223" i="39"/>
  <c r="Z72" i="38"/>
  <c r="X145" i="38"/>
  <c r="Y160" i="39"/>
  <c r="Y171" i="39" s="1"/>
  <c r="Y178" i="39" s="1"/>
  <c r="X103" i="39"/>
  <c r="X203" i="39"/>
  <c r="X210" i="39"/>
  <c r="X137" i="39"/>
  <c r="X207" i="39"/>
  <c r="V216" i="39"/>
  <c r="V221" i="39"/>
  <c r="U192" i="38"/>
  <c r="Y192" i="39"/>
  <c r="Y194" i="39"/>
  <c r="Y200" i="39" s="1"/>
  <c r="W180" i="39"/>
  <c r="W209" i="39" s="1"/>
  <c r="W176" i="39"/>
  <c r="Z158" i="39"/>
  <c r="Z186" i="39" s="1"/>
  <c r="Z189" i="39" s="1"/>
  <c r="AA61" i="39"/>
  <c r="Z91" i="39"/>
  <c r="Z98" i="39" s="1"/>
  <c r="Z93" i="39"/>
  <c r="Z100" i="39" s="1"/>
  <c r="Z141" i="39"/>
  <c r="Z124" i="39"/>
  <c r="V168" i="38"/>
  <c r="V186" i="38" s="1"/>
  <c r="X211" i="39"/>
  <c r="X214" i="39"/>
  <c r="X218" i="39" s="1"/>
  <c r="Y206" i="39"/>
  <c r="Y120" i="39"/>
  <c r="Y129" i="39"/>
  <c r="Y134" i="39" s="1"/>
  <c r="Y127" i="39"/>
  <c r="Y132" i="39" s="1"/>
  <c r="Y144" i="39"/>
  <c r="Y149" i="39" s="1"/>
  <c r="Y153" i="39" s="1"/>
  <c r="Y146" i="39"/>
  <c r="Y151" i="39" s="1"/>
  <c r="X171" i="39"/>
  <c r="X178" i="39" s="1"/>
  <c r="X162" i="39"/>
  <c r="X169" i="39" s="1"/>
  <c r="Z99" i="38"/>
  <c r="Y136" i="39"/>
  <c r="Y102" i="39"/>
  <c r="Y103" i="39" s="1"/>
  <c r="V223" i="39"/>
  <c r="W217" i="39"/>
  <c r="X208" i="39"/>
  <c r="X154" i="39"/>
  <c r="V181" i="39"/>
  <c r="W215" i="39"/>
  <c r="AA116" i="38"/>
  <c r="AA99" i="38"/>
  <c r="AA72" i="38"/>
  <c r="Z123" i="38"/>
  <c r="Z127" i="38" s="1"/>
  <c r="Y89" i="38"/>
  <c r="T34" i="3" l="1"/>
  <c r="W180" i="42"/>
  <c r="W181" i="42" s="1"/>
  <c r="Z112" i="39"/>
  <c r="Z117" i="39" s="1"/>
  <c r="W30" i="3"/>
  <c r="Y171" i="38"/>
  <c r="Y174" i="38"/>
  <c r="Y180" i="38" s="1"/>
  <c r="Y183" i="38"/>
  <c r="Y189" i="38" s="1"/>
  <c r="V192" i="38"/>
  <c r="V177" i="38"/>
  <c r="W146" i="38"/>
  <c r="W168" i="38" s="1"/>
  <c r="BQ19" i="2" s="1"/>
  <c r="W203" i="40"/>
  <c r="W210" i="40"/>
  <c r="W203" i="43"/>
  <c r="W210" i="43"/>
  <c r="W210" i="42"/>
  <c r="W203" i="42"/>
  <c r="X162" i="38"/>
  <c r="X159" i="38"/>
  <c r="X157" i="38"/>
  <c r="X161" i="38" s="1"/>
  <c r="Y150" i="38"/>
  <c r="X198" i="42"/>
  <c r="X202" i="42" s="1"/>
  <c r="S17" i="3"/>
  <c r="X198" i="40"/>
  <c r="X202" i="40" s="1"/>
  <c r="X203" i="40" s="1"/>
  <c r="U18" i="3"/>
  <c r="T17" i="3"/>
  <c r="R17" i="3"/>
  <c r="Y198" i="39"/>
  <c r="Y202" i="39" s="1"/>
  <c r="Y210" i="39" s="1"/>
  <c r="Y217" i="39" s="1"/>
  <c r="S29" i="3"/>
  <c r="X198" i="43"/>
  <c r="X202" i="43" s="1"/>
  <c r="W204" i="41"/>
  <c r="W211" i="41"/>
  <c r="W218" i="41" s="1"/>
  <c r="W177" i="41"/>
  <c r="X199" i="41"/>
  <c r="X203" i="41" s="1"/>
  <c r="Y142" i="38"/>
  <c r="X112" i="38"/>
  <c r="X167" i="38" s="1"/>
  <c r="Z111" i="38"/>
  <c r="X95" i="38"/>
  <c r="X166" i="38" s="1"/>
  <c r="X140" i="38"/>
  <c r="X144" i="38" s="1"/>
  <c r="X146" i="38" s="1"/>
  <c r="AA125" i="38"/>
  <c r="AA128" i="38"/>
  <c r="AA101" i="38"/>
  <c r="AA108" i="38" s="1"/>
  <c r="AA111" i="38"/>
  <c r="Y110" i="38"/>
  <c r="Z106" i="38"/>
  <c r="Z101" i="38"/>
  <c r="Z108" i="38" s="1"/>
  <c r="Y93" i="38"/>
  <c r="AA76" i="38"/>
  <c r="AA78" i="38" s="1"/>
  <c r="AA165" i="38" s="1"/>
  <c r="Z76" i="38"/>
  <c r="Z78" i="38" s="1"/>
  <c r="Z165" i="38" s="1"/>
  <c r="AB86" i="39"/>
  <c r="AA107" i="39"/>
  <c r="AA112" i="39" s="1"/>
  <c r="AA117" i="39" s="1"/>
  <c r="W209" i="42"/>
  <c r="W210" i="41"/>
  <c r="W223" i="41" s="1"/>
  <c r="W181" i="43"/>
  <c r="W181" i="40"/>
  <c r="Z160" i="40"/>
  <c r="Z186" i="40"/>
  <c r="Z189" i="40" s="1"/>
  <c r="Y162" i="40"/>
  <c r="Y169" i="40" s="1"/>
  <c r="Y171" i="40"/>
  <c r="Y178" i="40" s="1"/>
  <c r="AB61" i="40"/>
  <c r="AA158" i="40"/>
  <c r="Y162" i="42"/>
  <c r="Y169" i="42" s="1"/>
  <c r="Y171" i="42"/>
  <c r="Y178" i="42" s="1"/>
  <c r="X181" i="41"/>
  <c r="X182" i="41" s="1"/>
  <c r="X177" i="41"/>
  <c r="Y192" i="40"/>
  <c r="Y194" i="40"/>
  <c r="Y200" i="40" s="1"/>
  <c r="Y206" i="40"/>
  <c r="Y120" i="40"/>
  <c r="Y195" i="41"/>
  <c r="Y201" i="41" s="1"/>
  <c r="Y193" i="41"/>
  <c r="X176" i="43"/>
  <c r="X180" i="43"/>
  <c r="X181" i="43" s="1"/>
  <c r="X210" i="43"/>
  <c r="X203" i="43"/>
  <c r="Y162" i="43"/>
  <c r="Y169" i="43" s="1"/>
  <c r="Y171" i="43"/>
  <c r="Y178" i="43" s="1"/>
  <c r="X176" i="42"/>
  <c r="X180" i="42"/>
  <c r="X181" i="42" s="1"/>
  <c r="Y194" i="42"/>
  <c r="Y200" i="42" s="1"/>
  <c r="Y192" i="42"/>
  <c r="Y194" i="43"/>
  <c r="Y200" i="43" s="1"/>
  <c r="Y192" i="43"/>
  <c r="W217" i="42"/>
  <c r="Z110" i="42"/>
  <c r="Z115" i="42" s="1"/>
  <c r="Z119" i="42" s="1"/>
  <c r="Z112" i="42"/>
  <c r="Z117" i="42" s="1"/>
  <c r="Z186" i="42"/>
  <c r="Z189" i="42" s="1"/>
  <c r="Z160" i="42"/>
  <c r="Y172" i="41"/>
  <c r="Y179" i="41" s="1"/>
  <c r="Y163" i="41"/>
  <c r="Y170" i="41" s="1"/>
  <c r="AA111" i="41"/>
  <c r="AA116" i="41" s="1"/>
  <c r="AA120" i="41" s="1"/>
  <c r="AA113" i="41"/>
  <c r="AA118" i="41" s="1"/>
  <c r="W216" i="43"/>
  <c r="W221" i="43"/>
  <c r="W222" i="43"/>
  <c r="X176" i="40"/>
  <c r="X180" i="40"/>
  <c r="X181" i="40" s="1"/>
  <c r="Z112" i="40"/>
  <c r="Z117" i="40" s="1"/>
  <c r="Z110" i="40"/>
  <c r="Z115" i="40" s="1"/>
  <c r="Z119" i="40" s="1"/>
  <c r="AA158" i="42"/>
  <c r="AB61" i="42"/>
  <c r="Y206" i="42"/>
  <c r="Y120" i="42"/>
  <c r="AA110" i="43"/>
  <c r="AA115" i="43" s="1"/>
  <c r="AA119" i="43" s="1"/>
  <c r="AA112" i="43"/>
  <c r="AA117" i="43" s="1"/>
  <c r="Y162" i="39"/>
  <c r="Y169" i="39" s="1"/>
  <c r="V216" i="43"/>
  <c r="V222" i="43"/>
  <c r="V221" i="43"/>
  <c r="Z206" i="43"/>
  <c r="Z120" i="43"/>
  <c r="AB61" i="43"/>
  <c r="AA158" i="43"/>
  <c r="AB62" i="41"/>
  <c r="AA159" i="41"/>
  <c r="W217" i="43"/>
  <c r="W223" i="43"/>
  <c r="W217" i="40"/>
  <c r="W223" i="40"/>
  <c r="Z186" i="43"/>
  <c r="Z189" i="43" s="1"/>
  <c r="Z160" i="43"/>
  <c r="Z207" i="41"/>
  <c r="Z121" i="41"/>
  <c r="Z187" i="41"/>
  <c r="Z190" i="41" s="1"/>
  <c r="Z161" i="41"/>
  <c r="W221" i="40"/>
  <c r="W222" i="40"/>
  <c r="W216" i="40"/>
  <c r="Z160" i="39"/>
  <c r="Y176" i="39"/>
  <c r="W181" i="39"/>
  <c r="W223" i="39"/>
  <c r="Z129" i="39"/>
  <c r="Z134" i="39" s="1"/>
  <c r="Z127" i="39"/>
  <c r="Z132" i="39" s="1"/>
  <c r="Z136" i="39" s="1"/>
  <c r="Y137" i="39"/>
  <c r="Y207" i="39"/>
  <c r="Z144" i="39"/>
  <c r="Z149" i="39" s="1"/>
  <c r="Z153" i="39" s="1"/>
  <c r="Z146" i="39"/>
  <c r="Z151" i="39" s="1"/>
  <c r="Z150" i="38"/>
  <c r="Z102" i="39"/>
  <c r="Z103" i="39" s="1"/>
  <c r="AB116" i="38"/>
  <c r="X215" i="39"/>
  <c r="AA93" i="39"/>
  <c r="AA100" i="39" s="1"/>
  <c r="AA91" i="39"/>
  <c r="AA98" i="39" s="1"/>
  <c r="AA141" i="39"/>
  <c r="AA124" i="39"/>
  <c r="AB61" i="39"/>
  <c r="AA158" i="39"/>
  <c r="AA186" i="39" s="1"/>
  <c r="AA189" i="39" s="1"/>
  <c r="Y205" i="39"/>
  <c r="Z194" i="39"/>
  <c r="Z200" i="39" s="1"/>
  <c r="Z192" i="39"/>
  <c r="X217" i="39"/>
  <c r="X180" i="39"/>
  <c r="X181" i="39" s="1"/>
  <c r="X176" i="39"/>
  <c r="W216" i="39"/>
  <c r="W221" i="39"/>
  <c r="Z120" i="39"/>
  <c r="Z206" i="39"/>
  <c r="Y203" i="39"/>
  <c r="Y145" i="38"/>
  <c r="Y208" i="39"/>
  <c r="Y154" i="39"/>
  <c r="W222" i="39"/>
  <c r="Z89" i="38"/>
  <c r="AA106" i="38"/>
  <c r="AA123" i="38"/>
  <c r="AA127" i="38" s="1"/>
  <c r="BK19" i="2" l="1"/>
  <c r="I17" i="3" s="1"/>
  <c r="W186" i="38"/>
  <c r="S34" i="3"/>
  <c r="V29" i="3"/>
  <c r="V34" i="3" s="1"/>
  <c r="S22" i="3"/>
  <c r="T22" i="3"/>
  <c r="R22" i="3"/>
  <c r="AA110" i="39"/>
  <c r="AA115" i="39" s="1"/>
  <c r="AA119" i="39" s="1"/>
  <c r="W223" i="42"/>
  <c r="X176" i="38"/>
  <c r="X185" i="38"/>
  <c r="W177" i="38"/>
  <c r="Z171" i="38"/>
  <c r="Z174" i="38"/>
  <c r="Z180" i="38" s="1"/>
  <c r="Z183" i="38"/>
  <c r="Z189" i="38" s="1"/>
  <c r="AA171" i="38"/>
  <c r="AA183" i="38"/>
  <c r="AA189" i="38" s="1"/>
  <c r="AA174" i="38"/>
  <c r="AA180" i="38" s="1"/>
  <c r="Z133" i="38"/>
  <c r="X210" i="42"/>
  <c r="X217" i="42" s="1"/>
  <c r="X203" i="42"/>
  <c r="Z198" i="39"/>
  <c r="Z202" i="39" s="1"/>
  <c r="X210" i="40"/>
  <c r="Y198" i="40"/>
  <c r="Y202" i="40" s="1"/>
  <c r="U29" i="3"/>
  <c r="Y202" i="43"/>
  <c r="Y198" i="43"/>
  <c r="Y162" i="38"/>
  <c r="Y159" i="38"/>
  <c r="Y157" i="38"/>
  <c r="Y161" i="38" s="1"/>
  <c r="Y198" i="42"/>
  <c r="Y202" i="42" s="1"/>
  <c r="W192" i="38"/>
  <c r="X204" i="41"/>
  <c r="X211" i="41"/>
  <c r="X218" i="41" s="1"/>
  <c r="Y199" i="41"/>
  <c r="Y203" i="41" s="1"/>
  <c r="AA133" i="38"/>
  <c r="Z162" i="38"/>
  <c r="Z159" i="38"/>
  <c r="Y112" i="38"/>
  <c r="Y167" i="38" s="1"/>
  <c r="Y95" i="38"/>
  <c r="Y166" i="38" s="1"/>
  <c r="X168" i="38"/>
  <c r="X186" i="38" s="1"/>
  <c r="Y140" i="38"/>
  <c r="AB125" i="38"/>
  <c r="AB128" i="38"/>
  <c r="Z110" i="38"/>
  <c r="Z112" i="38" s="1"/>
  <c r="Z167" i="38" s="1"/>
  <c r="AA110" i="38"/>
  <c r="AA112" i="38" s="1"/>
  <c r="AA167" i="38" s="1"/>
  <c r="Z93" i="38"/>
  <c r="U30" i="3"/>
  <c r="W222" i="42"/>
  <c r="W216" i="42"/>
  <c r="X209" i="40"/>
  <c r="X222" i="40" s="1"/>
  <c r="W224" i="41"/>
  <c r="W222" i="41"/>
  <c r="W217" i="41"/>
  <c r="AC86" i="39"/>
  <c r="AB107" i="39"/>
  <c r="AB104" i="39" s="1"/>
  <c r="X210" i="41"/>
  <c r="W221" i="42"/>
  <c r="X209" i="42"/>
  <c r="X221" i="42" s="1"/>
  <c r="Y180" i="39"/>
  <c r="Y181" i="39" s="1"/>
  <c r="X209" i="43"/>
  <c r="X223" i="43" s="1"/>
  <c r="Y176" i="43"/>
  <c r="Y180" i="43"/>
  <c r="Y209" i="43" s="1"/>
  <c r="X217" i="40"/>
  <c r="AB111" i="41"/>
  <c r="AB116" i="41" s="1"/>
  <c r="AB120" i="41" s="1"/>
  <c r="AB113" i="41"/>
  <c r="AB118" i="41" s="1"/>
  <c r="AB105" i="41"/>
  <c r="X217" i="43"/>
  <c r="Y176" i="40"/>
  <c r="Y180" i="40"/>
  <c r="Y209" i="40" s="1"/>
  <c r="Z163" i="41"/>
  <c r="Z170" i="41" s="1"/>
  <c r="Z172" i="41"/>
  <c r="Z179" i="41" s="1"/>
  <c r="AA207" i="41"/>
  <c r="AA121" i="41"/>
  <c r="Z195" i="41"/>
  <c r="Z201" i="41" s="1"/>
  <c r="Z193" i="41"/>
  <c r="Y203" i="43"/>
  <c r="Y210" i="43"/>
  <c r="AA187" i="41"/>
  <c r="AA190" i="41" s="1"/>
  <c r="AA161" i="41"/>
  <c r="AC61" i="42"/>
  <c r="AB158" i="42"/>
  <c r="AC62" i="41"/>
  <c r="AB159" i="41"/>
  <c r="AA186" i="42"/>
  <c r="AA189" i="42" s="1"/>
  <c r="AA160" i="42"/>
  <c r="AC61" i="40"/>
  <c r="AB158" i="40"/>
  <c r="Z171" i="43"/>
  <c r="Z178" i="43" s="1"/>
  <c r="Z162" i="43"/>
  <c r="Z169" i="43" s="1"/>
  <c r="AA186" i="43"/>
  <c r="AA189" i="43" s="1"/>
  <c r="AA160" i="43"/>
  <c r="Y177" i="41"/>
  <c r="Y181" i="41"/>
  <c r="Y210" i="41" s="1"/>
  <c r="Y203" i="42"/>
  <c r="Y210" i="42"/>
  <c r="AA110" i="42"/>
  <c r="AA115" i="42" s="1"/>
  <c r="AA119" i="42" s="1"/>
  <c r="AA112" i="42"/>
  <c r="AA117" i="42" s="1"/>
  <c r="AB110" i="43"/>
  <c r="AB115" i="43" s="1"/>
  <c r="AB119" i="43" s="1"/>
  <c r="AB112" i="43"/>
  <c r="AB117" i="43" s="1"/>
  <c r="AB104" i="43"/>
  <c r="Z194" i="43"/>
  <c r="Z200" i="43" s="1"/>
  <c r="Z192" i="43"/>
  <c r="AC61" i="43"/>
  <c r="AB158" i="43"/>
  <c r="Z120" i="40"/>
  <c r="Z206" i="40"/>
  <c r="Z162" i="42"/>
  <c r="Z169" i="42" s="1"/>
  <c r="Z171" i="42"/>
  <c r="Z178" i="42" s="1"/>
  <c r="AA206" i="43"/>
  <c r="AA120" i="43"/>
  <c r="Z192" i="42"/>
  <c r="Z194" i="42"/>
  <c r="Z200" i="42" s="1"/>
  <c r="Y176" i="42"/>
  <c r="Y180" i="42"/>
  <c r="Y209" i="42" s="1"/>
  <c r="Z192" i="40"/>
  <c r="Z194" i="40"/>
  <c r="Z200" i="40" s="1"/>
  <c r="Z206" i="42"/>
  <c r="Z120" i="42"/>
  <c r="AA110" i="40"/>
  <c r="AA115" i="40" s="1"/>
  <c r="AA119" i="40" s="1"/>
  <c r="AA112" i="40"/>
  <c r="AA117" i="40" s="1"/>
  <c r="AA186" i="40"/>
  <c r="AA189" i="40" s="1"/>
  <c r="AA160" i="40"/>
  <c r="Z162" i="40"/>
  <c r="Z169" i="40" s="1"/>
  <c r="Z171" i="40"/>
  <c r="Z178" i="40" s="1"/>
  <c r="AA160" i="39"/>
  <c r="Z205" i="39"/>
  <c r="Z214" i="39" s="1"/>
  <c r="Z218" i="39" s="1"/>
  <c r="X209" i="39"/>
  <c r="X216" i="39" s="1"/>
  <c r="Z162" i="39"/>
  <c r="Z169" i="39" s="1"/>
  <c r="Z171" i="39"/>
  <c r="Z178" i="39" s="1"/>
  <c r="AB91" i="39"/>
  <c r="AB98" i="39" s="1"/>
  <c r="AB93" i="39"/>
  <c r="AB100" i="39" s="1"/>
  <c r="AB141" i="39"/>
  <c r="AB124" i="39"/>
  <c r="Z157" i="38"/>
  <c r="Z161" i="38" s="1"/>
  <c r="Y211" i="39"/>
  <c r="Y214" i="39"/>
  <c r="Y218" i="39" s="1"/>
  <c r="Z154" i="39"/>
  <c r="Z208" i="39"/>
  <c r="AB99" i="38"/>
  <c r="AA194" i="39"/>
  <c r="AA200" i="39" s="1"/>
  <c r="AA192" i="39"/>
  <c r="Y215" i="39"/>
  <c r="AC61" i="39"/>
  <c r="AB158" i="39"/>
  <c r="AB160" i="39" s="1"/>
  <c r="AB72" i="38"/>
  <c r="AA129" i="39"/>
  <c r="AA134" i="39" s="1"/>
  <c r="AA127" i="39"/>
  <c r="AA132" i="39" s="1"/>
  <c r="AA136" i="39" s="1"/>
  <c r="AA144" i="39"/>
  <c r="AA149" i="39" s="1"/>
  <c r="AA153" i="39" s="1"/>
  <c r="AA146" i="39"/>
  <c r="AA151" i="39" s="1"/>
  <c r="Z137" i="39"/>
  <c r="Z207" i="39"/>
  <c r="AA102" i="39"/>
  <c r="AA205" i="39" s="1"/>
  <c r="AA206" i="39"/>
  <c r="AA120" i="39"/>
  <c r="AA89" i="38"/>
  <c r="AC72" i="38"/>
  <c r="AC116" i="38"/>
  <c r="AC99" i="38"/>
  <c r="AB123" i="38"/>
  <c r="AB127" i="38" s="1"/>
  <c r="AB113" i="38"/>
  <c r="AB110" i="39" l="1"/>
  <c r="AB115" i="39" s="1"/>
  <c r="AB119" i="39" s="1"/>
  <c r="AB112" i="39"/>
  <c r="AB117" i="39" s="1"/>
  <c r="Z176" i="38"/>
  <c r="Z185" i="38"/>
  <c r="AA176" i="38"/>
  <c r="AA185" i="38"/>
  <c r="Y176" i="38"/>
  <c r="Y185" i="38"/>
  <c r="X177" i="38"/>
  <c r="Z145" i="38"/>
  <c r="Z142" i="38"/>
  <c r="W29" i="3"/>
  <c r="W34" i="3" s="1"/>
  <c r="Y203" i="40"/>
  <c r="Y210" i="40"/>
  <c r="Z203" i="39"/>
  <c r="Z210" i="39"/>
  <c r="Z217" i="39" s="1"/>
  <c r="X223" i="40"/>
  <c r="Z202" i="43"/>
  <c r="Z198" i="43"/>
  <c r="U17" i="3"/>
  <c r="U22" i="3" s="1"/>
  <c r="AA150" i="38"/>
  <c r="AA198" i="39"/>
  <c r="AA202" i="39" s="1"/>
  <c r="U34" i="3"/>
  <c r="X221" i="40"/>
  <c r="Z198" i="42"/>
  <c r="Z202" i="42" s="1"/>
  <c r="Z198" i="40"/>
  <c r="Z202" i="40" s="1"/>
  <c r="Y204" i="41"/>
  <c r="Y211" i="41"/>
  <c r="Y218" i="41" s="1"/>
  <c r="Z199" i="41"/>
  <c r="Z203" i="41" s="1"/>
  <c r="X224" i="41"/>
  <c r="AB133" i="38"/>
  <c r="X192" i="38"/>
  <c r="Y144" i="38"/>
  <c r="AA142" i="38"/>
  <c r="Z95" i="38"/>
  <c r="Z166" i="38" s="1"/>
  <c r="AB111" i="38"/>
  <c r="Z140" i="38"/>
  <c r="Z144" i="38" s="1"/>
  <c r="AC125" i="38"/>
  <c r="AC128" i="38"/>
  <c r="AC101" i="38"/>
  <c r="AC108" i="38" s="1"/>
  <c r="AC111" i="38"/>
  <c r="AB96" i="38"/>
  <c r="AB101" i="38"/>
  <c r="AB108" i="38" s="1"/>
  <c r="AA93" i="38"/>
  <c r="AB76" i="38"/>
  <c r="AB78" i="38" s="1"/>
  <c r="AB165" i="38" s="1"/>
  <c r="CA19" i="2" s="1"/>
  <c r="BU19" i="2" s="1"/>
  <c r="F17" i="78" s="1"/>
  <c r="R17" i="78" s="1"/>
  <c r="R22" i="78" s="1"/>
  <c r="AC76" i="38"/>
  <c r="AC78" i="38" s="1"/>
  <c r="AC165" i="38" s="1"/>
  <c r="X216" i="40"/>
  <c r="X222" i="41"/>
  <c r="X223" i="41"/>
  <c r="X217" i="41"/>
  <c r="Y209" i="39"/>
  <c r="Y222" i="39" s="1"/>
  <c r="X223" i="42"/>
  <c r="AD86" i="39"/>
  <c r="AC107" i="39"/>
  <c r="AC110" i="39" s="1"/>
  <c r="AC115" i="39" s="1"/>
  <c r="AC119" i="39" s="1"/>
  <c r="X216" i="42"/>
  <c r="X222" i="42"/>
  <c r="X221" i="43"/>
  <c r="X222" i="43"/>
  <c r="X216" i="43"/>
  <c r="Y181" i="43"/>
  <c r="Y181" i="40"/>
  <c r="AB121" i="41"/>
  <c r="AA194" i="43"/>
  <c r="AA200" i="43" s="1"/>
  <c r="AA192" i="43"/>
  <c r="AB187" i="41"/>
  <c r="AB190" i="41" s="1"/>
  <c r="AB161" i="41"/>
  <c r="AC111" i="41"/>
  <c r="AC116" i="41" s="1"/>
  <c r="AC120" i="41" s="1"/>
  <c r="AC113" i="41"/>
  <c r="AC118" i="41" s="1"/>
  <c r="Z180" i="40"/>
  <c r="Z209" i="40" s="1"/>
  <c r="Z176" i="40"/>
  <c r="AB206" i="43"/>
  <c r="AB120" i="43"/>
  <c r="AC159" i="41"/>
  <c r="AD62" i="41"/>
  <c r="AB207" i="41"/>
  <c r="Y216" i="42"/>
  <c r="Y221" i="42"/>
  <c r="Y222" i="42"/>
  <c r="Z176" i="42"/>
  <c r="Z180" i="42"/>
  <c r="Z209" i="42" s="1"/>
  <c r="AB112" i="40"/>
  <c r="AB117" i="40" s="1"/>
  <c r="AB110" i="40"/>
  <c r="AB115" i="40" s="1"/>
  <c r="AB119" i="40" s="1"/>
  <c r="AB104" i="40"/>
  <c r="Z176" i="43"/>
  <c r="Z180" i="43"/>
  <c r="Z209" i="43" s="1"/>
  <c r="AB110" i="42"/>
  <c r="AB115" i="42" s="1"/>
  <c r="AB119" i="42" s="1"/>
  <c r="AB112" i="42"/>
  <c r="AB117" i="42" s="1"/>
  <c r="AB104" i="42"/>
  <c r="AA194" i="42"/>
  <c r="AA200" i="42" s="1"/>
  <c r="AA192" i="42"/>
  <c r="AA162" i="40"/>
  <c r="AA169" i="40" s="1"/>
  <c r="AA171" i="40"/>
  <c r="AA178" i="40" s="1"/>
  <c r="AA120" i="42"/>
  <c r="AA206" i="42"/>
  <c r="Z177" i="41"/>
  <c r="Z181" i="41"/>
  <c r="Z210" i="41" s="1"/>
  <c r="AA194" i="40"/>
  <c r="AA200" i="40" s="1"/>
  <c r="AA192" i="40"/>
  <c r="AB186" i="40"/>
  <c r="AB189" i="40" s="1"/>
  <c r="AB160" i="40"/>
  <c r="AB155" i="40" s="1"/>
  <c r="AB186" i="42"/>
  <c r="AB189" i="42" s="1"/>
  <c r="AB160" i="42"/>
  <c r="AB155" i="42" s="1"/>
  <c r="AA206" i="40"/>
  <c r="AA120" i="40"/>
  <c r="Z203" i="42"/>
  <c r="Z210" i="42"/>
  <c r="Y181" i="42"/>
  <c r="AC158" i="40"/>
  <c r="AD61" i="40"/>
  <c r="AC158" i="42"/>
  <c r="AD61" i="42"/>
  <c r="AB186" i="43"/>
  <c r="AB189" i="43" s="1"/>
  <c r="AB160" i="43"/>
  <c r="AB155" i="43" s="1"/>
  <c r="Y217" i="42"/>
  <c r="Y223" i="42"/>
  <c r="AA172" i="41"/>
  <c r="AA179" i="41" s="1"/>
  <c r="AA163" i="41"/>
  <c r="AA170" i="41" s="1"/>
  <c r="Y223" i="40"/>
  <c r="Y217" i="40"/>
  <c r="AC112" i="43"/>
  <c r="AC117" i="43" s="1"/>
  <c r="AC110" i="43"/>
  <c r="AC115" i="43" s="1"/>
  <c r="AC119" i="43" s="1"/>
  <c r="AD61" i="43"/>
  <c r="AC158" i="43"/>
  <c r="AA195" i="41"/>
  <c r="AA201" i="41" s="1"/>
  <c r="AA193" i="41"/>
  <c r="Y216" i="40"/>
  <c r="Y222" i="40"/>
  <c r="Y221" i="40"/>
  <c r="Y216" i="43"/>
  <c r="Y221" i="43"/>
  <c r="Y222" i="43"/>
  <c r="Y223" i="41"/>
  <c r="Y222" i="41"/>
  <c r="Y217" i="41"/>
  <c r="Y182" i="41"/>
  <c r="Y223" i="43"/>
  <c r="Y217" i="43"/>
  <c r="AA162" i="43"/>
  <c r="AA169" i="43" s="1"/>
  <c r="AA171" i="43"/>
  <c r="AA178" i="43" s="1"/>
  <c r="Z203" i="43"/>
  <c r="Z210" i="43"/>
  <c r="AA171" i="42"/>
  <c r="AA178" i="42" s="1"/>
  <c r="AA162" i="42"/>
  <c r="AA169" i="42" s="1"/>
  <c r="AB106" i="38"/>
  <c r="Z211" i="39"/>
  <c r="X222" i="39"/>
  <c r="X221" i="39"/>
  <c r="X223" i="39"/>
  <c r="AA211" i="39"/>
  <c r="AA214" i="39"/>
  <c r="AA218" i="39" s="1"/>
  <c r="AC112" i="39"/>
  <c r="AC117" i="39" s="1"/>
  <c r="AA103" i="39"/>
  <c r="AA207" i="39"/>
  <c r="AA137" i="39"/>
  <c r="Z215" i="39"/>
  <c r="Z180" i="39"/>
  <c r="Z181" i="39" s="1"/>
  <c r="Z176" i="39"/>
  <c r="AA162" i="39"/>
  <c r="AA169" i="39" s="1"/>
  <c r="AA171" i="39"/>
  <c r="AA178" i="39" s="1"/>
  <c r="AA145" i="38"/>
  <c r="AA208" i="39"/>
  <c r="AA154" i="39"/>
  <c r="AB186" i="39"/>
  <c r="AB189" i="39" s="1"/>
  <c r="AC158" i="39"/>
  <c r="AC186" i="39" s="1"/>
  <c r="AC189" i="39" s="1"/>
  <c r="AD61" i="39"/>
  <c r="AC93" i="39"/>
  <c r="AC100" i="39" s="1"/>
  <c r="AC91" i="39"/>
  <c r="AC98" i="39" s="1"/>
  <c r="AC141" i="39"/>
  <c r="AC124" i="39"/>
  <c r="AB129" i="39"/>
  <c r="AB134" i="39" s="1"/>
  <c r="AB121" i="39"/>
  <c r="AB127" i="39"/>
  <c r="AB132" i="39" s="1"/>
  <c r="AB136" i="39" s="1"/>
  <c r="AB144" i="39"/>
  <c r="AB149" i="39" s="1"/>
  <c r="AB153" i="39" s="1"/>
  <c r="AB146" i="39"/>
  <c r="AB151" i="39" s="1"/>
  <c r="AB138" i="39"/>
  <c r="AB206" i="39"/>
  <c r="AB120" i="39"/>
  <c r="AB102" i="39"/>
  <c r="AB205" i="39" s="1"/>
  <c r="AC106" i="38"/>
  <c r="AC123" i="38"/>
  <c r="AC127" i="38" s="1"/>
  <c r="AD99" i="38"/>
  <c r="AB89" i="38"/>
  <c r="AB79" i="38"/>
  <c r="Y221" i="39" l="1"/>
  <c r="Y224" i="41"/>
  <c r="Y223" i="39"/>
  <c r="R35" i="3"/>
  <c r="R37" i="3" s="1"/>
  <c r="R38" i="3" s="1"/>
  <c r="AC171" i="38"/>
  <c r="AC183" i="38"/>
  <c r="AC189" i="38" s="1"/>
  <c r="AC174" i="38"/>
  <c r="AC180" i="38" s="1"/>
  <c r="AB171" i="38"/>
  <c r="AB183" i="38"/>
  <c r="AB189" i="38" s="1"/>
  <c r="AB174" i="38"/>
  <c r="AB180" i="38" s="1"/>
  <c r="Y146" i="38"/>
  <c r="Y168" i="38" s="1"/>
  <c r="Y186" i="38" s="1"/>
  <c r="Z146" i="38"/>
  <c r="Z168" i="38" s="1"/>
  <c r="Z186" i="38" s="1"/>
  <c r="W35" i="3"/>
  <c r="W37" i="3" s="1"/>
  <c r="W38" i="3" s="1"/>
  <c r="Z203" i="40"/>
  <c r="Z210" i="40"/>
  <c r="Z217" i="40" s="1"/>
  <c r="AA210" i="39"/>
  <c r="AA217" i="39" s="1"/>
  <c r="AA203" i="39"/>
  <c r="U35" i="3"/>
  <c r="U37" i="3" s="1"/>
  <c r="U38" i="3" s="1"/>
  <c r="AB150" i="38"/>
  <c r="T35" i="3"/>
  <c r="T37" i="3" s="1"/>
  <c r="T38" i="3" s="1"/>
  <c r="AA198" i="40"/>
  <c r="AA202" i="40" s="1"/>
  <c r="AA198" i="43"/>
  <c r="AA202" i="43" s="1"/>
  <c r="AA162" i="38"/>
  <c r="AA157" i="38"/>
  <c r="AA161" i="38" s="1"/>
  <c r="AA159" i="38"/>
  <c r="V35" i="3"/>
  <c r="V37" i="3" s="1"/>
  <c r="V38" i="3" s="1"/>
  <c r="S35" i="3"/>
  <c r="S37" i="3" s="1"/>
  <c r="S38" i="3" s="1"/>
  <c r="AA202" i="42"/>
  <c r="AA210" i="42" s="1"/>
  <c r="AA198" i="42"/>
  <c r="Z211" i="41"/>
  <c r="Z224" i="41" s="1"/>
  <c r="Z204" i="41"/>
  <c r="AA199" i="41"/>
  <c r="AA203" i="41" s="1"/>
  <c r="AB142" i="38"/>
  <c r="AA95" i="38"/>
  <c r="AA166" i="38" s="1"/>
  <c r="AA140" i="38"/>
  <c r="AA144" i="38" s="1"/>
  <c r="AD101" i="38"/>
  <c r="AD108" i="38" s="1"/>
  <c r="AD111" i="38"/>
  <c r="AC110" i="38"/>
  <c r="AC112" i="38" s="1"/>
  <c r="AC167" i="38" s="1"/>
  <c r="AB110" i="38"/>
  <c r="AB112" i="38" s="1"/>
  <c r="AB167" i="38" s="1"/>
  <c r="CC19" i="2" s="1"/>
  <c r="BW19" i="2" s="1"/>
  <c r="H17" i="78" s="1"/>
  <c r="T17" i="78" s="1"/>
  <c r="T22" i="78" s="1"/>
  <c r="AB93" i="38"/>
  <c r="AB95" i="38" s="1"/>
  <c r="AB166" i="38" s="1"/>
  <c r="CB19" i="2" s="1"/>
  <c r="BV19" i="2" s="1"/>
  <c r="G17" i="78" s="1"/>
  <c r="S17" i="78" s="1"/>
  <c r="S22" i="78" s="1"/>
  <c r="Y216" i="39"/>
  <c r="AE86" i="39"/>
  <c r="AD107" i="39"/>
  <c r="AD110" i="39" s="1"/>
  <c r="AD115" i="39" s="1"/>
  <c r="AD119" i="39" s="1"/>
  <c r="Z181" i="43"/>
  <c r="AC110" i="42"/>
  <c r="AC115" i="42" s="1"/>
  <c r="AC119" i="42" s="1"/>
  <c r="AC112" i="42"/>
  <c r="AC117" i="42" s="1"/>
  <c r="AB171" i="43"/>
  <c r="AB178" i="43" s="1"/>
  <c r="AB162" i="43"/>
  <c r="AB169" i="43" s="1"/>
  <c r="Z182" i="41"/>
  <c r="Z221" i="42"/>
  <c r="Z216" i="42"/>
  <c r="Z222" i="42"/>
  <c r="AB192" i="43"/>
  <c r="AB194" i="43"/>
  <c r="AB200" i="43" s="1"/>
  <c r="AB182" i="43"/>
  <c r="Z217" i="41"/>
  <c r="Z222" i="41"/>
  <c r="Z223" i="41"/>
  <c r="AA176" i="43"/>
  <c r="AA180" i="43"/>
  <c r="AA181" i="43" s="1"/>
  <c r="Z216" i="40"/>
  <c r="Z221" i="40"/>
  <c r="Z222" i="40"/>
  <c r="AD158" i="42"/>
  <c r="AE61" i="42"/>
  <c r="AC207" i="41"/>
  <c r="AC121" i="41"/>
  <c r="AC186" i="42"/>
  <c r="AC189" i="42" s="1"/>
  <c r="AC160" i="42"/>
  <c r="AB162" i="42"/>
  <c r="AB169" i="42" s="1"/>
  <c r="AB171" i="42"/>
  <c r="AB178" i="42" s="1"/>
  <c r="AB206" i="42"/>
  <c r="AB120" i="42"/>
  <c r="AD111" i="41"/>
  <c r="AD116" i="41" s="1"/>
  <c r="AD120" i="41" s="1"/>
  <c r="AD113" i="41"/>
  <c r="AD118" i="41" s="1"/>
  <c r="AA177" i="41"/>
  <c r="AA181" i="41"/>
  <c r="AA210" i="41" s="1"/>
  <c r="AD158" i="40"/>
  <c r="AE61" i="40"/>
  <c r="AB192" i="42"/>
  <c r="AB194" i="42"/>
  <c r="AB200" i="42" s="1"/>
  <c r="AB182" i="42"/>
  <c r="AB156" i="41"/>
  <c r="AB163" i="41"/>
  <c r="AB170" i="41" s="1"/>
  <c r="AB172" i="41"/>
  <c r="AB179" i="41" s="1"/>
  <c r="AC186" i="40"/>
  <c r="AC189" i="40" s="1"/>
  <c r="AC160" i="40"/>
  <c r="AA180" i="40"/>
  <c r="AA209" i="40" s="1"/>
  <c r="AA176" i="40"/>
  <c r="Z216" i="43"/>
  <c r="Z221" i="43"/>
  <c r="Z222" i="43"/>
  <c r="Z181" i="40"/>
  <c r="AB195" i="41"/>
  <c r="AB201" i="41" s="1"/>
  <c r="AB183" i="41"/>
  <c r="AB193" i="41"/>
  <c r="AC186" i="43"/>
  <c r="AC189" i="43" s="1"/>
  <c r="AC160" i="43"/>
  <c r="AB171" i="40"/>
  <c r="AB178" i="40" s="1"/>
  <c r="AB162" i="40"/>
  <c r="AB169" i="40" s="1"/>
  <c r="AA180" i="42"/>
  <c r="AA209" i="42" s="1"/>
  <c r="AA176" i="42"/>
  <c r="AD158" i="43"/>
  <c r="AE61" i="43"/>
  <c r="Z217" i="42"/>
  <c r="Z223" i="42"/>
  <c r="AB192" i="40"/>
  <c r="AB182" i="40"/>
  <c r="AB194" i="40"/>
  <c r="AB200" i="40" s="1"/>
  <c r="Z181" i="42"/>
  <c r="AD159" i="41"/>
  <c r="AE62" i="41"/>
  <c r="AA210" i="43"/>
  <c r="AA203" i="43"/>
  <c r="AC187" i="41"/>
  <c r="AC190" i="41" s="1"/>
  <c r="AC161" i="41"/>
  <c r="AD110" i="43"/>
  <c r="AD115" i="43" s="1"/>
  <c r="AD119" i="43" s="1"/>
  <c r="AD112" i="43"/>
  <c r="AD117" i="43" s="1"/>
  <c r="AC206" i="43"/>
  <c r="AC120" i="43"/>
  <c r="Z217" i="43"/>
  <c r="Z223" i="43"/>
  <c r="AC112" i="40"/>
  <c r="AC117" i="40" s="1"/>
  <c r="AC110" i="40"/>
  <c r="AC115" i="40" s="1"/>
  <c r="AC119" i="40" s="1"/>
  <c r="AB206" i="40"/>
  <c r="AB120" i="40"/>
  <c r="AD72" i="38"/>
  <c r="AD116" i="38"/>
  <c r="AC160" i="39"/>
  <c r="AB130" i="38"/>
  <c r="AB145" i="38"/>
  <c r="AB208" i="39"/>
  <c r="AB215" i="39" s="1"/>
  <c r="Z209" i="39"/>
  <c r="Z216" i="39" s="1"/>
  <c r="AB103" i="39"/>
  <c r="AB211" i="39"/>
  <c r="AB214" i="39"/>
  <c r="AB218" i="39" s="1"/>
  <c r="AC129" i="39"/>
  <c r="AC134" i="39" s="1"/>
  <c r="AC127" i="39"/>
  <c r="AC132" i="39" s="1"/>
  <c r="AC136" i="39" s="1"/>
  <c r="AC144" i="39"/>
  <c r="AC149" i="39" s="1"/>
  <c r="AC153" i="39" s="1"/>
  <c r="AC146" i="39"/>
  <c r="AC151" i="39" s="1"/>
  <c r="AA215" i="39"/>
  <c r="AC102" i="39"/>
  <c r="AC205" i="39" s="1"/>
  <c r="AD158" i="39"/>
  <c r="AD186" i="39" s="1"/>
  <c r="AD189" i="39" s="1"/>
  <c r="AE61" i="39"/>
  <c r="AE72" i="38"/>
  <c r="AB154" i="39"/>
  <c r="AB171" i="39"/>
  <c r="AB178" i="39" s="1"/>
  <c r="AB162" i="39"/>
  <c r="AB169" i="39" s="1"/>
  <c r="AC194" i="39"/>
  <c r="AC200" i="39" s="1"/>
  <c r="AC192" i="39"/>
  <c r="AD91" i="39"/>
  <c r="AD98" i="39" s="1"/>
  <c r="AD93" i="39"/>
  <c r="AD100" i="39" s="1"/>
  <c r="AD141" i="39"/>
  <c r="AD124" i="39"/>
  <c r="AC206" i="39"/>
  <c r="AC120" i="39"/>
  <c r="AC150" i="38"/>
  <c r="AB207" i="39"/>
  <c r="AB137" i="39"/>
  <c r="AB155" i="39"/>
  <c r="AA180" i="39"/>
  <c r="AA209" i="39" s="1"/>
  <c r="AA222" i="39" s="1"/>
  <c r="AA176" i="39"/>
  <c r="AB182" i="39"/>
  <c r="AB194" i="39"/>
  <c r="AB200" i="39" s="1"/>
  <c r="AB192" i="39"/>
  <c r="AD106" i="38"/>
  <c r="AC89" i="38"/>
  <c r="AD112" i="39" l="1"/>
  <c r="AD117" i="39" s="1"/>
  <c r="Z223" i="40"/>
  <c r="Z218" i="41"/>
  <c r="AB176" i="38"/>
  <c r="AB185" i="38"/>
  <c r="AC176" i="38"/>
  <c r="AC185" i="38"/>
  <c r="T39" i="3"/>
  <c r="T40" i="3" s="1"/>
  <c r="Z177" i="38"/>
  <c r="Y177" i="38"/>
  <c r="AA146" i="38"/>
  <c r="AA168" i="38" s="1"/>
  <c r="AA186" i="38" s="1"/>
  <c r="AC133" i="38"/>
  <c r="AC145" i="38" s="1"/>
  <c r="S39" i="3"/>
  <c r="S40" i="3" s="1"/>
  <c r="R39" i="3"/>
  <c r="W39" i="3"/>
  <c r="W40" i="3" s="1"/>
  <c r="Y192" i="38"/>
  <c r="AA210" i="40"/>
  <c r="AA217" i="40" s="1"/>
  <c r="AA203" i="40"/>
  <c r="AA203" i="42"/>
  <c r="U39" i="3"/>
  <c r="V39" i="3"/>
  <c r="V40" i="3" s="1"/>
  <c r="AC198" i="39"/>
  <c r="AC202" i="39" s="1"/>
  <c r="AB198" i="40"/>
  <c r="AB202" i="40" s="1"/>
  <c r="AB147" i="38"/>
  <c r="AB162" i="38"/>
  <c r="AB159" i="38"/>
  <c r="AB157" i="38"/>
  <c r="AB161" i="38" s="1"/>
  <c r="AB198" i="42"/>
  <c r="AB202" i="42" s="1"/>
  <c r="AB198" i="39"/>
  <c r="AB202" i="39" s="1"/>
  <c r="AB198" i="43"/>
  <c r="AB202" i="43" s="1"/>
  <c r="AA204" i="41"/>
  <c r="AA211" i="41"/>
  <c r="AA218" i="41" s="1"/>
  <c r="AB199" i="41"/>
  <c r="AB203" i="41" s="1"/>
  <c r="AC162" i="38"/>
  <c r="AC159" i="38"/>
  <c r="AB140" i="38"/>
  <c r="AB144" i="38" s="1"/>
  <c r="AB146" i="38" s="1"/>
  <c r="AD125" i="38"/>
  <c r="AD128" i="38"/>
  <c r="AD110" i="38"/>
  <c r="AD112" i="38" s="1"/>
  <c r="AD167" i="38" s="1"/>
  <c r="AD123" i="38"/>
  <c r="AD127" i="38" s="1"/>
  <c r="AC93" i="38"/>
  <c r="AE76" i="38"/>
  <c r="AE78" i="38" s="1"/>
  <c r="AE165" i="38" s="1"/>
  <c r="AD76" i="38"/>
  <c r="AD78" i="38" s="1"/>
  <c r="AD165" i="38" s="1"/>
  <c r="AF86" i="39"/>
  <c r="AE107" i="39"/>
  <c r="AE110" i="39" s="1"/>
  <c r="AE115" i="39" s="1"/>
  <c r="AE119" i="39" s="1"/>
  <c r="AA181" i="40"/>
  <c r="AA209" i="43"/>
  <c r="AA222" i="43" s="1"/>
  <c r="AA182" i="41"/>
  <c r="AE111" i="41"/>
  <c r="AE116" i="41" s="1"/>
  <c r="AE120" i="41" s="1"/>
  <c r="AE113" i="41"/>
  <c r="AE118" i="41" s="1"/>
  <c r="AD112" i="42"/>
  <c r="AD117" i="42" s="1"/>
  <c r="AD110" i="42"/>
  <c r="AD115" i="42" s="1"/>
  <c r="AD119" i="42" s="1"/>
  <c r="AC192" i="42"/>
  <c r="AC194" i="42"/>
  <c r="AC200" i="42" s="1"/>
  <c r="AC163" i="41"/>
  <c r="AC170" i="41" s="1"/>
  <c r="AC172" i="41"/>
  <c r="AC179" i="41" s="1"/>
  <c r="AE158" i="43"/>
  <c r="AF61" i="43"/>
  <c r="AD186" i="40"/>
  <c r="AD189" i="40" s="1"/>
  <c r="AD160" i="40"/>
  <c r="AE158" i="40"/>
  <c r="AF61" i="40"/>
  <c r="AC195" i="41"/>
  <c r="AC201" i="41" s="1"/>
  <c r="AC193" i="41"/>
  <c r="AD186" i="43"/>
  <c r="AD189" i="43" s="1"/>
  <c r="AD160" i="43"/>
  <c r="AA224" i="41"/>
  <c r="AA217" i="41"/>
  <c r="AA222" i="41"/>
  <c r="AA223" i="41"/>
  <c r="AF61" i="42"/>
  <c r="AE158" i="42"/>
  <c r="AA217" i="43"/>
  <c r="AA216" i="42"/>
  <c r="AA222" i="42"/>
  <c r="AA221" i="42"/>
  <c r="AD121" i="41"/>
  <c r="AD207" i="41"/>
  <c r="AD186" i="42"/>
  <c r="AD189" i="42" s="1"/>
  <c r="AD160" i="42"/>
  <c r="AA217" i="42"/>
  <c r="AA223" i="42"/>
  <c r="AB203" i="43"/>
  <c r="AB210" i="43"/>
  <c r="AD187" i="41"/>
  <c r="AD190" i="41" s="1"/>
  <c r="AD161" i="41"/>
  <c r="AB176" i="40"/>
  <c r="AB180" i="40"/>
  <c r="AB181" i="40" s="1"/>
  <c r="AB176" i="43"/>
  <c r="AB180" i="43"/>
  <c r="AB209" i="43" s="1"/>
  <c r="AB181" i="41"/>
  <c r="AB210" i="41" s="1"/>
  <c r="AB177" i="41"/>
  <c r="AE110" i="43"/>
  <c r="AE115" i="43" s="1"/>
  <c r="AE119" i="43" s="1"/>
  <c r="AE112" i="43"/>
  <c r="AE117" i="43" s="1"/>
  <c r="AA181" i="42"/>
  <c r="AF62" i="41"/>
  <c r="AE159" i="41"/>
  <c r="AD120" i="43"/>
  <c r="AD206" i="43"/>
  <c r="AC171" i="43"/>
  <c r="AC178" i="43" s="1"/>
  <c r="AC162" i="43"/>
  <c r="AC169" i="43" s="1"/>
  <c r="AA216" i="40"/>
  <c r="AA222" i="40"/>
  <c r="AA221" i="40"/>
  <c r="AC192" i="43"/>
  <c r="AC194" i="43"/>
  <c r="AC200" i="43" s="1"/>
  <c r="AC162" i="40"/>
  <c r="AC169" i="40" s="1"/>
  <c r="AC171" i="40"/>
  <c r="AC178" i="40" s="1"/>
  <c r="AB203" i="42"/>
  <c r="AB210" i="42"/>
  <c r="AB176" i="42"/>
  <c r="AB180" i="42"/>
  <c r="AB181" i="42" s="1"/>
  <c r="AC120" i="42"/>
  <c r="AC206" i="42"/>
  <c r="AC120" i="40"/>
  <c r="AC206" i="40"/>
  <c r="AD112" i="40"/>
  <c r="AD117" i="40" s="1"/>
  <c r="AD110" i="40"/>
  <c r="AD115" i="40" s="1"/>
  <c r="AD119" i="40" s="1"/>
  <c r="AC192" i="40"/>
  <c r="AC194" i="40"/>
  <c r="AC200" i="40" s="1"/>
  <c r="AC171" i="42"/>
  <c r="AC178" i="42" s="1"/>
  <c r="AC162" i="42"/>
  <c r="AC169" i="42" s="1"/>
  <c r="Z221" i="39"/>
  <c r="AC208" i="39"/>
  <c r="AC215" i="39" s="1"/>
  <c r="AD160" i="39"/>
  <c r="AA223" i="39"/>
  <c r="AA181" i="39"/>
  <c r="Z222" i="39"/>
  <c r="Z223" i="39"/>
  <c r="AC211" i="39"/>
  <c r="AC214" i="39"/>
  <c r="AC218" i="39" s="1"/>
  <c r="AC157" i="38"/>
  <c r="AC161" i="38" s="1"/>
  <c r="AD194" i="39"/>
  <c r="AD200" i="39" s="1"/>
  <c r="AD192" i="39"/>
  <c r="AC162" i="39"/>
  <c r="AC169" i="39" s="1"/>
  <c r="AC171" i="39"/>
  <c r="AC178" i="39" s="1"/>
  <c r="AD102" i="39"/>
  <c r="AD205" i="39" s="1"/>
  <c r="AD150" i="38"/>
  <c r="AD206" i="39"/>
  <c r="AD120" i="39"/>
  <c r="AE93" i="39"/>
  <c r="AE100" i="39" s="1"/>
  <c r="AE91" i="39"/>
  <c r="AE98" i="39" s="1"/>
  <c r="AE141" i="39"/>
  <c r="AE124" i="39"/>
  <c r="AF72" i="38"/>
  <c r="AC154" i="39"/>
  <c r="AA216" i="39"/>
  <c r="AA221" i="39"/>
  <c r="AC103" i="39"/>
  <c r="AE99" i="38"/>
  <c r="Z192" i="38"/>
  <c r="AB176" i="39"/>
  <c r="AB180" i="39"/>
  <c r="AB209" i="39" s="1"/>
  <c r="AC207" i="39"/>
  <c r="AC137" i="39"/>
  <c r="AE116" i="38"/>
  <c r="AE112" i="39"/>
  <c r="AE117" i="39" s="1"/>
  <c r="AD129" i="39"/>
  <c r="AD134" i="39" s="1"/>
  <c r="AD127" i="39"/>
  <c r="AD132" i="39" s="1"/>
  <c r="AD136" i="39" s="1"/>
  <c r="AB210" i="39"/>
  <c r="AB203" i="39"/>
  <c r="AD146" i="39"/>
  <c r="AD151" i="39" s="1"/>
  <c r="AD144" i="39"/>
  <c r="AD149" i="39" s="1"/>
  <c r="AD153" i="39" s="1"/>
  <c r="AE158" i="39"/>
  <c r="AE186" i="39" s="1"/>
  <c r="AE189" i="39" s="1"/>
  <c r="AF61" i="39"/>
  <c r="AD89" i="38"/>
  <c r="AA223" i="40" l="1"/>
  <c r="AD176" i="38"/>
  <c r="AD185" i="38"/>
  <c r="R40" i="3"/>
  <c r="AA177" i="38"/>
  <c r="AD171" i="38"/>
  <c r="AD183" i="38"/>
  <c r="AD189" i="38" s="1"/>
  <c r="AD174" i="38"/>
  <c r="AD180" i="38" s="1"/>
  <c r="AE171" i="38"/>
  <c r="AE183" i="38"/>
  <c r="AE189" i="38" s="1"/>
  <c r="AE174" i="38"/>
  <c r="AE180" i="38" s="1"/>
  <c r="U40" i="3"/>
  <c r="AD133" i="38"/>
  <c r="AC142" i="38"/>
  <c r="AC210" i="39"/>
  <c r="AC217" i="39" s="1"/>
  <c r="AC203" i="39"/>
  <c r="AB203" i="40"/>
  <c r="AB210" i="40"/>
  <c r="AB217" i="40" s="1"/>
  <c r="AC198" i="40"/>
  <c r="AC202" i="40" s="1"/>
  <c r="AC198" i="42"/>
  <c r="AC202" i="42" s="1"/>
  <c r="AC198" i="43"/>
  <c r="AC202" i="43" s="1"/>
  <c r="AD198" i="39"/>
  <c r="AD202" i="39" s="1"/>
  <c r="AD210" i="39" s="1"/>
  <c r="AB211" i="41"/>
  <c r="AB218" i="41" s="1"/>
  <c r="AB204" i="41"/>
  <c r="AC199" i="41"/>
  <c r="AC203" i="41" s="1"/>
  <c r="AD162" i="38"/>
  <c r="AD159" i="38"/>
  <c r="AE111" i="38"/>
  <c r="AC95" i="38"/>
  <c r="AC166" i="38" s="1"/>
  <c r="AC140" i="38"/>
  <c r="AC144" i="38" s="1"/>
  <c r="AE125" i="38"/>
  <c r="AE128" i="38"/>
  <c r="AE123" i="38"/>
  <c r="AE127" i="38" s="1"/>
  <c r="AE101" i="38"/>
  <c r="AE108" i="38" s="1"/>
  <c r="AD93" i="38"/>
  <c r="AD95" i="38" s="1"/>
  <c r="AD166" i="38" s="1"/>
  <c r="AF76" i="38"/>
  <c r="AF78" i="38" s="1"/>
  <c r="AF165" i="38" s="1"/>
  <c r="AG86" i="39"/>
  <c r="AG107" i="39" s="1"/>
  <c r="AF107" i="39"/>
  <c r="AF112" i="39" s="1"/>
  <c r="AF117" i="39" s="1"/>
  <c r="AA223" i="43"/>
  <c r="AA221" i="43"/>
  <c r="AA216" i="43"/>
  <c r="AB181" i="43"/>
  <c r="AB182" i="41"/>
  <c r="AE207" i="41"/>
  <c r="AB209" i="40"/>
  <c r="AB223" i="40" s="1"/>
  <c r="AF113" i="41"/>
  <c r="AF118" i="41" s="1"/>
  <c r="AF111" i="41"/>
  <c r="AF116" i="41" s="1"/>
  <c r="AF120" i="41" s="1"/>
  <c r="AG62" i="41"/>
  <c r="AG159" i="41" s="1"/>
  <c r="AF159" i="41"/>
  <c r="AB216" i="43"/>
  <c r="AB221" i="43"/>
  <c r="AB222" i="43"/>
  <c r="AE186" i="43"/>
  <c r="AE189" i="43" s="1"/>
  <c r="AE160" i="43"/>
  <c r="AD171" i="43"/>
  <c r="AD178" i="43" s="1"/>
  <c r="AD162" i="43"/>
  <c r="AD169" i="43" s="1"/>
  <c r="AC177" i="41"/>
  <c r="AC181" i="41"/>
  <c r="AC182" i="41" s="1"/>
  <c r="AE186" i="42"/>
  <c r="AE189" i="42" s="1"/>
  <c r="AE160" i="42"/>
  <c r="AD192" i="43"/>
  <c r="AD194" i="43"/>
  <c r="AD200" i="43" s="1"/>
  <c r="AC176" i="42"/>
  <c r="AC180" i="42"/>
  <c r="AC181" i="42" s="1"/>
  <c r="AB209" i="42"/>
  <c r="AB223" i="42" s="1"/>
  <c r="AF158" i="42"/>
  <c r="AG61" i="42"/>
  <c r="AG158" i="42" s="1"/>
  <c r="AB217" i="42"/>
  <c r="AC180" i="43"/>
  <c r="AC209" i="43" s="1"/>
  <c r="AC176" i="43"/>
  <c r="AD171" i="42"/>
  <c r="AD178" i="42" s="1"/>
  <c r="AD162" i="42"/>
  <c r="AD169" i="42" s="1"/>
  <c r="AB217" i="41"/>
  <c r="AB222" i="41"/>
  <c r="AB223" i="41"/>
  <c r="AE112" i="42"/>
  <c r="AE117" i="42" s="1"/>
  <c r="AE110" i="42"/>
  <c r="AE115" i="42" s="1"/>
  <c r="AE119" i="42" s="1"/>
  <c r="AD192" i="42"/>
  <c r="AD194" i="42"/>
  <c r="AD200" i="42" s="1"/>
  <c r="AE110" i="40"/>
  <c r="AE115" i="40" s="1"/>
  <c r="AE119" i="40" s="1"/>
  <c r="AE112" i="40"/>
  <c r="AE117" i="40" s="1"/>
  <c r="AG61" i="40"/>
  <c r="AG158" i="40" s="1"/>
  <c r="AF158" i="40"/>
  <c r="AD120" i="42"/>
  <c r="AD206" i="42"/>
  <c r="AD120" i="40"/>
  <c r="AD206" i="40"/>
  <c r="AE206" i="43"/>
  <c r="AE120" i="43"/>
  <c r="AD172" i="41"/>
  <c r="AD179" i="41" s="1"/>
  <c r="AD163" i="41"/>
  <c r="AD170" i="41" s="1"/>
  <c r="AE160" i="40"/>
  <c r="AE186" i="40"/>
  <c r="AE189" i="40" s="1"/>
  <c r="AE121" i="41"/>
  <c r="AD171" i="40"/>
  <c r="AD178" i="40" s="1"/>
  <c r="AD162" i="40"/>
  <c r="AD169" i="40" s="1"/>
  <c r="AC176" i="40"/>
  <c r="AC180" i="40"/>
  <c r="AC209" i="40" s="1"/>
  <c r="AD195" i="41"/>
  <c r="AD201" i="41" s="1"/>
  <c r="AD193" i="41"/>
  <c r="AF110" i="43"/>
  <c r="AF115" i="43" s="1"/>
  <c r="AF119" i="43" s="1"/>
  <c r="AF112" i="43"/>
  <c r="AF117" i="43" s="1"/>
  <c r="AB223" i="43"/>
  <c r="AB217" i="43"/>
  <c r="AD192" i="40"/>
  <c r="AD194" i="40"/>
  <c r="AD200" i="40" s="1"/>
  <c r="AE187" i="41"/>
  <c r="AE190" i="41" s="1"/>
  <c r="AE161" i="41"/>
  <c r="AF158" i="43"/>
  <c r="AG61" i="43"/>
  <c r="AG158" i="43" s="1"/>
  <c r="AE106" i="38"/>
  <c r="AF99" i="38"/>
  <c r="AF116" i="38"/>
  <c r="AA192" i="38"/>
  <c r="AD103" i="39"/>
  <c r="AB168" i="38"/>
  <c r="AE160" i="39"/>
  <c r="AB181" i="39"/>
  <c r="AD208" i="39"/>
  <c r="AD215" i="39" s="1"/>
  <c r="AE102" i="39"/>
  <c r="AE205" i="39" s="1"/>
  <c r="AB216" i="39"/>
  <c r="AB221" i="39"/>
  <c r="AB222" i="39"/>
  <c r="AC176" i="39"/>
  <c r="AC180" i="39"/>
  <c r="AC181" i="39" s="1"/>
  <c r="AB217" i="39"/>
  <c r="AB223" i="39"/>
  <c r="AD203" i="39"/>
  <c r="AD137" i="39"/>
  <c r="AD207" i="39"/>
  <c r="AD214" i="39"/>
  <c r="AD218" i="39" s="1"/>
  <c r="AD211" i="39"/>
  <c r="AF91" i="39"/>
  <c r="AF98" i="39" s="1"/>
  <c r="AF93" i="39"/>
  <c r="AF100" i="39" s="1"/>
  <c r="AF141" i="39"/>
  <c r="AF124" i="39"/>
  <c r="AF158" i="39"/>
  <c r="AF186" i="39" s="1"/>
  <c r="AF189" i="39" s="1"/>
  <c r="AG61" i="39"/>
  <c r="AG158" i="39" s="1"/>
  <c r="AG186" i="39" s="1"/>
  <c r="AG189" i="39" s="1"/>
  <c r="AG124" i="39"/>
  <c r="AD154" i="39"/>
  <c r="AD171" i="39"/>
  <c r="AD178" i="39" s="1"/>
  <c r="AD162" i="39"/>
  <c r="AD169" i="39" s="1"/>
  <c r="AD157" i="38"/>
  <c r="AD161" i="38" s="1"/>
  <c r="AE192" i="39"/>
  <c r="AE194" i="39"/>
  <c r="AE200" i="39" s="1"/>
  <c r="AE127" i="39"/>
  <c r="AE132" i="39" s="1"/>
  <c r="AE136" i="39" s="1"/>
  <c r="AE129" i="39"/>
  <c r="AE134" i="39" s="1"/>
  <c r="AE120" i="39"/>
  <c r="AE206" i="39"/>
  <c r="AE144" i="39"/>
  <c r="AE149" i="39" s="1"/>
  <c r="AE153" i="39" s="1"/>
  <c r="AE146" i="39"/>
  <c r="AE151" i="39" s="1"/>
  <c r="AE89" i="38"/>
  <c r="AB186" i="38" l="1"/>
  <c r="CD19" i="2"/>
  <c r="BX19" i="2" s="1"/>
  <c r="I17" i="78" s="1"/>
  <c r="U17" i="78" s="1"/>
  <c r="U22" i="78" s="1"/>
  <c r="AB224" i="41"/>
  <c r="AC146" i="38"/>
  <c r="AC168" i="38" s="1"/>
  <c r="AC186" i="38" s="1"/>
  <c r="AF171" i="38"/>
  <c r="AF183" i="38"/>
  <c r="AF189" i="38" s="1"/>
  <c r="AF174" i="38"/>
  <c r="AF180" i="38" s="1"/>
  <c r="AB192" i="38"/>
  <c r="AB177" i="38"/>
  <c r="AD145" i="38"/>
  <c r="AD142" i="38"/>
  <c r="AC210" i="43"/>
  <c r="AC217" i="43" s="1"/>
  <c r="AC203" i="43"/>
  <c r="AC210" i="40"/>
  <c r="AC223" i="40" s="1"/>
  <c r="AC203" i="40"/>
  <c r="AC203" i="42"/>
  <c r="AC210" i="42"/>
  <c r="AE150" i="38"/>
  <c r="AD198" i="40"/>
  <c r="AD202" i="40" s="1"/>
  <c r="AE202" i="39"/>
  <c r="AE203" i="39" s="1"/>
  <c r="AE198" i="39"/>
  <c r="AD198" i="43"/>
  <c r="AD202" i="43" s="1"/>
  <c r="AD198" i="42"/>
  <c r="AD202" i="42" s="1"/>
  <c r="AC204" i="41"/>
  <c r="AC211" i="41"/>
  <c r="AC218" i="41" s="1"/>
  <c r="AD199" i="41"/>
  <c r="AD203" i="41" s="1"/>
  <c r="AG150" i="38"/>
  <c r="AG133" i="38"/>
  <c r="AF111" i="38"/>
  <c r="AE133" i="38"/>
  <c r="AD140" i="38"/>
  <c r="AD144" i="38" s="1"/>
  <c r="AF125" i="38"/>
  <c r="AF128" i="38"/>
  <c r="AE110" i="38"/>
  <c r="AF123" i="38"/>
  <c r="AF127" i="38" s="1"/>
  <c r="AF101" i="38"/>
  <c r="AF108" i="38" s="1"/>
  <c r="AE93" i="38"/>
  <c r="AE95" i="38" s="1"/>
  <c r="AE166" i="38" s="1"/>
  <c r="AF110" i="39"/>
  <c r="AF115" i="39" s="1"/>
  <c r="AF119" i="39" s="1"/>
  <c r="AG141" i="39"/>
  <c r="AG93" i="39"/>
  <c r="AG100" i="39" s="1"/>
  <c r="AG91" i="39"/>
  <c r="AG98" i="39" s="1"/>
  <c r="AC209" i="42"/>
  <c r="AC216" i="42" s="1"/>
  <c r="AF207" i="41"/>
  <c r="AB222" i="40"/>
  <c r="AB216" i="40"/>
  <c r="AB221" i="40"/>
  <c r="AE103" i="39"/>
  <c r="AC181" i="43"/>
  <c r="AF121" i="41"/>
  <c r="AC210" i="41"/>
  <c r="AC222" i="41" s="1"/>
  <c r="AC181" i="40"/>
  <c r="AF206" i="43"/>
  <c r="AF120" i="43"/>
  <c r="AD177" i="41"/>
  <c r="AD181" i="41"/>
  <c r="AD182" i="41" s="1"/>
  <c r="AF110" i="40"/>
  <c r="AF115" i="40" s="1"/>
  <c r="AF119" i="40" s="1"/>
  <c r="AF112" i="40"/>
  <c r="AF117" i="40" s="1"/>
  <c r="AG186" i="43"/>
  <c r="AG189" i="43" s="1"/>
  <c r="AG160" i="43"/>
  <c r="AE206" i="40"/>
  <c r="AE120" i="40"/>
  <c r="AD176" i="42"/>
  <c r="AD180" i="42"/>
  <c r="AD209" i="42" s="1"/>
  <c r="AF110" i="42"/>
  <c r="AF115" i="42" s="1"/>
  <c r="AF119" i="42" s="1"/>
  <c r="AF112" i="42"/>
  <c r="AF117" i="42" s="1"/>
  <c r="AF186" i="43"/>
  <c r="AF189" i="43" s="1"/>
  <c r="AF160" i="43"/>
  <c r="AG186" i="42"/>
  <c r="AG189" i="42" s="1"/>
  <c r="AG160" i="42"/>
  <c r="AE162" i="43"/>
  <c r="AE169" i="43" s="1"/>
  <c r="AE171" i="43"/>
  <c r="AE178" i="43" s="1"/>
  <c r="AE172" i="41"/>
  <c r="AE179" i="41" s="1"/>
  <c r="AE163" i="41"/>
  <c r="AE170" i="41" s="1"/>
  <c r="AC216" i="40"/>
  <c r="AC221" i="40"/>
  <c r="AC222" i="40"/>
  <c r="AC217" i="42"/>
  <c r="AF186" i="42"/>
  <c r="AF189" i="42" s="1"/>
  <c r="AF160" i="42"/>
  <c r="AE192" i="43"/>
  <c r="AE194" i="43"/>
  <c r="AE200" i="43" s="1"/>
  <c r="AE193" i="41"/>
  <c r="AE195" i="41"/>
  <c r="AE201" i="41" s="1"/>
  <c r="AE162" i="42"/>
  <c r="AE169" i="42" s="1"/>
  <c r="AE171" i="42"/>
  <c r="AE178" i="42" s="1"/>
  <c r="AE192" i="42"/>
  <c r="AE194" i="42"/>
  <c r="AE200" i="42" s="1"/>
  <c r="AE206" i="42"/>
  <c r="AE120" i="42"/>
  <c r="AF187" i="41"/>
  <c r="AF190" i="41" s="1"/>
  <c r="AF161" i="41"/>
  <c r="AF160" i="40"/>
  <c r="AF186" i="40"/>
  <c r="AF189" i="40" s="1"/>
  <c r="AG187" i="41"/>
  <c r="AG190" i="41" s="1"/>
  <c r="AG161" i="41"/>
  <c r="AE192" i="40"/>
  <c r="AE194" i="40"/>
  <c r="AE200" i="40" s="1"/>
  <c r="AG186" i="40"/>
  <c r="AG189" i="40" s="1"/>
  <c r="AG160" i="40"/>
  <c r="AD176" i="40"/>
  <c r="AD180" i="40"/>
  <c r="AD181" i="40" s="1"/>
  <c r="AE162" i="40"/>
  <c r="AE169" i="40" s="1"/>
  <c r="AE171" i="40"/>
  <c r="AE178" i="40" s="1"/>
  <c r="AC222" i="43"/>
  <c r="AC221" i="43"/>
  <c r="AC216" i="43"/>
  <c r="AD176" i="43"/>
  <c r="AD180" i="43"/>
  <c r="AD181" i="43" s="1"/>
  <c r="AB222" i="42"/>
  <c r="AB216" i="42"/>
  <c r="AB221" i="42"/>
  <c r="AF106" i="38"/>
  <c r="AG160" i="39"/>
  <c r="AG162" i="39" s="1"/>
  <c r="AF160" i="39"/>
  <c r="AG112" i="39"/>
  <c r="AG117" i="39" s="1"/>
  <c r="AG110" i="39"/>
  <c r="AG115" i="39" s="1"/>
  <c r="AG119" i="39" s="1"/>
  <c r="AF102" i="39"/>
  <c r="AF205" i="39" s="1"/>
  <c r="AE211" i="39"/>
  <c r="AE214" i="39"/>
  <c r="AE218" i="39" s="1"/>
  <c r="AG127" i="39"/>
  <c r="AG132" i="39" s="1"/>
  <c r="AG129" i="39"/>
  <c r="AG134" i="39" s="1"/>
  <c r="AG192" i="39"/>
  <c r="AG194" i="39"/>
  <c r="AG200" i="39" s="1"/>
  <c r="AG144" i="39"/>
  <c r="AG149" i="39" s="1"/>
  <c r="AG153" i="39" s="1"/>
  <c r="AG146" i="39"/>
  <c r="AG151" i="39" s="1"/>
  <c r="AF194" i="39"/>
  <c r="AF200" i="39" s="1"/>
  <c r="AF192" i="39"/>
  <c r="AF150" i="38"/>
  <c r="AD217" i="39"/>
  <c r="AF120" i="39"/>
  <c r="AF206" i="39"/>
  <c r="AE207" i="39"/>
  <c r="AE137" i="39"/>
  <c r="AF127" i="39"/>
  <c r="AF132" i="39" s="1"/>
  <c r="AF136" i="39" s="1"/>
  <c r="AF129" i="39"/>
  <c r="AF134" i="39" s="1"/>
  <c r="AC209" i="39"/>
  <c r="AE162" i="39"/>
  <c r="AE169" i="39" s="1"/>
  <c r="AE171" i="39"/>
  <c r="AE178" i="39" s="1"/>
  <c r="AF144" i="39"/>
  <c r="AF149" i="39" s="1"/>
  <c r="AF153" i="39" s="1"/>
  <c r="AF146" i="39"/>
  <c r="AF151" i="39" s="1"/>
  <c r="AE208" i="39"/>
  <c r="AE154" i="39"/>
  <c r="AD180" i="39"/>
  <c r="AD209" i="39" s="1"/>
  <c r="AD223" i="39" s="1"/>
  <c r="AD176" i="39"/>
  <c r="AF89" i="38"/>
  <c r="AG72" i="38"/>
  <c r="AG116" i="38"/>
  <c r="AG99" i="38"/>
  <c r="AG136" i="39" l="1"/>
  <c r="AC223" i="43"/>
  <c r="AC217" i="40"/>
  <c r="AC177" i="38"/>
  <c r="AD146" i="38"/>
  <c r="AD168" i="38" s="1"/>
  <c r="AD186" i="38" s="1"/>
  <c r="AE140" i="38"/>
  <c r="AE144" i="38" s="1"/>
  <c r="AC192" i="38"/>
  <c r="AE157" i="38"/>
  <c r="AE161" i="38" s="1"/>
  <c r="AF133" i="38"/>
  <c r="AE159" i="38"/>
  <c r="AD210" i="42"/>
  <c r="AD217" i="42" s="1"/>
  <c r="AD203" i="42"/>
  <c r="AD203" i="43"/>
  <c r="AD210" i="43"/>
  <c r="AD217" i="43" s="1"/>
  <c r="AD203" i="40"/>
  <c r="AD210" i="40"/>
  <c r="AD217" i="40" s="1"/>
  <c r="AE210" i="39"/>
  <c r="AF198" i="39"/>
  <c r="AF202" i="39" s="1"/>
  <c r="Q17" i="4"/>
  <c r="AG198" i="39"/>
  <c r="AG202" i="39" s="1"/>
  <c r="O17" i="4"/>
  <c r="AG169" i="39"/>
  <c r="AG176" i="39" s="1"/>
  <c r="AE162" i="38"/>
  <c r="AE198" i="43"/>
  <c r="AE202" i="43" s="1"/>
  <c r="AG102" i="39"/>
  <c r="AG205" i="39" s="1"/>
  <c r="AG214" i="39" s="1"/>
  <c r="AG218" i="39" s="1"/>
  <c r="AE198" i="40"/>
  <c r="AE202" i="40" s="1"/>
  <c r="AE198" i="42"/>
  <c r="AE202" i="42" s="1"/>
  <c r="AE210" i="42" s="1"/>
  <c r="AD211" i="41"/>
  <c r="AD204" i="41"/>
  <c r="AE199" i="41"/>
  <c r="AE203" i="41" s="1"/>
  <c r="AF162" i="38"/>
  <c r="AF159" i="38"/>
  <c r="AG162" i="38"/>
  <c r="AG159" i="38"/>
  <c r="AG142" i="38"/>
  <c r="AE142" i="38"/>
  <c r="AE112" i="38"/>
  <c r="AE167" i="38" s="1"/>
  <c r="AE145" i="38"/>
  <c r="AG125" i="38"/>
  <c r="AG128" i="38"/>
  <c r="AG101" i="38"/>
  <c r="AG108" i="38" s="1"/>
  <c r="AG111" i="38"/>
  <c r="AF110" i="38"/>
  <c r="AF93" i="38"/>
  <c r="AG76" i="38"/>
  <c r="AG78" i="38" s="1"/>
  <c r="AG165" i="38" s="1"/>
  <c r="CN19" i="2" s="1"/>
  <c r="AC224" i="41"/>
  <c r="AC221" i="42"/>
  <c r="AC222" i="42"/>
  <c r="AC223" i="42"/>
  <c r="AD181" i="42"/>
  <c r="AD209" i="43"/>
  <c r="AD216" i="43" s="1"/>
  <c r="AC217" i="41"/>
  <c r="AC223" i="41"/>
  <c r="AG171" i="39"/>
  <c r="AG178" i="39" s="1"/>
  <c r="AF192" i="42"/>
  <c r="AF194" i="42"/>
  <c r="AF200" i="42" s="1"/>
  <c r="AG192" i="42"/>
  <c r="AG194" i="42"/>
  <c r="AG200" i="42" s="1"/>
  <c r="AD209" i="40"/>
  <c r="AG172" i="41"/>
  <c r="AG179" i="41" s="1"/>
  <c r="AG163" i="41"/>
  <c r="AE203" i="42"/>
  <c r="AE177" i="41"/>
  <c r="AE181" i="41"/>
  <c r="AE210" i="41" s="1"/>
  <c r="AF206" i="42"/>
  <c r="AF120" i="42"/>
  <c r="AG112" i="43"/>
  <c r="AG117" i="43" s="1"/>
  <c r="AG110" i="43"/>
  <c r="AG115" i="43" s="1"/>
  <c r="AG119" i="43" s="1"/>
  <c r="AF193" i="41"/>
  <c r="AF195" i="41"/>
  <c r="AF201" i="41" s="1"/>
  <c r="AD216" i="42"/>
  <c r="AD222" i="42"/>
  <c r="AD221" i="42"/>
  <c r="AE176" i="43"/>
  <c r="AE180" i="43"/>
  <c r="AE209" i="43" s="1"/>
  <c r="AE176" i="42"/>
  <c r="AE180" i="42"/>
  <c r="AE181" i="42" s="1"/>
  <c r="AE176" i="40"/>
  <c r="AE180" i="40"/>
  <c r="AE209" i="40" s="1"/>
  <c r="AD218" i="41"/>
  <c r="AF163" i="41"/>
  <c r="AF170" i="41" s="1"/>
  <c r="AF172" i="41"/>
  <c r="AF179" i="41" s="1"/>
  <c r="AF171" i="43"/>
  <c r="AF178" i="43" s="1"/>
  <c r="AF162" i="43"/>
  <c r="AF169" i="43" s="1"/>
  <c r="AD210" i="41"/>
  <c r="AG162" i="40"/>
  <c r="AG169" i="40" s="1"/>
  <c r="AG171" i="40"/>
  <c r="AG178" i="40" s="1"/>
  <c r="AF194" i="43"/>
  <c r="AF200" i="43" s="1"/>
  <c r="AF192" i="43"/>
  <c r="AG162" i="43"/>
  <c r="AG171" i="43"/>
  <c r="AG178" i="43" s="1"/>
  <c r="AG193" i="41"/>
  <c r="AG195" i="41"/>
  <c r="AG201" i="41" s="1"/>
  <c r="AG111" i="41"/>
  <c r="AG116" i="41" s="1"/>
  <c r="AG120" i="41" s="1"/>
  <c r="AG113" i="41"/>
  <c r="AG118" i="41" s="1"/>
  <c r="AG194" i="40"/>
  <c r="AG200" i="40" s="1"/>
  <c r="AG192" i="40"/>
  <c r="AF192" i="40"/>
  <c r="AF194" i="40"/>
  <c r="AF200" i="40" s="1"/>
  <c r="AG110" i="42"/>
  <c r="AG115" i="42" s="1"/>
  <c r="AG119" i="42" s="1"/>
  <c r="AG112" i="42"/>
  <c r="AG117" i="42" s="1"/>
  <c r="AG192" i="43"/>
  <c r="AG194" i="43"/>
  <c r="AG200" i="43" s="1"/>
  <c r="AF171" i="40"/>
  <c r="AF178" i="40" s="1"/>
  <c r="AF162" i="40"/>
  <c r="AF169" i="40" s="1"/>
  <c r="AF171" i="42"/>
  <c r="AF178" i="42" s="1"/>
  <c r="AF162" i="42"/>
  <c r="AF169" i="42" s="1"/>
  <c r="AG171" i="42"/>
  <c r="AG178" i="42" s="1"/>
  <c r="AG162" i="42"/>
  <c r="AG110" i="40"/>
  <c r="AG115" i="40" s="1"/>
  <c r="AG119" i="40" s="1"/>
  <c r="AG112" i="40"/>
  <c r="AG117" i="40" s="1"/>
  <c r="AF120" i="40"/>
  <c r="AF206" i="40"/>
  <c r="AG154" i="39"/>
  <c r="AG103" i="39"/>
  <c r="AF154" i="39"/>
  <c r="AF103" i="39"/>
  <c r="AD181" i="39"/>
  <c r="AE215" i="39"/>
  <c r="AG137" i="39"/>
  <c r="AG207" i="39"/>
  <c r="AF157" i="38"/>
  <c r="AF161" i="38" s="1"/>
  <c r="AG211" i="39"/>
  <c r="AF208" i="39"/>
  <c r="AF171" i="39"/>
  <c r="AF178" i="39" s="1"/>
  <c r="AF162" i="39"/>
  <c r="AF169" i="39" s="1"/>
  <c r="AE217" i="39"/>
  <c r="AF214" i="39"/>
  <c r="AF218" i="39" s="1"/>
  <c r="AF211" i="39"/>
  <c r="AE176" i="39"/>
  <c r="AE180" i="39"/>
  <c r="AE209" i="39" s="1"/>
  <c r="AE223" i="39" s="1"/>
  <c r="AC223" i="39"/>
  <c r="AC216" i="39"/>
  <c r="AC221" i="39"/>
  <c r="AC222" i="39"/>
  <c r="AG208" i="39"/>
  <c r="AD216" i="39"/>
  <c r="AD222" i="39"/>
  <c r="AD221" i="39"/>
  <c r="AF207" i="39"/>
  <c r="AF137" i="39"/>
  <c r="AG210" i="39"/>
  <c r="AG203" i="39"/>
  <c r="AG206" i="39"/>
  <c r="AG120" i="39"/>
  <c r="AG157" i="38"/>
  <c r="AG161" i="38" s="1"/>
  <c r="AG145" i="38"/>
  <c r="AG89" i="38"/>
  <c r="AG123" i="38"/>
  <c r="AG127" i="38" s="1"/>
  <c r="AG106" i="38"/>
  <c r="P17" i="4"/>
  <c r="AD224" i="41" l="1"/>
  <c r="AD223" i="42"/>
  <c r="AE176" i="38"/>
  <c r="AE185" i="38"/>
  <c r="AD192" i="38"/>
  <c r="AD177" i="38"/>
  <c r="AG171" i="38"/>
  <c r="AG174" i="38"/>
  <c r="AG180" i="38" s="1"/>
  <c r="AG183" i="38"/>
  <c r="AF145" i="38"/>
  <c r="AE146" i="38"/>
  <c r="AE168" i="38" s="1"/>
  <c r="AE186" i="38" s="1"/>
  <c r="AF142" i="38"/>
  <c r="AE203" i="40"/>
  <c r="AE210" i="40"/>
  <c r="AF210" i="39"/>
  <c r="AF203" i="39"/>
  <c r="AE210" i="43"/>
  <c r="AE217" i="43" s="1"/>
  <c r="AE203" i="43"/>
  <c r="AG169" i="43"/>
  <c r="AG169" i="42"/>
  <c r="AF198" i="43"/>
  <c r="AF202" i="43" s="1"/>
  <c r="AG202" i="42"/>
  <c r="AG210" i="42" s="1"/>
  <c r="AG198" i="42"/>
  <c r="AF198" i="40"/>
  <c r="AF202" i="40" s="1"/>
  <c r="AG198" i="40"/>
  <c r="AG202" i="40" s="1"/>
  <c r="AF198" i="42"/>
  <c r="AF202" i="42" s="1"/>
  <c r="AG198" i="43"/>
  <c r="AG202" i="43" s="1"/>
  <c r="AE211" i="41"/>
  <c r="AE218" i="41" s="1"/>
  <c r="AE204" i="41"/>
  <c r="AG199" i="41"/>
  <c r="AG203" i="41" s="1"/>
  <c r="AF199" i="41"/>
  <c r="AF203" i="41" s="1"/>
  <c r="AG170" i="41"/>
  <c r="AG177" i="41" s="1"/>
  <c r="AF112" i="38"/>
  <c r="AF167" i="38" s="1"/>
  <c r="AF95" i="38"/>
  <c r="AF166" i="38" s="1"/>
  <c r="Q6" i="4"/>
  <c r="AF140" i="38"/>
  <c r="AF144" i="38" s="1"/>
  <c r="AG110" i="38"/>
  <c r="AG93" i="38"/>
  <c r="AG95" i="38" s="1"/>
  <c r="AG166" i="38" s="1"/>
  <c r="AG140" i="38"/>
  <c r="AG144" i="38" s="1"/>
  <c r="AG146" i="38" s="1"/>
  <c r="AE223" i="43"/>
  <c r="AD221" i="43"/>
  <c r="AD223" i="43"/>
  <c r="AD222" i="43"/>
  <c r="AG180" i="39"/>
  <c r="AG181" i="39" s="1"/>
  <c r="AE209" i="42"/>
  <c r="AE222" i="42" s="1"/>
  <c r="AE181" i="40"/>
  <c r="AD217" i="41"/>
  <c r="AD223" i="41"/>
  <c r="AD222" i="41"/>
  <c r="AF177" i="41"/>
  <c r="AF181" i="41"/>
  <c r="AF182" i="41" s="1"/>
  <c r="AG176" i="42"/>
  <c r="AG180" i="42"/>
  <c r="AG181" i="42" s="1"/>
  <c r="AG206" i="42"/>
  <c r="AG120" i="42"/>
  <c r="AE216" i="43"/>
  <c r="AE221" i="43"/>
  <c r="AE222" i="43"/>
  <c r="AE182" i="41"/>
  <c r="AG176" i="43"/>
  <c r="AG180" i="43"/>
  <c r="AG181" i="43" s="1"/>
  <c r="AF180" i="43"/>
  <c r="AF209" i="43" s="1"/>
  <c r="AF176" i="43"/>
  <c r="AG206" i="43"/>
  <c r="AG120" i="43"/>
  <c r="AE224" i="41"/>
  <c r="AD223" i="40"/>
  <c r="AD221" i="40"/>
  <c r="AD216" i="40"/>
  <c r="AD222" i="40"/>
  <c r="AE222" i="40"/>
  <c r="AE221" i="40"/>
  <c r="AE216" i="40"/>
  <c r="AE217" i="41"/>
  <c r="AE222" i="41"/>
  <c r="AE223" i="41"/>
  <c r="AG203" i="42"/>
  <c r="AF176" i="40"/>
  <c r="AF180" i="40"/>
  <c r="AF209" i="40" s="1"/>
  <c r="AG176" i="40"/>
  <c r="AG180" i="40"/>
  <c r="AG181" i="40" s="1"/>
  <c r="AE181" i="43"/>
  <c r="AE217" i="40"/>
  <c r="AE223" i="40"/>
  <c r="AE217" i="42"/>
  <c r="AF176" i="42"/>
  <c r="AF180" i="42"/>
  <c r="AF209" i="42" s="1"/>
  <c r="AG120" i="40"/>
  <c r="AG206" i="40"/>
  <c r="AG207" i="41"/>
  <c r="AG121" i="41"/>
  <c r="AG210" i="43"/>
  <c r="AG203" i="43"/>
  <c r="AF217" i="39"/>
  <c r="AG217" i="39"/>
  <c r="AE216" i="39"/>
  <c r="AE221" i="39"/>
  <c r="AF176" i="39"/>
  <c r="AF180" i="39"/>
  <c r="AF181" i="39" s="1"/>
  <c r="AF215" i="39"/>
  <c r="AG215" i="39"/>
  <c r="AE181" i="39"/>
  <c r="AE222" i="39"/>
  <c r="AG189" i="38" l="1"/>
  <c r="AF176" i="38"/>
  <c r="AF185" i="38"/>
  <c r="AE177" i="38"/>
  <c r="AF146" i="38"/>
  <c r="AE192" i="38"/>
  <c r="AF210" i="42"/>
  <c r="AF217" i="42" s="1"/>
  <c r="AF203" i="42"/>
  <c r="AF210" i="43"/>
  <c r="AF203" i="43"/>
  <c r="AG203" i="40"/>
  <c r="AG210" i="40"/>
  <c r="AF210" i="40"/>
  <c r="AF217" i="40" s="1"/>
  <c r="AF203" i="40"/>
  <c r="AF211" i="41"/>
  <c r="AF218" i="41" s="1"/>
  <c r="AF204" i="41"/>
  <c r="AG211" i="41"/>
  <c r="AG204" i="41"/>
  <c r="AG181" i="41"/>
  <c r="AG210" i="41" s="1"/>
  <c r="AG168" i="38"/>
  <c r="AG112" i="38"/>
  <c r="AG167" i="38" s="1"/>
  <c r="O28" i="4"/>
  <c r="Q28" i="4"/>
  <c r="O6" i="4"/>
  <c r="AE216" i="42"/>
  <c r="AE221" i="42"/>
  <c r="AG209" i="39"/>
  <c r="AG223" i="39" s="1"/>
  <c r="AE223" i="42"/>
  <c r="AG209" i="42"/>
  <c r="AF210" i="41"/>
  <c r="AF223" i="41" s="1"/>
  <c r="AG209" i="43"/>
  <c r="AF181" i="40"/>
  <c r="AF181" i="43"/>
  <c r="AG209" i="40"/>
  <c r="AG223" i="40" s="1"/>
  <c r="AF222" i="42"/>
  <c r="AF221" i="42"/>
  <c r="AF216" i="42"/>
  <c r="AF217" i="43"/>
  <c r="AF223" i="43"/>
  <c r="AF221" i="40"/>
  <c r="AF216" i="40"/>
  <c r="AF222" i="40"/>
  <c r="AF223" i="40"/>
  <c r="AF216" i="43"/>
  <c r="AF222" i="43"/>
  <c r="AF221" i="43"/>
  <c r="AG217" i="43"/>
  <c r="AG217" i="42"/>
  <c r="AG217" i="40"/>
  <c r="AF181" i="42"/>
  <c r="AG218" i="41"/>
  <c r="AF209" i="39"/>
  <c r="AF216" i="39" s="1"/>
  <c r="CK19" i="2" l="1"/>
  <c r="CH19" i="2" s="1"/>
  <c r="AH4" i="14" a="1"/>
  <c r="AH4" i="14" s="1"/>
  <c r="AE4" i="14" a="1"/>
  <c r="AE4" i="14" s="1"/>
  <c r="AG186" i="38"/>
  <c r="AF223" i="42"/>
  <c r="AG217" i="41"/>
  <c r="AG176" i="38"/>
  <c r="AG185" i="38"/>
  <c r="AG177" i="38"/>
  <c r="AG224" i="41"/>
  <c r="AG222" i="41"/>
  <c r="AG182" i="41"/>
  <c r="AG223" i="41"/>
  <c r="O27" i="4"/>
  <c r="O32" i="4" s="1"/>
  <c r="AF168" i="38"/>
  <c r="AF186" i="38" s="1"/>
  <c r="P28" i="4"/>
  <c r="P32" i="4" s="1"/>
  <c r="P6" i="4"/>
  <c r="AG223" i="43"/>
  <c r="AG222" i="39"/>
  <c r="AF224" i="41"/>
  <c r="AG221" i="39"/>
  <c r="AG216" i="39"/>
  <c r="AF222" i="41"/>
  <c r="AG222" i="43"/>
  <c r="AF222" i="39"/>
  <c r="AF221" i="39"/>
  <c r="AF217" i="41"/>
  <c r="AG216" i="42"/>
  <c r="AG221" i="42"/>
  <c r="AG222" i="42"/>
  <c r="AG223" i="42"/>
  <c r="AG216" i="43"/>
  <c r="AG221" i="43"/>
  <c r="AF223" i="39"/>
  <c r="AG222" i="40"/>
  <c r="AG221" i="40"/>
  <c r="AG216" i="40"/>
  <c r="AF192" i="38" l="1"/>
  <c r="AF177" i="38"/>
  <c r="AG192" i="38"/>
  <c r="Q27" i="4" l="1"/>
  <c r="Q32" i="4" s="1"/>
  <c r="P33" i="4" l="1"/>
  <c r="Q33" i="4"/>
  <c r="O33" i="4"/>
  <c r="Q35" i="4" l="1"/>
  <c r="O35" i="4"/>
  <c r="P35" i="4"/>
  <c r="A88" i="23" a="1"/>
  <c r="A88" i="23" s="1"/>
  <c r="P36" i="4" l="1"/>
  <c r="P37" i="4" s="1"/>
  <c r="O36" i="4"/>
  <c r="O37" i="4" s="1"/>
  <c r="Q36" i="4"/>
  <c r="Q37" i="4" s="1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T42" i="22"/>
  <c r="T43" i="22"/>
  <c r="T44" i="22"/>
  <c r="T45" i="22"/>
  <c r="T46" i="22"/>
  <c r="T47" i="22"/>
  <c r="T48" i="22"/>
  <c r="T49" i="22"/>
  <c r="T50" i="22"/>
  <c r="T51" i="22"/>
  <c r="T52" i="22"/>
  <c r="T53" i="22"/>
  <c r="T54" i="22"/>
  <c r="T55" i="22"/>
  <c r="T56" i="22"/>
  <c r="T57" i="22"/>
  <c r="T58" i="22"/>
  <c r="T59" i="22"/>
  <c r="O18" i="4" l="1"/>
  <c r="D160" i="38" l="1"/>
  <c r="D163" i="38" s="1"/>
  <c r="D170" i="38" s="1"/>
  <c r="D126" i="38"/>
  <c r="D129" i="38" s="1"/>
  <c r="D187" i="38" l="1"/>
  <c r="D188" i="38"/>
  <c r="D178" i="38"/>
  <c r="D179" i="38"/>
  <c r="E160" i="38"/>
  <c r="E163" i="38" s="1"/>
  <c r="E170" i="38" s="1"/>
  <c r="E187" i="38" s="1"/>
  <c r="E126" i="38"/>
  <c r="E129" i="38" s="1"/>
  <c r="E188" i="38" l="1"/>
  <c r="E178" i="38"/>
  <c r="E179" i="38"/>
  <c r="D169" i="38"/>
  <c r="F160" i="38"/>
  <c r="F163" i="38" s="1"/>
  <c r="F170" i="38" s="1"/>
  <c r="F187" i="38" s="1"/>
  <c r="F126" i="38"/>
  <c r="F129" i="38" s="1"/>
  <c r="D194" i="38"/>
  <c r="F188" i="38" l="1"/>
  <c r="F178" i="38"/>
  <c r="D184" i="38"/>
  <c r="D175" i="38"/>
  <c r="F179" i="38"/>
  <c r="D193" i="38"/>
  <c r="E169" i="38"/>
  <c r="G126" i="38"/>
  <c r="G129" i="38" s="1"/>
  <c r="G160" i="38"/>
  <c r="G163" i="38" s="1"/>
  <c r="G170" i="38" s="1"/>
  <c r="G187" i="38" s="1"/>
  <c r="E194" i="38"/>
  <c r="G188" i="38" l="1"/>
  <c r="G178" i="38"/>
  <c r="E184" i="38"/>
  <c r="E175" i="38"/>
  <c r="G179" i="38"/>
  <c r="E193" i="38"/>
  <c r="F169" i="38"/>
  <c r="H160" i="38"/>
  <c r="H163" i="38" s="1"/>
  <c r="H170" i="38" s="1"/>
  <c r="H187" i="38" s="1"/>
  <c r="H126" i="38"/>
  <c r="H129" i="38" s="1"/>
  <c r="F194" i="38"/>
  <c r="H188" i="38" l="1"/>
  <c r="H178" i="38"/>
  <c r="F184" i="38"/>
  <c r="F175" i="38"/>
  <c r="H179" i="38"/>
  <c r="F193" i="38"/>
  <c r="G169" i="38"/>
  <c r="I160" i="38"/>
  <c r="I163" i="38" s="1"/>
  <c r="I170" i="38" s="1"/>
  <c r="I187" i="38" s="1"/>
  <c r="I126" i="38"/>
  <c r="I129" i="38" s="1"/>
  <c r="G194" i="38"/>
  <c r="I188" i="38" l="1"/>
  <c r="I178" i="38"/>
  <c r="G184" i="38"/>
  <c r="G175" i="38"/>
  <c r="G193" i="38"/>
  <c r="I179" i="38"/>
  <c r="H169" i="38"/>
  <c r="J126" i="38"/>
  <c r="J129" i="38" s="1"/>
  <c r="J160" i="38"/>
  <c r="J163" i="38" s="1"/>
  <c r="J170" i="38" s="1"/>
  <c r="J187" i="38" s="1"/>
  <c r="H194" i="38"/>
  <c r="J188" i="38" l="1"/>
  <c r="J178" i="38"/>
  <c r="H184" i="38"/>
  <c r="H175" i="38"/>
  <c r="J179" i="38"/>
  <c r="H193" i="38"/>
  <c r="I169" i="38"/>
  <c r="K160" i="38"/>
  <c r="K163" i="38" s="1"/>
  <c r="K170" i="38" s="1"/>
  <c r="K187" i="38" s="1"/>
  <c r="K126" i="38"/>
  <c r="K129" i="38" s="1"/>
  <c r="I194" i="38"/>
  <c r="K188" i="38" l="1"/>
  <c r="K178" i="38"/>
  <c r="I184" i="38"/>
  <c r="I175" i="38"/>
  <c r="K179" i="38"/>
  <c r="I193" i="38"/>
  <c r="J169" i="38"/>
  <c r="K169" i="38"/>
  <c r="L160" i="38"/>
  <c r="L163" i="38" s="1"/>
  <c r="L170" i="38" s="1"/>
  <c r="L187" i="38" s="1"/>
  <c r="L126" i="38"/>
  <c r="L129" i="38" s="1"/>
  <c r="J194" i="38"/>
  <c r="L188" i="38" l="1"/>
  <c r="L178" i="38"/>
  <c r="K184" i="38"/>
  <c r="K175" i="38"/>
  <c r="J184" i="38"/>
  <c r="J175" i="38"/>
  <c r="J193" i="38"/>
  <c r="L179" i="38"/>
  <c r="K193" i="38"/>
  <c r="M160" i="38"/>
  <c r="M163" i="38" s="1"/>
  <c r="M170" i="38" s="1"/>
  <c r="M126" i="38"/>
  <c r="M129" i="38" s="1"/>
  <c r="K194" i="38"/>
  <c r="M187" i="38" l="1"/>
  <c r="AS19" i="2"/>
  <c r="AM19" i="2" s="1"/>
  <c r="K17" i="79" s="1"/>
  <c r="W17" i="79" s="1"/>
  <c r="W22" i="79" s="1"/>
  <c r="M188" i="38"/>
  <c r="M178" i="38"/>
  <c r="M179" i="38"/>
  <c r="L169" i="38"/>
  <c r="N160" i="38"/>
  <c r="N163" i="38" s="1"/>
  <c r="N170" i="38" s="1"/>
  <c r="N187" i="38" s="1"/>
  <c r="N126" i="38"/>
  <c r="N129" i="38" s="1"/>
  <c r="L194" i="38"/>
  <c r="O160" i="38" l="1"/>
  <c r="O163" i="38" s="1"/>
  <c r="O170" i="38" s="1"/>
  <c r="O187" i="38" s="1"/>
  <c r="N188" i="38"/>
  <c r="N178" i="38"/>
  <c r="L184" i="38"/>
  <c r="L175" i="38"/>
  <c r="N179" i="38"/>
  <c r="L193" i="38"/>
  <c r="M169" i="38"/>
  <c r="AR19" i="2" s="1"/>
  <c r="AL19" i="2" s="1"/>
  <c r="J17" i="79" s="1"/>
  <c r="V17" i="79" s="1"/>
  <c r="V22" i="79" s="1"/>
  <c r="O126" i="38"/>
  <c r="O129" i="38" s="1"/>
  <c r="M194" i="38"/>
  <c r="V23" i="79" l="1"/>
  <c r="V25" i="79" s="1"/>
  <c r="V26" i="79" s="1"/>
  <c r="R23" i="79"/>
  <c r="R25" i="79" s="1"/>
  <c r="R26" i="79" s="1"/>
  <c r="T23" i="79"/>
  <c r="T25" i="79" s="1"/>
  <c r="T26" i="79" s="1"/>
  <c r="U23" i="79"/>
  <c r="U25" i="79" s="1"/>
  <c r="U26" i="79" s="1"/>
  <c r="S23" i="79"/>
  <c r="S25" i="79" s="1"/>
  <c r="S26" i="79" s="1"/>
  <c r="W23" i="79"/>
  <c r="W25" i="79" s="1"/>
  <c r="W26" i="79" s="1"/>
  <c r="O188" i="38"/>
  <c r="O178" i="38"/>
  <c r="M184" i="38"/>
  <c r="M175" i="38"/>
  <c r="M193" i="38"/>
  <c r="O179" i="38"/>
  <c r="N169" i="38"/>
  <c r="P126" i="38"/>
  <c r="P129" i="38" s="1"/>
  <c r="P160" i="38"/>
  <c r="P163" i="38" s="1"/>
  <c r="P170" i="38" s="1"/>
  <c r="P187" i="38" s="1"/>
  <c r="N194" i="38"/>
  <c r="S27" i="79" l="1"/>
  <c r="S28" i="79" s="1"/>
  <c r="S175" i="79" s="1"/>
  <c r="S174" i="79" s="1"/>
  <c r="U27" i="79"/>
  <c r="U28" i="79" s="1"/>
  <c r="U175" i="79" s="1"/>
  <c r="U174" i="79" s="1"/>
  <c r="T27" i="79"/>
  <c r="T28" i="79" s="1"/>
  <c r="T175" i="79" s="1"/>
  <c r="T174" i="79" s="1"/>
  <c r="R27" i="79"/>
  <c r="R28" i="79" s="1"/>
  <c r="R175" i="79" s="1"/>
  <c r="R174" i="79" s="1"/>
  <c r="W27" i="79"/>
  <c r="W28" i="79" s="1"/>
  <c r="W175" i="79" s="1"/>
  <c r="W174" i="79" s="1"/>
  <c r="V27" i="79"/>
  <c r="V28" i="79" s="1"/>
  <c r="V175" i="79" s="1"/>
  <c r="V174" i="79" s="1"/>
  <c r="P188" i="38"/>
  <c r="P178" i="38"/>
  <c r="N184" i="38"/>
  <c r="N175" i="38"/>
  <c r="P179" i="38"/>
  <c r="N193" i="38"/>
  <c r="O169" i="38"/>
  <c r="Q126" i="38"/>
  <c r="Q129" i="38" s="1"/>
  <c r="Q160" i="38"/>
  <c r="Q163" i="38" s="1"/>
  <c r="Q170" i="38" s="1"/>
  <c r="Q187" i="38" s="1"/>
  <c r="O194" i="38"/>
  <c r="Q188" i="38" l="1"/>
  <c r="Q178" i="38"/>
  <c r="O184" i="38"/>
  <c r="O175" i="38"/>
  <c r="Q179" i="38"/>
  <c r="P169" i="38"/>
  <c r="O193" i="38"/>
  <c r="R160" i="38"/>
  <c r="R163" i="38" s="1"/>
  <c r="R170" i="38" s="1"/>
  <c r="R126" i="38"/>
  <c r="R129" i="38" s="1"/>
  <c r="P194" i="38"/>
  <c r="R187" i="38" l="1"/>
  <c r="BF19" i="2"/>
  <c r="AZ19" i="2" s="1"/>
  <c r="K17" i="77" s="1"/>
  <c r="W17" i="77" s="1"/>
  <c r="W22" i="77" s="1"/>
  <c r="R188" i="38"/>
  <c r="R178" i="38"/>
  <c r="P184" i="38"/>
  <c r="P175" i="38"/>
  <c r="R179" i="38"/>
  <c r="Q169" i="38"/>
  <c r="P193" i="38"/>
  <c r="S126" i="38"/>
  <c r="S129" i="38" s="1"/>
  <c r="S160" i="38"/>
  <c r="S163" i="38" s="1"/>
  <c r="S170" i="38" s="1"/>
  <c r="S187" i="38" s="1"/>
  <c r="Q194" i="38"/>
  <c r="T160" i="38" l="1"/>
  <c r="T163" i="38" s="1"/>
  <c r="T170" i="38" s="1"/>
  <c r="T187" i="38" s="1"/>
  <c r="S188" i="38"/>
  <c r="S178" i="38"/>
  <c r="Q184" i="38"/>
  <c r="Q175" i="38"/>
  <c r="S179" i="38"/>
  <c r="Q193" i="38"/>
  <c r="R169" i="38"/>
  <c r="BE19" i="2" s="1"/>
  <c r="AY19" i="2" s="1"/>
  <c r="J17" i="77" s="1"/>
  <c r="V17" i="77" s="1"/>
  <c r="V22" i="77" s="1"/>
  <c r="T126" i="38"/>
  <c r="T129" i="38" s="1"/>
  <c r="R194" i="38"/>
  <c r="V23" i="77" l="1"/>
  <c r="V25" i="77" s="1"/>
  <c r="V26" i="77" s="1"/>
  <c r="R23" i="77"/>
  <c r="R25" i="77" s="1"/>
  <c r="R26" i="77" s="1"/>
  <c r="T23" i="77"/>
  <c r="T25" i="77" s="1"/>
  <c r="T26" i="77" s="1"/>
  <c r="U23" i="77"/>
  <c r="U25" i="77" s="1"/>
  <c r="U26" i="77" s="1"/>
  <c r="S23" i="77"/>
  <c r="S25" i="77" s="1"/>
  <c r="S26" i="77" s="1"/>
  <c r="W23" i="77"/>
  <c r="W25" i="77" s="1"/>
  <c r="W26" i="77" s="1"/>
  <c r="U160" i="38"/>
  <c r="U163" i="38" s="1"/>
  <c r="U170" i="38" s="1"/>
  <c r="U187" i="38" s="1"/>
  <c r="T188" i="38"/>
  <c r="T178" i="38"/>
  <c r="R184" i="38"/>
  <c r="R175" i="38"/>
  <c r="T179" i="38"/>
  <c r="R193" i="38"/>
  <c r="S169" i="38"/>
  <c r="U126" i="38"/>
  <c r="U129" i="38" s="1"/>
  <c r="S194" i="38"/>
  <c r="U27" i="77" l="1"/>
  <c r="U28" i="77" s="1"/>
  <c r="U175" i="77" s="1"/>
  <c r="U174" i="77" s="1"/>
  <c r="T27" i="77"/>
  <c r="T28" i="77" s="1"/>
  <c r="T175" i="77" s="1"/>
  <c r="T174" i="77" s="1"/>
  <c r="S27" i="77"/>
  <c r="S28" i="77" s="1"/>
  <c r="S175" i="77" s="1"/>
  <c r="S174" i="77" s="1"/>
  <c r="R27" i="77"/>
  <c r="R28" i="77" s="1"/>
  <c r="R175" i="77" s="1"/>
  <c r="R174" i="77" s="1"/>
  <c r="W27" i="77"/>
  <c r="W28" i="77" s="1"/>
  <c r="W175" i="77" s="1"/>
  <c r="W174" i="77" s="1"/>
  <c r="V27" i="77"/>
  <c r="V28" i="77" s="1"/>
  <c r="V175" i="77" s="1"/>
  <c r="V174" i="77" s="1"/>
  <c r="U188" i="38"/>
  <c r="U178" i="38"/>
  <c r="S184" i="38"/>
  <c r="S175" i="38"/>
  <c r="U179" i="38"/>
  <c r="U169" i="38"/>
  <c r="T169" i="38"/>
  <c r="S193" i="38"/>
  <c r="V160" i="38"/>
  <c r="V163" i="38" s="1"/>
  <c r="V170" i="38" s="1"/>
  <c r="V187" i="38" s="1"/>
  <c r="V126" i="38"/>
  <c r="V129" i="38" s="1"/>
  <c r="T194" i="38"/>
  <c r="W160" i="38" l="1"/>
  <c r="W163" i="38" s="1"/>
  <c r="W170" i="38" s="1"/>
  <c r="BS19" i="2" s="1"/>
  <c r="V188" i="38"/>
  <c r="V178" i="38"/>
  <c r="T184" i="38"/>
  <c r="T175" i="38"/>
  <c r="U184" i="38"/>
  <c r="U175" i="38"/>
  <c r="V179" i="38"/>
  <c r="U193" i="38"/>
  <c r="T193" i="38"/>
  <c r="W126" i="38"/>
  <c r="W129" i="38" s="1"/>
  <c r="U194" i="38"/>
  <c r="BM19" i="2" l="1"/>
  <c r="X160" i="38"/>
  <c r="X163" i="38" s="1"/>
  <c r="X170" i="38" s="1"/>
  <c r="X187" i="38" s="1"/>
  <c r="W187" i="38"/>
  <c r="W188" i="38"/>
  <c r="W178" i="38"/>
  <c r="W179" i="38"/>
  <c r="V169" i="38"/>
  <c r="X126" i="38"/>
  <c r="X129" i="38" s="1"/>
  <c r="V194" i="38"/>
  <c r="K17" i="3" l="1"/>
  <c r="W17" i="3" s="1"/>
  <c r="W22" i="3" s="1"/>
  <c r="Y160" i="38"/>
  <c r="Y163" i="38" s="1"/>
  <c r="Y170" i="38" s="1"/>
  <c r="Y187" i="38" s="1"/>
  <c r="X188" i="38"/>
  <c r="X178" i="38"/>
  <c r="V184" i="38"/>
  <c r="V175" i="38"/>
  <c r="X179" i="38"/>
  <c r="V193" i="38"/>
  <c r="W169" i="38"/>
  <c r="BR19" i="2" s="1"/>
  <c r="Y126" i="38"/>
  <c r="Y129" i="38" s="1"/>
  <c r="W194" i="38"/>
  <c r="BL19" i="2" l="1"/>
  <c r="Z160" i="38"/>
  <c r="Z163" i="38" s="1"/>
  <c r="Z170" i="38" s="1"/>
  <c r="Z187" i="38" s="1"/>
  <c r="Y188" i="38"/>
  <c r="Y178" i="38"/>
  <c r="W184" i="38"/>
  <c r="W175" i="38"/>
  <c r="Y179" i="38"/>
  <c r="W193" i="38"/>
  <c r="X169" i="38"/>
  <c r="Z126" i="38"/>
  <c r="Z129" i="38" s="1"/>
  <c r="X194" i="38"/>
  <c r="J17" i="3" l="1"/>
  <c r="V17" i="3" s="1"/>
  <c r="V22" i="3" s="1"/>
  <c r="AA160" i="38"/>
  <c r="AA163" i="38" s="1"/>
  <c r="AA170" i="38" s="1"/>
  <c r="AA187" i="38" s="1"/>
  <c r="AB160" i="38"/>
  <c r="AB163" i="38" s="1"/>
  <c r="AB170" i="38" s="1"/>
  <c r="Z188" i="38"/>
  <c r="Z178" i="38"/>
  <c r="X184" i="38"/>
  <c r="X175" i="38"/>
  <c r="X193" i="38"/>
  <c r="Z179" i="38"/>
  <c r="Y169" i="38"/>
  <c r="AA126" i="38"/>
  <c r="AA129" i="38" s="1"/>
  <c r="AB126" i="38"/>
  <c r="AB129" i="38" s="1"/>
  <c r="AC160" i="38"/>
  <c r="AC163" i="38" s="1"/>
  <c r="AC170" i="38" s="1"/>
  <c r="AC187" i="38" s="1"/>
  <c r="AC126" i="38"/>
  <c r="AC129" i="38" s="1"/>
  <c r="Y194" i="38"/>
  <c r="AB187" i="38" l="1"/>
  <c r="CF19" i="2"/>
  <c r="BZ19" i="2" s="1"/>
  <c r="K17" i="78" s="1"/>
  <c r="W17" i="78" s="1"/>
  <c r="W22" i="78" s="1"/>
  <c r="U23" i="3"/>
  <c r="U25" i="3" s="1"/>
  <c r="U26" i="3" s="1"/>
  <c r="W23" i="3"/>
  <c r="W25" i="3" s="1"/>
  <c r="W26" i="3" s="1"/>
  <c r="V23" i="3"/>
  <c r="V25" i="3" s="1"/>
  <c r="V26" i="3" s="1"/>
  <c r="S23" i="3"/>
  <c r="S25" i="3" s="1"/>
  <c r="S26" i="3" s="1"/>
  <c r="T23" i="3"/>
  <c r="T25" i="3" s="1"/>
  <c r="T26" i="3" s="1"/>
  <c r="R23" i="3"/>
  <c r="R25" i="3" s="1"/>
  <c r="R26" i="3" s="1"/>
  <c r="AD160" i="38"/>
  <c r="AD163" i="38" s="1"/>
  <c r="AD170" i="38" s="1"/>
  <c r="AD187" i="38" s="1"/>
  <c r="AA188" i="38"/>
  <c r="AA178" i="38"/>
  <c r="AB188" i="38"/>
  <c r="AB178" i="38"/>
  <c r="AC188" i="38"/>
  <c r="AC178" i="38"/>
  <c r="Y184" i="38"/>
  <c r="Y175" i="38"/>
  <c r="AC179" i="38"/>
  <c r="AA179" i="38"/>
  <c r="AB179" i="38"/>
  <c r="Z169" i="38"/>
  <c r="Y193" i="38"/>
  <c r="AD126" i="38"/>
  <c r="AD129" i="38" s="1"/>
  <c r="Z194" i="38"/>
  <c r="R27" i="3" l="1"/>
  <c r="T27" i="3"/>
  <c r="T28" i="3" s="1"/>
  <c r="S27" i="3"/>
  <c r="S28" i="3" s="1"/>
  <c r="V27" i="3"/>
  <c r="W27" i="3"/>
  <c r="U27" i="3"/>
  <c r="AE160" i="38"/>
  <c r="AE163" i="38" s="1"/>
  <c r="AE170" i="38" s="1"/>
  <c r="AE187" i="38" s="1"/>
  <c r="AD188" i="38"/>
  <c r="AD178" i="38"/>
  <c r="Z184" i="38"/>
  <c r="Z175" i="38"/>
  <c r="AD179" i="38"/>
  <c r="AC169" i="38"/>
  <c r="AA169" i="38"/>
  <c r="AB169" i="38"/>
  <c r="CE19" i="2" s="1"/>
  <c r="BY19" i="2" s="1"/>
  <c r="J17" i="78" s="1"/>
  <c r="V17" i="78" s="1"/>
  <c r="V22" i="78" s="1"/>
  <c r="Z193" i="38"/>
  <c r="AE126" i="38"/>
  <c r="AE129" i="38" s="1"/>
  <c r="AC194" i="38"/>
  <c r="AB194" i="38"/>
  <c r="AA194" i="38"/>
  <c r="V23" i="78" l="1"/>
  <c r="V24" i="78" s="1"/>
  <c r="U23" i="78"/>
  <c r="U24" i="78" s="1"/>
  <c r="S23" i="78"/>
  <c r="S24" i="78" s="1"/>
  <c r="T23" i="78"/>
  <c r="T24" i="78" s="1"/>
  <c r="R23" i="78"/>
  <c r="R24" i="78" s="1"/>
  <c r="W23" i="78"/>
  <c r="W24" i="78" s="1"/>
  <c r="R28" i="3"/>
  <c r="W28" i="3"/>
  <c r="U28" i="3"/>
  <c r="V28" i="3"/>
  <c r="AE188" i="38"/>
  <c r="AE178" i="38"/>
  <c r="AA184" i="38"/>
  <c r="AA175" i="38"/>
  <c r="AC184" i="38"/>
  <c r="AC175" i="38"/>
  <c r="AB184" i="38"/>
  <c r="AB175" i="38"/>
  <c r="AE179" i="38"/>
  <c r="AC193" i="38"/>
  <c r="AD169" i="38"/>
  <c r="AB193" i="38"/>
  <c r="AA193" i="38"/>
  <c r="AF126" i="38"/>
  <c r="AF129" i="38" s="1"/>
  <c r="AF160" i="38"/>
  <c r="AF163" i="38" s="1"/>
  <c r="AF170" i="38" s="1"/>
  <c r="AF187" i="38" s="1"/>
  <c r="AD194" i="38"/>
  <c r="T25" i="78" l="1"/>
  <c r="T26" i="78" s="1"/>
  <c r="W25" i="78"/>
  <c r="W26" i="78" s="1"/>
  <c r="U25" i="78"/>
  <c r="U26" i="78" s="1"/>
  <c r="R25" i="78"/>
  <c r="R26" i="78" s="1"/>
  <c r="S25" i="78"/>
  <c r="S26" i="78" s="1"/>
  <c r="V25" i="78"/>
  <c r="V26" i="78" s="1"/>
  <c r="AF188" i="38"/>
  <c r="AF178" i="38"/>
  <c r="AD184" i="38"/>
  <c r="AD175" i="38"/>
  <c r="AF179" i="38"/>
  <c r="AD193" i="38"/>
  <c r="AE169" i="38"/>
  <c r="AG160" i="38"/>
  <c r="AG163" i="38" s="1"/>
  <c r="AG170" i="38" s="1"/>
  <c r="AG126" i="38"/>
  <c r="AG129" i="38" s="1"/>
  <c r="AE194" i="38"/>
  <c r="CM19" i="2" l="1"/>
  <c r="CJ19" i="2" s="1"/>
  <c r="AG4" i="14" a="1"/>
  <c r="AG4" i="14" s="1"/>
  <c r="AG17" i="14" s="1"/>
  <c r="AJ4" i="14" a="1"/>
  <c r="AJ4" i="14" s="1"/>
  <c r="AJ17" i="14" s="1"/>
  <c r="AJ18" i="14" s="1"/>
  <c r="V27" i="78"/>
  <c r="V28" i="78" s="1"/>
  <c r="V175" i="78" s="1"/>
  <c r="V174" i="78" s="1"/>
  <c r="AB3" i="15" s="1"/>
  <c r="T27" i="78"/>
  <c r="T28" i="78" s="1"/>
  <c r="T175" i="78" s="1"/>
  <c r="T174" i="78" s="1"/>
  <c r="S27" i="78"/>
  <c r="S28" i="78" s="1"/>
  <c r="S175" i="78" s="1"/>
  <c r="S174" i="78" s="1"/>
  <c r="U27" i="78"/>
  <c r="U28" i="78" s="1"/>
  <c r="U175" i="78" s="1"/>
  <c r="U174" i="78" s="1"/>
  <c r="AB2" i="15" s="1"/>
  <c r="R27" i="78"/>
  <c r="R28" i="78" s="1"/>
  <c r="R175" i="78" s="1"/>
  <c r="R174" i="78" s="1"/>
  <c r="W27" i="78"/>
  <c r="W28" i="78" s="1"/>
  <c r="W175" i="78" s="1"/>
  <c r="W174" i="78" s="1"/>
  <c r="AB4" i="15" s="1"/>
  <c r="AG187" i="38"/>
  <c r="AG188" i="38"/>
  <c r="AG178" i="38"/>
  <c r="AE184" i="38"/>
  <c r="AE175" i="38"/>
  <c r="AG179" i="38"/>
  <c r="AE193" i="38"/>
  <c r="AF169" i="38"/>
  <c r="AF194" i="38"/>
  <c r="U4" i="15" l="1"/>
  <c r="X65" i="46"/>
  <c r="Z7" i="15"/>
  <c r="AB7" i="15" s="1"/>
  <c r="Z8" i="15"/>
  <c r="AB8" i="15" s="1"/>
  <c r="AF184" i="38"/>
  <c r="AF175" i="38"/>
  <c r="AF193" i="38"/>
  <c r="AG169" i="38"/>
  <c r="AG194" i="38"/>
  <c r="L32" i="15" l="1"/>
  <c r="K32" i="15" s="1"/>
  <c r="L29" i="15"/>
  <c r="K29" i="15" s="1"/>
  <c r="L31" i="15"/>
  <c r="K31" i="15" s="1"/>
  <c r="L30" i="15"/>
  <c r="K30" i="15" s="1"/>
  <c r="L28" i="15"/>
  <c r="K28" i="15" s="1"/>
  <c r="J31" i="15"/>
  <c r="I31" i="15" s="1"/>
  <c r="J29" i="15"/>
  <c r="I29" i="15" s="1"/>
  <c r="J32" i="15"/>
  <c r="I32" i="15" s="1"/>
  <c r="J30" i="15"/>
  <c r="I30" i="15" s="1"/>
  <c r="J28" i="15"/>
  <c r="I28" i="15" s="1"/>
  <c r="CL19" i="2"/>
  <c r="CI19" i="2" s="1"/>
  <c r="AI4" i="14" a="1"/>
  <c r="AI4" i="14" s="1"/>
  <c r="AI17" i="14" s="1"/>
  <c r="AI18" i="14" s="1"/>
  <c r="AF4" i="14" a="1"/>
  <c r="AF4" i="14" s="1"/>
  <c r="AF17" i="14" s="1"/>
  <c r="AG184" i="38"/>
  <c r="AG175" i="38"/>
  <c r="AG193" i="38"/>
  <c r="U3" i="15" l="1"/>
  <c r="W65" i="46"/>
  <c r="F16" i="4"/>
  <c r="O16" i="4" s="1"/>
  <c r="O21" i="4" s="1"/>
  <c r="F5" i="4"/>
  <c r="O5" i="4" s="1"/>
  <c r="O10" i="4" s="1"/>
  <c r="N92" i="25"/>
  <c r="F93" i="25"/>
  <c r="AB93" i="25"/>
  <c r="AC92" i="25"/>
  <c r="Y92" i="25"/>
  <c r="P92" i="25"/>
  <c r="M92" i="25"/>
  <c r="V92" i="25"/>
  <c r="T92" i="25"/>
  <c r="U93" i="25"/>
  <c r="K92" i="25"/>
  <c r="X92" i="25"/>
  <c r="Q93" i="25"/>
  <c r="S92" i="25"/>
  <c r="L92" i="25"/>
  <c r="C92" i="25"/>
  <c r="H92" i="25"/>
  <c r="AF92" i="25"/>
  <c r="G93" i="25"/>
  <c r="O92" i="25"/>
  <c r="J92" i="25"/>
  <c r="R93" i="25"/>
  <c r="E92" i="25"/>
  <c r="I93" i="25"/>
  <c r="D93" i="25"/>
  <c r="AE92" i="25"/>
  <c r="AD93" i="25"/>
  <c r="Z92" i="25"/>
  <c r="W92" i="25"/>
  <c r="AA93" i="25"/>
  <c r="H5" i="4" l="1"/>
  <c r="Q5" i="4" s="1"/>
  <c r="Q10" i="4" s="1"/>
  <c r="G5" i="4"/>
  <c r="P5" i="4" s="1"/>
  <c r="P10" i="4" s="1"/>
  <c r="H16" i="4"/>
  <c r="Q16" i="4" s="1"/>
  <c r="Q21" i="4" s="1"/>
  <c r="G16" i="4"/>
  <c r="P16" i="4" s="1"/>
  <c r="P21" i="4" s="1"/>
  <c r="B93" i="25"/>
  <c r="O22" i="4" l="1"/>
  <c r="P22" i="4"/>
  <c r="Q22" i="4"/>
  <c r="O11" i="4"/>
  <c r="O13" i="4" s="1"/>
  <c r="P11" i="4"/>
  <c r="P13" i="4" s="1"/>
  <c r="Q11" i="4"/>
  <c r="Q13" i="4" s="1"/>
  <c r="A56" i="18" a="1"/>
  <c r="A56" i="18" s="1"/>
  <c r="P24" i="4" l="1"/>
  <c r="Q24" i="4"/>
  <c r="O24" i="4"/>
  <c r="Q14" i="4"/>
  <c r="O14" i="4"/>
  <c r="P14" i="4"/>
  <c r="O25" i="4" l="1"/>
  <c r="O26" i="4" s="1"/>
  <c r="Q25" i="4"/>
  <c r="Q26" i="4" s="1"/>
  <c r="P25" i="4"/>
  <c r="P26" i="4" s="1"/>
  <c r="H29" i="22"/>
  <c r="I29" i="22" s="1"/>
  <c r="B87" i="25" l="1"/>
  <c r="C87" i="25"/>
  <c r="D87" i="25"/>
  <c r="E87" i="25"/>
  <c r="F87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B88" i="25"/>
  <c r="C88" i="25"/>
  <c r="D88" i="25"/>
  <c r="E88" i="25"/>
  <c r="F88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B89" i="25"/>
  <c r="C89" i="25"/>
  <c r="D89" i="25"/>
  <c r="E89" i="25"/>
  <c r="F89" i="25"/>
  <c r="G89" i="25"/>
  <c r="H89" i="25"/>
  <c r="I89" i="25"/>
  <c r="J89" i="25"/>
  <c r="K89" i="25"/>
  <c r="L89" i="25"/>
  <c r="M89" i="25"/>
  <c r="N89" i="25"/>
  <c r="O89" i="25"/>
  <c r="P89" i="25"/>
  <c r="Q89" i="25"/>
  <c r="R89" i="25"/>
  <c r="S89" i="25"/>
  <c r="T89" i="25"/>
  <c r="U89" i="25"/>
  <c r="V89" i="25"/>
  <c r="W89" i="25"/>
  <c r="X89" i="25"/>
  <c r="Y89" i="25"/>
  <c r="Z89" i="25"/>
  <c r="AA89" i="25"/>
  <c r="AB89" i="25"/>
  <c r="AC89" i="25"/>
  <c r="AD89" i="25"/>
  <c r="AE89" i="25"/>
  <c r="AF89" i="25"/>
  <c r="A38" i="18" l="1" a="1"/>
  <c r="A38" i="18" l="1"/>
  <c r="C168" i="65"/>
  <c r="C177" i="65" l="1"/>
  <c r="AH13" i="14" a="1"/>
  <c r="AH13" i="14" s="1"/>
  <c r="AH17" i="14" s="1"/>
  <c r="AH18" i="14" s="1"/>
  <c r="AE13" i="14" a="1"/>
  <c r="AE13" i="14" s="1"/>
  <c r="AE17" i="14" s="1"/>
  <c r="AE18" i="14" s="1"/>
  <c r="C194" i="65"/>
  <c r="C193" i="65"/>
  <c r="C192" i="65"/>
  <c r="C187" i="65"/>
  <c r="R99" i="3"/>
  <c r="R100" i="3" s="1"/>
  <c r="S99" i="3"/>
  <c r="S100" i="3" s="1"/>
  <c r="T99" i="3"/>
  <c r="T100" i="3" s="1"/>
  <c r="U99" i="3"/>
  <c r="U100" i="3" s="1"/>
  <c r="V99" i="3"/>
  <c r="V100" i="3" s="1"/>
  <c r="W99" i="3"/>
  <c r="W100" i="3" s="1"/>
  <c r="U2" i="15" l="1"/>
  <c r="V65" i="46"/>
  <c r="P92" i="4"/>
  <c r="O92" i="4"/>
  <c r="Q92" i="4"/>
  <c r="N29" i="22" l="1"/>
  <c r="O29" i="22" s="1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7" i="22" l="1"/>
  <c r="N6" i="22" s="1"/>
  <c r="N5" i="22" s="1"/>
  <c r="N4" i="22" l="1"/>
  <c r="B92" i="25" l="1"/>
  <c r="N93" i="25"/>
  <c r="T93" i="25"/>
  <c r="G92" i="25"/>
  <c r="W93" i="25"/>
  <c r="K93" i="25"/>
  <c r="O93" i="25"/>
  <c r="F92" i="25"/>
  <c r="AC93" i="25"/>
  <c r="I92" i="25"/>
  <c r="AD92" i="25"/>
  <c r="U92" i="25"/>
  <c r="AB92" i="25"/>
  <c r="L93" i="25"/>
  <c r="M93" i="25"/>
  <c r="H93" i="25"/>
  <c r="Q92" i="25"/>
  <c r="D92" i="25"/>
  <c r="AA92" i="25"/>
  <c r="J93" i="25"/>
  <c r="AE93" i="25"/>
  <c r="AF93" i="25"/>
  <c r="E93" i="25"/>
  <c r="S93" i="25"/>
  <c r="Z93" i="25"/>
  <c r="V93" i="25"/>
  <c r="R92" i="25"/>
  <c r="Y93" i="25"/>
  <c r="C93" i="25"/>
  <c r="X93" i="25"/>
  <c r="P93" i="25"/>
  <c r="F5" i="3"/>
  <c r="G5" i="3"/>
  <c r="H5" i="3"/>
  <c r="I5" i="3"/>
  <c r="J5" i="3"/>
  <c r="K5" i="3"/>
  <c r="U5" i="3" l="1"/>
  <c r="U10" i="3" s="1"/>
  <c r="T5" i="3"/>
  <c r="T10" i="3" s="1"/>
  <c r="V5" i="3"/>
  <c r="V10" i="3" s="1"/>
  <c r="S5" i="3"/>
  <c r="S10" i="3" s="1"/>
  <c r="R5" i="3"/>
  <c r="R10" i="3" s="1"/>
  <c r="W5" i="3"/>
  <c r="W10" i="3" s="1"/>
  <c r="W11" i="3" l="1"/>
  <c r="W13" i="3" s="1"/>
  <c r="W14" i="3" s="1"/>
  <c r="V11" i="3"/>
  <c r="V13" i="3" s="1"/>
  <c r="V14" i="3" s="1"/>
  <c r="T11" i="3"/>
  <c r="T13" i="3" s="1"/>
  <c r="T14" i="3" s="1"/>
  <c r="R11" i="3"/>
  <c r="R13" i="3" s="1"/>
  <c r="R14" i="3" s="1"/>
  <c r="S11" i="3"/>
  <c r="S13" i="3" s="1"/>
  <c r="S14" i="3" s="1"/>
  <c r="U11" i="3"/>
  <c r="U13" i="3" s="1"/>
  <c r="U14" i="3" s="1"/>
  <c r="U15" i="3" l="1"/>
  <c r="U16" i="3" s="1"/>
  <c r="U175" i="3" s="1"/>
  <c r="V15" i="3"/>
  <c r="V16" i="3" s="1"/>
  <c r="R15" i="3"/>
  <c r="R16" i="3" s="1"/>
  <c r="R175" i="3" s="1"/>
  <c r="R174" i="3" s="1"/>
  <c r="D5" i="69" s="1"/>
  <c r="W15" i="3"/>
  <c r="W16" i="3" s="1"/>
  <c r="S15" i="3"/>
  <c r="S16" i="3" s="1"/>
  <c r="S175" i="3" s="1"/>
  <c r="S174" i="3" s="1"/>
  <c r="V8" i="15" s="1"/>
  <c r="T15" i="3"/>
  <c r="T16" i="3" s="1"/>
  <c r="T175" i="3" s="1"/>
  <c r="T174" i="3" s="1"/>
  <c r="V7" i="15" s="1"/>
  <c r="V175" i="3"/>
  <c r="W175" i="3"/>
  <c r="E5" i="69" l="1"/>
  <c r="E6" i="69"/>
  <c r="U8" i="17"/>
  <c r="L16" i="17" s="1"/>
  <c r="K16" i="17" s="1"/>
  <c r="P15" i="4"/>
  <c r="P162" i="4" s="1"/>
  <c r="F6" i="69"/>
  <c r="D6" i="69"/>
  <c r="U8" i="16"/>
  <c r="L9" i="16" s="1"/>
  <c r="K9" i="16" s="1"/>
  <c r="AC8" i="15"/>
  <c r="Y8" i="15"/>
  <c r="AE8" i="15"/>
  <c r="AD8" i="15"/>
  <c r="AE7" i="15"/>
  <c r="AD7" i="15"/>
  <c r="AC7" i="15"/>
  <c r="Y7" i="15"/>
  <c r="L13" i="17"/>
  <c r="K13" i="17" s="1"/>
  <c r="L23" i="17"/>
  <c r="K23" i="17" s="1"/>
  <c r="L4" i="17"/>
  <c r="K4" i="17" s="1"/>
  <c r="L14" i="17"/>
  <c r="K14" i="17" s="1"/>
  <c r="L25" i="17"/>
  <c r="K25" i="17" s="1"/>
  <c r="L6" i="17"/>
  <c r="K6" i="17" s="1"/>
  <c r="L22" i="17"/>
  <c r="K22" i="17" s="1"/>
  <c r="L19" i="17"/>
  <c r="K19" i="17" s="1"/>
  <c r="L12" i="17"/>
  <c r="K12" i="17" s="1"/>
  <c r="L3" i="17"/>
  <c r="K3" i="17" s="1"/>
  <c r="L31" i="17"/>
  <c r="K31" i="17" s="1"/>
  <c r="L2" i="17"/>
  <c r="K2" i="17" s="1"/>
  <c r="L9" i="17"/>
  <c r="K9" i="17" s="1"/>
  <c r="L29" i="17"/>
  <c r="K29" i="17" s="1"/>
  <c r="L10" i="17"/>
  <c r="K10" i="17" s="1"/>
  <c r="L30" i="17"/>
  <c r="K30" i="17" s="1"/>
  <c r="L20" i="17"/>
  <c r="K20" i="17" s="1"/>
  <c r="L32" i="17"/>
  <c r="K32" i="17" s="1"/>
  <c r="L7" i="17"/>
  <c r="K7" i="17" s="1"/>
  <c r="L18" i="17"/>
  <c r="K18" i="17" s="1"/>
  <c r="L15" i="17"/>
  <c r="K15" i="17" s="1"/>
  <c r="L8" i="17"/>
  <c r="K8" i="17" s="1"/>
  <c r="L26" i="17"/>
  <c r="K26" i="17" s="1"/>
  <c r="L17" i="17"/>
  <c r="K17" i="17" s="1"/>
  <c r="L28" i="17"/>
  <c r="K28" i="17" s="1"/>
  <c r="L11" i="17"/>
  <c r="K11" i="17" s="1"/>
  <c r="L5" i="17"/>
  <c r="K5" i="17" s="1"/>
  <c r="L24" i="17"/>
  <c r="K24" i="17" s="1"/>
  <c r="L21" i="17"/>
  <c r="K21" i="17" s="1"/>
  <c r="L27" i="17"/>
  <c r="K27" i="17" s="1"/>
  <c r="U7" i="16"/>
  <c r="U7" i="17"/>
  <c r="F5" i="69"/>
  <c r="I6" i="69"/>
  <c r="W174" i="3"/>
  <c r="Y4" i="15" s="1"/>
  <c r="H6" i="69"/>
  <c r="V174" i="3"/>
  <c r="Y3" i="15" s="1"/>
  <c r="U174" i="3"/>
  <c r="Y2" i="15" s="1"/>
  <c r="G6" i="69"/>
  <c r="L19" i="16" l="1"/>
  <c r="K19" i="16" s="1"/>
  <c r="L24" i="16"/>
  <c r="K24" i="16" s="1"/>
  <c r="L13" i="16"/>
  <c r="K13" i="16" s="1"/>
  <c r="L8" i="16"/>
  <c r="K8" i="16" s="1"/>
  <c r="L31" i="16"/>
  <c r="K31" i="16" s="1"/>
  <c r="L20" i="16"/>
  <c r="K20" i="16" s="1"/>
  <c r="L7" i="16"/>
  <c r="K7" i="16" s="1"/>
  <c r="L2" i="16"/>
  <c r="K2" i="16" s="1"/>
  <c r="L14" i="16"/>
  <c r="K14" i="16" s="1"/>
  <c r="L25" i="16"/>
  <c r="K25" i="16" s="1"/>
  <c r="L6" i="16"/>
  <c r="K6" i="16" s="1"/>
  <c r="L27" i="16"/>
  <c r="K27" i="16" s="1"/>
  <c r="L21" i="16"/>
  <c r="K21" i="16" s="1"/>
  <c r="L29" i="16"/>
  <c r="K29" i="16" s="1"/>
  <c r="L10" i="16"/>
  <c r="K10" i="16" s="1"/>
  <c r="L23" i="16"/>
  <c r="K23" i="16" s="1"/>
  <c r="L30" i="16"/>
  <c r="K30" i="16" s="1"/>
  <c r="L22" i="16"/>
  <c r="K22" i="16" s="1"/>
  <c r="L17" i="16"/>
  <c r="K17" i="16" s="1"/>
  <c r="L4" i="16"/>
  <c r="K4" i="16" s="1"/>
  <c r="L3" i="16"/>
  <c r="K3" i="16" s="1"/>
  <c r="L5" i="16"/>
  <c r="K5" i="16" s="1"/>
  <c r="L27" i="15"/>
  <c r="K27" i="15" s="1"/>
  <c r="J54" i="22" s="1"/>
  <c r="L15" i="15"/>
  <c r="K15" i="15" s="1"/>
  <c r="J42" i="22" s="1"/>
  <c r="L3" i="15"/>
  <c r="L13" i="15"/>
  <c r="K13" i="15" s="1"/>
  <c r="J40" i="22" s="1"/>
  <c r="L24" i="15"/>
  <c r="K24" i="15" s="1"/>
  <c r="J51" i="22" s="1"/>
  <c r="L11" i="15"/>
  <c r="K11" i="15" s="1"/>
  <c r="J38" i="22" s="1"/>
  <c r="L22" i="15"/>
  <c r="K22" i="15" s="1"/>
  <c r="J49" i="22" s="1"/>
  <c r="L9" i="15"/>
  <c r="K9" i="15" s="1"/>
  <c r="J36" i="22" s="1"/>
  <c r="L19" i="15"/>
  <c r="K19" i="15" s="1"/>
  <c r="J46" i="22" s="1"/>
  <c r="L18" i="15"/>
  <c r="K18" i="15" s="1"/>
  <c r="J45" i="22" s="1"/>
  <c r="L4" i="15"/>
  <c r="K4" i="15" s="1"/>
  <c r="J31" i="22" s="1"/>
  <c r="L26" i="15"/>
  <c r="K26" i="15" s="1"/>
  <c r="J53" i="22" s="1"/>
  <c r="L14" i="15"/>
  <c r="K14" i="15" s="1"/>
  <c r="J41" i="22" s="1"/>
  <c r="L2" i="15"/>
  <c r="K2" i="15" s="1"/>
  <c r="J29" i="22" s="1"/>
  <c r="K29" i="22" s="1"/>
  <c r="L25" i="15"/>
  <c r="L12" i="15"/>
  <c r="K12" i="15" s="1"/>
  <c r="J39" i="22" s="1"/>
  <c r="L23" i="15"/>
  <c r="K23" i="15" s="1"/>
  <c r="J50" i="22" s="1"/>
  <c r="L10" i="15"/>
  <c r="K10" i="15" s="1"/>
  <c r="J37" i="22" s="1"/>
  <c r="L21" i="15"/>
  <c r="K21" i="15" s="1"/>
  <c r="J48" i="22" s="1"/>
  <c r="L8" i="15"/>
  <c r="K8" i="15" s="1"/>
  <c r="J35" i="22" s="1"/>
  <c r="L7" i="15"/>
  <c r="K7" i="15" s="1"/>
  <c r="L6" i="15"/>
  <c r="K6" i="15" s="1"/>
  <c r="J33" i="22" s="1"/>
  <c r="L17" i="15"/>
  <c r="K17" i="15" s="1"/>
  <c r="J44" i="22" s="1"/>
  <c r="L16" i="15"/>
  <c r="K16" i="15" s="1"/>
  <c r="J43" i="22" s="1"/>
  <c r="L20" i="15"/>
  <c r="K20" i="15" s="1"/>
  <c r="J47" i="22" s="1"/>
  <c r="L5" i="15"/>
  <c r="K5" i="15" s="1"/>
  <c r="J32" i="22" s="1"/>
  <c r="J22" i="15"/>
  <c r="I22" i="15" s="1"/>
  <c r="J10" i="15"/>
  <c r="I10" i="15" s="1"/>
  <c r="J20" i="15"/>
  <c r="I20" i="15" s="1"/>
  <c r="J7" i="15"/>
  <c r="I7" i="15" s="1"/>
  <c r="J18" i="15"/>
  <c r="I18" i="15" s="1"/>
  <c r="J5" i="15"/>
  <c r="I5" i="15" s="1"/>
  <c r="J16" i="15"/>
  <c r="I16" i="15" s="1"/>
  <c r="J15" i="15"/>
  <c r="I15" i="15" s="1"/>
  <c r="J26" i="15"/>
  <c r="I26" i="15" s="1"/>
  <c r="J12" i="15"/>
  <c r="I12" i="15" s="1"/>
  <c r="J21" i="15"/>
  <c r="I21" i="15" s="1"/>
  <c r="J9" i="15"/>
  <c r="I9" i="15" s="1"/>
  <c r="J8" i="15"/>
  <c r="I8" i="15" s="1"/>
  <c r="J19" i="15"/>
  <c r="I19" i="15" s="1"/>
  <c r="J6" i="15"/>
  <c r="I6" i="15" s="1"/>
  <c r="J17" i="15"/>
  <c r="I17" i="15" s="1"/>
  <c r="J4" i="15"/>
  <c r="I4" i="15" s="1"/>
  <c r="J27" i="15"/>
  <c r="I27" i="15" s="1"/>
  <c r="J3" i="15"/>
  <c r="J2" i="15"/>
  <c r="I2" i="15" s="1"/>
  <c r="L29" i="22" s="1"/>
  <c r="M29" i="22" s="1"/>
  <c r="J13" i="15"/>
  <c r="I13" i="15" s="1"/>
  <c r="J24" i="15"/>
  <c r="I24" i="15" s="1"/>
  <c r="J23" i="15"/>
  <c r="I23" i="15" s="1"/>
  <c r="J14" i="15"/>
  <c r="I14" i="15" s="1"/>
  <c r="J25" i="15"/>
  <c r="I25" i="15" s="1"/>
  <c r="J11" i="15"/>
  <c r="I11" i="15" s="1"/>
  <c r="L16" i="16"/>
  <c r="K16" i="16" s="1"/>
  <c r="L18" i="16"/>
  <c r="K18" i="16" s="1"/>
  <c r="L12" i="16"/>
  <c r="K12" i="16" s="1"/>
  <c r="L11" i="16"/>
  <c r="K11" i="16" s="1"/>
  <c r="L32" i="16"/>
  <c r="K32" i="16" s="1"/>
  <c r="L26" i="16"/>
  <c r="K26" i="16" s="1"/>
  <c r="L28" i="16"/>
  <c r="K28" i="16" s="1"/>
  <c r="L15" i="16"/>
  <c r="K15" i="16" s="1"/>
  <c r="C25" i="15"/>
  <c r="C24" i="15"/>
  <c r="C23" i="15"/>
  <c r="C22" i="15"/>
  <c r="C21" i="15"/>
  <c r="C20" i="15"/>
  <c r="C19" i="15"/>
  <c r="C18" i="15"/>
  <c r="C26" i="15"/>
  <c r="C17" i="15"/>
  <c r="C27" i="15"/>
  <c r="C16" i="15"/>
  <c r="O15" i="4"/>
  <c r="O162" i="4" s="1"/>
  <c r="J6" i="69" s="1"/>
  <c r="Q15" i="4"/>
  <c r="Q162" i="4" s="1"/>
  <c r="L6" i="69" s="1"/>
  <c r="K25" i="15"/>
  <c r="J52" i="22" s="1"/>
  <c r="J56" i="22"/>
  <c r="J55" i="22"/>
  <c r="J57" i="22"/>
  <c r="J34" i="22"/>
  <c r="J59" i="22"/>
  <c r="J58" i="22"/>
  <c r="G5" i="69"/>
  <c r="X2" i="17"/>
  <c r="H5" i="69"/>
  <c r="X3" i="17"/>
  <c r="I5" i="69"/>
  <c r="X4" i="17"/>
  <c r="K6" i="69"/>
  <c r="J30" i="17"/>
  <c r="I30" i="17" s="1"/>
  <c r="J3" i="17"/>
  <c r="I3" i="17" s="1"/>
  <c r="J19" i="17"/>
  <c r="I19" i="17" s="1"/>
  <c r="J22" i="17"/>
  <c r="I22" i="17" s="1"/>
  <c r="J24" i="17"/>
  <c r="I24" i="17" s="1"/>
  <c r="J20" i="17"/>
  <c r="I20" i="17" s="1"/>
  <c r="J12" i="17"/>
  <c r="I12" i="17" s="1"/>
  <c r="J23" i="17"/>
  <c r="I23" i="17" s="1"/>
  <c r="J2" i="17"/>
  <c r="I2" i="17" s="1"/>
  <c r="J7" i="17"/>
  <c r="I7" i="17" s="1"/>
  <c r="J13" i="17"/>
  <c r="I13" i="17" s="1"/>
  <c r="J18" i="17"/>
  <c r="I18" i="17" s="1"/>
  <c r="J25" i="17"/>
  <c r="I25" i="17" s="1"/>
  <c r="J4" i="17"/>
  <c r="I4" i="17" s="1"/>
  <c r="J16" i="17"/>
  <c r="I16" i="17" s="1"/>
  <c r="J10" i="17"/>
  <c r="I10" i="17" s="1"/>
  <c r="J28" i="17"/>
  <c r="I28" i="17" s="1"/>
  <c r="J31" i="17"/>
  <c r="I31" i="17" s="1"/>
  <c r="J6" i="17"/>
  <c r="I6" i="17" s="1"/>
  <c r="J8" i="17"/>
  <c r="I8" i="17" s="1"/>
  <c r="J26" i="17"/>
  <c r="I26" i="17" s="1"/>
  <c r="J32" i="17"/>
  <c r="I32" i="17" s="1"/>
  <c r="J29" i="17"/>
  <c r="I29" i="17" s="1"/>
  <c r="J5" i="17"/>
  <c r="I5" i="17" s="1"/>
  <c r="J11" i="17"/>
  <c r="I11" i="17" s="1"/>
  <c r="J15" i="17"/>
  <c r="I15" i="17" s="1"/>
  <c r="J9" i="17"/>
  <c r="I9" i="17" s="1"/>
  <c r="J17" i="17"/>
  <c r="I17" i="17" s="1"/>
  <c r="J21" i="17"/>
  <c r="I21" i="17" s="1"/>
  <c r="J14" i="17"/>
  <c r="I14" i="17" s="1"/>
  <c r="J27" i="17"/>
  <c r="I27" i="17" s="1"/>
  <c r="J30" i="16"/>
  <c r="I30" i="16" s="1"/>
  <c r="J11" i="16"/>
  <c r="I11" i="16" s="1"/>
  <c r="J19" i="16"/>
  <c r="I19" i="16" s="1"/>
  <c r="J2" i="16"/>
  <c r="I2" i="16" s="1"/>
  <c r="J7" i="16"/>
  <c r="I7" i="16" s="1"/>
  <c r="J9" i="16"/>
  <c r="I9" i="16" s="1"/>
  <c r="J13" i="16"/>
  <c r="I13" i="16" s="1"/>
  <c r="J23" i="16"/>
  <c r="I23" i="16" s="1"/>
  <c r="J5" i="16"/>
  <c r="I5" i="16" s="1"/>
  <c r="J16" i="16"/>
  <c r="I16" i="16" s="1"/>
  <c r="J22" i="16"/>
  <c r="I22" i="16" s="1"/>
  <c r="J6" i="16"/>
  <c r="I6" i="16" s="1"/>
  <c r="J25" i="16"/>
  <c r="I25" i="16" s="1"/>
  <c r="J29" i="16"/>
  <c r="I29" i="16" s="1"/>
  <c r="J31" i="16"/>
  <c r="I31" i="16" s="1"/>
  <c r="J14" i="16"/>
  <c r="I14" i="16" s="1"/>
  <c r="J24" i="16"/>
  <c r="I24" i="16" s="1"/>
  <c r="J3" i="16"/>
  <c r="I3" i="16" s="1"/>
  <c r="J17" i="16"/>
  <c r="I17" i="16" s="1"/>
  <c r="J32" i="16"/>
  <c r="I32" i="16" s="1"/>
  <c r="J4" i="16"/>
  <c r="I4" i="16" s="1"/>
  <c r="J26" i="16"/>
  <c r="I26" i="16" s="1"/>
  <c r="J27" i="16"/>
  <c r="I27" i="16" s="1"/>
  <c r="J10" i="16"/>
  <c r="I10" i="16" s="1"/>
  <c r="J21" i="16"/>
  <c r="I21" i="16" s="1"/>
  <c r="J28" i="16"/>
  <c r="I28" i="16" s="1"/>
  <c r="J18" i="16"/>
  <c r="I18" i="16" s="1"/>
  <c r="J12" i="16"/>
  <c r="I12" i="16" s="1"/>
  <c r="J8" i="16"/>
  <c r="I8" i="16" s="1"/>
  <c r="J20" i="16"/>
  <c r="I20" i="16" s="1"/>
  <c r="J15" i="16"/>
  <c r="I15" i="16" s="1"/>
  <c r="Q161" i="4" l="1"/>
  <c r="AA4" i="15" s="1"/>
  <c r="T4" i="15" s="1"/>
  <c r="P161" i="4"/>
  <c r="AA3" i="15" s="1"/>
  <c r="O161" i="4"/>
  <c r="AA2" i="15" s="1"/>
  <c r="L40" i="22"/>
  <c r="L59" i="22"/>
  <c r="L54" i="22"/>
  <c r="L50" i="22"/>
  <c r="L49" i="22"/>
  <c r="L57" i="22"/>
  <c r="L39" i="22"/>
  <c r="L47" i="22"/>
  <c r="L46" i="22"/>
  <c r="L51" i="22"/>
  <c r="L31" i="22"/>
  <c r="L45" i="22"/>
  <c r="L34" i="22"/>
  <c r="L48" i="22"/>
  <c r="L41" i="22"/>
  <c r="L35" i="22"/>
  <c r="L42" i="22"/>
  <c r="L37" i="22"/>
  <c r="L32" i="22"/>
  <c r="L43" i="22"/>
  <c r="L56" i="22"/>
  <c r="L52" i="22"/>
  <c r="L53" i="22"/>
  <c r="L36" i="22"/>
  <c r="L38" i="22"/>
  <c r="L55" i="22"/>
  <c r="L44" i="22"/>
  <c r="L33" i="22"/>
  <c r="L58" i="22"/>
  <c r="K5" i="69"/>
  <c r="Z4" i="17" l="1"/>
  <c r="X3" i="16"/>
  <c r="Z3" i="17"/>
  <c r="Z2" i="17"/>
  <c r="X4" i="16"/>
  <c r="L5" i="69"/>
  <c r="C31" i="15"/>
  <c r="C30" i="15"/>
  <c r="C32" i="15"/>
  <c r="C28" i="15"/>
  <c r="C29" i="15"/>
  <c r="E29" i="15"/>
  <c r="E30" i="15"/>
  <c r="E32" i="15"/>
  <c r="E31" i="15"/>
  <c r="G29" i="15"/>
  <c r="H29" i="15" s="1"/>
  <c r="G31" i="15"/>
  <c r="H31" i="15" s="1"/>
  <c r="G32" i="15"/>
  <c r="H32" i="15" s="1"/>
  <c r="G30" i="15"/>
  <c r="H30" i="15" s="1"/>
  <c r="X2" i="16"/>
  <c r="J5" i="69"/>
  <c r="T3" i="15"/>
  <c r="W3" i="15" s="1"/>
  <c r="X3" i="15" s="1"/>
  <c r="W4" i="15"/>
  <c r="X4" i="15" s="1"/>
  <c r="G20" i="15" l="1"/>
  <c r="G17" i="15"/>
  <c r="G21" i="15"/>
  <c r="G25" i="15"/>
  <c r="H25" i="15" s="1"/>
  <c r="G26" i="15"/>
  <c r="H26" i="15" s="1"/>
  <c r="G24" i="15"/>
  <c r="H24" i="15" s="1"/>
  <c r="G27" i="15"/>
  <c r="H27" i="15" s="1"/>
  <c r="G11" i="15"/>
  <c r="G13" i="15"/>
  <c r="G19" i="15"/>
  <c r="G18" i="15"/>
  <c r="G8" i="15"/>
  <c r="G14" i="15"/>
  <c r="G15" i="15"/>
  <c r="G9" i="15"/>
  <c r="G10" i="15"/>
  <c r="G16" i="15"/>
  <c r="G7" i="15"/>
  <c r="G23" i="15"/>
  <c r="H23" i="15" s="1"/>
  <c r="E16" i="15"/>
  <c r="G28" i="15"/>
  <c r="H28" i="15" s="1"/>
  <c r="G22" i="15"/>
  <c r="G12" i="15"/>
  <c r="E11" i="15" l="1"/>
  <c r="E22" i="15"/>
  <c r="E10" i="15"/>
  <c r="E21" i="15"/>
  <c r="E5" i="15"/>
  <c r="E7" i="15"/>
  <c r="E12" i="15"/>
  <c r="E25" i="15"/>
  <c r="E13" i="15"/>
  <c r="E28" i="15"/>
  <c r="E18" i="15"/>
  <c r="E27" i="15"/>
  <c r="E14" i="15"/>
  <c r="E9" i="15"/>
  <c r="E17" i="15"/>
  <c r="E20" i="15"/>
  <c r="E8" i="15"/>
  <c r="E15" i="15"/>
  <c r="E6" i="15"/>
  <c r="E24" i="15"/>
  <c r="E19" i="15"/>
  <c r="E26" i="15"/>
  <c r="E23" i="15"/>
  <c r="D23" i="15" l="1"/>
  <c r="D50" i="22" s="1"/>
  <c r="D24" i="15"/>
  <c r="D25" i="15"/>
  <c r="D52" i="22" s="1"/>
  <c r="D26" i="15"/>
  <c r="D53" i="22" s="1"/>
  <c r="D27" i="15"/>
  <c r="D28" i="15"/>
  <c r="D55" i="22" s="1"/>
  <c r="D29" i="15"/>
  <c r="D56" i="22" s="1"/>
  <c r="D30" i="15"/>
  <c r="D57" i="22" s="1"/>
  <c r="D31" i="15"/>
  <c r="D58" i="22" s="1"/>
  <c r="D32" i="15"/>
  <c r="D59" i="22" s="1"/>
  <c r="D51" i="22" l="1"/>
  <c r="D54" i="22"/>
  <c r="F2" i="15" l="1"/>
  <c r="F4" i="15"/>
  <c r="F31" i="22" s="1"/>
  <c r="F23" i="15"/>
  <c r="F50" i="22" s="1"/>
  <c r="F24" i="15"/>
  <c r="F51" i="22" s="1"/>
  <c r="F25" i="15"/>
  <c r="F52" i="22" s="1"/>
  <c r="F26" i="15"/>
  <c r="F53" i="22" s="1"/>
  <c r="F27" i="15"/>
  <c r="F54" i="22" s="1"/>
  <c r="F28" i="15"/>
  <c r="F55" i="22" s="1"/>
  <c r="F29" i="15"/>
  <c r="F56" i="22" s="1"/>
  <c r="F30" i="15"/>
  <c r="F31" i="15"/>
  <c r="F58" i="22" s="1"/>
  <c r="F32" i="15"/>
  <c r="F59" i="22" s="1"/>
  <c r="F57" i="22" l="1"/>
  <c r="F29" i="22"/>
  <c r="G29" i="22" l="1"/>
  <c r="H51" i="22" l="1"/>
  <c r="Q51" i="22" s="1"/>
  <c r="H55" i="22"/>
  <c r="Q55" i="22" s="1"/>
  <c r="H32" i="22"/>
  <c r="O23" i="15"/>
  <c r="M24" i="15"/>
  <c r="B51" i="22" s="1"/>
  <c r="O24" i="15"/>
  <c r="P24" i="15"/>
  <c r="H52" i="22"/>
  <c r="Q52" i="22" s="1"/>
  <c r="M25" i="15"/>
  <c r="B52" i="22" s="1"/>
  <c r="O25" i="15"/>
  <c r="P25" i="15"/>
  <c r="H53" i="22"/>
  <c r="Q53" i="22" s="1"/>
  <c r="M26" i="15"/>
  <c r="B53" i="22" s="1"/>
  <c r="O26" i="15"/>
  <c r="P26" i="15"/>
  <c r="P27" i="15"/>
  <c r="O27" i="15"/>
  <c r="M28" i="15"/>
  <c r="N28" i="15" s="1"/>
  <c r="O28" i="15"/>
  <c r="P28" i="15"/>
  <c r="H56" i="22"/>
  <c r="Q56" i="22" s="1"/>
  <c r="M29" i="15"/>
  <c r="B56" i="22" s="1"/>
  <c r="O29" i="15"/>
  <c r="P29" i="15"/>
  <c r="H57" i="22"/>
  <c r="Q57" i="22" s="1"/>
  <c r="M30" i="15"/>
  <c r="B57" i="22" s="1"/>
  <c r="O30" i="15"/>
  <c r="P30" i="15"/>
  <c r="M31" i="15"/>
  <c r="O31" i="15"/>
  <c r="H59" i="22"/>
  <c r="Q59" i="22" s="1"/>
  <c r="M32" i="15"/>
  <c r="B59" i="22" s="1"/>
  <c r="O32" i="15"/>
  <c r="P32" i="15"/>
  <c r="N30" i="15" l="1"/>
  <c r="N24" i="15"/>
  <c r="N32" i="15"/>
  <c r="B55" i="22"/>
  <c r="N29" i="15"/>
  <c r="N26" i="15"/>
  <c r="N25" i="15"/>
  <c r="B58" i="22"/>
  <c r="N31" i="15"/>
  <c r="P31" i="15"/>
  <c r="H58" i="22"/>
  <c r="Q58" i="22" s="1"/>
  <c r="H54" i="22"/>
  <c r="Q54" i="22" s="1"/>
  <c r="M27" i="15"/>
  <c r="N27" i="15" s="1"/>
  <c r="H31" i="22"/>
  <c r="P23" i="15"/>
  <c r="M23" i="15"/>
  <c r="H50" i="22"/>
  <c r="Q50" i="22" s="1"/>
  <c r="H33" i="22"/>
  <c r="B54" i="22" l="1"/>
  <c r="B50" i="22"/>
  <c r="N23" i="15"/>
  <c r="D22" i="15" l="1"/>
  <c r="D20" i="15"/>
  <c r="D47" i="22" s="1"/>
  <c r="D21" i="15"/>
  <c r="D48" i="22" l="1"/>
  <c r="D49" i="22"/>
  <c r="F12" i="15" l="1"/>
  <c r="F39" i="22" s="1"/>
  <c r="F7" i="15"/>
  <c r="F34" i="22" s="1"/>
  <c r="F14" i="15"/>
  <c r="F41" i="22" s="1"/>
  <c r="F17" i="15"/>
  <c r="F44" i="22" s="1"/>
  <c r="F22" i="15"/>
  <c r="F49" i="22" l="1"/>
  <c r="F20" i="15"/>
  <c r="Z3" i="15"/>
  <c r="F5" i="15"/>
  <c r="F9" i="15"/>
  <c r="F36" i="22" s="1"/>
  <c r="AD3" i="15"/>
  <c r="F11" i="15"/>
  <c r="F38" i="22" s="1"/>
  <c r="AE3" i="15"/>
  <c r="F6" i="15"/>
  <c r="AC3" i="15"/>
  <c r="F15" i="15"/>
  <c r="F42" i="22" s="1"/>
  <c r="F10" i="15"/>
  <c r="F37" i="22" s="1"/>
  <c r="F13" i="15"/>
  <c r="F40" i="22" s="1"/>
  <c r="F8" i="15"/>
  <c r="F35" i="22" s="1"/>
  <c r="F19" i="15" l="1"/>
  <c r="F32" i="22"/>
  <c r="F16" i="15"/>
  <c r="F47" i="22"/>
  <c r="F33" i="22"/>
  <c r="F18" i="15"/>
  <c r="F21" i="15"/>
  <c r="F46" i="22" l="1"/>
  <c r="F48" i="22"/>
  <c r="F43" i="22"/>
  <c r="F45" i="22"/>
  <c r="AE4" i="15" l="1"/>
  <c r="H7" i="15"/>
  <c r="H11" i="15"/>
  <c r="H14" i="15"/>
  <c r="H17" i="15"/>
  <c r="H18" i="15"/>
  <c r="O22" i="15"/>
  <c r="H22" i="15"/>
  <c r="M22" i="15" s="1"/>
  <c r="H34" i="22" l="1"/>
  <c r="H44" i="22"/>
  <c r="H45" i="22"/>
  <c r="O20" i="15"/>
  <c r="H20" i="15"/>
  <c r="H38" i="22"/>
  <c r="H41" i="22"/>
  <c r="B49" i="22"/>
  <c r="N22" i="15"/>
  <c r="P22" i="15"/>
  <c r="H49" i="22"/>
  <c r="Q49" i="22" s="1"/>
  <c r="Z4" i="15"/>
  <c r="H12" i="15"/>
  <c r="AC4" i="15"/>
  <c r="AD4" i="15"/>
  <c r="H8" i="15"/>
  <c r="H15" i="15"/>
  <c r="H9" i="15"/>
  <c r="H10" i="15"/>
  <c r="H13" i="15"/>
  <c r="H47" i="22" l="1"/>
  <c r="Q47" i="22" s="1"/>
  <c r="P20" i="15"/>
  <c r="M20" i="15"/>
  <c r="H19" i="15"/>
  <c r="H40" i="22"/>
  <c r="H37" i="22"/>
  <c r="H36" i="22"/>
  <c r="H42" i="22"/>
  <c r="H35" i="22"/>
  <c r="H39" i="22"/>
  <c r="O21" i="15"/>
  <c r="H21" i="15"/>
  <c r="H16" i="15"/>
  <c r="H48" i="22" l="1"/>
  <c r="Q48" i="22" s="1"/>
  <c r="M21" i="15"/>
  <c r="P21" i="15"/>
  <c r="H46" i="22"/>
  <c r="H43" i="22"/>
  <c r="N20" i="15"/>
  <c r="B47" i="22"/>
  <c r="N21" i="15" l="1"/>
  <c r="B48" i="22"/>
  <c r="D16" i="15" l="1"/>
  <c r="D17" i="15"/>
  <c r="P17" i="15" s="1"/>
  <c r="D18" i="15"/>
  <c r="D19" i="15"/>
  <c r="O19" i="15" l="1"/>
  <c r="M19" i="15"/>
  <c r="N19" i="15" s="1"/>
  <c r="P19" i="15"/>
  <c r="D46" i="22"/>
  <c r="Q46" i="22" s="1"/>
  <c r="O16" i="15"/>
  <c r="O17" i="15"/>
  <c r="D45" i="22"/>
  <c r="Q45" i="22" s="1"/>
  <c r="M18" i="15"/>
  <c r="P18" i="15"/>
  <c r="P16" i="15"/>
  <c r="M16" i="15"/>
  <c r="B43" i="22" s="1"/>
  <c r="D43" i="22"/>
  <c r="Q43" i="22" s="1"/>
  <c r="O18" i="15"/>
  <c r="D44" i="22"/>
  <c r="Q44" i="22" s="1"/>
  <c r="M17" i="15"/>
  <c r="B46" i="22" l="1"/>
  <c r="N18" i="15"/>
  <c r="B45" i="22"/>
  <c r="N16" i="15"/>
  <c r="N17" i="15"/>
  <c r="B44" i="22"/>
  <c r="C14" i="15"/>
  <c r="D14" i="15" s="1"/>
  <c r="D41" i="22" s="1"/>
  <c r="Q41" i="22" s="1"/>
  <c r="C15" i="15"/>
  <c r="O15" i="15" s="1"/>
  <c r="D15" i="15" l="1"/>
  <c r="D42" i="22" s="1"/>
  <c r="Q42" i="22" s="1"/>
  <c r="M14" i="15"/>
  <c r="B41" i="22" s="1"/>
  <c r="P14" i="15"/>
  <c r="O14" i="15"/>
  <c r="N14" i="15" l="1"/>
  <c r="P15" i="15"/>
  <c r="M15" i="15"/>
  <c r="B42" i="22" l="1"/>
  <c r="N15" i="15"/>
  <c r="C13" i="15" l="1"/>
  <c r="D13" i="15" s="1"/>
  <c r="M13" i="15" s="1"/>
  <c r="N13" i="15" l="1"/>
  <c r="B40" i="22"/>
  <c r="P13" i="15"/>
  <c r="D40" i="22"/>
  <c r="Q40" i="22" s="1"/>
  <c r="O13" i="15"/>
  <c r="C10" i="15"/>
  <c r="O10" i="15" s="1"/>
  <c r="C11" i="15"/>
  <c r="D11" i="15" s="1"/>
  <c r="P11" i="15" s="1"/>
  <c r="C12" i="15"/>
  <c r="D12" i="15" s="1"/>
  <c r="D10" i="15" l="1"/>
  <c r="O11" i="15"/>
  <c r="D39" i="22"/>
  <c r="Q39" i="22" s="1"/>
  <c r="M12" i="15"/>
  <c r="P12" i="15"/>
  <c r="D38" i="22"/>
  <c r="Q38" i="22" s="1"/>
  <c r="M11" i="15"/>
  <c r="O12" i="15"/>
  <c r="D37" i="22" l="1"/>
  <c r="Q37" i="22" s="1"/>
  <c r="P10" i="15"/>
  <c r="M10" i="15"/>
  <c r="N11" i="15"/>
  <c r="B38" i="22"/>
  <c r="B39" i="22"/>
  <c r="N12" i="15"/>
  <c r="B37" i="22" l="1"/>
  <c r="N10" i="15"/>
  <c r="C9" i="15" l="1"/>
  <c r="D9" i="15" s="1"/>
  <c r="P9" i="15" s="1"/>
  <c r="D36" i="22" l="1"/>
  <c r="Q36" i="22" s="1"/>
  <c r="M9" i="15"/>
  <c r="O9" i="15"/>
  <c r="B36" i="22" l="1"/>
  <c r="N9" i="15"/>
  <c r="F77" i="47"/>
  <c r="F3" i="47"/>
  <c r="F11" i="47"/>
  <c r="F19" i="47"/>
  <c r="F27" i="47"/>
  <c r="F35" i="47"/>
  <c r="F43" i="47"/>
  <c r="F51" i="47"/>
  <c r="F59" i="47"/>
  <c r="F67" i="47"/>
  <c r="F76" i="47"/>
  <c r="F78" i="47"/>
  <c r="F79" i="47"/>
  <c r="F80" i="47"/>
  <c r="F81" i="47"/>
  <c r="F82" i="47"/>
  <c r="F75" i="47" l="1"/>
  <c r="AK82" i="47"/>
  <c r="AK81" i="47"/>
  <c r="AK79" i="47"/>
  <c r="AK78" i="47"/>
  <c r="AK10" i="47" l="1"/>
  <c r="AK28" i="47"/>
  <c r="AK46" i="47"/>
  <c r="AK64" i="47"/>
  <c r="AK11" i="47"/>
  <c r="AK29" i="47"/>
  <c r="AK47" i="47"/>
  <c r="AK65" i="47"/>
  <c r="F95" i="47"/>
  <c r="AK12" i="47"/>
  <c r="AK30" i="47"/>
  <c r="AK48" i="47"/>
  <c r="AK66" i="47"/>
  <c r="F96" i="47"/>
  <c r="AK13" i="47"/>
  <c r="AK31" i="47"/>
  <c r="AK49" i="47"/>
  <c r="F97" i="47"/>
  <c r="AK14" i="47"/>
  <c r="AK32" i="47"/>
  <c r="AK50" i="47"/>
  <c r="AK67" i="47"/>
  <c r="AK80" i="47"/>
  <c r="F98" i="47"/>
  <c r="AK15" i="47"/>
  <c r="AK33" i="47"/>
  <c r="AK51" i="47"/>
  <c r="AK68" i="47"/>
  <c r="F99" i="47"/>
  <c r="AK16" i="47"/>
  <c r="AK34" i="47"/>
  <c r="AK52" i="47"/>
  <c r="AK69" i="47"/>
  <c r="F100" i="47"/>
  <c r="AK17" i="47"/>
  <c r="AK35" i="47"/>
  <c r="AK53" i="47"/>
  <c r="AK70" i="47"/>
  <c r="F102" i="47"/>
  <c r="AK18" i="47"/>
  <c r="AK36" i="47"/>
  <c r="AK54" i="47"/>
  <c r="AK71" i="47"/>
  <c r="B104" i="47" a="1"/>
  <c r="B104" i="47" s="1"/>
  <c r="AK19" i="47"/>
  <c r="AK55" i="47"/>
  <c r="AK20" i="47"/>
  <c r="AK56" i="47"/>
  <c r="AK21" i="47"/>
  <c r="AK57" i="47"/>
  <c r="AK22" i="47"/>
  <c r="AK58" i="47"/>
  <c r="AK23" i="47"/>
  <c r="AK59" i="47"/>
  <c r="AK24" i="47"/>
  <c r="AK60" i="47"/>
  <c r="AK25" i="47"/>
  <c r="AK61" i="47"/>
  <c r="F85" i="47"/>
  <c r="AK26" i="47"/>
  <c r="AK62" i="47"/>
  <c r="F86" i="47"/>
  <c r="AK27" i="47"/>
  <c r="AK63" i="47"/>
  <c r="F87" i="47"/>
  <c r="AK37" i="47"/>
  <c r="AK38" i="47"/>
  <c r="AK39" i="47"/>
  <c r="AK40" i="47"/>
  <c r="AK41" i="47"/>
  <c r="AK42" i="47"/>
  <c r="F88" i="47"/>
  <c r="AK43" i="47"/>
  <c r="F89" i="47"/>
  <c r="AK44" i="47"/>
  <c r="F90" i="47"/>
  <c r="AK45" i="47"/>
  <c r="F92" i="47"/>
  <c r="AK72" i="47"/>
  <c r="AK73" i="47"/>
  <c r="AK74" i="47"/>
  <c r="AK75" i="47"/>
  <c r="AK76" i="47"/>
  <c r="AK77" i="47"/>
  <c r="F93" i="47"/>
  <c r="B3" i="15"/>
  <c r="AK3" i="47"/>
  <c r="AK4" i="47"/>
  <c r="AK5" i="47"/>
  <c r="AK8" i="47"/>
  <c r="AK9" i="47"/>
  <c r="AK6" i="47"/>
  <c r="AK7" i="47"/>
  <c r="F94" i="47"/>
  <c r="F84" i="47"/>
  <c r="N30" i="22" l="1"/>
  <c r="O30" i="22" s="1"/>
  <c r="K3" i="15"/>
  <c r="B10" i="18" a="1"/>
  <c r="B10" i="18" s="1"/>
  <c r="F3" i="15"/>
  <c r="H3" i="15"/>
  <c r="I3" i="15"/>
  <c r="A34" i="19" l="1" a="1"/>
  <c r="H30" i="22"/>
  <c r="I30" i="22" s="1"/>
  <c r="A29" i="18" a="1"/>
  <c r="A45" i="19" a="1"/>
  <c r="L30" i="22"/>
  <c r="M30" i="22" s="1"/>
  <c r="A47" i="18" a="1"/>
  <c r="A23" i="19" a="1"/>
  <c r="F30" i="22"/>
  <c r="G30" i="22" s="1"/>
  <c r="A20" i="18" a="1"/>
  <c r="A56" i="19" a="1"/>
  <c r="J30" i="22"/>
  <c r="K30" i="22" s="1"/>
  <c r="A65" i="18" a="1"/>
  <c r="O31" i="22"/>
  <c r="P66" i="18" l="1"/>
  <c r="C67" i="18"/>
  <c r="U67" i="18"/>
  <c r="H68" i="18"/>
  <c r="Z68" i="18"/>
  <c r="M69" i="18"/>
  <c r="AE69" i="18"/>
  <c r="R70" i="18"/>
  <c r="E71" i="18"/>
  <c r="I66" i="18"/>
  <c r="AB66" i="18"/>
  <c r="P67" i="18"/>
  <c r="D68" i="18"/>
  <c r="W68" i="18"/>
  <c r="K69" i="18"/>
  <c r="AD69" i="18"/>
  <c r="S70" i="18"/>
  <c r="G71" i="18"/>
  <c r="Y71" i="18"/>
  <c r="L72" i="18"/>
  <c r="AD72" i="18"/>
  <c r="J66" i="18"/>
  <c r="AC66" i="18"/>
  <c r="Q67" i="18"/>
  <c r="E68" i="18"/>
  <c r="X68" i="18"/>
  <c r="L69" i="18"/>
  <c r="AF69" i="18"/>
  <c r="T70" i="18"/>
  <c r="H71" i="18"/>
  <c r="Z71" i="18"/>
  <c r="M72" i="18"/>
  <c r="AE72" i="18"/>
  <c r="K66" i="18"/>
  <c r="AD66" i="18"/>
  <c r="R67" i="18"/>
  <c r="F68" i="18"/>
  <c r="Y68" i="18"/>
  <c r="N69" i="18"/>
  <c r="B70" i="18"/>
  <c r="U70" i="18"/>
  <c r="I71" i="18"/>
  <c r="AA71" i="18"/>
  <c r="N72" i="18"/>
  <c r="AF72" i="18"/>
  <c r="B66" i="18"/>
  <c r="X66" i="18"/>
  <c r="O67" i="18"/>
  <c r="J68" i="18"/>
  <c r="AF68" i="18"/>
  <c r="W69" i="18"/>
  <c r="N70" i="18"/>
  <c r="F71" i="18"/>
  <c r="AD71" i="18"/>
  <c r="T72" i="18"/>
  <c r="V67" i="18"/>
  <c r="C66" i="18"/>
  <c r="Y66" i="18"/>
  <c r="S67" i="18"/>
  <c r="K68" i="18"/>
  <c r="B69" i="18"/>
  <c r="X69" i="18"/>
  <c r="O70" i="18"/>
  <c r="J71" i="18"/>
  <c r="AE71" i="18"/>
  <c r="U72" i="18"/>
  <c r="M68" i="18"/>
  <c r="D66" i="18"/>
  <c r="Z66" i="18"/>
  <c r="T67" i="18"/>
  <c r="L68" i="18"/>
  <c r="C69" i="18"/>
  <c r="Y69" i="18"/>
  <c r="P70" i="18"/>
  <c r="K71" i="18"/>
  <c r="AF71" i="18"/>
  <c r="V72" i="18"/>
  <c r="E66" i="18"/>
  <c r="D69" i="18"/>
  <c r="M66" i="18"/>
  <c r="E67" i="18"/>
  <c r="AA67" i="18"/>
  <c r="R68" i="18"/>
  <c r="I69" i="18"/>
  <c r="D70" i="18"/>
  <c r="Z70" i="18"/>
  <c r="Q71" i="18"/>
  <c r="G72" i="18"/>
  <c r="AB72" i="18"/>
  <c r="N66" i="18"/>
  <c r="J67" i="18"/>
  <c r="N68" i="18"/>
  <c r="O69" i="18"/>
  <c r="J70" i="18"/>
  <c r="L71" i="18"/>
  <c r="F72" i="18"/>
  <c r="O66" i="18"/>
  <c r="K67" i="18"/>
  <c r="O68" i="18"/>
  <c r="P69" i="18"/>
  <c r="K70" i="18"/>
  <c r="M71" i="18"/>
  <c r="H72" i="18"/>
  <c r="Q66" i="18"/>
  <c r="L67" i="18"/>
  <c r="P68" i="18"/>
  <c r="Q69" i="18"/>
  <c r="L70" i="18"/>
  <c r="N71" i="18"/>
  <c r="I72" i="18"/>
  <c r="R66" i="18"/>
  <c r="M67" i="18"/>
  <c r="Q68" i="18"/>
  <c r="R69" i="18"/>
  <c r="M70" i="18"/>
  <c r="O71" i="18"/>
  <c r="J72" i="18"/>
  <c r="S66" i="18"/>
  <c r="N67" i="18"/>
  <c r="S68" i="18"/>
  <c r="S69" i="18"/>
  <c r="Q70" i="18"/>
  <c r="P71" i="18"/>
  <c r="K72" i="18"/>
  <c r="T66" i="18"/>
  <c r="W67" i="18"/>
  <c r="T68" i="18"/>
  <c r="T69" i="18"/>
  <c r="V70" i="18"/>
  <c r="R71" i="18"/>
  <c r="O72" i="18"/>
  <c r="U66" i="18"/>
  <c r="X67" i="18"/>
  <c r="U68" i="18"/>
  <c r="U69" i="18"/>
  <c r="W70" i="18"/>
  <c r="S71" i="18"/>
  <c r="P72" i="18"/>
  <c r="V66" i="18"/>
  <c r="Y67" i="18"/>
  <c r="V68" i="18"/>
  <c r="V69" i="18"/>
  <c r="X70" i="18"/>
  <c r="T71" i="18"/>
  <c r="Q72" i="18"/>
  <c r="W66" i="18"/>
  <c r="Z67" i="18"/>
  <c r="AA68" i="18"/>
  <c r="Z69" i="18"/>
  <c r="Y70" i="18"/>
  <c r="U71" i="18"/>
  <c r="R72" i="18"/>
  <c r="AA66" i="18"/>
  <c r="AB67" i="18"/>
  <c r="AB68" i="18"/>
  <c r="AA69" i="18"/>
  <c r="AA70" i="18"/>
  <c r="L66" i="18"/>
  <c r="AD68" i="18"/>
  <c r="AE70" i="18"/>
  <c r="Z72" i="18"/>
  <c r="B67" i="18"/>
  <c r="AD67" i="18"/>
  <c r="AE67" i="18"/>
  <c r="F70" i="18"/>
  <c r="C72" i="18"/>
  <c r="AF67" i="18"/>
  <c r="G70" i="18"/>
  <c r="D72" i="18"/>
  <c r="E72" i="18"/>
  <c r="AB70" i="18"/>
  <c r="AE66" i="18"/>
  <c r="AE68" i="18"/>
  <c r="AF70" i="18"/>
  <c r="AA72" i="18"/>
  <c r="E70" i="18"/>
  <c r="B68" i="18"/>
  <c r="A65" i="18"/>
  <c r="I70" i="18"/>
  <c r="S72" i="18"/>
  <c r="F66" i="18"/>
  <c r="G68" i="18"/>
  <c r="W72" i="18"/>
  <c r="AF66" i="18"/>
  <c r="E69" i="18"/>
  <c r="B71" i="18"/>
  <c r="AC72" i="18"/>
  <c r="F69" i="18"/>
  <c r="C71" i="18"/>
  <c r="AC68" i="18"/>
  <c r="D67" i="18"/>
  <c r="G69" i="18"/>
  <c r="D71" i="18"/>
  <c r="F67" i="18"/>
  <c r="H69" i="18"/>
  <c r="V71" i="18"/>
  <c r="G66" i="18"/>
  <c r="AC70" i="18"/>
  <c r="G67" i="18"/>
  <c r="J69" i="18"/>
  <c r="W71" i="18"/>
  <c r="H70" i="18"/>
  <c r="C68" i="18"/>
  <c r="H67" i="18"/>
  <c r="AB69" i="18"/>
  <c r="X71" i="18"/>
  <c r="H66" i="18"/>
  <c r="AD70" i="18"/>
  <c r="Y72" i="18"/>
  <c r="I67" i="18"/>
  <c r="AC69" i="18"/>
  <c r="AB71" i="18"/>
  <c r="AC67" i="18"/>
  <c r="C70" i="18"/>
  <c r="AC71" i="18"/>
  <c r="B72" i="18"/>
  <c r="X72" i="18"/>
  <c r="I68" i="18"/>
  <c r="C21" i="18"/>
  <c r="U21" i="18"/>
  <c r="H22" i="18"/>
  <c r="Z22" i="18"/>
  <c r="M23" i="18"/>
  <c r="AE23" i="18"/>
  <c r="R24" i="18"/>
  <c r="E25" i="18"/>
  <c r="W25" i="18"/>
  <c r="J26" i="18"/>
  <c r="AB26" i="18"/>
  <c r="O27" i="18"/>
  <c r="D21" i="18"/>
  <c r="V21" i="18"/>
  <c r="I22" i="18"/>
  <c r="AA22" i="18"/>
  <c r="N23" i="18"/>
  <c r="E21" i="18"/>
  <c r="W21" i="18"/>
  <c r="J22" i="18"/>
  <c r="AB22" i="18"/>
  <c r="O23" i="18"/>
  <c r="F21" i="18"/>
  <c r="AA21" i="18"/>
  <c r="Q22" i="18"/>
  <c r="G23" i="18"/>
  <c r="AB23" i="18"/>
  <c r="P24" i="18"/>
  <c r="D25" i="18"/>
  <c r="X25" i="18"/>
  <c r="L26" i="18"/>
  <c r="AE26" i="18"/>
  <c r="S27" i="18"/>
  <c r="G21" i="18"/>
  <c r="AB21" i="18"/>
  <c r="R22" i="18"/>
  <c r="H23" i="18"/>
  <c r="AC23" i="18"/>
  <c r="Q24" i="18"/>
  <c r="F25" i="18"/>
  <c r="Y25" i="18"/>
  <c r="M26" i="18"/>
  <c r="AF26" i="18"/>
  <c r="T27" i="18"/>
  <c r="H21" i="18"/>
  <c r="AC21" i="18"/>
  <c r="S22" i="18"/>
  <c r="I23" i="18"/>
  <c r="AD23" i="18"/>
  <c r="S24" i="18"/>
  <c r="G25" i="18"/>
  <c r="Z25" i="18"/>
  <c r="N26" i="18"/>
  <c r="B27" i="18"/>
  <c r="U27" i="18"/>
  <c r="B21" i="18"/>
  <c r="AF21" i="18"/>
  <c r="Y22" i="18"/>
  <c r="U23" i="18"/>
  <c r="L24" i="18"/>
  <c r="C25" i="18"/>
  <c r="AC25" i="18"/>
  <c r="T26" i="18"/>
  <c r="K27" i="18"/>
  <c r="I21" i="18"/>
  <c r="B22" i="18"/>
  <c r="AC22" i="18"/>
  <c r="V23" i="18"/>
  <c r="M24" i="18"/>
  <c r="H25" i="18"/>
  <c r="AD25" i="18"/>
  <c r="U26" i="18"/>
  <c r="L27" i="18"/>
  <c r="J21" i="18"/>
  <c r="C22" i="18"/>
  <c r="AD22" i="18"/>
  <c r="W23" i="18"/>
  <c r="N24" i="18"/>
  <c r="I25" i="18"/>
  <c r="AE25" i="18"/>
  <c r="V26" i="18"/>
  <c r="M27" i="18"/>
  <c r="K21" i="18"/>
  <c r="D22" i="18"/>
  <c r="AE22" i="18"/>
  <c r="X23" i="18"/>
  <c r="O24" i="18"/>
  <c r="J25" i="18"/>
  <c r="AF25" i="18"/>
  <c r="W26" i="18"/>
  <c r="N27" i="18"/>
  <c r="L21" i="18"/>
  <c r="E22" i="18"/>
  <c r="AF22" i="18"/>
  <c r="Y23" i="18"/>
  <c r="T24" i="18"/>
  <c r="K25" i="18"/>
  <c r="B26" i="18"/>
  <c r="X26" i="18"/>
  <c r="P27" i="18"/>
  <c r="M21" i="18"/>
  <c r="F22" i="18"/>
  <c r="B23" i="18"/>
  <c r="Z23" i="18"/>
  <c r="U24" i="18"/>
  <c r="L25" i="18"/>
  <c r="C26" i="18"/>
  <c r="Y26" i="18"/>
  <c r="Q27" i="18"/>
  <c r="N21" i="18"/>
  <c r="G22" i="18"/>
  <c r="C23" i="18"/>
  <c r="AA23" i="18"/>
  <c r="O21" i="18"/>
  <c r="K22" i="18"/>
  <c r="D23" i="18"/>
  <c r="AF23" i="18"/>
  <c r="W24" i="18"/>
  <c r="N25" i="18"/>
  <c r="E26" i="18"/>
  <c r="AA26" i="18"/>
  <c r="V27" i="18"/>
  <c r="P21" i="18"/>
  <c r="L22" i="18"/>
  <c r="E23" i="18"/>
  <c r="B24" i="18"/>
  <c r="X24" i="18"/>
  <c r="O25" i="18"/>
  <c r="F26" i="18"/>
  <c r="AC26" i="18"/>
  <c r="W27" i="18"/>
  <c r="S21" i="18"/>
  <c r="K23" i="18"/>
  <c r="Z24" i="18"/>
  <c r="D26" i="18"/>
  <c r="I27" i="18"/>
  <c r="T21" i="18"/>
  <c r="L23" i="18"/>
  <c r="AA24" i="18"/>
  <c r="G26" i="18"/>
  <c r="J27" i="18"/>
  <c r="X21" i="18"/>
  <c r="P23" i="18"/>
  <c r="AB24" i="18"/>
  <c r="H26" i="18"/>
  <c r="R27" i="18"/>
  <c r="Y21" i="18"/>
  <c r="Q23" i="18"/>
  <c r="AC24" i="18"/>
  <c r="I26" i="18"/>
  <c r="X27" i="18"/>
  <c r="Z21" i="18"/>
  <c r="R23" i="18"/>
  <c r="AD24" i="18"/>
  <c r="K26" i="18"/>
  <c r="Y27" i="18"/>
  <c r="AD21" i="18"/>
  <c r="S23" i="18"/>
  <c r="AE24" i="18"/>
  <c r="O26" i="18"/>
  <c r="Z27" i="18"/>
  <c r="AE21" i="18"/>
  <c r="T23" i="18"/>
  <c r="AF24" i="18"/>
  <c r="P26" i="18"/>
  <c r="AA27" i="18"/>
  <c r="M22" i="18"/>
  <c r="C24" i="18"/>
  <c r="B25" i="18"/>
  <c r="Q26" i="18"/>
  <c r="AB27" i="18"/>
  <c r="N22" i="18"/>
  <c r="D24" i="18"/>
  <c r="M25" i="18"/>
  <c r="R26" i="18"/>
  <c r="AC27" i="18"/>
  <c r="O22" i="18"/>
  <c r="E24" i="18"/>
  <c r="P25" i="18"/>
  <c r="S26" i="18"/>
  <c r="AD27" i="18"/>
  <c r="G24" i="18"/>
  <c r="D27" i="18"/>
  <c r="U22" i="18"/>
  <c r="U25" i="18"/>
  <c r="V25" i="18"/>
  <c r="H24" i="18"/>
  <c r="E27" i="18"/>
  <c r="T22" i="18"/>
  <c r="F23" i="18"/>
  <c r="I24" i="18"/>
  <c r="F27" i="18"/>
  <c r="W22" i="18"/>
  <c r="J24" i="18"/>
  <c r="G27" i="18"/>
  <c r="X22" i="18"/>
  <c r="AD26" i="18"/>
  <c r="K24" i="18"/>
  <c r="H27" i="18"/>
  <c r="V24" i="18"/>
  <c r="AE27" i="18"/>
  <c r="AA25" i="18"/>
  <c r="AB25" i="18"/>
  <c r="C27" i="18"/>
  <c r="A20" i="18"/>
  <c r="Y24" i="18"/>
  <c r="AF27" i="18"/>
  <c r="T25" i="18"/>
  <c r="V22" i="18"/>
  <c r="Q21" i="18"/>
  <c r="Q25" i="18"/>
  <c r="F24" i="18"/>
  <c r="R21" i="18"/>
  <c r="R25" i="18"/>
  <c r="P22" i="18"/>
  <c r="S25" i="18"/>
  <c r="Z26" i="18"/>
  <c r="J23" i="18"/>
  <c r="O24" i="19"/>
  <c r="B25" i="19"/>
  <c r="T25" i="19"/>
  <c r="G26" i="19"/>
  <c r="Y26" i="19"/>
  <c r="L27" i="19"/>
  <c r="AD27" i="19"/>
  <c r="Q28" i="19"/>
  <c r="D29" i="19"/>
  <c r="V29" i="19"/>
  <c r="I30" i="19"/>
  <c r="AA30" i="19"/>
  <c r="N31" i="19"/>
  <c r="AF31" i="19"/>
  <c r="S32" i="19"/>
  <c r="P24" i="19"/>
  <c r="C25" i="19"/>
  <c r="U25" i="19"/>
  <c r="H26" i="19"/>
  <c r="Z26" i="19"/>
  <c r="M27" i="19"/>
  <c r="AE27" i="19"/>
  <c r="R28" i="19"/>
  <c r="E29" i="19"/>
  <c r="W29" i="19"/>
  <c r="J30" i="19"/>
  <c r="AB30" i="19"/>
  <c r="O31" i="19"/>
  <c r="B32" i="19"/>
  <c r="T32" i="19"/>
  <c r="Q24" i="19"/>
  <c r="D25" i="19"/>
  <c r="V25" i="19"/>
  <c r="I26" i="19"/>
  <c r="AA26" i="19"/>
  <c r="N27" i="19"/>
  <c r="AF27" i="19"/>
  <c r="S28" i="19"/>
  <c r="F29" i="19"/>
  <c r="X29" i="19"/>
  <c r="K30" i="19"/>
  <c r="AC30" i="19"/>
  <c r="P31" i="19"/>
  <c r="C32" i="19"/>
  <c r="U32" i="19"/>
  <c r="R24" i="19"/>
  <c r="E25" i="19"/>
  <c r="W25" i="19"/>
  <c r="J26" i="19"/>
  <c r="AB26" i="19"/>
  <c r="O27" i="19"/>
  <c r="B28" i="19"/>
  <c r="T28" i="19"/>
  <c r="G29" i="19"/>
  <c r="Y29" i="19"/>
  <c r="L30" i="19"/>
  <c r="AD30" i="19"/>
  <c r="Q31" i="19"/>
  <c r="D32" i="19"/>
  <c r="V32" i="19"/>
  <c r="A23" i="19"/>
  <c r="S24" i="19"/>
  <c r="F25" i="19"/>
  <c r="X25" i="19"/>
  <c r="K26" i="19"/>
  <c r="AC26" i="19"/>
  <c r="P27" i="19"/>
  <c r="C28" i="19"/>
  <c r="U28" i="19"/>
  <c r="H29" i="19"/>
  <c r="Z29" i="19"/>
  <c r="M30" i="19"/>
  <c r="AE30" i="19"/>
  <c r="R31" i="19"/>
  <c r="E32" i="19"/>
  <c r="W32" i="19"/>
  <c r="B24" i="19"/>
  <c r="T24" i="19"/>
  <c r="G25" i="19"/>
  <c r="Y25" i="19"/>
  <c r="L26" i="19"/>
  <c r="AD26" i="19"/>
  <c r="Q27" i="19"/>
  <c r="D28" i="19"/>
  <c r="V28" i="19"/>
  <c r="I29" i="19"/>
  <c r="AA29" i="19"/>
  <c r="N30" i="19"/>
  <c r="AF30" i="19"/>
  <c r="S31" i="19"/>
  <c r="F32" i="19"/>
  <c r="X32" i="19"/>
  <c r="C24" i="19"/>
  <c r="U24" i="19"/>
  <c r="H25" i="19"/>
  <c r="Z25" i="19"/>
  <c r="M26" i="19"/>
  <c r="AE26" i="19"/>
  <c r="R27" i="19"/>
  <c r="E28" i="19"/>
  <c r="W28" i="19"/>
  <c r="J29" i="19"/>
  <c r="AB29" i="19"/>
  <c r="O30" i="19"/>
  <c r="B31" i="19"/>
  <c r="T31" i="19"/>
  <c r="G32" i="19"/>
  <c r="Y32" i="19"/>
  <c r="D24" i="19"/>
  <c r="V24" i="19"/>
  <c r="I25" i="19"/>
  <c r="AA25" i="19"/>
  <c r="N26" i="19"/>
  <c r="AF26" i="19"/>
  <c r="S27" i="19"/>
  <c r="F28" i="19"/>
  <c r="X28" i="19"/>
  <c r="K29" i="19"/>
  <c r="AC29" i="19"/>
  <c r="P30" i="19"/>
  <c r="C31" i="19"/>
  <c r="U31" i="19"/>
  <c r="H32" i="19"/>
  <c r="Z32" i="19"/>
  <c r="E24" i="19"/>
  <c r="W24" i="19"/>
  <c r="J25" i="19"/>
  <c r="AB25" i="19"/>
  <c r="O26" i="19"/>
  <c r="B27" i="19"/>
  <c r="T27" i="19"/>
  <c r="G28" i="19"/>
  <c r="Y28" i="19"/>
  <c r="L29" i="19"/>
  <c r="AD29" i="19"/>
  <c r="Q30" i="19"/>
  <c r="D31" i="19"/>
  <c r="V31" i="19"/>
  <c r="I32" i="19"/>
  <c r="AA32" i="19"/>
  <c r="J24" i="19"/>
  <c r="O25" i="19"/>
  <c r="T26" i="19"/>
  <c r="Y27" i="19"/>
  <c r="AD28" i="19"/>
  <c r="D30" i="19"/>
  <c r="I31" i="19"/>
  <c r="N32" i="19"/>
  <c r="K24" i="19"/>
  <c r="P25" i="19"/>
  <c r="U26" i="19"/>
  <c r="Z27" i="19"/>
  <c r="AE28" i="19"/>
  <c r="E30" i="19"/>
  <c r="J31" i="19"/>
  <c r="O32" i="19"/>
  <c r="L24" i="19"/>
  <c r="Q25" i="19"/>
  <c r="V26" i="19"/>
  <c r="AA27" i="19"/>
  <c r="AF28" i="19"/>
  <c r="F30" i="19"/>
  <c r="K31" i="19"/>
  <c r="P32" i="19"/>
  <c r="M24" i="19"/>
  <c r="R25" i="19"/>
  <c r="W26" i="19"/>
  <c r="AB27" i="19"/>
  <c r="B29" i="19"/>
  <c r="G30" i="19"/>
  <c r="L31" i="19"/>
  <c r="Q32" i="19"/>
  <c r="N24" i="19"/>
  <c r="S25" i="19"/>
  <c r="X26" i="19"/>
  <c r="AC27" i="19"/>
  <c r="C29" i="19"/>
  <c r="H30" i="19"/>
  <c r="M31" i="19"/>
  <c r="R32" i="19"/>
  <c r="X24" i="19"/>
  <c r="AC25" i="19"/>
  <c r="C27" i="19"/>
  <c r="H28" i="19"/>
  <c r="M29" i="19"/>
  <c r="R30" i="19"/>
  <c r="W31" i="19"/>
  <c r="AB32" i="19"/>
  <c r="Y24" i="19"/>
  <c r="AD25" i="19"/>
  <c r="D27" i="19"/>
  <c r="I28" i="19"/>
  <c r="N29" i="19"/>
  <c r="S30" i="19"/>
  <c r="X31" i="19"/>
  <c r="AC32" i="19"/>
  <c r="Z24" i="19"/>
  <c r="AE25" i="19"/>
  <c r="E27" i="19"/>
  <c r="J28" i="19"/>
  <c r="O29" i="19"/>
  <c r="T30" i="19"/>
  <c r="Y31" i="19"/>
  <c r="AD32" i="19"/>
  <c r="AA24" i="19"/>
  <c r="AF25" i="19"/>
  <c r="F27" i="19"/>
  <c r="K28" i="19"/>
  <c r="P29" i="19"/>
  <c r="U30" i="19"/>
  <c r="Z31" i="19"/>
  <c r="AE32" i="19"/>
  <c r="AF24" i="19"/>
  <c r="K27" i="19"/>
  <c r="U29" i="19"/>
  <c r="AE31" i="19"/>
  <c r="K25" i="19"/>
  <c r="U27" i="19"/>
  <c r="AE29" i="19"/>
  <c r="J32" i="19"/>
  <c r="L25" i="19"/>
  <c r="V27" i="19"/>
  <c r="AF29" i="19"/>
  <c r="K32" i="19"/>
  <c r="M25" i="19"/>
  <c r="W27" i="19"/>
  <c r="B30" i="19"/>
  <c r="L32" i="19"/>
  <c r="N25" i="19"/>
  <c r="X27" i="19"/>
  <c r="C30" i="19"/>
  <c r="M32" i="19"/>
  <c r="B26" i="19"/>
  <c r="L28" i="19"/>
  <c r="V30" i="19"/>
  <c r="AF32" i="19"/>
  <c r="C26" i="19"/>
  <c r="M28" i="19"/>
  <c r="W30" i="19"/>
  <c r="D26" i="19"/>
  <c r="N28" i="19"/>
  <c r="X30" i="19"/>
  <c r="E26" i="19"/>
  <c r="O28" i="19"/>
  <c r="Y30" i="19"/>
  <c r="I24" i="19"/>
  <c r="AC28" i="19"/>
  <c r="AB24" i="19"/>
  <c r="Q29" i="19"/>
  <c r="AC24" i="19"/>
  <c r="R29" i="19"/>
  <c r="AD24" i="19"/>
  <c r="S29" i="19"/>
  <c r="AE24" i="19"/>
  <c r="T29" i="19"/>
  <c r="F26" i="19"/>
  <c r="Z30" i="19"/>
  <c r="P26" i="19"/>
  <c r="E31" i="19"/>
  <c r="Q26" i="19"/>
  <c r="F31" i="19"/>
  <c r="R26" i="19"/>
  <c r="G31" i="19"/>
  <c r="AA28" i="19"/>
  <c r="AB28" i="19"/>
  <c r="H31" i="19"/>
  <c r="AA31" i="19"/>
  <c r="AB31" i="19"/>
  <c r="AC31" i="19"/>
  <c r="AD31" i="19"/>
  <c r="F24" i="19"/>
  <c r="S26" i="19"/>
  <c r="G27" i="19"/>
  <c r="H27" i="19"/>
  <c r="I27" i="19"/>
  <c r="J27" i="19"/>
  <c r="P28" i="19"/>
  <c r="Z28" i="19"/>
  <c r="G24" i="19"/>
  <c r="H24" i="19"/>
  <c r="K31" i="22"/>
  <c r="K32" i="22" s="1"/>
  <c r="K33" i="22" s="1"/>
  <c r="K34" i="22" s="1"/>
  <c r="K35" i="22" s="1"/>
  <c r="K36" i="22" s="1"/>
  <c r="K37" i="22" s="1"/>
  <c r="K38" i="22" s="1"/>
  <c r="K39" i="22" s="1"/>
  <c r="K40" i="22" s="1"/>
  <c r="K41" i="22" s="1"/>
  <c r="K42" i="22" s="1"/>
  <c r="K43" i="22" s="1"/>
  <c r="K44" i="22" s="1"/>
  <c r="K45" i="22" s="1"/>
  <c r="K46" i="22" s="1"/>
  <c r="K47" i="22" s="1"/>
  <c r="K48" i="22" s="1"/>
  <c r="K49" i="22" s="1"/>
  <c r="K50" i="22" s="1"/>
  <c r="K51" i="22" s="1"/>
  <c r="K52" i="22" s="1"/>
  <c r="K53" i="22" s="1"/>
  <c r="K54" i="22" s="1"/>
  <c r="K55" i="22" s="1"/>
  <c r="K56" i="22" s="1"/>
  <c r="K57" i="22" s="1"/>
  <c r="K58" i="22" s="1"/>
  <c r="K59" i="22" s="1"/>
  <c r="B6" i="25" a="1"/>
  <c r="R30" i="18"/>
  <c r="E31" i="18"/>
  <c r="W31" i="18"/>
  <c r="J32" i="18"/>
  <c r="AB32" i="18"/>
  <c r="O33" i="18"/>
  <c r="B34" i="18"/>
  <c r="T34" i="18"/>
  <c r="G35" i="18"/>
  <c r="Y35" i="18"/>
  <c r="L36" i="18"/>
  <c r="AD36" i="18"/>
  <c r="E30" i="18"/>
  <c r="X30" i="18"/>
  <c r="L31" i="18"/>
  <c r="AE31" i="18"/>
  <c r="S32" i="18"/>
  <c r="G33" i="18"/>
  <c r="Z33" i="18"/>
  <c r="N34" i="18"/>
  <c r="B35" i="18"/>
  <c r="U35" i="18"/>
  <c r="I36" i="18"/>
  <c r="AB36" i="18"/>
  <c r="F30" i="18"/>
  <c r="Y30" i="18"/>
  <c r="M31" i="18"/>
  <c r="AF31" i="18"/>
  <c r="T32" i="18"/>
  <c r="H33" i="18"/>
  <c r="AA33" i="18"/>
  <c r="O34" i="18"/>
  <c r="C35" i="18"/>
  <c r="V35" i="18"/>
  <c r="J36" i="18"/>
  <c r="AC36" i="18"/>
  <c r="G30" i="18"/>
  <c r="Z30" i="18"/>
  <c r="N31" i="18"/>
  <c r="B32" i="18"/>
  <c r="U32" i="18"/>
  <c r="I33" i="18"/>
  <c r="AB33" i="18"/>
  <c r="P34" i="18"/>
  <c r="D35" i="18"/>
  <c r="W35" i="18"/>
  <c r="K36" i="18"/>
  <c r="AE36" i="18"/>
  <c r="A29" i="18"/>
  <c r="W30" i="18"/>
  <c r="Q31" i="18"/>
  <c r="H32" i="18"/>
  <c r="AE32" i="18"/>
  <c r="V33" i="18"/>
  <c r="M34" i="18"/>
  <c r="H35" i="18"/>
  <c r="AD35" i="18"/>
  <c r="U36" i="18"/>
  <c r="L32" i="18"/>
  <c r="B30" i="18"/>
  <c r="AA30" i="18"/>
  <c r="R31" i="18"/>
  <c r="I32" i="18"/>
  <c r="AF32" i="18"/>
  <c r="W33" i="18"/>
  <c r="Q34" i="18"/>
  <c r="I35" i="18"/>
  <c r="AE35" i="18"/>
  <c r="V36" i="18"/>
  <c r="AC30" i="18"/>
  <c r="C33" i="18"/>
  <c r="K35" i="18"/>
  <c r="B36" i="18"/>
  <c r="X36" i="18"/>
  <c r="C30" i="18"/>
  <c r="AB30" i="18"/>
  <c r="S31" i="18"/>
  <c r="K32" i="18"/>
  <c r="B33" i="18"/>
  <c r="X33" i="18"/>
  <c r="R34" i="18"/>
  <c r="J35" i="18"/>
  <c r="AF35" i="18"/>
  <c r="W36" i="18"/>
  <c r="D30" i="18"/>
  <c r="S34" i="18"/>
  <c r="T31" i="18"/>
  <c r="Y33" i="18"/>
  <c r="H30" i="18"/>
  <c r="AD30" i="18"/>
  <c r="U31" i="18"/>
  <c r="M32" i="18"/>
  <c r="D33" i="18"/>
  <c r="AC33" i="18"/>
  <c r="U34" i="18"/>
  <c r="L35" i="18"/>
  <c r="C36" i="18"/>
  <c r="Y36" i="18"/>
  <c r="I30" i="18"/>
  <c r="AE30" i="18"/>
  <c r="V31" i="18"/>
  <c r="N32" i="18"/>
  <c r="E33" i="18"/>
  <c r="AD33" i="18"/>
  <c r="V34" i="18"/>
  <c r="M35" i="18"/>
  <c r="K30" i="18"/>
  <c r="B31" i="18"/>
  <c r="Y31" i="18"/>
  <c r="P32" i="18"/>
  <c r="J33" i="18"/>
  <c r="AF33" i="18"/>
  <c r="X34" i="18"/>
  <c r="O35" i="18"/>
  <c r="F36" i="18"/>
  <c r="AF36" i="18"/>
  <c r="L30" i="18"/>
  <c r="C31" i="18"/>
  <c r="Z31" i="18"/>
  <c r="Q32" i="18"/>
  <c r="K33" i="18"/>
  <c r="C34" i="18"/>
  <c r="Y34" i="18"/>
  <c r="P35" i="18"/>
  <c r="G36" i="18"/>
  <c r="S30" i="18"/>
  <c r="AD31" i="18"/>
  <c r="M33" i="18"/>
  <c r="W34" i="18"/>
  <c r="AB35" i="18"/>
  <c r="AB34" i="18"/>
  <c r="T30" i="18"/>
  <c r="C32" i="18"/>
  <c r="N33" i="18"/>
  <c r="Z34" i="18"/>
  <c r="AC35" i="18"/>
  <c r="E36" i="18"/>
  <c r="U30" i="18"/>
  <c r="D32" i="18"/>
  <c r="P33" i="18"/>
  <c r="AA34" i="18"/>
  <c r="D36" i="18"/>
  <c r="V30" i="18"/>
  <c r="E32" i="18"/>
  <c r="Q33" i="18"/>
  <c r="AF30" i="18"/>
  <c r="F32" i="18"/>
  <c r="R33" i="18"/>
  <c r="AC34" i="18"/>
  <c r="H36" i="18"/>
  <c r="D31" i="18"/>
  <c r="G32" i="18"/>
  <c r="S33" i="18"/>
  <c r="AD34" i="18"/>
  <c r="M36" i="18"/>
  <c r="F31" i="18"/>
  <c r="O32" i="18"/>
  <c r="T33" i="18"/>
  <c r="AE34" i="18"/>
  <c r="N36" i="18"/>
  <c r="G31" i="18"/>
  <c r="R32" i="18"/>
  <c r="U33" i="18"/>
  <c r="AF34" i="18"/>
  <c r="O36" i="18"/>
  <c r="H31" i="18"/>
  <c r="V32" i="18"/>
  <c r="AE33" i="18"/>
  <c r="E35" i="18"/>
  <c r="P36" i="18"/>
  <c r="I31" i="18"/>
  <c r="W32" i="18"/>
  <c r="D34" i="18"/>
  <c r="F35" i="18"/>
  <c r="Q36" i="18"/>
  <c r="AA31" i="18"/>
  <c r="L34" i="18"/>
  <c r="P30" i="18"/>
  <c r="E34" i="18"/>
  <c r="T36" i="18"/>
  <c r="F34" i="18"/>
  <c r="Z36" i="18"/>
  <c r="AB31" i="18"/>
  <c r="N35" i="18"/>
  <c r="K31" i="18"/>
  <c r="O31" i="18"/>
  <c r="I34" i="18"/>
  <c r="AC31" i="18"/>
  <c r="Q35" i="18"/>
  <c r="X32" i="18"/>
  <c r="R35" i="18"/>
  <c r="S36" i="18"/>
  <c r="Q30" i="18"/>
  <c r="Y32" i="18"/>
  <c r="S35" i="18"/>
  <c r="L33" i="18"/>
  <c r="H34" i="18"/>
  <c r="Z32" i="18"/>
  <c r="T35" i="18"/>
  <c r="P31" i="18"/>
  <c r="AA32" i="18"/>
  <c r="X35" i="18"/>
  <c r="J30" i="18"/>
  <c r="AC32" i="18"/>
  <c r="Z35" i="18"/>
  <c r="O30" i="18"/>
  <c r="J34" i="18"/>
  <c r="X31" i="18"/>
  <c r="M30" i="18"/>
  <c r="AD32" i="18"/>
  <c r="AA35" i="18"/>
  <c r="N30" i="18"/>
  <c r="F33" i="18"/>
  <c r="R36" i="18"/>
  <c r="J31" i="18"/>
  <c r="G34" i="18"/>
  <c r="AA36" i="18"/>
  <c r="K34" i="18"/>
  <c r="O32" i="22"/>
  <c r="K46" i="19"/>
  <c r="AC46" i="19"/>
  <c r="P47" i="19"/>
  <c r="C48" i="19"/>
  <c r="U48" i="19"/>
  <c r="H49" i="19"/>
  <c r="Z49" i="19"/>
  <c r="M50" i="19"/>
  <c r="AE50" i="19"/>
  <c r="R51" i="19"/>
  <c r="E52" i="19"/>
  <c r="W52" i="19"/>
  <c r="J53" i="19"/>
  <c r="AB53" i="19"/>
  <c r="O54" i="19"/>
  <c r="L46" i="19"/>
  <c r="AD46" i="19"/>
  <c r="Q47" i="19"/>
  <c r="D48" i="19"/>
  <c r="V48" i="19"/>
  <c r="I49" i="19"/>
  <c r="AA49" i="19"/>
  <c r="N50" i="19"/>
  <c r="AF50" i="19"/>
  <c r="S51" i="19"/>
  <c r="F52" i="19"/>
  <c r="X52" i="19"/>
  <c r="K53" i="19"/>
  <c r="AC53" i="19"/>
  <c r="P54" i="19"/>
  <c r="M46" i="19"/>
  <c r="AE46" i="19"/>
  <c r="R47" i="19"/>
  <c r="E48" i="19"/>
  <c r="W48" i="19"/>
  <c r="J49" i="19"/>
  <c r="AB49" i="19"/>
  <c r="O50" i="19"/>
  <c r="B51" i="19"/>
  <c r="T51" i="19"/>
  <c r="G52" i="19"/>
  <c r="Y52" i="19"/>
  <c r="L53" i="19"/>
  <c r="AD53" i="19"/>
  <c r="Q54" i="19"/>
  <c r="O46" i="19"/>
  <c r="B47" i="19"/>
  <c r="T47" i="19"/>
  <c r="G48" i="19"/>
  <c r="Y48" i="19"/>
  <c r="L49" i="19"/>
  <c r="AD49" i="19"/>
  <c r="Q50" i="19"/>
  <c r="D51" i="19"/>
  <c r="V51" i="19"/>
  <c r="I52" i="19"/>
  <c r="P46" i="19"/>
  <c r="C47" i="19"/>
  <c r="U47" i="19"/>
  <c r="H48" i="19"/>
  <c r="Z48" i="19"/>
  <c r="M49" i="19"/>
  <c r="AE49" i="19"/>
  <c r="R50" i="19"/>
  <c r="E51" i="19"/>
  <c r="W51" i="19"/>
  <c r="J52" i="19"/>
  <c r="AB52" i="19"/>
  <c r="Q46" i="19"/>
  <c r="D47" i="19"/>
  <c r="V47" i="19"/>
  <c r="I48" i="19"/>
  <c r="AA48" i="19"/>
  <c r="N49" i="19"/>
  <c r="AF49" i="19"/>
  <c r="S50" i="19"/>
  <c r="F51" i="19"/>
  <c r="X51" i="19"/>
  <c r="K52" i="19"/>
  <c r="AC52" i="19"/>
  <c r="A45" i="19"/>
  <c r="S46" i="19"/>
  <c r="F47" i="19"/>
  <c r="X47" i="19"/>
  <c r="K48" i="19"/>
  <c r="AC48" i="19"/>
  <c r="P49" i="19"/>
  <c r="C50" i="19"/>
  <c r="U50" i="19"/>
  <c r="H51" i="19"/>
  <c r="Z51" i="19"/>
  <c r="M52" i="19"/>
  <c r="AE52" i="19"/>
  <c r="R53" i="19"/>
  <c r="E54" i="19"/>
  <c r="W54" i="19"/>
  <c r="X46" i="19"/>
  <c r="Y47" i="19"/>
  <c r="S48" i="19"/>
  <c r="T49" i="19"/>
  <c r="T50" i="19"/>
  <c r="O51" i="19"/>
  <c r="P52" i="19"/>
  <c r="I53" i="19"/>
  <c r="C54" i="19"/>
  <c r="Z54" i="19"/>
  <c r="Y46" i="19"/>
  <c r="Z47" i="19"/>
  <c r="T48" i="19"/>
  <c r="U49" i="19"/>
  <c r="V50" i="19"/>
  <c r="P51" i="19"/>
  <c r="Q52" i="19"/>
  <c r="M53" i="19"/>
  <c r="D54" i="19"/>
  <c r="AA54" i="19"/>
  <c r="Z46" i="19"/>
  <c r="AA47" i="19"/>
  <c r="X48" i="19"/>
  <c r="V49" i="19"/>
  <c r="W50" i="19"/>
  <c r="Q51" i="19"/>
  <c r="R52" i="19"/>
  <c r="N53" i="19"/>
  <c r="F54" i="19"/>
  <c r="AB54" i="19"/>
  <c r="B46" i="19"/>
  <c r="AA46" i="19"/>
  <c r="AB47" i="19"/>
  <c r="AB48" i="19"/>
  <c r="W49" i="19"/>
  <c r="X50" i="19"/>
  <c r="U51" i="19"/>
  <c r="S52" i="19"/>
  <c r="O53" i="19"/>
  <c r="G54" i="19"/>
  <c r="AC54" i="19"/>
  <c r="C46" i="19"/>
  <c r="AB46" i="19"/>
  <c r="AC47" i="19"/>
  <c r="AD48" i="19"/>
  <c r="X49" i="19"/>
  <c r="Y50" i="19"/>
  <c r="Y51" i="19"/>
  <c r="T52" i="19"/>
  <c r="P53" i="19"/>
  <c r="H54" i="19"/>
  <c r="AD54" i="19"/>
  <c r="D46" i="19"/>
  <c r="AF46" i="19"/>
  <c r="AD47" i="19"/>
  <c r="AE48" i="19"/>
  <c r="Y49" i="19"/>
  <c r="Z50" i="19"/>
  <c r="AA51" i="19"/>
  <c r="U52" i="19"/>
  <c r="Q53" i="19"/>
  <c r="I54" i="19"/>
  <c r="AE54" i="19"/>
  <c r="E46" i="19"/>
  <c r="E47" i="19"/>
  <c r="AE47" i="19"/>
  <c r="AF48" i="19"/>
  <c r="AC49" i="19"/>
  <c r="AA50" i="19"/>
  <c r="AB51" i="19"/>
  <c r="V52" i="19"/>
  <c r="S53" i="19"/>
  <c r="J54" i="19"/>
  <c r="AF54" i="19"/>
  <c r="F46" i="19"/>
  <c r="G47" i="19"/>
  <c r="AF47" i="19"/>
  <c r="B49" i="19"/>
  <c r="B50" i="19"/>
  <c r="AB50" i="19"/>
  <c r="AC51" i="19"/>
  <c r="Z52" i="19"/>
  <c r="T53" i="19"/>
  <c r="K54" i="19"/>
  <c r="G46" i="19"/>
  <c r="H47" i="19"/>
  <c r="B48" i="19"/>
  <c r="C49" i="19"/>
  <c r="D50" i="19"/>
  <c r="AC50" i="19"/>
  <c r="AD51" i="19"/>
  <c r="AA52" i="19"/>
  <c r="U53" i="19"/>
  <c r="L54" i="19"/>
  <c r="R46" i="19"/>
  <c r="N48" i="19"/>
  <c r="I50" i="19"/>
  <c r="D52" i="19"/>
  <c r="Z53" i="19"/>
  <c r="T46" i="19"/>
  <c r="O48" i="19"/>
  <c r="J50" i="19"/>
  <c r="H52" i="19"/>
  <c r="AA53" i="19"/>
  <c r="U46" i="19"/>
  <c r="P48" i="19"/>
  <c r="K50" i="19"/>
  <c r="L52" i="19"/>
  <c r="AE53" i="19"/>
  <c r="V46" i="19"/>
  <c r="Q48" i="19"/>
  <c r="L50" i="19"/>
  <c r="N52" i="19"/>
  <c r="AF53" i="19"/>
  <c r="W46" i="19"/>
  <c r="R48" i="19"/>
  <c r="P50" i="19"/>
  <c r="O52" i="19"/>
  <c r="B54" i="19"/>
  <c r="I47" i="19"/>
  <c r="D49" i="19"/>
  <c r="AD50" i="19"/>
  <c r="AD52" i="19"/>
  <c r="M54" i="19"/>
  <c r="J47" i="19"/>
  <c r="E49" i="19"/>
  <c r="C51" i="19"/>
  <c r="AF52" i="19"/>
  <c r="N54" i="19"/>
  <c r="K47" i="19"/>
  <c r="F49" i="19"/>
  <c r="G51" i="19"/>
  <c r="B53" i="19"/>
  <c r="R54" i="19"/>
  <c r="L47" i="19"/>
  <c r="G49" i="19"/>
  <c r="I51" i="19"/>
  <c r="C53" i="19"/>
  <c r="S54" i="19"/>
  <c r="S49" i="19"/>
  <c r="H53" i="19"/>
  <c r="H46" i="19"/>
  <c r="E50" i="19"/>
  <c r="V53" i="19"/>
  <c r="I46" i="19"/>
  <c r="F50" i="19"/>
  <c r="W53" i="19"/>
  <c r="J46" i="19"/>
  <c r="G50" i="19"/>
  <c r="X53" i="19"/>
  <c r="N46" i="19"/>
  <c r="H50" i="19"/>
  <c r="Y53" i="19"/>
  <c r="M47" i="19"/>
  <c r="J51" i="19"/>
  <c r="T54" i="19"/>
  <c r="N47" i="19"/>
  <c r="K51" i="19"/>
  <c r="U54" i="19"/>
  <c r="O47" i="19"/>
  <c r="L51" i="19"/>
  <c r="V54" i="19"/>
  <c r="S47" i="19"/>
  <c r="M51" i="19"/>
  <c r="X54" i="19"/>
  <c r="Q49" i="19"/>
  <c r="R49" i="19"/>
  <c r="N51" i="19"/>
  <c r="AE51" i="19"/>
  <c r="AF51" i="19"/>
  <c r="B52" i="19"/>
  <c r="C52" i="19"/>
  <c r="D53" i="19"/>
  <c r="E53" i="19"/>
  <c r="W47" i="19"/>
  <c r="F48" i="19"/>
  <c r="J48" i="19"/>
  <c r="L48" i="19"/>
  <c r="M48" i="19"/>
  <c r="K49" i="19"/>
  <c r="O49" i="19"/>
  <c r="F53" i="19"/>
  <c r="G53" i="19"/>
  <c r="Y54" i="19"/>
  <c r="I31" i="22"/>
  <c r="I32" i="22" s="1"/>
  <c r="I33" i="22" s="1"/>
  <c r="I34" i="22" s="1"/>
  <c r="I35" i="22" s="1"/>
  <c r="I36" i="22" s="1"/>
  <c r="I37" i="22" s="1"/>
  <c r="I38" i="22" s="1"/>
  <c r="I39" i="22" s="1"/>
  <c r="I40" i="22" s="1"/>
  <c r="I41" i="22" s="1"/>
  <c r="I42" i="22" s="1"/>
  <c r="I43" i="22" s="1"/>
  <c r="I44" i="22" s="1"/>
  <c r="I45" i="22" s="1"/>
  <c r="I46" i="22" s="1"/>
  <c r="I47" i="22" s="1"/>
  <c r="I48" i="22" s="1"/>
  <c r="I49" i="22" s="1"/>
  <c r="I50" i="22" s="1"/>
  <c r="I51" i="22" s="1"/>
  <c r="I52" i="22" s="1"/>
  <c r="I53" i="22" s="1"/>
  <c r="I54" i="22" s="1"/>
  <c r="I55" i="22" s="1"/>
  <c r="I56" i="22" s="1"/>
  <c r="I57" i="22" s="1"/>
  <c r="I58" i="22" s="1"/>
  <c r="I59" i="22" s="1"/>
  <c r="A56" i="19"/>
  <c r="S57" i="19"/>
  <c r="F58" i="19"/>
  <c r="X58" i="19"/>
  <c r="K59" i="19"/>
  <c r="AC59" i="19"/>
  <c r="P60" i="19"/>
  <c r="C61" i="19"/>
  <c r="U61" i="19"/>
  <c r="H62" i="19"/>
  <c r="Z62" i="19"/>
  <c r="M63" i="19"/>
  <c r="AE63" i="19"/>
  <c r="R64" i="19"/>
  <c r="E65" i="19"/>
  <c r="W65" i="19"/>
  <c r="B57" i="19"/>
  <c r="T57" i="19"/>
  <c r="G58" i="19"/>
  <c r="Y58" i="19"/>
  <c r="L59" i="19"/>
  <c r="AD59" i="19"/>
  <c r="Q60" i="19"/>
  <c r="D61" i="19"/>
  <c r="V61" i="19"/>
  <c r="I62" i="19"/>
  <c r="AA62" i="19"/>
  <c r="N63" i="19"/>
  <c r="AF63" i="19"/>
  <c r="S64" i="19"/>
  <c r="F65" i="19"/>
  <c r="X65" i="19"/>
  <c r="H57" i="19"/>
  <c r="Z57" i="19"/>
  <c r="M58" i="19"/>
  <c r="AE58" i="19"/>
  <c r="R59" i="19"/>
  <c r="E60" i="19"/>
  <c r="W60" i="19"/>
  <c r="J61" i="19"/>
  <c r="AB61" i="19"/>
  <c r="O62" i="19"/>
  <c r="B63" i="19"/>
  <c r="T63" i="19"/>
  <c r="G64" i="19"/>
  <c r="Y64" i="19"/>
  <c r="L65" i="19"/>
  <c r="AD65" i="19"/>
  <c r="O57" i="19"/>
  <c r="E58" i="19"/>
  <c r="AB58" i="19"/>
  <c r="S59" i="19"/>
  <c r="I60" i="19"/>
  <c r="AD60" i="19"/>
  <c r="T61" i="19"/>
  <c r="L62" i="19"/>
  <c r="C63" i="19"/>
  <c r="X63" i="19"/>
  <c r="N64" i="19"/>
  <c r="D65" i="19"/>
  <c r="AA65" i="19"/>
  <c r="P57" i="19"/>
  <c r="H58" i="19"/>
  <c r="AC58" i="19"/>
  <c r="T59" i="19"/>
  <c r="J60" i="19"/>
  <c r="AE60" i="19"/>
  <c r="W61" i="19"/>
  <c r="M62" i="19"/>
  <c r="D63" i="19"/>
  <c r="Y63" i="19"/>
  <c r="O64" i="19"/>
  <c r="G65" i="19"/>
  <c r="AB65" i="19"/>
  <c r="Q57" i="19"/>
  <c r="I58" i="19"/>
  <c r="AD58" i="19"/>
  <c r="U59" i="19"/>
  <c r="K60" i="19"/>
  <c r="AF60" i="19"/>
  <c r="X61" i="19"/>
  <c r="N62" i="19"/>
  <c r="E63" i="19"/>
  <c r="Z63" i="19"/>
  <c r="P64" i="19"/>
  <c r="H65" i="19"/>
  <c r="AC65" i="19"/>
  <c r="R57" i="19"/>
  <c r="J58" i="19"/>
  <c r="AF58" i="19"/>
  <c r="V59" i="19"/>
  <c r="L60" i="19"/>
  <c r="B61" i="19"/>
  <c r="Y61" i="19"/>
  <c r="P62" i="19"/>
  <c r="F63" i="19"/>
  <c r="AA63" i="19"/>
  <c r="Q64" i="19"/>
  <c r="U57" i="19"/>
  <c r="K58" i="19"/>
  <c r="B59" i="19"/>
  <c r="W59" i="19"/>
  <c r="M60" i="19"/>
  <c r="E61" i="19"/>
  <c r="Z61" i="19"/>
  <c r="Q62" i="19"/>
  <c r="V57" i="19"/>
  <c r="L58" i="19"/>
  <c r="C59" i="19"/>
  <c r="X59" i="19"/>
  <c r="W57" i="19"/>
  <c r="N58" i="19"/>
  <c r="D59" i="19"/>
  <c r="C57" i="19"/>
  <c r="D57" i="19"/>
  <c r="Y57" i="19"/>
  <c r="P58" i="19"/>
  <c r="F59" i="19"/>
  <c r="AA59" i="19"/>
  <c r="S60" i="19"/>
  <c r="I61" i="19"/>
  <c r="AE61" i="19"/>
  <c r="U62" i="19"/>
  <c r="K63" i="19"/>
  <c r="C64" i="19"/>
  <c r="X64" i="19"/>
  <c r="O65" i="19"/>
  <c r="J57" i="19"/>
  <c r="S58" i="19"/>
  <c r="Z59" i="19"/>
  <c r="Z60" i="19"/>
  <c r="AD61" i="19"/>
  <c r="AC62" i="19"/>
  <c r="AC63" i="19"/>
  <c r="AB64" i="19"/>
  <c r="V65" i="19"/>
  <c r="K57" i="19"/>
  <c r="T58" i="19"/>
  <c r="AB59" i="19"/>
  <c r="AA60" i="19"/>
  <c r="AF61" i="19"/>
  <c r="AD62" i="19"/>
  <c r="AD63" i="19"/>
  <c r="AC64" i="19"/>
  <c r="Y65" i="19"/>
  <c r="L57" i="19"/>
  <c r="U58" i="19"/>
  <c r="AE59" i="19"/>
  <c r="AB60" i="19"/>
  <c r="B62" i="19"/>
  <c r="AE62" i="19"/>
  <c r="B64" i="19"/>
  <c r="AD64" i="19"/>
  <c r="Z65" i="19"/>
  <c r="M57" i="19"/>
  <c r="V58" i="19"/>
  <c r="AF59" i="19"/>
  <c r="AC60" i="19"/>
  <c r="C62" i="19"/>
  <c r="AF62" i="19"/>
  <c r="D64" i="19"/>
  <c r="AE64" i="19"/>
  <c r="AE65" i="19"/>
  <c r="N57" i="19"/>
  <c r="W58" i="19"/>
  <c r="B60" i="19"/>
  <c r="F61" i="19"/>
  <c r="D62" i="19"/>
  <c r="G63" i="19"/>
  <c r="E64" i="19"/>
  <c r="AF64" i="19"/>
  <c r="AF65" i="19"/>
  <c r="X57" i="19"/>
  <c r="Z58" i="19"/>
  <c r="C60" i="19"/>
  <c r="G61" i="19"/>
  <c r="E62" i="19"/>
  <c r="H63" i="19"/>
  <c r="F64" i="19"/>
  <c r="B65" i="19"/>
  <c r="AA57" i="19"/>
  <c r="AA58" i="19"/>
  <c r="D60" i="19"/>
  <c r="H61" i="19"/>
  <c r="F62" i="19"/>
  <c r="I63" i="19"/>
  <c r="H64" i="19"/>
  <c r="C65" i="19"/>
  <c r="AB57" i="19"/>
  <c r="E59" i="19"/>
  <c r="F60" i="19"/>
  <c r="K61" i="19"/>
  <c r="G62" i="19"/>
  <c r="J63" i="19"/>
  <c r="I64" i="19"/>
  <c r="I65" i="19"/>
  <c r="AC57" i="19"/>
  <c r="G59" i="19"/>
  <c r="G60" i="19"/>
  <c r="L61" i="19"/>
  <c r="J62" i="19"/>
  <c r="L63" i="19"/>
  <c r="J64" i="19"/>
  <c r="J65" i="19"/>
  <c r="C58" i="19"/>
  <c r="T60" i="19"/>
  <c r="V62" i="19"/>
  <c r="U64" i="19"/>
  <c r="D58" i="19"/>
  <c r="U60" i="19"/>
  <c r="W62" i="19"/>
  <c r="V64" i="19"/>
  <c r="O58" i="19"/>
  <c r="V60" i="19"/>
  <c r="X62" i="19"/>
  <c r="W64" i="19"/>
  <c r="Q58" i="19"/>
  <c r="X60" i="19"/>
  <c r="Y62" i="19"/>
  <c r="Z64" i="19"/>
  <c r="R58" i="19"/>
  <c r="Y60" i="19"/>
  <c r="AB62" i="19"/>
  <c r="AA64" i="19"/>
  <c r="H59" i="19"/>
  <c r="M61" i="19"/>
  <c r="O63" i="19"/>
  <c r="K65" i="19"/>
  <c r="I59" i="19"/>
  <c r="N61" i="19"/>
  <c r="P63" i="19"/>
  <c r="M65" i="19"/>
  <c r="J59" i="19"/>
  <c r="O61" i="19"/>
  <c r="Q63" i="19"/>
  <c r="N65" i="19"/>
  <c r="M59" i="19"/>
  <c r="P61" i="19"/>
  <c r="R63" i="19"/>
  <c r="P65" i="19"/>
  <c r="AF57" i="19"/>
  <c r="S62" i="19"/>
  <c r="B58" i="19"/>
  <c r="T62" i="19"/>
  <c r="N59" i="19"/>
  <c r="S63" i="19"/>
  <c r="O59" i="19"/>
  <c r="U63" i="19"/>
  <c r="P59" i="19"/>
  <c r="V63" i="19"/>
  <c r="Q59" i="19"/>
  <c r="W63" i="19"/>
  <c r="Y59" i="19"/>
  <c r="AB63" i="19"/>
  <c r="H60" i="19"/>
  <c r="K64" i="19"/>
  <c r="N60" i="19"/>
  <c r="L64" i="19"/>
  <c r="Q61" i="19"/>
  <c r="R61" i="19"/>
  <c r="S61" i="19"/>
  <c r="AA61" i="19"/>
  <c r="AC61" i="19"/>
  <c r="K62" i="19"/>
  <c r="R62" i="19"/>
  <c r="M64" i="19"/>
  <c r="T64" i="19"/>
  <c r="S65" i="19"/>
  <c r="T65" i="19"/>
  <c r="U65" i="19"/>
  <c r="E57" i="19"/>
  <c r="I57" i="19"/>
  <c r="AD57" i="19"/>
  <c r="AE57" i="19"/>
  <c r="O60" i="19"/>
  <c r="R60" i="19"/>
  <c r="Q65" i="19"/>
  <c r="R65" i="19"/>
  <c r="F57" i="19"/>
  <c r="G57" i="19"/>
  <c r="G31" i="22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O48" i="18"/>
  <c r="C49" i="18"/>
  <c r="U49" i="18"/>
  <c r="I50" i="18"/>
  <c r="AA50" i="18"/>
  <c r="O51" i="18"/>
  <c r="C52" i="18"/>
  <c r="U52" i="18"/>
  <c r="H53" i="18"/>
  <c r="Z53" i="18"/>
  <c r="M54" i="18"/>
  <c r="AE54" i="18"/>
  <c r="N48" i="18"/>
  <c r="D49" i="18"/>
  <c r="W49" i="18"/>
  <c r="L50" i="18"/>
  <c r="AE50" i="18"/>
  <c r="T51" i="18"/>
  <c r="I52" i="18"/>
  <c r="AB52" i="18"/>
  <c r="P53" i="18"/>
  <c r="D54" i="18"/>
  <c r="W54" i="18"/>
  <c r="P48" i="18"/>
  <c r="E49" i="18"/>
  <c r="X49" i="18"/>
  <c r="M50" i="18"/>
  <c r="B51" i="18"/>
  <c r="U51" i="18"/>
  <c r="J52" i="18"/>
  <c r="AC52" i="18"/>
  <c r="Q53" i="18"/>
  <c r="E54" i="18"/>
  <c r="X54" i="18"/>
  <c r="Q48" i="18"/>
  <c r="F49" i="18"/>
  <c r="Y49" i="18"/>
  <c r="N50" i="18"/>
  <c r="C51" i="18"/>
  <c r="V51" i="18"/>
  <c r="K52" i="18"/>
  <c r="AD52" i="18"/>
  <c r="R53" i="18"/>
  <c r="F54" i="18"/>
  <c r="Y54" i="18"/>
  <c r="J48" i="18"/>
  <c r="B49" i="18"/>
  <c r="AB49" i="18"/>
  <c r="T50" i="18"/>
  <c r="L51" i="18"/>
  <c r="E52" i="18"/>
  <c r="AA52" i="18"/>
  <c r="U53" i="18"/>
  <c r="L54" i="18"/>
  <c r="W50" i="18"/>
  <c r="X53" i="18"/>
  <c r="K48" i="18"/>
  <c r="G49" i="18"/>
  <c r="AC49" i="18"/>
  <c r="U50" i="18"/>
  <c r="M51" i="18"/>
  <c r="F52" i="18"/>
  <c r="AE52" i="18"/>
  <c r="V53" i="18"/>
  <c r="N54" i="18"/>
  <c r="AE49" i="18"/>
  <c r="H52" i="18"/>
  <c r="P54" i="18"/>
  <c r="L48" i="18"/>
  <c r="H49" i="18"/>
  <c r="AD49" i="18"/>
  <c r="V50" i="18"/>
  <c r="N51" i="18"/>
  <c r="G52" i="18"/>
  <c r="AF52" i="18"/>
  <c r="W53" i="18"/>
  <c r="O54" i="18"/>
  <c r="I49" i="18"/>
  <c r="P51" i="18"/>
  <c r="B53" i="18"/>
  <c r="M48" i="18"/>
  <c r="U48" i="18"/>
  <c r="V48" i="18"/>
  <c r="N49" i="18"/>
  <c r="F50" i="18"/>
  <c r="AC50" i="18"/>
  <c r="X51" i="18"/>
  <c r="P52" i="18"/>
  <c r="G53" i="18"/>
  <c r="AD53" i="18"/>
  <c r="U54" i="18"/>
  <c r="D48" i="18"/>
  <c r="J49" i="18"/>
  <c r="H50" i="18"/>
  <c r="I51" i="18"/>
  <c r="N52" i="18"/>
  <c r="L53" i="18"/>
  <c r="K54" i="18"/>
  <c r="E48" i="18"/>
  <c r="K49" i="18"/>
  <c r="J50" i="18"/>
  <c r="J51" i="18"/>
  <c r="O52" i="18"/>
  <c r="M53" i="18"/>
  <c r="Q54" i="18"/>
  <c r="F48" i="18"/>
  <c r="L49" i="18"/>
  <c r="K50" i="18"/>
  <c r="K51" i="18"/>
  <c r="Q52" i="18"/>
  <c r="N53" i="18"/>
  <c r="R54" i="18"/>
  <c r="G48" i="18"/>
  <c r="M49" i="18"/>
  <c r="O50" i="18"/>
  <c r="Q51" i="18"/>
  <c r="R52" i="18"/>
  <c r="O53" i="18"/>
  <c r="S54" i="18"/>
  <c r="H48" i="18"/>
  <c r="O49" i="18"/>
  <c r="P50" i="18"/>
  <c r="R51" i="18"/>
  <c r="S52" i="18"/>
  <c r="S53" i="18"/>
  <c r="T54" i="18"/>
  <c r="I48" i="18"/>
  <c r="P49" i="18"/>
  <c r="Q50" i="18"/>
  <c r="S51" i="18"/>
  <c r="T52" i="18"/>
  <c r="T53" i="18"/>
  <c r="V54" i="18"/>
  <c r="R48" i="18"/>
  <c r="Q49" i="18"/>
  <c r="R50" i="18"/>
  <c r="W51" i="18"/>
  <c r="V52" i="18"/>
  <c r="Y53" i="18"/>
  <c r="Z54" i="18"/>
  <c r="S48" i="18"/>
  <c r="R49" i="18"/>
  <c r="S50" i="18"/>
  <c r="Y51" i="18"/>
  <c r="W52" i="18"/>
  <c r="AA53" i="18"/>
  <c r="AA54" i="18"/>
  <c r="T48" i="18"/>
  <c r="S49" i="18"/>
  <c r="X50" i="18"/>
  <c r="Z51" i="18"/>
  <c r="X52" i="18"/>
  <c r="AB53" i="18"/>
  <c r="AB54" i="18"/>
  <c r="W48" i="18"/>
  <c r="T49" i="18"/>
  <c r="Y50" i="18"/>
  <c r="AA51" i="18"/>
  <c r="Y52" i="18"/>
  <c r="AC53" i="18"/>
  <c r="AC54" i="18"/>
  <c r="Y48" i="18"/>
  <c r="D51" i="18"/>
  <c r="I53" i="18"/>
  <c r="C50" i="18"/>
  <c r="L52" i="18"/>
  <c r="AD54" i="18"/>
  <c r="D50" i="18"/>
  <c r="AF54" i="18"/>
  <c r="Z50" i="18"/>
  <c r="Z48" i="18"/>
  <c r="E51" i="18"/>
  <c r="J53" i="18"/>
  <c r="G51" i="18"/>
  <c r="B50" i="18"/>
  <c r="A47" i="18"/>
  <c r="G50" i="18"/>
  <c r="B48" i="18"/>
  <c r="D53" i="18"/>
  <c r="AA48" i="18"/>
  <c r="F51" i="18"/>
  <c r="K53" i="18"/>
  <c r="AB48" i="18"/>
  <c r="AE53" i="18"/>
  <c r="M52" i="18"/>
  <c r="AC48" i="18"/>
  <c r="H51" i="18"/>
  <c r="AF53" i="18"/>
  <c r="F53" i="18"/>
  <c r="AD48" i="18"/>
  <c r="AB51" i="18"/>
  <c r="B54" i="18"/>
  <c r="C48" i="18"/>
  <c r="AB50" i="18"/>
  <c r="AE48" i="18"/>
  <c r="AC51" i="18"/>
  <c r="C54" i="18"/>
  <c r="D52" i="18"/>
  <c r="V49" i="18"/>
  <c r="AD51" i="18"/>
  <c r="G54" i="18"/>
  <c r="J54" i="18"/>
  <c r="X48" i="18"/>
  <c r="AD50" i="18"/>
  <c r="Z49" i="18"/>
  <c r="AE51" i="18"/>
  <c r="H54" i="18"/>
  <c r="AA49" i="18"/>
  <c r="B52" i="18"/>
  <c r="I54" i="18"/>
  <c r="E50" i="18"/>
  <c r="Z52" i="18"/>
  <c r="C53" i="18"/>
  <c r="E53" i="18"/>
  <c r="M31" i="22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D35" i="19"/>
  <c r="D75" i="23" s="1"/>
  <c r="V35" i="19"/>
  <c r="V75" i="23" s="1"/>
  <c r="I36" i="19"/>
  <c r="I76" i="23" s="1"/>
  <c r="AA36" i="19"/>
  <c r="AA76" i="23" s="1"/>
  <c r="N37" i="19"/>
  <c r="N77" i="23" s="1"/>
  <c r="AF37" i="19"/>
  <c r="AF77" i="23" s="1"/>
  <c r="S38" i="19"/>
  <c r="S78" i="23" s="1"/>
  <c r="F39" i="19"/>
  <c r="F79" i="23" s="1"/>
  <c r="X39" i="19"/>
  <c r="X79" i="23" s="1"/>
  <c r="K40" i="19"/>
  <c r="K80" i="23" s="1"/>
  <c r="AC40" i="19"/>
  <c r="AC80" i="23" s="1"/>
  <c r="P41" i="19"/>
  <c r="P81" i="23" s="1"/>
  <c r="C42" i="19"/>
  <c r="C82" i="23" s="1"/>
  <c r="U42" i="19"/>
  <c r="U82" i="23" s="1"/>
  <c r="H43" i="19"/>
  <c r="H83" i="23" s="1"/>
  <c r="Z43" i="19"/>
  <c r="Z83" i="23" s="1"/>
  <c r="E35" i="19"/>
  <c r="E75" i="23" s="1"/>
  <c r="W35" i="19"/>
  <c r="W75" i="23" s="1"/>
  <c r="J36" i="19"/>
  <c r="J76" i="23" s="1"/>
  <c r="AB36" i="19"/>
  <c r="AB76" i="23" s="1"/>
  <c r="O37" i="19"/>
  <c r="O77" i="23" s="1"/>
  <c r="B38" i="19"/>
  <c r="B78" i="23" s="1"/>
  <c r="T38" i="19"/>
  <c r="T78" i="23" s="1"/>
  <c r="G39" i="19"/>
  <c r="G79" i="23" s="1"/>
  <c r="Y39" i="19"/>
  <c r="Y79" i="23" s="1"/>
  <c r="L40" i="19"/>
  <c r="L80" i="23" s="1"/>
  <c r="AD40" i="19"/>
  <c r="AD80" i="23" s="1"/>
  <c r="Q41" i="19"/>
  <c r="Q81" i="23" s="1"/>
  <c r="D42" i="19"/>
  <c r="D82" i="23" s="1"/>
  <c r="V42" i="19"/>
  <c r="V82" i="23" s="1"/>
  <c r="I43" i="19"/>
  <c r="I83" i="23" s="1"/>
  <c r="AA43" i="19"/>
  <c r="AA83" i="23" s="1"/>
  <c r="F35" i="19"/>
  <c r="F75" i="23" s="1"/>
  <c r="X35" i="19"/>
  <c r="X75" i="23" s="1"/>
  <c r="K36" i="19"/>
  <c r="K76" i="23" s="1"/>
  <c r="AC36" i="19"/>
  <c r="AC76" i="23" s="1"/>
  <c r="P37" i="19"/>
  <c r="P77" i="23" s="1"/>
  <c r="C38" i="19"/>
  <c r="C78" i="23" s="1"/>
  <c r="U38" i="19"/>
  <c r="U78" i="23" s="1"/>
  <c r="H39" i="19"/>
  <c r="H79" i="23" s="1"/>
  <c r="Z39" i="19"/>
  <c r="Z79" i="23" s="1"/>
  <c r="M40" i="19"/>
  <c r="M80" i="23" s="1"/>
  <c r="AE40" i="19"/>
  <c r="AE80" i="23" s="1"/>
  <c r="R41" i="19"/>
  <c r="R81" i="23" s="1"/>
  <c r="E42" i="19"/>
  <c r="E82" i="23" s="1"/>
  <c r="W42" i="19"/>
  <c r="W82" i="23" s="1"/>
  <c r="J43" i="19"/>
  <c r="J83" i="23" s="1"/>
  <c r="AB43" i="19"/>
  <c r="AB83" i="23" s="1"/>
  <c r="H35" i="19"/>
  <c r="H75" i="23" s="1"/>
  <c r="Z35" i="19"/>
  <c r="Z75" i="23" s="1"/>
  <c r="M36" i="19"/>
  <c r="M76" i="23" s="1"/>
  <c r="AE36" i="19"/>
  <c r="AE76" i="23" s="1"/>
  <c r="R37" i="19"/>
  <c r="R77" i="23" s="1"/>
  <c r="E38" i="19"/>
  <c r="E78" i="23" s="1"/>
  <c r="W38" i="19"/>
  <c r="W78" i="23" s="1"/>
  <c r="J39" i="19"/>
  <c r="J79" i="23" s="1"/>
  <c r="AB39" i="19"/>
  <c r="AB79" i="23" s="1"/>
  <c r="O40" i="19"/>
  <c r="O80" i="23" s="1"/>
  <c r="B41" i="19"/>
  <c r="B81" i="23" s="1"/>
  <c r="T41" i="19"/>
  <c r="T81" i="23" s="1"/>
  <c r="G42" i="19"/>
  <c r="G82" i="23" s="1"/>
  <c r="Y42" i="19"/>
  <c r="Y82" i="23" s="1"/>
  <c r="L43" i="19"/>
  <c r="L83" i="23" s="1"/>
  <c r="AD43" i="19"/>
  <c r="AD83" i="23" s="1"/>
  <c r="I35" i="19"/>
  <c r="I75" i="23" s="1"/>
  <c r="AA35" i="19"/>
  <c r="AA75" i="23" s="1"/>
  <c r="N36" i="19"/>
  <c r="N76" i="23" s="1"/>
  <c r="AF36" i="19"/>
  <c r="AF76" i="23" s="1"/>
  <c r="S37" i="19"/>
  <c r="S77" i="23" s="1"/>
  <c r="F38" i="19"/>
  <c r="F78" i="23" s="1"/>
  <c r="X38" i="19"/>
  <c r="X78" i="23" s="1"/>
  <c r="K39" i="19"/>
  <c r="K79" i="23" s="1"/>
  <c r="AC39" i="19"/>
  <c r="AC79" i="23" s="1"/>
  <c r="P40" i="19"/>
  <c r="P80" i="23" s="1"/>
  <c r="C41" i="19"/>
  <c r="C81" i="23" s="1"/>
  <c r="U41" i="19"/>
  <c r="U81" i="23" s="1"/>
  <c r="H42" i="19"/>
  <c r="H82" i="23" s="1"/>
  <c r="Z42" i="19"/>
  <c r="Z82" i="23" s="1"/>
  <c r="M43" i="19"/>
  <c r="M83" i="23" s="1"/>
  <c r="AE43" i="19"/>
  <c r="AE83" i="23" s="1"/>
  <c r="J35" i="19"/>
  <c r="J75" i="23" s="1"/>
  <c r="AB35" i="19"/>
  <c r="AB75" i="23" s="1"/>
  <c r="O36" i="19"/>
  <c r="O76" i="23" s="1"/>
  <c r="B37" i="19"/>
  <c r="B77" i="23" s="1"/>
  <c r="T37" i="19"/>
  <c r="T77" i="23" s="1"/>
  <c r="G38" i="19"/>
  <c r="G78" i="23" s="1"/>
  <c r="Y38" i="19"/>
  <c r="Y78" i="23" s="1"/>
  <c r="L39" i="19"/>
  <c r="L79" i="23" s="1"/>
  <c r="AD39" i="19"/>
  <c r="AD79" i="23" s="1"/>
  <c r="Q40" i="19"/>
  <c r="Q80" i="23" s="1"/>
  <c r="D41" i="19"/>
  <c r="D81" i="23" s="1"/>
  <c r="V41" i="19"/>
  <c r="V81" i="23" s="1"/>
  <c r="I42" i="19"/>
  <c r="I82" i="23" s="1"/>
  <c r="AA42" i="19"/>
  <c r="AA82" i="23" s="1"/>
  <c r="N43" i="19"/>
  <c r="N83" i="23" s="1"/>
  <c r="AF43" i="19"/>
  <c r="AF83" i="23" s="1"/>
  <c r="K35" i="19"/>
  <c r="K75" i="23" s="1"/>
  <c r="AC35" i="19"/>
  <c r="AC75" i="23" s="1"/>
  <c r="P36" i="19"/>
  <c r="P76" i="23" s="1"/>
  <c r="C37" i="19"/>
  <c r="C77" i="23" s="1"/>
  <c r="U37" i="19"/>
  <c r="U77" i="23" s="1"/>
  <c r="H38" i="19"/>
  <c r="H78" i="23" s="1"/>
  <c r="Z38" i="19"/>
  <c r="Z78" i="23" s="1"/>
  <c r="M39" i="19"/>
  <c r="M79" i="23" s="1"/>
  <c r="AE39" i="19"/>
  <c r="AE79" i="23" s="1"/>
  <c r="R40" i="19"/>
  <c r="R80" i="23" s="1"/>
  <c r="E41" i="19"/>
  <c r="E81" i="23" s="1"/>
  <c r="W41" i="19"/>
  <c r="W81" i="23" s="1"/>
  <c r="J42" i="19"/>
  <c r="J82" i="23" s="1"/>
  <c r="AB42" i="19"/>
  <c r="AB82" i="23" s="1"/>
  <c r="O43" i="19"/>
  <c r="O83" i="23" s="1"/>
  <c r="L35" i="19"/>
  <c r="L75" i="23" s="1"/>
  <c r="AD35" i="19"/>
  <c r="AD75" i="23" s="1"/>
  <c r="Q36" i="19"/>
  <c r="Q76" i="23" s="1"/>
  <c r="D37" i="19"/>
  <c r="D77" i="23" s="1"/>
  <c r="V37" i="19"/>
  <c r="V77" i="23" s="1"/>
  <c r="I38" i="19"/>
  <c r="I78" i="23" s="1"/>
  <c r="AA38" i="19"/>
  <c r="AA78" i="23" s="1"/>
  <c r="N39" i="19"/>
  <c r="N79" i="23" s="1"/>
  <c r="AF39" i="19"/>
  <c r="AF79" i="23" s="1"/>
  <c r="S40" i="19"/>
  <c r="S80" i="23" s="1"/>
  <c r="F41" i="19"/>
  <c r="F81" i="23" s="1"/>
  <c r="X41" i="19"/>
  <c r="X81" i="23" s="1"/>
  <c r="K42" i="19"/>
  <c r="K82" i="23" s="1"/>
  <c r="AC42" i="19"/>
  <c r="AC82" i="23" s="1"/>
  <c r="P43" i="19"/>
  <c r="P83" i="23" s="1"/>
  <c r="P35" i="19"/>
  <c r="P75" i="23" s="1"/>
  <c r="S36" i="19"/>
  <c r="S76" i="23" s="1"/>
  <c r="Q37" i="19"/>
  <c r="Q77" i="23" s="1"/>
  <c r="Q38" i="19"/>
  <c r="Q78" i="23" s="1"/>
  <c r="T39" i="19"/>
  <c r="T79" i="23" s="1"/>
  <c r="W40" i="19"/>
  <c r="W80" i="23" s="1"/>
  <c r="Z41" i="19"/>
  <c r="Z81" i="23" s="1"/>
  <c r="X42" i="19"/>
  <c r="X82" i="23" s="1"/>
  <c r="X43" i="19"/>
  <c r="X83" i="23" s="1"/>
  <c r="Q35" i="19"/>
  <c r="Q75" i="23" s="1"/>
  <c r="T36" i="19"/>
  <c r="T76" i="23" s="1"/>
  <c r="W37" i="19"/>
  <c r="W77" i="23" s="1"/>
  <c r="R38" i="19"/>
  <c r="R78" i="23" s="1"/>
  <c r="U39" i="19"/>
  <c r="U79" i="23" s="1"/>
  <c r="X40" i="19"/>
  <c r="X80" i="23" s="1"/>
  <c r="AA41" i="19"/>
  <c r="AA81" i="23" s="1"/>
  <c r="AD42" i="19"/>
  <c r="AD82" i="23" s="1"/>
  <c r="Y43" i="19"/>
  <c r="Y83" i="23" s="1"/>
  <c r="R35" i="19"/>
  <c r="R75" i="23" s="1"/>
  <c r="U36" i="19"/>
  <c r="U76" i="23" s="1"/>
  <c r="X37" i="19"/>
  <c r="X77" i="23" s="1"/>
  <c r="V38" i="19"/>
  <c r="V78" i="23" s="1"/>
  <c r="V39" i="19"/>
  <c r="V79" i="23" s="1"/>
  <c r="Y40" i="19"/>
  <c r="Y80" i="23" s="1"/>
  <c r="AB41" i="19"/>
  <c r="AB81" i="23" s="1"/>
  <c r="AE42" i="19"/>
  <c r="AE82" i="23" s="1"/>
  <c r="AC43" i="19"/>
  <c r="AC83" i="23" s="1"/>
  <c r="S35" i="19"/>
  <c r="S75" i="23" s="1"/>
  <c r="V36" i="19"/>
  <c r="V76" i="23" s="1"/>
  <c r="Y37" i="19"/>
  <c r="Y77" i="23" s="1"/>
  <c r="AB38" i="19"/>
  <c r="AB78" i="23" s="1"/>
  <c r="W39" i="19"/>
  <c r="W79" i="23" s="1"/>
  <c r="Z40" i="19"/>
  <c r="Z80" i="23" s="1"/>
  <c r="AC41" i="19"/>
  <c r="AC81" i="23" s="1"/>
  <c r="AF42" i="19"/>
  <c r="AF82" i="23" s="1"/>
  <c r="T35" i="19"/>
  <c r="T75" i="23" s="1"/>
  <c r="W36" i="19"/>
  <c r="W76" i="23" s="1"/>
  <c r="Z37" i="19"/>
  <c r="Z77" i="23" s="1"/>
  <c r="AC38" i="19"/>
  <c r="AC78" i="23" s="1"/>
  <c r="AA39" i="19"/>
  <c r="AA79" i="23" s="1"/>
  <c r="AA40" i="19"/>
  <c r="AA80" i="23" s="1"/>
  <c r="AD41" i="19"/>
  <c r="AD81" i="23" s="1"/>
  <c r="B43" i="19"/>
  <c r="B83" i="23" s="1"/>
  <c r="U35" i="19"/>
  <c r="U75" i="23" s="1"/>
  <c r="X36" i="19"/>
  <c r="X76" i="23" s="1"/>
  <c r="AA37" i="19"/>
  <c r="AA77" i="23" s="1"/>
  <c r="AD38" i="19"/>
  <c r="AD78" i="23" s="1"/>
  <c r="B40" i="19"/>
  <c r="B80" i="23" s="1"/>
  <c r="AB40" i="19"/>
  <c r="AB80" i="23" s="1"/>
  <c r="AE41" i="19"/>
  <c r="AE81" i="23" s="1"/>
  <c r="C43" i="19"/>
  <c r="C83" i="23" s="1"/>
  <c r="Y35" i="19"/>
  <c r="Y75" i="23" s="1"/>
  <c r="Y36" i="19"/>
  <c r="Y76" i="23" s="1"/>
  <c r="AB37" i="19"/>
  <c r="AB77" i="23" s="1"/>
  <c r="AE38" i="19"/>
  <c r="AE78" i="23" s="1"/>
  <c r="C40" i="19"/>
  <c r="C80" i="23" s="1"/>
  <c r="AF40" i="19"/>
  <c r="AF80" i="23" s="1"/>
  <c r="AF41" i="19"/>
  <c r="AF81" i="23" s="1"/>
  <c r="D43" i="19"/>
  <c r="D83" i="23" s="1"/>
  <c r="AE35" i="19"/>
  <c r="AE75" i="23" s="1"/>
  <c r="Z36" i="19"/>
  <c r="Z76" i="23" s="1"/>
  <c r="AC37" i="19"/>
  <c r="AC77" i="23" s="1"/>
  <c r="AF38" i="19"/>
  <c r="AF78" i="23" s="1"/>
  <c r="D40" i="19"/>
  <c r="D80" i="23" s="1"/>
  <c r="G41" i="19"/>
  <c r="G81" i="23" s="1"/>
  <c r="B42" i="19"/>
  <c r="B82" i="23" s="1"/>
  <c r="E43" i="19"/>
  <c r="E83" i="23" s="1"/>
  <c r="AF35" i="19"/>
  <c r="AF75" i="23" s="1"/>
  <c r="AD36" i="19"/>
  <c r="AD76" i="23" s="1"/>
  <c r="AD37" i="19"/>
  <c r="AD77" i="23" s="1"/>
  <c r="B39" i="19"/>
  <c r="B79" i="23" s="1"/>
  <c r="E40" i="19"/>
  <c r="E80" i="23" s="1"/>
  <c r="H41" i="19"/>
  <c r="H81" i="23" s="1"/>
  <c r="F42" i="19"/>
  <c r="F82" i="23" s="1"/>
  <c r="F43" i="19"/>
  <c r="F83" i="23" s="1"/>
  <c r="F36" i="19"/>
  <c r="F76" i="23" s="1"/>
  <c r="L38" i="19"/>
  <c r="L78" i="23" s="1"/>
  <c r="J40" i="19"/>
  <c r="J80" i="23" s="1"/>
  <c r="P42" i="19"/>
  <c r="P82" i="23" s="1"/>
  <c r="G36" i="19"/>
  <c r="G76" i="23" s="1"/>
  <c r="M38" i="19"/>
  <c r="M78" i="23" s="1"/>
  <c r="N40" i="19"/>
  <c r="N80" i="23" s="1"/>
  <c r="Q42" i="19"/>
  <c r="Q82" i="23" s="1"/>
  <c r="H36" i="19"/>
  <c r="H76" i="23" s="1"/>
  <c r="N38" i="19"/>
  <c r="N78" i="23" s="1"/>
  <c r="T40" i="19"/>
  <c r="T80" i="23" s="1"/>
  <c r="R42" i="19"/>
  <c r="R82" i="23" s="1"/>
  <c r="L36" i="19"/>
  <c r="L76" i="23" s="1"/>
  <c r="O38" i="19"/>
  <c r="O78" i="23" s="1"/>
  <c r="U40" i="19"/>
  <c r="U80" i="23" s="1"/>
  <c r="S42" i="19"/>
  <c r="S82" i="23" s="1"/>
  <c r="R36" i="19"/>
  <c r="R76" i="23" s="1"/>
  <c r="P38" i="19"/>
  <c r="P78" i="23" s="1"/>
  <c r="V40" i="19"/>
  <c r="V80" i="23" s="1"/>
  <c r="T42" i="19"/>
  <c r="T82" i="23" s="1"/>
  <c r="E37" i="19"/>
  <c r="E77" i="23" s="1"/>
  <c r="C39" i="19"/>
  <c r="C79" i="23" s="1"/>
  <c r="I41" i="19"/>
  <c r="I81" i="23" s="1"/>
  <c r="G43" i="19"/>
  <c r="G83" i="23" s="1"/>
  <c r="F37" i="19"/>
  <c r="F77" i="23" s="1"/>
  <c r="D39" i="19"/>
  <c r="D79" i="23" s="1"/>
  <c r="J41" i="19"/>
  <c r="J81" i="23" s="1"/>
  <c r="K43" i="19"/>
  <c r="K83" i="23" s="1"/>
  <c r="A34" i="19"/>
  <c r="G37" i="19"/>
  <c r="G77" i="23" s="1"/>
  <c r="E39" i="19"/>
  <c r="E79" i="23" s="1"/>
  <c r="K41" i="19"/>
  <c r="K81" i="23" s="1"/>
  <c r="Q43" i="19"/>
  <c r="Q83" i="23" s="1"/>
  <c r="B35" i="19"/>
  <c r="B75" i="23" s="1"/>
  <c r="H37" i="19"/>
  <c r="H77" i="23" s="1"/>
  <c r="I39" i="19"/>
  <c r="I79" i="23" s="1"/>
  <c r="L41" i="19"/>
  <c r="L81" i="23" s="1"/>
  <c r="R43" i="19"/>
  <c r="R83" i="23" s="1"/>
  <c r="O35" i="19"/>
  <c r="O75" i="23" s="1"/>
  <c r="S39" i="19"/>
  <c r="S79" i="23" s="1"/>
  <c r="W43" i="19"/>
  <c r="W83" i="23" s="1"/>
  <c r="B36" i="19"/>
  <c r="B76" i="23" s="1"/>
  <c r="F40" i="19"/>
  <c r="F80" i="23" s="1"/>
  <c r="C36" i="19"/>
  <c r="C76" i="23" s="1"/>
  <c r="G40" i="19"/>
  <c r="G80" i="23" s="1"/>
  <c r="D36" i="19"/>
  <c r="D76" i="23" s="1"/>
  <c r="H40" i="19"/>
  <c r="H80" i="23" s="1"/>
  <c r="E36" i="19"/>
  <c r="E76" i="23" s="1"/>
  <c r="I40" i="19"/>
  <c r="I80" i="23" s="1"/>
  <c r="I37" i="19"/>
  <c r="I77" i="23" s="1"/>
  <c r="M41" i="19"/>
  <c r="M81" i="23" s="1"/>
  <c r="J37" i="19"/>
  <c r="J77" i="23" s="1"/>
  <c r="N41" i="19"/>
  <c r="N81" i="23" s="1"/>
  <c r="K37" i="19"/>
  <c r="K77" i="23" s="1"/>
  <c r="O41" i="19"/>
  <c r="O81" i="23" s="1"/>
  <c r="L37" i="19"/>
  <c r="L77" i="23" s="1"/>
  <c r="S41" i="19"/>
  <c r="S81" i="23" s="1"/>
  <c r="Q39" i="19"/>
  <c r="Q79" i="23" s="1"/>
  <c r="R39" i="19"/>
  <c r="R79" i="23" s="1"/>
  <c r="Y41" i="19"/>
  <c r="Y81" i="23" s="1"/>
  <c r="L42" i="19"/>
  <c r="L82" i="23" s="1"/>
  <c r="M42" i="19"/>
  <c r="M82" i="23" s="1"/>
  <c r="N42" i="19"/>
  <c r="N82" i="23" s="1"/>
  <c r="O42" i="19"/>
  <c r="O82" i="23" s="1"/>
  <c r="C35" i="19"/>
  <c r="C75" i="23" s="1"/>
  <c r="S43" i="19"/>
  <c r="S83" i="23" s="1"/>
  <c r="G35" i="19"/>
  <c r="G75" i="23" s="1"/>
  <c r="T43" i="19"/>
  <c r="T83" i="23" s="1"/>
  <c r="M35" i="19"/>
  <c r="M75" i="23" s="1"/>
  <c r="N35" i="19"/>
  <c r="N75" i="23" s="1"/>
  <c r="D38" i="19"/>
  <c r="D78" i="23" s="1"/>
  <c r="J38" i="19"/>
  <c r="J78" i="23" s="1"/>
  <c r="K38" i="19"/>
  <c r="K78" i="23" s="1"/>
  <c r="O39" i="19"/>
  <c r="O79" i="23" s="1"/>
  <c r="P39" i="19"/>
  <c r="P79" i="23" s="1"/>
  <c r="U43" i="19"/>
  <c r="U83" i="23" s="1"/>
  <c r="V43" i="19"/>
  <c r="V83" i="23" s="1"/>
  <c r="M37" i="19"/>
  <c r="M77" i="23" s="1"/>
  <c r="AE37" i="19"/>
  <c r="AE77" i="23" s="1"/>
  <c r="M84" i="23" l="1"/>
  <c r="B7" i="25" a="1"/>
  <c r="F65" i="25" s="1"/>
  <c r="G84" i="23"/>
  <c r="AD84" i="23"/>
  <c r="G69" i="25"/>
  <c r="AD70" i="25"/>
  <c r="Q71" i="25"/>
  <c r="L66" i="25"/>
  <c r="N70" i="25"/>
  <c r="P67" i="25"/>
  <c r="U68" i="25"/>
  <c r="R71" i="25"/>
  <c r="G65" i="25"/>
  <c r="S71" i="25"/>
  <c r="O69" i="25"/>
  <c r="L65" i="25"/>
  <c r="AB70" i="25"/>
  <c r="D66" i="25"/>
  <c r="AC68" i="25"/>
  <c r="AF65" i="25"/>
  <c r="V66" i="25"/>
  <c r="T71" i="25"/>
  <c r="U71" i="25"/>
  <c r="X66" i="25"/>
  <c r="W66" i="25"/>
  <c r="G68" i="25"/>
  <c r="AD68" i="25"/>
  <c r="X71" i="25"/>
  <c r="Q65" i="25"/>
  <c r="N67" i="25"/>
  <c r="H68" i="25"/>
  <c r="E71" i="25"/>
  <c r="B7" i="25"/>
  <c r="J68" i="25"/>
  <c r="D71" i="25"/>
  <c r="AF66" i="25"/>
  <c r="V67" i="25"/>
  <c r="AA71" i="25"/>
  <c r="AF71" i="25"/>
  <c r="M68" i="25"/>
  <c r="H67" i="25"/>
  <c r="S68" i="25"/>
  <c r="AC65" i="25"/>
  <c r="C70" i="25"/>
  <c r="R70" i="25"/>
  <c r="AC71" i="25"/>
  <c r="AA65" i="25"/>
  <c r="AB71" i="25"/>
  <c r="D65" i="25"/>
  <c r="S65" i="25"/>
  <c r="U65" i="25"/>
  <c r="AD67" i="25"/>
  <c r="Y70" i="25"/>
  <c r="I67" i="25"/>
  <c r="AE71" i="25"/>
  <c r="AE69" i="25"/>
  <c r="V65" i="25"/>
  <c r="E67" i="25"/>
  <c r="AD69" i="25"/>
  <c r="Z65" i="25"/>
  <c r="F67" i="25"/>
  <c r="M71" i="25"/>
  <c r="AD71" i="25"/>
  <c r="Z67" i="25"/>
  <c r="E84" i="23"/>
  <c r="B84" i="23"/>
  <c r="Y84" i="23"/>
  <c r="F84" i="23"/>
  <c r="B4" i="20" a="1"/>
  <c r="C84" i="23"/>
  <c r="AF84" i="23"/>
  <c r="Z84" i="23"/>
  <c r="X84" i="23"/>
  <c r="H84" i="23"/>
  <c r="AA84" i="23"/>
  <c r="I84" i="23"/>
  <c r="L84" i="23"/>
  <c r="Q84" i="23"/>
  <c r="AB84" i="23"/>
  <c r="P84" i="23"/>
  <c r="S84" i="23"/>
  <c r="J84" i="23"/>
  <c r="N84" i="23"/>
  <c r="R84" i="23"/>
  <c r="D84" i="23"/>
  <c r="T84" i="23"/>
  <c r="U84" i="23"/>
  <c r="AC84" i="23"/>
  <c r="O33" i="22"/>
  <c r="B6" i="20" a="1"/>
  <c r="V84" i="23"/>
  <c r="K84" i="23"/>
  <c r="F56" i="25"/>
  <c r="X56" i="25"/>
  <c r="K57" i="25"/>
  <c r="AC57" i="25"/>
  <c r="P58" i="25"/>
  <c r="C59" i="25"/>
  <c r="U59" i="25"/>
  <c r="H60" i="25"/>
  <c r="Z60" i="25"/>
  <c r="M61" i="25"/>
  <c r="AE61" i="25"/>
  <c r="R62" i="25"/>
  <c r="E59" i="25"/>
  <c r="G56" i="25"/>
  <c r="Y56" i="25"/>
  <c r="L57" i="25"/>
  <c r="AD57" i="25"/>
  <c r="Q58" i="25"/>
  <c r="D59" i="25"/>
  <c r="V59" i="25"/>
  <c r="I60" i="25"/>
  <c r="AA60" i="25"/>
  <c r="N61" i="25"/>
  <c r="AF61" i="25"/>
  <c r="S62" i="25"/>
  <c r="M57" i="25"/>
  <c r="W59" i="25"/>
  <c r="AB60" i="25"/>
  <c r="H56" i="25"/>
  <c r="Z56" i="25"/>
  <c r="AE57" i="25"/>
  <c r="R58" i="25"/>
  <c r="J60" i="25"/>
  <c r="O61" i="25"/>
  <c r="T62" i="25"/>
  <c r="K56" i="25"/>
  <c r="AF56" i="25"/>
  <c r="V57" i="25"/>
  <c r="L58" i="25"/>
  <c r="Z59" i="25"/>
  <c r="P60" i="25"/>
  <c r="F61" i="25"/>
  <c r="AA61" i="25"/>
  <c r="Q62" i="25"/>
  <c r="N56" i="25"/>
  <c r="D57" i="25"/>
  <c r="H59" i="25"/>
  <c r="I61" i="25"/>
  <c r="E57" i="25"/>
  <c r="T60" i="25"/>
  <c r="X62" i="25"/>
  <c r="AA57" i="25"/>
  <c r="U60" i="25"/>
  <c r="L59" i="25"/>
  <c r="AA62" i="25"/>
  <c r="L56" i="25"/>
  <c r="W57" i="25"/>
  <c r="M58" i="25"/>
  <c r="F59" i="25"/>
  <c r="AA59" i="25"/>
  <c r="Q60" i="25"/>
  <c r="G61" i="25"/>
  <c r="AB61" i="25"/>
  <c r="U62" i="25"/>
  <c r="X57" i="25"/>
  <c r="AB59" i="25"/>
  <c r="AC61" i="25"/>
  <c r="O58" i="25"/>
  <c r="S60" i="25"/>
  <c r="W62" i="25"/>
  <c r="O56" i="25"/>
  <c r="AD59" i="25"/>
  <c r="C62" i="25"/>
  <c r="P56" i="25"/>
  <c r="T58" i="25"/>
  <c r="K61" i="25"/>
  <c r="Y62" i="25"/>
  <c r="V58" i="25"/>
  <c r="F62" i="25"/>
  <c r="M56" i="25"/>
  <c r="C57" i="25"/>
  <c r="N58" i="25"/>
  <c r="G59" i="25"/>
  <c r="R60" i="25"/>
  <c r="H61" i="25"/>
  <c r="V62" i="25"/>
  <c r="B6" i="25"/>
  <c r="Y57" i="25"/>
  <c r="AC59" i="25"/>
  <c r="AD61" i="25"/>
  <c r="S58" i="25"/>
  <c r="J61" i="25"/>
  <c r="F57" i="25"/>
  <c r="D62" i="25"/>
  <c r="W60" i="25"/>
  <c r="Z57" i="25"/>
  <c r="J59" i="25"/>
  <c r="P61" i="25"/>
  <c r="I59" i="25"/>
  <c r="AE59" i="25"/>
  <c r="Q56" i="25"/>
  <c r="G57" i="25"/>
  <c r="AB57" i="25"/>
  <c r="U58" i="25"/>
  <c r="K59" i="25"/>
  <c r="AF59" i="25"/>
  <c r="V60" i="25"/>
  <c r="L61" i="25"/>
  <c r="E62" i="25"/>
  <c r="Z62" i="25"/>
  <c r="AF57" i="25"/>
  <c r="R56" i="25"/>
  <c r="H57" i="25"/>
  <c r="S56" i="25"/>
  <c r="I57" i="25"/>
  <c r="W58" i="25"/>
  <c r="M59" i="25"/>
  <c r="C60" i="25"/>
  <c r="X60" i="25"/>
  <c r="Q61" i="25"/>
  <c r="G62" i="25"/>
  <c r="AB62" i="25"/>
  <c r="C56" i="25"/>
  <c r="Q57" i="25"/>
  <c r="AB58" i="25"/>
  <c r="K60" i="25"/>
  <c r="V61" i="25"/>
  <c r="N60" i="25"/>
  <c r="AF58" i="25"/>
  <c r="C58" i="25"/>
  <c r="H58" i="25"/>
  <c r="M62" i="25"/>
  <c r="AC56" i="25"/>
  <c r="I58" i="25"/>
  <c r="T59" i="25"/>
  <c r="AD56" i="25"/>
  <c r="J58" i="25"/>
  <c r="X59" i="25"/>
  <c r="D61" i="25"/>
  <c r="O62" i="25"/>
  <c r="J57" i="25"/>
  <c r="N57" i="25"/>
  <c r="Y58" i="25"/>
  <c r="S61" i="25"/>
  <c r="D56" i="25"/>
  <c r="R57" i="25"/>
  <c r="AC58" i="25"/>
  <c r="L60" i="25"/>
  <c r="W61" i="25"/>
  <c r="M60" i="25"/>
  <c r="T57" i="25"/>
  <c r="Y61" i="25"/>
  <c r="N59" i="25"/>
  <c r="Y60" i="25"/>
  <c r="H62" i="25"/>
  <c r="J62" i="25"/>
  <c r="AF60" i="25"/>
  <c r="AB56" i="25"/>
  <c r="S59" i="25"/>
  <c r="E61" i="25"/>
  <c r="O57" i="25"/>
  <c r="Z58" i="25"/>
  <c r="T61" i="25"/>
  <c r="P57" i="25"/>
  <c r="AA58" i="25"/>
  <c r="G60" i="25"/>
  <c r="E56" i="25"/>
  <c r="S57" i="25"/>
  <c r="AD58" i="25"/>
  <c r="X61" i="25"/>
  <c r="I56" i="25"/>
  <c r="AE58" i="25"/>
  <c r="J56" i="25"/>
  <c r="O60" i="25"/>
  <c r="T56" i="25"/>
  <c r="U57" i="25"/>
  <c r="R59" i="25"/>
  <c r="R61" i="25"/>
  <c r="AD62" i="25"/>
  <c r="AE62" i="25"/>
  <c r="Z61" i="25"/>
  <c r="P59" i="25"/>
  <c r="N62" i="25"/>
  <c r="E60" i="25"/>
  <c r="U61" i="25"/>
  <c r="U56" i="25"/>
  <c r="D58" i="25"/>
  <c r="O59" i="25"/>
  <c r="AC60" i="25"/>
  <c r="I62" i="25"/>
  <c r="E58" i="25"/>
  <c r="C61" i="25"/>
  <c r="V56" i="25"/>
  <c r="AD60" i="25"/>
  <c r="AF62" i="25"/>
  <c r="W56" i="25"/>
  <c r="F58" i="25"/>
  <c r="Q59" i="25"/>
  <c r="AE60" i="25"/>
  <c r="K62" i="25"/>
  <c r="AA56" i="25"/>
  <c r="G58" i="25"/>
  <c r="L62" i="25"/>
  <c r="AE56" i="25"/>
  <c r="K58" i="25"/>
  <c r="Y59" i="25"/>
  <c r="P62" i="25"/>
  <c r="X58" i="25"/>
  <c r="D60" i="25"/>
  <c r="AC62" i="25"/>
  <c r="F60" i="25"/>
  <c r="B5" i="25" a="1"/>
  <c r="B5" i="20" a="1"/>
  <c r="W84" i="23"/>
  <c r="B7" i="20" a="1"/>
  <c r="B4" i="25" a="1"/>
  <c r="O84" i="23"/>
  <c r="AE84" i="23"/>
  <c r="G71" i="25" l="1"/>
  <c r="W69" i="25"/>
  <c r="Z68" i="25"/>
  <c r="L70" i="25"/>
  <c r="N69" i="25"/>
  <c r="P65" i="25"/>
  <c r="C66" i="25"/>
  <c r="J67" i="25"/>
  <c r="AC69" i="25"/>
  <c r="AB65" i="25"/>
  <c r="K68" i="25"/>
  <c r="U67" i="25"/>
  <c r="V68" i="25"/>
  <c r="P68" i="25"/>
  <c r="D69" i="25"/>
  <c r="L68" i="25"/>
  <c r="I70" i="25"/>
  <c r="AA68" i="25"/>
  <c r="Y69" i="25"/>
  <c r="AF69" i="25"/>
  <c r="I71" i="25"/>
  <c r="H66" i="25"/>
  <c r="AF68" i="25"/>
  <c r="Y68" i="25"/>
  <c r="Y67" i="25"/>
  <c r="M69" i="25"/>
  <c r="V69" i="25"/>
  <c r="Y66" i="25"/>
  <c r="AE65" i="25"/>
  <c r="X68" i="25"/>
  <c r="AE67" i="25"/>
  <c r="R65" i="25"/>
  <c r="S69" i="25"/>
  <c r="U66" i="25"/>
  <c r="X69" i="25"/>
  <c r="R66" i="25"/>
  <c r="Z71" i="25"/>
  <c r="R69" i="25"/>
  <c r="Y65" i="25"/>
  <c r="T68" i="25"/>
  <c r="M66" i="25"/>
  <c r="F69" i="25"/>
  <c r="T66" i="25"/>
  <c r="G66" i="25"/>
  <c r="G70" i="25"/>
  <c r="AF70" i="25"/>
  <c r="O67" i="25"/>
  <c r="N71" i="25"/>
  <c r="S70" i="25"/>
  <c r="W70" i="25"/>
  <c r="E66" i="25"/>
  <c r="M67" i="25"/>
  <c r="AA69" i="25"/>
  <c r="W68" i="25"/>
  <c r="L71" i="25"/>
  <c r="F71" i="25"/>
  <c r="W71" i="25"/>
  <c r="E68" i="25"/>
  <c r="I69" i="25"/>
  <c r="AB66" i="25"/>
  <c r="D67" i="25"/>
  <c r="E69" i="25"/>
  <c r="R68" i="25"/>
  <c r="K70" i="25"/>
  <c r="M65" i="25"/>
  <c r="C71" i="25"/>
  <c r="D68" i="25"/>
  <c r="J66" i="25"/>
  <c r="C67" i="25"/>
  <c r="N66" i="25"/>
  <c r="O68" i="25"/>
  <c r="AE68" i="25"/>
  <c r="F68" i="25"/>
  <c r="O65" i="25"/>
  <c r="AD66" i="25"/>
  <c r="Q70" i="25"/>
  <c r="W67" i="25"/>
  <c r="I66" i="25"/>
  <c r="X70" i="25"/>
  <c r="AE66" i="25"/>
  <c r="J70" i="25"/>
  <c r="AB68" i="25"/>
  <c r="AE70" i="25"/>
  <c r="C69" i="25"/>
  <c r="H71" i="25"/>
  <c r="I65" i="25"/>
  <c r="K69" i="25"/>
  <c r="J69" i="25"/>
  <c r="T67" i="25"/>
  <c r="R67" i="25"/>
  <c r="AA70" i="25"/>
  <c r="P71" i="25"/>
  <c r="M70" i="25"/>
  <c r="W65" i="25"/>
  <c r="O71" i="25"/>
  <c r="AB69" i="25"/>
  <c r="S66" i="25"/>
  <c r="AB67" i="25"/>
  <c r="AA67" i="25"/>
  <c r="AA66" i="25"/>
  <c r="N65" i="25"/>
  <c r="F70" i="25"/>
  <c r="Z70" i="25"/>
  <c r="Z69" i="25"/>
  <c r="E65" i="25"/>
  <c r="D70" i="25"/>
  <c r="N68" i="25"/>
  <c r="AC67" i="25"/>
  <c r="C65" i="25"/>
  <c r="P66" i="25"/>
  <c r="F66" i="25"/>
  <c r="H70" i="25"/>
  <c r="P69" i="25"/>
  <c r="E70" i="25"/>
  <c r="H69" i="25"/>
  <c r="K71" i="25"/>
  <c r="AD65" i="25"/>
  <c r="O66" i="25"/>
  <c r="X67" i="25"/>
  <c r="P70" i="25"/>
  <c r="T69" i="25"/>
  <c r="Q69" i="25"/>
  <c r="L67" i="25"/>
  <c r="AF67" i="25"/>
  <c r="K66" i="25"/>
  <c r="Q68" i="25"/>
  <c r="T65" i="25"/>
  <c r="L69" i="25"/>
  <c r="V70" i="25"/>
  <c r="H65" i="25"/>
  <c r="Y71" i="25"/>
  <c r="S67" i="25"/>
  <c r="Z66" i="25"/>
  <c r="K65" i="25"/>
  <c r="K67" i="25"/>
  <c r="C68" i="25"/>
  <c r="J71" i="25"/>
  <c r="G67" i="25"/>
  <c r="T70" i="25"/>
  <c r="Q66" i="25"/>
  <c r="U70" i="25"/>
  <c r="U69" i="25"/>
  <c r="O70" i="25"/>
  <c r="AC70" i="25"/>
  <c r="I68" i="25"/>
  <c r="J65" i="25"/>
  <c r="X65" i="25"/>
  <c r="AC66" i="25"/>
  <c r="V71" i="25"/>
  <c r="Q67" i="25"/>
  <c r="B4" i="25"/>
  <c r="H38" i="25"/>
  <c r="Z38" i="25"/>
  <c r="M39" i="25"/>
  <c r="AE39" i="25"/>
  <c r="R40" i="25"/>
  <c r="E41" i="25"/>
  <c r="W41" i="25"/>
  <c r="J42" i="25"/>
  <c r="AB42" i="25"/>
  <c r="O43" i="25"/>
  <c r="T44" i="25"/>
  <c r="I38" i="25"/>
  <c r="AA38" i="25"/>
  <c r="N39" i="25"/>
  <c r="AF39" i="25"/>
  <c r="S40" i="25"/>
  <c r="F41" i="25"/>
  <c r="X41" i="25"/>
  <c r="K42" i="25"/>
  <c r="AC42" i="25"/>
  <c r="P43" i="25"/>
  <c r="C44" i="25"/>
  <c r="U44" i="25"/>
  <c r="J38" i="25"/>
  <c r="AB38" i="25"/>
  <c r="O39" i="25"/>
  <c r="T40" i="25"/>
  <c r="G41" i="25"/>
  <c r="Y41" i="25"/>
  <c r="L42" i="25"/>
  <c r="AD42" i="25"/>
  <c r="Q43" i="25"/>
  <c r="D44" i="25"/>
  <c r="V44" i="25"/>
  <c r="P38" i="25"/>
  <c r="C39" i="25"/>
  <c r="U39" i="25"/>
  <c r="H40" i="25"/>
  <c r="Z40" i="25"/>
  <c r="M41" i="25"/>
  <c r="AE41" i="25"/>
  <c r="R42" i="25"/>
  <c r="E43" i="25"/>
  <c r="W43" i="25"/>
  <c r="J44" i="25"/>
  <c r="AB44" i="25"/>
  <c r="O38" i="25"/>
  <c r="G39" i="25"/>
  <c r="AC39" i="25"/>
  <c r="W40" i="25"/>
  <c r="O41" i="25"/>
  <c r="F42" i="25"/>
  <c r="AE42" i="25"/>
  <c r="V43" i="25"/>
  <c r="N44" i="25"/>
  <c r="J39" i="25"/>
  <c r="R41" i="25"/>
  <c r="Q44" i="25"/>
  <c r="AB40" i="25"/>
  <c r="M42" i="25"/>
  <c r="R44" i="25"/>
  <c r="Q38" i="25"/>
  <c r="H39" i="25"/>
  <c r="AD39" i="25"/>
  <c r="X40" i="25"/>
  <c r="P41" i="25"/>
  <c r="G42" i="25"/>
  <c r="AF42" i="25"/>
  <c r="X43" i="25"/>
  <c r="O44" i="25"/>
  <c r="H42" i="25"/>
  <c r="S38" i="25"/>
  <c r="AA40" i="25"/>
  <c r="C43" i="25"/>
  <c r="K39" i="25"/>
  <c r="D43" i="25"/>
  <c r="R38" i="25"/>
  <c r="I39" i="25"/>
  <c r="C40" i="25"/>
  <c r="Y40" i="25"/>
  <c r="Q41" i="25"/>
  <c r="Y43" i="25"/>
  <c r="P44" i="25"/>
  <c r="D40" i="25"/>
  <c r="Z43" i="25"/>
  <c r="E40" i="25"/>
  <c r="AA43" i="25"/>
  <c r="I42" i="25"/>
  <c r="T38" i="25"/>
  <c r="S41" i="25"/>
  <c r="U38" i="25"/>
  <c r="L39" i="25"/>
  <c r="F40" i="25"/>
  <c r="AC40" i="25"/>
  <c r="T41" i="25"/>
  <c r="N42" i="25"/>
  <c r="F43" i="25"/>
  <c r="AB43" i="25"/>
  <c r="S44" i="25"/>
  <c r="V38" i="25"/>
  <c r="P39" i="25"/>
  <c r="G40" i="25"/>
  <c r="AD40" i="25"/>
  <c r="U41" i="25"/>
  <c r="O42" i="25"/>
  <c r="G43" i="25"/>
  <c r="AC43" i="25"/>
  <c r="W44" i="25"/>
  <c r="W38" i="25"/>
  <c r="Q39" i="25"/>
  <c r="I40" i="25"/>
  <c r="AE40" i="25"/>
  <c r="V41" i="25"/>
  <c r="P42" i="25"/>
  <c r="H43" i="25"/>
  <c r="AD43" i="25"/>
  <c r="X44" i="25"/>
  <c r="X38" i="25"/>
  <c r="R39" i="25"/>
  <c r="J40" i="25"/>
  <c r="AF40" i="25"/>
  <c r="Z41" i="25"/>
  <c r="Q42" i="25"/>
  <c r="I43" i="25"/>
  <c r="AE43" i="25"/>
  <c r="Y44" i="25"/>
  <c r="AF38" i="25"/>
  <c r="O40" i="25"/>
  <c r="AF41" i="25"/>
  <c r="N43" i="25"/>
  <c r="AE44" i="25"/>
  <c r="U40" i="25"/>
  <c r="Y39" i="25"/>
  <c r="L38" i="25"/>
  <c r="K41" i="25"/>
  <c r="K44" i="25"/>
  <c r="M38" i="25"/>
  <c r="AA39" i="25"/>
  <c r="Z42" i="25"/>
  <c r="L40" i="25"/>
  <c r="AB41" i="25"/>
  <c r="AA44" i="25"/>
  <c r="P40" i="25"/>
  <c r="R43" i="25"/>
  <c r="AF44" i="25"/>
  <c r="E39" i="25"/>
  <c r="J41" i="25"/>
  <c r="I44" i="25"/>
  <c r="Y42" i="25"/>
  <c r="M44" i="25"/>
  <c r="Y38" i="25"/>
  <c r="AD38" i="25"/>
  <c r="AC41" i="25"/>
  <c r="L43" i="25"/>
  <c r="N40" i="25"/>
  <c r="M43" i="25"/>
  <c r="D39" i="25"/>
  <c r="Q40" i="25"/>
  <c r="C42" i="25"/>
  <c r="S43" i="25"/>
  <c r="D42" i="25"/>
  <c r="S42" i="25"/>
  <c r="X39" i="25"/>
  <c r="Z39" i="25"/>
  <c r="L41" i="25"/>
  <c r="AB39" i="25"/>
  <c r="T43" i="25"/>
  <c r="M40" i="25"/>
  <c r="F39" i="25"/>
  <c r="V40" i="25"/>
  <c r="E42" i="25"/>
  <c r="U43" i="25"/>
  <c r="K38" i="25"/>
  <c r="L44" i="25"/>
  <c r="AE38" i="25"/>
  <c r="C38" i="25"/>
  <c r="S39" i="25"/>
  <c r="AF43" i="25"/>
  <c r="AA41" i="25"/>
  <c r="AC38" i="25"/>
  <c r="AC44" i="25"/>
  <c r="AD44" i="25"/>
  <c r="D38" i="25"/>
  <c r="T39" i="25"/>
  <c r="C41" i="25"/>
  <c r="T42" i="25"/>
  <c r="E44" i="25"/>
  <c r="D41" i="25"/>
  <c r="W42" i="25"/>
  <c r="E38" i="25"/>
  <c r="V39" i="25"/>
  <c r="U42" i="25"/>
  <c r="F44" i="25"/>
  <c r="X42" i="25"/>
  <c r="K43" i="25"/>
  <c r="AD41" i="25"/>
  <c r="F38" i="25"/>
  <c r="W39" i="25"/>
  <c r="H41" i="25"/>
  <c r="V42" i="25"/>
  <c r="G44" i="25"/>
  <c r="G38" i="25"/>
  <c r="I41" i="25"/>
  <c r="H44" i="25"/>
  <c r="N38" i="25"/>
  <c r="N41" i="25"/>
  <c r="AA42" i="25"/>
  <c r="K40" i="25"/>
  <c r="J43" i="25"/>
  <c r="Z44" i="25"/>
  <c r="I78" i="20"/>
  <c r="I37" i="23" s="1"/>
  <c r="AA78" i="20"/>
  <c r="AA37" i="23" s="1"/>
  <c r="N79" i="20"/>
  <c r="N38" i="23" s="1"/>
  <c r="AF79" i="20"/>
  <c r="AF38" i="23" s="1"/>
  <c r="S80" i="20"/>
  <c r="S39" i="23" s="1"/>
  <c r="F81" i="20"/>
  <c r="F40" i="23" s="1"/>
  <c r="X81" i="20"/>
  <c r="X40" i="23" s="1"/>
  <c r="K82" i="20"/>
  <c r="K41" i="23" s="1"/>
  <c r="AC82" i="20"/>
  <c r="AC41" i="23" s="1"/>
  <c r="P83" i="20"/>
  <c r="P42" i="23" s="1"/>
  <c r="C84" i="20"/>
  <c r="C43" i="23" s="1"/>
  <c r="U84" i="20"/>
  <c r="U43" i="23" s="1"/>
  <c r="H85" i="20"/>
  <c r="H44" i="23" s="1"/>
  <c r="Z85" i="20"/>
  <c r="Z44" i="23" s="1"/>
  <c r="M86" i="20"/>
  <c r="M45" i="23" s="1"/>
  <c r="AE86" i="20"/>
  <c r="AE45" i="23" s="1"/>
  <c r="J78" i="20"/>
  <c r="J37" i="23" s="1"/>
  <c r="AB78" i="20"/>
  <c r="AB37" i="23" s="1"/>
  <c r="O79" i="20"/>
  <c r="O38" i="23" s="1"/>
  <c r="T80" i="20"/>
  <c r="T39" i="23" s="1"/>
  <c r="G81" i="20"/>
  <c r="G40" i="23" s="1"/>
  <c r="Y81" i="20"/>
  <c r="Y40" i="23" s="1"/>
  <c r="L82" i="20"/>
  <c r="L41" i="23" s="1"/>
  <c r="AD82" i="20"/>
  <c r="AD41" i="23" s="1"/>
  <c r="Q83" i="20"/>
  <c r="Q42" i="23" s="1"/>
  <c r="D84" i="20"/>
  <c r="D43" i="23" s="1"/>
  <c r="V84" i="20"/>
  <c r="V43" i="23" s="1"/>
  <c r="I85" i="20"/>
  <c r="I44" i="23" s="1"/>
  <c r="AA85" i="20"/>
  <c r="AA44" i="23" s="1"/>
  <c r="N86" i="20"/>
  <c r="N45" i="23" s="1"/>
  <c r="AF86" i="20"/>
  <c r="AF45" i="23" s="1"/>
  <c r="K78" i="20"/>
  <c r="K37" i="23" s="1"/>
  <c r="AC78" i="20"/>
  <c r="AC37" i="23" s="1"/>
  <c r="P79" i="20"/>
  <c r="P38" i="23" s="1"/>
  <c r="C80" i="20"/>
  <c r="C39" i="23" s="1"/>
  <c r="U80" i="20"/>
  <c r="U39" i="23" s="1"/>
  <c r="H81" i="20"/>
  <c r="H40" i="23" s="1"/>
  <c r="Z81" i="20"/>
  <c r="Z40" i="23" s="1"/>
  <c r="M82" i="20"/>
  <c r="M41" i="23" s="1"/>
  <c r="AE82" i="20"/>
  <c r="AE41" i="23" s="1"/>
  <c r="R83" i="20"/>
  <c r="R42" i="23" s="1"/>
  <c r="E84" i="20"/>
  <c r="E43" i="23" s="1"/>
  <c r="W84" i="20"/>
  <c r="W43" i="23" s="1"/>
  <c r="J85" i="20"/>
  <c r="J44" i="23" s="1"/>
  <c r="AB85" i="20"/>
  <c r="AB44" i="23" s="1"/>
  <c r="O86" i="20"/>
  <c r="O45" i="23" s="1"/>
  <c r="N78" i="20"/>
  <c r="N37" i="23" s="1"/>
  <c r="D79" i="20"/>
  <c r="D38" i="23" s="1"/>
  <c r="Y79" i="20"/>
  <c r="Y38" i="23" s="1"/>
  <c r="O80" i="20"/>
  <c r="O39" i="23" s="1"/>
  <c r="E81" i="20"/>
  <c r="E40" i="23" s="1"/>
  <c r="AC81" i="20"/>
  <c r="AC40" i="23" s="1"/>
  <c r="S82" i="20"/>
  <c r="S41" i="23" s="1"/>
  <c r="I83" i="20"/>
  <c r="I42" i="23" s="1"/>
  <c r="AD83" i="20"/>
  <c r="AD42" i="23" s="1"/>
  <c r="T84" i="20"/>
  <c r="T43" i="23" s="1"/>
  <c r="M85" i="20"/>
  <c r="M44" i="23" s="1"/>
  <c r="C86" i="20"/>
  <c r="C45" i="23" s="1"/>
  <c r="X86" i="20"/>
  <c r="X45" i="23" s="1"/>
  <c r="O78" i="20"/>
  <c r="O37" i="23" s="1"/>
  <c r="E79" i="20"/>
  <c r="E38" i="23" s="1"/>
  <c r="Z79" i="20"/>
  <c r="Z38" i="23" s="1"/>
  <c r="P80" i="20"/>
  <c r="P39" i="23" s="1"/>
  <c r="I81" i="20"/>
  <c r="I40" i="23" s="1"/>
  <c r="AD81" i="20"/>
  <c r="AD40" i="23" s="1"/>
  <c r="T82" i="20"/>
  <c r="T41" i="23" s="1"/>
  <c r="J83" i="20"/>
  <c r="J42" i="23" s="1"/>
  <c r="AE83" i="20"/>
  <c r="AE42" i="23" s="1"/>
  <c r="X84" i="20"/>
  <c r="X43" i="23" s="1"/>
  <c r="N85" i="20"/>
  <c r="N44" i="23" s="1"/>
  <c r="D86" i="20"/>
  <c r="D45" i="23" s="1"/>
  <c r="Y86" i="20"/>
  <c r="Y45" i="23" s="1"/>
  <c r="P78" i="20"/>
  <c r="P37" i="23" s="1"/>
  <c r="F79" i="20"/>
  <c r="F38" i="23" s="1"/>
  <c r="AA79" i="20"/>
  <c r="AA38" i="23" s="1"/>
  <c r="Q80" i="20"/>
  <c r="Q39" i="23" s="1"/>
  <c r="J81" i="20"/>
  <c r="J40" i="23" s="1"/>
  <c r="AE81" i="20"/>
  <c r="AE40" i="23" s="1"/>
  <c r="U82" i="20"/>
  <c r="U41" i="23" s="1"/>
  <c r="K83" i="20"/>
  <c r="K42" i="23" s="1"/>
  <c r="AF83" i="20"/>
  <c r="AF42" i="23" s="1"/>
  <c r="Y84" i="20"/>
  <c r="Y43" i="23" s="1"/>
  <c r="O85" i="20"/>
  <c r="O44" i="23" s="1"/>
  <c r="E86" i="20"/>
  <c r="E45" i="23" s="1"/>
  <c r="Z86" i="20"/>
  <c r="Z45" i="23" s="1"/>
  <c r="R78" i="20"/>
  <c r="R37" i="23" s="1"/>
  <c r="H79" i="20"/>
  <c r="H38" i="23" s="1"/>
  <c r="AC79" i="20"/>
  <c r="AC38" i="23" s="1"/>
  <c r="V80" i="20"/>
  <c r="V39" i="23" s="1"/>
  <c r="L81" i="20"/>
  <c r="L40" i="23" s="1"/>
  <c r="V78" i="20"/>
  <c r="V37" i="23" s="1"/>
  <c r="L79" i="20"/>
  <c r="L38" i="23" s="1"/>
  <c r="E80" i="20"/>
  <c r="E39" i="23" s="1"/>
  <c r="Z80" i="20"/>
  <c r="Z39" i="23" s="1"/>
  <c r="P81" i="20"/>
  <c r="P40" i="23" s="1"/>
  <c r="F82" i="20"/>
  <c r="F41" i="23" s="1"/>
  <c r="AA82" i="20"/>
  <c r="AA41" i="23" s="1"/>
  <c r="T83" i="20"/>
  <c r="T42" i="23" s="1"/>
  <c r="J84" i="20"/>
  <c r="J43" i="23" s="1"/>
  <c r="AE84" i="20"/>
  <c r="AE43" i="23" s="1"/>
  <c r="U85" i="20"/>
  <c r="U44" i="23" s="1"/>
  <c r="K86" i="20"/>
  <c r="K45" i="23" s="1"/>
  <c r="G78" i="20"/>
  <c r="G37" i="23" s="1"/>
  <c r="I79" i="20"/>
  <c r="I38" i="23" s="1"/>
  <c r="H80" i="20"/>
  <c r="H39" i="23" s="1"/>
  <c r="C81" i="20"/>
  <c r="C40" i="23" s="1"/>
  <c r="E82" i="20"/>
  <c r="E41" i="23" s="1"/>
  <c r="C83" i="20"/>
  <c r="C42" i="23" s="1"/>
  <c r="AB83" i="20"/>
  <c r="AB42" i="23" s="1"/>
  <c r="AB84" i="20"/>
  <c r="AB43" i="23" s="1"/>
  <c r="W85" i="20"/>
  <c r="W44" i="23" s="1"/>
  <c r="T86" i="20"/>
  <c r="T45" i="23" s="1"/>
  <c r="H78" i="20"/>
  <c r="H37" i="23" s="1"/>
  <c r="J79" i="20"/>
  <c r="J38" i="23" s="1"/>
  <c r="I80" i="20"/>
  <c r="I39" i="23" s="1"/>
  <c r="D81" i="20"/>
  <c r="D40" i="23" s="1"/>
  <c r="G82" i="20"/>
  <c r="G41" i="23" s="1"/>
  <c r="D83" i="20"/>
  <c r="D42" i="23" s="1"/>
  <c r="AC83" i="20"/>
  <c r="AC42" i="23" s="1"/>
  <c r="AC84" i="20"/>
  <c r="AC43" i="23" s="1"/>
  <c r="X85" i="20"/>
  <c r="X44" i="23" s="1"/>
  <c r="U86" i="20"/>
  <c r="U45" i="23" s="1"/>
  <c r="L78" i="20"/>
  <c r="L37" i="23" s="1"/>
  <c r="K79" i="20"/>
  <c r="K38" i="23" s="1"/>
  <c r="J80" i="20"/>
  <c r="J39" i="23" s="1"/>
  <c r="K81" i="20"/>
  <c r="K40" i="23" s="1"/>
  <c r="H82" i="20"/>
  <c r="H41" i="23" s="1"/>
  <c r="E83" i="20"/>
  <c r="E42" i="23" s="1"/>
  <c r="AD84" i="20"/>
  <c r="AD43" i="23" s="1"/>
  <c r="Y85" i="20"/>
  <c r="Y44" i="23" s="1"/>
  <c r="V86" i="20"/>
  <c r="V45" i="23" s="1"/>
  <c r="M78" i="20"/>
  <c r="M37" i="23" s="1"/>
  <c r="M79" i="20"/>
  <c r="M38" i="23" s="1"/>
  <c r="K80" i="20"/>
  <c r="K39" i="23" s="1"/>
  <c r="M81" i="20"/>
  <c r="M40" i="23" s="1"/>
  <c r="I82" i="20"/>
  <c r="I41" i="23" s="1"/>
  <c r="F83" i="20"/>
  <c r="F42" i="23" s="1"/>
  <c r="F84" i="20"/>
  <c r="F43" i="23" s="1"/>
  <c r="AF84" i="20"/>
  <c r="AF43" i="23" s="1"/>
  <c r="AC85" i="20"/>
  <c r="AC44" i="23" s="1"/>
  <c r="W86" i="20"/>
  <c r="W45" i="23" s="1"/>
  <c r="Q78" i="20"/>
  <c r="Q37" i="23" s="1"/>
  <c r="Q79" i="20"/>
  <c r="Q38" i="23" s="1"/>
  <c r="L80" i="20"/>
  <c r="L39" i="23" s="1"/>
  <c r="N81" i="20"/>
  <c r="N40" i="23" s="1"/>
  <c r="J82" i="20"/>
  <c r="J41" i="23" s="1"/>
  <c r="G83" i="20"/>
  <c r="G42" i="23" s="1"/>
  <c r="G84" i="20"/>
  <c r="G43" i="23" s="1"/>
  <c r="AD85" i="20"/>
  <c r="AD44" i="23" s="1"/>
  <c r="AA86" i="20"/>
  <c r="AA45" i="23" s="1"/>
  <c r="S78" i="20"/>
  <c r="S37" i="23" s="1"/>
  <c r="R79" i="20"/>
  <c r="R38" i="23" s="1"/>
  <c r="M80" i="20"/>
  <c r="M39" i="23" s="1"/>
  <c r="O81" i="20"/>
  <c r="O40" i="23" s="1"/>
  <c r="N82" i="20"/>
  <c r="N41" i="23" s="1"/>
  <c r="H83" i="20"/>
  <c r="H42" i="23" s="1"/>
  <c r="H84" i="20"/>
  <c r="H43" i="23" s="1"/>
  <c r="C85" i="20"/>
  <c r="C44" i="23" s="1"/>
  <c r="AE85" i="20"/>
  <c r="AE44" i="23" s="1"/>
  <c r="AB86" i="20"/>
  <c r="AB45" i="23" s="1"/>
  <c r="T78" i="20"/>
  <c r="T37" i="23" s="1"/>
  <c r="S79" i="20"/>
  <c r="S38" i="23" s="1"/>
  <c r="N80" i="20"/>
  <c r="N39" i="23" s="1"/>
  <c r="Q81" i="20"/>
  <c r="Q40" i="23" s="1"/>
  <c r="O82" i="20"/>
  <c r="O41" i="23" s="1"/>
  <c r="L83" i="20"/>
  <c r="L42" i="23" s="1"/>
  <c r="I84" i="20"/>
  <c r="I43" i="23" s="1"/>
  <c r="D85" i="20"/>
  <c r="D44" i="23" s="1"/>
  <c r="AF85" i="20"/>
  <c r="AF44" i="23" s="1"/>
  <c r="AC86" i="20"/>
  <c r="AC45" i="23" s="1"/>
  <c r="B7" i="20"/>
  <c r="U78" i="20"/>
  <c r="U37" i="23" s="1"/>
  <c r="T79" i="20"/>
  <c r="T38" i="23" s="1"/>
  <c r="R80" i="20"/>
  <c r="R39" i="23" s="1"/>
  <c r="R81" i="20"/>
  <c r="R40" i="23" s="1"/>
  <c r="P82" i="20"/>
  <c r="P41" i="23" s="1"/>
  <c r="M83" i="20"/>
  <c r="M42" i="23" s="1"/>
  <c r="K84" i="20"/>
  <c r="K43" i="23" s="1"/>
  <c r="E85" i="20"/>
  <c r="E44" i="23" s="1"/>
  <c r="AD86" i="20"/>
  <c r="AD45" i="23" s="1"/>
  <c r="W78" i="20"/>
  <c r="W37" i="23" s="1"/>
  <c r="U79" i="20"/>
  <c r="U38" i="23" s="1"/>
  <c r="W80" i="20"/>
  <c r="W39" i="23" s="1"/>
  <c r="S81" i="20"/>
  <c r="S40" i="23" s="1"/>
  <c r="Q82" i="20"/>
  <c r="Q41" i="23" s="1"/>
  <c r="N83" i="20"/>
  <c r="N42" i="23" s="1"/>
  <c r="L84" i="20"/>
  <c r="L43" i="23" s="1"/>
  <c r="F85" i="20"/>
  <c r="F44" i="23" s="1"/>
  <c r="F86" i="20"/>
  <c r="F45" i="23" s="1"/>
  <c r="Z78" i="20"/>
  <c r="Z37" i="23" s="1"/>
  <c r="AA80" i="20"/>
  <c r="AA39" i="23" s="1"/>
  <c r="W82" i="20"/>
  <c r="W41" i="23" s="1"/>
  <c r="O84" i="20"/>
  <c r="O43" i="23" s="1"/>
  <c r="I86" i="20"/>
  <c r="I45" i="23" s="1"/>
  <c r="AD78" i="20"/>
  <c r="AD37" i="23" s="1"/>
  <c r="AB80" i="20"/>
  <c r="AB39" i="23" s="1"/>
  <c r="X82" i="20"/>
  <c r="X41" i="23" s="1"/>
  <c r="P84" i="20"/>
  <c r="P43" i="23" s="1"/>
  <c r="J86" i="20"/>
  <c r="J45" i="23" s="1"/>
  <c r="AE78" i="20"/>
  <c r="AE37" i="23" s="1"/>
  <c r="AC80" i="20"/>
  <c r="AC39" i="23" s="1"/>
  <c r="Y82" i="20"/>
  <c r="Y41" i="23" s="1"/>
  <c r="Q84" i="20"/>
  <c r="Q43" i="23" s="1"/>
  <c r="L86" i="20"/>
  <c r="L45" i="23" s="1"/>
  <c r="AF78" i="20"/>
  <c r="AF37" i="23" s="1"/>
  <c r="AD80" i="20"/>
  <c r="AD39" i="23" s="1"/>
  <c r="Z82" i="20"/>
  <c r="Z41" i="23" s="1"/>
  <c r="R84" i="20"/>
  <c r="R43" i="23" s="1"/>
  <c r="P86" i="20"/>
  <c r="P45" i="23" s="1"/>
  <c r="AE80" i="20"/>
  <c r="AE39" i="23" s="1"/>
  <c r="AB82" i="20"/>
  <c r="AB41" i="23" s="1"/>
  <c r="S84" i="20"/>
  <c r="S43" i="23" s="1"/>
  <c r="Q86" i="20"/>
  <c r="Q45" i="23" s="1"/>
  <c r="C79" i="20"/>
  <c r="C38" i="23" s="1"/>
  <c r="AF80" i="20"/>
  <c r="AF39" i="23" s="1"/>
  <c r="AF82" i="20"/>
  <c r="AF41" i="23" s="1"/>
  <c r="Z84" i="20"/>
  <c r="Z43" i="23" s="1"/>
  <c r="R86" i="20"/>
  <c r="R45" i="23" s="1"/>
  <c r="G79" i="20"/>
  <c r="G38" i="23" s="1"/>
  <c r="AA84" i="20"/>
  <c r="AA43" i="23" s="1"/>
  <c r="S86" i="20"/>
  <c r="S45" i="23" s="1"/>
  <c r="V79" i="20"/>
  <c r="V38" i="23" s="1"/>
  <c r="T81" i="20"/>
  <c r="T40" i="23" s="1"/>
  <c r="O83" i="20"/>
  <c r="O42" i="23" s="1"/>
  <c r="G85" i="20"/>
  <c r="G44" i="23" s="1"/>
  <c r="W79" i="20"/>
  <c r="W38" i="23" s="1"/>
  <c r="U81" i="20"/>
  <c r="U40" i="23" s="1"/>
  <c r="S83" i="20"/>
  <c r="S42" i="23" s="1"/>
  <c r="K85" i="20"/>
  <c r="K44" i="23" s="1"/>
  <c r="AA81" i="20"/>
  <c r="AA40" i="23" s="1"/>
  <c r="Q85" i="20"/>
  <c r="Q44" i="23" s="1"/>
  <c r="C78" i="20"/>
  <c r="C37" i="23" s="1"/>
  <c r="AB81" i="20"/>
  <c r="AB40" i="23" s="1"/>
  <c r="R85" i="20"/>
  <c r="R44" i="23" s="1"/>
  <c r="D78" i="20"/>
  <c r="D37" i="23" s="1"/>
  <c r="AF81" i="20"/>
  <c r="AF40" i="23" s="1"/>
  <c r="S85" i="20"/>
  <c r="S44" i="23" s="1"/>
  <c r="E78" i="20"/>
  <c r="E37" i="23" s="1"/>
  <c r="C82" i="20"/>
  <c r="C41" i="23" s="1"/>
  <c r="T85" i="20"/>
  <c r="T44" i="23" s="1"/>
  <c r="F78" i="20"/>
  <c r="F37" i="23" s="1"/>
  <c r="D82" i="20"/>
  <c r="D41" i="23" s="1"/>
  <c r="V85" i="20"/>
  <c r="V44" i="23" s="1"/>
  <c r="X78" i="20"/>
  <c r="X37" i="23" s="1"/>
  <c r="R82" i="20"/>
  <c r="R41" i="23" s="1"/>
  <c r="G86" i="20"/>
  <c r="G45" i="23" s="1"/>
  <c r="Y78" i="20"/>
  <c r="Y37" i="23" s="1"/>
  <c r="V82" i="20"/>
  <c r="V41" i="23" s="1"/>
  <c r="H86" i="20"/>
  <c r="H45" i="23" s="1"/>
  <c r="X79" i="20"/>
  <c r="X38" i="23" s="1"/>
  <c r="U83" i="20"/>
  <c r="U42" i="23" s="1"/>
  <c r="AB79" i="20"/>
  <c r="AB38" i="23" s="1"/>
  <c r="V83" i="20"/>
  <c r="V42" i="23" s="1"/>
  <c r="D80" i="20"/>
  <c r="D39" i="23" s="1"/>
  <c r="F80" i="20"/>
  <c r="F39" i="23" s="1"/>
  <c r="G80" i="20"/>
  <c r="G39" i="23" s="1"/>
  <c r="X80" i="20"/>
  <c r="X39" i="23" s="1"/>
  <c r="Y80" i="20"/>
  <c r="Y39" i="23" s="1"/>
  <c r="V81" i="20"/>
  <c r="V40" i="23" s="1"/>
  <c r="W81" i="20"/>
  <c r="W40" i="23" s="1"/>
  <c r="W83" i="20"/>
  <c r="W42" i="23" s="1"/>
  <c r="X83" i="20"/>
  <c r="X42" i="23" s="1"/>
  <c r="AD79" i="20"/>
  <c r="AD38" i="23" s="1"/>
  <c r="AE79" i="20"/>
  <c r="AE38" i="23" s="1"/>
  <c r="Y83" i="20"/>
  <c r="Y42" i="23" s="1"/>
  <c r="Z83" i="20"/>
  <c r="Z42" i="23" s="1"/>
  <c r="N84" i="20"/>
  <c r="N43" i="23" s="1"/>
  <c r="L85" i="20"/>
  <c r="L44" i="23" s="1"/>
  <c r="P85" i="20"/>
  <c r="P44" i="23" s="1"/>
  <c r="AA83" i="20"/>
  <c r="AA42" i="23" s="1"/>
  <c r="M84" i="20"/>
  <c r="M43" i="23" s="1"/>
  <c r="R67" i="20"/>
  <c r="R25" i="23" s="1"/>
  <c r="E68" i="20"/>
  <c r="E26" i="23" s="1"/>
  <c r="W68" i="20"/>
  <c r="W26" i="23" s="1"/>
  <c r="J69" i="20"/>
  <c r="J27" i="23" s="1"/>
  <c r="AB69" i="20"/>
  <c r="AB27" i="23" s="1"/>
  <c r="O70" i="20"/>
  <c r="O28" i="23" s="1"/>
  <c r="T71" i="20"/>
  <c r="T29" i="23" s="1"/>
  <c r="G72" i="20"/>
  <c r="G30" i="23" s="1"/>
  <c r="Y72" i="20"/>
  <c r="Y30" i="23" s="1"/>
  <c r="L73" i="20"/>
  <c r="L31" i="23" s="1"/>
  <c r="AD73" i="20"/>
  <c r="AD31" i="23" s="1"/>
  <c r="Q74" i="20"/>
  <c r="Q32" i="23" s="1"/>
  <c r="D75" i="20"/>
  <c r="D33" i="23" s="1"/>
  <c r="V75" i="20"/>
  <c r="V33" i="23" s="1"/>
  <c r="S67" i="20"/>
  <c r="S25" i="23" s="1"/>
  <c r="F68" i="20"/>
  <c r="F26" i="23" s="1"/>
  <c r="X68" i="20"/>
  <c r="X26" i="23" s="1"/>
  <c r="K69" i="20"/>
  <c r="K27" i="23" s="1"/>
  <c r="AC69" i="20"/>
  <c r="AC27" i="23" s="1"/>
  <c r="P70" i="20"/>
  <c r="P28" i="23" s="1"/>
  <c r="C71" i="20"/>
  <c r="C29" i="23" s="1"/>
  <c r="U71" i="20"/>
  <c r="U29" i="23" s="1"/>
  <c r="H72" i="20"/>
  <c r="H30" i="23" s="1"/>
  <c r="Z72" i="20"/>
  <c r="Z30" i="23" s="1"/>
  <c r="M73" i="20"/>
  <c r="M31" i="23" s="1"/>
  <c r="AE73" i="20"/>
  <c r="AE31" i="23" s="1"/>
  <c r="R74" i="20"/>
  <c r="R32" i="23" s="1"/>
  <c r="E75" i="20"/>
  <c r="E33" i="23" s="1"/>
  <c r="W75" i="20"/>
  <c r="W33" i="23" s="1"/>
  <c r="T67" i="20"/>
  <c r="T25" i="23" s="1"/>
  <c r="G68" i="20"/>
  <c r="G26" i="23" s="1"/>
  <c r="Y68" i="20"/>
  <c r="Y26" i="23" s="1"/>
  <c r="L69" i="20"/>
  <c r="L27" i="23" s="1"/>
  <c r="AD69" i="20"/>
  <c r="AD27" i="23" s="1"/>
  <c r="Q70" i="20"/>
  <c r="Q28" i="23" s="1"/>
  <c r="D71" i="20"/>
  <c r="D29" i="23" s="1"/>
  <c r="V71" i="20"/>
  <c r="V29" i="23" s="1"/>
  <c r="I72" i="20"/>
  <c r="I30" i="23" s="1"/>
  <c r="AA72" i="20"/>
  <c r="AA30" i="23" s="1"/>
  <c r="N73" i="20"/>
  <c r="N31" i="23" s="1"/>
  <c r="AF73" i="20"/>
  <c r="AF31" i="23" s="1"/>
  <c r="S74" i="20"/>
  <c r="S32" i="23" s="1"/>
  <c r="F75" i="20"/>
  <c r="F33" i="23" s="1"/>
  <c r="X75" i="20"/>
  <c r="X33" i="23" s="1"/>
  <c r="K67" i="20"/>
  <c r="K25" i="23" s="1"/>
  <c r="AF67" i="20"/>
  <c r="AF25" i="23" s="1"/>
  <c r="V68" i="20"/>
  <c r="V26" i="23" s="1"/>
  <c r="O69" i="20"/>
  <c r="O27" i="23" s="1"/>
  <c r="E70" i="20"/>
  <c r="E28" i="23" s="1"/>
  <c r="Z70" i="20"/>
  <c r="Z28" i="23" s="1"/>
  <c r="P71" i="20"/>
  <c r="P29" i="23" s="1"/>
  <c r="F72" i="20"/>
  <c r="F30" i="23" s="1"/>
  <c r="AD72" i="20"/>
  <c r="AD30" i="23" s="1"/>
  <c r="T73" i="20"/>
  <c r="T31" i="23" s="1"/>
  <c r="J74" i="20"/>
  <c r="J32" i="23" s="1"/>
  <c r="AE74" i="20"/>
  <c r="AE32" i="23" s="1"/>
  <c r="U75" i="20"/>
  <c r="U33" i="23" s="1"/>
  <c r="L67" i="20"/>
  <c r="L25" i="23" s="1"/>
  <c r="Z68" i="20"/>
  <c r="Z26" i="23" s="1"/>
  <c r="P69" i="20"/>
  <c r="P27" i="23" s="1"/>
  <c r="F70" i="20"/>
  <c r="F28" i="23" s="1"/>
  <c r="AA70" i="20"/>
  <c r="AA28" i="23" s="1"/>
  <c r="Q71" i="20"/>
  <c r="Q29" i="23" s="1"/>
  <c r="J72" i="20"/>
  <c r="J30" i="23" s="1"/>
  <c r="AE72" i="20"/>
  <c r="AE30" i="23" s="1"/>
  <c r="U73" i="20"/>
  <c r="U31" i="23" s="1"/>
  <c r="K74" i="20"/>
  <c r="K32" i="23" s="1"/>
  <c r="AF74" i="20"/>
  <c r="AF32" i="23" s="1"/>
  <c r="Y75" i="20"/>
  <c r="Y33" i="23" s="1"/>
  <c r="M67" i="20"/>
  <c r="M25" i="23" s="1"/>
  <c r="C68" i="20"/>
  <c r="C26" i="23" s="1"/>
  <c r="AA68" i="20"/>
  <c r="AA26" i="23" s="1"/>
  <c r="Q69" i="20"/>
  <c r="Q27" i="23" s="1"/>
  <c r="G70" i="20"/>
  <c r="G28" i="23" s="1"/>
  <c r="AB70" i="20"/>
  <c r="AB28" i="23" s="1"/>
  <c r="R71" i="20"/>
  <c r="R29" i="23" s="1"/>
  <c r="K72" i="20"/>
  <c r="K30" i="23" s="1"/>
  <c r="AF72" i="20"/>
  <c r="AF30" i="23" s="1"/>
  <c r="V73" i="20"/>
  <c r="V31" i="23" s="1"/>
  <c r="L74" i="20"/>
  <c r="L32" i="23" s="1"/>
  <c r="Z75" i="20"/>
  <c r="Z33" i="23" s="1"/>
  <c r="N67" i="20"/>
  <c r="N25" i="23" s="1"/>
  <c r="D68" i="20"/>
  <c r="D26" i="23" s="1"/>
  <c r="AB68" i="20"/>
  <c r="AB26" i="23" s="1"/>
  <c r="R69" i="20"/>
  <c r="R27" i="23" s="1"/>
  <c r="H70" i="20"/>
  <c r="H28" i="23" s="1"/>
  <c r="O67" i="20"/>
  <c r="O25" i="23" s="1"/>
  <c r="H68" i="20"/>
  <c r="H26" i="23" s="1"/>
  <c r="AC68" i="20"/>
  <c r="AC26" i="23" s="1"/>
  <c r="S69" i="20"/>
  <c r="S27" i="23" s="1"/>
  <c r="I70" i="20"/>
  <c r="I28" i="23" s="1"/>
  <c r="AD70" i="20"/>
  <c r="AD28" i="23" s="1"/>
  <c r="W71" i="20"/>
  <c r="W29" i="23" s="1"/>
  <c r="M72" i="20"/>
  <c r="M30" i="23" s="1"/>
  <c r="C73" i="20"/>
  <c r="C31" i="23" s="1"/>
  <c r="X73" i="20"/>
  <c r="X31" i="23" s="1"/>
  <c r="N74" i="20"/>
  <c r="N32" i="23" s="1"/>
  <c r="G75" i="20"/>
  <c r="G33" i="23" s="1"/>
  <c r="AB75" i="20"/>
  <c r="AB33" i="23" s="1"/>
  <c r="V67" i="20"/>
  <c r="V25" i="23" s="1"/>
  <c r="L68" i="20"/>
  <c r="L26" i="23" s="1"/>
  <c r="W69" i="20"/>
  <c r="W27" i="23" s="1"/>
  <c r="M70" i="20"/>
  <c r="M28" i="23" s="1"/>
  <c r="F71" i="20"/>
  <c r="F29" i="23" s="1"/>
  <c r="AA71" i="20"/>
  <c r="AA29" i="23" s="1"/>
  <c r="Q72" i="20"/>
  <c r="Q30" i="23" s="1"/>
  <c r="G73" i="20"/>
  <c r="G31" i="23" s="1"/>
  <c r="AB73" i="20"/>
  <c r="AB31" i="23" s="1"/>
  <c r="U74" i="20"/>
  <c r="U32" i="23" s="1"/>
  <c r="K75" i="20"/>
  <c r="K33" i="23" s="1"/>
  <c r="AF75" i="20"/>
  <c r="AF33" i="23" s="1"/>
  <c r="I67" i="20"/>
  <c r="I25" i="23" s="1"/>
  <c r="N68" i="20"/>
  <c r="N26" i="23" s="1"/>
  <c r="M69" i="20"/>
  <c r="M27" i="23" s="1"/>
  <c r="R70" i="20"/>
  <c r="R28" i="23" s="1"/>
  <c r="M71" i="20"/>
  <c r="M29" i="23" s="1"/>
  <c r="O72" i="20"/>
  <c r="O30" i="23" s="1"/>
  <c r="K73" i="20"/>
  <c r="K31" i="23" s="1"/>
  <c r="I74" i="20"/>
  <c r="I32" i="23" s="1"/>
  <c r="L75" i="20"/>
  <c r="L33" i="23" s="1"/>
  <c r="J67" i="20"/>
  <c r="J25" i="23" s="1"/>
  <c r="O68" i="20"/>
  <c r="O26" i="23" s="1"/>
  <c r="N69" i="20"/>
  <c r="N27" i="23" s="1"/>
  <c r="S70" i="20"/>
  <c r="S28" i="23" s="1"/>
  <c r="N71" i="20"/>
  <c r="N29" i="23" s="1"/>
  <c r="P72" i="20"/>
  <c r="P30" i="23" s="1"/>
  <c r="O73" i="20"/>
  <c r="O31" i="23" s="1"/>
  <c r="M74" i="20"/>
  <c r="M32" i="23" s="1"/>
  <c r="M75" i="20"/>
  <c r="M33" i="23" s="1"/>
  <c r="P67" i="20"/>
  <c r="P25" i="23" s="1"/>
  <c r="P68" i="20"/>
  <c r="P26" i="23" s="1"/>
  <c r="T69" i="20"/>
  <c r="T27" i="23" s="1"/>
  <c r="T70" i="20"/>
  <c r="T28" i="23" s="1"/>
  <c r="O71" i="20"/>
  <c r="O29" i="23" s="1"/>
  <c r="R72" i="20"/>
  <c r="R30" i="23" s="1"/>
  <c r="P73" i="20"/>
  <c r="P31" i="23" s="1"/>
  <c r="O74" i="20"/>
  <c r="O32" i="23" s="1"/>
  <c r="N75" i="20"/>
  <c r="N33" i="23" s="1"/>
  <c r="Q67" i="20"/>
  <c r="Q25" i="23" s="1"/>
  <c r="Q68" i="20"/>
  <c r="Q26" i="23" s="1"/>
  <c r="U69" i="20"/>
  <c r="U27" i="23" s="1"/>
  <c r="U70" i="20"/>
  <c r="U28" i="23" s="1"/>
  <c r="S71" i="20"/>
  <c r="S29" i="23" s="1"/>
  <c r="S72" i="20"/>
  <c r="S30" i="23" s="1"/>
  <c r="Q73" i="20"/>
  <c r="Q31" i="23" s="1"/>
  <c r="P74" i="20"/>
  <c r="P32" i="23" s="1"/>
  <c r="O75" i="20"/>
  <c r="O33" i="23" s="1"/>
  <c r="U67" i="20"/>
  <c r="U25" i="23" s="1"/>
  <c r="R68" i="20"/>
  <c r="R26" i="23" s="1"/>
  <c r="V69" i="20"/>
  <c r="V27" i="23" s="1"/>
  <c r="V70" i="20"/>
  <c r="V28" i="23" s="1"/>
  <c r="X71" i="20"/>
  <c r="X29" i="23" s="1"/>
  <c r="T72" i="20"/>
  <c r="T30" i="23" s="1"/>
  <c r="R73" i="20"/>
  <c r="R31" i="23" s="1"/>
  <c r="T74" i="20"/>
  <c r="T32" i="23" s="1"/>
  <c r="P75" i="20"/>
  <c r="P33" i="23" s="1"/>
  <c r="B6" i="20"/>
  <c r="W67" i="20"/>
  <c r="W25" i="23" s="1"/>
  <c r="S68" i="20"/>
  <c r="S26" i="23" s="1"/>
  <c r="X69" i="20"/>
  <c r="X27" i="23" s="1"/>
  <c r="W70" i="20"/>
  <c r="W28" i="23" s="1"/>
  <c r="Y71" i="20"/>
  <c r="Y29" i="23" s="1"/>
  <c r="U72" i="20"/>
  <c r="U30" i="23" s="1"/>
  <c r="S73" i="20"/>
  <c r="S31" i="23" s="1"/>
  <c r="V74" i="20"/>
  <c r="V32" i="23" s="1"/>
  <c r="Q75" i="20"/>
  <c r="Q33" i="23" s="1"/>
  <c r="X67" i="20"/>
  <c r="X25" i="23" s="1"/>
  <c r="T68" i="20"/>
  <c r="T26" i="23" s="1"/>
  <c r="Y69" i="20"/>
  <c r="Y27" i="23" s="1"/>
  <c r="X70" i="20"/>
  <c r="X28" i="23" s="1"/>
  <c r="Z71" i="20"/>
  <c r="Z29" i="23" s="1"/>
  <c r="V72" i="20"/>
  <c r="V30" i="23" s="1"/>
  <c r="W73" i="20"/>
  <c r="W31" i="23" s="1"/>
  <c r="W74" i="20"/>
  <c r="W32" i="23" s="1"/>
  <c r="R75" i="20"/>
  <c r="R33" i="23" s="1"/>
  <c r="Y67" i="20"/>
  <c r="Y25" i="23" s="1"/>
  <c r="U68" i="20"/>
  <c r="U26" i="23" s="1"/>
  <c r="Z69" i="20"/>
  <c r="Z27" i="23" s="1"/>
  <c r="Y70" i="20"/>
  <c r="Y28" i="23" s="1"/>
  <c r="AB71" i="20"/>
  <c r="AB29" i="23" s="1"/>
  <c r="W72" i="20"/>
  <c r="W30" i="23" s="1"/>
  <c r="Y73" i="20"/>
  <c r="Y31" i="23" s="1"/>
  <c r="X74" i="20"/>
  <c r="X32" i="23" s="1"/>
  <c r="S75" i="20"/>
  <c r="S33" i="23" s="1"/>
  <c r="Z67" i="20"/>
  <c r="Z25" i="23" s="1"/>
  <c r="AD68" i="20"/>
  <c r="AD26" i="23" s="1"/>
  <c r="AA69" i="20"/>
  <c r="AA27" i="23" s="1"/>
  <c r="AC70" i="20"/>
  <c r="AC28" i="23" s="1"/>
  <c r="AC71" i="20"/>
  <c r="AC29" i="23" s="1"/>
  <c r="X72" i="20"/>
  <c r="X30" i="23" s="1"/>
  <c r="Z73" i="20"/>
  <c r="Z31" i="23" s="1"/>
  <c r="Y74" i="20"/>
  <c r="Y32" i="23" s="1"/>
  <c r="T75" i="20"/>
  <c r="T33" i="23" s="1"/>
  <c r="C69" i="20"/>
  <c r="C27" i="23" s="1"/>
  <c r="E71" i="20"/>
  <c r="E29" i="23" s="1"/>
  <c r="AB74" i="20"/>
  <c r="AB32" i="23" s="1"/>
  <c r="C67" i="20"/>
  <c r="C25" i="23" s="1"/>
  <c r="D69" i="20"/>
  <c r="D27" i="23" s="1"/>
  <c r="G71" i="20"/>
  <c r="G29" i="23" s="1"/>
  <c r="D73" i="20"/>
  <c r="D31" i="23" s="1"/>
  <c r="AC74" i="20"/>
  <c r="AC32" i="23" s="1"/>
  <c r="D67" i="20"/>
  <c r="D25" i="23" s="1"/>
  <c r="E69" i="20"/>
  <c r="E27" i="23" s="1"/>
  <c r="H71" i="20"/>
  <c r="H29" i="23" s="1"/>
  <c r="E73" i="20"/>
  <c r="E31" i="23" s="1"/>
  <c r="AD74" i="20"/>
  <c r="AD32" i="23" s="1"/>
  <c r="E67" i="20"/>
  <c r="E25" i="23" s="1"/>
  <c r="F69" i="20"/>
  <c r="F27" i="23" s="1"/>
  <c r="I71" i="20"/>
  <c r="I29" i="23" s="1"/>
  <c r="F73" i="20"/>
  <c r="F31" i="23" s="1"/>
  <c r="C75" i="20"/>
  <c r="C33" i="23" s="1"/>
  <c r="F67" i="20"/>
  <c r="F25" i="23" s="1"/>
  <c r="G69" i="20"/>
  <c r="G27" i="23" s="1"/>
  <c r="J71" i="20"/>
  <c r="J29" i="23" s="1"/>
  <c r="H73" i="20"/>
  <c r="H31" i="23" s="1"/>
  <c r="H75" i="20"/>
  <c r="H33" i="23" s="1"/>
  <c r="G67" i="20"/>
  <c r="G25" i="23" s="1"/>
  <c r="H69" i="20"/>
  <c r="H27" i="23" s="1"/>
  <c r="K71" i="20"/>
  <c r="K29" i="23" s="1"/>
  <c r="I73" i="20"/>
  <c r="I31" i="23" s="1"/>
  <c r="I75" i="20"/>
  <c r="I33" i="23" s="1"/>
  <c r="H67" i="20"/>
  <c r="H25" i="23" s="1"/>
  <c r="I69" i="20"/>
  <c r="I27" i="23" s="1"/>
  <c r="L71" i="20"/>
  <c r="L29" i="23" s="1"/>
  <c r="J73" i="20"/>
  <c r="J31" i="23" s="1"/>
  <c r="J75" i="20"/>
  <c r="J33" i="23" s="1"/>
  <c r="AA67" i="20"/>
  <c r="AA25" i="23" s="1"/>
  <c r="AE69" i="20"/>
  <c r="AE27" i="23" s="1"/>
  <c r="AD71" i="20"/>
  <c r="AD29" i="23" s="1"/>
  <c r="AA73" i="20"/>
  <c r="AA31" i="23" s="1"/>
  <c r="AA75" i="20"/>
  <c r="AA33" i="23" s="1"/>
  <c r="AB67" i="20"/>
  <c r="AB25" i="23" s="1"/>
  <c r="AF69" i="20"/>
  <c r="AF27" i="23" s="1"/>
  <c r="AE71" i="20"/>
  <c r="AE29" i="23" s="1"/>
  <c r="AC73" i="20"/>
  <c r="AC31" i="23" s="1"/>
  <c r="AC75" i="20"/>
  <c r="AC33" i="23" s="1"/>
  <c r="AE67" i="20"/>
  <c r="AE25" i="23" s="1"/>
  <c r="C72" i="20"/>
  <c r="C30" i="23" s="1"/>
  <c r="I68" i="20"/>
  <c r="I26" i="23" s="1"/>
  <c r="D72" i="20"/>
  <c r="D30" i="23" s="1"/>
  <c r="J68" i="20"/>
  <c r="J26" i="23" s="1"/>
  <c r="E72" i="20"/>
  <c r="E30" i="23" s="1"/>
  <c r="K68" i="20"/>
  <c r="K26" i="23" s="1"/>
  <c r="L72" i="20"/>
  <c r="L30" i="23" s="1"/>
  <c r="M68" i="20"/>
  <c r="M26" i="23" s="1"/>
  <c r="N72" i="20"/>
  <c r="N30" i="23" s="1"/>
  <c r="AE68" i="20"/>
  <c r="AE26" i="23" s="1"/>
  <c r="AB72" i="20"/>
  <c r="AB30" i="23" s="1"/>
  <c r="AF68" i="20"/>
  <c r="AF26" i="23" s="1"/>
  <c r="AC72" i="20"/>
  <c r="AC30" i="23" s="1"/>
  <c r="C70" i="20"/>
  <c r="C28" i="23" s="1"/>
  <c r="C74" i="20"/>
  <c r="C32" i="23" s="1"/>
  <c r="K70" i="20"/>
  <c r="K28" i="23" s="1"/>
  <c r="L70" i="20"/>
  <c r="L28" i="23" s="1"/>
  <c r="N70" i="20"/>
  <c r="N28" i="23" s="1"/>
  <c r="AE70" i="20"/>
  <c r="AE28" i="23" s="1"/>
  <c r="AF70" i="20"/>
  <c r="AF28" i="23" s="1"/>
  <c r="AF71" i="20"/>
  <c r="AF29" i="23" s="1"/>
  <c r="D74" i="20"/>
  <c r="D32" i="23" s="1"/>
  <c r="E74" i="20"/>
  <c r="E32" i="23" s="1"/>
  <c r="H74" i="20"/>
  <c r="H32" i="23" s="1"/>
  <c r="Z74" i="20"/>
  <c r="Z32" i="23" s="1"/>
  <c r="AA74" i="20"/>
  <c r="AA32" i="23" s="1"/>
  <c r="AD75" i="20"/>
  <c r="AD33" i="23" s="1"/>
  <c r="AE75" i="20"/>
  <c r="AE33" i="23" s="1"/>
  <c r="AD67" i="20"/>
  <c r="AD25" i="23" s="1"/>
  <c r="D70" i="20"/>
  <c r="D28" i="23" s="1"/>
  <c r="J70" i="20"/>
  <c r="J28" i="23" s="1"/>
  <c r="F74" i="20"/>
  <c r="F32" i="23" s="1"/>
  <c r="G74" i="20"/>
  <c r="G32" i="23" s="1"/>
  <c r="AC67" i="20"/>
  <c r="AC25" i="23" s="1"/>
  <c r="B5" i="20"/>
  <c r="I56" i="20"/>
  <c r="AA56" i="20"/>
  <c r="N57" i="20"/>
  <c r="AF57" i="20"/>
  <c r="S58" i="20"/>
  <c r="F59" i="20"/>
  <c r="X59" i="20"/>
  <c r="K60" i="20"/>
  <c r="AC60" i="20"/>
  <c r="P61" i="20"/>
  <c r="C62" i="20"/>
  <c r="U62" i="20"/>
  <c r="H63" i="20"/>
  <c r="Z63" i="20"/>
  <c r="M64" i="20"/>
  <c r="AE64" i="20"/>
  <c r="J56" i="20"/>
  <c r="AB56" i="20"/>
  <c r="O57" i="20"/>
  <c r="T58" i="20"/>
  <c r="G59" i="20"/>
  <c r="Y59" i="20"/>
  <c r="L60" i="20"/>
  <c r="AD60" i="20"/>
  <c r="Q61" i="20"/>
  <c r="D62" i="20"/>
  <c r="V62" i="20"/>
  <c r="I63" i="20"/>
  <c r="AA63" i="20"/>
  <c r="N64" i="20"/>
  <c r="AF64" i="20"/>
  <c r="K56" i="20"/>
  <c r="AC56" i="20"/>
  <c r="P57" i="20"/>
  <c r="C58" i="20"/>
  <c r="U58" i="20"/>
  <c r="H59" i="20"/>
  <c r="Z59" i="20"/>
  <c r="M60" i="20"/>
  <c r="AE60" i="20"/>
  <c r="R61" i="20"/>
  <c r="E62" i="20"/>
  <c r="W62" i="20"/>
  <c r="J63" i="20"/>
  <c r="AB63" i="20"/>
  <c r="O64" i="20"/>
  <c r="Q56" i="20"/>
  <c r="D57" i="20"/>
  <c r="F56" i="20"/>
  <c r="AE56" i="20"/>
  <c r="V57" i="20"/>
  <c r="L58" i="20"/>
  <c r="W59" i="20"/>
  <c r="P60" i="20"/>
  <c r="F61" i="20"/>
  <c r="AA61" i="20"/>
  <c r="Q62" i="20"/>
  <c r="G63" i="20"/>
  <c r="AE63" i="20"/>
  <c r="U64" i="20"/>
  <c r="G56" i="20"/>
  <c r="AF56" i="20"/>
  <c r="W57" i="20"/>
  <c r="M58" i="20"/>
  <c r="C59" i="20"/>
  <c r="AA59" i="20"/>
  <c r="Q60" i="20"/>
  <c r="G61" i="20"/>
  <c r="AB61" i="20"/>
  <c r="R62" i="20"/>
  <c r="K63" i="20"/>
  <c r="AF63" i="20"/>
  <c r="V64" i="20"/>
  <c r="H56" i="20"/>
  <c r="X57" i="20"/>
  <c r="N58" i="20"/>
  <c r="D59" i="20"/>
  <c r="AB59" i="20"/>
  <c r="R60" i="20"/>
  <c r="H61" i="20"/>
  <c r="AC61" i="20"/>
  <c r="S62" i="20"/>
  <c r="L63" i="20"/>
  <c r="W64" i="20"/>
  <c r="L56" i="20"/>
  <c r="C57" i="20"/>
  <c r="Y57" i="20"/>
  <c r="O58" i="20"/>
  <c r="E59" i="20"/>
  <c r="AC59" i="20"/>
  <c r="S60" i="20"/>
  <c r="I61" i="20"/>
  <c r="AD61" i="20"/>
  <c r="T62" i="20"/>
  <c r="M63" i="20"/>
  <c r="C64" i="20"/>
  <c r="X64" i="20"/>
  <c r="M56" i="20"/>
  <c r="E57" i="20"/>
  <c r="Z57" i="20"/>
  <c r="P58" i="20"/>
  <c r="I59" i="20"/>
  <c r="AD59" i="20"/>
  <c r="T60" i="20"/>
  <c r="J61" i="20"/>
  <c r="AE61" i="20"/>
  <c r="X62" i="20"/>
  <c r="N63" i="20"/>
  <c r="D64" i="20"/>
  <c r="Y64" i="20"/>
  <c r="N56" i="20"/>
  <c r="F57" i="20"/>
  <c r="AA57" i="20"/>
  <c r="Q58" i="20"/>
  <c r="J59" i="20"/>
  <c r="AE59" i="20"/>
  <c r="U60" i="20"/>
  <c r="K61" i="20"/>
  <c r="O56" i="20"/>
  <c r="G57" i="20"/>
  <c r="AB57" i="20"/>
  <c r="R58" i="20"/>
  <c r="K59" i="20"/>
  <c r="AF59" i="20"/>
  <c r="V60" i="20"/>
  <c r="P56" i="20"/>
  <c r="H57" i="20"/>
  <c r="AC57" i="20"/>
  <c r="V58" i="20"/>
  <c r="L59" i="20"/>
  <c r="R56" i="20"/>
  <c r="I57" i="20"/>
  <c r="AD57" i="20"/>
  <c r="W58" i="20"/>
  <c r="M59" i="20"/>
  <c r="C60" i="20"/>
  <c r="X60" i="20"/>
  <c r="N61" i="20"/>
  <c r="G62" i="20"/>
  <c r="AB62" i="20"/>
  <c r="R63" i="20"/>
  <c r="H64" i="20"/>
  <c r="AC64" i="20"/>
  <c r="Z56" i="20"/>
  <c r="J58" i="20"/>
  <c r="U59" i="20"/>
  <c r="C61" i="20"/>
  <c r="I62" i="20"/>
  <c r="E63" i="20"/>
  <c r="J64" i="20"/>
  <c r="AD56" i="20"/>
  <c r="K58" i="20"/>
  <c r="V59" i="20"/>
  <c r="D61" i="20"/>
  <c r="J62" i="20"/>
  <c r="F63" i="20"/>
  <c r="K64" i="20"/>
  <c r="J57" i="20"/>
  <c r="X58" i="20"/>
  <c r="D60" i="20"/>
  <c r="E61" i="20"/>
  <c r="K62" i="20"/>
  <c r="O63" i="20"/>
  <c r="L64" i="20"/>
  <c r="K57" i="20"/>
  <c r="Y58" i="20"/>
  <c r="E60" i="20"/>
  <c r="L61" i="20"/>
  <c r="L62" i="20"/>
  <c r="P63" i="20"/>
  <c r="P64" i="20"/>
  <c r="L57" i="20"/>
  <c r="Z58" i="20"/>
  <c r="F60" i="20"/>
  <c r="M61" i="20"/>
  <c r="M62" i="20"/>
  <c r="Q63" i="20"/>
  <c r="Q64" i="20"/>
  <c r="M57" i="20"/>
  <c r="AA58" i="20"/>
  <c r="G60" i="20"/>
  <c r="O61" i="20"/>
  <c r="N62" i="20"/>
  <c r="S63" i="20"/>
  <c r="R64" i="20"/>
  <c r="Q57" i="20"/>
  <c r="AB58" i="20"/>
  <c r="H60" i="20"/>
  <c r="S61" i="20"/>
  <c r="O62" i="20"/>
  <c r="T63" i="20"/>
  <c r="S64" i="20"/>
  <c r="R57" i="20"/>
  <c r="AC58" i="20"/>
  <c r="I60" i="20"/>
  <c r="T61" i="20"/>
  <c r="P62" i="20"/>
  <c r="U63" i="20"/>
  <c r="T64" i="20"/>
  <c r="C56" i="20"/>
  <c r="S57" i="20"/>
  <c r="AD58" i="20"/>
  <c r="J60" i="20"/>
  <c r="U61" i="20"/>
  <c r="Y62" i="20"/>
  <c r="V63" i="20"/>
  <c r="Z64" i="20"/>
  <c r="AE57" i="20"/>
  <c r="W60" i="20"/>
  <c r="AC62" i="20"/>
  <c r="AD64" i="20"/>
  <c r="D58" i="20"/>
  <c r="Y60" i="20"/>
  <c r="AD62" i="20"/>
  <c r="E58" i="20"/>
  <c r="Z60" i="20"/>
  <c r="AE62" i="20"/>
  <c r="F58" i="20"/>
  <c r="AA60" i="20"/>
  <c r="AF62" i="20"/>
  <c r="G58" i="20"/>
  <c r="AB60" i="20"/>
  <c r="H58" i="20"/>
  <c r="AF60" i="20"/>
  <c r="C63" i="20"/>
  <c r="I58" i="20"/>
  <c r="D63" i="20"/>
  <c r="D56" i="20"/>
  <c r="AE58" i="20"/>
  <c r="V61" i="20"/>
  <c r="W63" i="20"/>
  <c r="E56" i="20"/>
  <c r="AF58" i="20"/>
  <c r="W61" i="20"/>
  <c r="X63" i="20"/>
  <c r="U56" i="20"/>
  <c r="Z61" i="20"/>
  <c r="V56" i="20"/>
  <c r="AF61" i="20"/>
  <c r="W56" i="20"/>
  <c r="X56" i="20"/>
  <c r="F62" i="20"/>
  <c r="Y56" i="20"/>
  <c r="H62" i="20"/>
  <c r="T57" i="20"/>
  <c r="Z62" i="20"/>
  <c r="U57" i="20"/>
  <c r="AA62" i="20"/>
  <c r="N59" i="20"/>
  <c r="Y63" i="20"/>
  <c r="O59" i="20"/>
  <c r="AC63" i="20"/>
  <c r="R59" i="20"/>
  <c r="S59" i="20"/>
  <c r="T59" i="20"/>
  <c r="N60" i="20"/>
  <c r="O60" i="20"/>
  <c r="X61" i="20"/>
  <c r="Y61" i="20"/>
  <c r="AD63" i="20"/>
  <c r="E64" i="20"/>
  <c r="S56" i="20"/>
  <c r="T56" i="20"/>
  <c r="P59" i="20"/>
  <c r="Q59" i="20"/>
  <c r="F64" i="20"/>
  <c r="G64" i="20"/>
  <c r="I64" i="20"/>
  <c r="AA64" i="20"/>
  <c r="AB64" i="20"/>
  <c r="B68" i="25"/>
  <c r="B71" i="25"/>
  <c r="B66" i="25"/>
  <c r="B69" i="25"/>
  <c r="B65" i="25"/>
  <c r="B70" i="25"/>
  <c r="B67" i="25"/>
  <c r="R45" i="20"/>
  <c r="R63" i="23" s="1"/>
  <c r="E46" i="20"/>
  <c r="E64" i="23" s="1"/>
  <c r="W46" i="20"/>
  <c r="W64" i="23" s="1"/>
  <c r="J47" i="20"/>
  <c r="J65" i="23" s="1"/>
  <c r="AB47" i="20"/>
  <c r="AB65" i="23" s="1"/>
  <c r="O48" i="20"/>
  <c r="O66" i="23" s="1"/>
  <c r="T49" i="20"/>
  <c r="T67" i="23" s="1"/>
  <c r="G50" i="20"/>
  <c r="G68" i="23" s="1"/>
  <c r="Y50" i="20"/>
  <c r="Y68" i="23" s="1"/>
  <c r="L51" i="20"/>
  <c r="L69" i="23" s="1"/>
  <c r="AD51" i="20"/>
  <c r="AD69" i="23" s="1"/>
  <c r="Q52" i="20"/>
  <c r="Q70" i="23" s="1"/>
  <c r="D53" i="20"/>
  <c r="D71" i="23" s="1"/>
  <c r="V53" i="20"/>
  <c r="V71" i="23" s="1"/>
  <c r="S45" i="20"/>
  <c r="S63" i="23" s="1"/>
  <c r="F46" i="20"/>
  <c r="F64" i="23" s="1"/>
  <c r="X46" i="20"/>
  <c r="X64" i="23" s="1"/>
  <c r="K47" i="20"/>
  <c r="K65" i="23" s="1"/>
  <c r="AC47" i="20"/>
  <c r="AC65" i="23" s="1"/>
  <c r="P48" i="20"/>
  <c r="P66" i="23" s="1"/>
  <c r="C49" i="20"/>
  <c r="C67" i="23" s="1"/>
  <c r="U49" i="20"/>
  <c r="U67" i="23" s="1"/>
  <c r="H50" i="20"/>
  <c r="H68" i="23" s="1"/>
  <c r="Z50" i="20"/>
  <c r="Z68" i="23" s="1"/>
  <c r="M51" i="20"/>
  <c r="M69" i="23" s="1"/>
  <c r="AE51" i="20"/>
  <c r="AE69" i="23" s="1"/>
  <c r="R52" i="20"/>
  <c r="R70" i="23" s="1"/>
  <c r="E53" i="20"/>
  <c r="E71" i="23" s="1"/>
  <c r="W53" i="20"/>
  <c r="W71" i="23" s="1"/>
  <c r="T45" i="20"/>
  <c r="T63" i="23" s="1"/>
  <c r="G46" i="20"/>
  <c r="G64" i="23" s="1"/>
  <c r="Y46" i="20"/>
  <c r="Y64" i="23" s="1"/>
  <c r="L47" i="20"/>
  <c r="L65" i="23" s="1"/>
  <c r="AD47" i="20"/>
  <c r="AD65" i="23" s="1"/>
  <c r="Q48" i="20"/>
  <c r="Q66" i="23" s="1"/>
  <c r="D49" i="20"/>
  <c r="D67" i="23" s="1"/>
  <c r="V49" i="20"/>
  <c r="V67" i="23" s="1"/>
  <c r="I50" i="20"/>
  <c r="I68" i="23" s="1"/>
  <c r="AA50" i="20"/>
  <c r="AA68" i="23" s="1"/>
  <c r="N51" i="20"/>
  <c r="N69" i="23" s="1"/>
  <c r="AF51" i="20"/>
  <c r="AF69" i="23" s="1"/>
  <c r="S52" i="20"/>
  <c r="S70" i="23" s="1"/>
  <c r="F53" i="20"/>
  <c r="F71" i="23" s="1"/>
  <c r="X53" i="20"/>
  <c r="X71" i="23" s="1"/>
  <c r="H45" i="20"/>
  <c r="H63" i="23" s="1"/>
  <c r="Z45" i="20"/>
  <c r="Z63" i="23" s="1"/>
  <c r="M46" i="20"/>
  <c r="M64" i="23" s="1"/>
  <c r="AE46" i="20"/>
  <c r="AE64" i="23" s="1"/>
  <c r="R47" i="20"/>
  <c r="R65" i="23" s="1"/>
  <c r="E48" i="20"/>
  <c r="E66" i="23" s="1"/>
  <c r="W48" i="20"/>
  <c r="W66" i="23" s="1"/>
  <c r="J49" i="20"/>
  <c r="J67" i="23" s="1"/>
  <c r="AB49" i="20"/>
  <c r="AB67" i="23" s="1"/>
  <c r="O50" i="20"/>
  <c r="O68" i="23" s="1"/>
  <c r="T51" i="20"/>
  <c r="T69" i="23" s="1"/>
  <c r="G52" i="20"/>
  <c r="G70" i="23" s="1"/>
  <c r="Y52" i="20"/>
  <c r="Y70" i="23" s="1"/>
  <c r="L53" i="20"/>
  <c r="L71" i="23" s="1"/>
  <c r="AD53" i="20"/>
  <c r="AD71" i="23" s="1"/>
  <c r="I45" i="20"/>
  <c r="I63" i="23" s="1"/>
  <c r="AE45" i="20"/>
  <c r="AE63" i="23" s="1"/>
  <c r="V46" i="20"/>
  <c r="V64" i="23" s="1"/>
  <c r="P47" i="20"/>
  <c r="P65" i="23" s="1"/>
  <c r="H48" i="20"/>
  <c r="H66" i="23" s="1"/>
  <c r="AD48" i="20"/>
  <c r="AD66" i="23" s="1"/>
  <c r="X49" i="20"/>
  <c r="X67" i="23" s="1"/>
  <c r="P50" i="20"/>
  <c r="P68" i="23" s="1"/>
  <c r="G51" i="20"/>
  <c r="G69" i="23" s="1"/>
  <c r="AC51" i="20"/>
  <c r="AC69" i="23" s="1"/>
  <c r="W52" i="20"/>
  <c r="W70" i="23" s="1"/>
  <c r="O53" i="20"/>
  <c r="O71" i="23" s="1"/>
  <c r="J45" i="20"/>
  <c r="J63" i="23" s="1"/>
  <c r="AF45" i="20"/>
  <c r="AF63" i="23" s="1"/>
  <c r="Z46" i="20"/>
  <c r="Z64" i="23" s="1"/>
  <c r="Q47" i="20"/>
  <c r="Q65" i="23" s="1"/>
  <c r="I48" i="20"/>
  <c r="I66" i="23" s="1"/>
  <c r="AE48" i="20"/>
  <c r="AE66" i="23" s="1"/>
  <c r="Y49" i="20"/>
  <c r="Y67" i="23" s="1"/>
  <c r="Q50" i="20"/>
  <c r="Q68" i="23" s="1"/>
  <c r="H51" i="20"/>
  <c r="H69" i="23" s="1"/>
  <c r="X52" i="20"/>
  <c r="X70" i="23" s="1"/>
  <c r="P53" i="20"/>
  <c r="P71" i="23" s="1"/>
  <c r="K45" i="20"/>
  <c r="K63" i="23" s="1"/>
  <c r="AA46" i="20"/>
  <c r="AA64" i="23" s="1"/>
  <c r="S47" i="20"/>
  <c r="S65" i="23" s="1"/>
  <c r="J48" i="20"/>
  <c r="J66" i="23" s="1"/>
  <c r="AF48" i="20"/>
  <c r="AF66" i="23" s="1"/>
  <c r="Z49" i="20"/>
  <c r="Z67" i="23" s="1"/>
  <c r="R50" i="20"/>
  <c r="R68" i="23" s="1"/>
  <c r="I51" i="20"/>
  <c r="I69" i="23" s="1"/>
  <c r="C52" i="20"/>
  <c r="C70" i="23" s="1"/>
  <c r="Z52" i="20"/>
  <c r="Z70" i="23" s="1"/>
  <c r="Q53" i="20"/>
  <c r="Q71" i="23" s="1"/>
  <c r="L45" i="20"/>
  <c r="L63" i="23" s="1"/>
  <c r="C46" i="20"/>
  <c r="C64" i="23" s="1"/>
  <c r="AB46" i="20"/>
  <c r="AB64" i="23" s="1"/>
  <c r="T47" i="20"/>
  <c r="T65" i="23" s="1"/>
  <c r="K48" i="20"/>
  <c r="K66" i="23" s="1"/>
  <c r="E49" i="20"/>
  <c r="E67" i="23" s="1"/>
  <c r="AA49" i="20"/>
  <c r="AA67" i="23" s="1"/>
  <c r="S50" i="20"/>
  <c r="S68" i="23" s="1"/>
  <c r="J51" i="20"/>
  <c r="J69" i="23" s="1"/>
  <c r="D52" i="20"/>
  <c r="D70" i="23" s="1"/>
  <c r="AA52" i="20"/>
  <c r="AA70" i="23" s="1"/>
  <c r="R53" i="20"/>
  <c r="R71" i="23" s="1"/>
  <c r="M45" i="20"/>
  <c r="M63" i="23" s="1"/>
  <c r="D46" i="20"/>
  <c r="D64" i="23" s="1"/>
  <c r="AC46" i="20"/>
  <c r="AC64" i="23" s="1"/>
  <c r="U47" i="20"/>
  <c r="U65" i="23" s="1"/>
  <c r="L48" i="20"/>
  <c r="L66" i="23" s="1"/>
  <c r="F49" i="20"/>
  <c r="F67" i="23" s="1"/>
  <c r="AC49" i="20"/>
  <c r="AC67" i="23" s="1"/>
  <c r="T50" i="20"/>
  <c r="T68" i="23" s="1"/>
  <c r="K51" i="20"/>
  <c r="K69" i="23" s="1"/>
  <c r="E52" i="20"/>
  <c r="E70" i="23" s="1"/>
  <c r="AB52" i="20"/>
  <c r="AB70" i="23" s="1"/>
  <c r="S53" i="20"/>
  <c r="S71" i="23" s="1"/>
  <c r="N45" i="20"/>
  <c r="N63" i="23" s="1"/>
  <c r="H46" i="20"/>
  <c r="H64" i="23" s="1"/>
  <c r="AD46" i="20"/>
  <c r="AD64" i="23" s="1"/>
  <c r="V47" i="20"/>
  <c r="V65" i="23" s="1"/>
  <c r="M48" i="20"/>
  <c r="M66" i="23" s="1"/>
  <c r="G49" i="20"/>
  <c r="G67" i="23" s="1"/>
  <c r="AD49" i="20"/>
  <c r="AD67" i="23" s="1"/>
  <c r="U50" i="20"/>
  <c r="U68" i="23" s="1"/>
  <c r="O51" i="20"/>
  <c r="O69" i="23" s="1"/>
  <c r="F52" i="20"/>
  <c r="F70" i="23" s="1"/>
  <c r="AC52" i="20"/>
  <c r="AC70" i="23" s="1"/>
  <c r="T53" i="20"/>
  <c r="T71" i="23" s="1"/>
  <c r="O45" i="20"/>
  <c r="O63" i="23" s="1"/>
  <c r="I46" i="20"/>
  <c r="I64" i="23" s="1"/>
  <c r="AF46" i="20"/>
  <c r="AF64" i="23" s="1"/>
  <c r="W47" i="20"/>
  <c r="W65" i="23" s="1"/>
  <c r="N48" i="20"/>
  <c r="N66" i="23" s="1"/>
  <c r="H49" i="20"/>
  <c r="H67" i="23" s="1"/>
  <c r="AE49" i="20"/>
  <c r="AE67" i="23" s="1"/>
  <c r="V50" i="20"/>
  <c r="V68" i="23" s="1"/>
  <c r="P51" i="20"/>
  <c r="P69" i="23" s="1"/>
  <c r="H52" i="20"/>
  <c r="H70" i="23" s="1"/>
  <c r="AD52" i="20"/>
  <c r="AD70" i="23" s="1"/>
  <c r="U53" i="20"/>
  <c r="U71" i="23" s="1"/>
  <c r="P45" i="20"/>
  <c r="P63" i="23" s="1"/>
  <c r="J46" i="20"/>
  <c r="J64" i="23" s="1"/>
  <c r="X47" i="20"/>
  <c r="X65" i="23" s="1"/>
  <c r="R48" i="20"/>
  <c r="R66" i="23" s="1"/>
  <c r="I49" i="20"/>
  <c r="I67" i="23" s="1"/>
  <c r="AF49" i="20"/>
  <c r="AF67" i="23" s="1"/>
  <c r="W50" i="20"/>
  <c r="W68" i="23" s="1"/>
  <c r="Q51" i="20"/>
  <c r="Q69" i="23" s="1"/>
  <c r="I52" i="20"/>
  <c r="I70" i="23" s="1"/>
  <c r="AE52" i="20"/>
  <c r="AE70" i="23" s="1"/>
  <c r="Y53" i="20"/>
  <c r="Y71" i="23" s="1"/>
  <c r="Q45" i="20"/>
  <c r="Q63" i="23" s="1"/>
  <c r="K46" i="20"/>
  <c r="K64" i="23" s="1"/>
  <c r="C47" i="20"/>
  <c r="C65" i="23" s="1"/>
  <c r="Y47" i="20"/>
  <c r="Y65" i="23" s="1"/>
  <c r="S48" i="20"/>
  <c r="S66" i="23" s="1"/>
  <c r="K49" i="20"/>
  <c r="K67" i="23" s="1"/>
  <c r="X50" i="20"/>
  <c r="X68" i="23" s="1"/>
  <c r="R51" i="20"/>
  <c r="R69" i="23" s="1"/>
  <c r="J52" i="20"/>
  <c r="J70" i="23" s="1"/>
  <c r="AF52" i="20"/>
  <c r="AF70" i="23" s="1"/>
  <c r="Z53" i="20"/>
  <c r="Z71" i="23" s="1"/>
  <c r="AC45" i="20"/>
  <c r="AC63" i="23" s="1"/>
  <c r="N47" i="20"/>
  <c r="N65" i="23" s="1"/>
  <c r="AB48" i="20"/>
  <c r="AB66" i="23" s="1"/>
  <c r="M50" i="20"/>
  <c r="M68" i="23" s="1"/>
  <c r="AA51" i="20"/>
  <c r="AA69" i="23" s="1"/>
  <c r="M53" i="20"/>
  <c r="M71" i="23" s="1"/>
  <c r="AD45" i="20"/>
  <c r="AD63" i="23" s="1"/>
  <c r="O47" i="20"/>
  <c r="O65" i="23" s="1"/>
  <c r="AC48" i="20"/>
  <c r="AC66" i="23" s="1"/>
  <c r="N50" i="20"/>
  <c r="N68" i="23" s="1"/>
  <c r="AB51" i="20"/>
  <c r="AB69" i="23" s="1"/>
  <c r="N53" i="20"/>
  <c r="N71" i="23" s="1"/>
  <c r="L46" i="20"/>
  <c r="L64" i="23" s="1"/>
  <c r="Z47" i="20"/>
  <c r="Z65" i="23" s="1"/>
  <c r="L49" i="20"/>
  <c r="L67" i="23" s="1"/>
  <c r="AB50" i="20"/>
  <c r="AB68" i="23" s="1"/>
  <c r="K52" i="20"/>
  <c r="K70" i="23" s="1"/>
  <c r="AA53" i="20"/>
  <c r="AA71" i="23" s="1"/>
  <c r="N46" i="20"/>
  <c r="N64" i="23" s="1"/>
  <c r="AA47" i="20"/>
  <c r="AA65" i="23" s="1"/>
  <c r="M49" i="20"/>
  <c r="M67" i="23" s="1"/>
  <c r="AC50" i="20"/>
  <c r="AC68" i="23" s="1"/>
  <c r="L52" i="20"/>
  <c r="L70" i="23" s="1"/>
  <c r="AB53" i="20"/>
  <c r="AB71" i="23" s="1"/>
  <c r="B4" i="20"/>
  <c r="O46" i="20"/>
  <c r="O64" i="23" s="1"/>
  <c r="AE47" i="20"/>
  <c r="AE65" i="23" s="1"/>
  <c r="N49" i="20"/>
  <c r="N67" i="23" s="1"/>
  <c r="AD50" i="20"/>
  <c r="AD68" i="23" s="1"/>
  <c r="M52" i="20"/>
  <c r="M70" i="23" s="1"/>
  <c r="AC53" i="20"/>
  <c r="AC71" i="23" s="1"/>
  <c r="P46" i="20"/>
  <c r="P64" i="23" s="1"/>
  <c r="AF47" i="20"/>
  <c r="AF65" i="23" s="1"/>
  <c r="O49" i="20"/>
  <c r="O67" i="23" s="1"/>
  <c r="AE50" i="20"/>
  <c r="AE68" i="23" s="1"/>
  <c r="N52" i="20"/>
  <c r="N70" i="23" s="1"/>
  <c r="AE53" i="20"/>
  <c r="AE71" i="23" s="1"/>
  <c r="C45" i="20"/>
  <c r="C63" i="23" s="1"/>
  <c r="Q46" i="20"/>
  <c r="Q64" i="23" s="1"/>
  <c r="P49" i="20"/>
  <c r="P67" i="23" s="1"/>
  <c r="AF50" i="20"/>
  <c r="AF68" i="23" s="1"/>
  <c r="O52" i="20"/>
  <c r="O70" i="23" s="1"/>
  <c r="AF53" i="20"/>
  <c r="AF71" i="23" s="1"/>
  <c r="D45" i="20"/>
  <c r="D63" i="23" s="1"/>
  <c r="R46" i="20"/>
  <c r="R64" i="23" s="1"/>
  <c r="C48" i="20"/>
  <c r="C66" i="23" s="1"/>
  <c r="Q49" i="20"/>
  <c r="Q67" i="23" s="1"/>
  <c r="C51" i="20"/>
  <c r="C69" i="23" s="1"/>
  <c r="P52" i="20"/>
  <c r="P70" i="23" s="1"/>
  <c r="E45" i="20"/>
  <c r="E63" i="23" s="1"/>
  <c r="S46" i="20"/>
  <c r="S64" i="23" s="1"/>
  <c r="D48" i="20"/>
  <c r="D66" i="23" s="1"/>
  <c r="R49" i="20"/>
  <c r="R67" i="23" s="1"/>
  <c r="D51" i="20"/>
  <c r="D69" i="23" s="1"/>
  <c r="T52" i="20"/>
  <c r="T70" i="23" s="1"/>
  <c r="D47" i="20"/>
  <c r="D65" i="23" s="1"/>
  <c r="C50" i="20"/>
  <c r="C68" i="23" s="1"/>
  <c r="E47" i="20"/>
  <c r="E65" i="23" s="1"/>
  <c r="D50" i="20"/>
  <c r="D68" i="23" s="1"/>
  <c r="C53" i="20"/>
  <c r="C71" i="23" s="1"/>
  <c r="F47" i="20"/>
  <c r="F65" i="23" s="1"/>
  <c r="E50" i="20"/>
  <c r="E68" i="23" s="1"/>
  <c r="G53" i="20"/>
  <c r="G71" i="23" s="1"/>
  <c r="G47" i="20"/>
  <c r="G65" i="23" s="1"/>
  <c r="F50" i="20"/>
  <c r="F68" i="23" s="1"/>
  <c r="H53" i="20"/>
  <c r="H71" i="23" s="1"/>
  <c r="H47" i="20"/>
  <c r="H65" i="23" s="1"/>
  <c r="J50" i="20"/>
  <c r="J68" i="23" s="1"/>
  <c r="I53" i="20"/>
  <c r="I71" i="23" s="1"/>
  <c r="I47" i="20"/>
  <c r="I65" i="23" s="1"/>
  <c r="K50" i="20"/>
  <c r="K68" i="23" s="1"/>
  <c r="J53" i="20"/>
  <c r="J71" i="23" s="1"/>
  <c r="M47" i="20"/>
  <c r="M65" i="23" s="1"/>
  <c r="L50" i="20"/>
  <c r="L68" i="23" s="1"/>
  <c r="K53" i="20"/>
  <c r="K71" i="23" s="1"/>
  <c r="F45" i="20"/>
  <c r="F63" i="23" s="1"/>
  <c r="F48" i="20"/>
  <c r="F66" i="23" s="1"/>
  <c r="E51" i="20"/>
  <c r="E69" i="23" s="1"/>
  <c r="G45" i="20"/>
  <c r="G63" i="23" s="1"/>
  <c r="G48" i="20"/>
  <c r="G66" i="23" s="1"/>
  <c r="F51" i="20"/>
  <c r="F69" i="23" s="1"/>
  <c r="V48" i="20"/>
  <c r="V66" i="23" s="1"/>
  <c r="X48" i="20"/>
  <c r="X66" i="23" s="1"/>
  <c r="Y48" i="20"/>
  <c r="Y66" i="23" s="1"/>
  <c r="Z48" i="20"/>
  <c r="Z66" i="23" s="1"/>
  <c r="AA48" i="20"/>
  <c r="AA66" i="23" s="1"/>
  <c r="S49" i="20"/>
  <c r="S67" i="23" s="1"/>
  <c r="W49" i="20"/>
  <c r="W67" i="23" s="1"/>
  <c r="U45" i="20"/>
  <c r="U63" i="23" s="1"/>
  <c r="S51" i="20"/>
  <c r="S69" i="23" s="1"/>
  <c r="V45" i="20"/>
  <c r="V63" i="23" s="1"/>
  <c r="U51" i="20"/>
  <c r="U69" i="23" s="1"/>
  <c r="Y45" i="20"/>
  <c r="Y63" i="23" s="1"/>
  <c r="AA45" i="20"/>
  <c r="AA63" i="23" s="1"/>
  <c r="AB45" i="20"/>
  <c r="AB63" i="23" s="1"/>
  <c r="T46" i="20"/>
  <c r="T64" i="23" s="1"/>
  <c r="U46" i="20"/>
  <c r="U64" i="23" s="1"/>
  <c r="T48" i="20"/>
  <c r="T66" i="23" s="1"/>
  <c r="U48" i="20"/>
  <c r="U66" i="23" s="1"/>
  <c r="V51" i="20"/>
  <c r="V69" i="23" s="1"/>
  <c r="W51" i="20"/>
  <c r="W69" i="23" s="1"/>
  <c r="Z51" i="20"/>
  <c r="Z69" i="23" s="1"/>
  <c r="U52" i="20"/>
  <c r="U70" i="23" s="1"/>
  <c r="V52" i="20"/>
  <c r="V70" i="23" s="1"/>
  <c r="W45" i="20"/>
  <c r="W63" i="23" s="1"/>
  <c r="X45" i="20"/>
  <c r="X63" i="23" s="1"/>
  <c r="X51" i="20"/>
  <c r="X69" i="23" s="1"/>
  <c r="Y51" i="20"/>
  <c r="Y69" i="23" s="1"/>
  <c r="B62" i="25"/>
  <c r="B59" i="25"/>
  <c r="B57" i="25"/>
  <c r="B60" i="25"/>
  <c r="B58" i="25"/>
  <c r="B56" i="25"/>
  <c r="B61" i="25"/>
  <c r="O34" i="22"/>
  <c r="E88" i="23" a="1"/>
  <c r="E88" i="23" s="1"/>
  <c r="G47" i="25"/>
  <c r="Y47" i="25"/>
  <c r="L48" i="25"/>
  <c r="AD48" i="25"/>
  <c r="Q49" i="25"/>
  <c r="D50" i="25"/>
  <c r="V50" i="25"/>
  <c r="I51" i="25"/>
  <c r="AA51" i="25"/>
  <c r="N52" i="25"/>
  <c r="AF52" i="25"/>
  <c r="S53" i="25"/>
  <c r="H47" i="25"/>
  <c r="Z47" i="25"/>
  <c r="M48" i="25"/>
  <c r="AE48" i="25"/>
  <c r="R49" i="25"/>
  <c r="E50" i="25"/>
  <c r="W50" i="25"/>
  <c r="J51" i="25"/>
  <c r="AB51" i="25"/>
  <c r="O52" i="25"/>
  <c r="T53" i="25"/>
  <c r="AA47" i="25"/>
  <c r="B5" i="25"/>
  <c r="I47" i="25"/>
  <c r="N48" i="25"/>
  <c r="AF48" i="25"/>
  <c r="S49" i="25"/>
  <c r="F50" i="25"/>
  <c r="X50" i="25"/>
  <c r="K51" i="25"/>
  <c r="AC51" i="25"/>
  <c r="P52" i="25"/>
  <c r="C53" i="25"/>
  <c r="U53" i="25"/>
  <c r="O47" i="25"/>
  <c r="T48" i="25"/>
  <c r="G49" i="25"/>
  <c r="E47" i="25"/>
  <c r="AD47" i="25"/>
  <c r="V48" i="25"/>
  <c r="M49" i="25"/>
  <c r="C50" i="25"/>
  <c r="AA50" i="25"/>
  <c r="Q51" i="25"/>
  <c r="G52" i="25"/>
  <c r="AB52" i="25"/>
  <c r="R53" i="25"/>
  <c r="P49" i="25"/>
  <c r="AD50" i="25"/>
  <c r="AE52" i="25"/>
  <c r="J50" i="25"/>
  <c r="D53" i="25"/>
  <c r="AF50" i="25"/>
  <c r="Z53" i="25"/>
  <c r="F47" i="25"/>
  <c r="AE47" i="25"/>
  <c r="W48" i="25"/>
  <c r="N49" i="25"/>
  <c r="G50" i="25"/>
  <c r="AB50" i="25"/>
  <c r="R51" i="25"/>
  <c r="H52" i="25"/>
  <c r="AC52" i="25"/>
  <c r="V53" i="25"/>
  <c r="I52" i="25"/>
  <c r="K47" i="25"/>
  <c r="Y48" i="25"/>
  <c r="J52" i="25"/>
  <c r="L47" i="25"/>
  <c r="D48" i="25"/>
  <c r="AE50" i="25"/>
  <c r="K52" i="25"/>
  <c r="K50" i="25"/>
  <c r="J47" i="25"/>
  <c r="AF47" i="25"/>
  <c r="X48" i="25"/>
  <c r="O49" i="25"/>
  <c r="H50" i="25"/>
  <c r="AC50" i="25"/>
  <c r="S51" i="25"/>
  <c r="AD52" i="25"/>
  <c r="W53" i="25"/>
  <c r="C48" i="25"/>
  <c r="I50" i="25"/>
  <c r="T51" i="25"/>
  <c r="Z48" i="25"/>
  <c r="U51" i="25"/>
  <c r="Y53" i="25"/>
  <c r="U49" i="25"/>
  <c r="X53" i="25"/>
  <c r="T49" i="25"/>
  <c r="L52" i="25"/>
  <c r="M47" i="25"/>
  <c r="E48" i="25"/>
  <c r="AA48" i="25"/>
  <c r="V51" i="25"/>
  <c r="E53" i="25"/>
  <c r="N47" i="25"/>
  <c r="F48" i="25"/>
  <c r="AB48" i="25"/>
  <c r="V49" i="25"/>
  <c r="L50" i="25"/>
  <c r="W51" i="25"/>
  <c r="M52" i="25"/>
  <c r="F53" i="25"/>
  <c r="AA53" i="25"/>
  <c r="P47" i="25"/>
  <c r="G48" i="25"/>
  <c r="AC48" i="25"/>
  <c r="W49" i="25"/>
  <c r="M50" i="25"/>
  <c r="C51" i="25"/>
  <c r="X51" i="25"/>
  <c r="Q52" i="25"/>
  <c r="G53" i="25"/>
  <c r="AB53" i="25"/>
  <c r="Q47" i="25"/>
  <c r="H48" i="25"/>
  <c r="X49" i="25"/>
  <c r="N50" i="25"/>
  <c r="D51" i="25"/>
  <c r="Y51" i="25"/>
  <c r="R52" i="25"/>
  <c r="H53" i="25"/>
  <c r="AC53" i="25"/>
  <c r="P48" i="25"/>
  <c r="AC49" i="25"/>
  <c r="L51" i="25"/>
  <c r="W52" i="25"/>
  <c r="S48" i="25"/>
  <c r="Z52" i="25"/>
  <c r="U48" i="25"/>
  <c r="AA52" i="25"/>
  <c r="T50" i="25"/>
  <c r="X47" i="25"/>
  <c r="J49" i="25"/>
  <c r="U50" i="25"/>
  <c r="D52" i="25"/>
  <c r="AB47" i="25"/>
  <c r="K49" i="25"/>
  <c r="Y50" i="25"/>
  <c r="E52" i="25"/>
  <c r="P53" i="25"/>
  <c r="Q53" i="25"/>
  <c r="F51" i="25"/>
  <c r="Q48" i="25"/>
  <c r="AD49" i="25"/>
  <c r="M51" i="25"/>
  <c r="X52" i="25"/>
  <c r="Y52" i="25"/>
  <c r="C47" i="25"/>
  <c r="O51" i="25"/>
  <c r="P51" i="25"/>
  <c r="R47" i="25"/>
  <c r="O50" i="25"/>
  <c r="I53" i="25"/>
  <c r="W47" i="25"/>
  <c r="I49" i="25"/>
  <c r="C52" i="25"/>
  <c r="N53" i="25"/>
  <c r="S52" i="25"/>
  <c r="Z49" i="25"/>
  <c r="K48" i="25"/>
  <c r="G51" i="25"/>
  <c r="U52" i="25"/>
  <c r="AF53" i="25"/>
  <c r="O48" i="25"/>
  <c r="AB49" i="25"/>
  <c r="R48" i="25"/>
  <c r="AE49" i="25"/>
  <c r="N51" i="25"/>
  <c r="AF49" i="25"/>
  <c r="D47" i="25"/>
  <c r="J48" i="25"/>
  <c r="C49" i="25"/>
  <c r="AA49" i="25"/>
  <c r="V52" i="25"/>
  <c r="T52" i="25"/>
  <c r="Z51" i="25"/>
  <c r="S47" i="25"/>
  <c r="D49" i="25"/>
  <c r="P50" i="25"/>
  <c r="AD51" i="25"/>
  <c r="J53" i="25"/>
  <c r="T47" i="25"/>
  <c r="Q50" i="25"/>
  <c r="K53" i="25"/>
  <c r="I48" i="25"/>
  <c r="E49" i="25"/>
  <c r="AE51" i="25"/>
  <c r="E51" i="25"/>
  <c r="H51" i="25"/>
  <c r="U47" i="25"/>
  <c r="F49" i="25"/>
  <c r="R50" i="25"/>
  <c r="AF51" i="25"/>
  <c r="L53" i="25"/>
  <c r="V47" i="25"/>
  <c r="H49" i="25"/>
  <c r="S50" i="25"/>
  <c r="M53" i="25"/>
  <c r="O53" i="25"/>
  <c r="AC47" i="25"/>
  <c r="L49" i="25"/>
  <c r="Z50" i="25"/>
  <c r="F52" i="25"/>
  <c r="Y49" i="25"/>
  <c r="AD53" i="25"/>
  <c r="AE53" i="25"/>
  <c r="I72" i="23" l="1"/>
  <c r="AD34" i="23"/>
  <c r="D34" i="23"/>
  <c r="U34" i="23"/>
  <c r="P34" i="23"/>
  <c r="L34" i="23"/>
  <c r="H46" i="23"/>
  <c r="T72" i="23"/>
  <c r="E46" i="23"/>
  <c r="K72" i="23"/>
  <c r="P46" i="23"/>
  <c r="B49" i="20"/>
  <c r="B67" i="23" s="1"/>
  <c r="B45" i="20"/>
  <c r="B51" i="20"/>
  <c r="B69" i="23" s="1"/>
  <c r="B52" i="20"/>
  <c r="B70" i="23" s="1"/>
  <c r="B46" i="20"/>
  <c r="B64" i="23" s="1"/>
  <c r="B47" i="20"/>
  <c r="B65" i="23" s="1"/>
  <c r="B50" i="20"/>
  <c r="B68" i="23" s="1"/>
  <c r="B48" i="20"/>
  <c r="B66" i="23" s="1"/>
  <c r="B53" i="20"/>
  <c r="B71" i="23" s="1"/>
  <c r="M34" i="23"/>
  <c r="T46" i="23"/>
  <c r="J46" i="23"/>
  <c r="Z72" i="23"/>
  <c r="I46" i="23"/>
  <c r="AA72" i="23"/>
  <c r="AD46" i="23"/>
  <c r="L46" i="23"/>
  <c r="AC46" i="23"/>
  <c r="B71" i="20"/>
  <c r="B29" i="23" s="1"/>
  <c r="B67" i="20"/>
  <c r="B68" i="20"/>
  <c r="B26" i="23" s="1"/>
  <c r="B75" i="20"/>
  <c r="B33" i="23" s="1"/>
  <c r="B69" i="20"/>
  <c r="B27" i="23" s="1"/>
  <c r="B73" i="20"/>
  <c r="B31" i="23" s="1"/>
  <c r="B70" i="20"/>
  <c r="B28" i="23" s="1"/>
  <c r="B74" i="20"/>
  <c r="B32" i="23" s="1"/>
  <c r="B72" i="20"/>
  <c r="B30" i="23" s="1"/>
  <c r="Q34" i="23"/>
  <c r="J34" i="23"/>
  <c r="R46" i="23"/>
  <c r="K46" i="23"/>
  <c r="F34" i="23"/>
  <c r="T34" i="23"/>
  <c r="Y46" i="23"/>
  <c r="G46" i="23"/>
  <c r="AE34" i="23"/>
  <c r="N72" i="23"/>
  <c r="R34" i="23"/>
  <c r="H72" i="23"/>
  <c r="C46" i="23"/>
  <c r="W34" i="23"/>
  <c r="L72" i="23"/>
  <c r="C72" i="23"/>
  <c r="V72" i="23"/>
  <c r="AC72" i="23"/>
  <c r="AA34" i="23"/>
  <c r="I34" i="23"/>
  <c r="B58" i="20"/>
  <c r="B59" i="20"/>
  <c r="B57" i="20"/>
  <c r="B64" i="20"/>
  <c r="B60" i="20"/>
  <c r="B56" i="20"/>
  <c r="B63" i="20"/>
  <c r="B61" i="20"/>
  <c r="B62" i="20"/>
  <c r="G34" i="23"/>
  <c r="D72" i="23"/>
  <c r="D46" i="23"/>
  <c r="V46" i="23"/>
  <c r="AB72" i="23"/>
  <c r="F72" i="23"/>
  <c r="Y72" i="23"/>
  <c r="V34" i="23"/>
  <c r="N34" i="23"/>
  <c r="AF34" i="23"/>
  <c r="N46" i="23"/>
  <c r="G72" i="23"/>
  <c r="AE72" i="23"/>
  <c r="AB34" i="23"/>
  <c r="S34" i="23"/>
  <c r="Q46" i="23"/>
  <c r="AF72" i="23"/>
  <c r="J72" i="23"/>
  <c r="E34" i="23"/>
  <c r="K34" i="23"/>
  <c r="X46" i="23"/>
  <c r="Z46" i="23"/>
  <c r="U46" i="23"/>
  <c r="AE46" i="23"/>
  <c r="Y34" i="23"/>
  <c r="O72" i="23"/>
  <c r="R72" i="23"/>
  <c r="B53" i="25"/>
  <c r="B48" i="25"/>
  <c r="B51" i="25"/>
  <c r="B49" i="25"/>
  <c r="B47" i="25"/>
  <c r="B50" i="25"/>
  <c r="B52" i="25"/>
  <c r="U72" i="23"/>
  <c r="X72" i="23"/>
  <c r="B80" i="20"/>
  <c r="B39" i="23" s="1"/>
  <c r="B82" i="20"/>
  <c r="B41" i="23" s="1"/>
  <c r="B84" i="20"/>
  <c r="B43" i="23" s="1"/>
  <c r="B85" i="20"/>
  <c r="B44" i="23" s="1"/>
  <c r="B86" i="20"/>
  <c r="B45" i="23" s="1"/>
  <c r="B79" i="20"/>
  <c r="B38" i="23" s="1"/>
  <c r="B81" i="20"/>
  <c r="B40" i="23" s="1"/>
  <c r="B83" i="20"/>
  <c r="B42" i="23" s="1"/>
  <c r="B78" i="20"/>
  <c r="AC34" i="23"/>
  <c r="Q72" i="23"/>
  <c r="W46" i="23"/>
  <c r="AD72" i="23"/>
  <c r="C34" i="23"/>
  <c r="AB46" i="23"/>
  <c r="O34" i="23"/>
  <c r="W72" i="23"/>
  <c r="M72" i="23"/>
  <c r="E72" i="23"/>
  <c r="S72" i="23"/>
  <c r="H34" i="23"/>
  <c r="F46" i="23"/>
  <c r="AF46" i="23"/>
  <c r="S46" i="23"/>
  <c r="O35" i="22"/>
  <c r="AA46" i="23"/>
  <c r="P72" i="23"/>
  <c r="Z34" i="23"/>
  <c r="X34" i="23"/>
  <c r="M46" i="23"/>
  <c r="O46" i="23"/>
  <c r="B44" i="25"/>
  <c r="B40" i="25"/>
  <c r="B43" i="25"/>
  <c r="B38" i="25"/>
  <c r="B41" i="25"/>
  <c r="B39" i="25"/>
  <c r="B42" i="25"/>
  <c r="A117" i="31" l="1" a="1"/>
  <c r="B130" i="31" s="1"/>
  <c r="O36" i="22"/>
  <c r="B37" i="23"/>
  <c r="B46" i="23" s="1"/>
  <c r="G88" i="23" s="1" a="1"/>
  <c r="G88" i="23" s="1"/>
  <c r="A71" i="31" a="1"/>
  <c r="B25" i="23"/>
  <c r="B34" i="23" s="1"/>
  <c r="F88" i="23" s="1" a="1"/>
  <c r="F88" i="23" s="1"/>
  <c r="A48" i="31" a="1"/>
  <c r="B63" i="23"/>
  <c r="B72" i="23" s="1"/>
  <c r="D88" i="23" s="1" a="1"/>
  <c r="D88" i="23" s="1"/>
  <c r="A94" i="31" a="1"/>
  <c r="M129" i="31"/>
  <c r="AE129" i="31"/>
  <c r="R130" i="31"/>
  <c r="W131" i="31"/>
  <c r="N129" i="31"/>
  <c r="AF129" i="31"/>
  <c r="S130" i="31"/>
  <c r="F131" i="31"/>
  <c r="X131" i="31"/>
  <c r="O129" i="31"/>
  <c r="X129" i="31"/>
  <c r="D131" i="31"/>
  <c r="N132" i="31"/>
  <c r="AF132" i="31"/>
  <c r="S133" i="31"/>
  <c r="F134" i="31"/>
  <c r="AC135" i="31"/>
  <c r="P136" i="31"/>
  <c r="C137" i="31"/>
  <c r="U137" i="31"/>
  <c r="Y129" i="31"/>
  <c r="O130" i="31"/>
  <c r="T133" i="31"/>
  <c r="E129" i="31"/>
  <c r="Z129" i="31"/>
  <c r="P130" i="31"/>
  <c r="I131" i="31"/>
  <c r="AC131" i="31"/>
  <c r="C133" i="31"/>
  <c r="U133" i="31"/>
  <c r="H134" i="31"/>
  <c r="Z134" i="31"/>
  <c r="R136" i="31"/>
  <c r="W137" i="31"/>
  <c r="K129" i="31"/>
  <c r="O131" i="31"/>
  <c r="V132" i="31"/>
  <c r="AA133" i="31"/>
  <c r="N134" i="31"/>
  <c r="AF134" i="31"/>
  <c r="S135" i="31"/>
  <c r="V129" i="31"/>
  <c r="V130" i="31"/>
  <c r="Q131" i="31"/>
  <c r="J132" i="31"/>
  <c r="D133" i="31"/>
  <c r="Z133" i="31"/>
  <c r="W129" i="31"/>
  <c r="W130" i="31"/>
  <c r="R131" i="31"/>
  <c r="K132" i="31"/>
  <c r="AB133" i="31"/>
  <c r="R134" i="31"/>
  <c r="H135" i="31"/>
  <c r="AD135" i="31"/>
  <c r="U136" i="31"/>
  <c r="L137" i="31"/>
  <c r="AA129" i="31"/>
  <c r="AC133" i="31"/>
  <c r="I135" i="31"/>
  <c r="AF135" i="31"/>
  <c r="V136" i="31"/>
  <c r="M137" i="31"/>
  <c r="AC129" i="31"/>
  <c r="AA130" i="31"/>
  <c r="U131" i="31"/>
  <c r="Q132" i="31"/>
  <c r="H133" i="31"/>
  <c r="AE133" i="31"/>
  <c r="U134" i="31"/>
  <c r="L135" i="31"/>
  <c r="AD129" i="31"/>
  <c r="AB130" i="31"/>
  <c r="V131" i="31"/>
  <c r="R132" i="31"/>
  <c r="J133" i="31"/>
  <c r="AF133" i="31"/>
  <c r="N135" i="31"/>
  <c r="D136" i="31"/>
  <c r="Z136" i="31"/>
  <c r="P137" i="31"/>
  <c r="F129" i="31"/>
  <c r="C130" i="31"/>
  <c r="AC130" i="31"/>
  <c r="W134" i="31"/>
  <c r="AA136" i="31"/>
  <c r="Q137" i="31"/>
  <c r="G129" i="31"/>
  <c r="E130" i="31"/>
  <c r="AD130" i="31"/>
  <c r="Z131" i="31"/>
  <c r="T132" i="31"/>
  <c r="L133" i="31"/>
  <c r="C134" i="31"/>
  <c r="Y134" i="31"/>
  <c r="P135" i="31"/>
  <c r="F130" i="31"/>
  <c r="AE130" i="31"/>
  <c r="AD131" i="31"/>
  <c r="U132" i="31"/>
  <c r="M133" i="31"/>
  <c r="D134" i="31"/>
  <c r="Q135" i="31"/>
  <c r="H136" i="31"/>
  <c r="AC136" i="31"/>
  <c r="S137" i="31"/>
  <c r="H130" i="31"/>
  <c r="T131" i="31"/>
  <c r="AD132" i="31"/>
  <c r="AE131" i="31"/>
  <c r="M134" i="31"/>
  <c r="W135" i="31"/>
  <c r="AF136" i="31"/>
  <c r="J130" i="31"/>
  <c r="AF131" i="31"/>
  <c r="G133" i="31"/>
  <c r="O134" i="31"/>
  <c r="X135" i="31"/>
  <c r="B137" i="31"/>
  <c r="K130" i="31"/>
  <c r="B132" i="31"/>
  <c r="N133" i="31"/>
  <c r="M130" i="31"/>
  <c r="E132" i="31"/>
  <c r="P133" i="31"/>
  <c r="AB134" i="31"/>
  <c r="AA135" i="31"/>
  <c r="Q130" i="31"/>
  <c r="F132" i="31"/>
  <c r="Q133" i="31"/>
  <c r="AC134" i="31"/>
  <c r="B136" i="31"/>
  <c r="H137" i="31"/>
  <c r="I129" i="31"/>
  <c r="U130" i="31"/>
  <c r="G132" i="31"/>
  <c r="J129" i="31"/>
  <c r="Z130" i="31"/>
  <c r="H132" i="31"/>
  <c r="V133" i="31"/>
  <c r="AE134" i="31"/>
  <c r="J136" i="31"/>
  <c r="C131" i="31"/>
  <c r="W133" i="31"/>
  <c r="U135" i="31"/>
  <c r="AB137" i="31"/>
  <c r="J131" i="31"/>
  <c r="X133" i="31"/>
  <c r="Z135" i="31"/>
  <c r="L131" i="31"/>
  <c r="AD133" i="31"/>
  <c r="L136" i="31"/>
  <c r="M131" i="31"/>
  <c r="E134" i="31"/>
  <c r="N131" i="31"/>
  <c r="G134" i="31"/>
  <c r="N136" i="31"/>
  <c r="P131" i="31"/>
  <c r="I134" i="31"/>
  <c r="O136" i="31"/>
  <c r="L129" i="31"/>
  <c r="I132" i="31"/>
  <c r="X132" i="31"/>
  <c r="Y132" i="31"/>
  <c r="T137" i="31"/>
  <c r="Z132" i="31"/>
  <c r="AA132" i="31"/>
  <c r="X137" i="31"/>
  <c r="AB132" i="31"/>
  <c r="Y137" i="31"/>
  <c r="AC132" i="31"/>
  <c r="Z137" i="31"/>
  <c r="Q129" i="31"/>
  <c r="R129" i="31"/>
  <c r="S129" i="31"/>
  <c r="C135" i="31"/>
  <c r="U129" i="31"/>
  <c r="AB129" i="31"/>
  <c r="G130" i="31"/>
  <c r="AF130" i="31"/>
  <c r="T135" i="31"/>
  <c r="B131" i="31"/>
  <c r="F135" i="31"/>
  <c r="R135" i="31"/>
  <c r="AD136" i="31"/>
  <c r="M132" i="31"/>
  <c r="T129" i="31"/>
  <c r="V137" i="31" l="1"/>
  <c r="X136" i="31"/>
  <c r="K135" i="31"/>
  <c r="M136" i="31"/>
  <c r="N137" i="31"/>
  <c r="AA134" i="31"/>
  <c r="V134" i="31"/>
  <c r="V138" i="31" s="1"/>
  <c r="E133" i="31"/>
  <c r="E138" i="31" s="1"/>
  <c r="F136" i="31"/>
  <c r="P132" i="31"/>
  <c r="X134" i="31"/>
  <c r="X138" i="31" s="1"/>
  <c r="E131" i="31"/>
  <c r="E135" i="31"/>
  <c r="B135" i="31"/>
  <c r="K134" i="31"/>
  <c r="AE132" i="31"/>
  <c r="AE138" i="31" s="1"/>
  <c r="O135" i="31"/>
  <c r="O138" i="31" s="1"/>
  <c r="S134" i="31"/>
  <c r="S138" i="31" s="1"/>
  <c r="AF137" i="31"/>
  <c r="I133" i="31"/>
  <c r="AA131" i="31"/>
  <c r="S136" i="31"/>
  <c r="AE137" i="31"/>
  <c r="J137" i="31"/>
  <c r="W136" i="31"/>
  <c r="T134" i="31"/>
  <c r="P129" i="31"/>
  <c r="P138" i="31" s="1"/>
  <c r="K136" i="31"/>
  <c r="I137" i="31"/>
  <c r="I138" i="31" s="1"/>
  <c r="L130" i="31"/>
  <c r="I130" i="31"/>
  <c r="H129" i="31"/>
  <c r="B134" i="31"/>
  <c r="B129" i="31"/>
  <c r="F133" i="31"/>
  <c r="F138" i="31" s="1"/>
  <c r="T136" i="31"/>
  <c r="T138" i="31" s="1"/>
  <c r="D132" i="31"/>
  <c r="B133" i="31"/>
  <c r="N130" i="31"/>
  <c r="E136" i="31"/>
  <c r="Q136" i="31"/>
  <c r="Y133" i="31"/>
  <c r="D137" i="31"/>
  <c r="AE136" i="31"/>
  <c r="K133" i="31"/>
  <c r="O137" i="31"/>
  <c r="L132" i="31"/>
  <c r="L138" i="31" s="1"/>
  <c r="AB135" i="31"/>
  <c r="O132" i="31"/>
  <c r="D135" i="31"/>
  <c r="AA137" i="31"/>
  <c r="J134" i="31"/>
  <c r="J138" i="31" s="1"/>
  <c r="K131" i="31"/>
  <c r="K138" i="31" s="1"/>
  <c r="AD134" i="31"/>
  <c r="AD138" i="31" s="1"/>
  <c r="Y135" i="31"/>
  <c r="V135" i="31"/>
  <c r="AB136" i="31"/>
  <c r="S132" i="31"/>
  <c r="Y136" i="31"/>
  <c r="S131" i="31"/>
  <c r="G135" i="31"/>
  <c r="Y130" i="31"/>
  <c r="Y138" i="31" s="1"/>
  <c r="AB131" i="31"/>
  <c r="AB138" i="31" s="1"/>
  <c r="C129" i="31"/>
  <c r="J135" i="31"/>
  <c r="I136" i="31"/>
  <c r="R137" i="31"/>
  <c r="W132" i="31"/>
  <c r="O133" i="31"/>
  <c r="C132" i="31"/>
  <c r="AD137" i="31"/>
  <c r="R133" i="31"/>
  <c r="R138" i="31" s="1"/>
  <c r="P134" i="31"/>
  <c r="L134" i="31"/>
  <c r="G136" i="31"/>
  <c r="Y131" i="31"/>
  <c r="C136" i="31"/>
  <c r="X130" i="31"/>
  <c r="Q134" i="31"/>
  <c r="Q138" i="31" s="1"/>
  <c r="D130" i="31"/>
  <c r="D138" i="31" s="1"/>
  <c r="H131" i="31"/>
  <c r="G131" i="31"/>
  <c r="E137" i="31"/>
  <c r="AC137" i="31"/>
  <c r="AE135" i="31"/>
  <c r="T130" i="31"/>
  <c r="F137" i="31"/>
  <c r="G137" i="31"/>
  <c r="A117" i="31"/>
  <c r="K137" i="31"/>
  <c r="M135" i="31"/>
  <c r="M138" i="31" s="1"/>
  <c r="D129" i="31"/>
  <c r="Z138" i="31"/>
  <c r="AA138" i="31"/>
  <c r="A94" i="31"/>
  <c r="S106" i="31"/>
  <c r="F107" i="31"/>
  <c r="X107" i="31"/>
  <c r="K108" i="31"/>
  <c r="AC108" i="31"/>
  <c r="P109" i="31"/>
  <c r="C110" i="31"/>
  <c r="U110" i="31"/>
  <c r="H111" i="31"/>
  <c r="Z111" i="31"/>
  <c r="M112" i="31"/>
  <c r="AE112" i="31"/>
  <c r="R113" i="31"/>
  <c r="E114" i="31"/>
  <c r="W114" i="31"/>
  <c r="B106" i="31"/>
  <c r="T106" i="31"/>
  <c r="G107" i="31"/>
  <c r="Y107" i="31"/>
  <c r="L108" i="31"/>
  <c r="AD108" i="31"/>
  <c r="Q109" i="31"/>
  <c r="D110" i="31"/>
  <c r="V110" i="31"/>
  <c r="I111" i="31"/>
  <c r="AA111" i="31"/>
  <c r="N112" i="31"/>
  <c r="AF112" i="31"/>
  <c r="S113" i="31"/>
  <c r="F114" i="31"/>
  <c r="X114" i="31"/>
  <c r="C106" i="31"/>
  <c r="U106" i="31"/>
  <c r="H107" i="31"/>
  <c r="Z107" i="31"/>
  <c r="M108" i="31"/>
  <c r="AE108" i="31"/>
  <c r="R109" i="31"/>
  <c r="E110" i="31"/>
  <c r="W110" i="31"/>
  <c r="J111" i="31"/>
  <c r="AB111" i="31"/>
  <c r="O112" i="31"/>
  <c r="B113" i="31"/>
  <c r="T113" i="31"/>
  <c r="G114" i="31"/>
  <c r="Y114" i="31"/>
  <c r="L106" i="31"/>
  <c r="B107" i="31"/>
  <c r="W107" i="31"/>
  <c r="P108" i="31"/>
  <c r="F109" i="31"/>
  <c r="AA109" i="31"/>
  <c r="Q110" i="31"/>
  <c r="G111" i="31"/>
  <c r="AE111" i="31"/>
  <c r="U112" i="31"/>
  <c r="K113" i="31"/>
  <c r="AF113" i="31"/>
  <c r="V114" i="31"/>
  <c r="M106" i="31"/>
  <c r="C107" i="31"/>
  <c r="AA107" i="31"/>
  <c r="Q108" i="31"/>
  <c r="G109" i="31"/>
  <c r="AB109" i="31"/>
  <c r="R110" i="31"/>
  <c r="K111" i="31"/>
  <c r="AF111" i="31"/>
  <c r="V112" i="31"/>
  <c r="L113" i="31"/>
  <c r="B114" i="31"/>
  <c r="Z114" i="31"/>
  <c r="N106" i="31"/>
  <c r="D107" i="31"/>
  <c r="AB107" i="31"/>
  <c r="R108" i="31"/>
  <c r="H109" i="31"/>
  <c r="AC109" i="31"/>
  <c r="S110" i="31"/>
  <c r="L111" i="31"/>
  <c r="B112" i="31"/>
  <c r="W112" i="31"/>
  <c r="M113" i="31"/>
  <c r="C114" i="31"/>
  <c r="AA114" i="31"/>
  <c r="W106" i="31"/>
  <c r="M107" i="31"/>
  <c r="C108" i="31"/>
  <c r="X108" i="31"/>
  <c r="N109" i="31"/>
  <c r="G110" i="31"/>
  <c r="AB110" i="31"/>
  <c r="R111" i="31"/>
  <c r="H112" i="31"/>
  <c r="AC112" i="31"/>
  <c r="V113" i="31"/>
  <c r="L114" i="31"/>
  <c r="D106" i="31"/>
  <c r="AC106" i="31"/>
  <c r="AC107" i="31"/>
  <c r="W108" i="31"/>
  <c r="U109" i="31"/>
  <c r="O110" i="31"/>
  <c r="O111" i="31"/>
  <c r="J112" i="31"/>
  <c r="G113" i="31"/>
  <c r="D114" i="31"/>
  <c r="AF114" i="31"/>
  <c r="E106" i="31"/>
  <c r="AD106" i="31"/>
  <c r="AD107" i="31"/>
  <c r="Y108" i="31"/>
  <c r="V109" i="31"/>
  <c r="P110" i="31"/>
  <c r="P111" i="31"/>
  <c r="K112" i="31"/>
  <c r="H113" i="31"/>
  <c r="H114" i="31"/>
  <c r="F106" i="31"/>
  <c r="AE106" i="31"/>
  <c r="AE107" i="31"/>
  <c r="Z108" i="31"/>
  <c r="W109" i="31"/>
  <c r="T110" i="31"/>
  <c r="Q111" i="31"/>
  <c r="L112" i="31"/>
  <c r="I113" i="31"/>
  <c r="I114" i="31"/>
  <c r="G106" i="31"/>
  <c r="AF106" i="31"/>
  <c r="AF107" i="31"/>
  <c r="AA108" i="31"/>
  <c r="X109" i="31"/>
  <c r="X110" i="31"/>
  <c r="S111" i="31"/>
  <c r="P112" i="31"/>
  <c r="J113" i="31"/>
  <c r="J114" i="31"/>
  <c r="H106" i="31"/>
  <c r="E107" i="31"/>
  <c r="B108" i="31"/>
  <c r="AB108" i="31"/>
  <c r="Y109" i="31"/>
  <c r="Y110" i="31"/>
  <c r="T111" i="31"/>
  <c r="Q112" i="31"/>
  <c r="N113" i="31"/>
  <c r="K114" i="31"/>
  <c r="I106" i="31"/>
  <c r="I107" i="31"/>
  <c r="D108" i="31"/>
  <c r="AF108" i="31"/>
  <c r="Z109" i="31"/>
  <c r="Z110" i="31"/>
  <c r="U111" i="31"/>
  <c r="R112" i="31"/>
  <c r="O113" i="31"/>
  <c r="M114" i="31"/>
  <c r="J106" i="31"/>
  <c r="J107" i="31"/>
  <c r="E108" i="31"/>
  <c r="B109" i="31"/>
  <c r="AD109" i="31"/>
  <c r="AA110" i="31"/>
  <c r="V111" i="31"/>
  <c r="S112" i="31"/>
  <c r="P113" i="31"/>
  <c r="N114" i="31"/>
  <c r="K106" i="31"/>
  <c r="K107" i="31"/>
  <c r="F108" i="31"/>
  <c r="C109" i="31"/>
  <c r="AE109" i="31"/>
  <c r="AC110" i="31"/>
  <c r="W111" i="31"/>
  <c r="T112" i="31"/>
  <c r="Q113" i="31"/>
  <c r="O114" i="31"/>
  <c r="O106" i="31"/>
  <c r="L107" i="31"/>
  <c r="G108" i="31"/>
  <c r="D109" i="31"/>
  <c r="AF109" i="31"/>
  <c r="AD110" i="31"/>
  <c r="X111" i="31"/>
  <c r="X112" i="31"/>
  <c r="U113" i="31"/>
  <c r="P114" i="31"/>
  <c r="R106" i="31"/>
  <c r="J108" i="31"/>
  <c r="H110" i="31"/>
  <c r="AD111" i="31"/>
  <c r="Y113" i="31"/>
  <c r="V106" i="31"/>
  <c r="N108" i="31"/>
  <c r="I110" i="31"/>
  <c r="C112" i="31"/>
  <c r="Z113" i="31"/>
  <c r="X106" i="31"/>
  <c r="O108" i="31"/>
  <c r="J110" i="31"/>
  <c r="D112" i="31"/>
  <c r="AA113" i="31"/>
  <c r="Y106" i="31"/>
  <c r="S108" i="31"/>
  <c r="K110" i="31"/>
  <c r="E112" i="31"/>
  <c r="AB113" i="31"/>
  <c r="Z106" i="31"/>
  <c r="T108" i="31"/>
  <c r="L110" i="31"/>
  <c r="F112" i="31"/>
  <c r="AC113" i="31"/>
  <c r="AA106" i="31"/>
  <c r="U108" i="31"/>
  <c r="M110" i="31"/>
  <c r="G112" i="31"/>
  <c r="AD113" i="31"/>
  <c r="AB106" i="31"/>
  <c r="V108" i="31"/>
  <c r="N110" i="31"/>
  <c r="I112" i="31"/>
  <c r="AE113" i="31"/>
  <c r="N107" i="31"/>
  <c r="E109" i="31"/>
  <c r="AE110" i="31"/>
  <c r="Y112" i="31"/>
  <c r="Q114" i="31"/>
  <c r="O107" i="31"/>
  <c r="I109" i="31"/>
  <c r="AF110" i="31"/>
  <c r="Z112" i="31"/>
  <c r="R114" i="31"/>
  <c r="R107" i="31"/>
  <c r="D111" i="31"/>
  <c r="U114" i="31"/>
  <c r="S107" i="31"/>
  <c r="E111" i="31"/>
  <c r="AB114" i="31"/>
  <c r="T107" i="31"/>
  <c r="F111" i="31"/>
  <c r="AC114" i="31"/>
  <c r="U107" i="31"/>
  <c r="M111" i="31"/>
  <c r="AD114" i="31"/>
  <c r="V107" i="31"/>
  <c r="N111" i="31"/>
  <c r="AE114" i="31"/>
  <c r="H108" i="31"/>
  <c r="Y111" i="31"/>
  <c r="I108" i="31"/>
  <c r="AC111" i="31"/>
  <c r="J109" i="31"/>
  <c r="AA112" i="31"/>
  <c r="K109" i="31"/>
  <c r="AB112" i="31"/>
  <c r="D113" i="31"/>
  <c r="E113" i="31"/>
  <c r="F113" i="31"/>
  <c r="P106" i="31"/>
  <c r="W113" i="31"/>
  <c r="Q106" i="31"/>
  <c r="X113" i="31"/>
  <c r="P107" i="31"/>
  <c r="S114" i="31"/>
  <c r="Q107" i="31"/>
  <c r="T114" i="31"/>
  <c r="L109" i="31"/>
  <c r="M109" i="31"/>
  <c r="O109" i="31"/>
  <c r="AD112" i="31"/>
  <c r="S109" i="31"/>
  <c r="B110" i="31"/>
  <c r="C111" i="31"/>
  <c r="F110" i="31"/>
  <c r="C113" i="31"/>
  <c r="T109" i="31"/>
  <c r="B111" i="31"/>
  <c r="M60" i="31"/>
  <c r="AE60" i="31"/>
  <c r="R61" i="31"/>
  <c r="E62" i="31"/>
  <c r="W62" i="31"/>
  <c r="J63" i="31"/>
  <c r="AB63" i="31"/>
  <c r="O64" i="31"/>
  <c r="B65" i="31"/>
  <c r="T65" i="31"/>
  <c r="G66" i="31"/>
  <c r="Y66" i="31"/>
  <c r="L67" i="31"/>
  <c r="AD67" i="31"/>
  <c r="Q68" i="31"/>
  <c r="N60" i="31"/>
  <c r="AF60" i="31"/>
  <c r="S61" i="31"/>
  <c r="F62" i="31"/>
  <c r="X62" i="31"/>
  <c r="K63" i="31"/>
  <c r="AC63" i="31"/>
  <c r="P64" i="31"/>
  <c r="C65" i="31"/>
  <c r="U65" i="31"/>
  <c r="H66" i="31"/>
  <c r="Z66" i="31"/>
  <c r="M67" i="31"/>
  <c r="AE67" i="31"/>
  <c r="R68" i="31"/>
  <c r="O60" i="31"/>
  <c r="B61" i="31"/>
  <c r="T61" i="31"/>
  <c r="G62" i="31"/>
  <c r="Y62" i="31"/>
  <c r="L63" i="31"/>
  <c r="AD63" i="31"/>
  <c r="Q64" i="31"/>
  <c r="D65" i="31"/>
  <c r="V65" i="31"/>
  <c r="I66" i="31"/>
  <c r="AA66" i="31"/>
  <c r="N67" i="31"/>
  <c r="AF67" i="31"/>
  <c r="S68" i="31"/>
  <c r="C60" i="31"/>
  <c r="U60" i="31"/>
  <c r="H61" i="31"/>
  <c r="Z61" i="31"/>
  <c r="M62" i="31"/>
  <c r="AE62" i="31"/>
  <c r="R63" i="31"/>
  <c r="E64" i="31"/>
  <c r="W64" i="31"/>
  <c r="J65" i="31"/>
  <c r="AB65" i="31"/>
  <c r="O66" i="31"/>
  <c r="B67" i="31"/>
  <c r="T67" i="31"/>
  <c r="G68" i="31"/>
  <c r="Y68" i="31"/>
  <c r="I60" i="31"/>
  <c r="C61" i="31"/>
  <c r="Y61" i="31"/>
  <c r="Q62" i="31"/>
  <c r="H63" i="31"/>
  <c r="B64" i="31"/>
  <c r="Y64" i="31"/>
  <c r="P65" i="31"/>
  <c r="J66" i="31"/>
  <c r="AF66" i="31"/>
  <c r="X67" i="31"/>
  <c r="O68" i="31"/>
  <c r="J60" i="31"/>
  <c r="D61" i="31"/>
  <c r="AA61" i="31"/>
  <c r="R62" i="31"/>
  <c r="I63" i="31"/>
  <c r="C64" i="31"/>
  <c r="Z64" i="31"/>
  <c r="Q65" i="31"/>
  <c r="K66" i="31"/>
  <c r="C67" i="31"/>
  <c r="Y67" i="31"/>
  <c r="P68" i="31"/>
  <c r="K60" i="31"/>
  <c r="E61" i="31"/>
  <c r="AB61" i="31"/>
  <c r="S62" i="31"/>
  <c r="M63" i="31"/>
  <c r="D64" i="31"/>
  <c r="AA64" i="31"/>
  <c r="R65" i="31"/>
  <c r="L66" i="31"/>
  <c r="D67" i="31"/>
  <c r="Z67" i="31"/>
  <c r="T68" i="31"/>
  <c r="L60" i="31"/>
  <c r="F61" i="31"/>
  <c r="AC61" i="31"/>
  <c r="T62" i="31"/>
  <c r="N63" i="31"/>
  <c r="F64" i="31"/>
  <c r="AB64" i="31"/>
  <c r="S65" i="31"/>
  <c r="M66" i="31"/>
  <c r="E67" i="31"/>
  <c r="AA67" i="31"/>
  <c r="P60" i="31"/>
  <c r="G61" i="31"/>
  <c r="AD61" i="31"/>
  <c r="U62" i="31"/>
  <c r="O63" i="31"/>
  <c r="G64" i="31"/>
  <c r="Q60" i="31"/>
  <c r="I61" i="31"/>
  <c r="AE61" i="31"/>
  <c r="V62" i="31"/>
  <c r="P63" i="31"/>
  <c r="H64" i="31"/>
  <c r="AD64" i="31"/>
  <c r="R60" i="31"/>
  <c r="J61" i="31"/>
  <c r="AF61" i="31"/>
  <c r="Z62" i="31"/>
  <c r="Q63" i="31"/>
  <c r="I64" i="31"/>
  <c r="AE64" i="31"/>
  <c r="Y65" i="31"/>
  <c r="Q66" i="31"/>
  <c r="H67" i="31"/>
  <c r="S60" i="31"/>
  <c r="K61" i="31"/>
  <c r="B62" i="31"/>
  <c r="AA62" i="31"/>
  <c r="S63" i="31"/>
  <c r="J64" i="31"/>
  <c r="T60" i="31"/>
  <c r="L61" i="31"/>
  <c r="C62" i="31"/>
  <c r="AB62" i="31"/>
  <c r="T63" i="31"/>
  <c r="K64" i="31"/>
  <c r="E65" i="31"/>
  <c r="AA65" i="31"/>
  <c r="S66" i="31"/>
  <c r="J67" i="31"/>
  <c r="D68" i="31"/>
  <c r="AA68" i="31"/>
  <c r="X60" i="31"/>
  <c r="I62" i="31"/>
  <c r="W63" i="31"/>
  <c r="F65" i="31"/>
  <c r="D66" i="31"/>
  <c r="K67" i="31"/>
  <c r="K68" i="31"/>
  <c r="Y60" i="31"/>
  <c r="J62" i="31"/>
  <c r="X63" i="31"/>
  <c r="G65" i="31"/>
  <c r="E66" i="31"/>
  <c r="O67" i="31"/>
  <c r="L68" i="31"/>
  <c r="Z60" i="31"/>
  <c r="K62" i="31"/>
  <c r="Y63" i="31"/>
  <c r="H65" i="31"/>
  <c r="F66" i="31"/>
  <c r="P67" i="31"/>
  <c r="M68" i="31"/>
  <c r="AA60" i="31"/>
  <c r="L62" i="31"/>
  <c r="Z63" i="31"/>
  <c r="I65" i="31"/>
  <c r="N66" i="31"/>
  <c r="Q67" i="31"/>
  <c r="N68" i="31"/>
  <c r="AB60" i="31"/>
  <c r="N62" i="31"/>
  <c r="AA63" i="31"/>
  <c r="K65" i="31"/>
  <c r="P66" i="31"/>
  <c r="R67" i="31"/>
  <c r="U68" i="31"/>
  <c r="AC60" i="31"/>
  <c r="O62" i="31"/>
  <c r="AE63" i="31"/>
  <c r="L65" i="31"/>
  <c r="R66" i="31"/>
  <c r="S67" i="31"/>
  <c r="V68" i="31"/>
  <c r="AD60" i="31"/>
  <c r="P62" i="31"/>
  <c r="AF63" i="31"/>
  <c r="M65" i="31"/>
  <c r="T66" i="31"/>
  <c r="U67" i="31"/>
  <c r="W68" i="31"/>
  <c r="M61" i="31"/>
  <c r="AC62" i="31"/>
  <c r="L64" i="31"/>
  <c r="N65" i="31"/>
  <c r="U66" i="31"/>
  <c r="V67" i="31"/>
  <c r="X68" i="31"/>
  <c r="N61" i="31"/>
  <c r="AD62" i="31"/>
  <c r="M64" i="31"/>
  <c r="O65" i="31"/>
  <c r="V66" i="31"/>
  <c r="W67" i="31"/>
  <c r="Z68" i="31"/>
  <c r="D60" i="31"/>
  <c r="C63" i="31"/>
  <c r="Z65" i="31"/>
  <c r="B68" i="31"/>
  <c r="E60" i="31"/>
  <c r="D63" i="31"/>
  <c r="AC65" i="31"/>
  <c r="C68" i="31"/>
  <c r="F60" i="31"/>
  <c r="E63" i="31"/>
  <c r="AD65" i="31"/>
  <c r="E68" i="31"/>
  <c r="G60" i="31"/>
  <c r="F63" i="31"/>
  <c r="AE65" i="31"/>
  <c r="F68" i="31"/>
  <c r="H60" i="31"/>
  <c r="G63" i="31"/>
  <c r="AF65" i="31"/>
  <c r="H68" i="31"/>
  <c r="V60" i="31"/>
  <c r="U63" i="31"/>
  <c r="B66" i="31"/>
  <c r="I68" i="31"/>
  <c r="W60" i="31"/>
  <c r="V63" i="31"/>
  <c r="C66" i="31"/>
  <c r="J68" i="31"/>
  <c r="O61" i="31"/>
  <c r="N64" i="31"/>
  <c r="W66" i="31"/>
  <c r="AB68" i="31"/>
  <c r="P61" i="31"/>
  <c r="R64" i="31"/>
  <c r="X66" i="31"/>
  <c r="AC68" i="31"/>
  <c r="V61" i="31"/>
  <c r="AD66" i="31"/>
  <c r="W61" i="31"/>
  <c r="AE66" i="31"/>
  <c r="X61" i="31"/>
  <c r="F67" i="31"/>
  <c r="D62" i="31"/>
  <c r="G67" i="31"/>
  <c r="H62" i="31"/>
  <c r="I67" i="31"/>
  <c r="AF62" i="31"/>
  <c r="AB67" i="31"/>
  <c r="B63" i="31"/>
  <c r="AC67" i="31"/>
  <c r="S64" i="31"/>
  <c r="AD68" i="31"/>
  <c r="T64" i="31"/>
  <c r="AE68" i="31"/>
  <c r="X64" i="31"/>
  <c r="AC64" i="31"/>
  <c r="AF64" i="31"/>
  <c r="W65" i="31"/>
  <c r="X65" i="31"/>
  <c r="AB66" i="31"/>
  <c r="AC66" i="31"/>
  <c r="AF68" i="31"/>
  <c r="U64" i="31"/>
  <c r="A48" i="31"/>
  <c r="V64" i="31"/>
  <c r="B60" i="31"/>
  <c r="Q61" i="31"/>
  <c r="U61" i="31"/>
  <c r="G83" i="31"/>
  <c r="Y83" i="31"/>
  <c r="L84" i="31"/>
  <c r="AD84" i="31"/>
  <c r="Q85" i="31"/>
  <c r="D86" i="31"/>
  <c r="V86" i="31"/>
  <c r="I87" i="31"/>
  <c r="AA87" i="31"/>
  <c r="N88" i="31"/>
  <c r="AF88" i="31"/>
  <c r="S89" i="31"/>
  <c r="F90" i="31"/>
  <c r="X90" i="31"/>
  <c r="K91" i="31"/>
  <c r="AC91" i="31"/>
  <c r="H83" i="31"/>
  <c r="Z83" i="31"/>
  <c r="M84" i="31"/>
  <c r="AE84" i="31"/>
  <c r="R85" i="31"/>
  <c r="E86" i="31"/>
  <c r="W86" i="31"/>
  <c r="J87" i="31"/>
  <c r="AB87" i="31"/>
  <c r="O88" i="31"/>
  <c r="B89" i="31"/>
  <c r="T89" i="31"/>
  <c r="G90" i="31"/>
  <c r="Y90" i="31"/>
  <c r="L91" i="31"/>
  <c r="AD91" i="31"/>
  <c r="I83" i="31"/>
  <c r="AA83" i="31"/>
  <c r="N84" i="31"/>
  <c r="AF84" i="31"/>
  <c r="S85" i="31"/>
  <c r="F86" i="31"/>
  <c r="X86" i="31"/>
  <c r="K87" i="31"/>
  <c r="AC87" i="31"/>
  <c r="P88" i="31"/>
  <c r="C89" i="31"/>
  <c r="U89" i="31"/>
  <c r="H90" i="31"/>
  <c r="Z90" i="31"/>
  <c r="M91" i="31"/>
  <c r="AE91" i="31"/>
  <c r="O83" i="31"/>
  <c r="U83" i="31"/>
  <c r="K84" i="31"/>
  <c r="D85" i="31"/>
  <c r="Y85" i="31"/>
  <c r="O86" i="31"/>
  <c r="E87" i="31"/>
  <c r="Z87" i="31"/>
  <c r="S88" i="31"/>
  <c r="I89" i="31"/>
  <c r="AD89" i="31"/>
  <c r="T90" i="31"/>
  <c r="J91" i="31"/>
  <c r="V83" i="31"/>
  <c r="O84" i="31"/>
  <c r="E85" i="31"/>
  <c r="Z85" i="31"/>
  <c r="P86" i="31"/>
  <c r="F87" i="31"/>
  <c r="AD87" i="31"/>
  <c r="T88" i="31"/>
  <c r="J89" i="31"/>
  <c r="AE89" i="31"/>
  <c r="U90" i="31"/>
  <c r="N91" i="31"/>
  <c r="A71" i="31"/>
  <c r="W83" i="31"/>
  <c r="P84" i="31"/>
  <c r="F85" i="31"/>
  <c r="AA85" i="31"/>
  <c r="Q86" i="31"/>
  <c r="G87" i="31"/>
  <c r="AE87" i="31"/>
  <c r="U88" i="31"/>
  <c r="K89" i="31"/>
  <c r="AF89" i="31"/>
  <c r="V90" i="31"/>
  <c r="O91" i="31"/>
  <c r="J83" i="31"/>
  <c r="AF83" i="31"/>
  <c r="V84" i="31"/>
  <c r="L85" i="31"/>
  <c r="B86" i="31"/>
  <c r="Z86" i="31"/>
  <c r="P87" i="31"/>
  <c r="F88" i="31"/>
  <c r="AA88" i="31"/>
  <c r="Q89" i="31"/>
  <c r="J90" i="31"/>
  <c r="AE90" i="31"/>
  <c r="U91" i="31"/>
  <c r="F83" i="31"/>
  <c r="E84" i="31"/>
  <c r="B85" i="31"/>
  <c r="AD85" i="31"/>
  <c r="AB86" i="31"/>
  <c r="V87" i="31"/>
  <c r="V88" i="31"/>
  <c r="P89" i="31"/>
  <c r="N90" i="31"/>
  <c r="H91" i="31"/>
  <c r="K83" i="31"/>
  <c r="F84" i="31"/>
  <c r="C85" i="31"/>
  <c r="AE85" i="31"/>
  <c r="AC86" i="31"/>
  <c r="W87" i="31"/>
  <c r="W88" i="31"/>
  <c r="R89" i="31"/>
  <c r="O90" i="31"/>
  <c r="I91" i="31"/>
  <c r="L83" i="31"/>
  <c r="G84" i="31"/>
  <c r="G85" i="31"/>
  <c r="AF85" i="31"/>
  <c r="AD86" i="31"/>
  <c r="X87" i="31"/>
  <c r="X88" i="31"/>
  <c r="V89" i="31"/>
  <c r="P90" i="31"/>
  <c r="P91" i="31"/>
  <c r="M83" i="31"/>
  <c r="H84" i="31"/>
  <c r="H85" i="31"/>
  <c r="C86" i="31"/>
  <c r="AE86" i="31"/>
  <c r="Y87" i="31"/>
  <c r="Y88" i="31"/>
  <c r="W89" i="31"/>
  <c r="Q90" i="31"/>
  <c r="Q91" i="31"/>
  <c r="N83" i="31"/>
  <c r="I84" i="31"/>
  <c r="I85" i="31"/>
  <c r="G86" i="31"/>
  <c r="AF86" i="31"/>
  <c r="AF87" i="31"/>
  <c r="Z88" i="31"/>
  <c r="X89" i="31"/>
  <c r="R90" i="31"/>
  <c r="R91" i="31"/>
  <c r="P83" i="31"/>
  <c r="J84" i="31"/>
  <c r="J85" i="31"/>
  <c r="H86" i="31"/>
  <c r="B87" i="31"/>
  <c r="B88" i="31"/>
  <c r="AB88" i="31"/>
  <c r="Y89" i="31"/>
  <c r="S90" i="31"/>
  <c r="S91" i="31"/>
  <c r="Q83" i="31"/>
  <c r="Q84" i="31"/>
  <c r="K85" i="31"/>
  <c r="I86" i="31"/>
  <c r="C87" i="31"/>
  <c r="C88" i="31"/>
  <c r="AC88" i="31"/>
  <c r="Z89" i="31"/>
  <c r="W90" i="31"/>
  <c r="T91" i="31"/>
  <c r="R83" i="31"/>
  <c r="R84" i="31"/>
  <c r="M85" i="31"/>
  <c r="J86" i="31"/>
  <c r="D87" i="31"/>
  <c r="D88" i="31"/>
  <c r="AD88" i="31"/>
  <c r="AA89" i="31"/>
  <c r="AA90" i="31"/>
  <c r="V91" i="31"/>
  <c r="S83" i="31"/>
  <c r="S84" i="31"/>
  <c r="N85" i="31"/>
  <c r="K86" i="31"/>
  <c r="H87" i="31"/>
  <c r="E88" i="31"/>
  <c r="AE88" i="31"/>
  <c r="AB89" i="31"/>
  <c r="AB90" i="31"/>
  <c r="W91" i="31"/>
  <c r="W84" i="31"/>
  <c r="N86" i="31"/>
  <c r="I88" i="31"/>
  <c r="C90" i="31"/>
  <c r="Z91" i="31"/>
  <c r="X84" i="31"/>
  <c r="R86" i="31"/>
  <c r="J88" i="31"/>
  <c r="D90" i="31"/>
  <c r="AA91" i="31"/>
  <c r="Y84" i="31"/>
  <c r="S86" i="31"/>
  <c r="K88" i="31"/>
  <c r="E90" i="31"/>
  <c r="AB91" i="31"/>
  <c r="B83" i="31"/>
  <c r="Z84" i="31"/>
  <c r="T86" i="31"/>
  <c r="L88" i="31"/>
  <c r="I90" i="31"/>
  <c r="AF91" i="31"/>
  <c r="C83" i="31"/>
  <c r="AA84" i="31"/>
  <c r="U86" i="31"/>
  <c r="M88" i="31"/>
  <c r="K90" i="31"/>
  <c r="D83" i="31"/>
  <c r="AB84" i="31"/>
  <c r="Y86" i="31"/>
  <c r="Q88" i="31"/>
  <c r="L90" i="31"/>
  <c r="E83" i="31"/>
  <c r="AC84" i="31"/>
  <c r="AA86" i="31"/>
  <c r="R88" i="31"/>
  <c r="M90" i="31"/>
  <c r="T83" i="31"/>
  <c r="O85" i="31"/>
  <c r="L87" i="31"/>
  <c r="D89" i="31"/>
  <c r="AC90" i="31"/>
  <c r="X83" i="31"/>
  <c r="P85" i="31"/>
  <c r="M87" i="31"/>
  <c r="E89" i="31"/>
  <c r="AD90" i="31"/>
  <c r="AD83" i="31"/>
  <c r="Q87" i="31"/>
  <c r="C91" i="31"/>
  <c r="AE83" i="31"/>
  <c r="R87" i="31"/>
  <c r="D91" i="31"/>
  <c r="B84" i="31"/>
  <c r="S87" i="31"/>
  <c r="E91" i="31"/>
  <c r="C84" i="31"/>
  <c r="T87" i="31"/>
  <c r="F91" i="31"/>
  <c r="D84" i="31"/>
  <c r="U87" i="31"/>
  <c r="G91" i="31"/>
  <c r="T84" i="31"/>
  <c r="G88" i="31"/>
  <c r="X91" i="31"/>
  <c r="U84" i="31"/>
  <c r="H88" i="31"/>
  <c r="Y91" i="31"/>
  <c r="T85" i="31"/>
  <c r="F89" i="31"/>
  <c r="U85" i="31"/>
  <c r="G89" i="31"/>
  <c r="X85" i="31"/>
  <c r="AB85" i="31"/>
  <c r="AC85" i="31"/>
  <c r="L86" i="31"/>
  <c r="M86" i="31"/>
  <c r="N87" i="31"/>
  <c r="O87" i="31"/>
  <c r="H89" i="31"/>
  <c r="L89" i="31"/>
  <c r="M89" i="31"/>
  <c r="W85" i="31"/>
  <c r="N89" i="31"/>
  <c r="O89" i="31"/>
  <c r="AC89" i="31"/>
  <c r="AB83" i="31"/>
  <c r="B90" i="31"/>
  <c r="AF90" i="31"/>
  <c r="B91" i="31"/>
  <c r="AC83" i="31"/>
  <c r="V85" i="31"/>
  <c r="W138" i="31"/>
  <c r="AF138" i="31"/>
  <c r="H138" i="31"/>
  <c r="B138" i="31"/>
  <c r="C138" i="31"/>
  <c r="AC138" i="31"/>
  <c r="G138" i="31"/>
  <c r="N138" i="31"/>
  <c r="U138" i="31"/>
  <c r="O37" i="22"/>
  <c r="D115" i="31" l="1"/>
  <c r="AB69" i="31"/>
  <c r="M92" i="31"/>
  <c r="D69" i="31"/>
  <c r="G92" i="31"/>
  <c r="B92" i="31"/>
  <c r="Q115" i="31"/>
  <c r="V69" i="31"/>
  <c r="R115" i="31"/>
  <c r="Y69" i="31"/>
  <c r="S92" i="31"/>
  <c r="AB115" i="31"/>
  <c r="C69" i="31"/>
  <c r="Q92" i="31"/>
  <c r="AF92" i="31"/>
  <c r="AA92" i="31"/>
  <c r="G69" i="31"/>
  <c r="AA69" i="31"/>
  <c r="X115" i="31"/>
  <c r="E115" i="31"/>
  <c r="N115" i="31"/>
  <c r="J92" i="31"/>
  <c r="I92" i="31"/>
  <c r="B69" i="31"/>
  <c r="L69" i="31"/>
  <c r="I69" i="31"/>
  <c r="S115" i="31"/>
  <c r="AF115" i="31"/>
  <c r="H92" i="31"/>
  <c r="N92" i="31"/>
  <c r="U92" i="31"/>
  <c r="Q69" i="31"/>
  <c r="O115" i="31"/>
  <c r="G115" i="31"/>
  <c r="C92" i="31"/>
  <c r="O92" i="31"/>
  <c r="X69" i="31"/>
  <c r="S69" i="31"/>
  <c r="AA115" i="31"/>
  <c r="T115" i="31"/>
  <c r="I115" i="31"/>
  <c r="F69" i="31"/>
  <c r="AC69" i="31"/>
  <c r="J115" i="31"/>
  <c r="B115" i="31"/>
  <c r="AC115" i="31"/>
  <c r="Y92" i="31"/>
  <c r="AD69" i="31"/>
  <c r="O38" i="22"/>
  <c r="V115" i="31"/>
  <c r="W115" i="31"/>
  <c r="U115" i="31"/>
  <c r="AB92" i="31"/>
  <c r="AE92" i="31"/>
  <c r="E92" i="31"/>
  <c r="K115" i="31"/>
  <c r="W92" i="31"/>
  <c r="K69" i="31"/>
  <c r="Y115" i="31"/>
  <c r="AD92" i="31"/>
  <c r="H69" i="31"/>
  <c r="D92" i="31"/>
  <c r="Z92" i="31"/>
  <c r="T92" i="31"/>
  <c r="F92" i="31"/>
  <c r="W69" i="31"/>
  <c r="H115" i="31"/>
  <c r="C115" i="31"/>
  <c r="AF69" i="31"/>
  <c r="N69" i="31"/>
  <c r="M115" i="31"/>
  <c r="O69" i="31"/>
  <c r="AD115" i="31"/>
  <c r="I167" i="31" a="1"/>
  <c r="I167" i="31" s="1"/>
  <c r="L92" i="31"/>
  <c r="AC92" i="31"/>
  <c r="Z69" i="31"/>
  <c r="J69" i="31"/>
  <c r="AE69" i="31"/>
  <c r="AE115" i="31"/>
  <c r="P92" i="31"/>
  <c r="P115" i="31"/>
  <c r="R69" i="31"/>
  <c r="K92" i="31"/>
  <c r="T69" i="31"/>
  <c r="U69" i="31"/>
  <c r="X92" i="31"/>
  <c r="R92" i="31"/>
  <c r="V92" i="31"/>
  <c r="E69" i="31"/>
  <c r="P69" i="31"/>
  <c r="M69" i="31"/>
  <c r="Z115" i="31"/>
  <c r="F115" i="31"/>
  <c r="L115" i="31"/>
  <c r="G167" i="31" l="1" a="1"/>
  <c r="G167" i="31" s="1"/>
  <c r="H167" i="31" a="1"/>
  <c r="M168" i="31" s="1"/>
  <c r="M170" i="31"/>
  <c r="M179" i="31"/>
  <c r="M184" i="31"/>
  <c r="M189" i="31"/>
  <c r="M194" i="31"/>
  <c r="M174" i="31"/>
  <c r="H198" i="31"/>
  <c r="M180" i="31"/>
  <c r="M192" i="31"/>
  <c r="M187" i="31"/>
  <c r="M178" i="31"/>
  <c r="M183" i="31"/>
  <c r="M185" i="31"/>
  <c r="M171" i="31"/>
  <c r="M196" i="31"/>
  <c r="M172" i="31"/>
  <c r="M176" i="31"/>
  <c r="F167" i="31" a="1"/>
  <c r="F167" i="31" s="1"/>
  <c r="O39" i="22"/>
  <c r="H167" i="31" l="1"/>
  <c r="M167" i="31" s="1"/>
  <c r="M197" i="31"/>
  <c r="P5" i="69" s="1"/>
  <c r="M182" i="31"/>
  <c r="M186" i="31"/>
  <c r="M190" i="31"/>
  <c r="M191" i="31"/>
  <c r="M188" i="31"/>
  <c r="M173" i="31"/>
  <c r="M193" i="31"/>
  <c r="M195" i="31"/>
  <c r="M181" i="31"/>
  <c r="M169" i="31"/>
  <c r="M177" i="31"/>
  <c r="M175" i="31"/>
  <c r="O40" i="22"/>
  <c r="O41" i="22" l="1"/>
  <c r="O42" i="22" l="1"/>
  <c r="O43" i="22" l="1"/>
  <c r="O44" i="22" l="1"/>
  <c r="O45" i="22" l="1"/>
  <c r="O46" i="22" l="1"/>
  <c r="O47" i="22" l="1"/>
  <c r="O48" i="22" l="1"/>
  <c r="O49" i="22" l="1"/>
  <c r="O50" i="22" l="1"/>
  <c r="O51" i="22" l="1"/>
  <c r="O52" i="22" l="1"/>
  <c r="O53" i="22" l="1"/>
  <c r="O54" i="22" l="1"/>
  <c r="O55" i="22" l="1"/>
  <c r="O56" i="22" l="1"/>
  <c r="O57" i="22" l="1"/>
  <c r="O58" i="22" l="1"/>
  <c r="O59" i="22" l="1"/>
  <c r="B8" i="20" l="1" a="1"/>
  <c r="B8" i="25" a="1"/>
  <c r="B8" i="25" s="1"/>
  <c r="B2" i="24" a="1"/>
  <c r="G16" i="24" l="1"/>
  <c r="G27" i="24" s="1"/>
  <c r="Y16" i="24"/>
  <c r="Y27" i="24" s="1"/>
  <c r="L17" i="24"/>
  <c r="L28" i="24" s="1"/>
  <c r="AD17" i="24"/>
  <c r="AD28" i="24" s="1"/>
  <c r="Q18" i="24"/>
  <c r="Q29" i="24" s="1"/>
  <c r="D19" i="24"/>
  <c r="D30" i="24" s="1"/>
  <c r="V19" i="24"/>
  <c r="V30" i="24" s="1"/>
  <c r="I20" i="24"/>
  <c r="I31" i="24" s="1"/>
  <c r="AA20" i="24"/>
  <c r="AA31" i="24" s="1"/>
  <c r="N21" i="24"/>
  <c r="N32" i="24" s="1"/>
  <c r="AF21" i="24"/>
  <c r="AF32" i="24" s="1"/>
  <c r="S22" i="24"/>
  <c r="S33" i="24" s="1"/>
  <c r="F23" i="24"/>
  <c r="F34" i="24" s="1"/>
  <c r="X23" i="24"/>
  <c r="X34" i="24" s="1"/>
  <c r="K24" i="24"/>
  <c r="K35" i="24" s="1"/>
  <c r="AC24" i="24"/>
  <c r="AC35" i="24" s="1"/>
  <c r="H16" i="24"/>
  <c r="H27" i="24" s="1"/>
  <c r="H36" i="24" s="1"/>
  <c r="Z16" i="24"/>
  <c r="Z27" i="24" s="1"/>
  <c r="Z36" i="24" s="1"/>
  <c r="M17" i="24"/>
  <c r="M28" i="24" s="1"/>
  <c r="D16" i="24"/>
  <c r="D27" i="24" s="1"/>
  <c r="X16" i="24"/>
  <c r="X27" i="24" s="1"/>
  <c r="O17" i="24"/>
  <c r="O28" i="24" s="1"/>
  <c r="C18" i="24"/>
  <c r="C29" i="24" s="1"/>
  <c r="V18" i="24"/>
  <c r="V29" i="24" s="1"/>
  <c r="J19" i="24"/>
  <c r="J30" i="24" s="1"/>
  <c r="AC19" i="24"/>
  <c r="AC30" i="24" s="1"/>
  <c r="Q20" i="24"/>
  <c r="Q31" i="24" s="1"/>
  <c r="E21" i="24"/>
  <c r="E32" i="24" s="1"/>
  <c r="X21" i="24"/>
  <c r="X32" i="24" s="1"/>
  <c r="L22" i="24"/>
  <c r="L33" i="24" s="1"/>
  <c r="AE22" i="24"/>
  <c r="AE33" i="24" s="1"/>
  <c r="S23" i="24"/>
  <c r="S34" i="24" s="1"/>
  <c r="G24" i="24"/>
  <c r="G35" i="24" s="1"/>
  <c r="Z24" i="24"/>
  <c r="Z35" i="24" s="1"/>
  <c r="E16" i="24"/>
  <c r="E27" i="24" s="1"/>
  <c r="AA16" i="24"/>
  <c r="AA27" i="24" s="1"/>
  <c r="AA36" i="24" s="1"/>
  <c r="P17" i="24"/>
  <c r="P28" i="24" s="1"/>
  <c r="D18" i="24"/>
  <c r="D29" i="24" s="1"/>
  <c r="W18" i="24"/>
  <c r="W29" i="24" s="1"/>
  <c r="K19" i="24"/>
  <c r="K30" i="24" s="1"/>
  <c r="AD19" i="24"/>
  <c r="AD30" i="24" s="1"/>
  <c r="R20" i="24"/>
  <c r="R31" i="24" s="1"/>
  <c r="F21" i="24"/>
  <c r="F32" i="24" s="1"/>
  <c r="Y21" i="24"/>
  <c r="Y32" i="24" s="1"/>
  <c r="M22" i="24"/>
  <c r="M33" i="24" s="1"/>
  <c r="AF22" i="24"/>
  <c r="AF33" i="24" s="1"/>
  <c r="T23" i="24"/>
  <c r="T34" i="24" s="1"/>
  <c r="H24" i="24"/>
  <c r="H35" i="24" s="1"/>
  <c r="AA24" i="24"/>
  <c r="AA35" i="24" s="1"/>
  <c r="F16" i="24"/>
  <c r="F27" i="24" s="1"/>
  <c r="AB16" i="24"/>
  <c r="AB27" i="24" s="1"/>
  <c r="Q17" i="24"/>
  <c r="Q28" i="24" s="1"/>
  <c r="E18" i="24"/>
  <c r="E29" i="24" s="1"/>
  <c r="X18" i="24"/>
  <c r="X29" i="24" s="1"/>
  <c r="L19" i="24"/>
  <c r="L30" i="24" s="1"/>
  <c r="AE19" i="24"/>
  <c r="AE30" i="24" s="1"/>
  <c r="S20" i="24"/>
  <c r="S31" i="24" s="1"/>
  <c r="G21" i="24"/>
  <c r="G32" i="24" s="1"/>
  <c r="Z21" i="24"/>
  <c r="Z32" i="24" s="1"/>
  <c r="N22" i="24"/>
  <c r="N33" i="24" s="1"/>
  <c r="U23" i="24"/>
  <c r="U34" i="24" s="1"/>
  <c r="I24" i="24"/>
  <c r="I35" i="24" s="1"/>
  <c r="AB24" i="24"/>
  <c r="AB35" i="24" s="1"/>
  <c r="N16" i="24"/>
  <c r="N27" i="24" s="1"/>
  <c r="C17" i="24"/>
  <c r="C28" i="24" s="1"/>
  <c r="W17" i="24"/>
  <c r="W28" i="24" s="1"/>
  <c r="K18" i="24"/>
  <c r="K29" i="24" s="1"/>
  <c r="AD18" i="24"/>
  <c r="AD29" i="24" s="1"/>
  <c r="R19" i="24"/>
  <c r="R30" i="24" s="1"/>
  <c r="F20" i="24"/>
  <c r="F31" i="24" s="1"/>
  <c r="Y20" i="24"/>
  <c r="Y31" i="24" s="1"/>
  <c r="AE16" i="24"/>
  <c r="AE27" i="24" s="1"/>
  <c r="Y17" i="24"/>
  <c r="Y28" i="24" s="1"/>
  <c r="R18" i="24"/>
  <c r="R29" i="24" s="1"/>
  <c r="M19" i="24"/>
  <c r="M30" i="24" s="1"/>
  <c r="E20" i="24"/>
  <c r="E31" i="24" s="1"/>
  <c r="AD20" i="24"/>
  <c r="AD31" i="24" s="1"/>
  <c r="U21" i="24"/>
  <c r="U32" i="24" s="1"/>
  <c r="O22" i="24"/>
  <c r="O33" i="24" s="1"/>
  <c r="G23" i="24"/>
  <c r="G34" i="24" s="1"/>
  <c r="AC23" i="24"/>
  <c r="AC34" i="24" s="1"/>
  <c r="T24" i="24"/>
  <c r="T35" i="24" s="1"/>
  <c r="C16" i="24"/>
  <c r="C27" i="24" s="1"/>
  <c r="AF16" i="24"/>
  <c r="AF27" i="24" s="1"/>
  <c r="Z17" i="24"/>
  <c r="Z28" i="24" s="1"/>
  <c r="S18" i="24"/>
  <c r="S29" i="24" s="1"/>
  <c r="N19" i="24"/>
  <c r="N30" i="24" s="1"/>
  <c r="G20" i="24"/>
  <c r="G31" i="24" s="1"/>
  <c r="AE20" i="24"/>
  <c r="AE31" i="24" s="1"/>
  <c r="V21" i="24"/>
  <c r="V32" i="24" s="1"/>
  <c r="P22" i="24"/>
  <c r="P33" i="24" s="1"/>
  <c r="H23" i="24"/>
  <c r="H34" i="24" s="1"/>
  <c r="AD23" i="24"/>
  <c r="AD34" i="24" s="1"/>
  <c r="U24" i="24"/>
  <c r="U35" i="24" s="1"/>
  <c r="I16" i="24"/>
  <c r="I27" i="24" s="1"/>
  <c r="AA17" i="24"/>
  <c r="AA28" i="24" s="1"/>
  <c r="T18" i="24"/>
  <c r="T29" i="24" s="1"/>
  <c r="O19" i="24"/>
  <c r="O30" i="24" s="1"/>
  <c r="H20" i="24"/>
  <c r="H31" i="24" s="1"/>
  <c r="AF20" i="24"/>
  <c r="AF31" i="24" s="1"/>
  <c r="W21" i="24"/>
  <c r="W32" i="24" s="1"/>
  <c r="Q22" i="24"/>
  <c r="Q33" i="24" s="1"/>
  <c r="I23" i="24"/>
  <c r="I34" i="24" s="1"/>
  <c r="AE23" i="24"/>
  <c r="AE34" i="24" s="1"/>
  <c r="V24" i="24"/>
  <c r="V35" i="24" s="1"/>
  <c r="J16" i="24"/>
  <c r="J27" i="24" s="1"/>
  <c r="D17" i="24"/>
  <c r="D28" i="24" s="1"/>
  <c r="AB17" i="24"/>
  <c r="AB28" i="24" s="1"/>
  <c r="U18" i="24"/>
  <c r="U29" i="24" s="1"/>
  <c r="P19" i="24"/>
  <c r="P30" i="24" s="1"/>
  <c r="J20" i="24"/>
  <c r="J31" i="24" s="1"/>
  <c r="AA21" i="24"/>
  <c r="AA32" i="24" s="1"/>
  <c r="R22" i="24"/>
  <c r="R33" i="24" s="1"/>
  <c r="J23" i="24"/>
  <c r="J34" i="24" s="1"/>
  <c r="AF23" i="24"/>
  <c r="AF34" i="24" s="1"/>
  <c r="W24" i="24"/>
  <c r="W35" i="24" s="1"/>
  <c r="K16" i="24"/>
  <c r="K27" i="24" s="1"/>
  <c r="E17" i="24"/>
  <c r="E28" i="24" s="1"/>
  <c r="AC17" i="24"/>
  <c r="AC28" i="24" s="1"/>
  <c r="Y18" i="24"/>
  <c r="Y29" i="24" s="1"/>
  <c r="Q19" i="24"/>
  <c r="Q30" i="24" s="1"/>
  <c r="K20" i="24"/>
  <c r="K31" i="24" s="1"/>
  <c r="C21" i="24"/>
  <c r="C32" i="24" s="1"/>
  <c r="AB21" i="24"/>
  <c r="AB32" i="24" s="1"/>
  <c r="T22" i="24"/>
  <c r="T33" i="24" s="1"/>
  <c r="K23" i="24"/>
  <c r="K34" i="24" s="1"/>
  <c r="X24" i="24"/>
  <c r="X35" i="24" s="1"/>
  <c r="L16" i="24"/>
  <c r="L27" i="24" s="1"/>
  <c r="F17" i="24"/>
  <c r="F28" i="24" s="1"/>
  <c r="AE17" i="24"/>
  <c r="AE28" i="24" s="1"/>
  <c r="Z18" i="24"/>
  <c r="Z29" i="24" s="1"/>
  <c r="S19" i="24"/>
  <c r="S30" i="24" s="1"/>
  <c r="L20" i="24"/>
  <c r="L31" i="24" s="1"/>
  <c r="D21" i="24"/>
  <c r="D32" i="24" s="1"/>
  <c r="AC21" i="24"/>
  <c r="AC32" i="24" s="1"/>
  <c r="U22" i="24"/>
  <c r="U33" i="24" s="1"/>
  <c r="L23" i="24"/>
  <c r="L34" i="24" s="1"/>
  <c r="C24" i="24"/>
  <c r="C35" i="24" s="1"/>
  <c r="Y24" i="24"/>
  <c r="Y35" i="24" s="1"/>
  <c r="M16" i="24"/>
  <c r="M27" i="24" s="1"/>
  <c r="G17" i="24"/>
  <c r="G28" i="24" s="1"/>
  <c r="AF17" i="24"/>
  <c r="AF28" i="24" s="1"/>
  <c r="AA18" i="24"/>
  <c r="AA29" i="24" s="1"/>
  <c r="T19" i="24"/>
  <c r="T30" i="24" s="1"/>
  <c r="M20" i="24"/>
  <c r="M31" i="24" s="1"/>
  <c r="H21" i="24"/>
  <c r="H32" i="24" s="1"/>
  <c r="AD21" i="24"/>
  <c r="AD32" i="24" s="1"/>
  <c r="V22" i="24"/>
  <c r="V33" i="24" s="1"/>
  <c r="M23" i="24"/>
  <c r="M34" i="24" s="1"/>
  <c r="D24" i="24"/>
  <c r="D35" i="24" s="1"/>
  <c r="AD24" i="24"/>
  <c r="AD35" i="24" s="1"/>
  <c r="O16" i="24"/>
  <c r="O27" i="24" s="1"/>
  <c r="H17" i="24"/>
  <c r="H28" i="24" s="1"/>
  <c r="AB18" i="24"/>
  <c r="AB29" i="24" s="1"/>
  <c r="U19" i="24"/>
  <c r="U30" i="24" s="1"/>
  <c r="N20" i="24"/>
  <c r="N31" i="24" s="1"/>
  <c r="I21" i="24"/>
  <c r="I32" i="24" s="1"/>
  <c r="AE21" i="24"/>
  <c r="AE32" i="24" s="1"/>
  <c r="W22" i="24"/>
  <c r="W33" i="24" s="1"/>
  <c r="N23" i="24"/>
  <c r="N34" i="24" s="1"/>
  <c r="E24" i="24"/>
  <c r="E35" i="24" s="1"/>
  <c r="AE24" i="24"/>
  <c r="AE35" i="24" s="1"/>
  <c r="P16" i="24"/>
  <c r="P27" i="24" s="1"/>
  <c r="I17" i="24"/>
  <c r="I28" i="24" s="1"/>
  <c r="F18" i="24"/>
  <c r="F29" i="24" s="1"/>
  <c r="AC18" i="24"/>
  <c r="AC29" i="24" s="1"/>
  <c r="W19" i="24"/>
  <c r="W30" i="24" s="1"/>
  <c r="O20" i="24"/>
  <c r="O31" i="24" s="1"/>
  <c r="J21" i="24"/>
  <c r="J32" i="24" s="1"/>
  <c r="X22" i="24"/>
  <c r="X33" i="24" s="1"/>
  <c r="O23" i="24"/>
  <c r="O34" i="24" s="1"/>
  <c r="F24" i="24"/>
  <c r="F35" i="24" s="1"/>
  <c r="AF24" i="24"/>
  <c r="AF35" i="24" s="1"/>
  <c r="S16" i="24"/>
  <c r="S27" i="24" s="1"/>
  <c r="I18" i="24"/>
  <c r="I29" i="24" s="1"/>
  <c r="Z19" i="24"/>
  <c r="Z30" i="24" s="1"/>
  <c r="M21" i="24"/>
  <c r="M32" i="24" s="1"/>
  <c r="AA22" i="24"/>
  <c r="AA33" i="24" s="1"/>
  <c r="M24" i="24"/>
  <c r="M35" i="24" s="1"/>
  <c r="T16" i="24"/>
  <c r="T27" i="24" s="1"/>
  <c r="J18" i="24"/>
  <c r="J29" i="24" s="1"/>
  <c r="AA19" i="24"/>
  <c r="AA30" i="24" s="1"/>
  <c r="O21" i="24"/>
  <c r="O32" i="24" s="1"/>
  <c r="AB22" i="24"/>
  <c r="AB33" i="24" s="1"/>
  <c r="N24" i="24"/>
  <c r="N35" i="24" s="1"/>
  <c r="U16" i="24"/>
  <c r="U27" i="24" s="1"/>
  <c r="L18" i="24"/>
  <c r="L29" i="24" s="1"/>
  <c r="AB19" i="24"/>
  <c r="AB30" i="24" s="1"/>
  <c r="P21" i="24"/>
  <c r="P32" i="24" s="1"/>
  <c r="AC22" i="24"/>
  <c r="AC33" i="24" s="1"/>
  <c r="O24" i="24"/>
  <c r="O35" i="24" s="1"/>
  <c r="V16" i="24"/>
  <c r="V27" i="24" s="1"/>
  <c r="M18" i="24"/>
  <c r="M29" i="24" s="1"/>
  <c r="AF19" i="24"/>
  <c r="AF30" i="24" s="1"/>
  <c r="Q21" i="24"/>
  <c r="Q32" i="24" s="1"/>
  <c r="AD22" i="24"/>
  <c r="AD33" i="24" s="1"/>
  <c r="P24" i="24"/>
  <c r="P35" i="24" s="1"/>
  <c r="W16" i="24"/>
  <c r="W27" i="24" s="1"/>
  <c r="N18" i="24"/>
  <c r="N29" i="24" s="1"/>
  <c r="R21" i="24"/>
  <c r="R32" i="24" s="1"/>
  <c r="C23" i="24"/>
  <c r="C34" i="24" s="1"/>
  <c r="Q24" i="24"/>
  <c r="Q35" i="24" s="1"/>
  <c r="AC16" i="24"/>
  <c r="AC27" i="24" s="1"/>
  <c r="O18" i="24"/>
  <c r="O29" i="24" s="1"/>
  <c r="C20" i="24"/>
  <c r="C31" i="24" s="1"/>
  <c r="S21" i="24"/>
  <c r="S32" i="24" s="1"/>
  <c r="D23" i="24"/>
  <c r="D34" i="24" s="1"/>
  <c r="R24" i="24"/>
  <c r="R35" i="24" s="1"/>
  <c r="AD16" i="24"/>
  <c r="AD27" i="24" s="1"/>
  <c r="P18" i="24"/>
  <c r="P29" i="24" s="1"/>
  <c r="D20" i="24"/>
  <c r="D31" i="24" s="1"/>
  <c r="T21" i="24"/>
  <c r="T32" i="24" s="1"/>
  <c r="E23" i="24"/>
  <c r="E34" i="24" s="1"/>
  <c r="S24" i="24"/>
  <c r="S35" i="24" s="1"/>
  <c r="J17" i="24"/>
  <c r="J28" i="24" s="1"/>
  <c r="AE18" i="24"/>
  <c r="AE29" i="24" s="1"/>
  <c r="P20" i="24"/>
  <c r="P31" i="24" s="1"/>
  <c r="C22" i="24"/>
  <c r="C33" i="24" s="1"/>
  <c r="P23" i="24"/>
  <c r="P34" i="24" s="1"/>
  <c r="K17" i="24"/>
  <c r="K28" i="24" s="1"/>
  <c r="AF18" i="24"/>
  <c r="AF29" i="24" s="1"/>
  <c r="T20" i="24"/>
  <c r="T31" i="24" s="1"/>
  <c r="D22" i="24"/>
  <c r="D33" i="24" s="1"/>
  <c r="Q23" i="24"/>
  <c r="Q34" i="24" s="1"/>
  <c r="E19" i="24"/>
  <c r="E30" i="24" s="1"/>
  <c r="G22" i="24"/>
  <c r="G33" i="24" s="1"/>
  <c r="F19" i="24"/>
  <c r="F30" i="24" s="1"/>
  <c r="H22" i="24"/>
  <c r="H33" i="24" s="1"/>
  <c r="G19" i="24"/>
  <c r="G30" i="24" s="1"/>
  <c r="I22" i="24"/>
  <c r="I33" i="24" s="1"/>
  <c r="H19" i="24"/>
  <c r="H30" i="24" s="1"/>
  <c r="J22" i="24"/>
  <c r="J33" i="24" s="1"/>
  <c r="B2" i="24"/>
  <c r="I19" i="24"/>
  <c r="I30" i="24" s="1"/>
  <c r="K22" i="24"/>
  <c r="K33" i="24" s="1"/>
  <c r="Q16" i="24"/>
  <c r="Q27" i="24" s="1"/>
  <c r="X19" i="24"/>
  <c r="X30" i="24" s="1"/>
  <c r="Y22" i="24"/>
  <c r="Y33" i="24" s="1"/>
  <c r="R16" i="24"/>
  <c r="R27" i="24" s="1"/>
  <c r="Y19" i="24"/>
  <c r="Y30" i="24" s="1"/>
  <c r="Z22" i="24"/>
  <c r="Z33" i="24" s="1"/>
  <c r="N17" i="24"/>
  <c r="N28" i="24" s="1"/>
  <c r="U20" i="24"/>
  <c r="U31" i="24" s="1"/>
  <c r="R23" i="24"/>
  <c r="R34" i="24" s="1"/>
  <c r="R17" i="24"/>
  <c r="R28" i="24" s="1"/>
  <c r="V20" i="24"/>
  <c r="V31" i="24" s="1"/>
  <c r="V23" i="24"/>
  <c r="V34" i="24" s="1"/>
  <c r="Z20" i="24"/>
  <c r="Z31" i="24" s="1"/>
  <c r="AB20" i="24"/>
  <c r="AB31" i="24" s="1"/>
  <c r="AC20" i="24"/>
  <c r="AC31" i="24" s="1"/>
  <c r="K21" i="24"/>
  <c r="K32" i="24" s="1"/>
  <c r="L21" i="24"/>
  <c r="L32" i="24" s="1"/>
  <c r="E22" i="24"/>
  <c r="E33" i="24" s="1"/>
  <c r="F22" i="24"/>
  <c r="F33" i="24" s="1"/>
  <c r="S17" i="24"/>
  <c r="S28" i="24" s="1"/>
  <c r="W23" i="24"/>
  <c r="W34" i="24" s="1"/>
  <c r="T17" i="24"/>
  <c r="T28" i="24" s="1"/>
  <c r="Y23" i="24"/>
  <c r="Y34" i="24" s="1"/>
  <c r="AB23" i="24"/>
  <c r="AB34" i="24" s="1"/>
  <c r="J24" i="24"/>
  <c r="J35" i="24" s="1"/>
  <c r="L24" i="24"/>
  <c r="L35" i="24" s="1"/>
  <c r="U17" i="24"/>
  <c r="U28" i="24" s="1"/>
  <c r="V17" i="24"/>
  <c r="V28" i="24" s="1"/>
  <c r="X17" i="24"/>
  <c r="X28" i="24" s="1"/>
  <c r="G18" i="24"/>
  <c r="G29" i="24" s="1"/>
  <c r="H18" i="24"/>
  <c r="H29" i="24" s="1"/>
  <c r="X20" i="24"/>
  <c r="X31" i="24" s="1"/>
  <c r="Z23" i="24"/>
  <c r="Z34" i="24" s="1"/>
  <c r="AA23" i="24"/>
  <c r="AA34" i="24" s="1"/>
  <c r="W20" i="24"/>
  <c r="W31" i="24" s="1"/>
  <c r="C19" i="24"/>
  <c r="C30" i="24" s="1"/>
  <c r="R89" i="20"/>
  <c r="E90" i="20"/>
  <c r="W90" i="20"/>
  <c r="J91" i="20"/>
  <c r="AB91" i="20"/>
  <c r="O92" i="20"/>
  <c r="T93" i="20"/>
  <c r="G94" i="20"/>
  <c r="Y94" i="20"/>
  <c r="L95" i="20"/>
  <c r="AD95" i="20"/>
  <c r="Q96" i="20"/>
  <c r="D97" i="20"/>
  <c r="V97" i="20"/>
  <c r="S89" i="20"/>
  <c r="F90" i="20"/>
  <c r="X90" i="20"/>
  <c r="K91" i="20"/>
  <c r="AC91" i="20"/>
  <c r="P92" i="20"/>
  <c r="C93" i="20"/>
  <c r="U93" i="20"/>
  <c r="H94" i="20"/>
  <c r="Z94" i="20"/>
  <c r="M95" i="20"/>
  <c r="AE95" i="20"/>
  <c r="R96" i="20"/>
  <c r="E97" i="20"/>
  <c r="W97" i="20"/>
  <c r="T89" i="20"/>
  <c r="G90" i="20"/>
  <c r="Y90" i="20"/>
  <c r="L91" i="20"/>
  <c r="AD91" i="20"/>
  <c r="Q92" i="20"/>
  <c r="D93" i="20"/>
  <c r="N89" i="20"/>
  <c r="D90" i="20"/>
  <c r="AB90" i="20"/>
  <c r="R91" i="20"/>
  <c r="H92" i="20"/>
  <c r="AC92" i="20"/>
  <c r="S93" i="20"/>
  <c r="J94" i="20"/>
  <c r="AD94" i="20"/>
  <c r="S95" i="20"/>
  <c r="H96" i="20"/>
  <c r="AB96" i="20"/>
  <c r="Q97" i="20"/>
  <c r="O89" i="20"/>
  <c r="H90" i="20"/>
  <c r="AC90" i="20"/>
  <c r="S91" i="20"/>
  <c r="I92" i="20"/>
  <c r="AD92" i="20"/>
  <c r="V93" i="20"/>
  <c r="K94" i="20"/>
  <c r="AE94" i="20"/>
  <c r="T95" i="20"/>
  <c r="I96" i="20"/>
  <c r="AC96" i="20"/>
  <c r="R97" i="20"/>
  <c r="P89" i="20"/>
  <c r="I90" i="20"/>
  <c r="AD90" i="20"/>
  <c r="T91" i="20"/>
  <c r="J92" i="20"/>
  <c r="AE92" i="20"/>
  <c r="W93" i="20"/>
  <c r="L94" i="20"/>
  <c r="AF94" i="20"/>
  <c r="U95" i="20"/>
  <c r="J96" i="20"/>
  <c r="AD96" i="20"/>
  <c r="S97" i="20"/>
  <c r="D89" i="20"/>
  <c r="Y89" i="20"/>
  <c r="O90" i="20"/>
  <c r="E91" i="20"/>
  <c r="Z91" i="20"/>
  <c r="S92" i="20"/>
  <c r="I93" i="20"/>
  <c r="AC93" i="20"/>
  <c r="R94" i="20"/>
  <c r="G95" i="20"/>
  <c r="AA95" i="20"/>
  <c r="P96" i="20"/>
  <c r="G97" i="20"/>
  <c r="AA97" i="20"/>
  <c r="Q89" i="20"/>
  <c r="N90" i="20"/>
  <c r="I91" i="20"/>
  <c r="F92" i="20"/>
  <c r="F93" i="20"/>
  <c r="AE93" i="20"/>
  <c r="X94" i="20"/>
  <c r="V95" i="20"/>
  <c r="O96" i="20"/>
  <c r="K97" i="20"/>
  <c r="U89" i="20"/>
  <c r="P90" i="20"/>
  <c r="M91" i="20"/>
  <c r="G92" i="20"/>
  <c r="G93" i="20"/>
  <c r="AF93" i="20"/>
  <c r="AA94" i="20"/>
  <c r="W95" i="20"/>
  <c r="S96" i="20"/>
  <c r="L97" i="20"/>
  <c r="V89" i="20"/>
  <c r="Q90" i="20"/>
  <c r="N91" i="20"/>
  <c r="K92" i="20"/>
  <c r="H93" i="20"/>
  <c r="AB94" i="20"/>
  <c r="X95" i="20"/>
  <c r="T96" i="20"/>
  <c r="M97" i="20"/>
  <c r="W89" i="20"/>
  <c r="R90" i="20"/>
  <c r="O91" i="20"/>
  <c r="L92" i="20"/>
  <c r="J93" i="20"/>
  <c r="C94" i="20"/>
  <c r="AC94" i="20"/>
  <c r="Y95" i="20"/>
  <c r="U96" i="20"/>
  <c r="N97" i="20"/>
  <c r="X89" i="20"/>
  <c r="S90" i="20"/>
  <c r="P91" i="20"/>
  <c r="M92" i="20"/>
  <c r="K93" i="20"/>
  <c r="D94" i="20"/>
  <c r="Z95" i="20"/>
  <c r="V96" i="20"/>
  <c r="O97" i="20"/>
  <c r="Z89" i="20"/>
  <c r="T90" i="20"/>
  <c r="Q91" i="20"/>
  <c r="N92" i="20"/>
  <c r="L93" i="20"/>
  <c r="E94" i="20"/>
  <c r="C95" i="20"/>
  <c r="AB95" i="20"/>
  <c r="W96" i="20"/>
  <c r="P97" i="20"/>
  <c r="AA89" i="20"/>
  <c r="U90" i="20"/>
  <c r="U91" i="20"/>
  <c r="R92" i="20"/>
  <c r="M93" i="20"/>
  <c r="F94" i="20"/>
  <c r="D95" i="20"/>
  <c r="AC95" i="20"/>
  <c r="X96" i="20"/>
  <c r="T97" i="20"/>
  <c r="AB89" i="20"/>
  <c r="V90" i="20"/>
  <c r="V91" i="20"/>
  <c r="T92" i="20"/>
  <c r="N93" i="20"/>
  <c r="I94" i="20"/>
  <c r="E95" i="20"/>
  <c r="AF95" i="20"/>
  <c r="Y96" i="20"/>
  <c r="U97" i="20"/>
  <c r="C89" i="20"/>
  <c r="AC89" i="20"/>
  <c r="Z90" i="20"/>
  <c r="W91" i="20"/>
  <c r="U92" i="20"/>
  <c r="O93" i="20"/>
  <c r="M94" i="20"/>
  <c r="F95" i="20"/>
  <c r="Z96" i="20"/>
  <c r="X97" i="20"/>
  <c r="AF89" i="20"/>
  <c r="AA91" i="20"/>
  <c r="R93" i="20"/>
  <c r="J95" i="20"/>
  <c r="AF96" i="20"/>
  <c r="AE91" i="20"/>
  <c r="X93" i="20"/>
  <c r="K95" i="20"/>
  <c r="C90" i="20"/>
  <c r="AF91" i="20"/>
  <c r="Y93" i="20"/>
  <c r="N95" i="20"/>
  <c r="C97" i="20"/>
  <c r="J90" i="20"/>
  <c r="Z93" i="20"/>
  <c r="O95" i="20"/>
  <c r="F97" i="20"/>
  <c r="K90" i="20"/>
  <c r="C92" i="20"/>
  <c r="AA93" i="20"/>
  <c r="P95" i="20"/>
  <c r="H97" i="20"/>
  <c r="L90" i="20"/>
  <c r="D92" i="20"/>
  <c r="AB93" i="20"/>
  <c r="Q95" i="20"/>
  <c r="I97" i="20"/>
  <c r="M90" i="20"/>
  <c r="E92" i="20"/>
  <c r="AD93" i="20"/>
  <c r="R95" i="20"/>
  <c r="J97" i="20"/>
  <c r="B8" i="20"/>
  <c r="E89" i="20"/>
  <c r="AA90" i="20"/>
  <c r="V92" i="20"/>
  <c r="N94" i="20"/>
  <c r="C96" i="20"/>
  <c r="Y97" i="20"/>
  <c r="F89" i="20"/>
  <c r="AE90" i="20"/>
  <c r="W92" i="20"/>
  <c r="O94" i="20"/>
  <c r="D96" i="20"/>
  <c r="Z97" i="20"/>
  <c r="C91" i="20"/>
  <c r="S94" i="20"/>
  <c r="AD97" i="20"/>
  <c r="D91" i="20"/>
  <c r="T94" i="20"/>
  <c r="AE97" i="20"/>
  <c r="F91" i="20"/>
  <c r="U94" i="20"/>
  <c r="AF97" i="20"/>
  <c r="G91" i="20"/>
  <c r="V94" i="20"/>
  <c r="H91" i="20"/>
  <c r="W94" i="20"/>
  <c r="X91" i="20"/>
  <c r="H95" i="20"/>
  <c r="Y91" i="20"/>
  <c r="I95" i="20"/>
  <c r="G89" i="20"/>
  <c r="X92" i="20"/>
  <c r="E96" i="20"/>
  <c r="H89" i="20"/>
  <c r="Y92" i="20"/>
  <c r="F96" i="20"/>
  <c r="K89" i="20"/>
  <c r="L96" i="20"/>
  <c r="L89" i="20"/>
  <c r="M96" i="20"/>
  <c r="M89" i="20"/>
  <c r="N96" i="20"/>
  <c r="AD89" i="20"/>
  <c r="AA96" i="20"/>
  <c r="AE89" i="20"/>
  <c r="AE96" i="20"/>
  <c r="AF90" i="20"/>
  <c r="AB97" i="20"/>
  <c r="AC97" i="20"/>
  <c r="Z92" i="20"/>
  <c r="AA92" i="20"/>
  <c r="E93" i="20"/>
  <c r="P93" i="20"/>
  <c r="Q93" i="20"/>
  <c r="P94" i="20"/>
  <c r="Q94" i="20"/>
  <c r="G96" i="20"/>
  <c r="K96" i="20"/>
  <c r="I89" i="20"/>
  <c r="J89" i="20"/>
  <c r="AB92" i="20"/>
  <c r="AF92" i="20"/>
  <c r="AE36" i="24" l="1"/>
  <c r="M36" i="24"/>
  <c r="S36" i="24"/>
  <c r="AF36" i="24"/>
  <c r="K36" i="24"/>
  <c r="O36" i="24"/>
  <c r="N36" i="24"/>
  <c r="V36" i="24"/>
  <c r="C36" i="24"/>
  <c r="U36" i="24"/>
  <c r="J36" i="24"/>
  <c r="B93" i="20"/>
  <c r="B89" i="20"/>
  <c r="B94" i="20"/>
  <c r="B95" i="20"/>
  <c r="B96" i="20"/>
  <c r="B90" i="20"/>
  <c r="B97" i="20"/>
  <c r="B92" i="20"/>
  <c r="B91" i="20"/>
  <c r="R36" i="24"/>
  <c r="AC36" i="24"/>
  <c r="I36" i="24"/>
  <c r="F36" i="24"/>
  <c r="W36" i="24"/>
  <c r="AD36" i="24"/>
  <c r="X36" i="24"/>
  <c r="T36" i="24"/>
  <c r="B23" i="24"/>
  <c r="B34" i="24" s="1"/>
  <c r="B16" i="24"/>
  <c r="B27" i="24" s="1"/>
  <c r="B17" i="24"/>
  <c r="B28" i="24" s="1"/>
  <c r="B21" i="24"/>
  <c r="B32" i="24" s="1"/>
  <c r="B24" i="24"/>
  <c r="B35" i="24" s="1"/>
  <c r="B18" i="24"/>
  <c r="B29" i="24" s="1"/>
  <c r="B22" i="24"/>
  <c r="B33" i="24" s="1"/>
  <c r="B20" i="24"/>
  <c r="B31" i="24" s="1"/>
  <c r="B19" i="24"/>
  <c r="B30" i="24" s="1"/>
  <c r="E36" i="24"/>
  <c r="AB36" i="24"/>
  <c r="Q36" i="24"/>
  <c r="L36" i="24"/>
  <c r="D36" i="24"/>
  <c r="Y36" i="24"/>
  <c r="P36" i="24"/>
  <c r="G36" i="24"/>
  <c r="B36" i="24" l="1"/>
  <c r="H88" i="23" s="1" a="1"/>
  <c r="H88" i="23" s="1"/>
  <c r="A140" i="31" a="1"/>
  <c r="K152" i="31" l="1"/>
  <c r="AC152" i="31"/>
  <c r="P153" i="31"/>
  <c r="C154" i="31"/>
  <c r="U154" i="31"/>
  <c r="H155" i="31"/>
  <c r="Z155" i="31"/>
  <c r="M156" i="31"/>
  <c r="AE156" i="31"/>
  <c r="R157" i="31"/>
  <c r="E158" i="31"/>
  <c r="W158" i="31"/>
  <c r="J159" i="31"/>
  <c r="AB159" i="31"/>
  <c r="O160" i="31"/>
  <c r="M152" i="31"/>
  <c r="AE152" i="31"/>
  <c r="R153" i="31"/>
  <c r="E154" i="31"/>
  <c r="W154" i="31"/>
  <c r="J155" i="31"/>
  <c r="AB155" i="31"/>
  <c r="O156" i="31"/>
  <c r="B157" i="31"/>
  <c r="T157" i="31"/>
  <c r="G158" i="31"/>
  <c r="Y158" i="31"/>
  <c r="L159" i="31"/>
  <c r="AD159" i="31"/>
  <c r="Q160" i="31"/>
  <c r="A140" i="31"/>
  <c r="S152" i="31"/>
  <c r="F153" i="31"/>
  <c r="X153" i="31"/>
  <c r="K154" i="31"/>
  <c r="AC154" i="31"/>
  <c r="P155" i="31"/>
  <c r="C156" i="31"/>
  <c r="U156" i="31"/>
  <c r="H157" i="31"/>
  <c r="Z157" i="31"/>
  <c r="M158" i="31"/>
  <c r="AE158" i="31"/>
  <c r="R159" i="31"/>
  <c r="E160" i="31"/>
  <c r="W160" i="31"/>
  <c r="J152" i="31"/>
  <c r="B153" i="31"/>
  <c r="W153" i="31"/>
  <c r="N154" i="31"/>
  <c r="D155" i="31"/>
  <c r="Y155" i="31"/>
  <c r="Q156" i="31"/>
  <c r="G157" i="31"/>
  <c r="AC157" i="31"/>
  <c r="S158" i="31"/>
  <c r="I159" i="31"/>
  <c r="AF159" i="31"/>
  <c r="V160" i="31"/>
  <c r="L152" i="31"/>
  <c r="C153" i="31"/>
  <c r="Y153" i="31"/>
  <c r="O154" i="31"/>
  <c r="E155" i="31"/>
  <c r="AA155" i="31"/>
  <c r="R156" i="31"/>
  <c r="I157" i="31"/>
  <c r="AD157" i="31"/>
  <c r="T158" i="31"/>
  <c r="K159" i="31"/>
  <c r="B160" i="31"/>
  <c r="X160" i="31"/>
  <c r="N152" i="31"/>
  <c r="D153" i="31"/>
  <c r="Z153" i="31"/>
  <c r="P154" i="31"/>
  <c r="F155" i="31"/>
  <c r="AC155" i="31"/>
  <c r="S156" i="31"/>
  <c r="J157" i="31"/>
  <c r="AE157" i="31"/>
  <c r="U158" i="31"/>
  <c r="M159" i="31"/>
  <c r="C160" i="31"/>
  <c r="Y160" i="31"/>
  <c r="P152" i="31"/>
  <c r="P161" i="31" s="1"/>
  <c r="G153" i="31"/>
  <c r="AB153" i="31"/>
  <c r="Q152" i="31"/>
  <c r="Q161" i="31" s="1"/>
  <c r="H153" i="31"/>
  <c r="AC153" i="31"/>
  <c r="S154" i="31"/>
  <c r="K155" i="31"/>
  <c r="AF155" i="31"/>
  <c r="W156" i="31"/>
  <c r="M157" i="31"/>
  <c r="C158" i="31"/>
  <c r="Z158" i="31"/>
  <c r="P159" i="31"/>
  <c r="G160" i="31"/>
  <c r="AB160" i="31"/>
  <c r="R152" i="31"/>
  <c r="I153" i="31"/>
  <c r="AD153" i="31"/>
  <c r="T154" i="31"/>
  <c r="L155" i="31"/>
  <c r="B156" i="31"/>
  <c r="X156" i="31"/>
  <c r="N157" i="31"/>
  <c r="T152" i="31"/>
  <c r="J153" i="31"/>
  <c r="AE153" i="31"/>
  <c r="U152" i="31"/>
  <c r="K153" i="31"/>
  <c r="AF153" i="31"/>
  <c r="X154" i="31"/>
  <c r="N155" i="31"/>
  <c r="E156" i="31"/>
  <c r="Z156" i="31"/>
  <c r="P157" i="31"/>
  <c r="H158" i="31"/>
  <c r="AC158" i="31"/>
  <c r="T159" i="31"/>
  <c r="J160" i="31"/>
  <c r="AE160" i="31"/>
  <c r="H152" i="31"/>
  <c r="H161" i="31" s="1"/>
  <c r="S153" i="31"/>
  <c r="Z154" i="31"/>
  <c r="W155" i="31"/>
  <c r="AB156" i="31"/>
  <c r="AA157" i="31"/>
  <c r="AB158" i="31"/>
  <c r="Y159" i="31"/>
  <c r="Z160" i="31"/>
  <c r="I152" i="31"/>
  <c r="T153" i="31"/>
  <c r="AA154" i="31"/>
  <c r="X155" i="31"/>
  <c r="AC156" i="31"/>
  <c r="AB157" i="31"/>
  <c r="AD158" i="31"/>
  <c r="Z159" i="31"/>
  <c r="AA160" i="31"/>
  <c r="O152" i="31"/>
  <c r="O161" i="31" s="1"/>
  <c r="U153" i="31"/>
  <c r="AB154" i="31"/>
  <c r="AD155" i="31"/>
  <c r="AD156" i="31"/>
  <c r="AF157" i="31"/>
  <c r="AF158" i="31"/>
  <c r="AA159" i="31"/>
  <c r="AC160" i="31"/>
  <c r="V152" i="31"/>
  <c r="V153" i="31"/>
  <c r="AD154" i="31"/>
  <c r="AE155" i="31"/>
  <c r="AF156" i="31"/>
  <c r="B158" i="31"/>
  <c r="B159" i="31"/>
  <c r="AC159" i="31"/>
  <c r="AD160" i="31"/>
  <c r="X152" i="31"/>
  <c r="X161" i="31" s="1"/>
  <c r="B154" i="31"/>
  <c r="AF154" i="31"/>
  <c r="F156" i="31"/>
  <c r="D157" i="31"/>
  <c r="F158" i="31"/>
  <c r="D159" i="31"/>
  <c r="D160" i="31"/>
  <c r="Y152" i="31"/>
  <c r="D154" i="31"/>
  <c r="B155" i="31"/>
  <c r="G156" i="31"/>
  <c r="E157" i="31"/>
  <c r="I158" i="31"/>
  <c r="E159" i="31"/>
  <c r="F160" i="31"/>
  <c r="Z152" i="31"/>
  <c r="Z161" i="31" s="1"/>
  <c r="F154" i="31"/>
  <c r="C155" i="31"/>
  <c r="H156" i="31"/>
  <c r="F157" i="31"/>
  <c r="J158" i="31"/>
  <c r="F159" i="31"/>
  <c r="H160" i="31"/>
  <c r="AA152" i="31"/>
  <c r="G154" i="31"/>
  <c r="G155" i="31"/>
  <c r="I156" i="31"/>
  <c r="K157" i="31"/>
  <c r="K158" i="31"/>
  <c r="G159" i="31"/>
  <c r="I160" i="31"/>
  <c r="L153" i="31"/>
  <c r="O155" i="31"/>
  <c r="L157" i="31"/>
  <c r="AA158" i="31"/>
  <c r="S160" i="31"/>
  <c r="M153" i="31"/>
  <c r="Q155" i="31"/>
  <c r="O157" i="31"/>
  <c r="C159" i="31"/>
  <c r="T160" i="31"/>
  <c r="N153" i="31"/>
  <c r="R155" i="31"/>
  <c r="Q157" i="31"/>
  <c r="H159" i="31"/>
  <c r="U160" i="31"/>
  <c r="O153" i="31"/>
  <c r="S155" i="31"/>
  <c r="S157" i="31"/>
  <c r="N159" i="31"/>
  <c r="AF160" i="31"/>
  <c r="Q153" i="31"/>
  <c r="T155" i="31"/>
  <c r="U157" i="31"/>
  <c r="O159" i="31"/>
  <c r="AA153" i="31"/>
  <c r="U155" i="31"/>
  <c r="V157" i="31"/>
  <c r="Q159" i="31"/>
  <c r="H154" i="31"/>
  <c r="V155" i="31"/>
  <c r="W157" i="31"/>
  <c r="S159" i="31"/>
  <c r="B152" i="31"/>
  <c r="I154" i="31"/>
  <c r="D156" i="31"/>
  <c r="X157" i="31"/>
  <c r="U159" i="31"/>
  <c r="C152" i="31"/>
  <c r="J154" i="31"/>
  <c r="J156" i="31"/>
  <c r="Y157" i="31"/>
  <c r="V159" i="31"/>
  <c r="Q154" i="31"/>
  <c r="N158" i="31"/>
  <c r="R154" i="31"/>
  <c r="O158" i="31"/>
  <c r="V154" i="31"/>
  <c r="P158" i="31"/>
  <c r="Y154" i="31"/>
  <c r="Q158" i="31"/>
  <c r="AE154" i="31"/>
  <c r="R158" i="31"/>
  <c r="I155" i="31"/>
  <c r="V158" i="31"/>
  <c r="M155" i="31"/>
  <c r="X158" i="31"/>
  <c r="D152" i="31"/>
  <c r="D161" i="31" s="1"/>
  <c r="K156" i="31"/>
  <c r="W159" i="31"/>
  <c r="E152" i="31"/>
  <c r="L156" i="31"/>
  <c r="X159" i="31"/>
  <c r="F152" i="31"/>
  <c r="N156" i="31"/>
  <c r="AE159" i="31"/>
  <c r="AD152" i="31"/>
  <c r="R160" i="31"/>
  <c r="C157" i="31"/>
  <c r="AB152" i="31"/>
  <c r="AF152" i="31"/>
  <c r="E153" i="31"/>
  <c r="N160" i="31"/>
  <c r="L154" i="31"/>
  <c r="W152" i="31"/>
  <c r="M154" i="31"/>
  <c r="K160" i="31"/>
  <c r="G152" i="31"/>
  <c r="G161" i="31" s="1"/>
  <c r="P156" i="31"/>
  <c r="T156" i="31"/>
  <c r="AA156" i="31"/>
  <c r="D158" i="31"/>
  <c r="L158" i="31"/>
  <c r="L160" i="31"/>
  <c r="M160" i="31"/>
  <c r="V156" i="31"/>
  <c r="Y156" i="31"/>
  <c r="P160" i="31"/>
  <c r="V161" i="31" l="1"/>
  <c r="I161" i="31"/>
  <c r="B161" i="31"/>
  <c r="J161" i="31"/>
  <c r="Y161" i="31"/>
  <c r="W161" i="31"/>
  <c r="C161" i="31"/>
  <c r="R161" i="31"/>
  <c r="M161" i="31"/>
  <c r="S161" i="31"/>
  <c r="AF161" i="31"/>
  <c r="AD161" i="31"/>
  <c r="AA161" i="31"/>
  <c r="F161" i="31"/>
  <c r="AE161" i="31"/>
  <c r="AB161" i="31"/>
  <c r="L161" i="31"/>
  <c r="T161" i="31"/>
  <c r="AC161" i="31"/>
  <c r="U161" i="31"/>
  <c r="E161" i="31"/>
  <c r="N161" i="31"/>
  <c r="K161" i="31"/>
  <c r="C167" i="31" l="1" a="1"/>
  <c r="C167" i="31" l="1"/>
  <c r="A12" i="19" a="1"/>
  <c r="A12" i="19"/>
  <c r="B13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B14" i="19"/>
  <c r="C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B15" i="19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B16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B18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B19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B20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B21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67" i="19" a="1"/>
  <c r="A67" i="19"/>
  <c r="B68" i="19"/>
  <c r="C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B69" i="19"/>
  <c r="C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B70" i="19"/>
  <c r="C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B71" i="19"/>
  <c r="C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B72" i="19"/>
  <c r="C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B73" i="19"/>
  <c r="C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B74" i="19"/>
  <c r="C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Z74" i="19"/>
  <c r="AA74" i="19"/>
  <c r="AB74" i="19"/>
  <c r="AC74" i="19"/>
  <c r="AD74" i="19"/>
  <c r="AE74" i="19"/>
  <c r="AF74" i="19"/>
  <c r="B75" i="19"/>
  <c r="C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Z75" i="19"/>
  <c r="AA75" i="19"/>
  <c r="AB75" i="19"/>
  <c r="AC75" i="19"/>
  <c r="AD75" i="19"/>
  <c r="AE75" i="19"/>
  <c r="AF75" i="19"/>
  <c r="B76" i="19"/>
  <c r="C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B2" i="20" a="1"/>
  <c r="B2" i="20"/>
  <c r="B3" i="20" a="1"/>
  <c r="B3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B26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B28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B30" i="20"/>
  <c r="C30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B34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B35" i="20"/>
  <c r="C35" i="20"/>
  <c r="D35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B36" i="20"/>
  <c r="C36" i="20"/>
  <c r="D36" i="20"/>
  <c r="E36" i="20"/>
  <c r="F36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B37" i="20"/>
  <c r="C37" i="20"/>
  <c r="D37" i="20"/>
  <c r="E37" i="20"/>
  <c r="F37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B38" i="20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B39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B40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B41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B42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37" i="24" a="1"/>
  <c r="A37" i="24"/>
  <c r="B13" i="23"/>
  <c r="C13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B14" i="23"/>
  <c r="C14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B15" i="23"/>
  <c r="C15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B17" i="23"/>
  <c r="C17" i="23"/>
  <c r="D17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B18" i="23"/>
  <c r="C18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B19" i="23"/>
  <c r="C19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B22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B51" i="23"/>
  <c r="C51" i="23"/>
  <c r="D51" i="23"/>
  <c r="E51" i="23"/>
  <c r="F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U51" i="23"/>
  <c r="V51" i="23"/>
  <c r="W51" i="23"/>
  <c r="X51" i="23"/>
  <c r="Y51" i="23"/>
  <c r="Z51" i="23"/>
  <c r="AA51" i="23"/>
  <c r="AB51" i="23"/>
  <c r="AC51" i="23"/>
  <c r="AD51" i="23"/>
  <c r="AE51" i="23"/>
  <c r="AF51" i="23"/>
  <c r="B52" i="23"/>
  <c r="C52" i="23"/>
  <c r="D52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U52" i="23"/>
  <c r="V52" i="23"/>
  <c r="W52" i="23"/>
  <c r="X52" i="23"/>
  <c r="Y52" i="23"/>
  <c r="Z52" i="23"/>
  <c r="AA52" i="23"/>
  <c r="AB52" i="23"/>
  <c r="AC52" i="23"/>
  <c r="AD52" i="23"/>
  <c r="AE52" i="23"/>
  <c r="AF52" i="23"/>
  <c r="B53" i="23"/>
  <c r="C53" i="23"/>
  <c r="D53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V53" i="23"/>
  <c r="W53" i="23"/>
  <c r="X53" i="23"/>
  <c r="Y53" i="23"/>
  <c r="Z53" i="23"/>
  <c r="AA53" i="23"/>
  <c r="AB53" i="23"/>
  <c r="AC53" i="23"/>
  <c r="AD53" i="23"/>
  <c r="AE53" i="23"/>
  <c r="AF53" i="23"/>
  <c r="B54" i="23"/>
  <c r="C54" i="23"/>
  <c r="D54" i="23"/>
  <c r="E54" i="23"/>
  <c r="F54" i="23"/>
  <c r="G54" i="23"/>
  <c r="H54" i="23"/>
  <c r="I54" i="23"/>
  <c r="J54" i="23"/>
  <c r="K54" i="23"/>
  <c r="L54" i="23"/>
  <c r="M54" i="23"/>
  <c r="N54" i="23"/>
  <c r="O54" i="23"/>
  <c r="P54" i="23"/>
  <c r="Q54" i="23"/>
  <c r="R54" i="23"/>
  <c r="S54" i="23"/>
  <c r="T54" i="23"/>
  <c r="U54" i="23"/>
  <c r="V54" i="23"/>
  <c r="W54" i="23"/>
  <c r="X54" i="23"/>
  <c r="Y54" i="23"/>
  <c r="Z54" i="23"/>
  <c r="AA54" i="23"/>
  <c r="AB54" i="23"/>
  <c r="AC54" i="23"/>
  <c r="AD54" i="23"/>
  <c r="AE54" i="23"/>
  <c r="AF54" i="23"/>
  <c r="B55" i="23"/>
  <c r="C55" i="23"/>
  <c r="D55" i="23"/>
  <c r="E55" i="23"/>
  <c r="F55" i="23"/>
  <c r="G55" i="23"/>
  <c r="H55" i="23"/>
  <c r="I55" i="23"/>
  <c r="J55" i="23"/>
  <c r="K55" i="23"/>
  <c r="L55" i="23"/>
  <c r="M55" i="23"/>
  <c r="N55" i="23"/>
  <c r="O55" i="23"/>
  <c r="P55" i="23"/>
  <c r="Q55" i="23"/>
  <c r="R55" i="23"/>
  <c r="S55" i="23"/>
  <c r="T55" i="23"/>
  <c r="U55" i="23"/>
  <c r="V55" i="23"/>
  <c r="W55" i="23"/>
  <c r="X55" i="23"/>
  <c r="Y55" i="23"/>
  <c r="Z55" i="23"/>
  <c r="AA55" i="23"/>
  <c r="AB55" i="23"/>
  <c r="AC55" i="23"/>
  <c r="AD55" i="23"/>
  <c r="AE55" i="23"/>
  <c r="AF55" i="23"/>
  <c r="B56" i="23"/>
  <c r="C56" i="23"/>
  <c r="D56" i="23"/>
  <c r="E56" i="23"/>
  <c r="F56" i="23"/>
  <c r="G56" i="23"/>
  <c r="H56" i="23"/>
  <c r="I56" i="23"/>
  <c r="J56" i="23"/>
  <c r="K56" i="23"/>
  <c r="L56" i="23"/>
  <c r="M56" i="23"/>
  <c r="N56" i="23"/>
  <c r="O56" i="23"/>
  <c r="P56" i="23"/>
  <c r="Q56" i="23"/>
  <c r="R56" i="23"/>
  <c r="S56" i="23"/>
  <c r="T56" i="23"/>
  <c r="U56" i="23"/>
  <c r="V56" i="23"/>
  <c r="W56" i="23"/>
  <c r="X56" i="23"/>
  <c r="Y56" i="23"/>
  <c r="Z56" i="23"/>
  <c r="AA56" i="23"/>
  <c r="AB56" i="23"/>
  <c r="AC56" i="23"/>
  <c r="AD56" i="23"/>
  <c r="AE56" i="23"/>
  <c r="AF56" i="23"/>
  <c r="B57" i="23"/>
  <c r="C57" i="23"/>
  <c r="D57" i="23"/>
  <c r="E57" i="23"/>
  <c r="F57" i="23"/>
  <c r="G57" i="23"/>
  <c r="H57" i="23"/>
  <c r="I57" i="23"/>
  <c r="J57" i="23"/>
  <c r="K57" i="23"/>
  <c r="L57" i="23"/>
  <c r="M57" i="23"/>
  <c r="N57" i="23"/>
  <c r="O57" i="23"/>
  <c r="P57" i="23"/>
  <c r="Q57" i="23"/>
  <c r="R57" i="23"/>
  <c r="S57" i="23"/>
  <c r="T57" i="23"/>
  <c r="U57" i="23"/>
  <c r="V57" i="23"/>
  <c r="W57" i="23"/>
  <c r="X57" i="23"/>
  <c r="Y57" i="23"/>
  <c r="Z57" i="23"/>
  <c r="AA57" i="23"/>
  <c r="AB57" i="23"/>
  <c r="AC57" i="23"/>
  <c r="AD57" i="23"/>
  <c r="AE57" i="23"/>
  <c r="AF57" i="23"/>
  <c r="B58" i="23"/>
  <c r="C58" i="23"/>
  <c r="D58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U58" i="23"/>
  <c r="V58" i="23"/>
  <c r="W58" i="23"/>
  <c r="X58" i="23"/>
  <c r="Y58" i="23"/>
  <c r="Z58" i="23"/>
  <c r="AA58" i="23"/>
  <c r="AB58" i="23"/>
  <c r="AC58" i="23"/>
  <c r="AD58" i="23"/>
  <c r="AE58" i="23"/>
  <c r="AF58" i="23"/>
  <c r="B59" i="23"/>
  <c r="C59" i="23"/>
  <c r="D59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U59" i="23"/>
  <c r="V59" i="23"/>
  <c r="W59" i="23"/>
  <c r="X59" i="23"/>
  <c r="Y59" i="23"/>
  <c r="Z59" i="23"/>
  <c r="AA59" i="23"/>
  <c r="AB59" i="23"/>
  <c r="AC59" i="23"/>
  <c r="AD59" i="23"/>
  <c r="AE59" i="23"/>
  <c r="AF59" i="23"/>
  <c r="B60" i="23"/>
  <c r="C60" i="23"/>
  <c r="D60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U60" i="23"/>
  <c r="V60" i="23"/>
  <c r="W60" i="23"/>
  <c r="X60" i="23"/>
  <c r="Y60" i="23"/>
  <c r="Z60" i="23"/>
  <c r="AA60" i="23"/>
  <c r="AB60" i="23"/>
  <c r="AC60" i="23"/>
  <c r="AD60" i="23"/>
  <c r="AE60" i="23"/>
  <c r="AF60" i="23"/>
  <c r="B88" i="23" a="1"/>
  <c r="B88" i="23"/>
  <c r="C88" i="23" a="1"/>
  <c r="C88" i="23"/>
  <c r="I88" i="23"/>
  <c r="J88" i="23"/>
  <c r="K88" i="23"/>
  <c r="I89" i="23"/>
  <c r="J89" i="23"/>
  <c r="K89" i="23"/>
  <c r="I90" i="23"/>
  <c r="J90" i="23"/>
  <c r="K90" i="23"/>
  <c r="I91" i="23"/>
  <c r="J91" i="23"/>
  <c r="K91" i="23"/>
  <c r="I92" i="23"/>
  <c r="J92" i="23"/>
  <c r="K92" i="23"/>
  <c r="I93" i="23"/>
  <c r="J93" i="23"/>
  <c r="K93" i="23"/>
  <c r="I94" i="23"/>
  <c r="J94" i="23"/>
  <c r="K94" i="23"/>
  <c r="I95" i="23"/>
  <c r="J95" i="23"/>
  <c r="K95" i="23"/>
  <c r="I96" i="23"/>
  <c r="J96" i="23"/>
  <c r="K96" i="23"/>
  <c r="I97" i="23"/>
  <c r="J97" i="23"/>
  <c r="K97" i="23"/>
  <c r="I98" i="23"/>
  <c r="J98" i="23"/>
  <c r="K98" i="23"/>
  <c r="I99" i="23"/>
  <c r="J99" i="23"/>
  <c r="K99" i="23"/>
  <c r="I100" i="23"/>
  <c r="J100" i="23"/>
  <c r="K100" i="23"/>
  <c r="I101" i="23"/>
  <c r="J101" i="23"/>
  <c r="K101" i="23"/>
  <c r="I102" i="23"/>
  <c r="J102" i="23"/>
  <c r="K102" i="23"/>
  <c r="I103" i="23"/>
  <c r="J103" i="23"/>
  <c r="K103" i="23"/>
  <c r="I104" i="23"/>
  <c r="J104" i="23"/>
  <c r="K104" i="23"/>
  <c r="I105" i="23"/>
  <c r="J105" i="23"/>
  <c r="K105" i="23"/>
  <c r="I106" i="23"/>
  <c r="J106" i="23"/>
  <c r="K106" i="23"/>
  <c r="I107" i="23"/>
  <c r="J107" i="23"/>
  <c r="K107" i="23"/>
  <c r="I108" i="23"/>
  <c r="J108" i="23"/>
  <c r="K108" i="23"/>
  <c r="I109" i="23"/>
  <c r="J109" i="23"/>
  <c r="K109" i="23"/>
  <c r="I110" i="23"/>
  <c r="J110" i="23"/>
  <c r="K110" i="23"/>
  <c r="I111" i="23"/>
  <c r="J111" i="23"/>
  <c r="K111" i="23"/>
  <c r="I112" i="23"/>
  <c r="J112" i="23"/>
  <c r="K112" i="23"/>
  <c r="I113" i="23"/>
  <c r="J113" i="23"/>
  <c r="K113" i="23"/>
  <c r="I114" i="23"/>
  <c r="J114" i="23"/>
  <c r="K114" i="23"/>
  <c r="I115" i="23"/>
  <c r="J115" i="23"/>
  <c r="K115" i="23"/>
  <c r="I116" i="23"/>
  <c r="J116" i="23"/>
  <c r="K116" i="23"/>
  <c r="I117" i="23"/>
  <c r="J117" i="23"/>
  <c r="K117" i="23"/>
  <c r="I118" i="23"/>
  <c r="J118" i="23"/>
  <c r="K118" i="23"/>
  <c r="A1" i="31" a="1"/>
  <c r="A1" i="31"/>
  <c r="B13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B15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B16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B17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B18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B19" i="31"/>
  <c r="C19" i="31"/>
  <c r="D19" i="31"/>
  <c r="E19" i="31"/>
  <c r="F19" i="31"/>
  <c r="G19" i="31"/>
  <c r="H19" i="31"/>
  <c r="I19" i="31"/>
  <c r="J19" i="31"/>
  <c r="K19" i="31"/>
  <c r="L19" i="31"/>
  <c r="M19" i="31"/>
  <c r="N19" i="31"/>
  <c r="O19" i="31"/>
  <c r="P19" i="31"/>
  <c r="Q19" i="31"/>
  <c r="R19" i="31"/>
  <c r="S19" i="31"/>
  <c r="T19" i="31"/>
  <c r="U19" i="31"/>
  <c r="V19" i="31"/>
  <c r="W19" i="31"/>
  <c r="X19" i="31"/>
  <c r="Y19" i="31"/>
  <c r="Z19" i="31"/>
  <c r="AA19" i="31"/>
  <c r="AB19" i="31"/>
  <c r="AC19" i="31"/>
  <c r="AD19" i="31"/>
  <c r="AE19" i="31"/>
  <c r="AF19" i="31"/>
  <c r="B20" i="31"/>
  <c r="C20" i="31"/>
  <c r="D20" i="31"/>
  <c r="E20" i="31"/>
  <c r="F20" i="31"/>
  <c r="G20" i="31"/>
  <c r="H20" i="31"/>
  <c r="I20" i="31"/>
  <c r="J20" i="31"/>
  <c r="K20" i="31"/>
  <c r="L20" i="31"/>
  <c r="M20" i="31"/>
  <c r="N20" i="31"/>
  <c r="O20" i="31"/>
  <c r="P20" i="31"/>
  <c r="Q20" i="31"/>
  <c r="R20" i="31"/>
  <c r="S20" i="31"/>
  <c r="T20" i="31"/>
  <c r="U20" i="31"/>
  <c r="V20" i="31"/>
  <c r="W20" i="31"/>
  <c r="X20" i="31"/>
  <c r="Y20" i="31"/>
  <c r="Z20" i="31"/>
  <c r="AA20" i="31"/>
  <c r="AB20" i="31"/>
  <c r="AC20" i="31"/>
  <c r="AD20" i="31"/>
  <c r="AE20" i="31"/>
  <c r="AF20" i="31"/>
  <c r="B21" i="31"/>
  <c r="C21" i="31"/>
  <c r="D21" i="31"/>
  <c r="E21" i="31"/>
  <c r="F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AD21" i="31"/>
  <c r="AE21" i="31"/>
  <c r="AF21" i="31"/>
  <c r="B22" i="31"/>
  <c r="C22" i="31"/>
  <c r="D22" i="31"/>
  <c r="E22" i="31"/>
  <c r="F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AD22" i="31"/>
  <c r="AE22" i="31"/>
  <c r="AF22" i="31"/>
  <c r="A25" i="31" a="1"/>
  <c r="A25" i="31"/>
  <c r="B37" i="31"/>
  <c r="C37" i="31"/>
  <c r="D37" i="31"/>
  <c r="E37" i="31"/>
  <c r="F37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T37" i="31"/>
  <c r="U37" i="31"/>
  <c r="V37" i="31"/>
  <c r="W37" i="31"/>
  <c r="X37" i="31"/>
  <c r="Y37" i="31"/>
  <c r="Z37" i="31"/>
  <c r="AA37" i="31"/>
  <c r="AB37" i="31"/>
  <c r="AC37" i="31"/>
  <c r="AD37" i="31"/>
  <c r="AE37" i="31"/>
  <c r="AF37" i="31"/>
  <c r="B38" i="31"/>
  <c r="C38" i="31"/>
  <c r="D38" i="31"/>
  <c r="E38" i="31"/>
  <c r="F38" i="31"/>
  <c r="G38" i="31"/>
  <c r="H38" i="31"/>
  <c r="I38" i="31"/>
  <c r="J38" i="31"/>
  <c r="K38" i="31"/>
  <c r="L38" i="31"/>
  <c r="M38" i="31"/>
  <c r="N38" i="31"/>
  <c r="O38" i="31"/>
  <c r="P38" i="31"/>
  <c r="Q38" i="31"/>
  <c r="R38" i="31"/>
  <c r="S38" i="31"/>
  <c r="T38" i="31"/>
  <c r="U38" i="31"/>
  <c r="V38" i="31"/>
  <c r="W38" i="31"/>
  <c r="X38" i="31"/>
  <c r="Y38" i="31"/>
  <c r="Z38" i="31"/>
  <c r="AA38" i="31"/>
  <c r="AB38" i="31"/>
  <c r="AC38" i="31"/>
  <c r="AD38" i="31"/>
  <c r="AE38" i="31"/>
  <c r="AF38" i="31"/>
  <c r="B39" i="31"/>
  <c r="C39" i="31"/>
  <c r="D39" i="3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B40" i="31"/>
  <c r="C40" i="31"/>
  <c r="D40" i="31"/>
  <c r="E40" i="31"/>
  <c r="F40" i="31"/>
  <c r="G40" i="31"/>
  <c r="H40" i="31"/>
  <c r="I40" i="31"/>
  <c r="J40" i="31"/>
  <c r="K40" i="31"/>
  <c r="L40" i="31"/>
  <c r="M40" i="31"/>
  <c r="N40" i="31"/>
  <c r="O40" i="31"/>
  <c r="P40" i="31"/>
  <c r="Q40" i="31"/>
  <c r="R40" i="31"/>
  <c r="S40" i="31"/>
  <c r="T40" i="31"/>
  <c r="U40" i="31"/>
  <c r="V40" i="31"/>
  <c r="W40" i="31"/>
  <c r="X40" i="31"/>
  <c r="Y40" i="31"/>
  <c r="Z40" i="31"/>
  <c r="AA40" i="31"/>
  <c r="AB40" i="31"/>
  <c r="AC40" i="31"/>
  <c r="AD40" i="31"/>
  <c r="AE40" i="31"/>
  <c r="AF40" i="31"/>
  <c r="B41" i="31"/>
  <c r="C41" i="31"/>
  <c r="D41" i="31"/>
  <c r="E41" i="31"/>
  <c r="F41" i="31"/>
  <c r="G41" i="31"/>
  <c r="H41" i="31"/>
  <c r="I41" i="31"/>
  <c r="J41" i="31"/>
  <c r="K41" i="31"/>
  <c r="L41" i="31"/>
  <c r="M41" i="31"/>
  <c r="N41" i="31"/>
  <c r="O41" i="31"/>
  <c r="P41" i="31"/>
  <c r="Q41" i="31"/>
  <c r="R41" i="31"/>
  <c r="S41" i="31"/>
  <c r="T41" i="31"/>
  <c r="U41" i="31"/>
  <c r="V41" i="31"/>
  <c r="W41" i="31"/>
  <c r="X41" i="31"/>
  <c r="Y41" i="31"/>
  <c r="Z41" i="31"/>
  <c r="AA41" i="31"/>
  <c r="AB41" i="31"/>
  <c r="AC41" i="31"/>
  <c r="AD41" i="31"/>
  <c r="AE41" i="31"/>
  <c r="AF41" i="31"/>
  <c r="B42" i="31"/>
  <c r="C42" i="31"/>
  <c r="D42" i="31"/>
  <c r="E42" i="31"/>
  <c r="F42" i="31"/>
  <c r="G42" i="31"/>
  <c r="H42" i="31"/>
  <c r="I42" i="31"/>
  <c r="J42" i="31"/>
  <c r="K42" i="31"/>
  <c r="L42" i="31"/>
  <c r="M42" i="31"/>
  <c r="N42" i="31"/>
  <c r="O42" i="31"/>
  <c r="P42" i="31"/>
  <c r="Q42" i="31"/>
  <c r="R42" i="31"/>
  <c r="S42" i="31"/>
  <c r="T42" i="31"/>
  <c r="U42" i="31"/>
  <c r="V42" i="31"/>
  <c r="W42" i="31"/>
  <c r="X42" i="31"/>
  <c r="Y42" i="31"/>
  <c r="Z42" i="31"/>
  <c r="AA42" i="31"/>
  <c r="AB42" i="31"/>
  <c r="AC42" i="31"/>
  <c r="AD42" i="31"/>
  <c r="AE42" i="31"/>
  <c r="AF42" i="31"/>
  <c r="B43" i="31"/>
  <c r="C43" i="31"/>
  <c r="D43" i="31"/>
  <c r="E43" i="31"/>
  <c r="F43" i="31"/>
  <c r="G43" i="31"/>
  <c r="H43" i="31"/>
  <c r="I43" i="31"/>
  <c r="J43" i="31"/>
  <c r="K43" i="31"/>
  <c r="L43" i="31"/>
  <c r="M43" i="31"/>
  <c r="N43" i="31"/>
  <c r="O43" i="31"/>
  <c r="P43" i="31"/>
  <c r="Q43" i="31"/>
  <c r="R43" i="31"/>
  <c r="S43" i="31"/>
  <c r="T43" i="31"/>
  <c r="U43" i="31"/>
  <c r="V43" i="31"/>
  <c r="W43" i="31"/>
  <c r="X43" i="31"/>
  <c r="Y43" i="31"/>
  <c r="Z43" i="31"/>
  <c r="AA43" i="31"/>
  <c r="AB43" i="31"/>
  <c r="AC43" i="31"/>
  <c r="AD43" i="31"/>
  <c r="AE43" i="31"/>
  <c r="AF43" i="31"/>
  <c r="B44" i="31"/>
  <c r="C44" i="31"/>
  <c r="D44" i="31"/>
  <c r="E44" i="31"/>
  <c r="F44" i="31"/>
  <c r="G44" i="31"/>
  <c r="H44" i="31"/>
  <c r="I44" i="31"/>
  <c r="J44" i="31"/>
  <c r="K44" i="31"/>
  <c r="L44" i="31"/>
  <c r="M44" i="31"/>
  <c r="N44" i="31"/>
  <c r="O44" i="31"/>
  <c r="P44" i="31"/>
  <c r="Q44" i="31"/>
  <c r="R44" i="31"/>
  <c r="S44" i="31"/>
  <c r="T44" i="31"/>
  <c r="U44" i="31"/>
  <c r="V44" i="31"/>
  <c r="W44" i="31"/>
  <c r="X44" i="31"/>
  <c r="Y44" i="31"/>
  <c r="Z44" i="31"/>
  <c r="AA44" i="31"/>
  <c r="AB44" i="31"/>
  <c r="AC44" i="31"/>
  <c r="AD44" i="31"/>
  <c r="AE44" i="31"/>
  <c r="AF44" i="31"/>
  <c r="B45" i="31"/>
  <c r="C45" i="31"/>
  <c r="D45" i="31"/>
  <c r="E45" i="31"/>
  <c r="F45" i="31"/>
  <c r="G45" i="31"/>
  <c r="H45" i="31"/>
  <c r="I45" i="31"/>
  <c r="J45" i="31"/>
  <c r="K45" i="31"/>
  <c r="L45" i="31"/>
  <c r="M45" i="31"/>
  <c r="N45" i="31"/>
  <c r="O45" i="31"/>
  <c r="P45" i="31"/>
  <c r="Q45" i="31"/>
  <c r="R45" i="31"/>
  <c r="S45" i="31"/>
  <c r="T45" i="31"/>
  <c r="U45" i="31"/>
  <c r="V45" i="31"/>
  <c r="W45" i="31"/>
  <c r="X45" i="31"/>
  <c r="Y45" i="31"/>
  <c r="Z45" i="31"/>
  <c r="AA45" i="31"/>
  <c r="AB45" i="31"/>
  <c r="AC45" i="31"/>
  <c r="AD45" i="31"/>
  <c r="AE45" i="31"/>
  <c r="AF45" i="31"/>
  <c r="B46" i="31"/>
  <c r="C46" i="31"/>
  <c r="D46" i="31"/>
  <c r="E46" i="31"/>
  <c r="F46" i="31"/>
  <c r="G46" i="31"/>
  <c r="H46" i="31"/>
  <c r="I46" i="31"/>
  <c r="J46" i="31"/>
  <c r="K46" i="31"/>
  <c r="L46" i="31"/>
  <c r="M46" i="31"/>
  <c r="N46" i="31"/>
  <c r="O46" i="31"/>
  <c r="P46" i="31"/>
  <c r="Q46" i="31"/>
  <c r="R46" i="31"/>
  <c r="S46" i="31"/>
  <c r="T46" i="31"/>
  <c r="U46" i="31"/>
  <c r="V46" i="31"/>
  <c r="W46" i="31"/>
  <c r="X46" i="31"/>
  <c r="Y46" i="31"/>
  <c r="Z46" i="31"/>
  <c r="AA46" i="31"/>
  <c r="AB46" i="31"/>
  <c r="AC46" i="31"/>
  <c r="AD46" i="31"/>
  <c r="AE46" i="31"/>
  <c r="AF46" i="31"/>
  <c r="A167" i="31" a="1"/>
  <c r="A167" i="31"/>
  <c r="B167" i="31" a="1"/>
  <c r="B167" i="31"/>
  <c r="D167" i="31"/>
  <c r="E167" i="31"/>
  <c r="J167" i="31" a="1"/>
  <c r="J167" i="31"/>
  <c r="L167" i="31"/>
  <c r="D168" i="31"/>
  <c r="E168" i="31"/>
  <c r="L168" i="31"/>
  <c r="D169" i="31"/>
  <c r="E169" i="31"/>
  <c r="L169" i="31"/>
  <c r="D170" i="31"/>
  <c r="E170" i="31"/>
  <c r="L170" i="31"/>
  <c r="D171" i="31"/>
  <c r="E171" i="31"/>
  <c r="L171" i="31"/>
  <c r="D172" i="31"/>
  <c r="E172" i="31"/>
  <c r="L172" i="31"/>
  <c r="D173" i="31"/>
  <c r="E173" i="31"/>
  <c r="L173" i="31"/>
  <c r="D174" i="31"/>
  <c r="E174" i="31"/>
  <c r="L174" i="31"/>
  <c r="D175" i="31"/>
  <c r="E175" i="31"/>
  <c r="L175" i="31"/>
  <c r="D176" i="31"/>
  <c r="E176" i="31"/>
  <c r="L176" i="31"/>
  <c r="D177" i="31"/>
  <c r="E177" i="31"/>
  <c r="L177" i="31"/>
  <c r="D178" i="31"/>
  <c r="E178" i="31"/>
  <c r="L178" i="31"/>
  <c r="D179" i="31"/>
  <c r="E179" i="31"/>
  <c r="L179" i="31"/>
  <c r="D180" i="31"/>
  <c r="E180" i="31"/>
  <c r="L180" i="31"/>
  <c r="D181" i="31"/>
  <c r="E181" i="31"/>
  <c r="L181" i="31"/>
  <c r="D182" i="31"/>
  <c r="E182" i="31"/>
  <c r="L182" i="31"/>
  <c r="D183" i="31"/>
  <c r="E183" i="31"/>
  <c r="L183" i="31"/>
  <c r="D184" i="31"/>
  <c r="E184" i="31"/>
  <c r="L184" i="31"/>
  <c r="D185" i="31"/>
  <c r="E185" i="31"/>
  <c r="L185" i="31"/>
  <c r="D186" i="31"/>
  <c r="E186" i="31"/>
  <c r="L186" i="31"/>
  <c r="D187" i="31"/>
  <c r="E187" i="31"/>
  <c r="L187" i="31"/>
  <c r="D188" i="31"/>
  <c r="E188" i="31"/>
  <c r="L188" i="31"/>
  <c r="D189" i="31"/>
  <c r="E189" i="31"/>
  <c r="L189" i="31"/>
  <c r="D190" i="31"/>
  <c r="E190" i="31"/>
  <c r="L190" i="31"/>
  <c r="D191" i="31"/>
  <c r="E191" i="31"/>
  <c r="L191" i="31"/>
  <c r="D192" i="31"/>
  <c r="E192" i="31"/>
  <c r="L192" i="31"/>
  <c r="D193" i="31"/>
  <c r="E193" i="31"/>
  <c r="L193" i="31"/>
  <c r="D194" i="31"/>
  <c r="E194" i="31"/>
  <c r="L194" i="31"/>
  <c r="D195" i="31"/>
  <c r="E195" i="31"/>
  <c r="L195" i="31"/>
  <c r="D196" i="31"/>
  <c r="E196" i="31"/>
  <c r="L196" i="31"/>
  <c r="D197" i="31"/>
  <c r="E197" i="31"/>
  <c r="L197" i="31"/>
  <c r="E198" i="31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B29" i="22"/>
  <c r="C29" i="22"/>
  <c r="D29" i="22"/>
  <c r="E29" i="22"/>
  <c r="Q29" i="22"/>
  <c r="R29" i="22"/>
  <c r="B30" i="22"/>
  <c r="C30" i="22"/>
  <c r="D30" i="22"/>
  <c r="E30" i="22"/>
  <c r="Q30" i="22"/>
  <c r="R30" i="22"/>
  <c r="B31" i="22"/>
  <c r="C31" i="22"/>
  <c r="D31" i="22"/>
  <c r="E31" i="22"/>
  <c r="Q31" i="22"/>
  <c r="R31" i="22"/>
  <c r="B32" i="22"/>
  <c r="C32" i="22"/>
  <c r="D32" i="22"/>
  <c r="E32" i="22"/>
  <c r="Q32" i="22"/>
  <c r="R32" i="22"/>
  <c r="B33" i="22"/>
  <c r="C33" i="22"/>
  <c r="D33" i="22"/>
  <c r="E33" i="22"/>
  <c r="Q33" i="22"/>
  <c r="R33" i="22"/>
  <c r="B34" i="22"/>
  <c r="C34" i="22"/>
  <c r="D34" i="22"/>
  <c r="E34" i="22"/>
  <c r="Q34" i="22"/>
  <c r="R34" i="22"/>
  <c r="B35" i="22"/>
  <c r="C35" i="22"/>
  <c r="D35" i="22"/>
  <c r="E35" i="22"/>
  <c r="Q35" i="22"/>
  <c r="R35" i="22"/>
  <c r="C36" i="22"/>
  <c r="E36" i="22"/>
  <c r="R36" i="22"/>
  <c r="C37" i="22"/>
  <c r="E37" i="22"/>
  <c r="R37" i="22"/>
  <c r="C38" i="22"/>
  <c r="E38" i="22"/>
  <c r="R38" i="22"/>
  <c r="C39" i="22"/>
  <c r="E39" i="22"/>
  <c r="R39" i="22"/>
  <c r="C40" i="22"/>
  <c r="E40" i="22"/>
  <c r="R40" i="22"/>
  <c r="C41" i="22"/>
  <c r="E41" i="22"/>
  <c r="R41" i="22"/>
  <c r="C42" i="22"/>
  <c r="E42" i="22"/>
  <c r="R42" i="22"/>
  <c r="C43" i="22"/>
  <c r="E43" i="22"/>
  <c r="R43" i="22"/>
  <c r="C44" i="22"/>
  <c r="E44" i="22"/>
  <c r="R44" i="22"/>
  <c r="C45" i="22"/>
  <c r="E45" i="22"/>
  <c r="R45" i="22"/>
  <c r="C46" i="22"/>
  <c r="E46" i="22"/>
  <c r="R46" i="22"/>
  <c r="C47" i="22"/>
  <c r="E47" i="22"/>
  <c r="R47" i="22"/>
  <c r="C48" i="22"/>
  <c r="E48" i="22"/>
  <c r="R48" i="22"/>
  <c r="C49" i="22"/>
  <c r="E49" i="22"/>
  <c r="R49" i="22"/>
  <c r="C50" i="22"/>
  <c r="E50" i="22"/>
  <c r="R50" i="22"/>
  <c r="C51" i="22"/>
  <c r="E51" i="22"/>
  <c r="R51" i="22"/>
  <c r="C52" i="22"/>
  <c r="E52" i="22"/>
  <c r="R52" i="22"/>
  <c r="C53" i="22"/>
  <c r="E53" i="22"/>
  <c r="R53" i="22"/>
  <c r="C54" i="22"/>
  <c r="E54" i="22"/>
  <c r="R54" i="22"/>
  <c r="C55" i="22"/>
  <c r="E55" i="22"/>
  <c r="R55" i="22"/>
  <c r="C56" i="22"/>
  <c r="E56" i="22"/>
  <c r="R56" i="22"/>
  <c r="C57" i="22"/>
  <c r="E57" i="22"/>
  <c r="R57" i="22"/>
  <c r="C58" i="22"/>
  <c r="E58" i="22"/>
  <c r="R58" i="22"/>
  <c r="C59" i="22"/>
  <c r="E59" i="22"/>
  <c r="R59" i="22"/>
  <c r="C2" i="15"/>
  <c r="D2" i="15"/>
  <c r="M2" i="15"/>
  <c r="N2" i="15"/>
  <c r="O2" i="15"/>
  <c r="P2" i="15"/>
  <c r="T2" i="15"/>
  <c r="W2" i="15"/>
  <c r="X2" i="15"/>
  <c r="Z2" i="15"/>
  <c r="AC2" i="15"/>
  <c r="AD2" i="15"/>
  <c r="AE2" i="15"/>
  <c r="C3" i="15"/>
  <c r="D3" i="15"/>
  <c r="M3" i="15"/>
  <c r="N3" i="15"/>
  <c r="O3" i="15"/>
  <c r="P3" i="15"/>
  <c r="C4" i="15"/>
  <c r="D4" i="15"/>
  <c r="M4" i="15"/>
  <c r="N4" i="15"/>
  <c r="O4" i="15"/>
  <c r="P4" i="15"/>
  <c r="C5" i="15"/>
  <c r="D5" i="15"/>
  <c r="M5" i="15"/>
  <c r="N5" i="15"/>
  <c r="O5" i="15"/>
  <c r="P5" i="15"/>
  <c r="C6" i="15"/>
  <c r="D6" i="15"/>
  <c r="M6" i="15"/>
  <c r="N6" i="15"/>
  <c r="O6" i="15"/>
  <c r="P6" i="15"/>
  <c r="C7" i="15"/>
  <c r="D7" i="15"/>
  <c r="M7" i="15"/>
  <c r="N7" i="15"/>
  <c r="O7" i="15"/>
  <c r="P7" i="15"/>
  <c r="C8" i="15"/>
  <c r="D8" i="15"/>
  <c r="M8" i="15"/>
  <c r="N8" i="15"/>
  <c r="O8" i="15"/>
  <c r="P8" i="15"/>
  <c r="C2" i="17"/>
  <c r="D2" i="17"/>
  <c r="M2" i="17"/>
  <c r="N2" i="17"/>
  <c r="O2" i="17"/>
  <c r="S2" i="17"/>
  <c r="V2" i="17"/>
  <c r="W2" i="17"/>
  <c r="Y2" i="17"/>
  <c r="C3" i="17"/>
  <c r="D3" i="17"/>
  <c r="M3" i="17"/>
  <c r="N3" i="17"/>
  <c r="O3" i="17"/>
  <c r="S3" i="17"/>
  <c r="V3" i="17"/>
  <c r="W3" i="17"/>
  <c r="Y3" i="17"/>
  <c r="C4" i="17"/>
  <c r="D4" i="17"/>
  <c r="M4" i="17"/>
  <c r="N4" i="17"/>
  <c r="O4" i="17"/>
  <c r="S4" i="17"/>
  <c r="V4" i="17"/>
  <c r="W4" i="17"/>
  <c r="Y4" i="17"/>
  <c r="C5" i="17"/>
  <c r="D5" i="17"/>
  <c r="M5" i="17"/>
  <c r="N5" i="17"/>
  <c r="O5" i="17"/>
  <c r="C6" i="17"/>
  <c r="D6" i="17"/>
  <c r="M6" i="17"/>
  <c r="N6" i="17"/>
  <c r="O6" i="17"/>
  <c r="C7" i="17"/>
  <c r="D7" i="17"/>
  <c r="M7" i="17"/>
  <c r="N7" i="17"/>
  <c r="O7" i="17"/>
  <c r="C8" i="17"/>
  <c r="D8" i="17"/>
  <c r="M8" i="17"/>
  <c r="N8" i="17"/>
  <c r="O8" i="17"/>
  <c r="C9" i="17"/>
  <c r="D9" i="17"/>
  <c r="M9" i="17"/>
  <c r="N9" i="17"/>
  <c r="O9" i="17"/>
  <c r="C10" i="17"/>
  <c r="D10" i="17"/>
  <c r="E10" i="17"/>
  <c r="F10" i="17"/>
  <c r="M10" i="17"/>
  <c r="N10" i="17"/>
  <c r="O10" i="17"/>
  <c r="C11" i="17"/>
  <c r="D11" i="17"/>
  <c r="E11" i="17"/>
  <c r="F11" i="17"/>
  <c r="M11" i="17"/>
  <c r="N11" i="17"/>
  <c r="O11" i="17"/>
  <c r="C12" i="17"/>
  <c r="D12" i="17"/>
  <c r="E12" i="17"/>
  <c r="F12" i="17"/>
  <c r="M12" i="17"/>
  <c r="N12" i="17"/>
  <c r="O12" i="17"/>
  <c r="C13" i="17"/>
  <c r="D13" i="17"/>
  <c r="E13" i="17"/>
  <c r="F13" i="17"/>
  <c r="M13" i="17"/>
  <c r="N13" i="17"/>
  <c r="O13" i="17"/>
  <c r="C14" i="17"/>
  <c r="D14" i="17"/>
  <c r="E14" i="17"/>
  <c r="F14" i="17"/>
  <c r="M14" i="17"/>
  <c r="N14" i="17"/>
  <c r="O14" i="17"/>
  <c r="C15" i="17"/>
  <c r="D15" i="17"/>
  <c r="E15" i="17"/>
  <c r="F15" i="17"/>
  <c r="G15" i="17"/>
  <c r="H15" i="17"/>
  <c r="M15" i="17"/>
  <c r="N15" i="17"/>
  <c r="O15" i="17"/>
  <c r="C16" i="17"/>
  <c r="D16" i="17"/>
  <c r="E16" i="17"/>
  <c r="F16" i="17"/>
  <c r="G16" i="17"/>
  <c r="H16" i="17"/>
  <c r="M16" i="17"/>
  <c r="N16" i="17"/>
  <c r="O16" i="17"/>
  <c r="C17" i="17"/>
  <c r="D17" i="17"/>
  <c r="E17" i="17"/>
  <c r="F17" i="17"/>
  <c r="G17" i="17"/>
  <c r="H17" i="17"/>
  <c r="M17" i="17"/>
  <c r="N17" i="17"/>
  <c r="O17" i="17"/>
  <c r="C18" i="17"/>
  <c r="D18" i="17"/>
  <c r="E18" i="17"/>
  <c r="F18" i="17"/>
  <c r="G18" i="17"/>
  <c r="H18" i="17"/>
  <c r="M18" i="17"/>
  <c r="N18" i="17"/>
  <c r="O18" i="17"/>
  <c r="C19" i="17"/>
  <c r="D19" i="17"/>
  <c r="E19" i="17"/>
  <c r="F19" i="17"/>
  <c r="G19" i="17"/>
  <c r="H19" i="17"/>
  <c r="M19" i="17"/>
  <c r="N19" i="17"/>
  <c r="O19" i="17"/>
  <c r="C20" i="17"/>
  <c r="D20" i="17"/>
  <c r="E20" i="17"/>
  <c r="F20" i="17"/>
  <c r="G20" i="17"/>
  <c r="H20" i="17"/>
  <c r="M20" i="17"/>
  <c r="N20" i="17"/>
  <c r="O20" i="17"/>
  <c r="C21" i="17"/>
  <c r="D21" i="17"/>
  <c r="E21" i="17"/>
  <c r="F21" i="17"/>
  <c r="G21" i="17"/>
  <c r="H21" i="17"/>
  <c r="M21" i="17"/>
  <c r="N21" i="17"/>
  <c r="O21" i="17"/>
  <c r="C22" i="17"/>
  <c r="D22" i="17"/>
  <c r="E22" i="17"/>
  <c r="F22" i="17"/>
  <c r="G22" i="17"/>
  <c r="H22" i="17"/>
  <c r="M22" i="17"/>
  <c r="N22" i="17"/>
  <c r="O22" i="17"/>
  <c r="C23" i="17"/>
  <c r="D23" i="17"/>
  <c r="E23" i="17"/>
  <c r="F23" i="17"/>
  <c r="G23" i="17"/>
  <c r="H23" i="17"/>
  <c r="M23" i="17"/>
  <c r="N23" i="17"/>
  <c r="O23" i="17"/>
  <c r="C24" i="17"/>
  <c r="D24" i="17"/>
  <c r="E24" i="17"/>
  <c r="F24" i="17"/>
  <c r="G24" i="17"/>
  <c r="H24" i="17"/>
  <c r="M24" i="17"/>
  <c r="N24" i="17"/>
  <c r="O24" i="17"/>
  <c r="C25" i="17"/>
  <c r="D25" i="17"/>
  <c r="E25" i="17"/>
  <c r="F25" i="17"/>
  <c r="G25" i="17"/>
  <c r="H25" i="17"/>
  <c r="M25" i="17"/>
  <c r="N25" i="17"/>
  <c r="O25" i="17"/>
  <c r="C26" i="17"/>
  <c r="D26" i="17"/>
  <c r="E26" i="17"/>
  <c r="F26" i="17"/>
  <c r="G26" i="17"/>
  <c r="H26" i="17"/>
  <c r="M26" i="17"/>
  <c r="N26" i="17"/>
  <c r="O26" i="17"/>
  <c r="C27" i="17"/>
  <c r="D27" i="17"/>
  <c r="E27" i="17"/>
  <c r="F27" i="17"/>
  <c r="G27" i="17"/>
  <c r="H27" i="17"/>
  <c r="M27" i="17"/>
  <c r="N27" i="17"/>
  <c r="O27" i="17"/>
  <c r="C28" i="17"/>
  <c r="D28" i="17"/>
  <c r="E28" i="17"/>
  <c r="F28" i="17"/>
  <c r="G28" i="17"/>
  <c r="H28" i="17"/>
  <c r="M28" i="17"/>
  <c r="N28" i="17"/>
  <c r="O28" i="17"/>
  <c r="C29" i="17"/>
  <c r="D29" i="17"/>
  <c r="E29" i="17"/>
  <c r="F29" i="17"/>
  <c r="G29" i="17"/>
  <c r="H29" i="17"/>
  <c r="M29" i="17"/>
  <c r="N29" i="17"/>
  <c r="O29" i="17"/>
  <c r="C30" i="17"/>
  <c r="D30" i="17"/>
  <c r="E30" i="17"/>
  <c r="F30" i="17"/>
  <c r="G30" i="17"/>
  <c r="H30" i="17"/>
  <c r="M30" i="17"/>
  <c r="N30" i="17"/>
  <c r="O30" i="17"/>
  <c r="C31" i="17"/>
  <c r="D31" i="17"/>
  <c r="E31" i="17"/>
  <c r="F31" i="17"/>
  <c r="G31" i="17"/>
  <c r="H31" i="17"/>
  <c r="M31" i="17"/>
  <c r="N31" i="17"/>
  <c r="O31" i="17"/>
  <c r="C32" i="17"/>
  <c r="D32" i="17"/>
  <c r="E32" i="17"/>
  <c r="F32" i="17"/>
  <c r="G32" i="17"/>
  <c r="H32" i="17"/>
  <c r="M32" i="17"/>
  <c r="N32" i="17"/>
  <c r="O32" i="17"/>
  <c r="N5" i="69"/>
  <c r="O5" i="69"/>
  <c r="Q5" i="69"/>
  <c r="C2" i="16"/>
  <c r="D2" i="16"/>
  <c r="M2" i="16"/>
  <c r="N2" i="16"/>
  <c r="O2" i="16"/>
  <c r="S2" i="16"/>
  <c r="V2" i="16"/>
  <c r="W2" i="16"/>
  <c r="Y2" i="16"/>
  <c r="C3" i="16"/>
  <c r="D3" i="16"/>
  <c r="M3" i="16"/>
  <c r="N3" i="16"/>
  <c r="O3" i="16"/>
  <c r="S3" i="16"/>
  <c r="V3" i="16"/>
  <c r="W3" i="16"/>
  <c r="Y3" i="16"/>
  <c r="C4" i="16"/>
  <c r="D4" i="16"/>
  <c r="M4" i="16"/>
  <c r="N4" i="16"/>
  <c r="O4" i="16"/>
  <c r="S4" i="16"/>
  <c r="V4" i="16"/>
  <c r="W4" i="16"/>
  <c r="Y4" i="16"/>
  <c r="C5" i="16"/>
  <c r="D5" i="16"/>
  <c r="M5" i="16"/>
  <c r="N5" i="16"/>
  <c r="O5" i="16"/>
  <c r="C6" i="16"/>
  <c r="D6" i="16"/>
  <c r="M6" i="16"/>
  <c r="N6" i="16"/>
  <c r="O6" i="16"/>
  <c r="C7" i="16"/>
  <c r="D7" i="16"/>
  <c r="M7" i="16"/>
  <c r="N7" i="16"/>
  <c r="O7" i="16"/>
  <c r="C8" i="16"/>
  <c r="D8" i="16"/>
  <c r="M8" i="16"/>
  <c r="N8" i="16"/>
  <c r="O8" i="16"/>
  <c r="C9" i="16"/>
  <c r="D9" i="16"/>
  <c r="M9" i="16"/>
  <c r="N9" i="16"/>
  <c r="O9" i="16"/>
  <c r="C10" i="16"/>
  <c r="D10" i="16"/>
  <c r="E10" i="16"/>
  <c r="F10" i="16"/>
  <c r="M10" i="16"/>
  <c r="N10" i="16"/>
  <c r="O10" i="16"/>
  <c r="C11" i="16"/>
  <c r="D11" i="16"/>
  <c r="E11" i="16"/>
  <c r="F11" i="16"/>
  <c r="M11" i="16"/>
  <c r="N11" i="16"/>
  <c r="O11" i="16"/>
  <c r="C12" i="16"/>
  <c r="D12" i="16"/>
  <c r="E12" i="16"/>
  <c r="F12" i="16"/>
  <c r="M12" i="16"/>
  <c r="N12" i="16"/>
  <c r="O12" i="16"/>
  <c r="C13" i="16"/>
  <c r="D13" i="16"/>
  <c r="E13" i="16"/>
  <c r="F13" i="16"/>
  <c r="M13" i="16"/>
  <c r="N13" i="16"/>
  <c r="O13" i="16"/>
  <c r="C14" i="16"/>
  <c r="D14" i="16"/>
  <c r="E14" i="16"/>
  <c r="F14" i="16"/>
  <c r="M14" i="16"/>
  <c r="N14" i="16"/>
  <c r="O14" i="16"/>
  <c r="C15" i="16"/>
  <c r="D15" i="16"/>
  <c r="E15" i="16"/>
  <c r="F15" i="16"/>
  <c r="M15" i="16"/>
  <c r="N15" i="16"/>
  <c r="O15" i="16"/>
  <c r="C16" i="16"/>
  <c r="D16" i="16"/>
  <c r="E16" i="16"/>
  <c r="F16" i="16"/>
  <c r="M16" i="16"/>
  <c r="N16" i="16"/>
  <c r="O16" i="16"/>
  <c r="C17" i="16"/>
  <c r="D17" i="16"/>
  <c r="E17" i="16"/>
  <c r="F17" i="16"/>
  <c r="M17" i="16"/>
  <c r="N17" i="16"/>
  <c r="O17" i="16"/>
  <c r="C18" i="16"/>
  <c r="D18" i="16"/>
  <c r="E18" i="16"/>
  <c r="F18" i="16"/>
  <c r="M18" i="16"/>
  <c r="N18" i="16"/>
  <c r="O18" i="16"/>
  <c r="C19" i="16"/>
  <c r="D19" i="16"/>
  <c r="E19" i="16"/>
  <c r="F19" i="16"/>
  <c r="G19" i="16"/>
  <c r="H19" i="16"/>
  <c r="M19" i="16"/>
  <c r="N19" i="16"/>
  <c r="O19" i="16"/>
  <c r="C20" i="16"/>
  <c r="D20" i="16"/>
  <c r="E20" i="16"/>
  <c r="F20" i="16"/>
  <c r="G20" i="16"/>
  <c r="H20" i="16"/>
  <c r="M20" i="16"/>
  <c r="N20" i="16"/>
  <c r="O20" i="16"/>
  <c r="C21" i="16"/>
  <c r="D21" i="16"/>
  <c r="E21" i="16"/>
  <c r="F21" i="16"/>
  <c r="G21" i="16"/>
  <c r="H21" i="16"/>
  <c r="M21" i="16"/>
  <c r="N21" i="16"/>
  <c r="O21" i="16"/>
  <c r="C22" i="16"/>
  <c r="D22" i="16"/>
  <c r="E22" i="16"/>
  <c r="F22" i="16"/>
  <c r="G22" i="16"/>
  <c r="H22" i="16"/>
  <c r="M22" i="16"/>
  <c r="N22" i="16"/>
  <c r="O22" i="16"/>
  <c r="C23" i="16"/>
  <c r="D23" i="16"/>
  <c r="E23" i="16"/>
  <c r="F23" i="16"/>
  <c r="G23" i="16"/>
  <c r="H23" i="16"/>
  <c r="M23" i="16"/>
  <c r="N23" i="16"/>
  <c r="O23" i="16"/>
  <c r="C24" i="16"/>
  <c r="D24" i="16"/>
  <c r="E24" i="16"/>
  <c r="F24" i="16"/>
  <c r="G24" i="16"/>
  <c r="H24" i="16"/>
  <c r="M24" i="16"/>
  <c r="N24" i="16"/>
  <c r="O24" i="16"/>
  <c r="C25" i="16"/>
  <c r="D25" i="16"/>
  <c r="E25" i="16"/>
  <c r="F25" i="16"/>
  <c r="G25" i="16"/>
  <c r="H25" i="16"/>
  <c r="M25" i="16"/>
  <c r="N25" i="16"/>
  <c r="O25" i="16"/>
  <c r="C26" i="16"/>
  <c r="D26" i="16"/>
  <c r="E26" i="16"/>
  <c r="F26" i="16"/>
  <c r="G26" i="16"/>
  <c r="H26" i="16"/>
  <c r="M26" i="16"/>
  <c r="N26" i="16"/>
  <c r="O26" i="16"/>
  <c r="C27" i="16"/>
  <c r="D27" i="16"/>
  <c r="E27" i="16"/>
  <c r="F27" i="16"/>
  <c r="G27" i="16"/>
  <c r="H27" i="16"/>
  <c r="M27" i="16"/>
  <c r="N27" i="16"/>
  <c r="O27" i="16"/>
  <c r="C28" i="16"/>
  <c r="D28" i="16"/>
  <c r="E28" i="16"/>
  <c r="F28" i="16"/>
  <c r="G28" i="16"/>
  <c r="H28" i="16"/>
  <c r="M28" i="16"/>
  <c r="N28" i="16"/>
  <c r="O28" i="16"/>
  <c r="C29" i="16"/>
  <c r="D29" i="16"/>
  <c r="E29" i="16"/>
  <c r="F29" i="16"/>
  <c r="G29" i="16"/>
  <c r="H29" i="16"/>
  <c r="M29" i="16"/>
  <c r="N29" i="16"/>
  <c r="O29" i="16"/>
  <c r="C30" i="16"/>
  <c r="D30" i="16"/>
  <c r="E30" i="16"/>
  <c r="F30" i="16"/>
  <c r="G30" i="16"/>
  <c r="H30" i="16"/>
  <c r="M30" i="16"/>
  <c r="N30" i="16"/>
  <c r="O30" i="16"/>
  <c r="C31" i="16"/>
  <c r="D31" i="16"/>
  <c r="E31" i="16"/>
  <c r="F31" i="16"/>
  <c r="G31" i="16"/>
  <c r="H31" i="16"/>
  <c r="M31" i="16"/>
  <c r="N31" i="16"/>
  <c r="O31" i="16"/>
  <c r="C32" i="16"/>
  <c r="D32" i="16"/>
  <c r="E32" i="16"/>
  <c r="F32" i="16"/>
  <c r="G32" i="16"/>
  <c r="H32" i="16"/>
  <c r="M32" i="16"/>
  <c r="N32" i="16"/>
  <c r="O32" i="16"/>
  <c r="A11" i="18" a="1"/>
  <c r="A11" i="18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74" i="18" a="1"/>
  <c r="A74" i="18"/>
  <c r="B75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B76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B77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B78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B79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B80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B81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B2" i="25" a="1"/>
  <c r="B2" i="25"/>
  <c r="B3" i="25" a="1"/>
  <c r="B3" i="25"/>
  <c r="B20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B21" i="25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B22" i="25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B23" i="25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Z23" i="25"/>
  <c r="AA23" i="25"/>
  <c r="AB23" i="25"/>
  <c r="AC23" i="25"/>
  <c r="AD23" i="25"/>
  <c r="AE23" i="25"/>
  <c r="AF23" i="25"/>
  <c r="B24" i="25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S24" i="25"/>
  <c r="T24" i="25"/>
  <c r="U24" i="25"/>
  <c r="V24" i="25"/>
  <c r="W24" i="25"/>
  <c r="X24" i="25"/>
  <c r="Y24" i="25"/>
  <c r="Z24" i="25"/>
  <c r="AA24" i="25"/>
  <c r="AB24" i="25"/>
  <c r="AC24" i="25"/>
  <c r="AD24" i="25"/>
  <c r="AE24" i="25"/>
  <c r="AF24" i="25"/>
  <c r="B25" i="25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AC25" i="25"/>
  <c r="AD25" i="25"/>
  <c r="AE25" i="25"/>
  <c r="AF25" i="25"/>
  <c r="B26" i="25"/>
  <c r="C26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B29" i="25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AD29" i="25"/>
  <c r="AE29" i="25"/>
  <c r="AF29" i="25"/>
  <c r="B30" i="25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AD30" i="25"/>
  <c r="AE30" i="25"/>
  <c r="AF30" i="25"/>
  <c r="B31" i="25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V31" i="25"/>
  <c r="W31" i="25"/>
  <c r="X31" i="25"/>
  <c r="Y31" i="25"/>
  <c r="Z31" i="25"/>
  <c r="AA31" i="25"/>
  <c r="AB31" i="25"/>
  <c r="AC31" i="25"/>
  <c r="AD31" i="25"/>
  <c r="AE31" i="25"/>
  <c r="AF31" i="25"/>
  <c r="B32" i="25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T32" i="25"/>
  <c r="U32" i="25"/>
  <c r="V32" i="25"/>
  <c r="W32" i="25"/>
  <c r="X32" i="25"/>
  <c r="Y32" i="25"/>
  <c r="Z32" i="25"/>
  <c r="AA32" i="25"/>
  <c r="AB32" i="25"/>
  <c r="AC32" i="25"/>
  <c r="AD32" i="25"/>
  <c r="AE32" i="25"/>
  <c r="AF32" i="25"/>
  <c r="B33" i="25"/>
  <c r="C33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X33" i="25"/>
  <c r="Y33" i="25"/>
  <c r="Z33" i="25"/>
  <c r="AA33" i="25"/>
  <c r="AB33" i="25"/>
  <c r="AC33" i="25"/>
  <c r="AD33" i="25"/>
  <c r="AE33" i="25"/>
  <c r="AF33" i="25"/>
  <c r="B34" i="25"/>
  <c r="C34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P34" i="25"/>
  <c r="Q34" i="25"/>
  <c r="R34" i="25"/>
  <c r="S34" i="25"/>
  <c r="T34" i="25"/>
  <c r="U34" i="25"/>
  <c r="V34" i="25"/>
  <c r="W34" i="25"/>
  <c r="X34" i="25"/>
  <c r="Y34" i="25"/>
  <c r="Z34" i="25"/>
  <c r="AA34" i="25"/>
  <c r="AB34" i="25"/>
  <c r="AC34" i="25"/>
  <c r="AD34" i="25"/>
  <c r="AE34" i="25"/>
  <c r="AF34" i="25"/>
  <c r="B35" i="25"/>
  <c r="C35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R35" i="25"/>
  <c r="S35" i="25"/>
  <c r="T35" i="25"/>
  <c r="U35" i="25"/>
  <c r="V35" i="25"/>
  <c r="W35" i="25"/>
  <c r="X35" i="25"/>
  <c r="Y35" i="25"/>
  <c r="Z35" i="25"/>
  <c r="AA35" i="25"/>
  <c r="AB35" i="25"/>
  <c r="AC35" i="25"/>
  <c r="AD35" i="25"/>
  <c r="AE35" i="25"/>
  <c r="AF35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Rajesh S</author>
  </authors>
  <commentList>
    <comment ref="C19" authorId="0" shapeId="0" xr:uid="{B4F83DA0-F1DC-4B74-A8FB-0349D13888B5}">
      <text>
        <r>
          <rPr>
            <b/>
            <sz val="9"/>
            <color indexed="81"/>
            <rFont val="Tahoma"/>
            <family val="2"/>
          </rPr>
          <t>RajUSD110</t>
        </r>
      </text>
    </comment>
    <comment ref="C20" authorId="0" shapeId="0" xr:uid="{8878D5B8-07E1-4492-A01F-B00DD1D4E650}">
      <text>
        <r>
          <rPr>
            <b/>
            <sz val="9"/>
            <color indexed="81"/>
            <rFont val="Tahoma"/>
            <family val="2"/>
          </rPr>
          <t>Rajesh S:</t>
        </r>
        <r>
          <rPr>
            <sz val="9"/>
            <color indexed="81"/>
            <rFont val="Tahoma"/>
            <family val="2"/>
          </rPr>
          <t xml:space="preserve">
USD400</t>
        </r>
      </text>
    </comment>
    <comment ref="C23" authorId="0" shapeId="0" xr:uid="{75760275-E79A-47F2-9BCF-6B101CCF02B6}">
      <text>
        <r>
          <rPr>
            <b/>
            <sz val="9"/>
            <color indexed="81"/>
            <rFont val="Tahoma"/>
            <family val="2"/>
          </rPr>
          <t>Rajesh S:</t>
        </r>
        <r>
          <rPr>
            <sz val="9"/>
            <color indexed="81"/>
            <rFont val="Tahoma"/>
            <family val="2"/>
          </rPr>
          <t xml:space="preserve">
USD620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<sst xmlns="http://schemas.openxmlformats.org/spreadsheetml/2006/main" count="10874" uniqueCount="1229">
  <si>
    <t>Buckets</t>
  </si>
  <si>
    <t>Sl. No.</t>
  </si>
  <si>
    <t>Bucket No.</t>
  </si>
  <si>
    <t>Usecase</t>
  </si>
  <si>
    <t>Model</t>
  </si>
  <si>
    <t>2025 Volume</t>
  </si>
  <si>
    <t>Share of TIV</t>
  </si>
  <si>
    <t>B1</t>
  </si>
  <si>
    <t>Market Load</t>
  </si>
  <si>
    <t>19T Rigid</t>
  </si>
  <si>
    <t>B2</t>
  </si>
  <si>
    <t>28T Rigid</t>
  </si>
  <si>
    <t>B3</t>
  </si>
  <si>
    <t>48T Rigid</t>
  </si>
  <si>
    <t>B4</t>
  </si>
  <si>
    <t>Parcel Load and FMCG</t>
  </si>
  <si>
    <t>B5</t>
  </si>
  <si>
    <t>B6</t>
  </si>
  <si>
    <t>Perishables</t>
  </si>
  <si>
    <t>15T Rigid</t>
  </si>
  <si>
    <t>B7</t>
  </si>
  <si>
    <t>Construction &amp; Mining</t>
  </si>
  <si>
    <t>28T Tip</t>
  </si>
  <si>
    <t>B8</t>
  </si>
  <si>
    <t>35T Tip</t>
  </si>
  <si>
    <t>B9</t>
  </si>
  <si>
    <t>Cement (Bulkers &amp; Bagged)</t>
  </si>
  <si>
    <t>B10</t>
  </si>
  <si>
    <t>55T Tractor</t>
  </si>
  <si>
    <t>B11</t>
  </si>
  <si>
    <t>Steel &amp; metal products</t>
  </si>
  <si>
    <t>B12</t>
  </si>
  <si>
    <t>Tankers - POL &amp; CNG cascades</t>
  </si>
  <si>
    <t>B13</t>
  </si>
  <si>
    <t>Tankers - Non POL</t>
  </si>
  <si>
    <t>B14</t>
  </si>
  <si>
    <t>LPG bullet tankers</t>
  </si>
  <si>
    <t>40T Tractor</t>
  </si>
  <si>
    <t>Total</t>
  </si>
  <si>
    <t>2025 TIV:</t>
  </si>
  <si>
    <t>Annual Sales Projections - Applicationwise &amp; Segmentwise:</t>
  </si>
  <si>
    <t>Year</t>
  </si>
  <si>
    <t>Overall</t>
  </si>
  <si>
    <t>Market Load Total</t>
  </si>
  <si>
    <t>Rigid|12T - 19T</t>
  </si>
  <si>
    <t>Rigid|19T - 28.5T</t>
  </si>
  <si>
    <t>Rigid|28.5T - 40T</t>
  </si>
  <si>
    <t>Rigid|&gt;40T</t>
  </si>
  <si>
    <t>TT | 31T - 40T</t>
  </si>
  <si>
    <t>TT | 40 T - 46T</t>
  </si>
  <si>
    <t xml:space="preserve">TT | 46T - 55T </t>
  </si>
  <si>
    <t>Parcel Load, FMCG &amp; eCommerce</t>
  </si>
  <si>
    <t>Perishables &amp; Fish Total</t>
  </si>
  <si>
    <t>Constructin &amp; Mining</t>
  </si>
  <si>
    <t>Steel &amp; Metal Products Total</t>
  </si>
  <si>
    <t>Tankers - Petroleum &amp; CNG Total</t>
  </si>
  <si>
    <t>Tankers - Milk, Edible Oil &amp; Water Total</t>
  </si>
  <si>
    <t>LPG Total</t>
  </si>
  <si>
    <t>Cement Total</t>
  </si>
  <si>
    <t>Grand Total</t>
  </si>
  <si>
    <t>Grand Total (Rounded off)</t>
  </si>
  <si>
    <t>% Change 2026-30</t>
  </si>
  <si>
    <t>% Change 2031-40</t>
  </si>
  <si>
    <t>% Change 2041-50</t>
  </si>
  <si>
    <t>% Change in 2051-55</t>
  </si>
  <si>
    <t>Diesel Price per litre</t>
  </si>
  <si>
    <t xml:space="preserve">Adblue Price </t>
  </si>
  <si>
    <t>CNG Price per kg</t>
  </si>
  <si>
    <t>LNG Price per kg</t>
  </si>
  <si>
    <t>Green H2 Prodn cost/kg</t>
  </si>
  <si>
    <t>Grey H2 Prodn cost/kg</t>
  </si>
  <si>
    <t>Grey H2 in Blend</t>
  </si>
  <si>
    <t>H2 Compression, storage &amp; transmission cost/kg</t>
  </si>
  <si>
    <t>Electricity incl CAAS</t>
  </si>
  <si>
    <t>Battery cost per kwh</t>
  </si>
  <si>
    <t>Fuel Cell cost per kW</t>
  </si>
  <si>
    <t>LNG Tank cost/kg of LNG</t>
  </si>
  <si>
    <t>LNG Valves &amp; Piping cost/vehicle</t>
  </si>
  <si>
    <t>H2 Tank cost/kg of H2</t>
  </si>
  <si>
    <t>Cost of engine and transmission</t>
  </si>
  <si>
    <t>35T Rigid</t>
  </si>
  <si>
    <t>28T Tipper</t>
  </si>
  <si>
    <t>35T Tipper</t>
  </si>
  <si>
    <t>Cost of E-Powertrain</t>
  </si>
  <si>
    <t>Cost of Batteries for BETs</t>
  </si>
  <si>
    <t>Bat. Cap. kWh</t>
  </si>
  <si>
    <t>Cost of Batteries for H2 FCETs</t>
  </si>
  <si>
    <t xml:space="preserve">Diesel vehicle Cost </t>
  </si>
  <si>
    <t>15T Rigid Diesel</t>
  </si>
  <si>
    <t>BS7 Increase effective 2030</t>
  </si>
  <si>
    <t>19T Rigid Diesel</t>
  </si>
  <si>
    <t>28T Rigid Diesel</t>
  </si>
  <si>
    <t>35T Rigid Diesel</t>
  </si>
  <si>
    <t>48T Rigid Diesel</t>
  </si>
  <si>
    <t>28T Tipper Diesel</t>
  </si>
  <si>
    <t>35T Tipper Diesel</t>
  </si>
  <si>
    <t>40T Tractor Diesel</t>
  </si>
  <si>
    <t>55T Tractor Diesel</t>
  </si>
  <si>
    <t>CNG Vehicle cost</t>
  </si>
  <si>
    <t>Cyl. Cap. Ltrs.</t>
  </si>
  <si>
    <t>15T Rigid CNG</t>
  </si>
  <si>
    <t>19T Rigid CNG</t>
  </si>
  <si>
    <t>28T Rigid CNG</t>
  </si>
  <si>
    <t>35T Rigid CNG</t>
  </si>
  <si>
    <t>48T Rigid CNG</t>
  </si>
  <si>
    <t>28T Tipper CNG</t>
  </si>
  <si>
    <t>35T Tipper CNG</t>
  </si>
  <si>
    <t>40T Tractor CNG</t>
  </si>
  <si>
    <t>55T Tractor CNG</t>
  </si>
  <si>
    <t>LNG Vehicle cost</t>
  </si>
  <si>
    <t>LNG Tank system cost - 158 kg.</t>
  </si>
  <si>
    <t>LNG Cyl cap. In kg.</t>
  </si>
  <si>
    <t>LNG Tank system cost - 347 kg.</t>
  </si>
  <si>
    <t>15T Rigid lNG</t>
  </si>
  <si>
    <t>19T Rigid lNG</t>
  </si>
  <si>
    <t>28T Rigid LNG</t>
  </si>
  <si>
    <t>35T Rigid LNG</t>
  </si>
  <si>
    <t>48T Rigid LNG</t>
  </si>
  <si>
    <t>28T Tipper LNG</t>
  </si>
  <si>
    <t>35T Tipper LNG</t>
  </si>
  <si>
    <t>40T Tractor LNG</t>
  </si>
  <si>
    <t>55T Tractor LNG</t>
  </si>
  <si>
    <t>H2 ICE Truck cost</t>
  </si>
  <si>
    <t>H2 Tank system cost - 28 Kg.</t>
  </si>
  <si>
    <t>H2 Cyl cap. In kg.</t>
  </si>
  <si>
    <t>15T Rigid H2 ICE Truck</t>
  </si>
  <si>
    <t>19T Rigid H2 ICE Truck</t>
  </si>
  <si>
    <t>28T Rigid H2 ICE Truck</t>
  </si>
  <si>
    <t>35T Rigid H2 ICE Truck</t>
  </si>
  <si>
    <t>48T Rigid H2 ICE Truck</t>
  </si>
  <si>
    <t>28T Tipper H2 ICE Truck</t>
  </si>
  <si>
    <t>35T Tipper H2 ICE Truck</t>
  </si>
  <si>
    <t>40T Tractor H2 ICE Truck</t>
  </si>
  <si>
    <t>55T Tractor H2 ICE Truck</t>
  </si>
  <si>
    <t>Battery Electric Truck (BET) cost</t>
  </si>
  <si>
    <t>BET Mfg. and other costs to OEMs (% of ePowertrain &amp; Battery Costs)</t>
  </si>
  <si>
    <t>15T Rigid BET</t>
  </si>
  <si>
    <t>19T Rigid BET</t>
  </si>
  <si>
    <t>28T Rigid BET</t>
  </si>
  <si>
    <t>35T Rigid BET</t>
  </si>
  <si>
    <t>48T Rigid BET</t>
  </si>
  <si>
    <t>28T Tipper BET</t>
  </si>
  <si>
    <t>35T Tipper BET</t>
  </si>
  <si>
    <t>40T Tractor BET</t>
  </si>
  <si>
    <t>55T Tractor BET</t>
  </si>
  <si>
    <t>Cost of H2 FCET</t>
  </si>
  <si>
    <t>H2 Tank system cost - 1200 ltrs. (28 KG)</t>
  </si>
  <si>
    <t>FCET Mfg. and other costs (% of ePowertrain, Battery &amp; F C Costs)</t>
  </si>
  <si>
    <t>Maintenance Cost of Diesel Truck (Incl. tyres)</t>
  </si>
  <si>
    <t>Tankers - POL &amp; CNG</t>
  </si>
  <si>
    <t>Maintenance Cost of CNG, LNG &amp; H2 ICE Trucks (Incl. tyres)</t>
  </si>
  <si>
    <t>Maintenance Cost of BET with Battery Replacement (Incl. Tyres)</t>
  </si>
  <si>
    <t>Tankers - POL</t>
  </si>
  <si>
    <t>Maintenance Cost of H2 FCET with Battery Replacement (Incl. Tyres)</t>
  </si>
  <si>
    <t>Manpower (Diesel, CNG, LNG &amp; H2 ICE Trucks)</t>
  </si>
  <si>
    <t>Manpower (BETs &amp; FCETs)</t>
  </si>
  <si>
    <t>Bucket</t>
  </si>
  <si>
    <t>Lead Model</t>
  </si>
  <si>
    <t>CNG Truck 
Tank Capacity</t>
  </si>
  <si>
    <t>LNG Truck 
Tank Capacity</t>
  </si>
  <si>
    <t>H2 ICE Truck 
H2 Tank Capacity</t>
  </si>
  <si>
    <t>BET Battery Capacity</t>
  </si>
  <si>
    <t>FCET 
H2 Tank Capacity</t>
  </si>
  <si>
    <t>FCET Battery Capacity</t>
  </si>
  <si>
    <t>FCET Fuel Cell Rated Power</t>
  </si>
  <si>
    <t>Operational Details</t>
  </si>
  <si>
    <t>Fuel/Energy Efficiency</t>
  </si>
  <si>
    <t>Resale Value after 7 years (% of Purchase Price of the Truck)</t>
  </si>
  <si>
    <t>Annual kms</t>
  </si>
  <si>
    <t>GVW</t>
  </si>
  <si>
    <t>Payload</t>
  </si>
  <si>
    <t>Avg. dist. per day</t>
  </si>
  <si>
    <t>Working days / year</t>
  </si>
  <si>
    <t>Monthly km run</t>
  </si>
  <si>
    <t>Hours of operation / day</t>
  </si>
  <si>
    <t>Average loading</t>
  </si>
  <si>
    <t>Avg speed</t>
  </si>
  <si>
    <t>No. of years operated</t>
  </si>
  <si>
    <t>Diesel</t>
  </si>
  <si>
    <t>CNG</t>
  </si>
  <si>
    <t>LNG</t>
  </si>
  <si>
    <t>H2 ICE</t>
  </si>
  <si>
    <t>BET</t>
  </si>
  <si>
    <t>H2 FCET</t>
  </si>
  <si>
    <t>Diesel Truck
Resale value after 7 years</t>
  </si>
  <si>
    <t>CNG Truck
Resale value after 7 years</t>
  </si>
  <si>
    <t>LNG Truck
Resale value after 7 years</t>
  </si>
  <si>
    <t>H2 ICE Truck
Resale value after 7 years</t>
  </si>
  <si>
    <t>BET 
Resale value after 7 years</t>
  </si>
  <si>
    <t>H2 FCET
Resale value after 7 years</t>
  </si>
  <si>
    <t>Diesel, CNG, LNG, H2 ICE</t>
  </si>
  <si>
    <t>Ltr.</t>
  </si>
  <si>
    <t>Kg.</t>
  </si>
  <si>
    <t>kWh</t>
  </si>
  <si>
    <t>kW</t>
  </si>
  <si>
    <t>km</t>
  </si>
  <si>
    <t>days/year</t>
  </si>
  <si>
    <t>hours/day</t>
  </si>
  <si>
    <t>%</t>
  </si>
  <si>
    <t>Kmpl</t>
  </si>
  <si>
    <t>Km/kg</t>
  </si>
  <si>
    <t>kWh/km</t>
  </si>
  <si>
    <t>Till 2035</t>
  </si>
  <si>
    <t>2036-2045</t>
  </si>
  <si>
    <t>After 2045</t>
  </si>
  <si>
    <t>kms</t>
  </si>
  <si>
    <t>Kgs.</t>
  </si>
  <si>
    <t xml:space="preserve">Battery Life </t>
  </si>
  <si>
    <t>Cycles</t>
  </si>
  <si>
    <t>Fuel Cell Life</t>
  </si>
  <si>
    <t xml:space="preserve">Hrs. </t>
  </si>
  <si>
    <t>Battery Energy Density</t>
  </si>
  <si>
    <t>kg./kWh</t>
  </si>
  <si>
    <t>Fuel Cell Power Density</t>
  </si>
  <si>
    <t xml:space="preserve">kg./kW </t>
  </si>
  <si>
    <t xml:space="preserve">Interest Rate </t>
  </si>
  <si>
    <t>Diesel, CNG, LNG &amp; H2 ICE</t>
  </si>
  <si>
    <t>Tenure</t>
  </si>
  <si>
    <t>Years</t>
  </si>
  <si>
    <t>Interest Rate</t>
  </si>
  <si>
    <t>BET &amp; FCET</t>
  </si>
  <si>
    <t>Insurance Rate</t>
  </si>
  <si>
    <t>of Vehicle Price</t>
  </si>
  <si>
    <t>BET Mfg. and other costs to OEMs</t>
  </si>
  <si>
    <t>(2031-40)</t>
  </si>
  <si>
    <t>(2041-55)</t>
  </si>
  <si>
    <t>H2 FCET Mfg. and other costs to OEM</t>
  </si>
  <si>
    <t>CNG Tank Capacity (ltrs.)</t>
  </si>
  <si>
    <t>CNG Density (kg./ltr)</t>
  </si>
  <si>
    <t>CNG Tank Capacity (kg.)</t>
  </si>
  <si>
    <t>CNG Tank Cost (Rs.)</t>
  </si>
  <si>
    <t>LNG Tank Capacity (ltrs.)</t>
  </si>
  <si>
    <t>LNG Density (kg./ltr)</t>
  </si>
  <si>
    <t>LNG Tank Capacity (kg.)</t>
  </si>
  <si>
    <t>H2 Tank Capacity (ltrs.)</t>
  </si>
  <si>
    <t>H2 Density @ 350 bar (kg./cu.M)</t>
  </si>
  <si>
    <t>H2 Tank Capacity (kg.)</t>
  </si>
  <si>
    <t>Details below just of Information (not used in the calcuations)</t>
  </si>
  <si>
    <t>H2</t>
  </si>
  <si>
    <t>FCEV</t>
  </si>
  <si>
    <t>Calorific Value</t>
  </si>
  <si>
    <t>MJ/kg</t>
  </si>
  <si>
    <t>https://www.engineeringtoolbox.com/fuels-higher-calorific-values-d_169.html</t>
  </si>
  <si>
    <t>kWh/kg</t>
  </si>
  <si>
    <t>Density</t>
  </si>
  <si>
    <t>kg/L</t>
  </si>
  <si>
    <t>kWh/L</t>
  </si>
  <si>
    <t>Yes</t>
  </si>
  <si>
    <t>Select Sector</t>
  </si>
  <si>
    <t>Green H2</t>
  </si>
  <si>
    <t>No</t>
  </si>
  <si>
    <t>Select GVW Range</t>
  </si>
  <si>
    <t>Blended H2</t>
  </si>
  <si>
    <t>Inputs</t>
  </si>
  <si>
    <t>Vehicle GVW</t>
  </si>
  <si>
    <t>Tonnes</t>
  </si>
  <si>
    <t>Diesel Truck Cost (2025)</t>
  </si>
  <si>
    <t>₹</t>
  </si>
  <si>
    <t>CNG Truck Cost (2025)</t>
  </si>
  <si>
    <t>LNG Truck Cost (2025)</t>
  </si>
  <si>
    <t>H2 ICE Truck Cost (2025)</t>
  </si>
  <si>
    <t>BET Cost (2025)</t>
  </si>
  <si>
    <t>H2 FCET Cost (2025)</t>
  </si>
  <si>
    <t>EV Battery size</t>
  </si>
  <si>
    <t>Battery Life</t>
  </si>
  <si>
    <t>No. of Charging Cycles</t>
  </si>
  <si>
    <t>Fuel Cell Rated Power</t>
  </si>
  <si>
    <t>Hrs.</t>
  </si>
  <si>
    <t>Battery Capacity for FCEV</t>
  </si>
  <si>
    <t>Payload - Diesel/LNG/CNG/H2 ICE</t>
  </si>
  <si>
    <t>Payload - BET</t>
  </si>
  <si>
    <t>Payload - FCET</t>
  </si>
  <si>
    <t>Toll Charges</t>
  </si>
  <si>
    <t>₹/km</t>
  </si>
  <si>
    <t>Distance per day</t>
  </si>
  <si>
    <t>Sector</t>
  </si>
  <si>
    <t>Capacity Utilization</t>
  </si>
  <si>
    <t>years</t>
  </si>
  <si>
    <t>BET Mfg. and other costs to OEM</t>
  </si>
  <si>
    <t>FCET Mfg. and other costs to OEM</t>
  </si>
  <si>
    <t>Tank Capacity (Gases)</t>
  </si>
  <si>
    <t>kg</t>
  </si>
  <si>
    <t>km/litre or km/kg or kWh/km</t>
  </si>
  <si>
    <t>Fuel consumed / year</t>
  </si>
  <si>
    <t xml:space="preserve"> L (Diesel), kg (CNG, LNG &amp; H2), kWh (BEV)</t>
  </si>
  <si>
    <t>litre</t>
  </si>
  <si>
    <t>Projected Assumption</t>
  </si>
  <si>
    <t xml:space="preserve">Diesel </t>
  </si>
  <si>
    <t>INR/litre</t>
  </si>
  <si>
    <t xml:space="preserve">Ad Blue </t>
  </si>
  <si>
    <t>INR/kg</t>
  </si>
  <si>
    <t>Green H2 Production cost</t>
  </si>
  <si>
    <t>Grey H2 Production cost</t>
  </si>
  <si>
    <t>Grey H2 in blend</t>
  </si>
  <si>
    <t>Blended H2 production cost</t>
  </si>
  <si>
    <t>H2 cost at dispense</t>
  </si>
  <si>
    <t>Electricity including CaaS</t>
  </si>
  <si>
    <t>INR/kWh</t>
  </si>
  <si>
    <t>INR/kW</t>
  </si>
  <si>
    <t>Diesel Maint Cost incl. tyres</t>
  </si>
  <si>
    <t>INR/km</t>
  </si>
  <si>
    <t>CNG/LNG/H2 ICE Maint Cost incl tyres</t>
  </si>
  <si>
    <t>BET Maint Cost incl tyres &amp; Battery Replacement</t>
  </si>
  <si>
    <t xml:space="preserve">FCET Maintenance </t>
  </si>
  <si>
    <t>Toll Charges (Diesel, CNG &amp; LNG)</t>
  </si>
  <si>
    <t>INR/Km</t>
  </si>
  <si>
    <t>Toll Charges (H2 ICE, BET &amp; FCET)</t>
  </si>
  <si>
    <t xml:space="preserve">Diesel   </t>
  </si>
  <si>
    <t>Diesel Vehicle Cost</t>
  </si>
  <si>
    <t>INR</t>
  </si>
  <si>
    <t>Resale Value (After 7 Years)</t>
  </si>
  <si>
    <t>Cost per Annum</t>
  </si>
  <si>
    <t>CAPEX (Base Vehicle Cost)</t>
  </si>
  <si>
    <t>INR/Year</t>
  </si>
  <si>
    <t>OPEX (Fuel Cost per year)</t>
  </si>
  <si>
    <t>OPEX (Adblue Cost)</t>
  </si>
  <si>
    <t>Adblue consumption per litre of Diesel</t>
  </si>
  <si>
    <t>Maintenance</t>
  </si>
  <si>
    <t>Manpower Cost (Driver &amp; Crew)</t>
  </si>
  <si>
    <t>Insurance Cost</t>
  </si>
  <si>
    <t>Cost per km</t>
  </si>
  <si>
    <t>OPEX (Fuel Cost)</t>
  </si>
  <si>
    <t xml:space="preserve">O&amp;M </t>
  </si>
  <si>
    <t>TCO (per km)</t>
  </si>
  <si>
    <t>CNG Vehicle Cost</t>
  </si>
  <si>
    <t>CAPEX (Vehicle Cost)</t>
  </si>
  <si>
    <t>LNG Vehicle Cost</t>
  </si>
  <si>
    <t>H2-ICE</t>
  </si>
  <si>
    <t>H2 ICE Vehicle Cost</t>
  </si>
  <si>
    <t>BET Vehicle Cost</t>
  </si>
  <si>
    <t>OPEX (Electricity Cost)</t>
  </si>
  <si>
    <t>FCET</t>
  </si>
  <si>
    <t>FCET Vehicle Cost</t>
  </si>
  <si>
    <t>OPEX (Hydrogen Cost)</t>
  </si>
  <si>
    <t>Diesel - 10%</t>
  </si>
  <si>
    <t>TCO (perkm-tonne) - Based on Payload Capacity</t>
  </si>
  <si>
    <t>TCO (perkm-tonne) - Based on Payload Capacity Utilized</t>
  </si>
  <si>
    <t>TCO Ratio</t>
  </si>
  <si>
    <t>Toll tax for BETs</t>
  </si>
  <si>
    <t>Toll Tax without waiver</t>
  </si>
  <si>
    <t>Subsidy</t>
  </si>
  <si>
    <t>Daily kms</t>
  </si>
  <si>
    <t xml:space="preserve">Parity with diesel </t>
  </si>
  <si>
    <t>10% advantage over diesel</t>
  </si>
  <si>
    <t>Interest Rate p.a</t>
  </si>
  <si>
    <t>Energy Consumption at Energy Source</t>
  </si>
  <si>
    <t>km/litre or km/kg</t>
  </si>
  <si>
    <t>(Till 2030)</t>
  </si>
  <si>
    <t>Green H2 % in blend</t>
  </si>
  <si>
    <t>Green H2  at dispense</t>
  </si>
  <si>
    <t>Grey H2 at dispense</t>
  </si>
  <si>
    <t>Blended H2 at dispense</t>
  </si>
  <si>
    <t>Till 2030</t>
  </si>
  <si>
    <t>After 2030</t>
  </si>
  <si>
    <t>Till 2040</t>
  </si>
  <si>
    <t>After 2040</t>
  </si>
  <si>
    <t>Manpower (diesel/CNG/LNG/H2 ICE)</t>
  </si>
  <si>
    <t>Manpower (BET/FCET)</t>
  </si>
  <si>
    <t>Fuel Cell Life - hours</t>
  </si>
  <si>
    <t>hours</t>
  </si>
  <si>
    <t xml:space="preserve">Toll Charges </t>
  </si>
  <si>
    <t>Cost of Fuel Cell System</t>
  </si>
  <si>
    <t>Fuel cell refurbishment year</t>
  </si>
  <si>
    <t>w</t>
  </si>
  <si>
    <t>MDT 2|19 &lt; GVW ≤ 28.5 T</t>
  </si>
  <si>
    <t>Energy consumption at wheels</t>
  </si>
  <si>
    <t>Battery Lifecycle</t>
  </si>
  <si>
    <t>#</t>
  </si>
  <si>
    <t>Cost of Engine and Transmission</t>
  </si>
  <si>
    <t xml:space="preserve">DEF or AdBlue consumption </t>
  </si>
  <si>
    <t>L/km</t>
  </si>
  <si>
    <t>ePowertrain cost</t>
  </si>
  <si>
    <t>Diesel Vehicle Maintenance</t>
  </si>
  <si>
    <t>Toll tax</t>
  </si>
  <si>
    <t>Average Continuous Power</t>
  </si>
  <si>
    <t>Motor Rated Power</t>
  </si>
  <si>
    <t>Battery Insurance cover</t>
  </si>
  <si>
    <t>₹/ year</t>
  </si>
  <si>
    <t>Payload - EV</t>
  </si>
  <si>
    <t>Payload - Diesel/LNG/CNG</t>
  </si>
  <si>
    <t>Payload - FCEV</t>
  </si>
  <si>
    <t>Payload - H2ICE</t>
  </si>
  <si>
    <t>Range per day</t>
  </si>
  <si>
    <t>Life( Tenure)</t>
  </si>
  <si>
    <t>General</t>
  </si>
  <si>
    <t>Inflation</t>
  </si>
  <si>
    <t>Manufacturing costs (BETs)</t>
  </si>
  <si>
    <t>Change  %</t>
  </si>
  <si>
    <t>2025-30</t>
  </si>
  <si>
    <t>2031-40</t>
  </si>
  <si>
    <t>After 2041</t>
  </si>
  <si>
    <t>Yellow H2 Production</t>
  </si>
  <si>
    <t>Other costs (compression, transport, storage etc.)</t>
  </si>
  <si>
    <t xml:space="preserve">Yellow H2 </t>
  </si>
  <si>
    <t>Lowest H2 price at dispense</t>
  </si>
  <si>
    <t xml:space="preserve">Li-ion Battery </t>
  </si>
  <si>
    <t>Fuel Cell</t>
  </si>
  <si>
    <t xml:space="preserve">LNG Tank </t>
  </si>
  <si>
    <t xml:space="preserve">Hydrogen Tank </t>
  </si>
  <si>
    <t xml:space="preserve">eDrivetrain </t>
  </si>
  <si>
    <t>Diesel Maintenance (including tyres)</t>
  </si>
  <si>
    <t xml:space="preserve">CNG/LNG Maintenance </t>
  </si>
  <si>
    <t>EV Maintenance w/o battery replacement (including tyres)</t>
  </si>
  <si>
    <t xml:space="preserve">FC Maintenance </t>
  </si>
  <si>
    <t>28T GVW</t>
  </si>
  <si>
    <t xml:space="preserve">Tank Capacity </t>
  </si>
  <si>
    <t>Litre</t>
  </si>
  <si>
    <t>Well to Tank Efficiency</t>
  </si>
  <si>
    <t>Tank to Wheel Efficiency</t>
  </si>
  <si>
    <t>Regeneration</t>
  </si>
  <si>
    <t>Overall Efficiency</t>
  </si>
  <si>
    <t xml:space="preserve">Battery Capacity </t>
  </si>
  <si>
    <t xml:space="preserve"> L (Diesel), kg (CNG, H2), kWh (BEV)</t>
  </si>
  <si>
    <t>Toll Tax</t>
  </si>
  <si>
    <t>Capitalisation Cost per Annum</t>
  </si>
  <si>
    <t>Cost of CNG Tank</t>
  </si>
  <si>
    <t>Inflation Till 2055</t>
  </si>
  <si>
    <t>Cost of LNG Tank</t>
  </si>
  <si>
    <t>CAPEX (Cost of H2 Tank)</t>
  </si>
  <si>
    <t>Cost of Battery</t>
  </si>
  <si>
    <t>Cost of ePowertrain</t>
  </si>
  <si>
    <t>Cost of Engine &amp; Transmission (D)</t>
  </si>
  <si>
    <t>Vehicle Cost w/o battery</t>
  </si>
  <si>
    <t>Manufacturing and other costs to OEM</t>
  </si>
  <si>
    <t>Battery Replacement Year</t>
  </si>
  <si>
    <t>Toll Tax with waiver</t>
  </si>
  <si>
    <t>CAPEX (Battery including Replacement)</t>
  </si>
  <si>
    <t>CAPEX (Vehicle + Battery Cost)</t>
  </si>
  <si>
    <t>Cost of H2 Tank</t>
  </si>
  <si>
    <t>Cost of ePowertrain)</t>
  </si>
  <si>
    <t>O&amp;M (Fuell cell refurbishment Cost)</t>
  </si>
  <si>
    <t>TCO (perkm-tonne)</t>
  </si>
  <si>
    <t>Cement Bags</t>
  </si>
  <si>
    <t>Payload - Diesel</t>
  </si>
  <si>
    <t>Steel &amp; Metal Products</t>
  </si>
  <si>
    <t>HDT 2|&gt;40 T GVW</t>
  </si>
  <si>
    <t>(2031-45)</t>
  </si>
  <si>
    <t>(2046-55)</t>
  </si>
  <si>
    <t>Minerals &amp; Tippers</t>
  </si>
  <si>
    <t>LPG/Petroleum Tankers</t>
  </si>
  <si>
    <t>Interviewees' Response:</t>
  </si>
  <si>
    <t>Input Cells</t>
  </si>
  <si>
    <t>All PTs Steady State Year:</t>
  </si>
  <si>
    <t>2045 TIV:</t>
  </si>
  <si>
    <t>Formula Cells</t>
  </si>
  <si>
    <t>lambda</t>
  </si>
  <si>
    <t>Parameter</t>
  </si>
  <si>
    <t>Operators Response on Parameter Impact</t>
  </si>
  <si>
    <t>LSPs' Response</t>
  </si>
  <si>
    <t>Choice Factor Value</t>
  </si>
  <si>
    <t>Average</t>
  </si>
  <si>
    <t>Bucekt 1 Market Load 19T lead model</t>
  </si>
  <si>
    <t>Payload (Rated/Over/Underload) - R/O/U</t>
  </si>
  <si>
    <t>R/O</t>
  </si>
  <si>
    <t>R</t>
  </si>
  <si>
    <t>Potential TIV</t>
  </si>
  <si>
    <t>Paramater Impact Rating - Scale 1 to 10:</t>
  </si>
  <si>
    <t>TCO</t>
  </si>
  <si>
    <t xml:space="preserve">Vehicle Price </t>
  </si>
  <si>
    <t>Rated Payload (Tons)</t>
  </si>
  <si>
    <t>TAT / gradeability / Productivity</t>
  </si>
  <si>
    <t>Range &amp; filling time</t>
  </si>
  <si>
    <t>Product Pilot</t>
  </si>
  <si>
    <t>Start of Supply (All Geography)</t>
  </si>
  <si>
    <t>Maturity (Products &amp; Eco-system)</t>
  </si>
  <si>
    <t>Bucket 2 Market Load 28T lead model</t>
  </si>
  <si>
    <t>Bucket 3 Market Load 48T lead model</t>
  </si>
  <si>
    <t>U</t>
  </si>
  <si>
    <t>R/U</t>
  </si>
  <si>
    <t>O/R</t>
  </si>
  <si>
    <t>O</t>
  </si>
  <si>
    <t xml:space="preserve">R </t>
  </si>
  <si>
    <t>Assumptions:</t>
  </si>
  <si>
    <t>PT, Vehicle &amp; Storage technologies are at TRL9</t>
  </si>
  <si>
    <t>Energy/Fuel distribution is in line with Diesel</t>
  </si>
  <si>
    <t>All PT &amp; all Segment trucks are available from OEMs</t>
  </si>
  <si>
    <t>On-road prices of vehicles stable</t>
  </si>
  <si>
    <t>Retail price of Fuel/Energy stable</t>
  </si>
  <si>
    <t>After sales support in place for all PTs</t>
  </si>
  <si>
    <t>Life of Truck is predictable</t>
  </si>
  <si>
    <t>Resale value of truck is established</t>
  </si>
  <si>
    <t>All necessary approvals incl PESO are available for all PTs</t>
  </si>
  <si>
    <t>Power Train Choice Model (PTCM) - Steady State (2045) Projections</t>
  </si>
  <si>
    <t>TIV Estimate in 2045</t>
  </si>
  <si>
    <t>Final Estimates</t>
  </si>
  <si>
    <t>Application</t>
  </si>
  <si>
    <t>Share of TIV (Year 2045)</t>
  </si>
  <si>
    <t>Impact (Rating 1-10)</t>
  </si>
  <si>
    <t>Impact factor weightage</t>
  </si>
  <si>
    <t>PT Mix Estimate</t>
  </si>
  <si>
    <t>Rated/ Overload</t>
  </si>
  <si>
    <t>Vehicle Price (Investment 20%)</t>
  </si>
  <si>
    <t>TAT / gradeability</t>
  </si>
  <si>
    <t>PT Mix</t>
  </si>
  <si>
    <t>PT Share</t>
  </si>
  <si>
    <t>Adjustment for delay in Powertrain Start of Supply</t>
  </si>
  <si>
    <t>Rated/ Overload/ Underload</t>
  </si>
  <si>
    <t>Grand Total (All Applications)</t>
  </si>
  <si>
    <t>Power Train Choice Model (PTCM) - 2055 Projections</t>
  </si>
  <si>
    <t>100% ZET Year</t>
  </si>
  <si>
    <t>TIV Estimate in 2055</t>
  </si>
  <si>
    <t>Power Train Choice Model (PTCM) - Steady State (2035) Projections</t>
  </si>
  <si>
    <t>TIV Estimate in 2035</t>
  </si>
  <si>
    <t>Grand Total Sales</t>
  </si>
  <si>
    <t>BET Share (%)</t>
  </si>
  <si>
    <t xml:space="preserve">BET Units </t>
  </si>
  <si>
    <t>H2 ICE Share (%)</t>
  </si>
  <si>
    <t>H2 ICE Units</t>
  </si>
  <si>
    <t>H2 FCET Share (%)</t>
  </si>
  <si>
    <t>H2 FCET Units</t>
  </si>
  <si>
    <t>LNG Units</t>
  </si>
  <si>
    <t>LNG Share %</t>
  </si>
  <si>
    <t>CNG Units</t>
  </si>
  <si>
    <t>CNG Share %</t>
  </si>
  <si>
    <t>Diesel Share%</t>
  </si>
  <si>
    <t>Total ZET Share</t>
  </si>
  <si>
    <t>Powertrain</t>
  </si>
  <si>
    <t>Start Year</t>
  </si>
  <si>
    <r>
      <t xml:space="preserve">Saturation Level </t>
    </r>
    <r>
      <rPr>
        <b/>
        <i/>
        <sz val="11"/>
        <color theme="1"/>
        <rFont val="Aptos"/>
        <family val="2"/>
      </rPr>
      <t>(a)</t>
    </r>
  </si>
  <si>
    <t>10% Inflection Year</t>
  </si>
  <si>
    <r>
      <t xml:space="preserve">Initial Pilot Share </t>
    </r>
    <r>
      <rPr>
        <b/>
        <i/>
        <sz val="12"/>
        <color theme="1"/>
        <rFont val="Aptos"/>
        <family val="2"/>
      </rPr>
      <t>Go</t>
    </r>
  </si>
  <si>
    <t>Displacement parameter(b)</t>
  </si>
  <si>
    <r>
      <t xml:space="preserve">Growth Rate </t>
    </r>
    <r>
      <rPr>
        <b/>
        <i/>
        <sz val="11"/>
        <color theme="1"/>
        <rFont val="Aptos"/>
        <family val="2"/>
      </rPr>
      <t>(c)</t>
    </r>
  </si>
  <si>
    <t>PTCM Market Share Value-2045</t>
  </si>
  <si>
    <t>Saturation Level Required to hit the 2055 values</t>
  </si>
  <si>
    <t>PTCM Market Share Value-2055</t>
  </si>
  <si>
    <t>H2-FCET</t>
  </si>
  <si>
    <t>Alpha</t>
  </si>
  <si>
    <t>Peak year</t>
  </si>
  <si>
    <t>Max Share(2045)</t>
  </si>
  <si>
    <t>Actual Units 2025</t>
  </si>
  <si>
    <t>2025 share</t>
  </si>
  <si>
    <t>BET Units BAU</t>
  </si>
  <si>
    <t>PTCM Market Share Value-2046</t>
  </si>
  <si>
    <t>Actual Saturation level(a)</t>
  </si>
  <si>
    <t>BETs</t>
  </si>
  <si>
    <t>Total Trucks</t>
  </si>
  <si>
    <t>Total ZETs</t>
  </si>
  <si>
    <t>Annual Sales - Diesel</t>
  </si>
  <si>
    <t>Sale</t>
  </si>
  <si>
    <t>Diesel Stock</t>
  </si>
  <si>
    <t>BET Stock</t>
  </si>
  <si>
    <t>H2ICE Stock</t>
  </si>
  <si>
    <t>FCET Stock</t>
  </si>
  <si>
    <t>Total Truck Stock</t>
  </si>
  <si>
    <t>Total ZET Stock</t>
  </si>
  <si>
    <t>More than 25 year old vehicles removed</t>
  </si>
  <si>
    <t>Sale 21 year back removed (20 year scrappage policy)</t>
  </si>
  <si>
    <t>TT | 46T - 55T</t>
  </si>
  <si>
    <t>Minerals &amp; Tippers Total</t>
  </si>
  <si>
    <t xml:space="preserve"> BET Stock </t>
  </si>
  <si>
    <t>H2 ICE Stock</t>
  </si>
  <si>
    <t>H2 FCET Stock</t>
  </si>
  <si>
    <t>CNG Stock</t>
  </si>
  <si>
    <t>LNG Stock</t>
  </si>
  <si>
    <t>Total Stock</t>
  </si>
  <si>
    <t>Segment</t>
  </si>
  <si>
    <t>Diesel Application Wise Stock</t>
  </si>
  <si>
    <t>BET Application wise stock</t>
  </si>
  <si>
    <t>H2 ICE Application Wise Stock</t>
  </si>
  <si>
    <t>H2 FCET Application wise Stock</t>
  </si>
  <si>
    <t>CNG Application Wise Stock</t>
  </si>
  <si>
    <t>LNG Application wise Stock</t>
  </si>
  <si>
    <t>Year/Application</t>
  </si>
  <si>
    <t>LNG Normalised Values</t>
  </si>
  <si>
    <t>CNG Normalised Values</t>
  </si>
  <si>
    <t xml:space="preserve"> </t>
  </si>
  <si>
    <t>Well-to-Tank (WTT)  kgCO2e/km</t>
  </si>
  <si>
    <t>Tank-to-Wheel (TTW) kgCO2e/km</t>
  </si>
  <si>
    <t>Total WTW (kgCO2​e/km)</t>
  </si>
  <si>
    <t>Primary Source</t>
  </si>
  <si>
    <t xml:space="preserve">Application </t>
  </si>
  <si>
    <t>No of working days</t>
  </si>
  <si>
    <t>Annual distance Covered</t>
  </si>
  <si>
    <t>Diesel kmpl</t>
  </si>
  <si>
    <t>H2-ICE km/kg</t>
  </si>
  <si>
    <t>H2-FCET km/kg</t>
  </si>
  <si>
    <t>BET km/kWh</t>
  </si>
  <si>
    <t>Diesel (kgCO2e/L)</t>
  </si>
  <si>
    <t>ZET Adoption Report</t>
  </si>
  <si>
    <t>CNG (kgCO2e/kg)</t>
  </si>
  <si>
    <t>NITI Aayog: LNG as Transportation Fuel (2024)</t>
  </si>
  <si>
    <t>LNG (kgCO2e/kg)</t>
  </si>
  <si>
    <t>T&amp;E / ICCT: LNG Trucks - A Dead End Bridge?</t>
  </si>
  <si>
    <t>BET (kgCO2e/kWh)</t>
  </si>
  <si>
    <t xml:space="preserve">ZET Adoption Report </t>
  </si>
  <si>
    <t>H2 ICE (Green) (kgCO2e/km)</t>
  </si>
  <si>
    <t>H2Accelerate / MDPI Research (2025)</t>
  </si>
  <si>
    <t>H2 FCET (Green) (kgCO2e/km)</t>
  </si>
  <si>
    <t>ICCT: Life-cycle GHG Emissions of HD Vehicles</t>
  </si>
  <si>
    <t>Diesel Emissions (Million Tonnes)</t>
  </si>
  <si>
    <t>Total Emissions</t>
  </si>
  <si>
    <t>CNG Emissions (Million Tonnes)</t>
  </si>
  <si>
    <t>LNG Emissions (Million Tonnes)</t>
  </si>
  <si>
    <t>BET Emissions (Million Tonnes)</t>
  </si>
  <si>
    <t>H2 ICE Emissions (Million Tonnes)</t>
  </si>
  <si>
    <t>H2 FCET Emissions (Million Tonnes)</t>
  </si>
  <si>
    <t>Diesel Emissions MT</t>
  </si>
  <si>
    <t>BET Emissions MT</t>
  </si>
  <si>
    <t>H2ICE Emissions MT</t>
  </si>
  <si>
    <t>H2 FCET Emissions MT</t>
  </si>
  <si>
    <t>CNG Emissions MT</t>
  </si>
  <si>
    <t>LNG Emissions MT</t>
  </si>
  <si>
    <t>Emission w/o PT Adoption</t>
  </si>
  <si>
    <t>Emission with PT Adoption</t>
  </si>
  <si>
    <t>Diesel Only Emissions</t>
  </si>
  <si>
    <t>Total emissions</t>
  </si>
  <si>
    <t>Diesel Energy Requirements (Million Litres)</t>
  </si>
  <si>
    <t>Total in Million Litres</t>
  </si>
  <si>
    <t>BET Energy Requirements TWh</t>
  </si>
  <si>
    <t>Total Energy Requirements TWh</t>
  </si>
  <si>
    <t>CNG Energy Requirements Million Tonnes</t>
  </si>
  <si>
    <t>Total Energy Requirements in Million Tonnes</t>
  </si>
  <si>
    <t>LNG Energy Requirements</t>
  </si>
  <si>
    <t>Total LNG Energy requirement in Million Tonnes</t>
  </si>
  <si>
    <t>H2 ICE Energy Requirements in Million Tonnes</t>
  </si>
  <si>
    <t>H2 FCET Energy Requirements in Million tonnes</t>
  </si>
  <si>
    <t>Total Energy requirements</t>
  </si>
  <si>
    <t>Only Diesel, No P/T Penetration Energy Requirements</t>
  </si>
  <si>
    <t>Total Energy Requirements</t>
  </si>
  <si>
    <t>Diesel Million Litres</t>
  </si>
  <si>
    <t>Diesel Million Litres- No P/T Adoption</t>
  </si>
  <si>
    <t>Diesel Savings Annual</t>
  </si>
  <si>
    <t>Cumulative Savings- Million Litres</t>
  </si>
  <si>
    <t>CNG in Million tonnes</t>
  </si>
  <si>
    <t>LNG in million tonnes</t>
  </si>
  <si>
    <t>H2 ICE(Green H2) in Million Tonnes</t>
  </si>
  <si>
    <t>H2 FCET (Green H2)in Million Tonnes</t>
  </si>
  <si>
    <t>BET in TWh</t>
  </si>
  <si>
    <t>Total Electricity Generation(Twh)</t>
  </si>
  <si>
    <t>% of grid electricity required</t>
  </si>
  <si>
    <t>Total H2</t>
  </si>
  <si>
    <t>Potential TIV 2045</t>
  </si>
  <si>
    <t>Rigid</t>
  </si>
  <si>
    <t>TT</t>
  </si>
  <si>
    <t>Bucket 4 Parcel Load 19T</t>
  </si>
  <si>
    <t>Cement 55T Tractor</t>
  </si>
  <si>
    <t>Bucket 11 
- Steel &amp; Metal Products (Lead Model 55T)</t>
  </si>
  <si>
    <t>Bucket 12 Petroleum and CNG Tankers-28T Rigid</t>
  </si>
  <si>
    <t>Bucket 5 Parcel Load 28T</t>
  </si>
  <si>
    <t>Perishables 15T rigid</t>
  </si>
  <si>
    <t>Construction and Mining 28 Tipper</t>
  </si>
  <si>
    <t>Construction and Mining 35 Tipper</t>
  </si>
  <si>
    <t>Cement 48T Rigid</t>
  </si>
  <si>
    <t>Bucket 13 Non POL-28T Rigid</t>
  </si>
  <si>
    <t>Bucket 13 LPG-28T Rigid</t>
  </si>
  <si>
    <t>Maintenance Cost Break-up (7 years average)</t>
  </si>
  <si>
    <t>AMC 6 year (100K or 3000 hrs) Rs.</t>
  </si>
  <si>
    <t>Suspension &amp; Body maint. Cost</t>
  </si>
  <si>
    <t>No. of Rib tyres</t>
  </si>
  <si>
    <t>No. of Lug tyres</t>
  </si>
  <si>
    <t>Tyre price (Rib) Rs.</t>
  </si>
  <si>
    <t>Tyre price (Lug) Rs.</t>
  </si>
  <si>
    <t>Retreading cost Rs.</t>
  </si>
  <si>
    <t>Est. life (OE+one time RT) kms</t>
  </si>
  <si>
    <t>Tyre cost</t>
  </si>
  <si>
    <t>Diesel Maint. Cost Rs/km</t>
  </si>
  <si>
    <t>Addl. Cost for CNG/ LNG/H2ICE</t>
  </si>
  <si>
    <t>BET Maint. Cost incl Battery Replacement</t>
  </si>
  <si>
    <t>Fuel Cell Cost</t>
  </si>
  <si>
    <t>Fuel Cell Cost per km</t>
  </si>
  <si>
    <t>Addl. AMC for Fuel Cell System</t>
  </si>
  <si>
    <t>FCET AMC incl Battery Replacement</t>
  </si>
  <si>
    <t>Rs.</t>
  </si>
  <si>
    <t>Rs./km</t>
  </si>
  <si>
    <t>Engine Running Hrs./Day</t>
  </si>
  <si>
    <t>CNG  km/kg</t>
  </si>
  <si>
    <t>LNG  km/kg</t>
  </si>
  <si>
    <t>Product &amp; Eco-system Readiness (Year):</t>
  </si>
  <si>
    <t>Inflection Point (10% share)</t>
  </si>
  <si>
    <t>BS7 Increase effective 2030 (Same as Diesel Truck)</t>
  </si>
  <si>
    <t>BS7 Increase effective 2030 (Rs.2,00,000/- less than Diesel Truck)</t>
  </si>
  <si>
    <t>BS7 Increase</t>
  </si>
  <si>
    <t>Addl. Over ICET</t>
  </si>
  <si>
    <t>Parameters</t>
  </si>
  <si>
    <t>Subsidy/kWh</t>
  </si>
  <si>
    <t>2031-35</t>
  </si>
  <si>
    <t>2026-30</t>
  </si>
  <si>
    <t>Revised GVW BET/FCET</t>
  </si>
  <si>
    <t>Energy Subsidy  per kWh till 2040</t>
  </si>
  <si>
    <t>`Toll Till 2033</t>
  </si>
  <si>
    <t>2034-39</t>
  </si>
  <si>
    <t>BET Vs Diesel</t>
  </si>
  <si>
    <t>H2 ICE Vs Diesel</t>
  </si>
  <si>
    <t>H2 FCET Vs Diesel</t>
  </si>
  <si>
    <t>Finance Tenure (Diesel/CNG/LNG)</t>
  </si>
  <si>
    <t>Interest Rate p.a (Diesel/CNG/LNG)</t>
  </si>
  <si>
    <t>Finance Tenure (BET/H2 ICE/FCET)</t>
  </si>
  <si>
    <t>Interest Rate p.a (BET/H2 ICE/FCET)</t>
  </si>
  <si>
    <t>Revised GVW for BET</t>
  </si>
  <si>
    <t>Revised GVW for FCET</t>
  </si>
  <si>
    <t>Relative Weightage</t>
  </si>
  <si>
    <t>TCO Parity with Diesel Scenario 1</t>
  </si>
  <si>
    <t>Annual Emission Reduction</t>
  </si>
  <si>
    <t>Cummulative Emission Reduction</t>
  </si>
  <si>
    <t>Billion Litres</t>
  </si>
  <si>
    <t>For 330:</t>
  </si>
  <si>
    <t>For 100:</t>
  </si>
  <si>
    <t>(2025-27)</t>
  </si>
  <si>
    <t>(2028)</t>
  </si>
  <si>
    <t>(2029)</t>
  </si>
  <si>
    <t>(2030)</t>
  </si>
  <si>
    <t>GVW Increase for BETs</t>
  </si>
  <si>
    <t>GVW Increase for FCETs</t>
  </si>
  <si>
    <t>Total ZET Units</t>
  </si>
  <si>
    <t>Parameter Values</t>
  </si>
  <si>
    <t>PT Mix - 2045 Estimates</t>
  </si>
  <si>
    <t>PT Mix - 2055 Estimates</t>
  </si>
  <si>
    <t>CO2 Reduction (Cum.)</t>
  </si>
  <si>
    <t>Cum. Diesel Savings</t>
  </si>
  <si>
    <t>H2 Reqd. in 2055</t>
  </si>
  <si>
    <t>Energy Reqd. in 2055</t>
  </si>
  <si>
    <t>Bil. Tons</t>
  </si>
  <si>
    <t>Bil. Ltrs.</t>
  </si>
  <si>
    <t>Mil. Tons</t>
  </si>
  <si>
    <t>TWh</t>
  </si>
  <si>
    <t>KMs run in 7 years</t>
  </si>
  <si>
    <t xml:space="preserve">Diesel power train component </t>
  </si>
  <si>
    <t>Base Vehicle AMC (Diesel)</t>
  </si>
  <si>
    <t>* - Cost taken as Rs.0.5 per 100 kWhr battery pack for haulage/tractors &amp; Rs..75 for tipper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</si>
  <si>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</si>
  <si>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</si>
  <si>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</si>
  <si>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</si>
  <si>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</si>
  <si>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</si>
  <si>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</si>
  <si>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</si>
  <si>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</si>
  <si>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</si>
  <si>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BET related maintenance cost including Battery Replacement (Rs./km)</t>
  </si>
  <si>
    <t>Base Value 2025</t>
  </si>
  <si>
    <t>Value 2055</t>
  </si>
  <si>
    <t>Trend</t>
  </si>
  <si>
    <t>Remarks</t>
  </si>
  <si>
    <t>2036-40</t>
  </si>
  <si>
    <t>2041-45</t>
  </si>
  <si>
    <t>2046-56</t>
  </si>
  <si>
    <t>2050-55</t>
  </si>
  <si>
    <t>(Annual values as per WRI Estimates)</t>
  </si>
  <si>
    <t>Cost of Engine &amp; Transmission (Diesel)</t>
  </si>
  <si>
    <t>Cost of e-Powertrain</t>
  </si>
  <si>
    <t>Diesel Vehicle Cost (Acquistion Cost incl. body/trailer, permit, registration, etc.)</t>
  </si>
  <si>
    <t>CNG Vehicle Cost (Rs.)</t>
  </si>
  <si>
    <t>LNG Vehicle Cost (Rs.)</t>
  </si>
  <si>
    <t>Diesel Truck Cost + LNG Cyl Cost + LNG System Cost</t>
  </si>
  <si>
    <t>H2 ICE Vehicle Cost (Rs.)</t>
  </si>
  <si>
    <t>Diesel Truck Cost + H2 ICE Cylinder &amp; System Cost</t>
  </si>
  <si>
    <t>BET Mfg. Cost (% of Battery Cost)</t>
  </si>
  <si>
    <t>All Models</t>
  </si>
  <si>
    <t>50% to 35% Manual entry</t>
  </si>
  <si>
    <t>BET Cost (Rs.)</t>
  </si>
  <si>
    <t>Cost of (Diesel Truck - Eng. &amp; Transmsn + ePowertrain) + Battery) + BET Mfg. Cost</t>
  </si>
  <si>
    <t>FCET Mfg. Cost (% of Battery+FC Cost)</t>
  </si>
  <si>
    <t>FCET Cost (Rs.)</t>
  </si>
  <si>
    <t>Cost of (Diesel Truck - Eng. &amp; Transmsn + ePowertrain) + Battery + FC) + FCET Mfg. Cost</t>
  </si>
  <si>
    <t>Maint. Cost - Diesel (Rs./km)</t>
  </si>
  <si>
    <t>28T Mkt Load</t>
  </si>
  <si>
    <t>Maint. Cost - CNG, LNG &amp; H2 ICE (Rs./km)</t>
  </si>
  <si>
    <t>Maint. Cost - BET incl Bat. Repl. (Rs./km)</t>
  </si>
  <si>
    <t>Maint. Cost - FCET incl Bat &amp; FC Repl. (Rs./km)</t>
  </si>
  <si>
    <t>Toll Charges (Rs./km)</t>
  </si>
  <si>
    <t>Manpower Cost ICE Trucks (Rs./annum)</t>
  </si>
  <si>
    <t>Manpower Cost BETs &amp; FCETs (Rs./annum)</t>
  </si>
  <si>
    <t>Diesel Powertrain Maintenance Cost</t>
  </si>
  <si>
    <t>FC Rated Power kW</t>
  </si>
  <si>
    <t>H2 FCET related maintenance cost including Battery and Fuel Cell Replacement</t>
  </si>
  <si>
    <t>Toll Charges per km. - Diesel, CNG &amp; LNG Trucks</t>
  </si>
  <si>
    <t>Toll Charges per km. - ZETs</t>
  </si>
  <si>
    <t>Adblue Consumption/ litre of Diesel Consumed</t>
  </si>
  <si>
    <t>Battery Life (full charging cycles)</t>
  </si>
  <si>
    <t>Fuel Cell Life (hrs. of operation)</t>
  </si>
  <si>
    <t>Battery Energy Density (kg./kWh)</t>
  </si>
  <si>
    <t>Fuel Cell Power Density (kg./kW)</t>
  </si>
  <si>
    <t>Funding</t>
  </si>
  <si>
    <t>Insurance Rate (% of Vehicle Price)</t>
  </si>
  <si>
    <t>Used for calculation of Payload reduction</t>
  </si>
  <si>
    <t>Tenure (years)</t>
  </si>
  <si>
    <t>Product &amp; Eco-system Readiness (Year)</t>
  </si>
  <si>
    <t>19T Rigid Parcel</t>
  </si>
  <si>
    <t>28T Rigid Market L</t>
  </si>
  <si>
    <t>19T Rigid Market L</t>
  </si>
  <si>
    <t>48T Rigid Market L</t>
  </si>
  <si>
    <t>28T Rigid Parcel</t>
  </si>
  <si>
    <t>15T Rigid Perishble</t>
  </si>
  <si>
    <t>28T Tip C&amp;M</t>
  </si>
  <si>
    <t>35T Tip C&amp;M</t>
  </si>
  <si>
    <t>48T Rigid Cement</t>
  </si>
  <si>
    <t>55T TT Cement</t>
  </si>
  <si>
    <t>28T Rigid POL Tnkr</t>
  </si>
  <si>
    <t>28T Rigid NonPOL</t>
  </si>
  <si>
    <t>40T TT LPG</t>
  </si>
  <si>
    <t>Fuel/Energy Efficienchy (kmpl, km.kg &amp; kWh/km</t>
  </si>
  <si>
    <t>Weights (kgs.)</t>
  </si>
  <si>
    <t>ULW (Diesel Truck)</t>
  </si>
  <si>
    <t>ULW (ICE Trucks)</t>
  </si>
  <si>
    <t>CNG/LNG/H2 ICE</t>
  </si>
  <si>
    <r>
      <t xml:space="preserve">Maintenance Cost per km (incl. Tyres, suspension/body repairs, Battery &amp; Fuel Cell Replacements (average for 10 years of operation) - Rs./km. </t>
    </r>
    <r>
      <rPr>
        <b/>
        <sz val="14"/>
        <color rgb="FFFF0000"/>
        <rFont val="Aptos Narrow"/>
        <family val="2"/>
        <scheme val="minor"/>
      </rPr>
      <t>in 2025</t>
    </r>
  </si>
  <si>
    <r>
      <t xml:space="preserve">Maintenance Cost per km (incl. Tyres, suspension/body repairs, Battery &amp; Fuel Cell Replacements (average for 10 years of operation) - Rs./km. </t>
    </r>
    <r>
      <rPr>
        <b/>
        <sz val="14"/>
        <color rgb="FFFF0000"/>
        <rFont val="Aptos Narrow"/>
        <family val="2"/>
        <scheme val="minor"/>
      </rPr>
      <t>in 2055</t>
    </r>
  </si>
  <si>
    <t>15T/19T/28T Rigid &amp; 40T TT</t>
  </si>
  <si>
    <t>28T/35T Rigid</t>
  </si>
  <si>
    <t>Other Model costs in hidden rows</t>
  </si>
  <si>
    <t>As per our discussion during review</t>
  </si>
  <si>
    <t>Capacity (ltrs.)</t>
  </si>
  <si>
    <t>CNG Density (kg./ltr.)</t>
  </si>
  <si>
    <t>Capacity (kgs.)</t>
  </si>
  <si>
    <t>Cost (Rs.)</t>
  </si>
  <si>
    <t>LNG Density (kg./ltr.)</t>
  </si>
  <si>
    <t>H2 Density (kg./cu.M)</t>
  </si>
  <si>
    <t>CNG Cylinders in Vehicle</t>
  </si>
  <si>
    <t>LNG Cylinders in Vehicle</t>
  </si>
  <si>
    <t>H2 Cylinders in Vehicle (350 bar pressure)</t>
  </si>
  <si>
    <t>For 220:</t>
  </si>
  <si>
    <t>For 70:</t>
  </si>
  <si>
    <t>TCO 28T Parcel Load (H2 Cost in 2055 - 220/70)</t>
  </si>
  <si>
    <t>TCO 48T Market Load (H2 Cost in 2055 - 220/70)</t>
  </si>
  <si>
    <t>TCO 19T Market Load (H2 Cost in 2055 - 220/70)</t>
  </si>
  <si>
    <t>TCO 15T Perishables (H2 Cost in 2055 - 220/70)</t>
  </si>
  <si>
    <t>TCO 28Tipper Const. &amp; Mining (H2 Cost in 2055 - 220/70)</t>
  </si>
  <si>
    <t>TCO 55T TT Cement (H2 Cost in 2055 - 220/70)</t>
  </si>
  <si>
    <t>TCO 40T TT LPG (H2 Cost in 2055 - 220/70)</t>
  </si>
  <si>
    <t>H2 Cost in 2055 - 220/70</t>
  </si>
  <si>
    <t>H2 Cost in 2055 - 330/100</t>
  </si>
  <si>
    <t>Diff with Diesel</t>
  </si>
  <si>
    <t>TCO 2025</t>
  </si>
  <si>
    <t>TCO 2055</t>
  </si>
  <si>
    <t>19T Market Load (H2 Cost in 2055 - 220/70)</t>
  </si>
  <si>
    <t>48T Market Load (H2 Cost in 2055 - 220/70)</t>
  </si>
  <si>
    <t>28T Parcel Load (H2 Cost in 2055 - 220/70)</t>
  </si>
  <si>
    <t>15T Perishables (H2 Cost in 2055 - 220/70)</t>
  </si>
  <si>
    <t>28Tipper Const. &amp; Mining (H2 Cost in 2055 - 220/70)</t>
  </si>
  <si>
    <t>55T TT Cement (H2 Cost in 2055 - 220/70)</t>
  </si>
  <si>
    <t>40T TT LPG (H2 Cost in 2055 - 220/70)</t>
  </si>
  <si>
    <t>TCO Comparison (Rs./km) - Summary</t>
  </si>
  <si>
    <t>Diff with BET</t>
  </si>
  <si>
    <t>Bucket/ Application/ Model</t>
  </si>
  <si>
    <t>Bucket 1: 
Market Load 19T Rigid</t>
  </si>
  <si>
    <t xml:space="preserve">Bucket 2: 
Market Load 28T Rigid </t>
  </si>
  <si>
    <t>Bucket 3: 
Market Load 48T Rigid</t>
  </si>
  <si>
    <t>Bucket 4: 
Parcel Load &amp; FMCG 19T Rigid</t>
  </si>
  <si>
    <t>Bucket 5: 
Parcel Load &amp; FMCG 28T Rigid</t>
  </si>
  <si>
    <t>Bucket 6: 
Perishables 15T Rigid</t>
  </si>
  <si>
    <t>Bucket 7: 
Construction and Mining 28T Tipper</t>
  </si>
  <si>
    <t>Bucket 8: 
Construction and Mining 35T Tipper</t>
  </si>
  <si>
    <t xml:space="preserve">Bucket 9: 
Cement 48T Rigid </t>
  </si>
  <si>
    <t>Bucket 10: 
Cement 55T Tractor</t>
  </si>
  <si>
    <t>Bucket 11: 
Steel &amp; Metal Products 55T Tractor</t>
  </si>
  <si>
    <t>Bucket 12: 
POL Tankers 28T Rigid</t>
  </si>
  <si>
    <t>Bucket 13: 
Non POL Tankers 28T Rigid</t>
  </si>
  <si>
    <t>Bucket 14: 
LPG Bullet Tankers 40T Tractor</t>
  </si>
  <si>
    <t>Total TIV</t>
  </si>
  <si>
    <t>CAGR</t>
  </si>
  <si>
    <t>35T/48T Rigid, 28T/35T Tip &amp; 55T TT</t>
  </si>
  <si>
    <t>Cost of replacemnt battery(2032 price for 2025 est.)</t>
  </si>
  <si>
    <t>Full charge cycles in 7 yrs.</t>
  </si>
  <si>
    <t>No. of replacmnts (max once)</t>
  </si>
  <si>
    <t xml:space="preserve">Battery replacemnt cost/km </t>
  </si>
  <si>
    <t>Battery salvage value/km @ Rs.250/kWh</t>
  </si>
  <si>
    <t>ePowertrain maint. cost/km</t>
  </si>
  <si>
    <t>Addl. cost for BET</t>
  </si>
  <si>
    <t>kms.</t>
  </si>
  <si>
    <t>kWh.</t>
  </si>
  <si>
    <t>Energy consumption</t>
  </si>
  <si>
    <t>nos.</t>
  </si>
  <si>
    <t>Annual Distance</t>
  </si>
  <si>
    <t>Yrs.</t>
  </si>
  <si>
    <t>Battery replacement cost per km net of salvage value - Rs./km</t>
  </si>
  <si>
    <t>CNG/LNG/ H2 ICE Maint. Cost</t>
  </si>
  <si>
    <t>Application/Usecase</t>
  </si>
  <si>
    <t>Diesel Vehicle Cost + CNG Cylinders Cost in 2025</t>
  </si>
  <si>
    <t>Value</t>
  </si>
  <si>
    <t>Year range</t>
  </si>
  <si>
    <t>Change %</t>
  </si>
  <si>
    <t>What</t>
  </si>
  <si>
    <t>How</t>
  </si>
  <si>
    <t>Drop down</t>
  </si>
  <si>
    <t>2026 to 2055</t>
  </si>
  <si>
    <t>2025-30
2031-35
2036-40
2041-45
2046-50
2051-55</t>
  </si>
  <si>
    <t>Values/ Restriction</t>
  </si>
  <si>
    <t>Default</t>
  </si>
  <si>
    <t>Max. Rs.500</t>
  </si>
  <si>
    <t>Value Entry</t>
  </si>
  <si>
    <t>CAGR %</t>
  </si>
  <si>
    <t>Max. 10%</t>
  </si>
  <si>
    <t>Energy Price (incl. CAAS)</t>
  </si>
  <si>
    <t>Green H2 Prodn. Cost</t>
  </si>
  <si>
    <t>H2 Compression, Transportation &amp; Dispense Cost</t>
  </si>
  <si>
    <t xml:space="preserve">Diesel/LNG/CNG Price </t>
  </si>
  <si>
    <t>Battery Price / kWh</t>
  </si>
  <si>
    <t>Fuel Cell Price / kW</t>
  </si>
  <si>
    <t>4 digit value</t>
  </si>
  <si>
    <t>Fuel Cell Life (no.of Hours)</t>
  </si>
  <si>
    <t>5 digit value</t>
  </si>
  <si>
    <t>Funding (non-ZETs)</t>
  </si>
  <si>
    <t>Rate</t>
  </si>
  <si>
    <t>7 Years</t>
  </si>
  <si>
    <t>Funding (ZETs)</t>
  </si>
  <si>
    <t>H2 Cost in 2055 - 170/70</t>
  </si>
  <si>
    <t>For 170:</t>
  </si>
  <si>
    <t>Rs./kWh</t>
  </si>
  <si>
    <t>Increasing capacity utilisation will bring down costs initially</t>
  </si>
  <si>
    <t>Capex (@$1.25/kg. as per RIL)</t>
  </si>
  <si>
    <t>Opex &amp; margin</t>
  </si>
  <si>
    <t>Rs./kg</t>
  </si>
  <si>
    <t>H2 Cost in line with new Electricity Cost</t>
  </si>
  <si>
    <t>Battery Life (no.of Cycles)</t>
  </si>
  <si>
    <t>BET Related Aggregates Maintenance Cost/km incl Battery Replacement (for Each Bucket)</t>
  </si>
  <si>
    <t>B1 to B14</t>
  </si>
  <si>
    <t>FCET Related Aggregates Maintenance Cost/km incl Battery &amp; FC Replacement (for Each Bucket)</t>
  </si>
  <si>
    <t>Maint. Cost</t>
  </si>
  <si>
    <t>Diesel Maintenance Cost/km (for Each Bucket)</t>
  </si>
  <si>
    <t>Electricity incl DC</t>
  </si>
  <si>
    <t>Real Estate</t>
  </si>
  <si>
    <t>Charging Infra</t>
  </si>
  <si>
    <t>Electricity incl CAAS (Rs./kWh)</t>
  </si>
  <si>
    <t>Grey H2 Prodn Cost/kg</t>
  </si>
  <si>
    <t>Opex &amp; Margin</t>
  </si>
  <si>
    <t>Capex (USD1.25)</t>
  </si>
  <si>
    <t>Energy Cost</t>
  </si>
  <si>
    <t xml:space="preserve">TCO  </t>
  </si>
  <si>
    <t>Land cost</t>
  </si>
  <si>
    <t xml:space="preserve">Cost of Electricity for Green H2 Prodn. </t>
  </si>
  <si>
    <t>kWh per kg of H2 Prodn.</t>
  </si>
  <si>
    <t>Adjustment for Potential TIV</t>
  </si>
  <si>
    <t>Power Train Share (Final)</t>
  </si>
  <si>
    <t>Power Train Volume (Final)</t>
  </si>
  <si>
    <t>2035 TIV:</t>
  </si>
  <si>
    <t>2040 TIV:</t>
  </si>
  <si>
    <t>Paramater Impact Rating - Scale $D8*$E$2</t>
  </si>
  <si>
    <t>2050 TIV:</t>
  </si>
  <si>
    <t>Power Train Choice Model (PTCM) - Steady State (2050) Projections</t>
  </si>
  <si>
    <t>TIV Estimate in 2050</t>
  </si>
  <si>
    <t>Target 2050</t>
  </si>
  <si>
    <t>Base@2045</t>
  </si>
  <si>
    <t>Base@2050</t>
  </si>
  <si>
    <t>Base@2055</t>
  </si>
  <si>
    <t>2055 Value estimates</t>
  </si>
  <si>
    <t>2055 Diesel VE</t>
  </si>
  <si>
    <t>Potential TIV 2035</t>
  </si>
  <si>
    <t>Potential TIV 2040</t>
  </si>
  <si>
    <t>Potential TIV 2050</t>
  </si>
  <si>
    <t>Choice Factor</t>
  </si>
  <si>
    <t>Choice Factor Estimate</t>
  </si>
  <si>
    <t>2050 Value</t>
  </si>
  <si>
    <t>2045 Value</t>
  </si>
  <si>
    <t>2040 Value</t>
  </si>
  <si>
    <t>2035 Value</t>
  </si>
  <si>
    <t>2035 TIV</t>
  </si>
  <si>
    <t>2040 TIV</t>
  </si>
  <si>
    <t>2045 TIV</t>
  </si>
  <si>
    <t>2050 TIV</t>
  </si>
  <si>
    <t>Power Train Choice Model (PTCM) - 2040 Projections</t>
  </si>
  <si>
    <t>TIV 2055</t>
  </si>
  <si>
    <t>Reduction in general power tariff</t>
  </si>
  <si>
    <t>Economics of BET charging infrastructure - 4 nos. 240kW chargers</t>
  </si>
  <si>
    <t>Space required for 1 BET charging bay</t>
  </si>
  <si>
    <t>Space required for waiting vehicle</t>
  </si>
  <si>
    <t>Space required for maneuvring</t>
  </si>
  <si>
    <t>Space required per charging bay</t>
  </si>
  <si>
    <t>Area per acre in sft</t>
  </si>
  <si>
    <t>Less - Allowance for land constraints / office space</t>
  </si>
  <si>
    <t>Available for charger bay</t>
  </si>
  <si>
    <t>No. of bays possible in 1 acre *</t>
  </si>
  <si>
    <t>* Can be slightly higher in captive chargers (eg. In warehouses, factories where waiting space need not be high)</t>
  </si>
  <si>
    <t>Assuming land cost of Rs.2 crores per acre :</t>
  </si>
  <si>
    <t>For 0.5 acre plot / 2 chargers</t>
  </si>
  <si>
    <t>Rs. Lacs</t>
  </si>
  <si>
    <t>Cost of 240kW chargers (20L x4)</t>
  </si>
  <si>
    <t>(includes civil work, installation)</t>
  </si>
  <si>
    <t>Power connection expenses (HT line, transformer etc)</t>
  </si>
  <si>
    <t>Capex excluding land</t>
  </si>
  <si>
    <t>Assuming 25 days/month operation; for 4 chargers - energy dispensation</t>
  </si>
  <si>
    <t>For Captive user (Shipper / Operator)</t>
  </si>
  <si>
    <t>Monthly demand charges (for 960kW) - Rs. 305/kVA; power factor taken as 0.98 (Rs. Lacs)</t>
  </si>
  <si>
    <t>Man power  (2 person / 2 shift) - Rs. Lacs</t>
  </si>
  <si>
    <t>Administrative overheads @10% of manpower cost Rs. Lacs</t>
  </si>
  <si>
    <t>Fixed cost per month (Rs. Lacs)</t>
  </si>
  <si>
    <t>No. of hours operated per day</t>
  </si>
  <si>
    <t>Capacity utilisation (based on max 20 hrs charging / day)</t>
  </si>
  <si>
    <t>Energy  dispensed per month (kWh)</t>
  </si>
  <si>
    <t>Monthly fixed cost amortised over energy dispensed (Rs./kWh)</t>
  </si>
  <si>
    <t>Total energy dispensed in 5 years (kWh)</t>
  </si>
  <si>
    <t>Capex amortisation over 5 years (Rs./kWh)</t>
  </si>
  <si>
    <t>Total additional cost incurred by operator/shipper - Rs/kWh</t>
  </si>
  <si>
    <t>For Charging As Service  (CAS) operator</t>
  </si>
  <si>
    <t>Monthly demand charges (for 960kW) - Rs. 305/kVA; power factor taken as 0.98 - Rs. Lacs</t>
  </si>
  <si>
    <t>Man power  cost (2 person / 2 shift) - Rs. Lacs</t>
  </si>
  <si>
    <t>Land rental taken @ 4% pa &amp; 3% increase pa - Rs. Lacs</t>
  </si>
  <si>
    <t>Administrative overheads @5% of manpower cost Rs. Lacs</t>
  </si>
  <si>
    <t>Fixed cost per month</t>
  </si>
  <si>
    <t>Power dispensed per month (kW)</t>
  </si>
  <si>
    <t>Monthly fixed cost amortised over power dispensed (Rs./kW)</t>
  </si>
  <si>
    <t>Total power dispensed in 5 years (kW)</t>
  </si>
  <si>
    <t>Capex amortisation over 5 years (Rs./kW)</t>
  </si>
  <si>
    <t>Total additional cost incurred by CAS operator (excluding energy cost)</t>
  </si>
  <si>
    <t>Add - profit margin for CAS operator @ 10%</t>
  </si>
  <si>
    <t>Price charged by CAS operator to shipper/operator</t>
  </si>
  <si>
    <t>Averaged over 5 year tenure</t>
  </si>
  <si>
    <t>Capex amortised in first 5 years</t>
  </si>
  <si>
    <t>Closed loop runs</t>
  </si>
  <si>
    <t xml:space="preserve">Only captive use tippers &amp; RMC trucks will have closed loop operation </t>
  </si>
  <si>
    <t>Point 2 Point movement</t>
  </si>
  <si>
    <t>Application coverage inline with ecosystem maturity</t>
  </si>
  <si>
    <t>Closed loop runs - charging locations</t>
  </si>
  <si>
    <t>Operator end</t>
  </si>
  <si>
    <t>Closed loop operation usually run by larger fleet owners and are more likley to invest on own infra &amp; may have good economics</t>
  </si>
  <si>
    <t>Shipper end</t>
  </si>
  <si>
    <t>Shippers may quickly offload charging to operators</t>
  </si>
  <si>
    <t>Public charging</t>
  </si>
  <si>
    <t>Adoption to public charging can be slower due to good economics by operators</t>
  </si>
  <si>
    <t>Operators may find difficulty in establishing own network due to multiple routes</t>
  </si>
  <si>
    <t>Dependancy on public chargers higher due to lead distances</t>
  </si>
  <si>
    <t>Overall share</t>
  </si>
  <si>
    <t>Cost of electricity from DISCOM Rs./kW</t>
  </si>
  <si>
    <t>Charging mix</t>
  </si>
  <si>
    <t>By Operator/Shipper</t>
  </si>
  <si>
    <t>By CAAS operator</t>
  </si>
  <si>
    <t>For Operator / Shipper</t>
  </si>
  <si>
    <t>Electricity purchase cost - Rs./kWh</t>
  </si>
  <si>
    <t>Add on for - Operator/Shipper - Rs./kWh</t>
  </si>
  <si>
    <t>Cost of charging - Rs./kWh</t>
  </si>
  <si>
    <t>For CAS operator</t>
  </si>
  <si>
    <t xml:space="preserve">Govt Subsidy/DISCOM discount for CAS on energy cost </t>
  </si>
  <si>
    <t>Less - subsidy/discount for CAS on electricity cost - Rs./kWh</t>
  </si>
  <si>
    <t>Add on for - CAAS operator - Rs./kWh</t>
  </si>
  <si>
    <t>Extra for CAS charging  over captive charging</t>
  </si>
  <si>
    <t>Weighted average energy cost to truck operator Rs./kWhr</t>
  </si>
  <si>
    <t>Note - End price charged by CAS operator</t>
  </si>
  <si>
    <t>Add GST @ 18% (not considered as cost due to input credit)</t>
  </si>
  <si>
    <t>Price payable by truck operator</t>
  </si>
  <si>
    <t>Increasing capacity utilisation may keep land cost down initially</t>
  </si>
  <si>
    <t>Weighted average cost - captive/CAS charging</t>
  </si>
  <si>
    <t>Cost of electricity from DISCOM Rs./kWh</t>
  </si>
  <si>
    <t>Other costs (land/CAS margin etc.) Rs./kWh</t>
  </si>
  <si>
    <t>Assumptions</t>
  </si>
  <si>
    <t>Power tariff assumption :</t>
  </si>
  <si>
    <t>Renewable still smaller portion of overall energy mix - hence increasing</t>
  </si>
  <si>
    <t>Currently CAS operators main challenge is low capacity utilisation (~10%) which leads to high cost unit kW</t>
  </si>
  <si>
    <t>RE Power peaks in this decade. Energy prices dropping continously</t>
  </si>
  <si>
    <t>This is mainly due to high share of closed loop operation, where charging infra is with shippers now</t>
  </si>
  <si>
    <t>2041-50</t>
  </si>
  <si>
    <t>RE price continues to drop - albeit slowly.</t>
  </si>
  <si>
    <t>Around 80% of M&amp;HDV truck operation is point to point, which will call for enroute charging</t>
  </si>
  <si>
    <t>2051-55</t>
  </si>
  <si>
    <t>Electricity prices increase due to government levies imposed (to compensate diesel revenue loss)</t>
  </si>
  <si>
    <t>Hence shift to public charging infra is inevitable in long run.</t>
  </si>
  <si>
    <t>We foresee capacity utilisation for CAS operators to reach parity with captive chargers by 2035</t>
  </si>
  <si>
    <t>This, coupled with incentives/bulk discounts likely from DISCOMs / government incentives to CAS operators expected to reduce cost significantly</t>
  </si>
  <si>
    <t>Final Values for Model</t>
  </si>
  <si>
    <t>Fixed demand charges Rs/kWh</t>
  </si>
  <si>
    <t>Total Charging infra cost Rs./kWh</t>
  </si>
  <si>
    <t>Charging infra - Land, Capex+Opex incl Margin</t>
  </si>
  <si>
    <t>Fixed/Demand Charges</t>
  </si>
  <si>
    <t>Target 2045</t>
  </si>
  <si>
    <t>Target 2055</t>
  </si>
  <si>
    <t>Estimation Year:</t>
  </si>
  <si>
    <t>100% ZET Year:</t>
  </si>
  <si>
    <t>2055 TIV:</t>
  </si>
  <si>
    <t xml:space="preserve">Adjustment for delay in Powertrain Maturity Year </t>
  </si>
  <si>
    <t>PT Maturity Delay Factor</t>
  </si>
  <si>
    <t>TCO Parity with Diesel</t>
  </si>
  <si>
    <t>Produt Pilot (Year)</t>
  </si>
  <si>
    <t>Delay in Power Train Maturity Adjusted</t>
  </si>
  <si>
    <t>PT Share after Adjustment</t>
  </si>
  <si>
    <t>PT Volume after Adjustment</t>
  </si>
  <si>
    <t>Grand Total - All Applications &amp; Segments</t>
  </si>
  <si>
    <t>PT Volume</t>
  </si>
  <si>
    <t>Adjustment for delay in PT Maturity</t>
  </si>
  <si>
    <t>PT Start of Supply Year</t>
  </si>
  <si>
    <t>PT Maturity Year</t>
  </si>
  <si>
    <t>Diff with BET (Rs.)</t>
  </si>
  <si>
    <t>Diff with BET (%)</t>
  </si>
  <si>
    <t>Vaahan Data</t>
  </si>
  <si>
    <t>About 7.5 lakhs trucks more than 25 yo are onroad, which are removed at 1,25,000 every year from next 8 years estimates</t>
  </si>
  <si>
    <t>Inflection Point (3%):</t>
  </si>
  <si>
    <t>Inflection Year (3%)</t>
  </si>
  <si>
    <t>PTCM Adoption Value-2045</t>
  </si>
  <si>
    <t>PTCM Adoption Value-2055</t>
  </si>
  <si>
    <t>PTCM Adoption Value-2050</t>
  </si>
  <si>
    <t>Power Train Maturity Year - Products, Technology &amp; Eco-system</t>
  </si>
  <si>
    <t>Product Start of Sale - All Geography/Variants Year</t>
  </si>
  <si>
    <t>Product Pilot Year/ Base Year</t>
  </si>
  <si>
    <t>Diesel/CNG/LNG</t>
  </si>
  <si>
    <t>Maturity (Technology, Products &amp; Eco-system)</t>
  </si>
  <si>
    <t>Inflection Point (3% Share)</t>
  </si>
  <si>
    <t>Value (2055)</t>
  </si>
  <si>
    <t>Base Value (2025)</t>
  </si>
  <si>
    <t>Diesel Truck Price</t>
  </si>
  <si>
    <t>CNG Truck Price</t>
  </si>
  <si>
    <t>LNG Truck Price</t>
  </si>
  <si>
    <t>CNG Cylinder Cost</t>
  </si>
  <si>
    <t>LNG Cylinder Cost per kg. of LNG</t>
  </si>
  <si>
    <t>LNG Pipe/Valves System Cost</t>
  </si>
  <si>
    <t>H2 Cylinder Cost per kg. of H2</t>
  </si>
  <si>
    <t>H2 Truck Price</t>
  </si>
  <si>
    <t>BET Price</t>
  </si>
  <si>
    <t>Diesel Engine &amp; Transmission Cost</t>
  </si>
  <si>
    <t>ePowertrain Cost</t>
  </si>
  <si>
    <t>BET Mfg. &amp; Other Costs (% of Battery &amp; ePowertrain Costs</t>
  </si>
  <si>
    <t>Battery Pack Cost per kWh</t>
  </si>
  <si>
    <t>FCET Price</t>
  </si>
  <si>
    <t>Fuel/Energy Costs</t>
  </si>
  <si>
    <t>CNG Price per kg.</t>
  </si>
  <si>
    <t>LNG Price per kg.</t>
  </si>
  <si>
    <t>Electricity Charges per kWh</t>
  </si>
  <si>
    <t>Green H2 Production Cost per kg.</t>
  </si>
  <si>
    <t>Green H2 Compression, Storage &amp; Dispense Costs per kg.</t>
  </si>
  <si>
    <t>Demand Charges &amp; CAAS Costs per kWh</t>
  </si>
  <si>
    <t>BS6 increase in 2030</t>
  </si>
  <si>
    <t>CNG/LNG</t>
  </si>
  <si>
    <t>Other Fixed Parameters</t>
  </si>
  <si>
    <t>Rate of Interest &amp; Tenure (Fossil &amp; ZETs)</t>
  </si>
  <si>
    <t>Operational Parameters - Distance per day &amp; year, etc.</t>
  </si>
  <si>
    <t>Vehicle TAT &amp; Gradeability Factor</t>
  </si>
  <si>
    <t>Range &amp; Filling Time Factor</t>
  </si>
  <si>
    <t>Assumptions/Values &amp; Trend</t>
  </si>
  <si>
    <t>On-road price of each model</t>
  </si>
  <si>
    <t>Rs. 4,00,000/- increase for  BS7 effective 2030</t>
  </si>
  <si>
    <t>CNG Cylinder System Capacity</t>
  </si>
  <si>
    <t>480 l/96 kg 15T Trucks &amp; 960 l/192 kg. for Heavier trucks</t>
  </si>
  <si>
    <t xml:space="preserve">Rs.1,50,000/- &amp; Rs.2,50,000/- </t>
  </si>
  <si>
    <t>Diesel Truck Price + CNG Cylinder System Cost</t>
  </si>
  <si>
    <t>LNG Cylinder System Capacity</t>
  </si>
  <si>
    <t>450 l/158 kg for 40T Trucks &amp; 990 l/ 347 kg. for Heavier Trucks</t>
  </si>
  <si>
    <t xml:space="preserve">Rs.3050/- </t>
  </si>
  <si>
    <t>Rs.4100/-</t>
  </si>
  <si>
    <t>Rs.1,00,000/- per Truck</t>
  </si>
  <si>
    <t>Rs.1,35,000/-</t>
  </si>
  <si>
    <t>Diesel Truck Price + LNG Cyl Cost + LNG Valves System Cost</t>
  </si>
  <si>
    <t>H2 Cylinder System Capacity</t>
  </si>
  <si>
    <t>1200 litres/28 kg</t>
  </si>
  <si>
    <t>Rs.56,000/-</t>
  </si>
  <si>
    <t>Rs.33,500/-</t>
  </si>
  <si>
    <t>Diesel Truck Price + H2 Cylinder System Cost</t>
  </si>
  <si>
    <t>3 sets of values for various GVW of trucks</t>
  </si>
  <si>
    <t>Rs.14,00,000/- for 4x2 Trucks &amp; Rs.17,00,000/- for Heavier Trucks</t>
  </si>
  <si>
    <t>Rs.12,00,000/- &amp; Rs.14,55,000/-</t>
  </si>
  <si>
    <t>Reduction in cost initially through Indiginesation &amp; Increased Capacity Utilization</t>
  </si>
  <si>
    <t>Reduction in cost initially through Technology Improvements, Indiginesation &amp; Increased Capacity Utilization</t>
  </si>
  <si>
    <t>Battery Pack Capacity, kWh</t>
  </si>
  <si>
    <t>200-350 kWh for various Models</t>
  </si>
  <si>
    <t xml:space="preserve">Rs.6,800/- </t>
  </si>
  <si>
    <t>Rs.9,900/- (USD110)</t>
  </si>
  <si>
    <t>2026-30: -1.5%
2031-40: -2.5.%
2041-50: -1.0%
2051-55: +1.0%</t>
  </si>
  <si>
    <t>2026-30: from 50% to 35% progressively
2031-40: 30%
2041-55: 25 %</t>
  </si>
  <si>
    <t>Diesel Truck Price - (Engine &amp; Transmission Costs) + ePowertrain Cost + Battery Cost + BET Mfg. Costs</t>
  </si>
  <si>
    <t>Additional Cost for Investment on Manufacturing Facilities &amp; Margin. Reduction over a period as capacity builds up</t>
  </si>
  <si>
    <t>Fuel Cell Cost per kW</t>
  </si>
  <si>
    <t>Rs.36,000/-</t>
  </si>
  <si>
    <t>Rs.19,600/-</t>
  </si>
  <si>
    <t>2026-30: -3.0%
2031-40: -3.0.%
2041-50: -2.0%
2051-55: +1.0%</t>
  </si>
  <si>
    <t>Fuel Cell cost for FCET</t>
  </si>
  <si>
    <t>80 kW for upto 40T Trucks &amp; 120 kW for Heavier Trucks</t>
  </si>
  <si>
    <t>70 kWh for upto 40T Trucks &amp; 80 kWh for Heavier Trucks</t>
  </si>
  <si>
    <t>(Same as values under BETs)</t>
  </si>
  <si>
    <t>2026-40: 40%
2041-45: 35%
2046-50: 30 %
2051-55: 25%</t>
  </si>
  <si>
    <t>Diesel Truck Price - (Engine &amp; Transmission Costs) + ePowertrain Cost + Battery Cost + Fuel Cell Cost + FCET Mfg. Costs</t>
  </si>
  <si>
    <t>OEM AMC for Chassis + Suspension, Body &amp; FC Repairs Costs + Tyre Costs (based on no. of tyres &amp; life) - Varies applicationwise</t>
  </si>
  <si>
    <t>Diesel Maint. Cost less Engine &amp; Transmission + ePowertrain Maint. Cost + Battery Replacement cost + FC Replenishment cost</t>
  </si>
  <si>
    <t>BET (incl. one time replacement of batteries)</t>
  </si>
  <si>
    <t>FCET (inc. one time replacement of batteries &amp; Fuel Cell replenishent costs)</t>
  </si>
  <si>
    <t>Diesel Maintenance Cost (above) + Rs.0.50/-</t>
  </si>
  <si>
    <t>Diesel Maint. Cost less Engine &amp; Transmission maint. cost + ePowertrain Maint. Cost + Battery Replacement cost</t>
  </si>
  <si>
    <t>BET/FCET</t>
  </si>
  <si>
    <t>3.0% Annual Increase</t>
  </si>
  <si>
    <t>1.0% Annual Increase</t>
  </si>
  <si>
    <t>2026-30: -5.0%
2031-40: -4.0%
2041-50: +1.0%
2051-55: +1.0%</t>
  </si>
  <si>
    <t>2.0% Annual Increase</t>
  </si>
  <si>
    <t>2026-30: -4.0%
2031-40: -1.0%
2041-50: +1.0%
2051-55: +1.0%</t>
  </si>
  <si>
    <t>FCET Mfg. &amp; Other Costs (% of Battery, Fuel Cell &amp; ePowertrain Costs)</t>
  </si>
  <si>
    <t>12.0% &amp; 7 years</t>
  </si>
  <si>
    <t>Rated Payload Reduction/loss</t>
  </si>
  <si>
    <t>8 kg./kWh loss for batteries &amp; 4 kg./kW for Fuel Cell for BETs &amp; FCETs</t>
  </si>
  <si>
    <t>- Varies with Model &amp; Application 
- For Diesel, CNG, LNG &amp; Electric Trucks (Inputs from OEMs &amp; Users)
- H2 ICE Trucks (km/kg.) - 3x Diesel kmpl
- FCET (km/kg) - 4x Diesel kmpl</t>
  </si>
  <si>
    <t>- Varies with Model &amp; Application
- Inputs from OEMs &amp; Field Study with Users</t>
  </si>
  <si>
    <t>Based on discussions with OEMs, Fuel &amp; Energy producers/Suppliers, Charging Service Providers, Tier 1 Suppliers, Industry Experts &amp; other relevant stakeholders</t>
  </si>
  <si>
    <t>ICE Trucks Price (Diesel/CNG/LNG/H2) - On-road Price for Fully Built Trucks including taxes &amp; registration</t>
  </si>
  <si>
    <t>3.0% Annual Increase (based on past trend)</t>
  </si>
  <si>
    <t>CNG Option for Rigid Trucks only</t>
  </si>
  <si>
    <t>- LNG Option for Articulated Trucks only
- Lower CAGR for LNG Cylinders due to cost reduction on account of indiginization &amp; volume build up</t>
  </si>
  <si>
    <t>- Additional Cost for Investment on Manufacturing Facilities &amp; Margin. 
- Reduction over a period as capacity builds up</t>
  </si>
  <si>
    <t xml:space="preserve">- Reduction expected between 2031-50 due to increase in RE share. </t>
  </si>
  <si>
    <t>-  H2 Production Cost per kg = Cost of Electricity X Energy Consumption by Electrolyser + Capex + Opex
- Electric Energy Cost is less than Discom rate due to mix of captive RE source
- Capex &amp; Opex per kg comes down with increased capacity utilization</t>
  </si>
  <si>
    <t>Progressive reduction due to improved transportation methods (pipeline), technology improvement in compression and increased capacity utilization at Fuel Stations</t>
  </si>
  <si>
    <t>Additional cost for SI engine over CI engine</t>
  </si>
  <si>
    <t>2026-30 : 2%
2031-40 : -2%
2041-50 : -1%
2051-55 : 2.5%</t>
  </si>
  <si>
    <t>- Electric Energy required for Prodn. of 1 kg. of H2:
2026-30 : 53 kWh
2031-40 : 50 kWh
2041-50 : 45 kWh
2051-55 : 42 kWh
- Electric Energy Cost: Discom rate minus Rs.2/- per kWh</t>
  </si>
  <si>
    <t>2026-30 : -4%
2031-40 : -3%
2041-50 : -3%
2051-55 : -2%</t>
  </si>
  <si>
    <t>Resale Value after 7 years (% of Initial Purchase Price)</t>
  </si>
  <si>
    <t>2026-35: 50%
2036-45 : 40%
2045-55 : 30%</t>
  </si>
  <si>
    <t>2026-35: 45%
2036-45 : 35%
2045-55 : 25%</t>
  </si>
  <si>
    <t>2026-35: 20%
2036-45 : 30%
2045-55 : 35%</t>
  </si>
  <si>
    <t>2026-35: 15%
2036-45 : 25%
2045-55 : 35%</t>
  </si>
  <si>
    <t>2026-35: 05%
2036-45 : 15%
2045-55 : 25%</t>
  </si>
  <si>
    <t>Overall long term wage increase considered</t>
  </si>
  <si>
    <t>Rs.5.30/- to 9.00/- per km for various models</t>
  </si>
  <si>
    <t>Rs.7.15/- to 12,15/- per km for various models</t>
  </si>
  <si>
    <t>2% of Truck Price annually</t>
  </si>
  <si>
    <t>Diesel : 100%
CNG : 95%
LNG : 95%
H2 ICE : 95%
BET : 115%
FCET: 115%</t>
  </si>
  <si>
    <t>Diesel : 100%
CNG : 105%
LNG : 110%
H2 ICE : 100%
BET : 120%
FCET: 100%</t>
  </si>
  <si>
    <t>Better TAT &amp; Gradeability has positive impact on Adoption</t>
  </si>
  <si>
    <t>Lower Range per fill &amp; Higher Filling Time impacts adoption negatively</t>
  </si>
  <si>
    <t>- Resale Value varies for different Models, Applications &amp; Powertrain
- Values shown here are for a 55T Tractor for Cement Application
- Resale Value for Diesel Truck reduces as the market swithches over to Zero Emission Trucks
- CNG &amp; LNG Trucks fetch lesser resale value as compared to equivalent Diesel Trucks due to higher maintenance costs
- Resale Value of ZETs increase as the Adoption increases
- However uncertainty in residual life of the battery &amp; Fuel Cell restricts resale prices</t>
  </si>
  <si>
    <t>Rate based on GVW Rating/No. of Axles</t>
  </si>
  <si>
    <t>Litres/Kg.</t>
  </si>
  <si>
    <t xml:space="preserve">kW </t>
  </si>
  <si>
    <t>Fuel Cell Power Rating</t>
  </si>
  <si>
    <t>Battery Pack Capacity for FCET</t>
  </si>
  <si>
    <t>Maintenance Costs (Average per km of for 10 years of operation)</t>
  </si>
  <si>
    <t>Manpower Costs / Km. (Driver &amp; Crew)</t>
  </si>
  <si>
    <t>Marginal Increase considered. Increase or decrease will not have significant impact on adoption as the rates are equal for all powertrains.</t>
  </si>
  <si>
    <t>Toll Charges/km</t>
  </si>
  <si>
    <t>kmpl
km/kg
kWh/km</t>
  </si>
  <si>
    <t>Reduction in payload rating impacts adoption of BETs &amp; FCETs negatively for applications which are sensitive to payload rating</t>
  </si>
  <si>
    <t>Parameter Assumptions:</t>
  </si>
  <si>
    <t>- Progressive reduction due to increased capacity utilization at Charge Stations
- Weighted average of mix of Public charging &amp; Shipper/Customer end charging - Predominantly Shipper end charging initially and progressive switching to Public Charging as volume grows</t>
  </si>
  <si>
    <t>WTW Emissions kgCO2e/kWh</t>
  </si>
  <si>
    <t>BET Emissions Well to  Wheel Projections</t>
  </si>
  <si>
    <t>Peak Year (Peak Share)</t>
  </si>
  <si>
    <t>Phase-Out Year</t>
  </si>
  <si>
    <t>2055 (87.2%)</t>
  </si>
  <si>
    <t>2055+ (still rising)</t>
  </si>
  <si>
    <t>2055 (6.6%)</t>
  </si>
  <si>
    <t>2055 (6.2%)</t>
  </si>
  <si>
    <t>2045 (0.5%)</t>
  </si>
  <si>
    <t>2025 (5.6%)</t>
  </si>
  <si>
    <t>2025 (94.1%)</t>
  </si>
  <si>
    <t>~10% Share Year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</si>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</sst>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0.0"/>
    <numFmt numFmtId="168" formatCode="_ * #,##0_ ;_ * \-#,##0_ ;_ * &quot;-&quot;??_ ;_ @_ "/>
    <numFmt numFmtId="169" formatCode="0.00000"/>
    <numFmt numFmtId="170" formatCode="0.0000"/>
    <numFmt numFmtId="171" formatCode="0.000"/>
    <numFmt numFmtId="172" formatCode="_ * #,##0.000000_ ;_ * \-#,##0.000000_ ;_ * &quot;-&quot;??_ ;_ @_ "/>
    <numFmt numFmtId="173" formatCode="_(* #,##0_);_(* \(#,##0\);_(* &quot;-&quot;??_);_(@_)"/>
    <numFmt numFmtId="174" formatCode="_ [$₹-4009]\ * #,##0_ ;_ [$₹-4009]\ * \-#,##0_ ;_ [$₹-4009]\ * &quot;-&quot;??_ ;_ @_ "/>
    <numFmt numFmtId="175" formatCode="_(* #,##0.0_);_(* \(#,##0.0\);_(* &quot;-&quot;??_);_(@_)"/>
    <numFmt numFmtId="176" formatCode="0.000%"/>
    <numFmt numFmtId="177" formatCode="_ [$₹-4009]\ * #,##0.00_ ;_ [$₹-4009]\ * \-#,##0.00_ ;_ [$₹-4009]\ * &quot;-&quot;??_ ;_ @_ "/>
    <numFmt numFmtId="178" formatCode="_ [$₹-4009]\ * #,##0.0_ ;_ [$₹-4009]\ * \-#,##0.0_ ;_ [$₹-4009]\ * &quot;-&quot;??_ ;_ @_ "/>
    <numFmt numFmtId="179" formatCode="_ &quot;₹&quot;\ * #,##0_ ;_ &quot;₹&quot;\ * \-#,##0_ ;_ &quot;₹&quot;\ * &quot;-&quot;??_ ;_ @_ "/>
    <numFmt numFmtId="180" formatCode="_ [$₹-4009]\ * #,##0.0_ ;_ [$₹-4009]\ * \-#,##0.0_ ;_ [$₹-4009]\ * &quot;-&quot;?_ ;_ @_ "/>
    <numFmt numFmtId="181" formatCode="_ [$₹-4009]\ * #,##0_ ;_ [$₹-4009]\ * \-#,##0_ ;_ [$₹-4009]\ * &quot;-&quot;?_ ;_ @_ "/>
    <numFmt numFmtId="182" formatCode="_ [$₹-4009]\ * #,##0.00_ ;_ [$₹-4009]\ * \-#,##0.00_ ;_ [$₹-4009]\ * &quot;-&quot;?_ ;_ @_ "/>
    <numFmt numFmtId="190" formatCode="0.0000%"/>
  </numFmts>
  <fonts count="6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1"/>
      <color rgb="FF1F1F1F"/>
      <name val="Aptos"/>
      <family val="2"/>
    </font>
    <font>
      <b/>
      <sz val="12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i/>
      <sz val="12"/>
      <color theme="1"/>
      <name val="Aptos"/>
      <family val="2"/>
    </font>
    <font>
      <sz val="11"/>
      <color rgb="FF1F1F1F"/>
      <name val="Aptos"/>
      <family val="2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"/>
      <family val="2"/>
    </font>
    <font>
      <b/>
      <sz val="12"/>
      <color rgb="FF00B05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rgb="FF00B050"/>
      <name val="Calibri"/>
      <family val="2"/>
    </font>
    <font>
      <b/>
      <sz val="12"/>
      <color theme="4"/>
      <name val="Calibri"/>
      <family val="2"/>
    </font>
    <font>
      <sz val="12"/>
      <color rgb="FF00B050"/>
      <name val="Calibri"/>
      <family val="2"/>
    </font>
    <font>
      <u/>
      <sz val="12"/>
      <color theme="1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9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0070C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7F7D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9E2F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8" fillId="0" borderId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8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3" fillId="3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4" borderId="0" xfId="0" applyNumberFormat="1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9" fontId="0" fillId="0" borderId="0" xfId="2" applyFont="1" applyAlignment="1">
      <alignment vertical="center"/>
    </xf>
    <xf numFmtId="166" fontId="0" fillId="0" borderId="0" xfId="2" applyNumberFormat="1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" fontId="8" fillId="4" borderId="2" xfId="0" applyNumberFormat="1" applyFont="1" applyFill="1" applyBorder="1" applyAlignment="1">
      <alignment horizontal="center" vertical="center" wrapText="1"/>
    </xf>
    <xf numFmtId="1" fontId="8" fillId="4" borderId="2" xfId="0" quotePrefix="1" applyNumberFormat="1" applyFont="1" applyFill="1" applyBorder="1" applyAlignment="1">
      <alignment horizontal="center" vertical="center" wrapText="1"/>
    </xf>
    <xf numFmtId="2" fontId="8" fillId="4" borderId="2" xfId="0" applyNumberFormat="1" applyFont="1" applyFill="1" applyBorder="1" applyAlignment="1">
      <alignment horizontal="center" vertical="center" wrapText="1"/>
    </xf>
    <xf numFmtId="2" fontId="8" fillId="4" borderId="2" xfId="0" quotePrefix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2" fontId="8" fillId="5" borderId="2" xfId="0" applyNumberFormat="1" applyFont="1" applyFill="1" applyBorder="1" applyAlignment="1">
      <alignment horizontal="center" vertical="center" wrapText="1"/>
    </xf>
    <xf numFmtId="9" fontId="8" fillId="5" borderId="2" xfId="2" applyFont="1" applyFill="1" applyBorder="1" applyAlignment="1">
      <alignment horizontal="center" vertical="center" wrapText="1"/>
    </xf>
    <xf numFmtId="1" fontId="8" fillId="4" borderId="2" xfId="2" quotePrefix="1" applyNumberFormat="1" applyFont="1" applyFill="1" applyBorder="1" applyAlignment="1">
      <alignment horizontal="center" vertical="center" wrapText="1"/>
    </xf>
    <xf numFmtId="2" fontId="8" fillId="4" borderId="2" xfId="2" quotePrefix="1" applyNumberFormat="1" applyFont="1" applyFill="1" applyBorder="1" applyAlignment="1">
      <alignment horizontal="center" vertical="center" wrapText="1"/>
    </xf>
    <xf numFmtId="9" fontId="8" fillId="4" borderId="2" xfId="2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2" fontId="8" fillId="5" borderId="11" xfId="0" applyNumberFormat="1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" fontId="8" fillId="4" borderId="11" xfId="0" applyNumberFormat="1" applyFont="1" applyFill="1" applyBorder="1" applyAlignment="1">
      <alignment horizontal="center" vertical="center" wrapText="1"/>
    </xf>
    <xf numFmtId="2" fontId="8" fillId="4" borderId="11" xfId="0" applyNumberFormat="1" applyFont="1" applyFill="1" applyBorder="1" applyAlignment="1">
      <alignment horizontal="center" vertical="center" wrapText="1"/>
    </xf>
    <xf numFmtId="2" fontId="8" fillId="0" borderId="2" xfId="0" applyNumberFormat="1" applyFont="1" applyBorder="1" applyAlignment="1">
      <alignment vertical="center" wrapText="1"/>
    </xf>
    <xf numFmtId="9" fontId="8" fillId="0" borderId="2" xfId="2" applyFont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3" fontId="8" fillId="5" borderId="2" xfId="0" applyNumberFormat="1" applyFont="1" applyFill="1" applyBorder="1" applyAlignment="1">
      <alignment horizontal="left" vertical="center" wrapText="1" indent="1"/>
    </xf>
    <xf numFmtId="0" fontId="0" fillId="0" borderId="2" xfId="0" applyBorder="1"/>
    <xf numFmtId="0" fontId="8" fillId="0" borderId="6" xfId="0" applyFont="1" applyBorder="1" applyAlignment="1">
      <alignment horizontal="left" vertical="center" wrapText="1"/>
    </xf>
    <xf numFmtId="166" fontId="8" fillId="5" borderId="2" xfId="2" applyNumberFormat="1" applyFont="1" applyFill="1" applyBorder="1" applyAlignment="1">
      <alignment horizontal="center" vertical="center" wrapText="1"/>
    </xf>
    <xf numFmtId="9" fontId="8" fillId="0" borderId="0" xfId="2" applyFont="1" applyBorder="1" applyAlignment="1">
      <alignment horizontal="center" vertical="center" wrapText="1"/>
    </xf>
    <xf numFmtId="9" fontId="9" fillId="0" borderId="2" xfId="2" applyFont="1" applyFill="1" applyBorder="1" applyAlignment="1">
      <alignment horizontal="center" vertical="center" wrapText="1"/>
    </xf>
    <xf numFmtId="9" fontId="9" fillId="0" borderId="0" xfId="2" applyFont="1" applyAlignment="1">
      <alignment horizontal="center" vertical="center" wrapText="1"/>
    </xf>
    <xf numFmtId="2" fontId="0" fillId="5" borderId="2" xfId="0" applyNumberFormat="1" applyFill="1" applyBorder="1" applyAlignment="1">
      <alignment horizontal="center"/>
    </xf>
    <xf numFmtId="166" fontId="9" fillId="6" borderId="2" xfId="2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0" fillId="7" borderId="0" xfId="0" applyFill="1"/>
    <xf numFmtId="2" fontId="2" fillId="6" borderId="2" xfId="0" applyNumberFormat="1" applyFont="1" applyFill="1" applyBorder="1"/>
    <xf numFmtId="0" fontId="2" fillId="6" borderId="2" xfId="0" applyFont="1" applyFill="1" applyBorder="1"/>
    <xf numFmtId="0" fontId="8" fillId="5" borderId="2" xfId="0" applyFont="1" applyFill="1" applyBorder="1" applyAlignment="1">
      <alignment horizontal="left" vertical="center" wrapText="1" indent="1"/>
    </xf>
    <xf numFmtId="0" fontId="8" fillId="0" borderId="4" xfId="0" applyFont="1" applyBorder="1" applyAlignment="1">
      <alignment vertical="center" wrapText="1"/>
    </xf>
    <xf numFmtId="0" fontId="8" fillId="0" borderId="0" xfId="0" applyFont="1"/>
    <xf numFmtId="3" fontId="8" fillId="0" borderId="2" xfId="0" applyNumberFormat="1" applyFont="1" applyBorder="1"/>
    <xf numFmtId="0" fontId="8" fillId="0" borderId="2" xfId="0" applyFont="1" applyBorder="1"/>
    <xf numFmtId="3" fontId="9" fillId="0" borderId="2" xfId="0" applyNumberFormat="1" applyFont="1" applyBorder="1"/>
    <xf numFmtId="3" fontId="9" fillId="0" borderId="0" xfId="0" applyNumberFormat="1" applyFont="1"/>
    <xf numFmtId="167" fontId="8" fillId="5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8" fillId="0" borderId="5" xfId="0" applyFont="1" applyBorder="1" applyAlignment="1">
      <alignment vertical="center" wrapText="1"/>
    </xf>
    <xf numFmtId="2" fontId="0" fillId="0" borderId="0" xfId="0" applyNumberFormat="1" applyAlignment="1">
      <alignment vertical="center"/>
    </xf>
    <xf numFmtId="3" fontId="8" fillId="0" borderId="0" xfId="0" applyNumberFormat="1" applyFont="1" applyAlignment="1">
      <alignment vertical="center" wrapText="1"/>
    </xf>
    <xf numFmtId="10" fontId="0" fillId="0" borderId="0" xfId="2" applyNumberFormat="1" applyFont="1" applyAlignment="1">
      <alignment vertical="center"/>
    </xf>
    <xf numFmtId="3" fontId="8" fillId="8" borderId="0" xfId="0" applyNumberFormat="1" applyFont="1" applyFill="1" applyAlignment="1">
      <alignment vertical="center" wrapText="1"/>
    </xf>
    <xf numFmtId="3" fontId="9" fillId="5" borderId="2" xfId="0" applyNumberFormat="1" applyFont="1" applyFill="1" applyBorder="1" applyAlignment="1">
      <alignment horizontal="left" vertical="center" wrapText="1" indent="1"/>
    </xf>
    <xf numFmtId="0" fontId="14" fillId="0" borderId="0" xfId="0" applyFont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2" xfId="0" applyFont="1" applyBorder="1" applyAlignment="1">
      <alignment horizontal="left" vertical="center" wrapText="1" readingOrder="1"/>
    </xf>
    <xf numFmtId="0" fontId="16" fillId="0" borderId="2" xfId="0" applyFont="1" applyBorder="1" applyAlignment="1">
      <alignment horizontal="left" vertical="center" wrapText="1"/>
    </xf>
    <xf numFmtId="0" fontId="17" fillId="0" borderId="0" xfId="0" applyFont="1"/>
    <xf numFmtId="0" fontId="17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10" fontId="18" fillId="0" borderId="2" xfId="0" applyNumberFormat="1" applyFont="1" applyBorder="1" applyAlignment="1">
      <alignment horizontal="left" vertical="center" wrapText="1"/>
    </xf>
    <xf numFmtId="1" fontId="21" fillId="0" borderId="2" xfId="0" applyNumberFormat="1" applyFont="1" applyBorder="1" applyAlignment="1">
      <alignment horizontal="left" vertical="center" wrapText="1" readingOrder="1"/>
    </xf>
    <xf numFmtId="10" fontId="22" fillId="0" borderId="2" xfId="0" applyNumberFormat="1" applyFont="1" applyBorder="1" applyAlignment="1">
      <alignment horizontal="left"/>
    </xf>
    <xf numFmtId="10" fontId="21" fillId="0" borderId="2" xfId="0" applyNumberFormat="1" applyFont="1" applyBorder="1" applyAlignment="1">
      <alignment horizontal="left" vertical="center" wrapText="1" indent="1" readingOrder="1"/>
    </xf>
    <xf numFmtId="0" fontId="22" fillId="0" borderId="0" xfId="0" applyFont="1"/>
    <xf numFmtId="0" fontId="22" fillId="0" borderId="2" xfId="0" applyFont="1" applyBorder="1" applyAlignment="1">
      <alignment horizontal="left"/>
    </xf>
    <xf numFmtId="2" fontId="22" fillId="0" borderId="2" xfId="0" applyNumberFormat="1" applyFont="1" applyBorder="1" applyAlignment="1">
      <alignment horizontal="left"/>
    </xf>
    <xf numFmtId="10" fontId="22" fillId="0" borderId="0" xfId="0" applyNumberFormat="1" applyFont="1"/>
    <xf numFmtId="168" fontId="22" fillId="0" borderId="0" xfId="1" applyNumberFormat="1" applyFont="1" applyAlignment="1"/>
    <xf numFmtId="0" fontId="22" fillId="0" borderId="0" xfId="0" applyFont="1" applyAlignment="1">
      <alignment horizontal="right"/>
    </xf>
    <xf numFmtId="10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10" fontId="2" fillId="6" borderId="2" xfId="2" applyNumberFormat="1" applyFont="1" applyFill="1" applyBorder="1"/>
    <xf numFmtId="10" fontId="22" fillId="0" borderId="2" xfId="2" applyNumberFormat="1" applyFont="1" applyBorder="1" applyAlignment="1">
      <alignment horizontal="left"/>
    </xf>
    <xf numFmtId="168" fontId="15" fillId="0" borderId="2" xfId="1" applyNumberFormat="1" applyFont="1" applyBorder="1" applyAlignment="1">
      <alignment vertical="center" wrapText="1" readingOrder="1"/>
    </xf>
    <xf numFmtId="10" fontId="15" fillId="0" borderId="2" xfId="0" applyNumberFormat="1" applyFont="1" applyBorder="1" applyAlignment="1">
      <alignment horizontal="left" vertical="center" wrapText="1" readingOrder="1"/>
    </xf>
    <xf numFmtId="0" fontId="15" fillId="10" borderId="2" xfId="0" applyFont="1" applyFill="1" applyBorder="1" applyAlignment="1">
      <alignment horizontal="left" vertical="center" wrapText="1" readingOrder="1"/>
    </xf>
    <xf numFmtId="0" fontId="15" fillId="4" borderId="2" xfId="0" applyFont="1" applyFill="1" applyBorder="1" applyAlignment="1">
      <alignment horizontal="left" vertical="center" wrapText="1" readingOrder="1"/>
    </xf>
    <xf numFmtId="168" fontId="21" fillId="0" borderId="2" xfId="1" applyNumberFormat="1" applyFont="1" applyBorder="1" applyAlignment="1">
      <alignment vertical="center" wrapText="1" readingOrder="1"/>
    </xf>
    <xf numFmtId="10" fontId="21" fillId="0" borderId="2" xfId="0" applyNumberFormat="1" applyFont="1" applyBorder="1" applyAlignment="1">
      <alignment horizontal="left" vertical="center" wrapText="1" readingOrder="1"/>
    </xf>
    <xf numFmtId="168" fontId="21" fillId="0" borderId="2" xfId="1" applyNumberFormat="1" applyFont="1" applyBorder="1" applyAlignment="1">
      <alignment horizontal="left" vertical="center" wrapText="1" readingOrder="1"/>
    </xf>
    <xf numFmtId="168" fontId="21" fillId="0" borderId="2" xfId="0" applyNumberFormat="1" applyFont="1" applyBorder="1" applyAlignment="1">
      <alignment horizontal="left" vertical="center" wrapText="1" readingOrder="1"/>
    </xf>
    <xf numFmtId="10" fontId="0" fillId="0" borderId="2" xfId="2" applyNumberFormat="1" applyFont="1" applyBorder="1" applyAlignment="1">
      <alignment horizontal="left"/>
    </xf>
    <xf numFmtId="10" fontId="22" fillId="0" borderId="2" xfId="0" applyNumberFormat="1" applyFont="1" applyBorder="1" applyAlignment="1">
      <alignment wrapText="1"/>
    </xf>
    <xf numFmtId="10" fontId="22" fillId="0" borderId="2" xfId="0" applyNumberFormat="1" applyFont="1" applyBorder="1"/>
    <xf numFmtId="168" fontId="21" fillId="4" borderId="2" xfId="1" applyNumberFormat="1" applyFont="1" applyFill="1" applyBorder="1" applyAlignment="1">
      <alignment vertical="center" wrapText="1" readingOrder="1"/>
    </xf>
    <xf numFmtId="10" fontId="21" fillId="4" borderId="2" xfId="0" applyNumberFormat="1" applyFont="1" applyFill="1" applyBorder="1" applyAlignment="1">
      <alignment horizontal="left" vertical="center" wrapText="1" readingOrder="1"/>
    </xf>
    <xf numFmtId="1" fontId="21" fillId="4" borderId="2" xfId="0" applyNumberFormat="1" applyFont="1" applyFill="1" applyBorder="1" applyAlignment="1">
      <alignment horizontal="left" vertical="center" wrapText="1" readingOrder="1"/>
    </xf>
    <xf numFmtId="10" fontId="22" fillId="4" borderId="2" xfId="0" applyNumberFormat="1" applyFont="1" applyFill="1" applyBorder="1" applyAlignment="1">
      <alignment horizontal="left"/>
    </xf>
    <xf numFmtId="168" fontId="21" fillId="4" borderId="2" xfId="1" applyNumberFormat="1" applyFont="1" applyFill="1" applyBorder="1" applyAlignment="1">
      <alignment horizontal="left" vertical="center" wrapText="1" readingOrder="1"/>
    </xf>
    <xf numFmtId="168" fontId="21" fillId="4" borderId="2" xfId="0" applyNumberFormat="1" applyFont="1" applyFill="1" applyBorder="1" applyAlignment="1">
      <alignment horizontal="left" vertical="center" wrapText="1" readingOrder="1"/>
    </xf>
    <xf numFmtId="10" fontId="21" fillId="4" borderId="2" xfId="0" applyNumberFormat="1" applyFont="1" applyFill="1" applyBorder="1" applyAlignment="1">
      <alignment horizontal="left" vertical="center" wrapText="1" indent="1" readingOrder="1"/>
    </xf>
    <xf numFmtId="0" fontId="15" fillId="11" borderId="2" xfId="0" applyFont="1" applyFill="1" applyBorder="1" applyAlignment="1">
      <alignment horizontal="left" vertical="center" wrapText="1" readingOrder="1"/>
    </xf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168" fontId="0" fillId="0" borderId="0" xfId="1" applyNumberFormat="1" applyFont="1"/>
    <xf numFmtId="1" fontId="21" fillId="4" borderId="2" xfId="1" applyNumberFormat="1" applyFont="1" applyFill="1" applyBorder="1" applyAlignment="1">
      <alignment horizontal="right" vertical="center" wrapText="1" readingOrder="1"/>
    </xf>
    <xf numFmtId="0" fontId="2" fillId="12" borderId="0" xfId="0" applyFont="1" applyFill="1"/>
    <xf numFmtId="9" fontId="2" fillId="12" borderId="0" xfId="2" applyFont="1" applyFill="1"/>
    <xf numFmtId="168" fontId="1" fillId="12" borderId="0" xfId="1" applyNumberFormat="1" applyFont="1" applyFill="1"/>
    <xf numFmtId="0" fontId="2" fillId="13" borderId="0" xfId="0" applyFont="1" applyFill="1"/>
    <xf numFmtId="168" fontId="0" fillId="13" borderId="0" xfId="1" applyNumberFormat="1" applyFont="1" applyFill="1"/>
    <xf numFmtId="168" fontId="0" fillId="12" borderId="0" xfId="1" applyNumberFormat="1" applyFont="1" applyFill="1"/>
    <xf numFmtId="0" fontId="15" fillId="9" borderId="2" xfId="0" applyFont="1" applyFill="1" applyBorder="1" applyAlignment="1">
      <alignment horizontal="left" vertical="center" wrapText="1" readingOrder="1"/>
    </xf>
    <xf numFmtId="0" fontId="2" fillId="14" borderId="0" xfId="0" applyFont="1" applyFill="1"/>
    <xf numFmtId="168" fontId="0" fillId="14" borderId="0" xfId="1" applyNumberFormat="1" applyFont="1" applyFill="1"/>
    <xf numFmtId="1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/>
    <xf numFmtId="0" fontId="2" fillId="6" borderId="0" xfId="0" applyFont="1" applyFill="1" applyAlignment="1">
      <alignment horizontal="center" vertical="center"/>
    </xf>
    <xf numFmtId="3" fontId="0" fillId="6" borderId="0" xfId="0" applyNumberFormat="1" applyFill="1" applyAlignment="1">
      <alignment vertical="center"/>
    </xf>
    <xf numFmtId="3" fontId="2" fillId="6" borderId="0" xfId="0" applyNumberFormat="1" applyFont="1" applyFill="1"/>
    <xf numFmtId="3" fontId="0" fillId="5" borderId="0" xfId="0" applyNumberFormat="1" applyFill="1" applyAlignment="1">
      <alignment vertical="center"/>
    </xf>
    <xf numFmtId="3" fontId="2" fillId="5" borderId="0" xfId="0" applyNumberFormat="1" applyFont="1" applyFill="1"/>
    <xf numFmtId="0" fontId="23" fillId="15" borderId="0" xfId="0" applyFont="1" applyFill="1" applyAlignment="1">
      <alignment horizontal="center"/>
    </xf>
    <xf numFmtId="0" fontId="23" fillId="17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/>
    </xf>
    <xf numFmtId="0" fontId="0" fillId="6" borderId="2" xfId="0" applyFill="1" applyBorder="1"/>
    <xf numFmtId="168" fontId="0" fillId="6" borderId="2" xfId="1" applyNumberFormat="1" applyFont="1" applyFill="1" applyBorder="1"/>
    <xf numFmtId="0" fontId="0" fillId="7" borderId="2" xfId="0" applyFill="1" applyBorder="1"/>
    <xf numFmtId="168" fontId="0" fillId="7" borderId="2" xfId="1" applyNumberFormat="1" applyFont="1" applyFill="1" applyBorder="1"/>
    <xf numFmtId="10" fontId="0" fillId="0" borderId="2" xfId="2" applyNumberFormat="1" applyFont="1" applyBorder="1"/>
    <xf numFmtId="0" fontId="23" fillId="16" borderId="2" xfId="0" applyFont="1" applyFill="1" applyBorder="1" applyAlignment="1">
      <alignment horizontal="center"/>
    </xf>
    <xf numFmtId="168" fontId="0" fillId="0" borderId="2" xfId="0" applyNumberFormat="1" applyBorder="1"/>
    <xf numFmtId="43" fontId="0" fillId="0" borderId="2" xfId="0" applyNumberFormat="1" applyBorder="1"/>
    <xf numFmtId="0" fontId="25" fillId="0" borderId="2" xfId="0" applyFont="1" applyBorder="1" applyAlignment="1">
      <alignment horizontal="left" vertical="center" wrapText="1" readingOrder="1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1" fontId="23" fillId="16" borderId="2" xfId="1" applyNumberFormat="1" applyFont="1" applyFill="1" applyBorder="1" applyAlignment="1">
      <alignment horizontal="center"/>
    </xf>
    <xf numFmtId="2" fontId="0" fillId="0" borderId="2" xfId="0" applyNumberFormat="1" applyBorder="1"/>
    <xf numFmtId="168" fontId="21" fillId="0" borderId="2" xfId="1" applyNumberFormat="1" applyFont="1" applyBorder="1" applyAlignment="1">
      <alignment horizontal="right" vertical="center" wrapText="1" readingOrder="1"/>
    </xf>
    <xf numFmtId="10" fontId="21" fillId="0" borderId="2" xfId="0" applyNumberFormat="1" applyFont="1" applyBorder="1" applyAlignment="1">
      <alignment horizontal="right" vertical="center" wrapText="1" readingOrder="1"/>
    </xf>
    <xf numFmtId="1" fontId="21" fillId="0" borderId="2" xfId="0" applyNumberFormat="1" applyFont="1" applyBorder="1" applyAlignment="1">
      <alignment horizontal="right" vertical="center" wrapText="1" readingOrder="1"/>
    </xf>
    <xf numFmtId="10" fontId="22" fillId="0" borderId="2" xfId="0" applyNumberFormat="1" applyFont="1" applyBorder="1" applyAlignment="1">
      <alignment horizontal="right"/>
    </xf>
    <xf numFmtId="168" fontId="21" fillId="0" borderId="2" xfId="0" applyNumberFormat="1" applyFont="1" applyBorder="1" applyAlignment="1">
      <alignment horizontal="right" vertical="center" wrapText="1" readingOrder="1"/>
    </xf>
    <xf numFmtId="10" fontId="21" fillId="0" borderId="2" xfId="0" applyNumberFormat="1" applyFont="1" applyBorder="1" applyAlignment="1">
      <alignment horizontal="right" vertical="center" wrapText="1" indent="1" readingOrder="1"/>
    </xf>
    <xf numFmtId="168" fontId="21" fillId="4" borderId="2" xfId="1" applyNumberFormat="1" applyFont="1" applyFill="1" applyBorder="1" applyAlignment="1">
      <alignment horizontal="right" vertical="center" wrapText="1" readingOrder="1"/>
    </xf>
    <xf numFmtId="10" fontId="21" fillId="4" borderId="2" xfId="0" applyNumberFormat="1" applyFont="1" applyFill="1" applyBorder="1" applyAlignment="1">
      <alignment horizontal="right" vertical="center" wrapText="1" readingOrder="1"/>
    </xf>
    <xf numFmtId="1" fontId="21" fillId="4" borderId="2" xfId="0" applyNumberFormat="1" applyFont="1" applyFill="1" applyBorder="1" applyAlignment="1">
      <alignment horizontal="right" vertical="center" wrapText="1" readingOrder="1"/>
    </xf>
    <xf numFmtId="168" fontId="21" fillId="4" borderId="2" xfId="0" applyNumberFormat="1" applyFont="1" applyFill="1" applyBorder="1" applyAlignment="1">
      <alignment horizontal="right" vertical="center" wrapText="1" readingOrder="1"/>
    </xf>
    <xf numFmtId="10" fontId="21" fillId="4" borderId="2" xfId="0" applyNumberFormat="1" applyFont="1" applyFill="1" applyBorder="1" applyAlignment="1">
      <alignment horizontal="right" vertical="center" wrapText="1" indent="1" readingOrder="1"/>
    </xf>
    <xf numFmtId="0" fontId="15" fillId="0" borderId="2" xfId="0" applyFont="1" applyBorder="1" applyAlignment="1">
      <alignment horizontal="center" vertical="center" wrapText="1" readingOrder="1"/>
    </xf>
    <xf numFmtId="168" fontId="15" fillId="0" borderId="2" xfId="1" applyNumberFormat="1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 readingOrder="1"/>
    </xf>
    <xf numFmtId="0" fontId="15" fillId="10" borderId="2" xfId="0" applyFont="1" applyFill="1" applyBorder="1" applyAlignment="1">
      <alignment horizontal="center" vertical="center" wrapText="1" readingOrder="1"/>
    </xf>
    <xf numFmtId="0" fontId="22" fillId="0" borderId="2" xfId="0" applyFon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8" fillId="0" borderId="0" xfId="5" applyAlignment="1">
      <alignment vertical="center"/>
    </xf>
    <xf numFmtId="9" fontId="8" fillId="0" borderId="0" xfId="5" applyNumberFormat="1" applyAlignment="1">
      <alignment vertical="center"/>
    </xf>
    <xf numFmtId="0" fontId="1" fillId="20" borderId="0" xfId="4" applyFill="1"/>
    <xf numFmtId="0" fontId="1" fillId="20" borderId="0" xfId="4" applyFill="1" applyAlignment="1">
      <alignment horizontal="right"/>
    </xf>
    <xf numFmtId="0" fontId="1" fillId="0" borderId="0" xfId="4"/>
    <xf numFmtId="0" fontId="1" fillId="4" borderId="0" xfId="4" applyFill="1"/>
    <xf numFmtId="0" fontId="26" fillId="0" borderId="0" xfId="8"/>
    <xf numFmtId="2" fontId="1" fillId="18" borderId="0" xfId="4" applyNumberFormat="1" applyFill="1"/>
    <xf numFmtId="2" fontId="1" fillId="4" borderId="0" xfId="4" applyNumberFormat="1" applyFill="1"/>
    <xf numFmtId="167" fontId="1" fillId="0" borderId="0" xfId="4" applyNumberFormat="1"/>
    <xf numFmtId="174" fontId="1" fillId="0" borderId="0" xfId="4" applyNumberFormat="1"/>
    <xf numFmtId="43" fontId="0" fillId="0" borderId="0" xfId="0" applyNumberFormat="1"/>
    <xf numFmtId="168" fontId="0" fillId="0" borderId="0" xfId="0" applyNumberFormat="1"/>
    <xf numFmtId="9" fontId="28" fillId="0" borderId="0" xfId="2" applyFont="1"/>
    <xf numFmtId="9" fontId="0" fillId="0" borderId="0" xfId="2" applyFont="1"/>
    <xf numFmtId="0" fontId="0" fillId="0" borderId="0" xfId="2" applyNumberFormat="1" applyFont="1"/>
    <xf numFmtId="10" fontId="0" fillId="0" borderId="0" xfId="2" applyNumberFormat="1" applyFont="1"/>
    <xf numFmtId="176" fontId="0" fillId="0" borderId="0" xfId="2" applyNumberFormat="1" applyFont="1"/>
    <xf numFmtId="0" fontId="23" fillId="21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16" borderId="2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left" vertical="center" wrapText="1" readingOrder="1"/>
    </xf>
    <xf numFmtId="0" fontId="24" fillId="0" borderId="16" xfId="0" applyFont="1" applyBorder="1" applyAlignment="1">
      <alignment horizontal="left" vertical="center" wrapText="1" readingOrder="1"/>
    </xf>
    <xf numFmtId="0" fontId="24" fillId="0" borderId="2" xfId="0" applyFont="1" applyBorder="1" applyAlignment="1">
      <alignment horizontal="left" vertical="center" wrapText="1" readingOrder="1"/>
    </xf>
    <xf numFmtId="0" fontId="24" fillId="0" borderId="15" xfId="0" applyFont="1" applyBorder="1" applyAlignment="1">
      <alignment horizontal="left" vertical="center" readingOrder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2" fontId="27" fillId="0" borderId="2" xfId="0" applyNumberFormat="1" applyFont="1" applyBorder="1" applyAlignment="1">
      <alignment horizontal="right" vertical="center" wrapText="1" readingOrder="1"/>
    </xf>
    <xf numFmtId="0" fontId="26" fillId="0" borderId="2" xfId="3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18" borderId="2" xfId="0" applyFont="1" applyFill="1" applyBorder="1" applyAlignment="1">
      <alignment vertical="center"/>
    </xf>
    <xf numFmtId="0" fontId="2" fillId="18" borderId="2" xfId="0" applyFont="1" applyFill="1" applyBorder="1" applyAlignment="1">
      <alignment horizontal="left" vertical="center"/>
    </xf>
    <xf numFmtId="172" fontId="0" fillId="0" borderId="0" xfId="0" applyNumberFormat="1" applyAlignment="1">
      <alignment horizontal="left" vertical="center"/>
    </xf>
    <xf numFmtId="172" fontId="2" fillId="18" borderId="0" xfId="0" applyNumberFormat="1" applyFont="1" applyFill="1" applyAlignment="1">
      <alignment horizontal="left" vertical="center"/>
    </xf>
    <xf numFmtId="0" fontId="2" fillId="19" borderId="0" xfId="0" applyFont="1" applyFill="1" applyAlignment="1">
      <alignment horizontal="center" vertical="center"/>
    </xf>
    <xf numFmtId="0" fontId="25" fillId="0" borderId="15" xfId="0" applyFont="1" applyBorder="1" applyAlignment="1">
      <alignment horizontal="right" vertical="center" readingOrder="1"/>
    </xf>
    <xf numFmtId="0" fontId="24" fillId="0" borderId="16" xfId="0" applyFont="1" applyBorder="1" applyAlignment="1">
      <alignment horizontal="right" vertical="center" readingOrder="1"/>
    </xf>
    <xf numFmtId="2" fontId="0" fillId="0" borderId="2" xfId="0" applyNumberFormat="1" applyBorder="1" applyAlignment="1">
      <alignment horizontal="right" vertical="center"/>
    </xf>
    <xf numFmtId="2" fontId="2" fillId="18" borderId="2" xfId="0" applyNumberFormat="1" applyFont="1" applyFill="1" applyBorder="1" applyAlignment="1">
      <alignment horizontal="right" vertical="center"/>
    </xf>
    <xf numFmtId="171" fontId="0" fillId="0" borderId="0" xfId="0" applyNumberFormat="1" applyAlignment="1">
      <alignment horizontal="right" vertical="center"/>
    </xf>
    <xf numFmtId="170" fontId="2" fillId="18" borderId="2" xfId="0" applyNumberFormat="1" applyFont="1" applyFill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  <xf numFmtId="169" fontId="2" fillId="18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0" fontId="2" fillId="18" borderId="0" xfId="0" applyNumberFormat="1" applyFont="1" applyFill="1" applyAlignment="1">
      <alignment horizontal="right" vertical="center"/>
    </xf>
    <xf numFmtId="0" fontId="0" fillId="18" borderId="0" xfId="0" applyFill="1" applyAlignment="1">
      <alignment horizontal="right" vertical="center"/>
    </xf>
    <xf numFmtId="2" fontId="0" fillId="0" borderId="0" xfId="0" applyNumberFormat="1" applyAlignment="1">
      <alignment horizontal="left"/>
    </xf>
    <xf numFmtId="2" fontId="0" fillId="0" borderId="0" xfId="0" applyNumberFormat="1"/>
    <xf numFmtId="10" fontId="0" fillId="0" borderId="0" xfId="2" applyNumberFormat="1" applyFont="1" applyBorder="1"/>
    <xf numFmtId="0" fontId="23" fillId="9" borderId="0" xfId="0" applyFont="1" applyFill="1" applyAlignment="1">
      <alignment horizontal="center"/>
    </xf>
    <xf numFmtId="0" fontId="31" fillId="0" borderId="0" xfId="4" applyFont="1"/>
    <xf numFmtId="0" fontId="30" fillId="0" borderId="0" xfId="4" applyFont="1"/>
    <xf numFmtId="0" fontId="2" fillId="5" borderId="0" xfId="4" applyFont="1" applyFill="1"/>
    <xf numFmtId="0" fontId="31" fillId="5" borderId="0" xfId="4" applyFont="1" applyFill="1"/>
    <xf numFmtId="0" fontId="1" fillId="5" borderId="0" xfId="4" applyFill="1"/>
    <xf numFmtId="0" fontId="8" fillId="0" borderId="0" xfId="5"/>
    <xf numFmtId="173" fontId="0" fillId="4" borderId="0" xfId="6" applyNumberFormat="1" applyFont="1" applyFill="1"/>
    <xf numFmtId="0" fontId="32" fillId="0" borderId="0" xfId="5" applyFont="1"/>
    <xf numFmtId="0" fontId="1" fillId="21" borderId="0" xfId="4" applyFill="1"/>
    <xf numFmtId="165" fontId="0" fillId="4" borderId="0" xfId="6" applyFont="1" applyFill="1"/>
    <xf numFmtId="9" fontId="0" fillId="4" borderId="0" xfId="9" applyFont="1" applyFill="1"/>
    <xf numFmtId="166" fontId="1" fillId="21" borderId="0" xfId="4" applyNumberFormat="1" applyFill="1"/>
    <xf numFmtId="9" fontId="1" fillId="4" borderId="0" xfId="4" applyNumberFormat="1" applyFill="1"/>
    <xf numFmtId="10" fontId="1" fillId="4" borderId="0" xfId="4" applyNumberFormat="1" applyFill="1"/>
    <xf numFmtId="0" fontId="23" fillId="22" borderId="0" xfId="4" applyFont="1" applyFill="1"/>
    <xf numFmtId="174" fontId="1" fillId="23" borderId="0" xfId="4" applyNumberFormat="1" applyFill="1"/>
    <xf numFmtId="166" fontId="0" fillId="0" borderId="0" xfId="10" applyNumberFormat="1" applyFont="1"/>
    <xf numFmtId="174" fontId="1" fillId="21" borderId="0" xfId="4" applyNumberFormat="1" applyFill="1"/>
    <xf numFmtId="166" fontId="0" fillId="21" borderId="0" xfId="10" applyNumberFormat="1" applyFont="1" applyFill="1"/>
    <xf numFmtId="9" fontId="1" fillId="21" borderId="0" xfId="9" applyFont="1" applyFill="1"/>
    <xf numFmtId="9" fontId="1" fillId="0" borderId="0" xfId="9" applyFont="1"/>
    <xf numFmtId="166" fontId="1" fillId="0" borderId="0" xfId="9" applyNumberFormat="1" applyFont="1"/>
    <xf numFmtId="166" fontId="1" fillId="21" borderId="0" xfId="9" applyNumberFormat="1" applyFont="1" applyFill="1"/>
    <xf numFmtId="174" fontId="1" fillId="24" borderId="0" xfId="4" applyNumberFormat="1" applyFill="1"/>
    <xf numFmtId="166" fontId="1" fillId="0" borderId="0" xfId="4" applyNumberFormat="1"/>
    <xf numFmtId="0" fontId="29" fillId="25" borderId="0" xfId="4" applyFont="1" applyFill="1"/>
    <xf numFmtId="0" fontId="1" fillId="25" borderId="0" xfId="4" applyFill="1"/>
    <xf numFmtId="164" fontId="0" fillId="25" borderId="0" xfId="11" applyFont="1" applyFill="1"/>
    <xf numFmtId="166" fontId="1" fillId="25" borderId="0" xfId="4" applyNumberFormat="1" applyFill="1"/>
    <xf numFmtId="177" fontId="1" fillId="23" borderId="0" xfId="4" applyNumberFormat="1" applyFill="1"/>
    <xf numFmtId="173" fontId="1" fillId="23" borderId="0" xfId="6" applyNumberFormat="1" applyFont="1" applyFill="1"/>
    <xf numFmtId="173" fontId="1" fillId="23" borderId="0" xfId="4" applyNumberFormat="1" applyFill="1"/>
    <xf numFmtId="0" fontId="33" fillId="20" borderId="0" xfId="4" applyFont="1" applyFill="1"/>
    <xf numFmtId="0" fontId="2" fillId="20" borderId="0" xfId="4" applyFont="1" applyFill="1"/>
    <xf numFmtId="0" fontId="2" fillId="20" borderId="0" xfId="4" applyFont="1" applyFill="1" applyAlignment="1">
      <alignment horizontal="center"/>
    </xf>
    <xf numFmtId="0" fontId="2" fillId="0" borderId="0" xfId="4" applyFont="1"/>
    <xf numFmtId="173" fontId="1" fillId="4" borderId="0" xfId="4" applyNumberFormat="1" applyFill="1"/>
    <xf numFmtId="0" fontId="34" fillId="20" borderId="0" xfId="4" applyFont="1" applyFill="1"/>
    <xf numFmtId="9" fontId="34" fillId="4" borderId="0" xfId="4" applyNumberFormat="1" applyFont="1" applyFill="1"/>
    <xf numFmtId="9" fontId="1" fillId="18" borderId="0" xfId="4" applyNumberFormat="1" applyFill="1"/>
    <xf numFmtId="175" fontId="1" fillId="18" borderId="0" xfId="6" applyNumberFormat="1" applyFont="1" applyFill="1"/>
    <xf numFmtId="165" fontId="1" fillId="20" borderId="0" xfId="4" applyNumberFormat="1" applyFill="1"/>
    <xf numFmtId="0" fontId="29" fillId="20" borderId="0" xfId="4" applyFont="1" applyFill="1"/>
    <xf numFmtId="165" fontId="1" fillId="23" borderId="0" xfId="4" applyNumberFormat="1" applyFill="1"/>
    <xf numFmtId="173" fontId="29" fillId="23" borderId="0" xfId="4" applyNumberFormat="1" applyFont="1" applyFill="1"/>
    <xf numFmtId="0" fontId="1" fillId="20" borderId="0" xfId="4" applyFill="1" applyAlignment="1">
      <alignment vertical="top" wrapText="1"/>
    </xf>
    <xf numFmtId="0" fontId="1" fillId="20" borderId="0" xfId="4" applyFill="1" applyAlignment="1">
      <alignment wrapText="1"/>
    </xf>
    <xf numFmtId="173" fontId="1" fillId="0" borderId="0" xfId="4" applyNumberFormat="1"/>
    <xf numFmtId="9" fontId="1" fillId="0" borderId="0" xfId="4" applyNumberFormat="1"/>
    <xf numFmtId="0" fontId="35" fillId="25" borderId="0" xfId="4" applyFont="1" applyFill="1"/>
    <xf numFmtId="174" fontId="31" fillId="0" borderId="0" xfId="4" applyNumberFormat="1" applyFont="1"/>
    <xf numFmtId="175" fontId="31" fillId="5" borderId="0" xfId="7" applyNumberFormat="1" applyFont="1" applyFill="1"/>
    <xf numFmtId="0" fontId="31" fillId="25" borderId="0" xfId="4" applyFont="1" applyFill="1"/>
    <xf numFmtId="177" fontId="31" fillId="0" borderId="0" xfId="4" applyNumberFormat="1" applyFont="1"/>
    <xf numFmtId="165" fontId="31" fillId="5" borderId="0" xfId="7" applyFont="1" applyFill="1"/>
    <xf numFmtId="1" fontId="1" fillId="0" borderId="0" xfId="4" applyNumberFormat="1"/>
    <xf numFmtId="174" fontId="33" fillId="0" borderId="0" xfId="4" applyNumberFormat="1" applyFont="1"/>
    <xf numFmtId="173" fontId="1" fillId="0" borderId="0" xfId="7" applyNumberFormat="1" applyFont="1"/>
    <xf numFmtId="178" fontId="1" fillId="0" borderId="0" xfId="4" applyNumberFormat="1"/>
    <xf numFmtId="9" fontId="31" fillId="0" borderId="0" xfId="10" applyFont="1" applyFill="1"/>
    <xf numFmtId="0" fontId="1" fillId="24" borderId="0" xfId="4" applyFill="1"/>
    <xf numFmtId="0" fontId="1" fillId="26" borderId="0" xfId="4" applyFill="1"/>
    <xf numFmtId="174" fontId="1" fillId="26" borderId="0" xfId="4" applyNumberFormat="1" applyFill="1"/>
    <xf numFmtId="166" fontId="0" fillId="26" borderId="0" xfId="10" applyNumberFormat="1" applyFont="1" applyFill="1"/>
    <xf numFmtId="9" fontId="1" fillId="26" borderId="0" xfId="9" applyFont="1" applyFill="1"/>
    <xf numFmtId="10" fontId="1" fillId="0" borderId="0" xfId="9" applyNumberFormat="1" applyFont="1"/>
    <xf numFmtId="176" fontId="1" fillId="0" borderId="0" xfId="9" applyNumberFormat="1" applyFont="1"/>
    <xf numFmtId="0" fontId="1" fillId="26" borderId="0" xfId="4" applyFill="1" applyAlignment="1">
      <alignment horizontal="left" indent="1"/>
    </xf>
    <xf numFmtId="0" fontId="1" fillId="0" borderId="0" xfId="4" quotePrefix="1"/>
    <xf numFmtId="0" fontId="0" fillId="0" borderId="0" xfId="4" applyFont="1"/>
    <xf numFmtId="0" fontId="0" fillId="21" borderId="0" xfId="4" applyFont="1" applyFill="1"/>
    <xf numFmtId="0" fontId="0" fillId="20" borderId="0" xfId="4" applyFont="1" applyFill="1" applyAlignment="1">
      <alignment horizontal="left" indent="1"/>
    </xf>
    <xf numFmtId="0" fontId="0" fillId="20" borderId="0" xfId="4" applyFont="1" applyFill="1"/>
    <xf numFmtId="174" fontId="0" fillId="0" borderId="0" xfId="4" applyNumberFormat="1" applyFont="1"/>
    <xf numFmtId="177" fontId="1" fillId="0" borderId="0" xfId="4" applyNumberFormat="1"/>
    <xf numFmtId="0" fontId="1" fillId="20" borderId="0" xfId="4" applyFill="1" applyAlignment="1">
      <alignment vertical="center" wrapText="1"/>
    </xf>
    <xf numFmtId="173" fontId="1" fillId="23" borderId="0" xfId="4" applyNumberFormat="1" applyFill="1" applyAlignment="1">
      <alignment vertical="center"/>
    </xf>
    <xf numFmtId="173" fontId="1" fillId="0" borderId="0" xfId="4" applyNumberFormat="1" applyAlignment="1">
      <alignment vertical="center"/>
    </xf>
    <xf numFmtId="9" fontId="1" fillId="0" borderId="0" xfId="9" applyFont="1" applyAlignment="1">
      <alignment vertical="center"/>
    </xf>
    <xf numFmtId="0" fontId="1" fillId="0" borderId="0" xfId="4" applyAlignment="1">
      <alignment vertical="center"/>
    </xf>
    <xf numFmtId="173" fontId="29" fillId="4" borderId="0" xfId="6" applyNumberFormat="1" applyFont="1" applyFill="1"/>
    <xf numFmtId="175" fontId="29" fillId="4" borderId="0" xfId="6" applyNumberFormat="1" applyFont="1" applyFill="1"/>
    <xf numFmtId="9" fontId="29" fillId="4" borderId="0" xfId="9" applyFont="1" applyFill="1"/>
    <xf numFmtId="177" fontId="29" fillId="23" borderId="0" xfId="4" applyNumberFormat="1" applyFont="1" applyFill="1"/>
    <xf numFmtId="175" fontId="29" fillId="18" borderId="0" xfId="6" applyNumberFormat="1" applyFont="1" applyFill="1"/>
    <xf numFmtId="165" fontId="29" fillId="18" borderId="0" xfId="6" applyFont="1" applyFill="1"/>
    <xf numFmtId="173" fontId="29" fillId="21" borderId="0" xfId="4" applyNumberFormat="1" applyFont="1" applyFill="1"/>
    <xf numFmtId="173" fontId="29" fillId="4" borderId="0" xfId="4" applyNumberFormat="1" applyFont="1" applyFill="1"/>
    <xf numFmtId="174" fontId="29" fillId="0" borderId="0" xfId="4" applyNumberFormat="1" applyFon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0" fontId="0" fillId="0" borderId="0" xfId="2" applyNumberFormat="1" applyFont="1" applyAlignment="1">
      <alignment horizontal="left"/>
    </xf>
    <xf numFmtId="1" fontId="0" fillId="4" borderId="0" xfId="0" applyNumberFormat="1" applyFill="1" applyAlignment="1">
      <alignment horizontal="right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righ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44" fontId="0" fillId="0" borderId="2" xfId="12" applyFont="1" applyBorder="1" applyAlignment="1">
      <alignment vertical="center"/>
    </xf>
    <xf numFmtId="179" fontId="0" fillId="0" borderId="2" xfId="12" applyNumberFormat="1" applyFont="1" applyBorder="1" applyAlignment="1">
      <alignment horizontal="center" vertical="center"/>
    </xf>
    <xf numFmtId="0" fontId="1" fillId="0" borderId="0" xfId="4" applyAlignment="1">
      <alignment horizontal="center" vertical="center"/>
    </xf>
    <xf numFmtId="9" fontId="1" fillId="4" borderId="0" xfId="4" applyNumberFormat="1" applyFill="1" applyAlignment="1">
      <alignment vertical="center"/>
    </xf>
    <xf numFmtId="9" fontId="1" fillId="4" borderId="0" xfId="4" applyNumberFormat="1" applyFill="1" applyAlignment="1">
      <alignment horizontal="center" vertical="center"/>
    </xf>
    <xf numFmtId="0" fontId="8" fillId="28" borderId="2" xfId="0" applyFont="1" applyFill="1" applyBorder="1" applyAlignment="1">
      <alignment vertical="center" wrapText="1"/>
    </xf>
    <xf numFmtId="0" fontId="1" fillId="20" borderId="0" xfId="4" applyFill="1" applyAlignment="1">
      <alignment vertical="center"/>
    </xf>
    <xf numFmtId="174" fontId="1" fillId="21" borderId="0" xfId="4" applyNumberFormat="1" applyFill="1" applyAlignment="1">
      <alignment vertical="center"/>
    </xf>
    <xf numFmtId="10" fontId="1" fillId="0" borderId="0" xfId="9" applyNumberFormat="1" applyFont="1" applyAlignment="1">
      <alignment vertical="center"/>
    </xf>
    <xf numFmtId="179" fontId="0" fillId="0" borderId="2" xfId="12" applyNumberFormat="1" applyFont="1" applyBorder="1" applyAlignment="1">
      <alignment horizontal="center"/>
    </xf>
    <xf numFmtId="181" fontId="0" fillId="0" borderId="2" xfId="12" applyNumberFormat="1" applyFont="1" applyBorder="1" applyAlignment="1">
      <alignment horizontal="center" vertical="center"/>
    </xf>
    <xf numFmtId="179" fontId="0" fillId="0" borderId="2" xfId="12" applyNumberFormat="1" applyFont="1" applyBorder="1" applyAlignment="1">
      <alignment vertical="center"/>
    </xf>
    <xf numFmtId="9" fontId="0" fillId="0" borderId="2" xfId="2" applyFont="1" applyBorder="1" applyAlignment="1">
      <alignment horizontal="center" vertical="center"/>
    </xf>
    <xf numFmtId="182" fontId="0" fillId="0" borderId="2" xfId="12" applyNumberFormat="1" applyFont="1" applyBorder="1" applyAlignment="1">
      <alignment horizontal="center" vertical="center"/>
    </xf>
    <xf numFmtId="0" fontId="2" fillId="27" borderId="2" xfId="0" applyFont="1" applyFill="1" applyBorder="1"/>
    <xf numFmtId="0" fontId="0" fillId="20" borderId="0" xfId="4" applyFont="1" applyFill="1" applyAlignment="1">
      <alignment vertical="center" wrapText="1"/>
    </xf>
    <xf numFmtId="177" fontId="1" fillId="23" borderId="0" xfId="4" applyNumberFormat="1" applyFill="1" applyAlignment="1">
      <alignment vertical="center"/>
    </xf>
    <xf numFmtId="166" fontId="1" fillId="0" borderId="0" xfId="4" applyNumberFormat="1" applyAlignment="1">
      <alignment vertical="center"/>
    </xf>
    <xf numFmtId="0" fontId="31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2" fillId="5" borderId="0" xfId="4" applyFont="1" applyFill="1" applyAlignment="1">
      <alignment vertical="center"/>
    </xf>
    <xf numFmtId="0" fontId="31" fillId="5" borderId="0" xfId="4" applyFont="1" applyFill="1" applyAlignment="1">
      <alignment vertical="center"/>
    </xf>
    <xf numFmtId="0" fontId="1" fillId="5" borderId="0" xfId="4" applyFill="1" applyAlignment="1">
      <alignment vertical="center"/>
    </xf>
    <xf numFmtId="0" fontId="1" fillId="4" borderId="0" xfId="4" applyFill="1" applyAlignment="1">
      <alignment vertical="center"/>
    </xf>
    <xf numFmtId="173" fontId="0" fillId="4" borderId="0" xfId="6" applyNumberFormat="1" applyFont="1" applyFill="1" applyAlignment="1">
      <alignment vertical="center"/>
    </xf>
    <xf numFmtId="0" fontId="32" fillId="0" borderId="0" xfId="5" applyFont="1" applyAlignment="1">
      <alignment vertical="center"/>
    </xf>
    <xf numFmtId="0" fontId="0" fillId="20" borderId="0" xfId="4" applyFont="1" applyFill="1" applyAlignment="1">
      <alignment vertical="center"/>
    </xf>
    <xf numFmtId="10" fontId="1" fillId="4" borderId="0" xfId="4" applyNumberFormat="1" applyFill="1" applyAlignment="1">
      <alignment vertical="center"/>
    </xf>
    <xf numFmtId="0" fontId="2" fillId="20" borderId="0" xfId="4" applyFont="1" applyFill="1" applyAlignment="1">
      <alignment vertical="center"/>
    </xf>
    <xf numFmtId="0" fontId="2" fillId="20" borderId="0" xfId="4" applyFont="1" applyFill="1" applyAlignment="1">
      <alignment horizontal="center" vertical="center"/>
    </xf>
    <xf numFmtId="0" fontId="2" fillId="0" borderId="0" xfId="4" applyFont="1" applyAlignment="1">
      <alignment vertical="center"/>
    </xf>
    <xf numFmtId="173" fontId="1" fillId="4" borderId="0" xfId="4" applyNumberFormat="1" applyFill="1" applyAlignment="1">
      <alignment vertical="center"/>
    </xf>
    <xf numFmtId="173" fontId="29" fillId="21" borderId="0" xfId="4" applyNumberFormat="1" applyFont="1" applyFill="1" applyAlignment="1">
      <alignment vertical="center"/>
    </xf>
    <xf numFmtId="173" fontId="29" fillId="4" borderId="0" xfId="4" applyNumberFormat="1" applyFont="1" applyFill="1" applyAlignment="1">
      <alignment vertical="center"/>
    </xf>
    <xf numFmtId="175" fontId="1" fillId="18" borderId="0" xfId="6" applyNumberFormat="1" applyFont="1" applyFill="1" applyAlignment="1">
      <alignment vertical="center"/>
    </xf>
    <xf numFmtId="165" fontId="29" fillId="18" borderId="0" xfId="6" applyFont="1" applyFill="1" applyAlignment="1">
      <alignment vertical="center"/>
    </xf>
    <xf numFmtId="175" fontId="29" fillId="18" borderId="0" xfId="6" applyNumberFormat="1" applyFont="1" applyFill="1" applyAlignment="1">
      <alignment vertical="center"/>
    </xf>
    <xf numFmtId="165" fontId="1" fillId="20" borderId="0" xfId="4" applyNumberFormat="1" applyFill="1" applyAlignment="1">
      <alignment vertical="center"/>
    </xf>
    <xf numFmtId="0" fontId="23" fillId="22" borderId="0" xfId="4" applyFont="1" applyFill="1" applyAlignment="1">
      <alignment vertical="center"/>
    </xf>
    <xf numFmtId="174" fontId="1" fillId="23" borderId="0" xfId="4" applyNumberFormat="1" applyFill="1" applyAlignment="1">
      <alignment vertical="center"/>
    </xf>
    <xf numFmtId="166" fontId="0" fillId="0" borderId="0" xfId="10" applyNumberFormat="1" applyFont="1" applyAlignment="1">
      <alignment vertical="center"/>
    </xf>
    <xf numFmtId="166" fontId="0" fillId="21" borderId="0" xfId="10" applyNumberFormat="1" applyFont="1" applyFill="1" applyAlignment="1">
      <alignment vertical="center"/>
    </xf>
    <xf numFmtId="9" fontId="1" fillId="21" borderId="0" xfId="9" applyFont="1" applyFill="1" applyAlignment="1">
      <alignment vertical="center"/>
    </xf>
    <xf numFmtId="0" fontId="1" fillId="0" borderId="0" xfId="4" quotePrefix="1" applyAlignment="1">
      <alignment vertical="center"/>
    </xf>
    <xf numFmtId="166" fontId="1" fillId="0" borderId="0" xfId="9" applyNumberFormat="1" applyFont="1" applyAlignment="1">
      <alignment vertical="center"/>
    </xf>
    <xf numFmtId="176" fontId="1" fillId="0" borderId="0" xfId="9" applyNumberFormat="1" applyFont="1" applyAlignment="1">
      <alignment vertical="center"/>
    </xf>
    <xf numFmtId="0" fontId="0" fillId="0" borderId="0" xfId="4" applyFont="1" applyAlignment="1">
      <alignment vertical="center"/>
    </xf>
    <xf numFmtId="0" fontId="0" fillId="21" borderId="0" xfId="4" applyFont="1" applyFill="1" applyAlignment="1">
      <alignment vertical="center"/>
    </xf>
    <xf numFmtId="0" fontId="29" fillId="25" borderId="0" xfId="4" applyFont="1" applyFill="1" applyAlignment="1">
      <alignment vertical="center"/>
    </xf>
    <xf numFmtId="0" fontId="1" fillId="25" borderId="0" xfId="4" applyFill="1" applyAlignment="1">
      <alignment vertical="center"/>
    </xf>
    <xf numFmtId="164" fontId="0" fillId="25" borderId="0" xfId="11" applyFont="1" applyFill="1" applyAlignment="1">
      <alignment vertical="center"/>
    </xf>
    <xf numFmtId="166" fontId="1" fillId="25" borderId="0" xfId="4" applyNumberFormat="1" applyFill="1" applyAlignment="1">
      <alignment vertical="center"/>
    </xf>
    <xf numFmtId="0" fontId="33" fillId="20" borderId="0" xfId="4" applyFont="1" applyFill="1" applyAlignment="1">
      <alignment vertical="center"/>
    </xf>
    <xf numFmtId="174" fontId="0" fillId="0" borderId="0" xfId="4" applyNumberFormat="1" applyFont="1" applyAlignment="1">
      <alignment vertical="center"/>
    </xf>
    <xf numFmtId="174" fontId="1" fillId="0" borderId="0" xfId="4" applyNumberFormat="1" applyAlignment="1">
      <alignment vertical="center"/>
    </xf>
    <xf numFmtId="0" fontId="35" fillId="25" borderId="0" xfId="4" applyFont="1" applyFill="1" applyAlignment="1">
      <alignment vertical="center"/>
    </xf>
    <xf numFmtId="9" fontId="1" fillId="0" borderId="0" xfId="4" applyNumberFormat="1" applyAlignment="1">
      <alignment vertical="center"/>
    </xf>
    <xf numFmtId="177" fontId="1" fillId="0" borderId="0" xfId="4" applyNumberFormat="1" applyAlignment="1">
      <alignment vertical="center"/>
    </xf>
    <xf numFmtId="0" fontId="2" fillId="0" borderId="0" xfId="4" applyFont="1" applyAlignment="1">
      <alignment horizontal="center" vertical="center"/>
    </xf>
    <xf numFmtId="177" fontId="40" fillId="0" borderId="0" xfId="4" applyNumberFormat="1" applyFont="1" applyAlignment="1">
      <alignment vertical="center"/>
    </xf>
    <xf numFmtId="175" fontId="31" fillId="5" borderId="0" xfId="7" applyNumberFormat="1" applyFont="1" applyFill="1" applyAlignment="1">
      <alignment vertical="center"/>
    </xf>
    <xf numFmtId="0" fontId="31" fillId="25" borderId="0" xfId="4" applyFont="1" applyFill="1" applyAlignment="1">
      <alignment vertical="center"/>
    </xf>
    <xf numFmtId="177" fontId="2" fillId="0" borderId="0" xfId="4" applyNumberFormat="1" applyFont="1" applyAlignment="1">
      <alignment vertical="center"/>
    </xf>
    <xf numFmtId="165" fontId="31" fillId="5" borderId="0" xfId="7" applyFont="1" applyFill="1" applyAlignment="1">
      <alignment vertical="center"/>
    </xf>
    <xf numFmtId="174" fontId="33" fillId="0" borderId="0" xfId="4" applyNumberFormat="1" applyFont="1" applyAlignment="1">
      <alignment vertical="center"/>
    </xf>
    <xf numFmtId="177" fontId="31" fillId="0" borderId="0" xfId="4" applyNumberFormat="1" applyFont="1" applyAlignment="1">
      <alignment vertical="center"/>
    </xf>
    <xf numFmtId="9" fontId="31" fillId="0" borderId="0" xfId="10" applyFont="1" applyFill="1" applyAlignment="1">
      <alignment vertical="center"/>
    </xf>
    <xf numFmtId="0" fontId="1" fillId="24" borderId="0" xfId="4" applyFill="1" applyAlignment="1">
      <alignment vertical="center"/>
    </xf>
    <xf numFmtId="9" fontId="33" fillId="4" borderId="0" xfId="9" applyFont="1" applyFill="1" applyAlignment="1">
      <alignment vertical="center"/>
    </xf>
    <xf numFmtId="165" fontId="0" fillId="4" borderId="0" xfId="6" applyFont="1" applyFill="1" applyAlignment="1">
      <alignment vertical="center"/>
    </xf>
    <xf numFmtId="0" fontId="36" fillId="0" borderId="0" xfId="4" applyFont="1" applyAlignment="1">
      <alignment horizontal="center" vertical="center"/>
    </xf>
    <xf numFmtId="177" fontId="33" fillId="23" borderId="0" xfId="4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41" fillId="0" borderId="2" xfId="5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/>
    </xf>
    <xf numFmtId="0" fontId="2" fillId="27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9" fontId="0" fillId="0" borderId="2" xfId="2" applyFont="1" applyBorder="1" applyAlignment="1">
      <alignment vertical="center"/>
    </xf>
    <xf numFmtId="174" fontId="2" fillId="24" borderId="0" xfId="4" applyNumberFormat="1" applyFont="1" applyFill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indent="1"/>
    </xf>
    <xf numFmtId="166" fontId="9" fillId="0" borderId="0" xfId="2" applyNumberFormat="1" applyFont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5" applyFont="1" applyBorder="1" applyAlignment="1">
      <alignment horizontal="left" vertical="center" wrapText="1"/>
    </xf>
    <xf numFmtId="0" fontId="0" fillId="0" borderId="2" xfId="5" applyFont="1" applyBorder="1" applyAlignment="1">
      <alignment vertical="center" wrapText="1"/>
    </xf>
    <xf numFmtId="166" fontId="33" fillId="4" borderId="2" xfId="4" applyNumberFormat="1" applyFont="1" applyFill="1" applyBorder="1" applyAlignment="1">
      <alignment vertical="center"/>
    </xf>
    <xf numFmtId="181" fontId="0" fillId="0" borderId="2" xfId="0" applyNumberFormat="1" applyBorder="1"/>
    <xf numFmtId="17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2" xfId="0" applyNumberFormat="1" applyBorder="1"/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/>
    </xf>
    <xf numFmtId="182" fontId="0" fillId="0" borderId="2" xfId="0" applyNumberFormat="1" applyBorder="1"/>
    <xf numFmtId="182" fontId="0" fillId="0" borderId="2" xfId="0" applyNumberFormat="1" applyBorder="1" applyAlignment="1">
      <alignment vertical="center"/>
    </xf>
    <xf numFmtId="180" fontId="0" fillId="0" borderId="2" xfId="0" applyNumberFormat="1" applyBorder="1" applyAlignment="1">
      <alignment vertical="center"/>
    </xf>
    <xf numFmtId="166" fontId="0" fillId="0" borderId="2" xfId="2" applyNumberFormat="1" applyFont="1" applyBorder="1" applyAlignment="1">
      <alignment vertical="center"/>
    </xf>
    <xf numFmtId="0" fontId="42" fillId="0" borderId="0" xfId="4" applyFont="1" applyAlignment="1">
      <alignment vertical="center"/>
    </xf>
    <xf numFmtId="0" fontId="42" fillId="5" borderId="0" xfId="4" applyFont="1" applyFill="1" applyAlignment="1">
      <alignment vertical="center"/>
    </xf>
    <xf numFmtId="173" fontId="1" fillId="4" borderId="0" xfId="6" applyNumberFormat="1" applyFont="1" applyFill="1" applyAlignment="1">
      <alignment vertical="center"/>
    </xf>
    <xf numFmtId="0" fontId="30" fillId="0" borderId="0" xfId="5" applyFont="1" applyAlignment="1">
      <alignment vertical="center"/>
    </xf>
    <xf numFmtId="165" fontId="1" fillId="4" borderId="0" xfId="6" applyFont="1" applyFill="1" applyAlignment="1">
      <alignment vertical="center"/>
    </xf>
    <xf numFmtId="1" fontId="1" fillId="4" borderId="0" xfId="2" applyNumberFormat="1" applyFont="1" applyFill="1" applyAlignment="1">
      <alignment vertical="center"/>
    </xf>
    <xf numFmtId="166" fontId="1" fillId="0" borderId="0" xfId="10" applyNumberFormat="1" applyFont="1" applyAlignment="1">
      <alignment vertical="center"/>
    </xf>
    <xf numFmtId="164" fontId="1" fillId="25" borderId="0" xfId="11" applyFont="1" applyFill="1" applyAlignment="1">
      <alignment vertical="center"/>
    </xf>
    <xf numFmtId="0" fontId="42" fillId="25" borderId="0" xfId="4" applyFont="1" applyFill="1" applyAlignment="1">
      <alignment vertical="center"/>
    </xf>
    <xf numFmtId="177" fontId="43" fillId="0" borderId="0" xfId="4" applyNumberFormat="1" applyFont="1" applyAlignment="1">
      <alignment vertical="center"/>
    </xf>
    <xf numFmtId="175" fontId="42" fillId="5" borderId="0" xfId="7" applyNumberFormat="1" applyFont="1" applyFill="1" applyAlignment="1">
      <alignment vertical="center"/>
    </xf>
    <xf numFmtId="165" fontId="42" fillId="5" borderId="0" xfId="7" applyFont="1" applyFill="1" applyAlignment="1">
      <alignment vertical="center"/>
    </xf>
    <xf numFmtId="177" fontId="42" fillId="0" borderId="0" xfId="4" applyNumberFormat="1" applyFont="1" applyAlignment="1">
      <alignment vertical="center"/>
    </xf>
    <xf numFmtId="9" fontId="42" fillId="0" borderId="0" xfId="10" applyFont="1" applyFill="1" applyAlignment="1">
      <alignment vertical="center"/>
    </xf>
    <xf numFmtId="173" fontId="29" fillId="4" borderId="0" xfId="6" applyNumberFormat="1" applyFont="1" applyFill="1" applyAlignment="1">
      <alignment vertical="center"/>
    </xf>
    <xf numFmtId="173" fontId="29" fillId="23" borderId="0" xfId="4" applyNumberFormat="1" applyFont="1" applyFill="1" applyAlignment="1">
      <alignment vertical="center"/>
    </xf>
    <xf numFmtId="0" fontId="44" fillId="0" borderId="2" xfId="0" applyFont="1" applyBorder="1" applyAlignment="1">
      <alignment horizontal="center" vertical="center" wrapText="1"/>
    </xf>
    <xf numFmtId="174" fontId="29" fillId="0" borderId="0" xfId="4" applyNumberFormat="1" applyFont="1" applyAlignment="1">
      <alignment vertical="center"/>
    </xf>
    <xf numFmtId="0" fontId="29" fillId="20" borderId="0" xfId="4" applyFont="1" applyFill="1" applyAlignment="1">
      <alignment vertical="center" wrapText="1"/>
    </xf>
    <xf numFmtId="9" fontId="29" fillId="0" borderId="0" xfId="4" applyNumberFormat="1" applyFont="1" applyAlignment="1">
      <alignment vertic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20" borderId="0" xfId="4" applyFill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/>
    <xf numFmtId="9" fontId="29" fillId="0" borderId="2" xfId="2" applyFont="1" applyBorder="1" applyAlignment="1">
      <alignment vertical="center"/>
    </xf>
    <xf numFmtId="166" fontId="29" fillId="0" borderId="2" xfId="2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8" fontId="22" fillId="4" borderId="0" xfId="1" applyNumberFormat="1" applyFont="1" applyFill="1" applyAlignment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8" fontId="45" fillId="0" borderId="0" xfId="1" applyNumberFormat="1" applyFont="1" applyAlignment="1"/>
    <xf numFmtId="44" fontId="0" fillId="4" borderId="2" xfId="12" applyFont="1" applyFill="1" applyBorder="1" applyAlignment="1">
      <alignment vertical="center"/>
    </xf>
    <xf numFmtId="9" fontId="0" fillId="4" borderId="2" xfId="12" applyNumberFormat="1" applyFont="1" applyFill="1" applyBorder="1" applyAlignment="1">
      <alignment vertical="center"/>
    </xf>
    <xf numFmtId="44" fontId="0" fillId="4" borderId="2" xfId="12" applyFont="1" applyFill="1" applyBorder="1" applyAlignment="1">
      <alignment vertical="center" wrapText="1"/>
    </xf>
    <xf numFmtId="166" fontId="0" fillId="4" borderId="2" xfId="0" applyNumberFormat="1" applyFill="1" applyBorder="1" applyAlignment="1">
      <alignment vertical="center"/>
    </xf>
    <xf numFmtId="166" fontId="0" fillId="4" borderId="2" xfId="0" applyNumberFormat="1" applyFill="1" applyBorder="1"/>
    <xf numFmtId="181" fontId="0" fillId="4" borderId="2" xfId="0" applyNumberFormat="1" applyFill="1" applyBorder="1"/>
    <xf numFmtId="181" fontId="0" fillId="4" borderId="2" xfId="12" applyNumberFormat="1" applyFont="1" applyFill="1" applyBorder="1" applyAlignment="1">
      <alignment horizontal="center" vertical="center"/>
    </xf>
    <xf numFmtId="166" fontId="29" fillId="4" borderId="2" xfId="2" applyNumberFormat="1" applyFont="1" applyFill="1" applyBorder="1"/>
    <xf numFmtId="179" fontId="0" fillId="4" borderId="2" xfId="12" applyNumberFormat="1" applyFont="1" applyFill="1" applyBorder="1" applyAlignment="1">
      <alignment horizontal="center"/>
    </xf>
    <xf numFmtId="179" fontId="0" fillId="4" borderId="2" xfId="12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4" fontId="0" fillId="4" borderId="2" xfId="12" applyFont="1" applyFill="1" applyBorder="1" applyAlignment="1">
      <alignment horizontal="center" vertical="center"/>
    </xf>
    <xf numFmtId="179" fontId="0" fillId="4" borderId="2" xfId="12" applyNumberFormat="1" applyFont="1" applyFill="1" applyBorder="1" applyAlignment="1">
      <alignment vertical="center"/>
    </xf>
    <xf numFmtId="179" fontId="0" fillId="4" borderId="2" xfId="0" applyNumberFormat="1" applyFill="1" applyBorder="1"/>
    <xf numFmtId="166" fontId="0" fillId="4" borderId="2" xfId="2" applyNumberFormat="1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9" fontId="0" fillId="0" borderId="2" xfId="12" applyNumberFormat="1" applyFont="1" applyFill="1" applyBorder="1" applyAlignment="1">
      <alignment vertical="center"/>
    </xf>
    <xf numFmtId="0" fontId="2" fillId="27" borderId="5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33" fillId="4" borderId="2" xfId="2" applyNumberFormat="1" applyFont="1" applyFill="1" applyBorder="1" applyAlignment="1">
      <alignment vertical="center"/>
    </xf>
    <xf numFmtId="3" fontId="0" fillId="4" borderId="2" xfId="0" applyNumberFormat="1" applyFill="1" applyBorder="1" applyAlignment="1">
      <alignment horizontal="center" vertical="center"/>
    </xf>
    <xf numFmtId="3" fontId="33" fillId="0" borderId="2" xfId="2" applyNumberFormat="1" applyFont="1" applyFill="1" applyBorder="1" applyAlignment="1">
      <alignment vertical="center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44" fontId="0" fillId="0" borderId="2" xfId="12" applyFont="1" applyFill="1" applyBorder="1" applyAlignment="1">
      <alignment horizontal="center" vertical="center"/>
    </xf>
    <xf numFmtId="1" fontId="9" fillId="2" borderId="0" xfId="0" applyNumberFormat="1" applyFont="1" applyFill="1"/>
    <xf numFmtId="9" fontId="8" fillId="12" borderId="2" xfId="2" applyFont="1" applyFill="1" applyBorder="1" applyAlignment="1">
      <alignment horizontal="center" vertical="center" wrapText="1"/>
    </xf>
    <xf numFmtId="1" fontId="8" fillId="12" borderId="2" xfId="2" applyNumberFormat="1" applyFont="1" applyFill="1" applyBorder="1" applyAlignment="1">
      <alignment horizontal="center" vertical="center" wrapText="1"/>
    </xf>
    <xf numFmtId="2" fontId="8" fillId="12" borderId="2" xfId="0" applyNumberFormat="1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vertical="center" wrapText="1"/>
    </xf>
    <xf numFmtId="1" fontId="8" fillId="12" borderId="2" xfId="0" applyNumberFormat="1" applyFont="1" applyFill="1" applyBorder="1" applyAlignment="1">
      <alignment vertical="center" wrapText="1"/>
    </xf>
    <xf numFmtId="1" fontId="9" fillId="0" borderId="0" xfId="0" applyNumberFormat="1" applyFont="1"/>
    <xf numFmtId="177" fontId="4" fillId="0" borderId="0" xfId="4" applyNumberFormat="1" applyFont="1" applyAlignment="1">
      <alignment vertical="center"/>
    </xf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2" xfId="0" applyNumberFormat="1" applyFill="1" applyBorder="1" applyAlignment="1">
      <alignment horizontal="right" vertical="center"/>
    </xf>
    <xf numFmtId="166" fontId="2" fillId="6" borderId="2" xfId="2" applyNumberFormat="1" applyFont="1" applyFill="1" applyBorder="1"/>
    <xf numFmtId="9" fontId="47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9" fillId="6" borderId="2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5" borderId="2" xfId="0" applyFont="1" applyFill="1" applyBorder="1"/>
    <xf numFmtId="1" fontId="8" fillId="5" borderId="2" xfId="0" applyNumberFormat="1" applyFont="1" applyFill="1" applyBorder="1" applyAlignment="1">
      <alignment vertical="center"/>
    </xf>
    <xf numFmtId="166" fontId="8" fillId="5" borderId="2" xfId="2" applyNumberFormat="1" applyFont="1" applyFill="1" applyBorder="1" applyAlignment="1">
      <alignment vertical="center"/>
    </xf>
    <xf numFmtId="1" fontId="8" fillId="6" borderId="2" xfId="0" applyNumberFormat="1" applyFont="1" applyFill="1" applyBorder="1" applyAlignment="1">
      <alignment vertical="center"/>
    </xf>
    <xf numFmtId="166" fontId="8" fillId="6" borderId="2" xfId="2" applyNumberFormat="1" applyFont="1" applyFill="1" applyBorder="1"/>
    <xf numFmtId="0" fontId="8" fillId="6" borderId="2" xfId="0" applyFont="1" applyFill="1" applyBorder="1"/>
    <xf numFmtId="0" fontId="2" fillId="0" borderId="0" xfId="0" quotePrefix="1" applyFont="1" applyAlignment="1">
      <alignment horizontal="center" vertical="center"/>
    </xf>
    <xf numFmtId="0" fontId="9" fillId="0" borderId="11" xfId="0" quotePrefix="1" applyFont="1" applyBorder="1" applyAlignment="1">
      <alignment horizontal="center" vertical="center" wrapText="1"/>
    </xf>
    <xf numFmtId="44" fontId="0" fillId="0" borderId="12" xfId="5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44" fontId="8" fillId="0" borderId="2" xfId="0" applyNumberFormat="1" applyFont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79" fontId="8" fillId="0" borderId="2" xfId="0" applyNumberFormat="1" applyFont="1" applyBorder="1" applyAlignment="1">
      <alignment vertical="center"/>
    </xf>
    <xf numFmtId="181" fontId="0" fillId="0" borderId="2" xfId="0" applyNumberFormat="1" applyBorder="1" applyAlignment="1">
      <alignment vertical="center"/>
    </xf>
    <xf numFmtId="0" fontId="2" fillId="27" borderId="2" xfId="0" applyFont="1" applyFill="1" applyBorder="1" applyAlignment="1">
      <alignment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 wrapText="1"/>
    </xf>
    <xf numFmtId="0" fontId="39" fillId="27" borderId="2" xfId="0" applyFont="1" applyFill="1" applyBorder="1" applyAlignment="1">
      <alignment vertical="center"/>
    </xf>
    <xf numFmtId="0" fontId="39" fillId="27" borderId="2" xfId="0" applyFont="1" applyFill="1" applyBorder="1" applyAlignment="1">
      <alignment horizontal="center" vertical="center"/>
    </xf>
    <xf numFmtId="0" fontId="8" fillId="20" borderId="0" xfId="4" applyFont="1" applyFill="1" applyAlignment="1">
      <alignment horizontal="left" vertical="center" wrapText="1"/>
    </xf>
    <xf numFmtId="9" fontId="8" fillId="4" borderId="2" xfId="4" applyNumberFormat="1" applyFont="1" applyFill="1" applyBorder="1" applyAlignment="1">
      <alignment vertical="center"/>
    </xf>
    <xf numFmtId="9" fontId="8" fillId="4" borderId="2" xfId="4" quotePrefix="1" applyNumberFormat="1" applyFont="1" applyFill="1" applyBorder="1" applyAlignment="1">
      <alignment horizontal="center" vertical="center"/>
    </xf>
    <xf numFmtId="9" fontId="8" fillId="4" borderId="2" xfId="4" applyNumberFormat="1" applyFont="1" applyFill="1" applyBorder="1" applyAlignment="1">
      <alignment horizontal="center" vertical="center"/>
    </xf>
    <xf numFmtId="0" fontId="50" fillId="20" borderId="2" xfId="4" applyFont="1" applyFill="1" applyBorder="1" applyAlignment="1">
      <alignment horizontal="center" vertical="center" wrapText="1"/>
    </xf>
    <xf numFmtId="0" fontId="50" fillId="0" borderId="2" xfId="5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0" fillId="11" borderId="2" xfId="5" applyFont="1" applyFill="1" applyBorder="1" applyAlignment="1">
      <alignment horizontal="center" vertical="center" wrapText="1"/>
    </xf>
    <xf numFmtId="0" fontId="50" fillId="0" borderId="0" xfId="5" applyFont="1" applyAlignment="1">
      <alignment horizontal="center" vertical="center" wrapText="1"/>
    </xf>
    <xf numFmtId="0" fontId="50" fillId="5" borderId="2" xfId="4" applyFont="1" applyFill="1" applyBorder="1" applyAlignment="1">
      <alignment horizontal="center" vertical="center" wrapText="1"/>
    </xf>
    <xf numFmtId="0" fontId="50" fillId="31" borderId="2" xfId="4" applyFont="1" applyFill="1" applyBorder="1" applyAlignment="1">
      <alignment horizontal="center" vertical="center" wrapText="1"/>
    </xf>
    <xf numFmtId="0" fontId="50" fillId="6" borderId="2" xfId="0" applyFont="1" applyFill="1" applyBorder="1" applyAlignment="1">
      <alignment horizontal="center" vertical="center" wrapText="1"/>
    </xf>
    <xf numFmtId="0" fontId="50" fillId="5" borderId="2" xfId="0" applyFont="1" applyFill="1" applyBorder="1" applyAlignment="1">
      <alignment horizontal="center" vertical="center" wrapText="1"/>
    </xf>
    <xf numFmtId="0" fontId="50" fillId="0" borderId="2" xfId="4" applyFont="1" applyBorder="1" applyAlignment="1">
      <alignment horizontal="center" vertical="center" wrapText="1"/>
    </xf>
    <xf numFmtId="0" fontId="50" fillId="31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1" fillId="0" borderId="2" xfId="5" applyFont="1" applyBorder="1" applyAlignment="1">
      <alignment horizontal="center" vertical="center" wrapText="1"/>
    </xf>
    <xf numFmtId="0" fontId="41" fillId="0" borderId="2" xfId="4" applyFont="1" applyBorder="1" applyAlignment="1">
      <alignment horizontal="center" vertical="center"/>
    </xf>
    <xf numFmtId="0" fontId="41" fillId="0" borderId="2" xfId="4" quotePrefix="1" applyFont="1" applyBorder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41" fillId="0" borderId="0" xfId="4" quotePrefix="1" applyFont="1" applyAlignment="1">
      <alignment horizontal="center" vertical="center"/>
    </xf>
    <xf numFmtId="0" fontId="41" fillId="11" borderId="2" xfId="5" applyFont="1" applyFill="1" applyBorder="1" applyAlignment="1">
      <alignment horizontal="center" vertical="center"/>
    </xf>
    <xf numFmtId="0" fontId="41" fillId="0" borderId="0" xfId="5" applyFont="1" applyAlignment="1">
      <alignment horizontal="center" vertical="center"/>
    </xf>
    <xf numFmtId="0" fontId="41" fillId="20" borderId="2" xfId="4" applyFont="1" applyFill="1" applyBorder="1" applyAlignment="1">
      <alignment horizontal="center" vertical="center" wrapText="1"/>
    </xf>
    <xf numFmtId="0" fontId="41" fillId="5" borderId="2" xfId="4" applyFont="1" applyFill="1" applyBorder="1" applyAlignment="1">
      <alignment horizontal="center" vertical="center" wrapText="1"/>
    </xf>
    <xf numFmtId="0" fontId="41" fillId="31" borderId="2" xfId="4" applyFont="1" applyFill="1" applyBorder="1" applyAlignment="1">
      <alignment horizontal="center" vertical="center" wrapText="1"/>
    </xf>
    <xf numFmtId="0" fontId="41" fillId="6" borderId="2" xfId="4" applyFont="1" applyFill="1" applyBorder="1" applyAlignment="1">
      <alignment horizontal="center" vertical="center" wrapText="1"/>
    </xf>
    <xf numFmtId="0" fontId="41" fillId="0" borderId="2" xfId="4" applyFont="1" applyBorder="1" applyAlignment="1">
      <alignment horizontal="center" vertical="center" wrapText="1"/>
    </xf>
    <xf numFmtId="2" fontId="50" fillId="31" borderId="2" xfId="4" applyNumberFormat="1" applyFont="1" applyFill="1" applyBorder="1" applyAlignment="1">
      <alignment horizontal="center" vertical="center" wrapText="1"/>
    </xf>
    <xf numFmtId="0" fontId="41" fillId="0" borderId="2" xfId="5" applyFont="1" applyBorder="1" applyAlignment="1">
      <alignment vertical="center" wrapText="1"/>
    </xf>
    <xf numFmtId="0" fontId="51" fillId="0" borderId="2" xfId="5" applyFont="1" applyBorder="1" applyAlignment="1">
      <alignment horizontal="center" vertical="center"/>
    </xf>
    <xf numFmtId="1" fontId="51" fillId="0" borderId="2" xfId="5" applyNumberFormat="1" applyFont="1" applyBorder="1" applyAlignment="1">
      <alignment horizontal="center" vertical="center"/>
    </xf>
    <xf numFmtId="1" fontId="41" fillId="4" borderId="2" xfId="5" applyNumberFormat="1" applyFont="1" applyFill="1" applyBorder="1" applyAlignment="1">
      <alignment vertical="center" wrapText="1"/>
    </xf>
    <xf numFmtId="0" fontId="41" fillId="4" borderId="2" xfId="5" applyFont="1" applyFill="1" applyBorder="1" applyAlignment="1">
      <alignment vertical="center" wrapText="1"/>
    </xf>
    <xf numFmtId="0" fontId="51" fillId="4" borderId="2" xfId="5" applyFont="1" applyFill="1" applyBorder="1" applyAlignment="1">
      <alignment horizontal="center" vertical="center"/>
    </xf>
    <xf numFmtId="0" fontId="51" fillId="4" borderId="2" xfId="4" applyFont="1" applyFill="1" applyBorder="1" applyAlignment="1">
      <alignment horizontal="center" vertical="center"/>
    </xf>
    <xf numFmtId="0" fontId="51" fillId="0" borderId="2" xfId="4" applyFont="1" applyBorder="1" applyAlignment="1">
      <alignment horizontal="center" vertical="center"/>
    </xf>
    <xf numFmtId="9" fontId="51" fillId="4" borderId="2" xfId="5" applyNumberFormat="1" applyFont="1" applyFill="1" applyBorder="1" applyAlignment="1">
      <alignment horizontal="center" vertical="center"/>
    </xf>
    <xf numFmtId="173" fontId="51" fillId="4" borderId="2" xfId="7" applyNumberFormat="1" applyFont="1" applyFill="1" applyBorder="1" applyAlignment="1">
      <alignment horizontal="center" vertical="center"/>
    </xf>
    <xf numFmtId="175" fontId="51" fillId="0" borderId="2" xfId="7" applyNumberFormat="1" applyFont="1" applyFill="1" applyBorder="1" applyAlignment="1">
      <alignment horizontal="center" vertical="center"/>
    </xf>
    <xf numFmtId="175" fontId="51" fillId="4" borderId="2" xfId="7" applyNumberFormat="1" applyFont="1" applyFill="1" applyBorder="1" applyAlignment="1">
      <alignment horizontal="center" vertical="center"/>
    </xf>
    <xf numFmtId="165" fontId="52" fillId="4" borderId="2" xfId="7" applyFont="1" applyFill="1" applyBorder="1" applyAlignment="1">
      <alignment horizontal="center" vertical="center"/>
    </xf>
    <xf numFmtId="165" fontId="52" fillId="0" borderId="2" xfId="7" applyFont="1" applyFill="1" applyBorder="1" applyAlignment="1">
      <alignment horizontal="center" vertical="center"/>
    </xf>
    <xf numFmtId="9" fontId="53" fillId="4" borderId="2" xfId="2" applyFont="1" applyFill="1" applyBorder="1" applyAlignment="1">
      <alignment horizontal="center" vertical="center"/>
    </xf>
    <xf numFmtId="9" fontId="53" fillId="5" borderId="2" xfId="2" applyFont="1" applyFill="1" applyBorder="1" applyAlignment="1">
      <alignment horizontal="center" vertical="center"/>
    </xf>
    <xf numFmtId="0" fontId="41" fillId="0" borderId="2" xfId="5" applyFont="1" applyBorder="1" applyAlignment="1">
      <alignment vertical="center"/>
    </xf>
    <xf numFmtId="0" fontId="41" fillId="4" borderId="2" xfId="5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2" fontId="8" fillId="5" borderId="2" xfId="0" applyNumberFormat="1" applyFont="1" applyFill="1" applyBorder="1" applyAlignment="1">
      <alignment vertical="center"/>
    </xf>
    <xf numFmtId="2" fontId="48" fillId="31" borderId="2" xfId="0" applyNumberFormat="1" applyFont="1" applyFill="1" applyBorder="1" applyAlignment="1">
      <alignment vertical="center"/>
    </xf>
    <xf numFmtId="2" fontId="8" fillId="6" borderId="2" xfId="0" applyNumberFormat="1" applyFont="1" applyFill="1" applyBorder="1" applyAlignment="1">
      <alignment vertical="center"/>
    </xf>
    <xf numFmtId="1" fontId="8" fillId="0" borderId="2" xfId="0" applyNumberFormat="1" applyFont="1" applyBorder="1" applyAlignment="1">
      <alignment vertical="center"/>
    </xf>
    <xf numFmtId="1" fontId="8" fillId="31" borderId="2" xfId="0" applyNumberFormat="1" applyFont="1" applyFill="1" applyBorder="1" applyAlignment="1">
      <alignment vertical="center"/>
    </xf>
    <xf numFmtId="2" fontId="8" fillId="31" borderId="2" xfId="0" applyNumberFormat="1" applyFont="1" applyFill="1" applyBorder="1" applyAlignment="1">
      <alignment vertical="center"/>
    </xf>
    <xf numFmtId="43" fontId="48" fillId="0" borderId="2" xfId="0" applyNumberFormat="1" applyFont="1" applyBorder="1" applyAlignment="1">
      <alignment vertical="center"/>
    </xf>
    <xf numFmtId="165" fontId="54" fillId="0" borderId="2" xfId="7" applyFont="1" applyFill="1" applyBorder="1" applyAlignment="1">
      <alignment horizontal="center" vertical="center"/>
    </xf>
    <xf numFmtId="2" fontId="8" fillId="4" borderId="2" xfId="0" applyNumberFormat="1" applyFont="1" applyFill="1" applyBorder="1" applyAlignment="1">
      <alignment vertical="center"/>
    </xf>
    <xf numFmtId="1" fontId="51" fillId="0" borderId="2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9" fontId="8" fillId="4" borderId="0" xfId="0" applyNumberFormat="1" applyFont="1" applyFill="1" applyAlignment="1">
      <alignment horizontal="center" vertical="center"/>
    </xf>
    <xf numFmtId="0" fontId="8" fillId="0" borderId="0" xfId="0" quotePrefix="1" applyFont="1" applyAlignment="1">
      <alignment vertical="center"/>
    </xf>
    <xf numFmtId="0" fontId="8" fillId="4" borderId="0" xfId="0" applyFont="1" applyFill="1" applyAlignment="1">
      <alignment horizontal="right"/>
    </xf>
    <xf numFmtId="0" fontId="8" fillId="4" borderId="0" xfId="0" applyFont="1" applyFill="1" applyAlignment="1">
      <alignment horizontal="right" vertical="center"/>
    </xf>
    <xf numFmtId="9" fontId="8" fillId="4" borderId="0" xfId="0" applyNumberFormat="1" applyFont="1" applyFill="1" applyAlignment="1">
      <alignment horizontal="right" vertical="center"/>
    </xf>
    <xf numFmtId="9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right"/>
    </xf>
    <xf numFmtId="0" fontId="8" fillId="20" borderId="0" xfId="4" applyFont="1" applyFill="1" applyAlignment="1">
      <alignment vertical="center"/>
    </xf>
    <xf numFmtId="0" fontId="8" fillId="20" borderId="0" xfId="4" applyFont="1" applyFill="1" applyAlignment="1">
      <alignment horizontal="right" vertical="center"/>
    </xf>
    <xf numFmtId="0" fontId="8" fillId="0" borderId="0" xfId="4" applyFont="1" applyAlignment="1">
      <alignment vertical="center"/>
    </xf>
    <xf numFmtId="0" fontId="8" fillId="30" borderId="0" xfId="4" applyFont="1" applyFill="1" applyAlignment="1">
      <alignment vertical="center"/>
    </xf>
    <xf numFmtId="0" fontId="55" fillId="0" borderId="0" xfId="8" applyFont="1" applyAlignment="1">
      <alignment vertical="center"/>
    </xf>
    <xf numFmtId="2" fontId="8" fillId="30" borderId="0" xfId="4" applyNumberFormat="1" applyFont="1" applyFill="1" applyAlignment="1">
      <alignment vertical="center"/>
    </xf>
    <xf numFmtId="173" fontId="8" fillId="0" borderId="0" xfId="4" applyNumberFormat="1" applyFont="1" applyAlignment="1">
      <alignment vertical="center"/>
    </xf>
    <xf numFmtId="9" fontId="8" fillId="0" borderId="0" xfId="9" applyFont="1" applyAlignment="1">
      <alignment vertical="center"/>
    </xf>
    <xf numFmtId="167" fontId="8" fillId="0" borderId="0" xfId="4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0" borderId="2" xfId="5" applyBorder="1" applyAlignment="1">
      <alignment horizontal="left" vertical="center" wrapText="1" indent="1"/>
    </xf>
    <xf numFmtId="0" fontId="8" fillId="4" borderId="2" xfId="0" applyFont="1" applyFill="1" applyBorder="1" applyAlignment="1">
      <alignment horizontal="center" vertical="center"/>
    </xf>
    <xf numFmtId="0" fontId="9" fillId="0" borderId="2" xfId="5" applyFont="1" applyBorder="1" applyAlignment="1">
      <alignment horizontal="left" vertical="center" wrapText="1"/>
    </xf>
    <xf numFmtId="44" fontId="8" fillId="0" borderId="12" xfId="0" applyNumberFormat="1" applyFont="1" applyBorder="1" applyAlignment="1">
      <alignment vertical="center"/>
    </xf>
    <xf numFmtId="2" fontId="8" fillId="0" borderId="0" xfId="0" applyNumberFormat="1" applyFont="1" applyAlignment="1">
      <alignment vertical="center"/>
    </xf>
    <xf numFmtId="9" fontId="8" fillId="0" borderId="2" xfId="2" applyFont="1" applyFill="1" applyBorder="1" applyAlignment="1">
      <alignment horizontal="center" vertical="center" wrapText="1"/>
    </xf>
    <xf numFmtId="9" fontId="46" fillId="0" borderId="2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41" fillId="0" borderId="2" xfId="5" applyFont="1" applyBorder="1" applyAlignment="1">
      <alignment horizontal="center" vertical="center"/>
    </xf>
    <xf numFmtId="2" fontId="8" fillId="0" borderId="2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8" fillId="0" borderId="6" xfId="0" applyNumberFormat="1" applyFont="1" applyBorder="1" applyAlignment="1">
      <alignment vertical="center"/>
    </xf>
    <xf numFmtId="9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1" fontId="8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indent="2"/>
    </xf>
    <xf numFmtId="0" fontId="9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9" fillId="0" borderId="2" xfId="5" applyFont="1" applyBorder="1" applyAlignment="1">
      <alignment horizontal="left" vertical="center" wrapText="1" indent="2"/>
    </xf>
    <xf numFmtId="0" fontId="50" fillId="0" borderId="2" xfId="4" applyFont="1" applyBorder="1" applyAlignment="1">
      <alignment horizontal="left" vertical="center" wrapText="1" indent="2"/>
    </xf>
    <xf numFmtId="10" fontId="8" fillId="5" borderId="2" xfId="2" applyNumberFormat="1" applyFont="1" applyFill="1" applyBorder="1"/>
    <xf numFmtId="0" fontId="8" fillId="0" borderId="0" xfId="0" applyFont="1" applyAlignment="1">
      <alignment horizontal="center" vertical="center"/>
    </xf>
    <xf numFmtId="10" fontId="8" fillId="0" borderId="2" xfId="2" applyNumberFormat="1" applyFont="1" applyBorder="1" applyAlignment="1">
      <alignment vertical="center"/>
    </xf>
    <xf numFmtId="0" fontId="9" fillId="31" borderId="0" xfId="0" applyFont="1" applyFill="1" applyAlignment="1">
      <alignment horizontal="center" vertical="center" wrapText="1"/>
    </xf>
    <xf numFmtId="0" fontId="8" fillId="31" borderId="0" xfId="0" applyFont="1" applyFill="1" applyAlignment="1">
      <alignment horizontal="center" vertical="center" wrapText="1"/>
    </xf>
    <xf numFmtId="2" fontId="41" fillId="31" borderId="2" xfId="4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32" borderId="2" xfId="0" applyFont="1" applyFill="1" applyBorder="1"/>
    <xf numFmtId="0" fontId="9" fillId="14" borderId="2" xfId="0" applyFont="1" applyFill="1" applyBorder="1" applyAlignment="1">
      <alignment horizontal="left" vertical="center" indent="2"/>
    </xf>
    <xf numFmtId="0" fontId="8" fillId="14" borderId="2" xfId="0" applyFont="1" applyFill="1" applyBorder="1" applyAlignment="1">
      <alignment vertical="center"/>
    </xf>
    <xf numFmtId="9" fontId="8" fillId="14" borderId="2" xfId="0" applyNumberFormat="1" applyFont="1" applyFill="1" applyBorder="1" applyAlignment="1">
      <alignment vertical="center"/>
    </xf>
    <xf numFmtId="0" fontId="9" fillId="14" borderId="2" xfId="5" applyFont="1" applyFill="1" applyBorder="1" applyAlignment="1">
      <alignment horizontal="left" vertical="center" wrapText="1"/>
    </xf>
    <xf numFmtId="10" fontId="8" fillId="14" borderId="2" xfId="2" applyNumberFormat="1" applyFont="1" applyFill="1" applyBorder="1" applyAlignment="1">
      <alignment vertical="center"/>
    </xf>
    <xf numFmtId="0" fontId="8" fillId="0" borderId="2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2" xfId="0" applyFont="1" applyBorder="1" applyAlignment="1">
      <alignment horizontal="left" vertical="center" wrapText="1" indent="1"/>
    </xf>
    <xf numFmtId="9" fontId="8" fillId="0" borderId="2" xfId="0" applyNumberFormat="1" applyFont="1" applyBorder="1" applyAlignment="1">
      <alignment horizontal="center" vertical="center"/>
    </xf>
    <xf numFmtId="9" fontId="8" fillId="0" borderId="2" xfId="2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4" fillId="0" borderId="2" xfId="5" applyFont="1" applyBorder="1" applyAlignment="1">
      <alignment horizontal="left" vertical="center" wrapText="1"/>
    </xf>
    <xf numFmtId="44" fontId="44" fillId="4" borderId="2" xfId="12" applyFont="1" applyFill="1" applyBorder="1" applyAlignment="1">
      <alignment vertical="center"/>
    </xf>
    <xf numFmtId="44" fontId="44" fillId="0" borderId="2" xfId="12" applyFont="1" applyBorder="1" applyAlignment="1">
      <alignment vertical="center"/>
    </xf>
    <xf numFmtId="166" fontId="44" fillId="4" borderId="2" xfId="0" applyNumberFormat="1" applyFont="1" applyFill="1" applyBorder="1" applyAlignment="1">
      <alignment vertical="center"/>
    </xf>
    <xf numFmtId="0" fontId="2" fillId="0" borderId="2" xfId="5" applyFont="1" applyBorder="1" applyAlignment="1">
      <alignment horizontal="left" vertical="center" wrapText="1"/>
    </xf>
    <xf numFmtId="44" fontId="2" fillId="0" borderId="2" xfId="12" applyFont="1" applyBorder="1" applyAlignment="1">
      <alignment vertical="center"/>
    </xf>
    <xf numFmtId="166" fontId="0" fillId="33" borderId="2" xfId="0" applyNumberFormat="1" applyFill="1" applyBorder="1"/>
    <xf numFmtId="166" fontId="2" fillId="33" borderId="2" xfId="0" applyNumberFormat="1" applyFont="1" applyFill="1" applyBorder="1" applyAlignment="1">
      <alignment vertical="center"/>
    </xf>
    <xf numFmtId="0" fontId="9" fillId="0" borderId="12" xfId="5" applyFont="1" applyBorder="1" applyAlignment="1">
      <alignment vertical="center" wrapText="1"/>
    </xf>
    <xf numFmtId="0" fontId="9" fillId="6" borderId="2" xfId="0" applyFon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44" fontId="9" fillId="0" borderId="2" xfId="0" applyNumberFormat="1" applyFont="1" applyBorder="1" applyAlignment="1">
      <alignment vertical="center"/>
    </xf>
    <xf numFmtId="166" fontId="9" fillId="0" borderId="2" xfId="0" applyNumberFormat="1" applyFont="1" applyBorder="1" applyAlignment="1">
      <alignment vertical="center"/>
    </xf>
    <xf numFmtId="10" fontId="9" fillId="0" borderId="2" xfId="2" applyNumberFormat="1" applyFont="1" applyBorder="1" applyAlignment="1">
      <alignment vertical="center"/>
    </xf>
    <xf numFmtId="44" fontId="2" fillId="0" borderId="12" xfId="5" applyNumberFormat="1" applyFont="1" applyBorder="1" applyAlignment="1">
      <alignment horizontal="left" vertical="center" wrapText="1"/>
    </xf>
    <xf numFmtId="44" fontId="9" fillId="0" borderId="12" xfId="0" applyNumberFormat="1" applyFont="1" applyBorder="1" applyAlignment="1">
      <alignment vertical="center"/>
    </xf>
    <xf numFmtId="166" fontId="57" fillId="4" borderId="2" xfId="0" applyNumberFormat="1" applyFont="1" applyFill="1" applyBorder="1" applyAlignment="1">
      <alignment vertical="center"/>
    </xf>
    <xf numFmtId="2" fontId="58" fillId="4" borderId="2" xfId="0" applyNumberFormat="1" applyFont="1" applyFill="1" applyBorder="1" applyAlignment="1">
      <alignment vertical="center"/>
    </xf>
    <xf numFmtId="0" fontId="58" fillId="0" borderId="2" xfId="0" applyFont="1" applyBorder="1" applyAlignment="1">
      <alignment horizontal="center" vertical="center" wrapText="1"/>
    </xf>
    <xf numFmtId="1" fontId="58" fillId="4" borderId="2" xfId="0" applyNumberFormat="1" applyFont="1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34" borderId="0" xfId="0" applyFont="1" applyFill="1" applyAlignment="1">
      <alignment horizontal="left" vertical="center" wrapText="1"/>
    </xf>
    <xf numFmtId="0" fontId="8" fillId="35" borderId="2" xfId="0" applyFont="1" applyFill="1" applyBorder="1" applyAlignment="1">
      <alignment vertical="center" wrapText="1"/>
    </xf>
    <xf numFmtId="0" fontId="8" fillId="35" borderId="2" xfId="0" applyFont="1" applyFill="1" applyBorder="1" applyAlignment="1">
      <alignment horizontal="center" vertical="center" wrapText="1"/>
    </xf>
    <xf numFmtId="1" fontId="8" fillId="35" borderId="2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35" borderId="5" xfId="0" applyFont="1" applyFill="1" applyBorder="1" applyAlignment="1">
      <alignment vertical="center" wrapText="1"/>
    </xf>
    <xf numFmtId="0" fontId="8" fillId="35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2" fontId="8" fillId="35" borderId="12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1" fontId="8" fillId="35" borderId="11" xfId="0" applyNumberFormat="1" applyFont="1" applyFill="1" applyBorder="1" applyAlignment="1">
      <alignment horizontal="center" vertical="center" wrapText="1"/>
    </xf>
    <xf numFmtId="9" fontId="8" fillId="5" borderId="6" xfId="2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3" fontId="8" fillId="36" borderId="0" xfId="0" applyNumberFormat="1" applyFont="1" applyFill="1" applyAlignment="1">
      <alignment vertical="center" wrapText="1"/>
    </xf>
    <xf numFmtId="9" fontId="8" fillId="34" borderId="2" xfId="0" applyNumberFormat="1" applyFont="1" applyFill="1" applyBorder="1" applyAlignment="1">
      <alignment horizontal="center" vertical="center" wrapText="1"/>
    </xf>
    <xf numFmtId="9" fontId="8" fillId="34" borderId="12" xfId="0" applyNumberFormat="1" applyFont="1" applyFill="1" applyBorder="1" applyAlignment="1">
      <alignment horizontal="center" vertical="center" wrapText="1"/>
    </xf>
    <xf numFmtId="9" fontId="8" fillId="34" borderId="11" xfId="0" applyNumberFormat="1" applyFont="1" applyFill="1" applyBorder="1" applyAlignment="1">
      <alignment horizontal="center" vertical="center" wrapText="1"/>
    </xf>
    <xf numFmtId="2" fontId="8" fillId="35" borderId="9" xfId="0" applyNumberFormat="1" applyFont="1" applyFill="1" applyBorder="1" applyAlignment="1">
      <alignment horizontal="center" vertical="center" wrapText="1"/>
    </xf>
    <xf numFmtId="1" fontId="8" fillId="35" borderId="5" xfId="0" applyNumberFormat="1" applyFont="1" applyFill="1" applyBorder="1" applyAlignment="1">
      <alignment horizontal="center" vertical="center" wrapText="1"/>
    </xf>
    <xf numFmtId="1" fontId="8" fillId="35" borderId="7" xfId="0" applyNumberFormat="1" applyFont="1" applyFill="1" applyBorder="1" applyAlignment="1">
      <alignment horizontal="center" vertical="center" wrapText="1"/>
    </xf>
    <xf numFmtId="9" fontId="8" fillId="35" borderId="2" xfId="2" applyFont="1" applyFill="1" applyBorder="1" applyAlignment="1">
      <alignment horizontal="center" vertical="center" wrapText="1"/>
    </xf>
    <xf numFmtId="9" fontId="8" fillId="35" borderId="5" xfId="2" applyFont="1" applyFill="1" applyBorder="1" applyAlignment="1">
      <alignment horizontal="center" vertical="center" wrapText="1"/>
    </xf>
    <xf numFmtId="3" fontId="9" fillId="5" borderId="0" xfId="0" applyNumberFormat="1" applyFont="1" applyFill="1" applyAlignment="1">
      <alignment horizontal="left" vertical="center" wrapText="1" indent="1"/>
    </xf>
    <xf numFmtId="9" fontId="8" fillId="0" borderId="2" xfId="0" applyNumberFormat="1" applyFont="1" applyBorder="1" applyAlignment="1">
      <alignment vertical="center" wrapText="1"/>
    </xf>
    <xf numFmtId="0" fontId="9" fillId="35" borderId="0" xfId="0" applyFont="1" applyFill="1" applyAlignment="1">
      <alignment horizontal="center" vertical="center" wrapText="1"/>
    </xf>
    <xf numFmtId="2" fontId="8" fillId="0" borderId="0" xfId="0" applyNumberFormat="1" applyFont="1" applyAlignment="1">
      <alignment vertical="center" wrapText="1"/>
    </xf>
    <xf numFmtId="9" fontId="8" fillId="0" borderId="0" xfId="2" applyFont="1" applyAlignment="1">
      <alignment vertical="center" wrapText="1"/>
    </xf>
    <xf numFmtId="167" fontId="9" fillId="0" borderId="0" xfId="0" applyNumberFormat="1" applyFont="1"/>
    <xf numFmtId="0" fontId="60" fillId="0" borderId="0" xfId="13"/>
    <xf numFmtId="0" fontId="2" fillId="0" borderId="2" xfId="13" applyFont="1" applyBorder="1" applyAlignment="1">
      <alignment horizontal="left" vertical="center" wrapText="1"/>
    </xf>
    <xf numFmtId="0" fontId="2" fillId="0" borderId="2" xfId="13" applyFont="1" applyBorder="1" applyAlignment="1">
      <alignment horizontal="center" vertical="center" wrapText="1"/>
    </xf>
    <xf numFmtId="0" fontId="44" fillId="0" borderId="2" xfId="13" applyFont="1" applyBorder="1" applyAlignment="1">
      <alignment horizontal="center" vertical="center" wrapText="1"/>
    </xf>
    <xf numFmtId="0" fontId="2" fillId="0" borderId="0" xfId="13" applyFont="1" applyAlignment="1">
      <alignment horizontal="center" vertical="center" wrapText="1"/>
    </xf>
    <xf numFmtId="0" fontId="33" fillId="0" borderId="2" xfId="5" applyFont="1" applyBorder="1" applyAlignment="1">
      <alignment horizontal="left" vertical="center" wrapText="1"/>
    </xf>
    <xf numFmtId="44" fontId="33" fillId="4" borderId="2" xfId="15" applyFont="1" applyFill="1" applyBorder="1" applyAlignment="1">
      <alignment vertical="center"/>
    </xf>
    <xf numFmtId="44" fontId="33" fillId="0" borderId="2" xfId="15" applyFont="1" applyBorder="1" applyAlignment="1">
      <alignment vertical="center"/>
    </xf>
    <xf numFmtId="166" fontId="44" fillId="4" borderId="2" xfId="13" applyNumberFormat="1" applyFont="1" applyFill="1" applyBorder="1" applyAlignment="1">
      <alignment vertical="center"/>
    </xf>
    <xf numFmtId="44" fontId="44" fillId="0" borderId="2" xfId="15" applyFont="1" applyBorder="1" applyAlignment="1">
      <alignment vertical="center"/>
    </xf>
    <xf numFmtId="0" fontId="60" fillId="0" borderId="0" xfId="13" applyAlignment="1">
      <alignment horizontal="right" vertical="center"/>
    </xf>
    <xf numFmtId="0" fontId="60" fillId="0" borderId="0" xfId="13" applyAlignment="1">
      <alignment vertical="center"/>
    </xf>
    <xf numFmtId="0" fontId="62" fillId="0" borderId="0" xfId="13" applyFont="1" applyAlignment="1">
      <alignment vertical="center"/>
    </xf>
    <xf numFmtId="0" fontId="39" fillId="0" borderId="0" xfId="5" applyFont="1" applyAlignment="1">
      <alignment horizontal="left" vertical="center" wrapText="1"/>
    </xf>
    <xf numFmtId="9" fontId="62" fillId="0" borderId="0" xfId="13" applyNumberFormat="1" applyFont="1" applyAlignment="1">
      <alignment vertical="center"/>
    </xf>
    <xf numFmtId="9" fontId="60" fillId="0" borderId="0" xfId="13" applyNumberFormat="1" applyAlignment="1">
      <alignment vertical="center"/>
    </xf>
    <xf numFmtId="0" fontId="61" fillId="0" borderId="0" xfId="13" applyFont="1" applyAlignment="1">
      <alignment vertical="center"/>
    </xf>
    <xf numFmtId="2" fontId="60" fillId="0" borderId="0" xfId="13" applyNumberFormat="1" applyAlignment="1">
      <alignment vertical="center"/>
    </xf>
    <xf numFmtId="44" fontId="60" fillId="0" borderId="0" xfId="13" applyNumberFormat="1" applyAlignment="1">
      <alignment vertical="center"/>
    </xf>
    <xf numFmtId="2" fontId="61" fillId="0" borderId="0" xfId="13" applyNumberFormat="1" applyFont="1" applyAlignment="1">
      <alignment vertical="center"/>
    </xf>
    <xf numFmtId="0" fontId="60" fillId="0" borderId="0" xfId="13" applyAlignment="1">
      <alignment vertical="center" wrapText="1"/>
    </xf>
    <xf numFmtId="9" fontId="0" fillId="0" borderId="0" xfId="14" applyFont="1" applyAlignment="1">
      <alignment vertical="center"/>
    </xf>
    <xf numFmtId="0" fontId="61" fillId="4" borderId="0" xfId="13" applyFont="1" applyFill="1" applyAlignment="1">
      <alignment vertical="center"/>
    </xf>
    <xf numFmtId="166" fontId="61" fillId="4" borderId="0" xfId="14" applyNumberFormat="1" applyFont="1" applyFill="1" applyAlignment="1">
      <alignment vertical="center"/>
    </xf>
    <xf numFmtId="0" fontId="61" fillId="0" borderId="0" xfId="13" applyFont="1" applyAlignment="1">
      <alignment vertical="center" wrapText="1"/>
    </xf>
    <xf numFmtId="166" fontId="60" fillId="4" borderId="0" xfId="13" applyNumberFormat="1" applyFill="1" applyAlignment="1">
      <alignment vertical="center"/>
    </xf>
    <xf numFmtId="0" fontId="60" fillId="0" borderId="0" xfId="13" applyAlignment="1">
      <alignment horizontal="left" vertical="center" wrapText="1"/>
    </xf>
    <xf numFmtId="0" fontId="2" fillId="0" borderId="0" xfId="13" quotePrefix="1" applyFont="1" applyAlignment="1">
      <alignment horizontal="center" vertical="center"/>
    </xf>
    <xf numFmtId="0" fontId="44" fillId="0" borderId="0" xfId="5" applyFont="1" applyAlignment="1">
      <alignment horizontal="left" vertical="center" wrapText="1"/>
    </xf>
    <xf numFmtId="0" fontId="63" fillId="0" borderId="0" xfId="5" applyFont="1" applyAlignment="1">
      <alignment horizontal="left" vertical="center"/>
    </xf>
    <xf numFmtId="0" fontId="64" fillId="0" borderId="2" xfId="13" applyFont="1" applyBorder="1"/>
    <xf numFmtId="2" fontId="64" fillId="0" borderId="2" xfId="13" applyNumberFormat="1" applyFont="1" applyBorder="1"/>
    <xf numFmtId="0" fontId="64" fillId="0" borderId="2" xfId="13" applyFont="1" applyBorder="1" applyAlignment="1">
      <alignment wrapText="1"/>
    </xf>
    <xf numFmtId="166" fontId="63" fillId="4" borderId="2" xfId="13" applyNumberFormat="1" applyFont="1" applyFill="1" applyBorder="1" applyAlignment="1">
      <alignment vertical="center"/>
    </xf>
    <xf numFmtId="0" fontId="63" fillId="0" borderId="2" xfId="5" applyFont="1" applyBorder="1" applyAlignment="1">
      <alignment horizontal="left" vertical="center" wrapText="1"/>
    </xf>
    <xf numFmtId="0" fontId="64" fillId="0" borderId="0" xfId="13" applyFont="1"/>
    <xf numFmtId="1" fontId="60" fillId="0" borderId="0" xfId="13" applyNumberFormat="1" applyAlignment="1">
      <alignment vertical="center"/>
    </xf>
    <xf numFmtId="0" fontId="61" fillId="4" borderId="0" xfId="13" applyFont="1" applyFill="1" applyAlignment="1">
      <alignment vertical="center" wrapText="1"/>
    </xf>
    <xf numFmtId="2" fontId="61" fillId="4" borderId="0" xfId="13" applyNumberFormat="1" applyFont="1" applyFill="1" applyAlignment="1">
      <alignment vertical="center"/>
    </xf>
    <xf numFmtId="2" fontId="60" fillId="25" borderId="0" xfId="13" applyNumberFormat="1" applyFill="1" applyAlignment="1">
      <alignment vertical="center"/>
    </xf>
    <xf numFmtId="0" fontId="22" fillId="4" borderId="2" xfId="0" applyFont="1" applyFill="1" applyBorder="1" applyAlignment="1">
      <alignment horizontal="left"/>
    </xf>
    <xf numFmtId="2" fontId="22" fillId="4" borderId="2" xfId="0" applyNumberFormat="1" applyFont="1" applyFill="1" applyBorder="1" applyAlignment="1">
      <alignment horizontal="left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10" fontId="18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6" fontId="8" fillId="0" borderId="2" xfId="2" applyNumberFormat="1" applyFont="1" applyBorder="1" applyAlignment="1">
      <alignment vertical="center"/>
    </xf>
    <xf numFmtId="3" fontId="2" fillId="4" borderId="0" xfId="0" applyNumberFormat="1" applyFont="1" applyFill="1"/>
    <xf numFmtId="3" fontId="2" fillId="5" borderId="0" xfId="0" applyNumberFormat="1" applyFont="1" applyFill="1" applyAlignment="1">
      <alignment vertical="center"/>
    </xf>
    <xf numFmtId="10" fontId="22" fillId="2" borderId="2" xfId="2" applyNumberFormat="1" applyFont="1" applyFill="1" applyBorder="1" applyAlignment="1">
      <alignment horizontal="left"/>
    </xf>
    <xf numFmtId="10" fontId="22" fillId="2" borderId="2" xfId="0" applyNumberFormat="1" applyFont="1" applyFill="1" applyBorder="1" applyAlignment="1">
      <alignment wrapText="1"/>
    </xf>
    <xf numFmtId="10" fontId="22" fillId="2" borderId="2" xfId="0" applyNumberFormat="1" applyFont="1" applyFill="1" applyBorder="1"/>
    <xf numFmtId="10" fontId="0" fillId="2" borderId="2" xfId="0" applyNumberFormat="1" applyFill="1" applyBorder="1"/>
    <xf numFmtId="0" fontId="59" fillId="37" borderId="2" xfId="0" applyFont="1" applyFill="1" applyBorder="1" applyAlignment="1">
      <alignment horizontal="center" vertical="center"/>
    </xf>
    <xf numFmtId="10" fontId="22" fillId="37" borderId="2" xfId="0" applyNumberFormat="1" applyFont="1" applyFill="1" applyBorder="1"/>
    <xf numFmtId="0" fontId="18" fillId="35" borderId="2" xfId="0" applyFont="1" applyFill="1" applyBorder="1" applyAlignment="1">
      <alignment horizontal="center" vertical="center" wrapText="1"/>
    </xf>
    <xf numFmtId="10" fontId="0" fillId="35" borderId="2" xfId="0" applyNumberFormat="1" applyFill="1" applyBorder="1"/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/>
    </xf>
    <xf numFmtId="10" fontId="0" fillId="0" borderId="2" xfId="0" applyNumberFormat="1" applyBorder="1"/>
    <xf numFmtId="10" fontId="22" fillId="2" borderId="2" xfId="0" applyNumberFormat="1" applyFont="1" applyFill="1" applyBorder="1" applyAlignment="1">
      <alignment horizontal="center"/>
    </xf>
    <xf numFmtId="10" fontId="22" fillId="2" borderId="2" xfId="2" applyNumberFormat="1" applyFont="1" applyFill="1" applyBorder="1" applyAlignment="1">
      <alignment horizontal="center"/>
    </xf>
    <xf numFmtId="10" fontId="18" fillId="2" borderId="2" xfId="2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4" borderId="11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8" fillId="4" borderId="12" xfId="0" applyFont="1" applyFill="1" applyBorder="1" applyAlignment="1">
      <alignment vertical="center"/>
    </xf>
    <xf numFmtId="1" fontId="9" fillId="2" borderId="2" xfId="0" applyNumberFormat="1" applyFont="1" applyFill="1" applyBorder="1"/>
    <xf numFmtId="1" fontId="9" fillId="0" borderId="2" xfId="0" applyNumberFormat="1" applyFont="1" applyBorder="1"/>
    <xf numFmtId="1" fontId="22" fillId="2" borderId="2" xfId="0" applyNumberFormat="1" applyFont="1" applyFill="1" applyBorder="1" applyAlignment="1">
      <alignment horizontal="center"/>
    </xf>
    <xf numFmtId="2" fontId="22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center" vertical="center"/>
    </xf>
    <xf numFmtId="9" fontId="8" fillId="0" borderId="2" xfId="0" applyNumberFormat="1" applyFont="1" applyBorder="1" applyAlignment="1">
      <alignment horizontal="left" vertical="center" wrapText="1"/>
    </xf>
    <xf numFmtId="9" fontId="8" fillId="0" borderId="2" xfId="2" applyFont="1" applyBorder="1" applyAlignment="1">
      <alignment horizontal="left" vertical="center" wrapText="1"/>
    </xf>
    <xf numFmtId="9" fontId="8" fillId="0" borderId="2" xfId="2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166" fontId="8" fillId="0" borderId="2" xfId="2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60" fillId="2" borderId="0" xfId="13" applyFill="1" applyAlignment="1">
      <alignment vertical="center"/>
    </xf>
    <xf numFmtId="0" fontId="50" fillId="2" borderId="0" xfId="13" applyFont="1" applyFill="1" applyAlignment="1">
      <alignment vertical="center" wrapText="1"/>
    </xf>
    <xf numFmtId="168" fontId="22" fillId="0" borderId="0" xfId="1" applyNumberFormat="1" applyFont="1" applyAlignment="1">
      <alignment horizontal="right" vertical="center"/>
    </xf>
    <xf numFmtId="1" fontId="0" fillId="0" borderId="0" xfId="0" applyNumberFormat="1"/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 indent="1"/>
    </xf>
    <xf numFmtId="0" fontId="9" fillId="6" borderId="2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8" xfId="5" applyFont="1" applyBorder="1" applyAlignment="1">
      <alignment horizontal="left" vertical="center" wrapText="1" indent="1"/>
    </xf>
    <xf numFmtId="0" fontId="9" fillId="0" borderId="14" xfId="5" applyFont="1" applyBorder="1" applyAlignment="1">
      <alignment horizontal="left" vertical="center" wrapText="1" indent="1"/>
    </xf>
    <xf numFmtId="0" fontId="9" fillId="0" borderId="10" xfId="5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indent="2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 wrapText="1" indent="1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81" fontId="0" fillId="0" borderId="5" xfId="0" applyNumberFormat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81" fontId="0" fillId="0" borderId="6" xfId="0" applyNumberForma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0" fontId="9" fillId="14" borderId="11" xfId="5" applyFont="1" applyFill="1" applyBorder="1" applyAlignment="1">
      <alignment horizontal="left" vertical="center" wrapText="1"/>
    </xf>
    <xf numFmtId="0" fontId="9" fillId="14" borderId="17" xfId="5" applyFont="1" applyFill="1" applyBorder="1" applyAlignment="1">
      <alignment horizontal="left" vertical="center" wrapText="1"/>
    </xf>
    <xf numFmtId="0" fontId="9" fillId="14" borderId="12" xfId="5" applyFont="1" applyFill="1" applyBorder="1" applyAlignment="1">
      <alignment horizontal="left" vertical="center" wrapText="1"/>
    </xf>
    <xf numFmtId="0" fontId="9" fillId="14" borderId="2" xfId="5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21" borderId="13" xfId="0" applyFont="1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9" fillId="21" borderId="14" xfId="0" applyFont="1" applyFill="1" applyBorder="1" applyAlignment="1">
      <alignment horizontal="center" vertical="center"/>
    </xf>
    <xf numFmtId="0" fontId="9" fillId="21" borderId="9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center"/>
    </xf>
    <xf numFmtId="0" fontId="9" fillId="21" borderId="10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9" fillId="32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2"/>
    </xf>
    <xf numFmtId="0" fontId="8" fillId="0" borderId="4" xfId="0" applyFont="1" applyBorder="1" applyAlignment="1">
      <alignment horizontal="left" vertical="center" wrapText="1" indent="2"/>
    </xf>
    <xf numFmtId="0" fontId="8" fillId="0" borderId="6" xfId="0" applyFont="1" applyBorder="1" applyAlignment="1">
      <alignment horizontal="left" vertical="center" wrapText="1" indent="2"/>
    </xf>
    <xf numFmtId="0" fontId="8" fillId="0" borderId="1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left" vertical="center" wrapText="1"/>
    </xf>
    <xf numFmtId="0" fontId="8" fillId="0" borderId="17" xfId="0" quotePrefix="1" applyFont="1" applyBorder="1" applyAlignment="1">
      <alignment horizontal="left" vertical="center" wrapText="1"/>
    </xf>
    <xf numFmtId="0" fontId="8" fillId="0" borderId="12" xfId="0" quotePrefix="1" applyFont="1" applyBorder="1" applyAlignment="1">
      <alignment horizontal="left" vertical="center" wrapText="1"/>
    </xf>
    <xf numFmtId="166" fontId="8" fillId="0" borderId="11" xfId="2" applyNumberFormat="1" applyFont="1" applyBorder="1" applyAlignment="1">
      <alignment horizontal="center" vertical="center" wrapText="1"/>
    </xf>
    <xf numFmtId="166" fontId="8" fillId="0" borderId="12" xfId="2" applyNumberFormat="1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left" vertical="center" wrapText="1" indent="1"/>
    </xf>
    <xf numFmtId="0" fontId="8" fillId="0" borderId="9" xfId="0" quotePrefix="1" applyFont="1" applyBorder="1" applyAlignment="1">
      <alignment horizontal="left" vertical="center" wrapText="1" indent="1"/>
    </xf>
    <xf numFmtId="0" fontId="8" fillId="0" borderId="3" xfId="0" quotePrefix="1" applyFont="1" applyBorder="1" applyAlignment="1">
      <alignment horizontal="left" vertical="center" wrapText="1" indent="1"/>
    </xf>
    <xf numFmtId="0" fontId="8" fillId="0" borderId="10" xfId="0" quotePrefix="1" applyFont="1" applyBorder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 indent="1"/>
    </xf>
    <xf numFmtId="0" fontId="60" fillId="0" borderId="0" xfId="13" quotePrefix="1" applyAlignment="1">
      <alignment vertical="center" wrapText="1"/>
    </xf>
    <xf numFmtId="0" fontId="60" fillId="0" borderId="0" xfId="13" applyAlignment="1">
      <alignment vertical="center" wrapText="1"/>
    </xf>
    <xf numFmtId="2" fontId="61" fillId="4" borderId="0" xfId="13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2" xfId="0" applyFont="1" applyFill="1" applyBorder="1" applyAlignment="1">
      <alignment horizontal="right"/>
    </xf>
    <xf numFmtId="0" fontId="9" fillId="2" borderId="5" xfId="0" applyFont="1" applyFill="1" applyBorder="1" applyAlignment="1">
      <alignment horizontal="right"/>
    </xf>
    <xf numFmtId="0" fontId="14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44" fontId="44" fillId="4" borderId="11" xfId="12" applyFont="1" applyFill="1" applyBorder="1" applyAlignment="1">
      <alignment horizontal="center" vertical="center"/>
    </xf>
    <xf numFmtId="44" fontId="44" fillId="4" borderId="12" xfId="12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 wrapText="1"/>
    </xf>
    <xf numFmtId="0" fontId="44" fillId="0" borderId="11" xfId="5" applyFont="1" applyBorder="1" applyAlignment="1">
      <alignment horizontal="left" vertical="center" wrapText="1"/>
    </xf>
    <xf numFmtId="0" fontId="44" fillId="0" borderId="12" xfId="5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6" fontId="0" fillId="4" borderId="5" xfId="0" applyNumberForma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0" fontId="50" fillId="20" borderId="2" xfId="4" applyFont="1" applyFill="1" applyBorder="1" applyAlignment="1">
      <alignment horizontal="center" vertical="center" wrapText="1"/>
    </xf>
    <xf numFmtId="0" fontId="50" fillId="29" borderId="2" xfId="0" applyFont="1" applyFill="1" applyBorder="1" applyAlignment="1">
      <alignment horizontal="center" vertical="center"/>
    </xf>
    <xf numFmtId="0" fontId="50" fillId="20" borderId="2" xfId="0" applyFont="1" applyFill="1" applyBorder="1" applyAlignment="1">
      <alignment horizontal="center" vertical="center"/>
    </xf>
    <xf numFmtId="0" fontId="50" fillId="11" borderId="5" xfId="5" applyFont="1" applyFill="1" applyBorder="1" applyAlignment="1">
      <alignment horizontal="center" vertical="center" wrapText="1"/>
    </xf>
    <xf numFmtId="0" fontId="50" fillId="11" borderId="4" xfId="5" applyFont="1" applyFill="1" applyBorder="1" applyAlignment="1">
      <alignment horizontal="center" vertical="center" wrapText="1"/>
    </xf>
    <xf numFmtId="0" fontId="50" fillId="11" borderId="6" xfId="5" applyFont="1" applyFill="1" applyBorder="1" applyAlignment="1">
      <alignment horizontal="center" vertical="center" wrapText="1"/>
    </xf>
    <xf numFmtId="0" fontId="50" fillId="0" borderId="2" xfId="5" applyFont="1" applyBorder="1" applyAlignment="1">
      <alignment horizontal="center" vertical="center" wrapText="1"/>
    </xf>
    <xf numFmtId="0" fontId="50" fillId="11" borderId="11" xfId="5" applyFont="1" applyFill="1" applyBorder="1" applyAlignment="1">
      <alignment horizontal="center" vertical="center" wrapText="1"/>
    </xf>
    <xf numFmtId="0" fontId="50" fillId="11" borderId="12" xfId="5" applyFont="1" applyFill="1" applyBorder="1" applyAlignment="1">
      <alignment horizontal="center" vertical="center" wrapText="1"/>
    </xf>
    <xf numFmtId="0" fontId="49" fillId="20" borderId="2" xfId="4" applyFont="1" applyFill="1" applyBorder="1" applyAlignment="1">
      <alignment horizontal="center" vertical="center" wrapText="1"/>
    </xf>
    <xf numFmtId="0" fontId="8" fillId="20" borderId="0" xfId="4" applyFont="1" applyFill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9" fontId="8" fillId="4" borderId="2" xfId="4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" fontId="8" fillId="4" borderId="11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6" borderId="2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9" fillId="9" borderId="5" xfId="0" applyFont="1" applyFill="1" applyBorder="1" applyAlignment="1">
      <alignment horizontal="right" vertical="center" wrapText="1"/>
    </xf>
    <xf numFmtId="0" fontId="9" fillId="9" borderId="4" xfId="0" applyFont="1" applyFill="1" applyBorder="1" applyAlignment="1">
      <alignment horizontal="right" vertical="center" wrapText="1"/>
    </xf>
    <xf numFmtId="0" fontId="9" fillId="9" borderId="6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right" vertical="center" wrapText="1"/>
    </xf>
    <xf numFmtId="0" fontId="9" fillId="6" borderId="8" xfId="0" applyFont="1" applyFill="1" applyBorder="1" applyAlignment="1">
      <alignment horizontal="right" vertical="center" wrapText="1"/>
    </xf>
    <xf numFmtId="10" fontId="8" fillId="5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9" fillId="6" borderId="5" xfId="0" applyFont="1" applyFill="1" applyBorder="1" applyAlignment="1">
      <alignment horizontal="right" vertical="center" wrapText="1"/>
    </xf>
    <xf numFmtId="0" fontId="9" fillId="6" borderId="4" xfId="0" applyFont="1" applyFill="1" applyBorder="1" applyAlignment="1">
      <alignment horizontal="right" vertical="center" wrapText="1"/>
    </xf>
    <xf numFmtId="0" fontId="1" fillId="20" borderId="0" xfId="4" applyFill="1" applyAlignment="1">
      <alignment horizontal="left" vertical="center" wrapText="1"/>
    </xf>
    <xf numFmtId="0" fontId="36" fillId="0" borderId="0" xfId="4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22" fillId="0" borderId="0" xfId="0" applyNumberFormat="1" applyFont="1" applyAlignment="1">
      <alignment horizontal="right"/>
    </xf>
    <xf numFmtId="0" fontId="60" fillId="0" borderId="18" xfId="0" applyFont="1" applyBorder="1" applyAlignment="1">
      <alignment horizontal="center" vertical="center"/>
    </xf>
    <xf numFmtId="0" fontId="60" fillId="0" borderId="19" xfId="0" applyFont="1" applyBorder="1" applyAlignment="1">
      <alignment horizontal="center" vertical="center"/>
    </xf>
    <xf numFmtId="0" fontId="60" fillId="0" borderId="20" xfId="0" applyFont="1" applyBorder="1" applyAlignment="1">
      <alignment horizontal="center" vertical="center"/>
    </xf>
    <xf numFmtId="0" fontId="60" fillId="0" borderId="21" xfId="0" applyFont="1" applyBorder="1" applyAlignment="1">
      <alignment horizontal="center" vertical="center"/>
    </xf>
    <xf numFmtId="190" fontId="22" fillId="0" borderId="0" xfId="2" applyNumberFormat="1" applyFont="1"/>
  </cellXfs>
  <cellStyles count="20">
    <cellStyle name="Comma" xfId="1" builtinId="3"/>
    <cellStyle name="Comma 2" xfId="7" xr:uid="{00000000-0005-0000-0000-000001000000}"/>
    <cellStyle name="Comma 2 2" xfId="18" xr:uid="{C1C665C7-F536-4DBA-A249-8F9F54B7ED28}"/>
    <cellStyle name="Comma 3" xfId="6" xr:uid="{00000000-0005-0000-0000-000002000000}"/>
    <cellStyle name="Comma 3 2" xfId="17" xr:uid="{F6C51055-551B-4943-9F80-81C737307C9F}"/>
    <cellStyle name="Comma 4" xfId="16" xr:uid="{52A9E072-349B-4936-AC95-9920245215C3}"/>
    <cellStyle name="Currency" xfId="12" builtinId="4"/>
    <cellStyle name="Currency 2" xfId="11" xr:uid="{00000000-0005-0000-0000-000003000000}"/>
    <cellStyle name="Currency 3" xfId="15" xr:uid="{E050CE38-4337-4B68-86B2-6729779C648B}"/>
    <cellStyle name="Currency 4" xfId="19" xr:uid="{E4A337D6-3D46-4FA1-9003-F05CFDE95AC5}"/>
    <cellStyle name="Hyperlink" xfId="3" builtinId="8"/>
    <cellStyle name="Hyperlink 2" xfId="8" xr:uid="{00000000-0005-0000-0000-000005000000}"/>
    <cellStyle name="Normal" xfId="0" builtinId="0"/>
    <cellStyle name="Normal 2" xfId="4" xr:uid="{00000000-0005-0000-0000-000007000000}"/>
    <cellStyle name="Normal 3" xfId="5" xr:uid="{00000000-0005-0000-0000-000008000000}"/>
    <cellStyle name="Normal 4" xfId="13" xr:uid="{A5312AF0-6221-4869-8C29-2764161C7579}"/>
    <cellStyle name="Percent" xfId="2" builtinId="5"/>
    <cellStyle name="Percent 2" xfId="9" xr:uid="{00000000-0005-0000-0000-00000A000000}"/>
    <cellStyle name="Percent 2 2" xfId="10" xr:uid="{00000000-0005-0000-0000-00000B000000}"/>
    <cellStyle name="Percent 3" xfId="14" xr:uid="{129421F2-1C2E-4A76-BC30-7FB582A30509}"/>
  </cellStyles>
  <dxfs count="10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general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left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left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righ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68" formatCode="_ * #,##0_ ;_ * \-#,##0_ ;_ * &quot;-&quot;??_ ;_ @_ 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righ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righ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" formatCode="0"/>
      <alignment horizontal="righ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numFmt numFmtId="14" formatCode="0.00%"/>
      <alignment horizontal="righ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family val="2"/>
        <scheme val="none"/>
      </font>
      <numFmt numFmtId="168" formatCode="_ * #,##0_ ;_ * \-#,##0_ ;_ * &quot;-&quot;??_ ;_ @_ 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left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7F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5479468617288"/>
          <c:y val="7.407407407407407E-2"/>
          <c:w val="0.87674520531382716"/>
          <c:h val="0.80845727617381158"/>
        </c:manualLayout>
      </c:layout>
      <c:lineChart>
        <c:grouping val="standard"/>
        <c:varyColors val="0"/>
        <c:ser>
          <c:idx val="0"/>
          <c:order val="0"/>
          <c:tx>
            <c:v>Total ZET Share (Scenario 4)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9.0520000000000043E-4</c:v>
              </c:pt>
              <c:pt idx="2">
                <c:v>3.2486167261764551E-3</c:v>
              </c:pt>
              <c:pt idx="3">
                <c:v>9.1194959655607442E-3</c:v>
              </c:pt>
              <c:pt idx="4">
                <c:v>2.0575842380149041E-2</c:v>
              </c:pt>
              <c:pt idx="5">
                <c:v>3.9561968688376935E-2</c:v>
              </c:pt>
              <c:pt idx="6">
                <c:v>7.0634217553956047E-2</c:v>
              </c:pt>
              <c:pt idx="7">
                <c:v>0.10881725659428373</c:v>
              </c:pt>
              <c:pt idx="8">
                <c:v>0.15711793135685284</c:v>
              </c:pt>
              <c:pt idx="9">
                <c:v>0.20799334912631282</c:v>
              </c:pt>
              <c:pt idx="10">
                <c:v>0.25915178713501447</c:v>
              </c:pt>
              <c:pt idx="11">
                <c:v>0.30871820716986925</c:v>
              </c:pt>
              <c:pt idx="12">
                <c:v>0.35541307314853421</c:v>
              </c:pt>
              <c:pt idx="13">
                <c:v>0.39856335508938934</c:v>
              </c:pt>
              <c:pt idx="14">
                <c:v>0.43801473754127768</c:v>
              </c:pt>
              <c:pt idx="15">
                <c:v>0.47400466390625273</c:v>
              </c:pt>
              <c:pt idx="16">
                <c:v>0.5070348217873516</c:v>
              </c:pt>
              <c:pt idx="17">
                <c:v>0.53776227361787277</c:v>
              </c:pt>
              <c:pt idx="18">
                <c:v>0.56691521646581011</c:v>
              </c:pt>
              <c:pt idx="19">
                <c:v>0.59523215227226756</c:v>
              </c:pt>
              <c:pt idx="20">
                <c:v>0.62342028721398646</c:v>
              </c:pt>
              <c:pt idx="21">
                <c:v>0.65212844911931389</c:v>
              </c:pt>
              <c:pt idx="22">
                <c:v>0.68193041110843011</c:v>
              </c:pt>
              <c:pt idx="23">
                <c:v>0.71331546281642844</c:v>
              </c:pt>
              <c:pt idx="24">
                <c:v>0.74668399035282573</c:v>
              </c:pt>
              <c:pt idx="25">
                <c:v>0.77074542621461284</c:v>
              </c:pt>
              <c:pt idx="26">
                <c:v>0.80312383529414599</c:v>
              </c:pt>
              <c:pt idx="27">
                <c:v>0.84395687543864584</c:v>
              </c:pt>
              <c:pt idx="28">
                <c:v>0.89330246177720074</c:v>
              </c:pt>
              <c:pt idx="29">
                <c:v>0.95114486785181263</c:v>
              </c:pt>
              <c:pt idx="3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EEF-4584-BE3D-3BA468C3D534}"/>
            </c:ext>
          </c:extLst>
        </c:ser>
        <c:ser>
          <c:idx val="1"/>
          <c:order val="1"/>
          <c:tx>
            <c:strRef>
              <c:f>PTTM!$O$1</c:f>
              <c:strCache>
                <c:ptCount val="1"/>
                <c:pt idx="0">
                  <c:v>Total ZET 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PTTM!$O$2:$O$32</c:f>
              <c:numCache>
                <c:formatCode>0.00%</c:formatCode>
                <c:ptCount val="31"/>
                <c:pt idx="0">
                  <c:v>5.5728017354228227E-4</c:v>
                </c:pt>
                <c:pt idx="1">
                  <c:v>1.3554133916627094E-3</c:v>
                </c:pt>
                <c:pt idx="2">
                  <c:v>2.9683073770682285E-3</c:v>
                </c:pt>
                <c:pt idx="3">
                  <c:v>6.0260139136606447E-3</c:v>
                </c:pt>
                <c:pt idx="4">
                  <c:v>1.1080376170662643E-2</c:v>
                </c:pt>
                <c:pt idx="5">
                  <c:v>1.9066269652423376E-2</c:v>
                </c:pt>
                <c:pt idx="6">
                  <c:v>3.0665393752209977E-2</c:v>
                </c:pt>
                <c:pt idx="7">
                  <c:v>5.9977601874707499E-2</c:v>
                </c:pt>
                <c:pt idx="8">
                  <c:v>8.6837697902705305E-2</c:v>
                </c:pt>
                <c:pt idx="9">
                  <c:v>0.12997315514425695</c:v>
                </c:pt>
                <c:pt idx="10">
                  <c:v>0.18730608353692596</c:v>
                </c:pt>
                <c:pt idx="11">
                  <c:v>0.25605609684842551</c:v>
                </c:pt>
                <c:pt idx="12">
                  <c:v>0.33287833679661427</c:v>
                </c:pt>
                <c:pt idx="13">
                  <c:v>0.41403001386586025</c:v>
                </c:pt>
                <c:pt idx="14">
                  <c:v>0.49555730524795794</c:v>
                </c:pt>
                <c:pt idx="15">
                  <c:v>0.57349331020952976</c:v>
                </c:pt>
                <c:pt idx="16">
                  <c:v>0.64405709356975305</c:v>
                </c:pt>
                <c:pt idx="17">
                  <c:v>0.70384370763001047</c:v>
                </c:pt>
                <c:pt idx="18">
                  <c:v>0.74999549075433847</c:v>
                </c:pt>
                <c:pt idx="19">
                  <c:v>0.78034587582840376</c:v>
                </c:pt>
                <c:pt idx="20">
                  <c:v>0.79352834804823091</c:v>
                </c:pt>
                <c:pt idx="21">
                  <c:v>0.81196520380345238</c:v>
                </c:pt>
                <c:pt idx="22">
                  <c:v>0.83050202244728677</c:v>
                </c:pt>
                <c:pt idx="23">
                  <c:v>0.84908909273203015</c:v>
                </c:pt>
                <c:pt idx="24">
                  <c:v>0.86767989674608592</c:v>
                </c:pt>
                <c:pt idx="25">
                  <c:v>0.88623219830753308</c:v>
                </c:pt>
                <c:pt idx="26">
                  <c:v>0.89905513000840476</c:v>
                </c:pt>
                <c:pt idx="27">
                  <c:v>0.92590509666080845</c:v>
                </c:pt>
                <c:pt idx="28">
                  <c:v>0.95060339777387226</c:v>
                </c:pt>
                <c:pt idx="29">
                  <c:v>0.97530169888693619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F-4584-BE3D-3BA468C3D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28175"/>
        <c:axId val="246636335"/>
      </c:lineChart>
      <c:catAx>
        <c:axId val="2466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36335"/>
        <c:crosses val="autoZero"/>
        <c:auto val="1"/>
        <c:lblAlgn val="ctr"/>
        <c:lblOffset val="100"/>
        <c:noMultiLvlLbl val="0"/>
      </c:catAx>
      <c:valAx>
        <c:axId val="2466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5479468617288"/>
          <c:y val="7.407407407407407E-2"/>
          <c:w val="0.87674520531382716"/>
          <c:h val="0.80845727617381158"/>
        </c:manualLayout>
      </c:layout>
      <c:lineChart>
        <c:grouping val="standard"/>
        <c:varyColors val="0"/>
        <c:ser>
          <c:idx val="0"/>
          <c:order val="0"/>
          <c:tx>
            <c:v>BET Share (%)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9.0520000000000043E-4</c:v>
              </c:pt>
              <c:pt idx="2">
                <c:v>3.2486167261764551E-3</c:v>
              </c:pt>
              <c:pt idx="3">
                <c:v>9.0194959655607448E-3</c:v>
              </c:pt>
              <c:pt idx="4">
                <c:v>2.0397936486550382E-2</c:v>
              </c:pt>
              <c:pt idx="5">
                <c:v>3.9156447684894222E-2</c:v>
              </c:pt>
              <c:pt idx="6">
                <c:v>6.5937471795685557E-2</c:v>
              </c:pt>
              <c:pt idx="7">
                <c:v>0.10000000000000002</c:v>
              </c:pt>
              <c:pt idx="8">
                <c:v>0.14427769449008454</c:v>
              </c:pt>
              <c:pt idx="9">
                <c:v>0.19113158223051666</c:v>
              </c:pt>
              <c:pt idx="10">
                <c:v>0.23814763569596886</c:v>
              </c:pt>
              <c:pt idx="11">
                <c:v>0.2832996890944367</c:v>
              </c:pt>
              <c:pt idx="12">
                <c:v>0.32512675123744222</c:v>
              </c:pt>
              <c:pt idx="13">
                <c:v>0.3627439187920572</c:v>
              </c:pt>
              <c:pt idx="14">
                <c:v>0.39575614362438977</c:v>
              </c:pt>
              <c:pt idx="15">
                <c:v>0.42413460430712119</c:v>
              </c:pt>
              <c:pt idx="16">
                <c:v>0.4480942690061876</c:v>
              </c:pt>
              <c:pt idx="17">
                <c:v>0.46799169540493885</c:v>
              </c:pt>
              <c:pt idx="18">
                <c:v>0.48424876380202186</c:v>
              </c:pt>
              <c:pt idx="19">
                <c:v>0.49730073284418264</c:v>
              </c:pt>
              <c:pt idx="20">
                <c:v>0.5075639756821716</c:v>
              </c:pt>
              <c:pt idx="21">
                <c:v>0.51541819548190804</c:v>
              </c:pt>
              <c:pt idx="22">
                <c:v>0.52119852956075552</c:v>
              </c:pt>
              <c:pt idx="23">
                <c:v>0.52519395174954531</c:v>
              </c:pt>
              <c:pt idx="24">
                <c:v>0.52764937816165236</c:v>
              </c:pt>
              <c:pt idx="25">
                <c:v>0.5287697121235555</c:v>
              </c:pt>
              <c:pt idx="26">
                <c:v>0.52872469313080783</c:v>
              </c:pt>
              <c:pt idx="27">
                <c:v>0.52765386134154801</c:v>
              </c:pt>
              <c:pt idx="28">
                <c:v>0.52567125071946552</c:v>
              </c:pt>
              <c:pt idx="29">
                <c:v>0.52286961872336246</c:v>
              </c:pt>
              <c:pt idx="30">
                <c:v>0.51932414060982712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EDF-457B-83BA-C9E13DA369CE}"/>
            </c:ext>
          </c:extLst>
        </c:ser>
        <c:ser>
          <c:idx val="1"/>
          <c:order val="1"/>
          <c:tx>
            <c:strRef>
              <c:f>PTTM!$C$1</c:f>
              <c:strCache>
                <c:ptCount val="1"/>
                <c:pt idx="0">
                  <c:v>BET Share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PTTM!$C$2:$C$32</c:f>
              <c:numCache>
                <c:formatCode>0.00%</c:formatCode>
                <c:ptCount val="31"/>
                <c:pt idx="0">
                  <c:v>5.5728017354228227E-4</c:v>
                </c:pt>
                <c:pt idx="1">
                  <c:v>1.3554133916627094E-3</c:v>
                </c:pt>
                <c:pt idx="2">
                  <c:v>2.9683073770682285E-3</c:v>
                </c:pt>
                <c:pt idx="3">
                  <c:v>5.9260139136606445E-3</c:v>
                </c:pt>
                <c:pt idx="4">
                  <c:v>1.0903757202234165E-2</c:v>
                </c:pt>
                <c:pt idx="5">
                  <c:v>1.8669494666594316E-2</c:v>
                </c:pt>
                <c:pt idx="6">
                  <c:v>3.0000000000000002E-2</c:v>
                </c:pt>
                <c:pt idx="7">
                  <c:v>5.890860233316067E-2</c:v>
                </c:pt>
                <c:pt idx="8">
                  <c:v>8.5187694812574266E-2</c:v>
                </c:pt>
                <c:pt idx="9">
                  <c:v>0.12751953400938912</c:v>
                </c:pt>
                <c:pt idx="10">
                  <c:v>0.18378142474391024</c:v>
                </c:pt>
                <c:pt idx="11">
                  <c:v>0.25115216088551262</c:v>
                </c:pt>
                <c:pt idx="12">
                  <c:v>0.32625349240836127</c:v>
                </c:pt>
                <c:pt idx="13">
                  <c:v>0.40531952495405055</c:v>
                </c:pt>
                <c:pt idx="14">
                  <c:v>0.48438555749973988</c:v>
                </c:pt>
                <c:pt idx="15">
                  <c:v>0.55948688902258858</c:v>
                </c:pt>
                <c:pt idx="16">
                  <c:v>0.62685762516419097</c:v>
                </c:pt>
                <c:pt idx="17">
                  <c:v>0.683119515898712</c:v>
                </c:pt>
                <c:pt idx="18">
                  <c:v>0.72545135509552694</c:v>
                </c:pt>
                <c:pt idx="19">
                  <c:v>0.75173044757494067</c:v>
                </c:pt>
                <c:pt idx="20">
                  <c:v>0.76063904990810127</c:v>
                </c:pt>
                <c:pt idx="21">
                  <c:v>0.77465066581986119</c:v>
                </c:pt>
                <c:pt idx="22">
                  <c:v>0.78866228173162112</c:v>
                </c:pt>
                <c:pt idx="23">
                  <c:v>0.80267389764338115</c:v>
                </c:pt>
                <c:pt idx="24">
                  <c:v>0.81668551355514107</c:v>
                </c:pt>
                <c:pt idx="25">
                  <c:v>0.830697129466901</c:v>
                </c:pt>
                <c:pt idx="26">
                  <c:v>0.8390551300084047</c:v>
                </c:pt>
                <c:pt idx="27">
                  <c:v>0.84741313054990852</c:v>
                </c:pt>
                <c:pt idx="28">
                  <c:v>0.85577113109141223</c:v>
                </c:pt>
                <c:pt idx="29">
                  <c:v>0.86412913163291605</c:v>
                </c:pt>
                <c:pt idx="30">
                  <c:v>0.87248713217441975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F-457B-83BA-C9E13DA36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28175"/>
        <c:axId val="246636335"/>
      </c:lineChart>
      <c:catAx>
        <c:axId val="2466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36335"/>
        <c:crosses val="autoZero"/>
        <c:auto val="1"/>
        <c:lblAlgn val="ctr"/>
        <c:lblOffset val="100"/>
        <c:noMultiLvlLbl val="0"/>
      </c:catAx>
      <c:valAx>
        <c:axId val="2466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25479468617288"/>
          <c:y val="7.407407407407407E-2"/>
          <c:w val="0.87674520531382716"/>
          <c:h val="0.80845727617381158"/>
        </c:manualLayout>
      </c:layout>
      <c:lineChart>
        <c:grouping val="standard"/>
        <c:varyColors val="0"/>
        <c:ser>
          <c:idx val="0"/>
          <c:order val="0"/>
          <c:tx>
            <c:v>Total ZET Share (Scenario 4)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Lit>
              <c:formatCode>General</c:formatCode>
              <c:ptCount val="31"/>
              <c:pt idx="0">
                <c:v>0</c:v>
              </c:pt>
              <c:pt idx="1">
                <c:v>265.05161200000015</c:v>
              </c:pt>
              <c:pt idx="2">
                <c:v>1261.0450140784394</c:v>
              </c:pt>
              <c:pt idx="3">
                <c:v>4102.2239821488893</c:v>
              </c:pt>
              <c:pt idx="4">
                <c:v>11111.38468894666</c:v>
              </c:pt>
              <c:pt idx="5">
                <c:v>24956.095631444168</c:v>
              </c:pt>
              <c:pt idx="6">
                <c:v>50181.693746488498</c:v>
              </c:pt>
              <c:pt idx="7">
                <c:v>93035.017565883376</c:v>
              </c:pt>
              <c:pt idx="8">
                <c:v>159010.40812193946</c:v>
              </c:pt>
              <c:pt idx="9">
                <c:v>249510.39426028944</c:v>
              </c:pt>
              <c:pt idx="10">
                <c:v>368585.45741308591</c:v>
              </c:pt>
              <c:pt idx="11">
                <c:v>516958.51496099681</c:v>
              </c:pt>
              <c:pt idx="12">
                <c:v>694668.60566599539</c:v>
              </c:pt>
              <c:pt idx="13">
                <c:v>902116.84635647165</c:v>
              </c:pt>
              <c:pt idx="14">
                <c:v>1140821.7378743417</c:v>
              </c:pt>
              <c:pt idx="15">
                <c:v>1411260.3588194151</c:v>
              </c:pt>
              <c:pt idx="16">
                <c:v>1715009.7095075638</c:v>
              </c:pt>
              <c:pt idx="17">
                <c:v>2052455.536202779</c:v>
              </c:pt>
              <c:pt idx="18">
                <c:v>2423229.4260757482</c:v>
              </c:pt>
              <c:pt idx="19">
                <c:v>2827981.3372993674</c:v>
              </c:pt>
              <c:pt idx="20">
                <c:v>3268895.3354314594</c:v>
              </c:pt>
              <c:pt idx="21">
                <c:v>3747583.7022230006</c:v>
              </c:pt>
              <c:pt idx="22">
                <c:v>4267548.821389067</c:v>
              </c:pt>
              <c:pt idx="23">
                <c:v>4820953.2237513084</c:v>
              </c:pt>
              <c:pt idx="24">
                <c:v>5418076.4108364629</c:v>
              </c:pt>
              <c:pt idx="25">
                <c:v>6075915.3395648971</c:v>
              </c:pt>
              <c:pt idx="26">
                <c:v>6789000.9616842167</c:v>
              </c:pt>
              <c:pt idx="27">
                <c:v>7567939.3994390694</c:v>
              </c:pt>
              <c:pt idx="28">
                <c:v>8424017.9476340152</c:v>
              </c:pt>
              <c:pt idx="29">
                <c:v>9369436.9233813602</c:v>
              </c:pt>
              <c:pt idx="30">
                <c:v>10399266.92338136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DC3-48E4-8C02-775F998CE621}"/>
            </c:ext>
          </c:extLst>
        </c:ser>
        <c:ser>
          <c:idx val="1"/>
          <c:order val="1"/>
          <c:tx>
            <c:strRef>
              <c:f>PTTM!#REF!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PTTM!#REF!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3-48E4-8C02-775F998C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28175"/>
        <c:axId val="246636335"/>
      </c:lineChart>
      <c:catAx>
        <c:axId val="24662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36335"/>
        <c:crosses val="autoZero"/>
        <c:auto val="1"/>
        <c:lblAlgn val="ctr"/>
        <c:lblOffset val="100"/>
        <c:noMultiLvlLbl val="0"/>
      </c:catAx>
      <c:valAx>
        <c:axId val="2466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6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Powertrain Mix - Annual Sales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PTTM!$C$1</c:f>
              <c:strCache>
                <c:ptCount val="1"/>
                <c:pt idx="0">
                  <c:v>BET Share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PTTM!$C$2:$C$32</c:f>
              <c:numCache>
                <c:formatCode>0.00%</c:formatCode>
                <c:ptCount val="31"/>
                <c:pt idx="0">
                  <c:v>5.5728017354228227E-4</c:v>
                </c:pt>
                <c:pt idx="1">
                  <c:v>1.3554133916627094E-3</c:v>
                </c:pt>
                <c:pt idx="2">
                  <c:v>2.9683073770682285E-3</c:v>
                </c:pt>
                <c:pt idx="3">
                  <c:v>5.9260139136606445E-3</c:v>
                </c:pt>
                <c:pt idx="4">
                  <c:v>1.0903757202234165E-2</c:v>
                </c:pt>
                <c:pt idx="5">
                  <c:v>1.8669494666594316E-2</c:v>
                </c:pt>
                <c:pt idx="6">
                  <c:v>3.0000000000000002E-2</c:v>
                </c:pt>
                <c:pt idx="7">
                  <c:v>5.890860233316067E-2</c:v>
                </c:pt>
                <c:pt idx="8">
                  <c:v>8.5187694812574266E-2</c:v>
                </c:pt>
                <c:pt idx="9">
                  <c:v>0.12751953400938912</c:v>
                </c:pt>
                <c:pt idx="10">
                  <c:v>0.18378142474391024</c:v>
                </c:pt>
                <c:pt idx="11">
                  <c:v>0.25115216088551262</c:v>
                </c:pt>
                <c:pt idx="12">
                  <c:v>0.32625349240836127</c:v>
                </c:pt>
                <c:pt idx="13">
                  <c:v>0.40531952495405055</c:v>
                </c:pt>
                <c:pt idx="14">
                  <c:v>0.48438555749973988</c:v>
                </c:pt>
                <c:pt idx="15">
                  <c:v>0.55948688902258858</c:v>
                </c:pt>
                <c:pt idx="16">
                  <c:v>0.62685762516419097</c:v>
                </c:pt>
                <c:pt idx="17">
                  <c:v>0.683119515898712</c:v>
                </c:pt>
                <c:pt idx="18">
                  <c:v>0.72545135509552694</c:v>
                </c:pt>
                <c:pt idx="19">
                  <c:v>0.75173044757494067</c:v>
                </c:pt>
                <c:pt idx="20">
                  <c:v>0.76063904990810127</c:v>
                </c:pt>
                <c:pt idx="21">
                  <c:v>0.77465066581986119</c:v>
                </c:pt>
                <c:pt idx="22">
                  <c:v>0.78866228173162112</c:v>
                </c:pt>
                <c:pt idx="23">
                  <c:v>0.80267389764338115</c:v>
                </c:pt>
                <c:pt idx="24">
                  <c:v>0.81668551355514107</c:v>
                </c:pt>
                <c:pt idx="25">
                  <c:v>0.830697129466901</c:v>
                </c:pt>
                <c:pt idx="26">
                  <c:v>0.8390551300084047</c:v>
                </c:pt>
                <c:pt idx="27">
                  <c:v>0.84741313054990852</c:v>
                </c:pt>
                <c:pt idx="28">
                  <c:v>0.85577113109141223</c:v>
                </c:pt>
                <c:pt idx="29">
                  <c:v>0.86412913163291605</c:v>
                </c:pt>
                <c:pt idx="30">
                  <c:v>0.87248713217441975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4EB-413A-9CC8-706210EF666A}"/>
            </c:ext>
          </c:extLst>
        </c:ser>
        <c:ser>
          <c:idx val="3"/>
          <c:order val="3"/>
          <c:tx>
            <c:strRef>
              <c:f>PTTM!$E$1</c:f>
              <c:strCache>
                <c:ptCount val="1"/>
                <c:pt idx="0">
                  <c:v>H2 ICE Share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PTTM!$E$2:$E$32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1.0000000000000003E-4</c:v>
                </c:pt>
                <c:pt idx="4">
                  <c:v>1.7661896842847784E-4</c:v>
                </c:pt>
                <c:pt idx="5">
                  <c:v>2.9677498582906072E-4</c:v>
                </c:pt>
                <c:pt idx="6">
                  <c:v>4.7650423585832955E-4</c:v>
                </c:pt>
                <c:pt idx="7">
                  <c:v>7.3398377074094926E-4</c:v>
                </c:pt>
                <c:pt idx="8">
                  <c:v>1.0885926698824978E-3</c:v>
                </c:pt>
                <c:pt idx="9">
                  <c:v>1.5597115229007306E-3</c:v>
                </c:pt>
                <c:pt idx="10">
                  <c:v>2.1653968922523549E-3</c:v>
                </c:pt>
                <c:pt idx="11">
                  <c:v>2.9210859597661142E-3</c:v>
                </c:pt>
                <c:pt idx="12">
                  <c:v>3.8384768322619494E-3</c:v>
                </c:pt>
                <c:pt idx="13">
                  <c:v>4.9246973747600993E-3</c:v>
                </c:pt>
                <c:pt idx="14">
                  <c:v>6.1818293573337943E-3</c:v>
                </c:pt>
                <c:pt idx="15">
                  <c:v>7.6068054359492042E-3</c:v>
                </c:pt>
                <c:pt idx="16">
                  <c:v>9.1916527120331909E-3</c:v>
                </c:pt>
                <c:pt idx="17">
                  <c:v>1.0924023975801889E-2</c:v>
                </c:pt>
                <c:pt idx="18">
                  <c:v>1.2787938556281546E-2</c:v>
                </c:pt>
                <c:pt idx="19">
                  <c:v>1.4764648490330072E-2</c:v>
                </c:pt>
                <c:pt idx="20">
                  <c:v>1.6833550117131873E-2</c:v>
                </c:pt>
                <c:pt idx="21">
                  <c:v>1.8973072942500818E-2</c:v>
                </c:pt>
                <c:pt idx="22">
                  <c:v>2.1161493358695996E-2</c:v>
                </c:pt>
                <c:pt idx="23">
                  <c:v>2.3377637675049814E-2</c:v>
                </c:pt>
                <c:pt idx="24">
                  <c:v>2.5601454773353814E-2</c:v>
                </c:pt>
                <c:pt idx="25">
                  <c:v>2.7814452200337996E-2</c:v>
                </c:pt>
                <c:pt idx="26">
                  <c:v>3.0000000000000006E-2</c:v>
                </c:pt>
                <c:pt idx="27">
                  <c:v>4.5146386076924824E-2</c:v>
                </c:pt>
                <c:pt idx="28">
                  <c:v>5.2078102841222038E-2</c:v>
                </c:pt>
                <c:pt idx="29">
                  <c:v>5.9009819605519237E-2</c:v>
                </c:pt>
                <c:pt idx="30">
                  <c:v>6.594153636981645E-2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4EB-413A-9CC8-706210EF666A}"/>
            </c:ext>
          </c:extLst>
        </c:ser>
        <c:ser>
          <c:idx val="5"/>
          <c:order val="5"/>
          <c:tx>
            <c:strRef>
              <c:f>PTTM!$G$1</c:f>
              <c:strCache>
                <c:ptCount val="1"/>
                <c:pt idx="0">
                  <c:v>H2 FCET Share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PTTM!$G$2:$G$32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1E-4</c:v>
                </c:pt>
                <c:pt idx="6">
                  <c:v>1.8888951635164685E-4</c:v>
                </c:pt>
                <c:pt idx="7">
                  <c:v>3.3501577080588188E-4</c:v>
                </c:pt>
                <c:pt idx="8">
                  <c:v>5.6141042024854097E-4</c:v>
                </c:pt>
                <c:pt idx="9">
                  <c:v>8.9390961196707968E-4</c:v>
                </c:pt>
                <c:pt idx="10">
                  <c:v>1.3592619007633823E-3</c:v>
                </c:pt>
                <c:pt idx="11">
                  <c:v>1.9828500031468213E-3</c:v>
                </c:pt>
                <c:pt idx="12">
                  <c:v>2.7863675559910623E-3</c:v>
                </c:pt>
                <c:pt idx="13">
                  <c:v>3.7857915370495925E-3</c:v>
                </c:pt>
                <c:pt idx="14">
                  <c:v>4.9899183908842471E-3</c:v>
                </c:pt>
                <c:pt idx="15">
                  <c:v>6.399615750991983E-3</c:v>
                </c:pt>
                <c:pt idx="16">
                  <c:v>8.0078156935289614E-3</c:v>
                </c:pt>
                <c:pt idx="17">
                  <c:v>9.8001677554965198E-3</c:v>
                </c:pt>
                <c:pt idx="18">
                  <c:v>1.1756197102529911E-2</c:v>
                </c:pt>
                <c:pt idx="19">
                  <c:v>1.3850779763132984E-2</c:v>
                </c:pt>
                <c:pt idx="20">
                  <c:v>1.6055748022997834E-2</c:v>
                </c:pt>
                <c:pt idx="21">
                  <c:v>1.8341465041090362E-2</c:v>
                </c:pt>
                <c:pt idx="22">
                  <c:v>2.0678247356969617E-2</c:v>
                </c:pt>
                <c:pt idx="23">
                  <c:v>2.3037557413599117E-2</c:v>
                </c:pt>
                <c:pt idx="24">
                  <c:v>2.5392928417591033E-2</c:v>
                </c:pt>
                <c:pt idx="25">
                  <c:v>2.7720616640294123E-2</c:v>
                </c:pt>
                <c:pt idx="26">
                  <c:v>2.9999999999999995E-2</c:v>
                </c:pt>
                <c:pt idx="27">
                  <c:v>3.3345580033975121E-2</c:v>
                </c:pt>
                <c:pt idx="28">
                  <c:v>4.2754163841238021E-2</c:v>
                </c:pt>
                <c:pt idx="29">
                  <c:v>5.2162747648500915E-2</c:v>
                </c:pt>
                <c:pt idx="30">
                  <c:v>6.1571331455763816E-2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4EB-413A-9CC8-706210EF666A}"/>
            </c:ext>
          </c:extLst>
        </c:ser>
        <c:ser>
          <c:idx val="8"/>
          <c:order val="8"/>
          <c:tx>
            <c:strRef>
              <c:f>PTTM!$J$1</c:f>
              <c:strCache>
                <c:ptCount val="1"/>
                <c:pt idx="0">
                  <c:v>LNG Share 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PTTM!$J$2:$J$32</c:f>
              <c:numCache>
                <c:formatCode>0.00%</c:formatCode>
                <c:ptCount val="31"/>
                <c:pt idx="0">
                  <c:v>1.37636982458765E-3</c:v>
                </c:pt>
                <c:pt idx="1">
                  <c:v>1.376417543549908E-3</c:v>
                </c:pt>
                <c:pt idx="2">
                  <c:v>1.3771333220666479E-3</c:v>
                </c:pt>
                <c:pt idx="3">
                  <c:v>1.3802348266908385E-3</c:v>
                </c:pt>
                <c:pt idx="4">
                  <c:v>1.3885827550692541E-3</c:v>
                </c:pt>
                <c:pt idx="5">
                  <c:v>1.4061708922738596E-3</c:v>
                </c:pt>
                <c:pt idx="6">
                  <c:v>1.4380935075883627E-3</c:v>
                </c:pt>
                <c:pt idx="7">
                  <c:v>1.4904626833928437E-3</c:v>
                </c:pt>
                <c:pt idx="8">
                  <c:v>1.570232100359279E-3</c:v>
                </c:pt>
                <c:pt idx="9">
                  <c:v>1.6848661341873788E-3</c:v>
                </c:pt>
                <c:pt idx="10">
                  <c:v>1.8417777097579045E-3</c:v>
                </c:pt>
                <c:pt idx="11">
                  <c:v>2.0474523799448403E-3</c:v>
                </c:pt>
                <c:pt idx="12">
                  <c:v>2.3061911278746106E-3</c:v>
                </c:pt>
                <c:pt idx="13">
                  <c:v>2.6184564432995975E-3</c:v>
                </c:pt>
                <c:pt idx="14">
                  <c:v>2.9789130144606715E-3</c:v>
                </c:pt>
                <c:pt idx="15">
                  <c:v>3.3744276010490865E-3</c:v>
                </c:pt>
                <c:pt idx="16">
                  <c:v>3.7825233658597989E-3</c:v>
                </c:pt>
                <c:pt idx="17">
                  <c:v>4.1710220424781702E-3</c:v>
                </c:pt>
                <c:pt idx="18">
                  <c:v>4.499743032365844E-3</c:v>
                </c:pt>
                <c:pt idx="19">
                  <c:v>4.7249944743014494E-3</c:v>
                </c:pt>
                <c:pt idx="20">
                  <c:v>4.8070125830623495E-3</c:v>
                </c:pt>
                <c:pt idx="21">
                  <c:v>4.6423294571938754E-3</c:v>
                </c:pt>
                <c:pt idx="22">
                  <c:v>4.4776463313254003E-3</c:v>
                </c:pt>
                <c:pt idx="23">
                  <c:v>4.3129632054569262E-3</c:v>
                </c:pt>
                <c:pt idx="24">
                  <c:v>4.1482800795884511E-3</c:v>
                </c:pt>
                <c:pt idx="25">
                  <c:v>3.983596953719977E-3</c:v>
                </c:pt>
                <c:pt idx="26">
                  <c:v>3.6031972940098545E-3</c:v>
                </c:pt>
                <c:pt idx="27">
                  <c:v>2.6072980555798602E-3</c:v>
                </c:pt>
                <c:pt idx="28">
                  <c:v>1.3762988981401167E-3</c:v>
                </c:pt>
                <c:pt idx="29">
                  <c:v>3.8039965971012248E-4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4EB-413A-9CC8-706210EF666A}"/>
            </c:ext>
          </c:extLst>
        </c:ser>
        <c:ser>
          <c:idx val="10"/>
          <c:order val="10"/>
          <c:tx>
            <c:strRef>
              <c:f>PTTM!$L$1</c:f>
              <c:strCache>
                <c:ptCount val="1"/>
                <c:pt idx="0">
                  <c:v>CNG Share %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PTTM!$L$2:$L$32</c:f>
              <c:numCache>
                <c:formatCode>0.00%</c:formatCode>
                <c:ptCount val="31"/>
                <c:pt idx="0">
                  <c:v>4.4414107790702026E-2</c:v>
                </c:pt>
                <c:pt idx="1">
                  <c:v>4.4414172410617368E-2</c:v>
                </c:pt>
                <c:pt idx="2">
                  <c:v>4.4415141701334704E-2</c:v>
                </c:pt>
                <c:pt idx="3">
                  <c:v>4.4419341687184637E-2</c:v>
                </c:pt>
                <c:pt idx="4">
                  <c:v>4.4430646258776164E-2</c:v>
                </c:pt>
                <c:pt idx="5">
                  <c:v>4.4454463707510529E-2</c:v>
                </c:pt>
                <c:pt idx="6">
                  <c:v>4.4497692575063426E-2</c:v>
                </c:pt>
                <c:pt idx="7">
                  <c:v>4.4568609702072055E-2</c:v>
                </c:pt>
                <c:pt idx="8">
                  <c:v>4.4676631602121299E-2</c:v>
                </c:pt>
                <c:pt idx="9">
                  <c:v>4.4831866360194442E-2</c:v>
                </c:pt>
                <c:pt idx="10">
                  <c:v>4.5044352387765392E-2</c:v>
                </c:pt>
                <c:pt idx="11">
                  <c:v>4.5322872270578907E-2</c:v>
                </c:pt>
                <c:pt idx="12">
                  <c:v>4.5673250300538634E-2</c:v>
                </c:pt>
                <c:pt idx="13">
                  <c:v>4.609611277057369E-2</c:v>
                </c:pt>
                <c:pt idx="14">
                  <c:v>4.6584234724861485E-2</c:v>
                </c:pt>
                <c:pt idx="15">
                  <c:v>4.7119831433039112E-2</c:v>
                </c:pt>
                <c:pt idx="16">
                  <c:v>4.7672465281866805E-2</c:v>
                </c:pt>
                <c:pt idx="17">
                  <c:v>4.8198561206982952E-2</c:v>
                </c:pt>
                <c:pt idx="18">
                  <c:v>4.8643707570891759E-2</c:v>
                </c:pt>
                <c:pt idx="19">
                  <c:v>4.8948737865358548E-2</c:v>
                </c:pt>
                <c:pt idx="20">
                  <c:v>4.9059804891842217E-2</c:v>
                </c:pt>
                <c:pt idx="21">
                  <c:v>4.6137123351083616E-2</c:v>
                </c:pt>
                <c:pt idx="22">
                  <c:v>4.3214441810325015E-2</c:v>
                </c:pt>
                <c:pt idx="23">
                  <c:v>4.0291760269566414E-2</c:v>
                </c:pt>
                <c:pt idx="24">
                  <c:v>3.7369078728807813E-2</c:v>
                </c:pt>
                <c:pt idx="25">
                  <c:v>3.4446397188049212E-2</c:v>
                </c:pt>
                <c:pt idx="26">
                  <c:v>3.1157058954085215E-2</c:v>
                </c:pt>
                <c:pt idx="27">
                  <c:v>2.254545965707291E-2</c:v>
                </c:pt>
                <c:pt idx="28">
                  <c:v>1.1900937530976303E-2</c:v>
                </c:pt>
                <c:pt idx="29">
                  <c:v>3.2893382339640002E-3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4EB-413A-9CC8-706210EF666A}"/>
            </c:ext>
          </c:extLst>
        </c:ser>
        <c:ser>
          <c:idx val="12"/>
          <c:order val="12"/>
          <c:tx>
            <c:strRef>
              <c:f>PTTM!$N$1</c:f>
              <c:strCache>
                <c:ptCount val="1"/>
                <c:pt idx="0">
                  <c:v>Diesel Share%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PTTM!$N$2:$N$32</c:f>
              <c:numCache>
                <c:formatCode>0.00%</c:formatCode>
                <c:ptCount val="31"/>
                <c:pt idx="0">
                  <c:v>0.95365224221116807</c:v>
                </c:pt>
                <c:pt idx="1">
                  <c:v>0.95285399665416992</c:v>
                </c:pt>
                <c:pt idx="2">
                  <c:v>0.95123941759953046</c:v>
                </c:pt>
                <c:pt idx="3">
                  <c:v>0.94817440957246379</c:v>
                </c:pt>
                <c:pt idx="4">
                  <c:v>0.9431003948154919</c:v>
                </c:pt>
                <c:pt idx="5">
                  <c:v>0.93507309574779229</c:v>
                </c:pt>
                <c:pt idx="6">
                  <c:v>0.92339882016513819</c:v>
                </c:pt>
                <c:pt idx="7">
                  <c:v>0.89396332573982762</c:v>
                </c:pt>
                <c:pt idx="8">
                  <c:v>0.86691543839481411</c:v>
                </c:pt>
                <c:pt idx="9">
                  <c:v>0.82351011236136118</c:v>
                </c:pt>
                <c:pt idx="10">
                  <c:v>0.7658077863655508</c:v>
                </c:pt>
                <c:pt idx="11">
                  <c:v>0.69657357850105073</c:v>
                </c:pt>
                <c:pt idx="12">
                  <c:v>0.61914222177497258</c:v>
                </c:pt>
                <c:pt idx="13">
                  <c:v>0.53725541692026646</c:v>
                </c:pt>
                <c:pt idx="14">
                  <c:v>0.45487954701271988</c:v>
                </c:pt>
                <c:pt idx="15">
                  <c:v>0.37601243075638202</c:v>
                </c:pt>
                <c:pt idx="16">
                  <c:v>0.30448791778252027</c:v>
                </c:pt>
                <c:pt idx="17">
                  <c:v>0.24378670912052847</c:v>
                </c:pt>
                <c:pt idx="18">
                  <c:v>0.19686105864240402</c:v>
                </c:pt>
                <c:pt idx="19">
                  <c:v>0.16598039183193622</c:v>
                </c:pt>
                <c:pt idx="20">
                  <c:v>0.1526048344768646</c:v>
                </c:pt>
                <c:pt idx="21">
                  <c:v>0.1372553433882702</c:v>
                </c:pt>
                <c:pt idx="22">
                  <c:v>0.12180588941106277</c:v>
                </c:pt>
                <c:pt idx="23">
                  <c:v>0.10630618379294657</c:v>
                </c:pt>
                <c:pt idx="24">
                  <c:v>9.0802744445517933E-2</c:v>
                </c:pt>
                <c:pt idx="25">
                  <c:v>7.5337807550697675E-2</c:v>
                </c:pt>
                <c:pt idx="26">
                  <c:v>6.6184613743500251E-2</c:v>
                </c:pt>
                <c:pt idx="27">
                  <c:v>4.8942145626538806E-2</c:v>
                </c:pt>
                <c:pt idx="28">
                  <c:v>3.6119365797011346E-2</c:v>
                </c:pt>
                <c:pt idx="29">
                  <c:v>2.1028563219389545E-2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74EB-413A-9CC8-706210EF6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413407"/>
        <c:axId val="164442060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PTTM!$B$1</c15:sqref>
                        </c15:formulaRef>
                      </c:ext>
                    </c:extLst>
                    <c:strCache>
                      <c:ptCount val="1"/>
                      <c:pt idx="0">
                        <c:v> Grand Total Sales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PTTM!$B$2:$B$32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267370</c:v>
                      </c:pt>
                      <c:pt idx="1">
                        <c:v>301119.97842446715</c:v>
                      </c:pt>
                      <c:pt idx="2">
                        <c:v>306590</c:v>
                      </c:pt>
                      <c:pt idx="3">
                        <c:v>311550</c:v>
                      </c:pt>
                      <c:pt idx="4">
                        <c:v>340650</c:v>
                      </c:pt>
                      <c:pt idx="5">
                        <c:v>349950</c:v>
                      </c:pt>
                      <c:pt idx="6">
                        <c:v>357130</c:v>
                      </c:pt>
                      <c:pt idx="7">
                        <c:v>393810</c:v>
                      </c:pt>
                      <c:pt idx="8">
                        <c:v>419910</c:v>
                      </c:pt>
                      <c:pt idx="9">
                        <c:v>435110</c:v>
                      </c:pt>
                      <c:pt idx="10">
                        <c:v>459480</c:v>
                      </c:pt>
                      <c:pt idx="11">
                        <c:v>480610</c:v>
                      </c:pt>
                      <c:pt idx="12">
                        <c:v>500010</c:v>
                      </c:pt>
                      <c:pt idx="13">
                        <c:v>520490</c:v>
                      </c:pt>
                      <c:pt idx="14">
                        <c:v>544970</c:v>
                      </c:pt>
                      <c:pt idx="15">
                        <c:v>570540</c:v>
                      </c:pt>
                      <c:pt idx="16">
                        <c:v>599070</c:v>
                      </c:pt>
                      <c:pt idx="17">
                        <c:v>627500</c:v>
                      </c:pt>
                      <c:pt idx="18">
                        <c:v>654020</c:v>
                      </c:pt>
                      <c:pt idx="19">
                        <c:v>679990</c:v>
                      </c:pt>
                      <c:pt idx="20">
                        <c:v>707250</c:v>
                      </c:pt>
                      <c:pt idx="21">
                        <c:v>734040</c:v>
                      </c:pt>
                      <c:pt idx="22">
                        <c:v>762490</c:v>
                      </c:pt>
                      <c:pt idx="23">
                        <c:v>775820</c:v>
                      </c:pt>
                      <c:pt idx="24">
                        <c:v>799700</c:v>
                      </c:pt>
                      <c:pt idx="25">
                        <c:v>853510</c:v>
                      </c:pt>
                      <c:pt idx="26">
                        <c:v>887890</c:v>
                      </c:pt>
                      <c:pt idx="27">
                        <c:v>922960</c:v>
                      </c:pt>
                      <c:pt idx="28">
                        <c:v>958330</c:v>
                      </c:pt>
                      <c:pt idx="29">
                        <c:v>993980</c:v>
                      </c:pt>
                      <c:pt idx="30">
                        <c:v>1029830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4EB-413A-9CC8-706210EF666A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PTTM!$D$1</c15:sqref>
                        </c15:formulaRef>
                      </c:ext>
                    </c:extLst>
                    <c:strCache>
                      <c:ptCount val="1"/>
                      <c:pt idx="0">
                        <c:v>BET Units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PTTM!$D$2:$D$32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149</c:v>
                      </c:pt>
                      <c:pt idx="1">
                        <c:v>408.14205125370887</c:v>
                      </c:pt>
                      <c:pt idx="2">
                        <c:v>910.05335873534818</c:v>
                      </c:pt>
                      <c:pt idx="3">
                        <c:v>1846.2496348009738</c:v>
                      </c:pt>
                      <c:pt idx="4">
                        <c:v>3714.3648909410686</c:v>
                      </c:pt>
                      <c:pt idx="5">
                        <c:v>6533.3896585746807</c:v>
                      </c:pt>
                      <c:pt idx="6">
                        <c:v>10713.900000000001</c:v>
                      </c:pt>
                      <c:pt idx="7">
                        <c:v>23198.796684822002</c:v>
                      </c:pt>
                      <c:pt idx="8">
                        <c:v>35771.164928748061</c:v>
                      </c:pt>
                      <c:pt idx="9">
                        <c:v>55485.024442825299</c:v>
                      </c:pt>
                      <c:pt idx="10">
                        <c:v>84443.889041331873</c:v>
                      </c:pt>
                      <c:pt idx="11">
                        <c:v>120706.24004318622</c:v>
                      </c:pt>
                      <c:pt idx="12">
                        <c:v>163130.00873910473</c:v>
                      </c:pt>
                      <c:pt idx="13">
                        <c:v>210964.75954333376</c:v>
                      </c:pt>
                      <c:pt idx="14">
                        <c:v>263975.59727063327</c:v>
                      </c:pt>
                      <c:pt idx="15">
                        <c:v>319209.64966294769</c:v>
                      </c:pt>
                      <c:pt idx="16">
                        <c:v>375531.5975071119</c:v>
                      </c:pt>
                      <c:pt idx="17">
                        <c:v>428657.49622644176</c:v>
                      </c:pt>
                      <c:pt idx="18">
                        <c:v>474459.69525957655</c:v>
                      </c:pt>
                      <c:pt idx="19">
                        <c:v>511169.18704648392</c:v>
                      </c:pt>
                      <c:pt idx="20">
                        <c:v>537961.96804750466</c:v>
                      </c:pt>
                      <c:pt idx="21">
                        <c:v>568624.57473841088</c:v>
                      </c:pt>
                      <c:pt idx="22">
                        <c:v>601347.10319754377</c:v>
                      </c:pt>
                      <c:pt idx="23">
                        <c:v>622730.46326968796</c:v>
                      </c:pt>
                      <c:pt idx="24">
                        <c:v>653103.40519004629</c:v>
                      </c:pt>
                      <c:pt idx="25">
                        <c:v>709008.30697129469</c:v>
                      </c:pt>
                      <c:pt idx="26">
                        <c:v>744988.65938316251</c:v>
                      </c:pt>
                      <c:pt idx="27">
                        <c:v>782128.42297234351</c:v>
                      </c:pt>
                      <c:pt idx="28">
                        <c:v>820111.14805883309</c:v>
                      </c:pt>
                      <c:pt idx="29">
                        <c:v>858927.07426048594</c:v>
                      </c:pt>
                      <c:pt idx="30">
                        <c:v>898513.42332718265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4EB-413A-9CC8-706210EF666A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PTTM!$F$1</c15:sqref>
                        </c15:formulaRef>
                      </c:ext>
                    </c:extLst>
                    <c:strCache>
                      <c:ptCount val="1"/>
                      <c:pt idx="0">
                        <c:v>H2 ICE Units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PTTM!$F$2:$F$32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31.155000000000008</c:v>
                      </c:pt>
                      <c:pt idx="4">
                        <c:v>60.165251595160974</c:v>
                      </c:pt>
                      <c:pt idx="5">
                        <c:v>103.8564062908798</c:v>
                      </c:pt>
                      <c:pt idx="6">
                        <c:v>170.17395775208524</c:v>
                      </c:pt>
                      <c:pt idx="7">
                        <c:v>289.05014875549324</c:v>
                      </c:pt>
                      <c:pt idx="8">
                        <c:v>457.11094801035966</c:v>
                      </c:pt>
                      <c:pt idx="9">
                        <c:v>678.64608072933686</c:v>
                      </c:pt>
                      <c:pt idx="10">
                        <c:v>994.95656405211207</c:v>
                      </c:pt>
                      <c:pt idx="11">
                        <c:v>1403.903123123192</c:v>
                      </c:pt>
                      <c:pt idx="12">
                        <c:v>1919.2768008992973</c:v>
                      </c:pt>
                      <c:pt idx="13">
                        <c:v>2563.2557365888842</c:v>
                      </c:pt>
                      <c:pt idx="14">
                        <c:v>3368.9115448661978</c:v>
                      </c:pt>
                      <c:pt idx="15">
                        <c:v>4339.986773426459</c:v>
                      </c:pt>
                      <c:pt idx="16">
                        <c:v>5506.4433901977236</c:v>
                      </c:pt>
                      <c:pt idx="17">
                        <c:v>6854.825044815685</c:v>
                      </c:pt>
                      <c:pt idx="18">
                        <c:v>8363.567574579256</c:v>
                      </c:pt>
                      <c:pt idx="19">
                        <c:v>10039.813326939546</c:v>
                      </c:pt>
                      <c:pt idx="20">
                        <c:v>11905.528320341517</c:v>
                      </c:pt>
                      <c:pt idx="21">
                        <c:v>13926.994462713301</c:v>
                      </c:pt>
                      <c:pt idx="22">
                        <c:v>16135.42707107211</c:v>
                      </c:pt>
                      <c:pt idx="23">
                        <c:v>18136.838861057146</c:v>
                      </c:pt>
                      <c:pt idx="24">
                        <c:v>20473.483382251045</c:v>
                      </c:pt>
                      <c:pt idx="25">
                        <c:v>23739.913097510482</c:v>
                      </c:pt>
                      <c:pt idx="26">
                        <c:v>26636.700000000004</c:v>
                      </c:pt>
                      <c:pt idx="27">
                        <c:v>41668.308493558536</c:v>
                      </c:pt>
                      <c:pt idx="28">
                        <c:v>49908.008295828316</c:v>
                      </c:pt>
                      <c:pt idx="29">
                        <c:v>58654.580491494009</c:v>
                      </c:pt>
                      <c:pt idx="30">
                        <c:v>67908.572399728073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4EB-413A-9CC8-706210EF666A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PTTM!$H$1</c15:sqref>
                        </c15:formulaRef>
                      </c:ext>
                    </c:extLst>
                    <c:strCache>
                      <c:ptCount val="1"/>
                      <c:pt idx="0">
                        <c:v>H2 FCET Units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PTTM!$H$2:$H$32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34.995000000000005</c:v>
                      </c:pt>
                      <c:pt idx="6">
                        <c:v>67.458112974663635</c:v>
                      </c:pt>
                      <c:pt idx="7">
                        <c:v>131.93256070106435</c:v>
                      </c:pt>
                      <c:pt idx="8">
                        <c:v>235.74184956656484</c:v>
                      </c:pt>
                      <c:pt idx="9">
                        <c:v>388.94901126299607</c:v>
                      </c:pt>
                      <c:pt idx="10">
                        <c:v>624.55365816275889</c:v>
                      </c:pt>
                      <c:pt idx="11">
                        <c:v>952.97754001239377</c:v>
                      </c:pt>
                      <c:pt idx="12">
                        <c:v>1393.211641671091</c:v>
                      </c:pt>
                      <c:pt idx="13">
                        <c:v>1970.4666371189423</c:v>
                      </c:pt>
                      <c:pt idx="14">
                        <c:v>2719.3558254801883</c:v>
                      </c:pt>
                      <c:pt idx="15">
                        <c:v>3651.2367705709662</c:v>
                      </c:pt>
                      <c:pt idx="16">
                        <c:v>4797.2421475223946</c:v>
                      </c:pt>
                      <c:pt idx="17">
                        <c:v>6149.6052665740663</c:v>
                      </c:pt>
                      <c:pt idx="18">
                        <c:v>7688.7880289966124</c:v>
                      </c:pt>
                      <c:pt idx="19">
                        <c:v>9418.3917311327987</c:v>
                      </c:pt>
                      <c:pt idx="20">
                        <c:v>11355.427789265219</c:v>
                      </c:pt>
                      <c:pt idx="21">
                        <c:v>13463.368998761969</c:v>
                      </c:pt>
                      <c:pt idx="22">
                        <c:v>15766.956827215763</c:v>
                      </c:pt>
                      <c:pt idx="23">
                        <c:v>17872.997792618466</c:v>
                      </c:pt>
                      <c:pt idx="24">
                        <c:v>20306.724855547549</c:v>
                      </c:pt>
                      <c:pt idx="25">
                        <c:v>23659.823508657439</c:v>
                      </c:pt>
                      <c:pt idx="26">
                        <c:v>26636.699999999997</c:v>
                      </c:pt>
                      <c:pt idx="27">
                        <c:v>30776.636548157676</c:v>
                      </c:pt>
                      <c:pt idx="28">
                        <c:v>40972.597833973632</c:v>
                      </c:pt>
                      <c:pt idx="29">
                        <c:v>51848.727907656939</c:v>
                      </c:pt>
                      <c:pt idx="30">
                        <c:v>63408.004273089253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4EB-413A-9CC8-706210EF666A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PTTM!$I$1</c15:sqref>
                        </c15:formulaRef>
                      </c:ext>
                    </c:extLst>
                    <c:strCache>
                      <c:ptCount val="1"/>
                      <c:pt idx="0">
                        <c:v>LNG Units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PTTM!$I$2:$I$32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368</c:v>
                      </c:pt>
                      <c:pt idx="1">
                        <c:v>414.46682101680636</c:v>
                      </c:pt>
                      <c:pt idx="2">
                        <c:v>422.21530521241357</c:v>
                      </c:pt>
                      <c:pt idx="3">
                        <c:v>430.01216025553077</c:v>
                      </c:pt>
                      <c:pt idx="4">
                        <c:v>473.02071551434142</c:v>
                      </c:pt>
                      <c:pt idx="5">
                        <c:v>492.08950375123715</c:v>
                      </c:pt>
                      <c:pt idx="6">
                        <c:v>513.58633436503203</c:v>
                      </c:pt>
                      <c:pt idx="7">
                        <c:v>586.95910934693575</c:v>
                      </c:pt>
                      <c:pt idx="8">
                        <c:v>659.35616126186483</c:v>
                      </c:pt>
                      <c:pt idx="9">
                        <c:v>733.10210364627039</c:v>
                      </c:pt>
                      <c:pt idx="10">
                        <c:v>846.26002207956196</c:v>
                      </c:pt>
                      <c:pt idx="11">
                        <c:v>984.02608832528972</c:v>
                      </c:pt>
                      <c:pt idx="12">
                        <c:v>1153.1186258485841</c:v>
                      </c:pt>
                      <c:pt idx="13">
                        <c:v>1362.8803941730075</c:v>
                      </c:pt>
                      <c:pt idx="14">
                        <c:v>1623.418225490632</c:v>
                      </c:pt>
                      <c:pt idx="15">
                        <c:v>1925.2459235025458</c:v>
                      </c:pt>
                      <c:pt idx="16">
                        <c:v>2265.9962727856296</c:v>
                      </c:pt>
                      <c:pt idx="17">
                        <c:v>2617.3163316550517</c:v>
                      </c:pt>
                      <c:pt idx="18">
                        <c:v>2942.9219380279092</c:v>
                      </c:pt>
                      <c:pt idx="19">
                        <c:v>3212.9489925802427</c:v>
                      </c:pt>
                      <c:pt idx="20">
                        <c:v>3399.7596493708465</c:v>
                      </c:pt>
                      <c:pt idx="21">
                        <c:v>3407.6555147585923</c:v>
                      </c:pt>
                      <c:pt idx="22">
                        <c:v>3414.1605511723046</c:v>
                      </c:pt>
                      <c:pt idx="23">
                        <c:v>3346.0831140575924</c:v>
                      </c:pt>
                      <c:pt idx="24">
                        <c:v>3317.3795796468844</c:v>
                      </c:pt>
                      <c:pt idx="25">
                        <c:v>3400.0398359695378</c:v>
                      </c:pt>
                      <c:pt idx="26">
                        <c:v>3199.2428453784096</c:v>
                      </c:pt>
                      <c:pt idx="27">
                        <c:v>2406.431813377988</c:v>
                      </c:pt>
                      <c:pt idx="28">
                        <c:v>1318.9485230546181</c:v>
                      </c:pt>
                      <c:pt idx="29">
                        <c:v>378.10965375866755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4EB-413A-9CC8-706210EF666A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PTTM!$K$1</c15:sqref>
                        </c15:formulaRef>
                      </c:ext>
                    </c:extLst>
                    <c:strCache>
                      <c:ptCount val="1"/>
                      <c:pt idx="0">
                        <c:v>CNG Units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PTTM!$K$2:$K$32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11875</c:v>
                      </c:pt>
                      <c:pt idx="1">
                        <c:v>13373.994638025666</c:v>
                      </c:pt>
                      <c:pt idx="2">
                        <c:v>13617.238294212208</c:v>
                      </c:pt>
                      <c:pt idx="3">
                        <c:v>13838.845902642373</c:v>
                      </c:pt>
                      <c:pt idx="4">
                        <c:v>15135.2996480521</c:v>
                      </c:pt>
                      <c:pt idx="5">
                        <c:v>15556.839574443309</c:v>
                      </c:pt>
                      <c:pt idx="6">
                        <c:v>15891.460949332401</c:v>
                      </c:pt>
                      <c:pt idx="7">
                        <c:v>17551.564186772997</c:v>
                      </c:pt>
                      <c:pt idx="8">
                        <c:v>18760.164376046756</c:v>
                      </c:pt>
                      <c:pt idx="9">
                        <c:v>19506.793371984204</c:v>
                      </c:pt>
                      <c:pt idx="10">
                        <c:v>20696.979035130444</c:v>
                      </c:pt>
                      <c:pt idx="11">
                        <c:v>21782.625641962928</c:v>
                      </c:pt>
                      <c:pt idx="12">
                        <c:v>22837.081882772323</c:v>
                      </c:pt>
                      <c:pt idx="13">
                        <c:v>23992.565735955901</c:v>
                      </c:pt>
                      <c:pt idx="14">
                        <c:v>25387.010398007762</c:v>
                      </c:pt>
                      <c:pt idx="15">
                        <c:v>26883.748625806136</c:v>
                      </c:pt>
                      <c:pt idx="16">
                        <c:v>28559.143776407946</c:v>
                      </c:pt>
                      <c:pt idx="17">
                        <c:v>30244.597157381802</c:v>
                      </c:pt>
                      <c:pt idx="18">
                        <c:v>31813.957625514628</c:v>
                      </c:pt>
                      <c:pt idx="19">
                        <c:v>33284.652261065159</c:v>
                      </c:pt>
                      <c:pt idx="20">
                        <c:v>34697.547009755406</c:v>
                      </c:pt>
                      <c:pt idx="21">
                        <c:v>33866.494024629414</c:v>
                      </c:pt>
                      <c:pt idx="22">
                        <c:v>32950.579735954721</c:v>
                      </c:pt>
                      <c:pt idx="23">
                        <c:v>31259.153452335016</c:v>
                      </c:pt>
                      <c:pt idx="24">
                        <c:v>29884.052259427608</c:v>
                      </c:pt>
                      <c:pt idx="25">
                        <c:v>29400.344463971884</c:v>
                      </c:pt>
                      <c:pt idx="26">
                        <c:v>27664.041074742723</c:v>
                      </c:pt>
                      <c:pt idx="27">
                        <c:v>20808.557445092014</c:v>
                      </c:pt>
                      <c:pt idx="28">
                        <c:v>11405.02546406052</c:v>
                      </c:pt>
                      <c:pt idx="29">
                        <c:v>3269.5364177955371</c:v>
                      </c:pt>
                      <c:pt idx="30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4EB-413A-9CC8-706210EF666A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PTTM!$M$1</c15:sqref>
                        </c15:formulaRef>
                      </c:ext>
                    </c:extLst>
                    <c:strCache>
                      <c:ptCount val="1"/>
                      <c:pt idx="0">
                        <c:v>Diesel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PTTM!$M$2:$M$32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254978</c:v>
                      </c:pt>
                      <c:pt idx="1">
                        <c:v>286923.37491417094</c:v>
                      </c:pt>
                      <c:pt idx="2">
                        <c:v>291640.49304184003</c:v>
                      </c:pt>
                      <c:pt idx="3">
                        <c:v>295403.7373023011</c:v>
                      </c:pt>
                      <c:pt idx="4">
                        <c:v>321267.14949389733</c:v>
                      </c:pt>
                      <c:pt idx="5">
                        <c:v>327228.8298569399</c:v>
                      </c:pt>
                      <c:pt idx="6">
                        <c:v>329773.4206455758</c:v>
                      </c:pt>
                      <c:pt idx="7">
                        <c:v>352051.69730960153</c:v>
                      </c:pt>
                      <c:pt idx="8">
                        <c:v>364026.46173636639</c:v>
                      </c:pt>
                      <c:pt idx="9">
                        <c:v>358317.48498955189</c:v>
                      </c:pt>
                      <c:pt idx="10">
                        <c:v>351873.36167924327</c:v>
                      </c:pt>
                      <c:pt idx="11">
                        <c:v>334780.22756338998</c:v>
                      </c:pt>
                      <c:pt idx="12">
                        <c:v>309577.30230970401</c:v>
                      </c:pt>
                      <c:pt idx="13">
                        <c:v>279636.07195282949</c:v>
                      </c:pt>
                      <c:pt idx="14">
                        <c:v>247895.70673552196</c:v>
                      </c:pt>
                      <c:pt idx="15">
                        <c:v>214530.13224374619</c:v>
                      </c:pt>
                      <c:pt idx="16">
                        <c:v>182409.57690597442</c:v>
                      </c:pt>
                      <c:pt idx="17">
                        <c:v>152976.15997313161</c:v>
                      </c:pt>
                      <c:pt idx="18">
                        <c:v>128751.06957330508</c:v>
                      </c:pt>
                      <c:pt idx="19">
                        <c:v>112865.0066417983</c:v>
                      </c:pt>
                      <c:pt idx="20">
                        <c:v>107929.76918376249</c:v>
                      </c:pt>
                      <c:pt idx="21">
                        <c:v>100750.91226072586</c:v>
                      </c:pt>
                      <c:pt idx="22">
                        <c:v>92875.77261704125</c:v>
                      </c:pt>
                      <c:pt idx="23">
                        <c:v>82474.463510243804</c:v>
                      </c:pt>
                      <c:pt idx="24">
                        <c:v>72614.954733080696</c:v>
                      </c:pt>
                      <c:pt idx="25">
                        <c:v>64301.572122595971</c:v>
                      </c:pt>
                      <c:pt idx="26">
                        <c:v>58764.65669671644</c:v>
                      </c:pt>
                      <c:pt idx="27">
                        <c:v>45171.642727470258</c:v>
                      </c:pt>
                      <c:pt idx="28">
                        <c:v>34614.271824249881</c:v>
                      </c:pt>
                      <c:pt idx="29">
                        <c:v>20901.971268808818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4EB-413A-9CC8-706210EF666A}"/>
                  </c:ext>
                </c:extLst>
              </c15:ser>
            </c15:filteredAreaSeries>
          </c:ext>
        </c:extLst>
      </c:areaChart>
      <c:catAx>
        <c:axId val="164441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20607"/>
        <c:crosses val="autoZero"/>
        <c:auto val="1"/>
        <c:lblAlgn val="ctr"/>
        <c:lblOffset val="100"/>
        <c:noMultiLvlLbl val="0"/>
      </c:catAx>
      <c:valAx>
        <c:axId val="1644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'AnnualSalesSummary Revised'!$B$76</c:f>
              <c:strCache>
                <c:ptCount val="1"/>
                <c:pt idx="0">
                  <c:v>Rigid|12T - 19T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Revised'!$D$76:$AD$76</c:f>
              <c:numCache>
                <c:formatCode>#,##0</c:formatCode>
                <c:ptCount val="27"/>
                <c:pt idx="0">
                  <c:v>60940</c:v>
                </c:pt>
                <c:pt idx="1">
                  <c:v>54700</c:v>
                </c:pt>
                <c:pt idx="2">
                  <c:v>104824.00000000001</c:v>
                </c:pt>
                <c:pt idx="3">
                  <c:v>63200</c:v>
                </c:pt>
                <c:pt idx="4">
                  <c:v>64080</c:v>
                </c:pt>
                <c:pt idx="5">
                  <c:v>70140</c:v>
                </c:pt>
                <c:pt idx="6">
                  <c:v>72400</c:v>
                </c:pt>
                <c:pt idx="7">
                  <c:v>74140</c:v>
                </c:pt>
                <c:pt idx="8">
                  <c:v>82710</c:v>
                </c:pt>
                <c:pt idx="9">
                  <c:v>88710</c:v>
                </c:pt>
                <c:pt idx="10">
                  <c:v>91860</c:v>
                </c:pt>
                <c:pt idx="11">
                  <c:v>97830</c:v>
                </c:pt>
                <c:pt idx="12">
                  <c:v>102500</c:v>
                </c:pt>
                <c:pt idx="13">
                  <c:v>106630</c:v>
                </c:pt>
                <c:pt idx="14">
                  <c:v>110640</c:v>
                </c:pt>
                <c:pt idx="15">
                  <c:v>115480</c:v>
                </c:pt>
                <c:pt idx="16">
                  <c:v>120380</c:v>
                </c:pt>
                <c:pt idx="17">
                  <c:v>126910</c:v>
                </c:pt>
                <c:pt idx="18">
                  <c:v>133320</c:v>
                </c:pt>
                <c:pt idx="19">
                  <c:v>138500</c:v>
                </c:pt>
                <c:pt idx="20">
                  <c:v>144180</c:v>
                </c:pt>
                <c:pt idx="21">
                  <c:v>149780</c:v>
                </c:pt>
                <c:pt idx="22">
                  <c:v>155850</c:v>
                </c:pt>
                <c:pt idx="23">
                  <c:v>162080</c:v>
                </c:pt>
                <c:pt idx="24">
                  <c:v>164180</c:v>
                </c:pt>
                <c:pt idx="25">
                  <c:v>169210</c:v>
                </c:pt>
                <c:pt idx="26">
                  <c:v>181650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C54-4AAD-BB27-F50D5142C7E1}"/>
            </c:ext>
          </c:extLst>
        </c:ser>
        <c:ser>
          <c:idx val="1"/>
          <c:order val="1"/>
          <c:tx>
            <c:strRef>
              <c:f>'AnnualSalesSummary Revised'!$B$77</c:f>
              <c:strCache>
                <c:ptCount val="1"/>
                <c:pt idx="0">
                  <c:v>Rigid|19T - 28.5T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Revised'!$D$77:$AD$77</c:f>
              <c:numCache>
                <c:formatCode>#,##0</c:formatCode>
                <c:ptCount val="27"/>
                <c:pt idx="0">
                  <c:v>80350</c:v>
                </c:pt>
                <c:pt idx="1">
                  <c:v>76040</c:v>
                </c:pt>
                <c:pt idx="2">
                  <c:v>50985</c:v>
                </c:pt>
                <c:pt idx="3">
                  <c:v>86950</c:v>
                </c:pt>
                <c:pt idx="4">
                  <c:v>88430</c:v>
                </c:pt>
                <c:pt idx="5">
                  <c:v>96330</c:v>
                </c:pt>
                <c:pt idx="6">
                  <c:v>99010</c:v>
                </c:pt>
                <c:pt idx="7">
                  <c:v>100750</c:v>
                </c:pt>
                <c:pt idx="8">
                  <c:v>110820</c:v>
                </c:pt>
                <c:pt idx="9">
                  <c:v>118030</c:v>
                </c:pt>
                <c:pt idx="10">
                  <c:v>122360</c:v>
                </c:pt>
                <c:pt idx="11">
                  <c:v>129040</c:v>
                </c:pt>
                <c:pt idx="12">
                  <c:v>134190</c:v>
                </c:pt>
                <c:pt idx="13">
                  <c:v>139090</c:v>
                </c:pt>
                <c:pt idx="14">
                  <c:v>144590</c:v>
                </c:pt>
                <c:pt idx="15">
                  <c:v>150700</c:v>
                </c:pt>
                <c:pt idx="16">
                  <c:v>156930</c:v>
                </c:pt>
                <c:pt idx="17">
                  <c:v>163960</c:v>
                </c:pt>
                <c:pt idx="18">
                  <c:v>170960</c:v>
                </c:pt>
                <c:pt idx="19">
                  <c:v>177590</c:v>
                </c:pt>
                <c:pt idx="20">
                  <c:v>184590</c:v>
                </c:pt>
                <c:pt idx="21">
                  <c:v>192240</c:v>
                </c:pt>
                <c:pt idx="22">
                  <c:v>199400</c:v>
                </c:pt>
                <c:pt idx="23">
                  <c:v>207120</c:v>
                </c:pt>
                <c:pt idx="24">
                  <c:v>209980</c:v>
                </c:pt>
                <c:pt idx="25">
                  <c:v>215500</c:v>
                </c:pt>
                <c:pt idx="26">
                  <c:v>229300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BC54-4AAD-BB27-F50D5142C7E1}"/>
            </c:ext>
          </c:extLst>
        </c:ser>
        <c:ser>
          <c:idx val="2"/>
          <c:order val="2"/>
          <c:tx>
            <c:strRef>
              <c:f>'AnnualSalesSummary Revised'!$B$78</c:f>
              <c:strCache>
                <c:ptCount val="1"/>
                <c:pt idx="0">
                  <c:v>Rigid|28.5T - 40T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Revised'!$D$78:$AD$78</c:f>
              <c:numCache>
                <c:formatCode>#,##0</c:formatCode>
                <c:ptCount val="27"/>
                <c:pt idx="0">
                  <c:v>23840</c:v>
                </c:pt>
                <c:pt idx="1">
                  <c:v>23650</c:v>
                </c:pt>
                <c:pt idx="2">
                  <c:v>25734</c:v>
                </c:pt>
                <c:pt idx="3">
                  <c:v>26980</c:v>
                </c:pt>
                <c:pt idx="4">
                  <c:v>27490</c:v>
                </c:pt>
                <c:pt idx="5">
                  <c:v>29620</c:v>
                </c:pt>
                <c:pt idx="6">
                  <c:v>30310</c:v>
                </c:pt>
                <c:pt idx="7">
                  <c:v>31640</c:v>
                </c:pt>
                <c:pt idx="8">
                  <c:v>34500</c:v>
                </c:pt>
                <c:pt idx="9">
                  <c:v>36460</c:v>
                </c:pt>
                <c:pt idx="10">
                  <c:v>37860</c:v>
                </c:pt>
                <c:pt idx="11">
                  <c:v>39610</c:v>
                </c:pt>
                <c:pt idx="12">
                  <c:v>40980</c:v>
                </c:pt>
                <c:pt idx="13">
                  <c:v>42650</c:v>
                </c:pt>
                <c:pt idx="14">
                  <c:v>44370</c:v>
                </c:pt>
                <c:pt idx="15">
                  <c:v>46270</c:v>
                </c:pt>
                <c:pt idx="16">
                  <c:v>48180</c:v>
                </c:pt>
                <c:pt idx="17">
                  <c:v>50290</c:v>
                </c:pt>
                <c:pt idx="18">
                  <c:v>52410</c:v>
                </c:pt>
                <c:pt idx="19">
                  <c:v>54550</c:v>
                </c:pt>
                <c:pt idx="20">
                  <c:v>56760</c:v>
                </c:pt>
                <c:pt idx="21">
                  <c:v>59470</c:v>
                </c:pt>
                <c:pt idx="22">
                  <c:v>61840</c:v>
                </c:pt>
                <c:pt idx="23">
                  <c:v>64290</c:v>
                </c:pt>
                <c:pt idx="24">
                  <c:v>65460</c:v>
                </c:pt>
                <c:pt idx="25">
                  <c:v>66970</c:v>
                </c:pt>
                <c:pt idx="26">
                  <c:v>70830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C54-4AAD-BB27-F50D5142C7E1}"/>
            </c:ext>
          </c:extLst>
        </c:ser>
        <c:ser>
          <c:idx val="3"/>
          <c:order val="3"/>
          <c:tx>
            <c:strRef>
              <c:f>'AnnualSalesSummary Revised'!$B$79</c:f>
              <c:strCache>
                <c:ptCount val="1"/>
                <c:pt idx="0">
                  <c:v>Rigid|&gt;40T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Revised'!$D$79:$AD$79</c:f>
              <c:numCache>
                <c:formatCode>#,##0</c:formatCode>
                <c:ptCount val="27"/>
                <c:pt idx="0">
                  <c:v>53880</c:v>
                </c:pt>
                <c:pt idx="1">
                  <c:v>51010</c:v>
                </c:pt>
                <c:pt idx="2">
                  <c:v>47430</c:v>
                </c:pt>
                <c:pt idx="3">
                  <c:v>58490</c:v>
                </c:pt>
                <c:pt idx="4">
                  <c:v>59460</c:v>
                </c:pt>
                <c:pt idx="5">
                  <c:v>64800</c:v>
                </c:pt>
                <c:pt idx="6">
                  <c:v>66580</c:v>
                </c:pt>
                <c:pt idx="7">
                  <c:v>67780</c:v>
                </c:pt>
                <c:pt idx="8">
                  <c:v>74600</c:v>
                </c:pt>
                <c:pt idx="9">
                  <c:v>79500</c:v>
                </c:pt>
                <c:pt idx="10">
                  <c:v>82510</c:v>
                </c:pt>
                <c:pt idx="11">
                  <c:v>87110</c:v>
                </c:pt>
                <c:pt idx="12">
                  <c:v>90750</c:v>
                </c:pt>
                <c:pt idx="13">
                  <c:v>94350</c:v>
                </c:pt>
                <c:pt idx="14">
                  <c:v>97940</c:v>
                </c:pt>
                <c:pt idx="15">
                  <c:v>102210</c:v>
                </c:pt>
                <c:pt idx="16">
                  <c:v>106720</c:v>
                </c:pt>
                <c:pt idx="17">
                  <c:v>111890</c:v>
                </c:pt>
                <c:pt idx="18">
                  <c:v>117100</c:v>
                </c:pt>
                <c:pt idx="19">
                  <c:v>121650</c:v>
                </c:pt>
                <c:pt idx="20">
                  <c:v>126550</c:v>
                </c:pt>
                <c:pt idx="21">
                  <c:v>131720</c:v>
                </c:pt>
                <c:pt idx="22">
                  <c:v>136800</c:v>
                </c:pt>
                <c:pt idx="23">
                  <c:v>142080</c:v>
                </c:pt>
                <c:pt idx="24">
                  <c:v>144150</c:v>
                </c:pt>
                <c:pt idx="25">
                  <c:v>147860</c:v>
                </c:pt>
                <c:pt idx="26">
                  <c:v>157330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C54-4AAD-BB27-F50D5142C7E1}"/>
            </c:ext>
          </c:extLst>
        </c:ser>
        <c:ser>
          <c:idx val="4"/>
          <c:order val="4"/>
          <c:tx>
            <c:strRef>
              <c:f>'AnnualSalesSummary Revised'!$B$80</c:f>
              <c:strCache>
                <c:ptCount val="1"/>
                <c:pt idx="0">
                  <c:v>TT | 31T - 40T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Revised'!$D$80:$AD$80</c:f>
              <c:numCache>
                <c:formatCode>#,##0</c:formatCode>
                <c:ptCount val="27"/>
                <c:pt idx="0">
                  <c:v>7060</c:v>
                </c:pt>
                <c:pt idx="1">
                  <c:v>6110</c:v>
                </c:pt>
                <c:pt idx="2">
                  <c:v>9154</c:v>
                </c:pt>
                <c:pt idx="3">
                  <c:v>7260</c:v>
                </c:pt>
                <c:pt idx="4">
                  <c:v>7400</c:v>
                </c:pt>
                <c:pt idx="5">
                  <c:v>8110</c:v>
                </c:pt>
                <c:pt idx="6">
                  <c:v>8360</c:v>
                </c:pt>
                <c:pt idx="7">
                  <c:v>8750</c:v>
                </c:pt>
                <c:pt idx="8">
                  <c:v>9810</c:v>
                </c:pt>
                <c:pt idx="9">
                  <c:v>10490</c:v>
                </c:pt>
                <c:pt idx="10">
                  <c:v>10780</c:v>
                </c:pt>
                <c:pt idx="11">
                  <c:v>11400</c:v>
                </c:pt>
                <c:pt idx="12">
                  <c:v>11950</c:v>
                </c:pt>
                <c:pt idx="13">
                  <c:v>12360</c:v>
                </c:pt>
                <c:pt idx="14">
                  <c:v>13080</c:v>
                </c:pt>
                <c:pt idx="15">
                  <c:v>14200</c:v>
                </c:pt>
                <c:pt idx="16">
                  <c:v>15000</c:v>
                </c:pt>
                <c:pt idx="17">
                  <c:v>16010</c:v>
                </c:pt>
                <c:pt idx="18">
                  <c:v>16800</c:v>
                </c:pt>
                <c:pt idx="19">
                  <c:v>17670</c:v>
                </c:pt>
                <c:pt idx="20">
                  <c:v>18410</c:v>
                </c:pt>
                <c:pt idx="21">
                  <c:v>19030</c:v>
                </c:pt>
                <c:pt idx="22">
                  <c:v>19710</c:v>
                </c:pt>
                <c:pt idx="23">
                  <c:v>20500</c:v>
                </c:pt>
                <c:pt idx="24">
                  <c:v>20790</c:v>
                </c:pt>
                <c:pt idx="25">
                  <c:v>21500</c:v>
                </c:pt>
                <c:pt idx="26">
                  <c:v>23380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C54-4AAD-BB27-F50D5142C7E1}"/>
            </c:ext>
          </c:extLst>
        </c:ser>
        <c:ser>
          <c:idx val="5"/>
          <c:order val="5"/>
          <c:tx>
            <c:strRef>
              <c:f>'AnnualSalesSummary Revised'!$B$81</c:f>
              <c:strCache>
                <c:ptCount val="1"/>
                <c:pt idx="0">
                  <c:v>TT | 40 T - 46T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Revised'!$D$81:$AD$81</c:f>
              <c:numCache>
                <c:formatCode>#,##0</c:formatCode>
                <c:ptCount val="27"/>
                <c:pt idx="0">
                  <c:v>4410</c:v>
                </c:pt>
                <c:pt idx="1">
                  <c:v>3930</c:v>
                </c:pt>
                <c:pt idx="2">
                  <c:v>2761.9999999999995</c:v>
                </c:pt>
                <c:pt idx="3">
                  <c:v>4730</c:v>
                </c:pt>
                <c:pt idx="4">
                  <c:v>4800</c:v>
                </c:pt>
                <c:pt idx="5">
                  <c:v>5340</c:v>
                </c:pt>
                <c:pt idx="6">
                  <c:v>5540</c:v>
                </c:pt>
                <c:pt idx="7">
                  <c:v>5800</c:v>
                </c:pt>
                <c:pt idx="8">
                  <c:v>6610</c:v>
                </c:pt>
                <c:pt idx="9">
                  <c:v>7160</c:v>
                </c:pt>
                <c:pt idx="10">
                  <c:v>7380</c:v>
                </c:pt>
                <c:pt idx="11">
                  <c:v>7880</c:v>
                </c:pt>
                <c:pt idx="12">
                  <c:v>8330</c:v>
                </c:pt>
                <c:pt idx="13">
                  <c:v>8780</c:v>
                </c:pt>
                <c:pt idx="14">
                  <c:v>9250</c:v>
                </c:pt>
                <c:pt idx="15">
                  <c:v>10060</c:v>
                </c:pt>
                <c:pt idx="16">
                  <c:v>10710</c:v>
                </c:pt>
                <c:pt idx="17">
                  <c:v>11510</c:v>
                </c:pt>
                <c:pt idx="18">
                  <c:v>12190</c:v>
                </c:pt>
                <c:pt idx="19">
                  <c:v>12850</c:v>
                </c:pt>
                <c:pt idx="20">
                  <c:v>13460</c:v>
                </c:pt>
                <c:pt idx="21">
                  <c:v>13990</c:v>
                </c:pt>
                <c:pt idx="22">
                  <c:v>14560</c:v>
                </c:pt>
                <c:pt idx="23">
                  <c:v>15150</c:v>
                </c:pt>
                <c:pt idx="24">
                  <c:v>15430</c:v>
                </c:pt>
                <c:pt idx="25">
                  <c:v>16000</c:v>
                </c:pt>
                <c:pt idx="26">
                  <c:v>17500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C54-4AAD-BB27-F50D5142C7E1}"/>
            </c:ext>
          </c:extLst>
        </c:ser>
        <c:ser>
          <c:idx val="6"/>
          <c:order val="6"/>
          <c:tx>
            <c:strRef>
              <c:f>'AnnualSalesSummary Revised'!$B$82</c:f>
              <c:strCache>
                <c:ptCount val="1"/>
                <c:pt idx="0">
                  <c:v>TT | 46T - 55T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Revised'!$D$82:$AD$82</c:f>
              <c:numCache>
                <c:formatCode>#,##0</c:formatCode>
                <c:ptCount val="27"/>
                <c:pt idx="0">
                  <c:v>52110</c:v>
                </c:pt>
                <c:pt idx="1">
                  <c:v>51930</c:v>
                </c:pt>
                <c:pt idx="2">
                  <c:v>60230.978424467168</c:v>
                </c:pt>
                <c:pt idx="3">
                  <c:v>58980</c:v>
                </c:pt>
                <c:pt idx="4">
                  <c:v>59890</c:v>
                </c:pt>
                <c:pt idx="5">
                  <c:v>66310</c:v>
                </c:pt>
                <c:pt idx="6">
                  <c:v>67750</c:v>
                </c:pt>
                <c:pt idx="7">
                  <c:v>68270</c:v>
                </c:pt>
                <c:pt idx="8">
                  <c:v>74760</c:v>
                </c:pt>
                <c:pt idx="9">
                  <c:v>79560</c:v>
                </c:pt>
                <c:pt idx="10">
                  <c:v>82360</c:v>
                </c:pt>
                <c:pt idx="11">
                  <c:v>86610</c:v>
                </c:pt>
                <c:pt idx="12">
                  <c:v>91910</c:v>
                </c:pt>
                <c:pt idx="13">
                  <c:v>96150</c:v>
                </c:pt>
                <c:pt idx="14">
                  <c:v>100620</c:v>
                </c:pt>
                <c:pt idx="15">
                  <c:v>106050</c:v>
                </c:pt>
                <c:pt idx="16">
                  <c:v>112620</c:v>
                </c:pt>
                <c:pt idx="17">
                  <c:v>118500</c:v>
                </c:pt>
                <c:pt idx="18">
                  <c:v>124720</c:v>
                </c:pt>
                <c:pt idx="19">
                  <c:v>131210</c:v>
                </c:pt>
                <c:pt idx="20">
                  <c:v>136040</c:v>
                </c:pt>
                <c:pt idx="21">
                  <c:v>141020</c:v>
                </c:pt>
                <c:pt idx="22">
                  <c:v>145880</c:v>
                </c:pt>
                <c:pt idx="23">
                  <c:v>151270</c:v>
                </c:pt>
                <c:pt idx="24">
                  <c:v>155830</c:v>
                </c:pt>
                <c:pt idx="25">
                  <c:v>162660</c:v>
                </c:pt>
                <c:pt idx="26">
                  <c:v>173520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54-4AAD-BB27-F50D5142C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08944"/>
        <c:axId val="479233584"/>
        <c:extLst/>
      </c:areaChart>
      <c:catAx>
        <c:axId val="479308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3584"/>
        <c:crosses val="autoZero"/>
        <c:auto val="1"/>
        <c:lblAlgn val="ctr"/>
        <c:lblOffset val="100"/>
        <c:noMultiLvlLbl val="0"/>
      </c:catAx>
      <c:valAx>
        <c:axId val="4792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'AnnualSalesSummary Revised'!$B$84</c:f>
              <c:strCache>
                <c:ptCount val="1"/>
                <c:pt idx="0">
                  <c:v>Rigid|12T - 19T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Revised'!$D$84:$AB$84</c:f>
              <c:numCache>
                <c:formatCode>0.0%</c:formatCode>
                <c:ptCount val="25"/>
                <c:pt idx="1">
                  <c:v>0.20458540599169689</c:v>
                </c:pt>
                <c:pt idx="2">
                  <c:v>0.34811373376308219</c:v>
                </c:pt>
                <c:pt idx="3">
                  <c:v>0.20613849114452526</c:v>
                </c:pt>
                <c:pt idx="4">
                  <c:v>0.20568127106403467</c:v>
                </c:pt>
                <c:pt idx="5">
                  <c:v>0.20590048436811978</c:v>
                </c:pt>
                <c:pt idx="6">
                  <c:v>0.20688669809972854</c:v>
                </c:pt>
                <c:pt idx="7">
                  <c:v>0.20759947358104891</c:v>
                </c:pt>
                <c:pt idx="8">
                  <c:v>0.21002513902643408</c:v>
                </c:pt>
                <c:pt idx="9">
                  <c:v>0.21125955561906123</c:v>
                </c:pt>
                <c:pt idx="10">
                  <c:v>0.21111902737238858</c:v>
                </c:pt>
                <c:pt idx="11">
                  <c:v>0.21291459911203969</c:v>
                </c:pt>
                <c:pt idx="12">
                  <c:v>0.21327063523438963</c:v>
                </c:pt>
                <c:pt idx="13">
                  <c:v>0.21325573488530231</c:v>
                </c:pt>
                <c:pt idx="14">
                  <c:v>0.21256892543564718</c:v>
                </c:pt>
                <c:pt idx="15">
                  <c:v>0.21190157256362735</c:v>
                </c:pt>
                <c:pt idx="16">
                  <c:v>0.21099309426157675</c:v>
                </c:pt>
                <c:pt idx="17">
                  <c:v>0.21184502645767606</c:v>
                </c:pt>
                <c:pt idx="18">
                  <c:v>0.21246215139442232</c:v>
                </c:pt>
                <c:pt idx="19">
                  <c:v>0.21176722424390693</c:v>
                </c:pt>
                <c:pt idx="20">
                  <c:v>0.21203252989014545</c:v>
                </c:pt>
                <c:pt idx="21">
                  <c:v>0.21177801343230823</c:v>
                </c:pt>
                <c:pt idx="22">
                  <c:v>0.21231812980219061</c:v>
                </c:pt>
                <c:pt idx="23">
                  <c:v>0.21256672218652048</c:v>
                </c:pt>
                <c:pt idx="24">
                  <c:v>0.21162125235234977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CF4-8469-39CAA1B81DAB}"/>
            </c:ext>
          </c:extLst>
        </c:ser>
        <c:ser>
          <c:idx val="1"/>
          <c:order val="1"/>
          <c:tx>
            <c:strRef>
              <c:f>'AnnualSalesSummary Revised'!$B$85</c:f>
              <c:strCache>
                <c:ptCount val="1"/>
                <c:pt idx="0">
                  <c:v>Rigid|19T - 28.5T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Revised'!$D$85:$AB$85</c:f>
              <c:numCache>
                <c:formatCode>0.0%</c:formatCode>
                <c:ptCount val="25"/>
                <c:pt idx="1">
                  <c:v>0.28439989527620901</c:v>
                </c:pt>
                <c:pt idx="2">
                  <c:v>0.1693178920467712</c:v>
                </c:pt>
                <c:pt idx="3">
                  <c:v>0.28360350957304542</c:v>
                </c:pt>
                <c:pt idx="4">
                  <c:v>0.28383887016530251</c:v>
                </c:pt>
                <c:pt idx="5">
                  <c:v>0.2827829150154117</c:v>
                </c:pt>
                <c:pt idx="6">
                  <c:v>0.28292613230461494</c:v>
                </c:pt>
                <c:pt idx="7">
                  <c:v>0.28211015596561478</c:v>
                </c:pt>
                <c:pt idx="8">
                  <c:v>0.28140473832558849</c:v>
                </c:pt>
                <c:pt idx="9">
                  <c:v>0.2810840418184849</c:v>
                </c:pt>
                <c:pt idx="10">
                  <c:v>0.28121624416814139</c:v>
                </c:pt>
                <c:pt idx="11">
                  <c:v>0.28083920954122049</c:v>
                </c:pt>
                <c:pt idx="12">
                  <c:v>0.27920767358149018</c:v>
                </c:pt>
                <c:pt idx="13">
                  <c:v>0.27817443651126977</c:v>
                </c:pt>
                <c:pt idx="14">
                  <c:v>0.2777959230724894</c:v>
                </c:pt>
                <c:pt idx="15">
                  <c:v>0.27652898324678421</c:v>
                </c:pt>
                <c:pt idx="16">
                  <c:v>0.27505521085287621</c:v>
                </c:pt>
                <c:pt idx="17">
                  <c:v>0.27369088754235732</c:v>
                </c:pt>
                <c:pt idx="18">
                  <c:v>0.27244621513944223</c:v>
                </c:pt>
                <c:pt idx="19">
                  <c:v>0.27153603865325221</c:v>
                </c:pt>
                <c:pt idx="20">
                  <c:v>0.27145987440991781</c:v>
                </c:pt>
                <c:pt idx="21">
                  <c:v>0.27181336161187697</c:v>
                </c:pt>
                <c:pt idx="22">
                  <c:v>0.27164732167184352</c:v>
                </c:pt>
                <c:pt idx="23">
                  <c:v>0.27163634932917152</c:v>
                </c:pt>
                <c:pt idx="24">
                  <c:v>0.27065556443504935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0-4CF4-8469-39CAA1B81DAB}"/>
            </c:ext>
          </c:extLst>
        </c:ser>
        <c:ser>
          <c:idx val="2"/>
          <c:order val="2"/>
          <c:tx>
            <c:strRef>
              <c:f>'AnnualSalesSummary Revised'!$B$86</c:f>
              <c:strCache>
                <c:ptCount val="1"/>
                <c:pt idx="0">
                  <c:v>Rigid|28.5T - 40T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Revised'!$D$86:$AB$86</c:f>
              <c:numCache>
                <c:formatCode>0.0%</c:formatCode>
                <c:ptCount val="25"/>
                <c:pt idx="1">
                  <c:v>8.8454202042113919E-2</c:v>
                </c:pt>
                <c:pt idx="2">
                  <c:v>8.5460951925695985E-2</c:v>
                </c:pt>
                <c:pt idx="3">
                  <c:v>8.8000260934798916E-2</c:v>
                </c:pt>
                <c:pt idx="4">
                  <c:v>8.8236238164018613E-2</c:v>
                </c:pt>
                <c:pt idx="5">
                  <c:v>8.6951416409804791E-2</c:v>
                </c:pt>
                <c:pt idx="6">
                  <c:v>8.6612373196170878E-2</c:v>
                </c:pt>
                <c:pt idx="7">
                  <c:v>8.8595189426819362E-2</c:v>
                </c:pt>
                <c:pt idx="8">
                  <c:v>8.7605698179325051E-2</c:v>
                </c:pt>
                <c:pt idx="9">
                  <c:v>8.6828129837346099E-2</c:v>
                </c:pt>
                <c:pt idx="10">
                  <c:v>8.7012479602859044E-2</c:v>
                </c:pt>
                <c:pt idx="11">
                  <c:v>8.6206146078175325E-2</c:v>
                </c:pt>
                <c:pt idx="12">
                  <c:v>8.5266640311271097E-2</c:v>
                </c:pt>
                <c:pt idx="13">
                  <c:v>8.5298294034119315E-2</c:v>
                </c:pt>
                <c:pt idx="14">
                  <c:v>8.5246594555130742E-2</c:v>
                </c:pt>
                <c:pt idx="15">
                  <c:v>8.4903756170064404E-2</c:v>
                </c:pt>
                <c:pt idx="16">
                  <c:v>8.4446314018298455E-2</c:v>
                </c:pt>
                <c:pt idx="17">
                  <c:v>8.3946784182149001E-2</c:v>
                </c:pt>
                <c:pt idx="18">
                  <c:v>8.352191235059761E-2</c:v>
                </c:pt>
                <c:pt idx="19">
                  <c:v>8.3407235252744558E-2</c:v>
                </c:pt>
                <c:pt idx="20">
                  <c:v>8.3471815761996498E-2</c:v>
                </c:pt>
                <c:pt idx="21">
                  <c:v>8.4086249558147752E-2</c:v>
                </c:pt>
                <c:pt idx="22">
                  <c:v>8.4246090131328E-2</c:v>
                </c:pt>
                <c:pt idx="23">
                  <c:v>8.4315859880129573E-2</c:v>
                </c:pt>
                <c:pt idx="24">
                  <c:v>8.4375241679771076E-2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0-4CF4-8469-39CAA1B81DAB}"/>
            </c:ext>
          </c:extLst>
        </c:ser>
        <c:ser>
          <c:idx val="3"/>
          <c:order val="3"/>
          <c:tx>
            <c:strRef>
              <c:f>'AnnualSalesSummary Revised'!$B$87</c:f>
              <c:strCache>
                <c:ptCount val="1"/>
                <c:pt idx="0">
                  <c:v>Rigid|&gt;40T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Revised'!$D$87:$AB$87</c:f>
              <c:numCache>
                <c:formatCode>0.0%</c:formatCode>
                <c:ptCount val="25"/>
                <c:pt idx="1">
                  <c:v>0.1907843063918914</c:v>
                </c:pt>
                <c:pt idx="2">
                  <c:v>0.15751196665251266</c:v>
                </c:pt>
                <c:pt idx="3">
                  <c:v>0.19077595485827978</c:v>
                </c:pt>
                <c:pt idx="4">
                  <c:v>0.19085219065960521</c:v>
                </c:pt>
                <c:pt idx="5">
                  <c:v>0.19022457067371201</c:v>
                </c:pt>
                <c:pt idx="6">
                  <c:v>0.19025575082154594</c:v>
                </c:pt>
                <c:pt idx="7">
                  <c:v>0.18979083246996892</c:v>
                </c:pt>
                <c:pt idx="8">
                  <c:v>0.18943145171529419</c:v>
                </c:pt>
                <c:pt idx="9">
                  <c:v>0.18932628420375794</c:v>
                </c:pt>
                <c:pt idx="10">
                  <c:v>0.18963020845303485</c:v>
                </c:pt>
                <c:pt idx="11">
                  <c:v>0.18958387742665622</c:v>
                </c:pt>
                <c:pt idx="12">
                  <c:v>0.18882253802459376</c:v>
                </c:pt>
                <c:pt idx="13">
                  <c:v>0.18869622607547848</c:v>
                </c:pt>
                <c:pt idx="14">
                  <c:v>0.18816884089992122</c:v>
                </c:pt>
                <c:pt idx="15">
                  <c:v>0.18755160834541351</c:v>
                </c:pt>
                <c:pt idx="16">
                  <c:v>0.18705086409366564</c:v>
                </c:pt>
                <c:pt idx="17">
                  <c:v>0.186772831221727</c:v>
                </c:pt>
                <c:pt idx="18">
                  <c:v>0.18661354581673306</c:v>
                </c:pt>
                <c:pt idx="19">
                  <c:v>0.18600348613192258</c:v>
                </c:pt>
                <c:pt idx="20">
                  <c:v>0.18610567802467684</c:v>
                </c:pt>
                <c:pt idx="21">
                  <c:v>0.18624248851184164</c:v>
                </c:pt>
                <c:pt idx="22">
                  <c:v>0.18636586562040217</c:v>
                </c:pt>
                <c:pt idx="23">
                  <c:v>0.1863368699917376</c:v>
                </c:pt>
                <c:pt idx="24">
                  <c:v>0.18580340800701192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0-4CF4-8469-39CAA1B81DAB}"/>
            </c:ext>
          </c:extLst>
        </c:ser>
        <c:ser>
          <c:idx val="4"/>
          <c:order val="4"/>
          <c:tx>
            <c:strRef>
              <c:f>'AnnualSalesSummary Revised'!$B$88</c:f>
              <c:strCache>
                <c:ptCount val="1"/>
                <c:pt idx="0">
                  <c:v>TT | 31T - 40T</c:v>
                </c:pt>
              </c:strCache>
            </c:strRef>
          </c:tx>
          <c:spPr>
            <a:solidFill>
              <a:srgbClr val="92D050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Revised'!$D$88:$AB$88</c:f>
              <c:numCache>
                <c:formatCode>0.0%</c:formatCode>
                <c:ptCount val="25"/>
                <c:pt idx="1">
                  <c:v>2.2852227250626474E-2</c:v>
                </c:pt>
                <c:pt idx="2">
                  <c:v>3.0399842773289075E-2</c:v>
                </c:pt>
                <c:pt idx="3">
                  <c:v>2.3679833001728694E-2</c:v>
                </c:pt>
                <c:pt idx="4">
                  <c:v>2.3752206708393515E-2</c:v>
                </c:pt>
                <c:pt idx="5">
                  <c:v>2.3807426977836488E-2</c:v>
                </c:pt>
                <c:pt idx="6">
                  <c:v>2.388912701814545E-2</c:v>
                </c:pt>
                <c:pt idx="7">
                  <c:v>2.4500882031753143E-2</c:v>
                </c:pt>
                <c:pt idx="8">
                  <c:v>2.4910489830121126E-2</c:v>
                </c:pt>
                <c:pt idx="9">
                  <c:v>2.4981543664118502E-2</c:v>
                </c:pt>
                <c:pt idx="10">
                  <c:v>2.4775344165843122E-2</c:v>
                </c:pt>
                <c:pt idx="11">
                  <c:v>2.4810655523635414E-2</c:v>
                </c:pt>
                <c:pt idx="12">
                  <c:v>2.4864235034643474E-2</c:v>
                </c:pt>
                <c:pt idx="13">
                  <c:v>2.4719505609887803E-2</c:v>
                </c:pt>
                <c:pt idx="14">
                  <c:v>2.5130165805298851E-2</c:v>
                </c:pt>
                <c:pt idx="15">
                  <c:v>2.6056480173220545E-2</c:v>
                </c:pt>
                <c:pt idx="16">
                  <c:v>2.6290882322010725E-2</c:v>
                </c:pt>
                <c:pt idx="17">
                  <c:v>2.6724756706227988E-2</c:v>
                </c:pt>
                <c:pt idx="18">
                  <c:v>2.6772908366533864E-2</c:v>
                </c:pt>
                <c:pt idx="19">
                  <c:v>2.7017522399926608E-2</c:v>
                </c:pt>
                <c:pt idx="20">
                  <c:v>2.7073927557758202E-2</c:v>
                </c:pt>
                <c:pt idx="21">
                  <c:v>2.690703428773418E-2</c:v>
                </c:pt>
                <c:pt idx="22">
                  <c:v>2.6851397743992152E-2</c:v>
                </c:pt>
                <c:pt idx="23">
                  <c:v>2.6885598499652455E-2</c:v>
                </c:pt>
                <c:pt idx="24">
                  <c:v>2.6797453017452504E-2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20-4CF4-8469-39CAA1B81DAB}"/>
            </c:ext>
          </c:extLst>
        </c:ser>
        <c:ser>
          <c:idx val="5"/>
          <c:order val="5"/>
          <c:tx>
            <c:strRef>
              <c:f>'AnnualSalesSummary Revised'!$B$89</c:f>
              <c:strCache>
                <c:ptCount val="1"/>
                <c:pt idx="0">
                  <c:v>TT | 40 T - 46T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Revised'!$D$89:$AB$89</c:f>
              <c:numCache>
                <c:formatCode>0.0%</c:formatCode>
                <c:ptCount val="25"/>
                <c:pt idx="1">
                  <c:v>1.4698732094101807E-2</c:v>
                </c:pt>
                <c:pt idx="2">
                  <c:v>9.1724236115167598E-3</c:v>
                </c:pt>
                <c:pt idx="3">
                  <c:v>1.5427769985974754E-2</c:v>
                </c:pt>
                <c:pt idx="4">
                  <c:v>1.5406836783822821E-2</c:v>
                </c:pt>
                <c:pt idx="5">
                  <c:v>1.567591369440775E-2</c:v>
                </c:pt>
                <c:pt idx="6">
                  <c:v>1.583083297613945E-2</c:v>
                </c:pt>
                <c:pt idx="7">
                  <c:v>1.6240584661047799E-2</c:v>
                </c:pt>
                <c:pt idx="8">
                  <c:v>1.67847439120388E-2</c:v>
                </c:pt>
                <c:pt idx="9">
                  <c:v>1.7051272891810149E-2</c:v>
                </c:pt>
                <c:pt idx="10">
                  <c:v>1.6961228195169039E-2</c:v>
                </c:pt>
                <c:pt idx="11">
                  <c:v>1.7149821537390093E-2</c:v>
                </c:pt>
                <c:pt idx="12">
                  <c:v>1.7332140404902104E-2</c:v>
                </c:pt>
                <c:pt idx="13">
                  <c:v>1.7559648807023858E-2</c:v>
                </c:pt>
                <c:pt idx="14">
                  <c:v>1.7771715114603546E-2</c:v>
                </c:pt>
                <c:pt idx="15">
                  <c:v>1.8459731728352018E-2</c:v>
                </c:pt>
                <c:pt idx="16">
                  <c:v>1.8771689977915659E-2</c:v>
                </c:pt>
                <c:pt idx="17">
                  <c:v>1.9213113659505569E-2</c:v>
                </c:pt>
                <c:pt idx="18">
                  <c:v>1.942629482071713E-2</c:v>
                </c:pt>
                <c:pt idx="19">
                  <c:v>1.9647717195192808E-2</c:v>
                </c:pt>
                <c:pt idx="20">
                  <c:v>1.979440874130502E-2</c:v>
                </c:pt>
                <c:pt idx="21">
                  <c:v>1.9780841286673737E-2</c:v>
                </c:pt>
                <c:pt idx="22">
                  <c:v>1.9835431311645141E-2</c:v>
                </c:pt>
                <c:pt idx="23">
                  <c:v>1.9869113037548035E-2</c:v>
                </c:pt>
                <c:pt idx="24">
                  <c:v>1.9888633961485911E-2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20-4CF4-8469-39CAA1B81DAB}"/>
            </c:ext>
          </c:extLst>
        </c:ser>
        <c:ser>
          <c:idx val="6"/>
          <c:order val="6"/>
          <c:tx>
            <c:strRef>
              <c:f>'AnnualSalesSummary Revised'!$B$90</c:f>
              <c:strCache>
                <c:ptCount val="1"/>
                <c:pt idx="0">
                  <c:v>TT | 46T - 55T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Revised'!$D$90</c:f>
              <c:numCache>
                <c:formatCode>0.0%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D320-4CF4-8469-39CAA1B81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08944"/>
        <c:axId val="479233584"/>
      </c:areaChart>
      <c:catAx>
        <c:axId val="479308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3584"/>
        <c:crosses val="autoZero"/>
        <c:auto val="1"/>
        <c:lblAlgn val="ctr"/>
        <c:lblOffset val="100"/>
        <c:noMultiLvlLbl val="0"/>
      </c:catAx>
      <c:valAx>
        <c:axId val="47923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'AnnualSalesSummary Revised'!$B$84</c:f>
              <c:strCache>
                <c:ptCount val="1"/>
                <c:pt idx="0">
                  <c:v>Rigid|12T - 19T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Revised'!$D$84:$AB$84</c:f>
              <c:numCache>
                <c:formatCode>0.0%</c:formatCode>
                <c:ptCount val="25"/>
                <c:pt idx="1">
                  <c:v>0.20458540599169689</c:v>
                </c:pt>
                <c:pt idx="2">
                  <c:v>0.34811373376308219</c:v>
                </c:pt>
                <c:pt idx="3">
                  <c:v>0.20613849114452526</c:v>
                </c:pt>
                <c:pt idx="4">
                  <c:v>0.20568127106403467</c:v>
                </c:pt>
                <c:pt idx="5">
                  <c:v>0.20590048436811978</c:v>
                </c:pt>
                <c:pt idx="6">
                  <c:v>0.20688669809972854</c:v>
                </c:pt>
                <c:pt idx="7">
                  <c:v>0.20759947358104891</c:v>
                </c:pt>
                <c:pt idx="8">
                  <c:v>0.21002513902643408</c:v>
                </c:pt>
                <c:pt idx="9">
                  <c:v>0.21125955561906123</c:v>
                </c:pt>
                <c:pt idx="10">
                  <c:v>0.21111902737238858</c:v>
                </c:pt>
                <c:pt idx="11">
                  <c:v>0.21291459911203969</c:v>
                </c:pt>
                <c:pt idx="12">
                  <c:v>0.21327063523438963</c:v>
                </c:pt>
                <c:pt idx="13">
                  <c:v>0.21325573488530231</c:v>
                </c:pt>
                <c:pt idx="14">
                  <c:v>0.21256892543564718</c:v>
                </c:pt>
                <c:pt idx="15">
                  <c:v>0.21190157256362735</c:v>
                </c:pt>
                <c:pt idx="16">
                  <c:v>0.21099309426157675</c:v>
                </c:pt>
                <c:pt idx="17">
                  <c:v>0.21184502645767606</c:v>
                </c:pt>
                <c:pt idx="18">
                  <c:v>0.21246215139442232</c:v>
                </c:pt>
                <c:pt idx="19">
                  <c:v>0.21176722424390693</c:v>
                </c:pt>
                <c:pt idx="20">
                  <c:v>0.21203252989014545</c:v>
                </c:pt>
                <c:pt idx="21">
                  <c:v>0.21177801343230823</c:v>
                </c:pt>
                <c:pt idx="22">
                  <c:v>0.21231812980219061</c:v>
                </c:pt>
                <c:pt idx="23">
                  <c:v>0.21256672218652048</c:v>
                </c:pt>
                <c:pt idx="24">
                  <c:v>0.21162125235234977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4922-B3FF-435CB34DF39C}"/>
            </c:ext>
          </c:extLst>
        </c:ser>
        <c:ser>
          <c:idx val="1"/>
          <c:order val="1"/>
          <c:tx>
            <c:strRef>
              <c:f>'AnnualSalesSummary Revised'!$B$85</c:f>
              <c:strCache>
                <c:ptCount val="1"/>
                <c:pt idx="0">
                  <c:v>Rigid|19T - 28.5T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Revised'!$D$85:$AB$85</c:f>
              <c:numCache>
                <c:formatCode>0.0%</c:formatCode>
                <c:ptCount val="25"/>
                <c:pt idx="1">
                  <c:v>0.28439989527620901</c:v>
                </c:pt>
                <c:pt idx="2">
                  <c:v>0.1693178920467712</c:v>
                </c:pt>
                <c:pt idx="3">
                  <c:v>0.28360350957304542</c:v>
                </c:pt>
                <c:pt idx="4">
                  <c:v>0.28383887016530251</c:v>
                </c:pt>
                <c:pt idx="5">
                  <c:v>0.2827829150154117</c:v>
                </c:pt>
                <c:pt idx="6">
                  <c:v>0.28292613230461494</c:v>
                </c:pt>
                <c:pt idx="7">
                  <c:v>0.28211015596561478</c:v>
                </c:pt>
                <c:pt idx="8">
                  <c:v>0.28140473832558849</c:v>
                </c:pt>
                <c:pt idx="9">
                  <c:v>0.2810840418184849</c:v>
                </c:pt>
                <c:pt idx="10">
                  <c:v>0.28121624416814139</c:v>
                </c:pt>
                <c:pt idx="11">
                  <c:v>0.28083920954122049</c:v>
                </c:pt>
                <c:pt idx="12">
                  <c:v>0.27920767358149018</c:v>
                </c:pt>
                <c:pt idx="13">
                  <c:v>0.27817443651126977</c:v>
                </c:pt>
                <c:pt idx="14">
                  <c:v>0.2777959230724894</c:v>
                </c:pt>
                <c:pt idx="15">
                  <c:v>0.27652898324678421</c:v>
                </c:pt>
                <c:pt idx="16">
                  <c:v>0.27505521085287621</c:v>
                </c:pt>
                <c:pt idx="17">
                  <c:v>0.27369088754235732</c:v>
                </c:pt>
                <c:pt idx="18">
                  <c:v>0.27244621513944223</c:v>
                </c:pt>
                <c:pt idx="19">
                  <c:v>0.27153603865325221</c:v>
                </c:pt>
                <c:pt idx="20">
                  <c:v>0.27145987440991781</c:v>
                </c:pt>
                <c:pt idx="21">
                  <c:v>0.27181336161187697</c:v>
                </c:pt>
                <c:pt idx="22">
                  <c:v>0.27164732167184352</c:v>
                </c:pt>
                <c:pt idx="23">
                  <c:v>0.27163634932917152</c:v>
                </c:pt>
                <c:pt idx="24">
                  <c:v>0.27065556443504935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4922-B3FF-435CB34DF39C}"/>
            </c:ext>
          </c:extLst>
        </c:ser>
        <c:ser>
          <c:idx val="2"/>
          <c:order val="2"/>
          <c:tx>
            <c:strRef>
              <c:f>'AnnualSalesSummary Revised'!$B$86</c:f>
              <c:strCache>
                <c:ptCount val="1"/>
                <c:pt idx="0">
                  <c:v>Rigid|28.5T - 40T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Revised'!$D$86:$AB$86</c:f>
              <c:numCache>
                <c:formatCode>0.0%</c:formatCode>
                <c:ptCount val="25"/>
                <c:pt idx="1">
                  <c:v>8.8454202042113919E-2</c:v>
                </c:pt>
                <c:pt idx="2">
                  <c:v>8.5460951925695985E-2</c:v>
                </c:pt>
                <c:pt idx="3">
                  <c:v>8.8000260934798916E-2</c:v>
                </c:pt>
                <c:pt idx="4">
                  <c:v>8.8236238164018613E-2</c:v>
                </c:pt>
                <c:pt idx="5">
                  <c:v>8.6951416409804791E-2</c:v>
                </c:pt>
                <c:pt idx="6">
                  <c:v>8.6612373196170878E-2</c:v>
                </c:pt>
                <c:pt idx="7">
                  <c:v>8.8595189426819362E-2</c:v>
                </c:pt>
                <c:pt idx="8">
                  <c:v>8.7605698179325051E-2</c:v>
                </c:pt>
                <c:pt idx="9">
                  <c:v>8.6828129837346099E-2</c:v>
                </c:pt>
                <c:pt idx="10">
                  <c:v>8.7012479602859044E-2</c:v>
                </c:pt>
                <c:pt idx="11">
                  <c:v>8.6206146078175325E-2</c:v>
                </c:pt>
                <c:pt idx="12">
                  <c:v>8.5266640311271097E-2</c:v>
                </c:pt>
                <c:pt idx="13">
                  <c:v>8.5298294034119315E-2</c:v>
                </c:pt>
                <c:pt idx="14">
                  <c:v>8.5246594555130742E-2</c:v>
                </c:pt>
                <c:pt idx="15">
                  <c:v>8.4903756170064404E-2</c:v>
                </c:pt>
                <c:pt idx="16">
                  <c:v>8.4446314018298455E-2</c:v>
                </c:pt>
                <c:pt idx="17">
                  <c:v>8.3946784182149001E-2</c:v>
                </c:pt>
                <c:pt idx="18">
                  <c:v>8.352191235059761E-2</c:v>
                </c:pt>
                <c:pt idx="19">
                  <c:v>8.3407235252744558E-2</c:v>
                </c:pt>
                <c:pt idx="20">
                  <c:v>8.3471815761996498E-2</c:v>
                </c:pt>
                <c:pt idx="21">
                  <c:v>8.4086249558147752E-2</c:v>
                </c:pt>
                <c:pt idx="22">
                  <c:v>8.4246090131328E-2</c:v>
                </c:pt>
                <c:pt idx="23">
                  <c:v>8.4315859880129573E-2</c:v>
                </c:pt>
                <c:pt idx="24">
                  <c:v>8.4375241679771076E-2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4922-B3FF-435CB34DF39C}"/>
            </c:ext>
          </c:extLst>
        </c:ser>
        <c:ser>
          <c:idx val="3"/>
          <c:order val="3"/>
          <c:tx>
            <c:strRef>
              <c:f>'AnnualSalesSummary Revised'!$B$87</c:f>
              <c:strCache>
                <c:ptCount val="1"/>
                <c:pt idx="0">
                  <c:v>Rigid|&gt;40T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Revised'!$D$87:$AB$87</c:f>
              <c:numCache>
                <c:formatCode>0.0%</c:formatCode>
                <c:ptCount val="25"/>
                <c:pt idx="1">
                  <c:v>0.1907843063918914</c:v>
                </c:pt>
                <c:pt idx="2">
                  <c:v>0.15751196665251266</c:v>
                </c:pt>
                <c:pt idx="3">
                  <c:v>0.19077595485827978</c:v>
                </c:pt>
                <c:pt idx="4">
                  <c:v>0.19085219065960521</c:v>
                </c:pt>
                <c:pt idx="5">
                  <c:v>0.19022457067371201</c:v>
                </c:pt>
                <c:pt idx="6">
                  <c:v>0.19025575082154594</c:v>
                </c:pt>
                <c:pt idx="7">
                  <c:v>0.18979083246996892</c:v>
                </c:pt>
                <c:pt idx="8">
                  <c:v>0.18943145171529419</c:v>
                </c:pt>
                <c:pt idx="9">
                  <c:v>0.18932628420375794</c:v>
                </c:pt>
                <c:pt idx="10">
                  <c:v>0.18963020845303485</c:v>
                </c:pt>
                <c:pt idx="11">
                  <c:v>0.18958387742665622</c:v>
                </c:pt>
                <c:pt idx="12">
                  <c:v>0.18882253802459376</c:v>
                </c:pt>
                <c:pt idx="13">
                  <c:v>0.18869622607547848</c:v>
                </c:pt>
                <c:pt idx="14">
                  <c:v>0.18816884089992122</c:v>
                </c:pt>
                <c:pt idx="15">
                  <c:v>0.18755160834541351</c:v>
                </c:pt>
                <c:pt idx="16">
                  <c:v>0.18705086409366564</c:v>
                </c:pt>
                <c:pt idx="17">
                  <c:v>0.186772831221727</c:v>
                </c:pt>
                <c:pt idx="18">
                  <c:v>0.18661354581673306</c:v>
                </c:pt>
                <c:pt idx="19">
                  <c:v>0.18600348613192258</c:v>
                </c:pt>
                <c:pt idx="20">
                  <c:v>0.18610567802467684</c:v>
                </c:pt>
                <c:pt idx="21">
                  <c:v>0.18624248851184164</c:v>
                </c:pt>
                <c:pt idx="22">
                  <c:v>0.18636586562040217</c:v>
                </c:pt>
                <c:pt idx="23">
                  <c:v>0.1863368699917376</c:v>
                </c:pt>
                <c:pt idx="24">
                  <c:v>0.18580340800701192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4922-B3FF-435CB34DF39C}"/>
            </c:ext>
          </c:extLst>
        </c:ser>
        <c:ser>
          <c:idx val="4"/>
          <c:order val="4"/>
          <c:tx>
            <c:strRef>
              <c:f>'AnnualSalesSummary Revised'!$B$88</c:f>
              <c:strCache>
                <c:ptCount val="1"/>
                <c:pt idx="0">
                  <c:v>TT | 31T - 40T</c:v>
                </c:pt>
              </c:strCache>
            </c:strRef>
          </c:tx>
          <c:spPr>
            <a:solidFill>
              <a:srgbClr val="92D050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Revised'!$D$88:$AB$88</c:f>
              <c:numCache>
                <c:formatCode>0.0%</c:formatCode>
                <c:ptCount val="25"/>
                <c:pt idx="1">
                  <c:v>2.2852227250626474E-2</c:v>
                </c:pt>
                <c:pt idx="2">
                  <c:v>3.0399842773289075E-2</c:v>
                </c:pt>
                <c:pt idx="3">
                  <c:v>2.3679833001728694E-2</c:v>
                </c:pt>
                <c:pt idx="4">
                  <c:v>2.3752206708393515E-2</c:v>
                </c:pt>
                <c:pt idx="5">
                  <c:v>2.3807426977836488E-2</c:v>
                </c:pt>
                <c:pt idx="6">
                  <c:v>2.388912701814545E-2</c:v>
                </c:pt>
                <c:pt idx="7">
                  <c:v>2.4500882031753143E-2</c:v>
                </c:pt>
                <c:pt idx="8">
                  <c:v>2.4910489830121126E-2</c:v>
                </c:pt>
                <c:pt idx="9">
                  <c:v>2.4981543664118502E-2</c:v>
                </c:pt>
                <c:pt idx="10">
                  <c:v>2.4775344165843122E-2</c:v>
                </c:pt>
                <c:pt idx="11">
                  <c:v>2.4810655523635414E-2</c:v>
                </c:pt>
                <c:pt idx="12">
                  <c:v>2.4864235034643474E-2</c:v>
                </c:pt>
                <c:pt idx="13">
                  <c:v>2.4719505609887803E-2</c:v>
                </c:pt>
                <c:pt idx="14">
                  <c:v>2.5130165805298851E-2</c:v>
                </c:pt>
                <c:pt idx="15">
                  <c:v>2.6056480173220545E-2</c:v>
                </c:pt>
                <c:pt idx="16">
                  <c:v>2.6290882322010725E-2</c:v>
                </c:pt>
                <c:pt idx="17">
                  <c:v>2.6724756706227988E-2</c:v>
                </c:pt>
                <c:pt idx="18">
                  <c:v>2.6772908366533864E-2</c:v>
                </c:pt>
                <c:pt idx="19">
                  <c:v>2.7017522399926608E-2</c:v>
                </c:pt>
                <c:pt idx="20">
                  <c:v>2.7073927557758202E-2</c:v>
                </c:pt>
                <c:pt idx="21">
                  <c:v>2.690703428773418E-2</c:v>
                </c:pt>
                <c:pt idx="22">
                  <c:v>2.6851397743992152E-2</c:v>
                </c:pt>
                <c:pt idx="23">
                  <c:v>2.6885598499652455E-2</c:v>
                </c:pt>
                <c:pt idx="24">
                  <c:v>2.6797453017452504E-2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4922-B3FF-435CB34DF39C}"/>
            </c:ext>
          </c:extLst>
        </c:ser>
        <c:ser>
          <c:idx val="5"/>
          <c:order val="5"/>
          <c:tx>
            <c:strRef>
              <c:f>'AnnualSalesSummary Revised'!$B$89</c:f>
              <c:strCache>
                <c:ptCount val="1"/>
                <c:pt idx="0">
                  <c:v>TT | 40 T - 46T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Revised'!$D$89:$AB$89</c:f>
              <c:numCache>
                <c:formatCode>0.0%</c:formatCode>
                <c:ptCount val="25"/>
                <c:pt idx="1">
                  <c:v>1.4698732094101807E-2</c:v>
                </c:pt>
                <c:pt idx="2">
                  <c:v>9.1724236115167598E-3</c:v>
                </c:pt>
                <c:pt idx="3">
                  <c:v>1.5427769985974754E-2</c:v>
                </c:pt>
                <c:pt idx="4">
                  <c:v>1.5406836783822821E-2</c:v>
                </c:pt>
                <c:pt idx="5">
                  <c:v>1.567591369440775E-2</c:v>
                </c:pt>
                <c:pt idx="6">
                  <c:v>1.583083297613945E-2</c:v>
                </c:pt>
                <c:pt idx="7">
                  <c:v>1.6240584661047799E-2</c:v>
                </c:pt>
                <c:pt idx="8">
                  <c:v>1.67847439120388E-2</c:v>
                </c:pt>
                <c:pt idx="9">
                  <c:v>1.7051272891810149E-2</c:v>
                </c:pt>
                <c:pt idx="10">
                  <c:v>1.6961228195169039E-2</c:v>
                </c:pt>
                <c:pt idx="11">
                  <c:v>1.7149821537390093E-2</c:v>
                </c:pt>
                <c:pt idx="12">
                  <c:v>1.7332140404902104E-2</c:v>
                </c:pt>
                <c:pt idx="13">
                  <c:v>1.7559648807023858E-2</c:v>
                </c:pt>
                <c:pt idx="14">
                  <c:v>1.7771715114603546E-2</c:v>
                </c:pt>
                <c:pt idx="15">
                  <c:v>1.8459731728352018E-2</c:v>
                </c:pt>
                <c:pt idx="16">
                  <c:v>1.8771689977915659E-2</c:v>
                </c:pt>
                <c:pt idx="17">
                  <c:v>1.9213113659505569E-2</c:v>
                </c:pt>
                <c:pt idx="18">
                  <c:v>1.942629482071713E-2</c:v>
                </c:pt>
                <c:pt idx="19">
                  <c:v>1.9647717195192808E-2</c:v>
                </c:pt>
                <c:pt idx="20">
                  <c:v>1.979440874130502E-2</c:v>
                </c:pt>
                <c:pt idx="21">
                  <c:v>1.9780841286673737E-2</c:v>
                </c:pt>
                <c:pt idx="22">
                  <c:v>1.9835431311645141E-2</c:v>
                </c:pt>
                <c:pt idx="23">
                  <c:v>1.9869113037548035E-2</c:v>
                </c:pt>
                <c:pt idx="24">
                  <c:v>1.9888633961485911E-2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7C-4922-B3FF-435CB34DF39C}"/>
            </c:ext>
          </c:extLst>
        </c:ser>
        <c:ser>
          <c:idx val="6"/>
          <c:order val="6"/>
          <c:tx>
            <c:strRef>
              <c:f>'AnnualSalesSummary Revised'!$B$90</c:f>
              <c:strCache>
                <c:ptCount val="1"/>
                <c:pt idx="0">
                  <c:v>TT | 46T - 55T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'AnnualSalesSummary Revised'!$D$2:$AD$2</c:f>
              <c:numCache>
                <c:formatCode>0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'AnnualSalesSummary Revised'!$D$90</c:f>
              <c:numCache>
                <c:formatCode>0.0%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A07C-4922-B3FF-435CB34D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08944"/>
        <c:axId val="479233584"/>
      </c:areaChart>
      <c:catAx>
        <c:axId val="479308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3584"/>
        <c:crosses val="autoZero"/>
        <c:auto val="1"/>
        <c:lblAlgn val="ctr"/>
        <c:lblOffset val="100"/>
        <c:noMultiLvlLbl val="0"/>
      </c:catAx>
      <c:valAx>
        <c:axId val="47923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'AnnualSalesSummary Revised'!$B$104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EDB-43A9-9B10-78B3745FEC08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DB-43A9-9B10-78B3745FEC08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DB-43A9-9B10-78B3745FEC08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DB-43A9-9B10-78B3745FEC08}"/>
              </c:ext>
            </c:extLst>
          </c:dPt>
          <c:cat>
            <c:numRef>
              <c:f>'AnnualSalesSummary Revised'!$A$105:$A$137</c:f>
              <c:numCache>
                <c:formatCode>General</c:formatCode>
                <c:ptCount val="3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</c:numCache>
            </c:numRef>
          </c:cat>
          <c:val>
            <c:numRef>
              <c:f>'AnnualSalesSummary Revised'!$B$105:$B$137</c:f>
              <c:numCache>
                <c:formatCode>0</c:formatCode>
                <c:ptCount val="33"/>
                <c:pt idx="0">
                  <c:v>274193.36683216912</c:v>
                </c:pt>
                <c:pt idx="1">
                  <c:v>282590</c:v>
                </c:pt>
                <c:pt idx="2">
                  <c:v>267370</c:v>
                </c:pt>
                <c:pt idx="3">
                  <c:v>301119.97842446715</c:v>
                </c:pt>
                <c:pt idx="4">
                  <c:v>306590</c:v>
                </c:pt>
                <c:pt idx="5">
                  <c:v>311550</c:v>
                </c:pt>
                <c:pt idx="6">
                  <c:v>340650</c:v>
                </c:pt>
                <c:pt idx="7">
                  <c:v>349950</c:v>
                </c:pt>
                <c:pt idx="8">
                  <c:v>357130</c:v>
                </c:pt>
                <c:pt idx="9">
                  <c:v>393810</c:v>
                </c:pt>
                <c:pt idx="10">
                  <c:v>419910</c:v>
                </c:pt>
                <c:pt idx="11">
                  <c:v>435110</c:v>
                </c:pt>
                <c:pt idx="12">
                  <c:v>459480</c:v>
                </c:pt>
                <c:pt idx="13">
                  <c:v>480610</c:v>
                </c:pt>
                <c:pt idx="14">
                  <c:v>500010</c:v>
                </c:pt>
                <c:pt idx="15">
                  <c:v>520490</c:v>
                </c:pt>
                <c:pt idx="16">
                  <c:v>544970</c:v>
                </c:pt>
                <c:pt idx="17">
                  <c:v>570540</c:v>
                </c:pt>
                <c:pt idx="18">
                  <c:v>599070</c:v>
                </c:pt>
                <c:pt idx="19">
                  <c:v>627500</c:v>
                </c:pt>
                <c:pt idx="20">
                  <c:v>654020</c:v>
                </c:pt>
                <c:pt idx="21">
                  <c:v>679990</c:v>
                </c:pt>
                <c:pt idx="22">
                  <c:v>707250</c:v>
                </c:pt>
                <c:pt idx="23">
                  <c:v>734040</c:v>
                </c:pt>
                <c:pt idx="24">
                  <c:v>762490</c:v>
                </c:pt>
                <c:pt idx="25">
                  <c:v>775820</c:v>
                </c:pt>
                <c:pt idx="26">
                  <c:v>799700</c:v>
                </c:pt>
                <c:pt idx="27">
                  <c:v>853510</c:v>
                </c:pt>
                <c:pt idx="28">
                  <c:v>887890</c:v>
                </c:pt>
                <c:pt idx="29">
                  <c:v>922960</c:v>
                </c:pt>
                <c:pt idx="30">
                  <c:v>958330</c:v>
                </c:pt>
                <c:pt idx="31">
                  <c:v>993980</c:v>
                </c:pt>
                <c:pt idx="32">
                  <c:v>1029830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DB-43A9-9B10-78B3745FE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768175"/>
        <c:axId val="1732773935"/>
      </c:lineChart>
      <c:catAx>
        <c:axId val="17327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73935"/>
        <c:crosses val="autoZero"/>
        <c:auto val="1"/>
        <c:lblAlgn val="ctr"/>
        <c:lblOffset val="100"/>
        <c:noMultiLvlLbl val="0"/>
      </c:catAx>
      <c:valAx>
        <c:axId val="17327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6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Powertrain Mix - Annual Sales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PTTM!$C$1</c:f>
              <c:strCache>
                <c:ptCount val="1"/>
                <c:pt idx="0">
                  <c:v>BET Share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PTTM!$C$2:$C$32</c:f>
              <c:numCache>
                <c:formatCode>0.00%</c:formatCode>
                <c:ptCount val="31"/>
                <c:pt idx="0">
                  <c:v>5.5728017354228227E-4</c:v>
                </c:pt>
                <c:pt idx="1">
                  <c:v>1.3554133916627094E-3</c:v>
                </c:pt>
                <c:pt idx="2">
                  <c:v>2.9683073770682285E-3</c:v>
                </c:pt>
                <c:pt idx="3">
                  <c:v>5.9260139136606445E-3</c:v>
                </c:pt>
                <c:pt idx="4">
                  <c:v>1.0903757202234165E-2</c:v>
                </c:pt>
                <c:pt idx="5">
                  <c:v>1.8669494666594316E-2</c:v>
                </c:pt>
                <c:pt idx="6">
                  <c:v>3.0000000000000002E-2</c:v>
                </c:pt>
                <c:pt idx="7">
                  <c:v>5.890860233316067E-2</c:v>
                </c:pt>
                <c:pt idx="8">
                  <c:v>8.5187694812574266E-2</c:v>
                </c:pt>
                <c:pt idx="9">
                  <c:v>0.12751953400938912</c:v>
                </c:pt>
                <c:pt idx="10">
                  <c:v>0.18378142474391024</c:v>
                </c:pt>
                <c:pt idx="11">
                  <c:v>0.25115216088551262</c:v>
                </c:pt>
                <c:pt idx="12">
                  <c:v>0.32625349240836127</c:v>
                </c:pt>
                <c:pt idx="13">
                  <c:v>0.40531952495405055</c:v>
                </c:pt>
                <c:pt idx="14">
                  <c:v>0.48438555749973988</c:v>
                </c:pt>
                <c:pt idx="15">
                  <c:v>0.55948688902258858</c:v>
                </c:pt>
                <c:pt idx="16">
                  <c:v>0.62685762516419097</c:v>
                </c:pt>
                <c:pt idx="17">
                  <c:v>0.683119515898712</c:v>
                </c:pt>
                <c:pt idx="18">
                  <c:v>0.72545135509552694</c:v>
                </c:pt>
                <c:pt idx="19">
                  <c:v>0.75173044757494067</c:v>
                </c:pt>
                <c:pt idx="20">
                  <c:v>0.76063904990810127</c:v>
                </c:pt>
                <c:pt idx="21">
                  <c:v>0.77465066581986119</c:v>
                </c:pt>
                <c:pt idx="22">
                  <c:v>0.78866228173162112</c:v>
                </c:pt>
                <c:pt idx="23">
                  <c:v>0.80267389764338115</c:v>
                </c:pt>
                <c:pt idx="24">
                  <c:v>0.81668551355514107</c:v>
                </c:pt>
                <c:pt idx="25">
                  <c:v>0.830697129466901</c:v>
                </c:pt>
                <c:pt idx="26">
                  <c:v>0.8390551300084047</c:v>
                </c:pt>
                <c:pt idx="27">
                  <c:v>0.84741313054990852</c:v>
                </c:pt>
                <c:pt idx="28">
                  <c:v>0.85577113109141223</c:v>
                </c:pt>
                <c:pt idx="29">
                  <c:v>0.86412913163291605</c:v>
                </c:pt>
                <c:pt idx="30">
                  <c:v>0.87248713217441975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034-4A7F-B480-7C7BAA205692}"/>
            </c:ext>
          </c:extLst>
        </c:ser>
        <c:ser>
          <c:idx val="3"/>
          <c:order val="3"/>
          <c:tx>
            <c:strRef>
              <c:f>PTTM!$E$1</c:f>
              <c:strCache>
                <c:ptCount val="1"/>
                <c:pt idx="0">
                  <c:v>H2 ICE Share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PTTM!$E$2:$E$32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1.0000000000000003E-4</c:v>
                </c:pt>
                <c:pt idx="4">
                  <c:v>1.7661896842847784E-4</c:v>
                </c:pt>
                <c:pt idx="5">
                  <c:v>2.9677498582906072E-4</c:v>
                </c:pt>
                <c:pt idx="6">
                  <c:v>4.7650423585832955E-4</c:v>
                </c:pt>
                <c:pt idx="7">
                  <c:v>7.3398377074094926E-4</c:v>
                </c:pt>
                <c:pt idx="8">
                  <c:v>1.0885926698824978E-3</c:v>
                </c:pt>
                <c:pt idx="9">
                  <c:v>1.5597115229007306E-3</c:v>
                </c:pt>
                <c:pt idx="10">
                  <c:v>2.1653968922523549E-3</c:v>
                </c:pt>
                <c:pt idx="11">
                  <c:v>2.9210859597661142E-3</c:v>
                </c:pt>
                <c:pt idx="12">
                  <c:v>3.8384768322619494E-3</c:v>
                </c:pt>
                <c:pt idx="13">
                  <c:v>4.9246973747600993E-3</c:v>
                </c:pt>
                <c:pt idx="14">
                  <c:v>6.1818293573337943E-3</c:v>
                </c:pt>
                <c:pt idx="15">
                  <c:v>7.6068054359492042E-3</c:v>
                </c:pt>
                <c:pt idx="16">
                  <c:v>9.1916527120331909E-3</c:v>
                </c:pt>
                <c:pt idx="17">
                  <c:v>1.0924023975801889E-2</c:v>
                </c:pt>
                <c:pt idx="18">
                  <c:v>1.2787938556281546E-2</c:v>
                </c:pt>
                <c:pt idx="19">
                  <c:v>1.4764648490330072E-2</c:v>
                </c:pt>
                <c:pt idx="20">
                  <c:v>1.6833550117131873E-2</c:v>
                </c:pt>
                <c:pt idx="21">
                  <c:v>1.8973072942500818E-2</c:v>
                </c:pt>
                <c:pt idx="22">
                  <c:v>2.1161493358695996E-2</c:v>
                </c:pt>
                <c:pt idx="23">
                  <c:v>2.3377637675049814E-2</c:v>
                </c:pt>
                <c:pt idx="24">
                  <c:v>2.5601454773353814E-2</c:v>
                </c:pt>
                <c:pt idx="25">
                  <c:v>2.7814452200337996E-2</c:v>
                </c:pt>
                <c:pt idx="26">
                  <c:v>3.0000000000000006E-2</c:v>
                </c:pt>
                <c:pt idx="27">
                  <c:v>4.5146386076924824E-2</c:v>
                </c:pt>
                <c:pt idx="28">
                  <c:v>5.2078102841222038E-2</c:v>
                </c:pt>
                <c:pt idx="29">
                  <c:v>5.9009819605519237E-2</c:v>
                </c:pt>
                <c:pt idx="30">
                  <c:v>6.594153636981645E-2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6034-4A7F-B480-7C7BAA205692}"/>
            </c:ext>
          </c:extLst>
        </c:ser>
        <c:ser>
          <c:idx val="5"/>
          <c:order val="5"/>
          <c:tx>
            <c:strRef>
              <c:f>PTTM!$G$1</c:f>
              <c:strCache>
                <c:ptCount val="1"/>
                <c:pt idx="0">
                  <c:v>H2 FCET Share (%)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PTTM!$G$2:$G$32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1E-4</c:v>
                </c:pt>
                <c:pt idx="6">
                  <c:v>1.8888951635164685E-4</c:v>
                </c:pt>
                <c:pt idx="7">
                  <c:v>3.3501577080588188E-4</c:v>
                </c:pt>
                <c:pt idx="8">
                  <c:v>5.6141042024854097E-4</c:v>
                </c:pt>
                <c:pt idx="9">
                  <c:v>8.9390961196707968E-4</c:v>
                </c:pt>
                <c:pt idx="10">
                  <c:v>1.3592619007633823E-3</c:v>
                </c:pt>
                <c:pt idx="11">
                  <c:v>1.9828500031468213E-3</c:v>
                </c:pt>
                <c:pt idx="12">
                  <c:v>2.7863675559910623E-3</c:v>
                </c:pt>
                <c:pt idx="13">
                  <c:v>3.7857915370495925E-3</c:v>
                </c:pt>
                <c:pt idx="14">
                  <c:v>4.9899183908842471E-3</c:v>
                </c:pt>
                <c:pt idx="15">
                  <c:v>6.399615750991983E-3</c:v>
                </c:pt>
                <c:pt idx="16">
                  <c:v>8.0078156935289614E-3</c:v>
                </c:pt>
                <c:pt idx="17">
                  <c:v>9.8001677554965198E-3</c:v>
                </c:pt>
                <c:pt idx="18">
                  <c:v>1.1756197102529911E-2</c:v>
                </c:pt>
                <c:pt idx="19">
                  <c:v>1.3850779763132984E-2</c:v>
                </c:pt>
                <c:pt idx="20">
                  <c:v>1.6055748022997834E-2</c:v>
                </c:pt>
                <c:pt idx="21">
                  <c:v>1.8341465041090362E-2</c:v>
                </c:pt>
                <c:pt idx="22">
                  <c:v>2.0678247356969617E-2</c:v>
                </c:pt>
                <c:pt idx="23">
                  <c:v>2.3037557413599117E-2</c:v>
                </c:pt>
                <c:pt idx="24">
                  <c:v>2.5392928417591033E-2</c:v>
                </c:pt>
                <c:pt idx="25">
                  <c:v>2.7720616640294123E-2</c:v>
                </c:pt>
                <c:pt idx="26">
                  <c:v>2.9999999999999995E-2</c:v>
                </c:pt>
                <c:pt idx="27">
                  <c:v>3.3345580033975121E-2</c:v>
                </c:pt>
                <c:pt idx="28">
                  <c:v>4.2754163841238021E-2</c:v>
                </c:pt>
                <c:pt idx="29">
                  <c:v>5.2162747648500915E-2</c:v>
                </c:pt>
                <c:pt idx="30">
                  <c:v>6.1571331455763816E-2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6034-4A7F-B480-7C7BAA205692}"/>
            </c:ext>
          </c:extLst>
        </c:ser>
        <c:ser>
          <c:idx val="8"/>
          <c:order val="8"/>
          <c:tx>
            <c:strRef>
              <c:f>PTTM!$J$1</c:f>
              <c:strCache>
                <c:ptCount val="1"/>
                <c:pt idx="0">
                  <c:v>LNG Share 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PTTM!$J$2:$J$32</c:f>
              <c:numCache>
                <c:formatCode>0.00%</c:formatCode>
                <c:ptCount val="31"/>
                <c:pt idx="0">
                  <c:v>1.37636982458765E-3</c:v>
                </c:pt>
                <c:pt idx="1">
                  <c:v>1.376417543549908E-3</c:v>
                </c:pt>
                <c:pt idx="2">
                  <c:v>1.3771333220666479E-3</c:v>
                </c:pt>
                <c:pt idx="3">
                  <c:v>1.3802348266908385E-3</c:v>
                </c:pt>
                <c:pt idx="4">
                  <c:v>1.3885827550692541E-3</c:v>
                </c:pt>
                <c:pt idx="5">
                  <c:v>1.4061708922738596E-3</c:v>
                </c:pt>
                <c:pt idx="6">
                  <c:v>1.4380935075883627E-3</c:v>
                </c:pt>
                <c:pt idx="7">
                  <c:v>1.4904626833928437E-3</c:v>
                </c:pt>
                <c:pt idx="8">
                  <c:v>1.570232100359279E-3</c:v>
                </c:pt>
                <c:pt idx="9">
                  <c:v>1.6848661341873788E-3</c:v>
                </c:pt>
                <c:pt idx="10">
                  <c:v>1.8417777097579045E-3</c:v>
                </c:pt>
                <c:pt idx="11">
                  <c:v>2.0474523799448403E-3</c:v>
                </c:pt>
                <c:pt idx="12">
                  <c:v>2.3061911278746106E-3</c:v>
                </c:pt>
                <c:pt idx="13">
                  <c:v>2.6184564432995975E-3</c:v>
                </c:pt>
                <c:pt idx="14">
                  <c:v>2.9789130144606715E-3</c:v>
                </c:pt>
                <c:pt idx="15">
                  <c:v>3.3744276010490865E-3</c:v>
                </c:pt>
                <c:pt idx="16">
                  <c:v>3.7825233658597989E-3</c:v>
                </c:pt>
                <c:pt idx="17">
                  <c:v>4.1710220424781702E-3</c:v>
                </c:pt>
                <c:pt idx="18">
                  <c:v>4.499743032365844E-3</c:v>
                </c:pt>
                <c:pt idx="19">
                  <c:v>4.7249944743014494E-3</c:v>
                </c:pt>
                <c:pt idx="20">
                  <c:v>4.8070125830623495E-3</c:v>
                </c:pt>
                <c:pt idx="21">
                  <c:v>4.6423294571938754E-3</c:v>
                </c:pt>
                <c:pt idx="22">
                  <c:v>4.4776463313254003E-3</c:v>
                </c:pt>
                <c:pt idx="23">
                  <c:v>4.3129632054569262E-3</c:v>
                </c:pt>
                <c:pt idx="24">
                  <c:v>4.1482800795884511E-3</c:v>
                </c:pt>
                <c:pt idx="25">
                  <c:v>3.983596953719977E-3</c:v>
                </c:pt>
                <c:pt idx="26">
                  <c:v>3.6031972940098545E-3</c:v>
                </c:pt>
                <c:pt idx="27">
                  <c:v>2.6072980555798602E-3</c:v>
                </c:pt>
                <c:pt idx="28">
                  <c:v>1.3762988981401167E-3</c:v>
                </c:pt>
                <c:pt idx="29">
                  <c:v>3.8039965971012248E-4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6034-4A7F-B480-7C7BAA205692}"/>
            </c:ext>
          </c:extLst>
        </c:ser>
        <c:ser>
          <c:idx val="10"/>
          <c:order val="10"/>
          <c:tx>
            <c:strRef>
              <c:f>PTTM!$L$1</c:f>
              <c:strCache>
                <c:ptCount val="1"/>
                <c:pt idx="0">
                  <c:v>CNG Share %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PTTM!$L$2:$L$32</c:f>
              <c:numCache>
                <c:formatCode>0.00%</c:formatCode>
                <c:ptCount val="31"/>
                <c:pt idx="0">
                  <c:v>4.4414107790702026E-2</c:v>
                </c:pt>
                <c:pt idx="1">
                  <c:v>4.4414172410617368E-2</c:v>
                </c:pt>
                <c:pt idx="2">
                  <c:v>4.4415141701334704E-2</c:v>
                </c:pt>
                <c:pt idx="3">
                  <c:v>4.4419341687184637E-2</c:v>
                </c:pt>
                <c:pt idx="4">
                  <c:v>4.4430646258776164E-2</c:v>
                </c:pt>
                <c:pt idx="5">
                  <c:v>4.4454463707510529E-2</c:v>
                </c:pt>
                <c:pt idx="6">
                  <c:v>4.4497692575063426E-2</c:v>
                </c:pt>
                <c:pt idx="7">
                  <c:v>4.4568609702072055E-2</c:v>
                </c:pt>
                <c:pt idx="8">
                  <c:v>4.4676631602121299E-2</c:v>
                </c:pt>
                <c:pt idx="9">
                  <c:v>4.4831866360194442E-2</c:v>
                </c:pt>
                <c:pt idx="10">
                  <c:v>4.5044352387765392E-2</c:v>
                </c:pt>
                <c:pt idx="11">
                  <c:v>4.5322872270578907E-2</c:v>
                </c:pt>
                <c:pt idx="12">
                  <c:v>4.5673250300538634E-2</c:v>
                </c:pt>
                <c:pt idx="13">
                  <c:v>4.609611277057369E-2</c:v>
                </c:pt>
                <c:pt idx="14">
                  <c:v>4.6584234724861485E-2</c:v>
                </c:pt>
                <c:pt idx="15">
                  <c:v>4.7119831433039112E-2</c:v>
                </c:pt>
                <c:pt idx="16">
                  <c:v>4.7672465281866805E-2</c:v>
                </c:pt>
                <c:pt idx="17">
                  <c:v>4.8198561206982952E-2</c:v>
                </c:pt>
                <c:pt idx="18">
                  <c:v>4.8643707570891759E-2</c:v>
                </c:pt>
                <c:pt idx="19">
                  <c:v>4.8948737865358548E-2</c:v>
                </c:pt>
                <c:pt idx="20">
                  <c:v>4.9059804891842217E-2</c:v>
                </c:pt>
                <c:pt idx="21">
                  <c:v>4.6137123351083616E-2</c:v>
                </c:pt>
                <c:pt idx="22">
                  <c:v>4.3214441810325015E-2</c:v>
                </c:pt>
                <c:pt idx="23">
                  <c:v>4.0291760269566414E-2</c:v>
                </c:pt>
                <c:pt idx="24">
                  <c:v>3.7369078728807813E-2</c:v>
                </c:pt>
                <c:pt idx="25">
                  <c:v>3.4446397188049212E-2</c:v>
                </c:pt>
                <c:pt idx="26">
                  <c:v>3.1157058954085215E-2</c:v>
                </c:pt>
                <c:pt idx="27">
                  <c:v>2.254545965707291E-2</c:v>
                </c:pt>
                <c:pt idx="28">
                  <c:v>1.1900937530976303E-2</c:v>
                </c:pt>
                <c:pt idx="29">
                  <c:v>3.2893382339640002E-3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6034-4A7F-B480-7C7BAA205692}"/>
            </c:ext>
          </c:extLst>
        </c:ser>
        <c:ser>
          <c:idx val="12"/>
          <c:order val="12"/>
          <c:tx>
            <c:strRef>
              <c:f>PTTM!$N$1</c:f>
              <c:strCache>
                <c:ptCount val="1"/>
                <c:pt idx="0">
                  <c:v>Diesel Share%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PTTM!$N$2:$N$32</c:f>
              <c:numCache>
                <c:formatCode>0.00%</c:formatCode>
                <c:ptCount val="31"/>
                <c:pt idx="0">
                  <c:v>0.95365224221116807</c:v>
                </c:pt>
                <c:pt idx="1">
                  <c:v>0.95285399665416992</c:v>
                </c:pt>
                <c:pt idx="2">
                  <c:v>0.95123941759953046</c:v>
                </c:pt>
                <c:pt idx="3">
                  <c:v>0.94817440957246379</c:v>
                </c:pt>
                <c:pt idx="4">
                  <c:v>0.9431003948154919</c:v>
                </c:pt>
                <c:pt idx="5">
                  <c:v>0.93507309574779229</c:v>
                </c:pt>
                <c:pt idx="6">
                  <c:v>0.92339882016513819</c:v>
                </c:pt>
                <c:pt idx="7">
                  <c:v>0.89396332573982762</c:v>
                </c:pt>
                <c:pt idx="8">
                  <c:v>0.86691543839481411</c:v>
                </c:pt>
                <c:pt idx="9">
                  <c:v>0.82351011236136118</c:v>
                </c:pt>
                <c:pt idx="10">
                  <c:v>0.7658077863655508</c:v>
                </c:pt>
                <c:pt idx="11">
                  <c:v>0.69657357850105073</c:v>
                </c:pt>
                <c:pt idx="12">
                  <c:v>0.61914222177497258</c:v>
                </c:pt>
                <c:pt idx="13">
                  <c:v>0.53725541692026646</c:v>
                </c:pt>
                <c:pt idx="14">
                  <c:v>0.45487954701271988</c:v>
                </c:pt>
                <c:pt idx="15">
                  <c:v>0.37601243075638202</c:v>
                </c:pt>
                <c:pt idx="16">
                  <c:v>0.30448791778252027</c:v>
                </c:pt>
                <c:pt idx="17">
                  <c:v>0.24378670912052847</c:v>
                </c:pt>
                <c:pt idx="18">
                  <c:v>0.19686105864240402</c:v>
                </c:pt>
                <c:pt idx="19">
                  <c:v>0.16598039183193622</c:v>
                </c:pt>
                <c:pt idx="20">
                  <c:v>0.1526048344768646</c:v>
                </c:pt>
                <c:pt idx="21">
                  <c:v>0.1372553433882702</c:v>
                </c:pt>
                <c:pt idx="22">
                  <c:v>0.12180588941106277</c:v>
                </c:pt>
                <c:pt idx="23">
                  <c:v>0.10630618379294657</c:v>
                </c:pt>
                <c:pt idx="24">
                  <c:v>9.0802744445517933E-2</c:v>
                </c:pt>
                <c:pt idx="25">
                  <c:v>7.5337807550697675E-2</c:v>
                </c:pt>
                <c:pt idx="26">
                  <c:v>6.6184613743500251E-2</c:v>
                </c:pt>
                <c:pt idx="27">
                  <c:v>4.8942145626538806E-2</c:v>
                </c:pt>
                <c:pt idx="28">
                  <c:v>3.6119365797011346E-2</c:v>
                </c:pt>
                <c:pt idx="29">
                  <c:v>2.1028563219389545E-2</c:v>
                </c:pt>
                <c:pt idx="3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6034-4A7F-B480-7C7BAA20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413407"/>
        <c:axId val="1644420607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PTTM!$B$1</c15:sqref>
                        </c15:formulaRef>
                      </c:ext>
                    </c:extLst>
                    <c:strCache>
                      <c:ptCount val="1"/>
                      <c:pt idx="0">
                        <c:v> Grand Total Sales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PTTM!$B$2:$B$32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267370</c:v>
                      </c:pt>
                      <c:pt idx="1">
                        <c:v>301119.97842446715</c:v>
                      </c:pt>
                      <c:pt idx="2">
                        <c:v>306590</c:v>
                      </c:pt>
                      <c:pt idx="3">
                        <c:v>311550</c:v>
                      </c:pt>
                      <c:pt idx="4">
                        <c:v>340650</c:v>
                      </c:pt>
                      <c:pt idx="5">
                        <c:v>349950</c:v>
                      </c:pt>
                      <c:pt idx="6">
                        <c:v>357130</c:v>
                      </c:pt>
                      <c:pt idx="7">
                        <c:v>393810</c:v>
                      </c:pt>
                      <c:pt idx="8">
                        <c:v>419910</c:v>
                      </c:pt>
                      <c:pt idx="9">
                        <c:v>435110</c:v>
                      </c:pt>
                      <c:pt idx="10">
                        <c:v>459480</c:v>
                      </c:pt>
                      <c:pt idx="11">
                        <c:v>480610</c:v>
                      </c:pt>
                      <c:pt idx="12">
                        <c:v>500010</c:v>
                      </c:pt>
                      <c:pt idx="13">
                        <c:v>520490</c:v>
                      </c:pt>
                      <c:pt idx="14">
                        <c:v>544970</c:v>
                      </c:pt>
                      <c:pt idx="15">
                        <c:v>570540</c:v>
                      </c:pt>
                      <c:pt idx="16">
                        <c:v>599070</c:v>
                      </c:pt>
                      <c:pt idx="17">
                        <c:v>627500</c:v>
                      </c:pt>
                      <c:pt idx="18">
                        <c:v>654020</c:v>
                      </c:pt>
                      <c:pt idx="19">
                        <c:v>679990</c:v>
                      </c:pt>
                      <c:pt idx="20">
                        <c:v>707250</c:v>
                      </c:pt>
                      <c:pt idx="21">
                        <c:v>734040</c:v>
                      </c:pt>
                      <c:pt idx="22">
                        <c:v>762490</c:v>
                      </c:pt>
                      <c:pt idx="23">
                        <c:v>775820</c:v>
                      </c:pt>
                      <c:pt idx="24">
                        <c:v>799700</c:v>
                      </c:pt>
                      <c:pt idx="25">
                        <c:v>853510</c:v>
                      </c:pt>
                      <c:pt idx="26">
                        <c:v>887890</c:v>
                      </c:pt>
                      <c:pt idx="27">
                        <c:v>922960</c:v>
                      </c:pt>
                      <c:pt idx="28">
                        <c:v>958330</c:v>
                      </c:pt>
                      <c:pt idx="29">
                        <c:v>993980</c:v>
                      </c:pt>
                      <c:pt idx="30">
                        <c:v>1029830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034-4A7F-B480-7C7BAA205692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PTTM!$D$1</c15:sqref>
                        </c15:formulaRef>
                      </c:ext>
                    </c:extLst>
                    <c:strCache>
                      <c:ptCount val="1"/>
                      <c:pt idx="0">
                        <c:v>BET Units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PTTM!$D$2:$D$32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149</c:v>
                      </c:pt>
                      <c:pt idx="1">
                        <c:v>408.14205125370887</c:v>
                      </c:pt>
                      <c:pt idx="2">
                        <c:v>910.05335873534818</c:v>
                      </c:pt>
                      <c:pt idx="3">
                        <c:v>1846.2496348009738</c:v>
                      </c:pt>
                      <c:pt idx="4">
                        <c:v>3714.3648909410686</c:v>
                      </c:pt>
                      <c:pt idx="5">
                        <c:v>6533.3896585746807</c:v>
                      </c:pt>
                      <c:pt idx="6">
                        <c:v>10713.900000000001</c:v>
                      </c:pt>
                      <c:pt idx="7">
                        <c:v>23198.796684822002</c:v>
                      </c:pt>
                      <c:pt idx="8">
                        <c:v>35771.164928748061</c:v>
                      </c:pt>
                      <c:pt idx="9">
                        <c:v>55485.024442825299</c:v>
                      </c:pt>
                      <c:pt idx="10">
                        <c:v>84443.889041331873</c:v>
                      </c:pt>
                      <c:pt idx="11">
                        <c:v>120706.24004318622</c:v>
                      </c:pt>
                      <c:pt idx="12">
                        <c:v>163130.00873910473</c:v>
                      </c:pt>
                      <c:pt idx="13">
                        <c:v>210964.75954333376</c:v>
                      </c:pt>
                      <c:pt idx="14">
                        <c:v>263975.59727063327</c:v>
                      </c:pt>
                      <c:pt idx="15">
                        <c:v>319209.64966294769</c:v>
                      </c:pt>
                      <c:pt idx="16">
                        <c:v>375531.5975071119</c:v>
                      </c:pt>
                      <c:pt idx="17">
                        <c:v>428657.49622644176</c:v>
                      </c:pt>
                      <c:pt idx="18">
                        <c:v>474459.69525957655</c:v>
                      </c:pt>
                      <c:pt idx="19">
                        <c:v>511169.18704648392</c:v>
                      </c:pt>
                      <c:pt idx="20">
                        <c:v>537961.96804750466</c:v>
                      </c:pt>
                      <c:pt idx="21">
                        <c:v>568624.57473841088</c:v>
                      </c:pt>
                      <c:pt idx="22">
                        <c:v>601347.10319754377</c:v>
                      </c:pt>
                      <c:pt idx="23">
                        <c:v>622730.46326968796</c:v>
                      </c:pt>
                      <c:pt idx="24">
                        <c:v>653103.40519004629</c:v>
                      </c:pt>
                      <c:pt idx="25">
                        <c:v>709008.30697129469</c:v>
                      </c:pt>
                      <c:pt idx="26">
                        <c:v>744988.65938316251</c:v>
                      </c:pt>
                      <c:pt idx="27">
                        <c:v>782128.42297234351</c:v>
                      </c:pt>
                      <c:pt idx="28">
                        <c:v>820111.14805883309</c:v>
                      </c:pt>
                      <c:pt idx="29">
                        <c:v>858927.07426048594</c:v>
                      </c:pt>
                      <c:pt idx="30">
                        <c:v>898513.42332718265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34-4A7F-B480-7C7BAA205692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PTTM!$F$1</c15:sqref>
                        </c15:formulaRef>
                      </c:ext>
                    </c:extLst>
                    <c:strCache>
                      <c:ptCount val="1"/>
                      <c:pt idx="0">
                        <c:v>H2 ICE Units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PTTM!$F$2:$F$32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31.155000000000008</c:v>
                      </c:pt>
                      <c:pt idx="4">
                        <c:v>60.165251595160974</c:v>
                      </c:pt>
                      <c:pt idx="5">
                        <c:v>103.8564062908798</c:v>
                      </c:pt>
                      <c:pt idx="6">
                        <c:v>170.17395775208524</c:v>
                      </c:pt>
                      <c:pt idx="7">
                        <c:v>289.05014875549324</c:v>
                      </c:pt>
                      <c:pt idx="8">
                        <c:v>457.11094801035966</c:v>
                      </c:pt>
                      <c:pt idx="9">
                        <c:v>678.64608072933686</c:v>
                      </c:pt>
                      <c:pt idx="10">
                        <c:v>994.95656405211207</c:v>
                      </c:pt>
                      <c:pt idx="11">
                        <c:v>1403.903123123192</c:v>
                      </c:pt>
                      <c:pt idx="12">
                        <c:v>1919.2768008992973</c:v>
                      </c:pt>
                      <c:pt idx="13">
                        <c:v>2563.2557365888842</c:v>
                      </c:pt>
                      <c:pt idx="14">
                        <c:v>3368.9115448661978</c:v>
                      </c:pt>
                      <c:pt idx="15">
                        <c:v>4339.986773426459</c:v>
                      </c:pt>
                      <c:pt idx="16">
                        <c:v>5506.4433901977236</c:v>
                      </c:pt>
                      <c:pt idx="17">
                        <c:v>6854.825044815685</c:v>
                      </c:pt>
                      <c:pt idx="18">
                        <c:v>8363.567574579256</c:v>
                      </c:pt>
                      <c:pt idx="19">
                        <c:v>10039.813326939546</c:v>
                      </c:pt>
                      <c:pt idx="20">
                        <c:v>11905.528320341517</c:v>
                      </c:pt>
                      <c:pt idx="21">
                        <c:v>13926.994462713301</c:v>
                      </c:pt>
                      <c:pt idx="22">
                        <c:v>16135.42707107211</c:v>
                      </c:pt>
                      <c:pt idx="23">
                        <c:v>18136.838861057146</c:v>
                      </c:pt>
                      <c:pt idx="24">
                        <c:v>20473.483382251045</c:v>
                      </c:pt>
                      <c:pt idx="25">
                        <c:v>23739.913097510482</c:v>
                      </c:pt>
                      <c:pt idx="26">
                        <c:v>26636.700000000004</c:v>
                      </c:pt>
                      <c:pt idx="27">
                        <c:v>41668.308493558536</c:v>
                      </c:pt>
                      <c:pt idx="28">
                        <c:v>49908.008295828316</c:v>
                      </c:pt>
                      <c:pt idx="29">
                        <c:v>58654.580491494009</c:v>
                      </c:pt>
                      <c:pt idx="30">
                        <c:v>67908.572399728073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034-4A7F-B480-7C7BAA205692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PTTM!$H$1</c15:sqref>
                        </c15:formulaRef>
                      </c:ext>
                    </c:extLst>
                    <c:strCache>
                      <c:ptCount val="1"/>
                      <c:pt idx="0">
                        <c:v>H2 FCET Units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PTTM!$H$2:$H$32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34.995000000000005</c:v>
                      </c:pt>
                      <c:pt idx="6">
                        <c:v>67.458112974663635</c:v>
                      </c:pt>
                      <c:pt idx="7">
                        <c:v>131.93256070106435</c:v>
                      </c:pt>
                      <c:pt idx="8">
                        <c:v>235.74184956656484</c:v>
                      </c:pt>
                      <c:pt idx="9">
                        <c:v>388.94901126299607</c:v>
                      </c:pt>
                      <c:pt idx="10">
                        <c:v>624.55365816275889</c:v>
                      </c:pt>
                      <c:pt idx="11">
                        <c:v>952.97754001239377</c:v>
                      </c:pt>
                      <c:pt idx="12">
                        <c:v>1393.211641671091</c:v>
                      </c:pt>
                      <c:pt idx="13">
                        <c:v>1970.4666371189423</c:v>
                      </c:pt>
                      <c:pt idx="14">
                        <c:v>2719.3558254801883</c:v>
                      </c:pt>
                      <c:pt idx="15">
                        <c:v>3651.2367705709662</c:v>
                      </c:pt>
                      <c:pt idx="16">
                        <c:v>4797.2421475223946</c:v>
                      </c:pt>
                      <c:pt idx="17">
                        <c:v>6149.6052665740663</c:v>
                      </c:pt>
                      <c:pt idx="18">
                        <c:v>7688.7880289966124</c:v>
                      </c:pt>
                      <c:pt idx="19">
                        <c:v>9418.3917311327987</c:v>
                      </c:pt>
                      <c:pt idx="20">
                        <c:v>11355.427789265219</c:v>
                      </c:pt>
                      <c:pt idx="21">
                        <c:v>13463.368998761969</c:v>
                      </c:pt>
                      <c:pt idx="22">
                        <c:v>15766.956827215763</c:v>
                      </c:pt>
                      <c:pt idx="23">
                        <c:v>17872.997792618466</c:v>
                      </c:pt>
                      <c:pt idx="24">
                        <c:v>20306.724855547549</c:v>
                      </c:pt>
                      <c:pt idx="25">
                        <c:v>23659.823508657439</c:v>
                      </c:pt>
                      <c:pt idx="26">
                        <c:v>26636.699999999997</c:v>
                      </c:pt>
                      <c:pt idx="27">
                        <c:v>30776.636548157676</c:v>
                      </c:pt>
                      <c:pt idx="28">
                        <c:v>40972.597833973632</c:v>
                      </c:pt>
                      <c:pt idx="29">
                        <c:v>51848.727907656939</c:v>
                      </c:pt>
                      <c:pt idx="30">
                        <c:v>63408.004273089253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034-4A7F-B480-7C7BAA205692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PTTM!$I$1</c15:sqref>
                        </c15:formulaRef>
                      </c:ext>
                    </c:extLst>
                    <c:strCache>
                      <c:ptCount val="1"/>
                      <c:pt idx="0">
                        <c:v>LNG Units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PTTM!$I$2:$I$32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368</c:v>
                      </c:pt>
                      <c:pt idx="1">
                        <c:v>414.46682101680636</c:v>
                      </c:pt>
                      <c:pt idx="2">
                        <c:v>422.21530521241357</c:v>
                      </c:pt>
                      <c:pt idx="3">
                        <c:v>430.01216025553077</c:v>
                      </c:pt>
                      <c:pt idx="4">
                        <c:v>473.02071551434142</c:v>
                      </c:pt>
                      <c:pt idx="5">
                        <c:v>492.08950375123715</c:v>
                      </c:pt>
                      <c:pt idx="6">
                        <c:v>513.58633436503203</c:v>
                      </c:pt>
                      <c:pt idx="7">
                        <c:v>586.95910934693575</c:v>
                      </c:pt>
                      <c:pt idx="8">
                        <c:v>659.35616126186483</c:v>
                      </c:pt>
                      <c:pt idx="9">
                        <c:v>733.10210364627039</c:v>
                      </c:pt>
                      <c:pt idx="10">
                        <c:v>846.26002207956196</c:v>
                      </c:pt>
                      <c:pt idx="11">
                        <c:v>984.02608832528972</c:v>
                      </c:pt>
                      <c:pt idx="12">
                        <c:v>1153.1186258485841</c:v>
                      </c:pt>
                      <c:pt idx="13">
                        <c:v>1362.8803941730075</c:v>
                      </c:pt>
                      <c:pt idx="14">
                        <c:v>1623.418225490632</c:v>
                      </c:pt>
                      <c:pt idx="15">
                        <c:v>1925.2459235025458</c:v>
                      </c:pt>
                      <c:pt idx="16">
                        <c:v>2265.9962727856296</c:v>
                      </c:pt>
                      <c:pt idx="17">
                        <c:v>2617.3163316550517</c:v>
                      </c:pt>
                      <c:pt idx="18">
                        <c:v>2942.9219380279092</c:v>
                      </c:pt>
                      <c:pt idx="19">
                        <c:v>3212.9489925802427</c:v>
                      </c:pt>
                      <c:pt idx="20">
                        <c:v>3399.7596493708465</c:v>
                      </c:pt>
                      <c:pt idx="21">
                        <c:v>3407.6555147585923</c:v>
                      </c:pt>
                      <c:pt idx="22">
                        <c:v>3414.1605511723046</c:v>
                      </c:pt>
                      <c:pt idx="23">
                        <c:v>3346.0831140575924</c:v>
                      </c:pt>
                      <c:pt idx="24">
                        <c:v>3317.3795796468844</c:v>
                      </c:pt>
                      <c:pt idx="25">
                        <c:v>3400.0398359695378</c:v>
                      </c:pt>
                      <c:pt idx="26">
                        <c:v>3199.2428453784096</c:v>
                      </c:pt>
                      <c:pt idx="27">
                        <c:v>2406.431813377988</c:v>
                      </c:pt>
                      <c:pt idx="28">
                        <c:v>1318.9485230546181</c:v>
                      </c:pt>
                      <c:pt idx="29">
                        <c:v>378.10965375866755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034-4A7F-B480-7C7BAA205692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PTTM!$K$1</c15:sqref>
                        </c15:formulaRef>
                      </c:ext>
                    </c:extLst>
                    <c:strCache>
                      <c:ptCount val="1"/>
                      <c:pt idx="0">
                        <c:v>CNG Units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PTTM!$K$2:$K$32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11875</c:v>
                      </c:pt>
                      <c:pt idx="1">
                        <c:v>13373.994638025666</c:v>
                      </c:pt>
                      <c:pt idx="2">
                        <c:v>13617.238294212208</c:v>
                      </c:pt>
                      <c:pt idx="3">
                        <c:v>13838.845902642373</c:v>
                      </c:pt>
                      <c:pt idx="4">
                        <c:v>15135.2996480521</c:v>
                      </c:pt>
                      <c:pt idx="5">
                        <c:v>15556.839574443309</c:v>
                      </c:pt>
                      <c:pt idx="6">
                        <c:v>15891.460949332401</c:v>
                      </c:pt>
                      <c:pt idx="7">
                        <c:v>17551.564186772997</c:v>
                      </c:pt>
                      <c:pt idx="8">
                        <c:v>18760.164376046756</c:v>
                      </c:pt>
                      <c:pt idx="9">
                        <c:v>19506.793371984204</c:v>
                      </c:pt>
                      <c:pt idx="10">
                        <c:v>20696.979035130444</c:v>
                      </c:pt>
                      <c:pt idx="11">
                        <c:v>21782.625641962928</c:v>
                      </c:pt>
                      <c:pt idx="12">
                        <c:v>22837.081882772323</c:v>
                      </c:pt>
                      <c:pt idx="13">
                        <c:v>23992.565735955901</c:v>
                      </c:pt>
                      <c:pt idx="14">
                        <c:v>25387.010398007762</c:v>
                      </c:pt>
                      <c:pt idx="15">
                        <c:v>26883.748625806136</c:v>
                      </c:pt>
                      <c:pt idx="16">
                        <c:v>28559.143776407946</c:v>
                      </c:pt>
                      <c:pt idx="17">
                        <c:v>30244.597157381802</c:v>
                      </c:pt>
                      <c:pt idx="18">
                        <c:v>31813.957625514628</c:v>
                      </c:pt>
                      <c:pt idx="19">
                        <c:v>33284.652261065159</c:v>
                      </c:pt>
                      <c:pt idx="20">
                        <c:v>34697.547009755406</c:v>
                      </c:pt>
                      <c:pt idx="21">
                        <c:v>33866.494024629414</c:v>
                      </c:pt>
                      <c:pt idx="22">
                        <c:v>32950.579735954721</c:v>
                      </c:pt>
                      <c:pt idx="23">
                        <c:v>31259.153452335016</c:v>
                      </c:pt>
                      <c:pt idx="24">
                        <c:v>29884.052259427608</c:v>
                      </c:pt>
                      <c:pt idx="25">
                        <c:v>29400.344463971884</c:v>
                      </c:pt>
                      <c:pt idx="26">
                        <c:v>27664.041074742723</c:v>
                      </c:pt>
                      <c:pt idx="27">
                        <c:v>20808.557445092014</c:v>
                      </c:pt>
                      <c:pt idx="28">
                        <c:v>11405.02546406052</c:v>
                      </c:pt>
                      <c:pt idx="29">
                        <c:v>3269.5364177955371</c:v>
                      </c:pt>
                      <c:pt idx="30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034-4A7F-B480-7C7BAA205692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PTTM!$M$1</c15:sqref>
                        </c15:formulaRef>
                      </c:ext>
                    </c:extLst>
                    <c:strCache>
                      <c:ptCount val="1"/>
                      <c:pt idx="0">
                        <c:v>Diesel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PTTM!$M$2:$M$32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254978</c:v>
                      </c:pt>
                      <c:pt idx="1">
                        <c:v>286923.37491417094</c:v>
                      </c:pt>
                      <c:pt idx="2">
                        <c:v>291640.49304184003</c:v>
                      </c:pt>
                      <c:pt idx="3">
                        <c:v>295403.7373023011</c:v>
                      </c:pt>
                      <c:pt idx="4">
                        <c:v>321267.14949389733</c:v>
                      </c:pt>
                      <c:pt idx="5">
                        <c:v>327228.8298569399</c:v>
                      </c:pt>
                      <c:pt idx="6">
                        <c:v>329773.4206455758</c:v>
                      </c:pt>
                      <c:pt idx="7">
                        <c:v>352051.69730960153</c:v>
                      </c:pt>
                      <c:pt idx="8">
                        <c:v>364026.46173636639</c:v>
                      </c:pt>
                      <c:pt idx="9">
                        <c:v>358317.48498955189</c:v>
                      </c:pt>
                      <c:pt idx="10">
                        <c:v>351873.36167924327</c:v>
                      </c:pt>
                      <c:pt idx="11">
                        <c:v>334780.22756338998</c:v>
                      </c:pt>
                      <c:pt idx="12">
                        <c:v>309577.30230970401</c:v>
                      </c:pt>
                      <c:pt idx="13">
                        <c:v>279636.07195282949</c:v>
                      </c:pt>
                      <c:pt idx="14">
                        <c:v>247895.70673552196</c:v>
                      </c:pt>
                      <c:pt idx="15">
                        <c:v>214530.13224374619</c:v>
                      </c:pt>
                      <c:pt idx="16">
                        <c:v>182409.57690597442</c:v>
                      </c:pt>
                      <c:pt idx="17">
                        <c:v>152976.15997313161</c:v>
                      </c:pt>
                      <c:pt idx="18">
                        <c:v>128751.06957330508</c:v>
                      </c:pt>
                      <c:pt idx="19">
                        <c:v>112865.0066417983</c:v>
                      </c:pt>
                      <c:pt idx="20">
                        <c:v>107929.76918376249</c:v>
                      </c:pt>
                      <c:pt idx="21">
                        <c:v>100750.91226072586</c:v>
                      </c:pt>
                      <c:pt idx="22">
                        <c:v>92875.77261704125</c:v>
                      </c:pt>
                      <c:pt idx="23">
                        <c:v>82474.463510243804</c:v>
                      </c:pt>
                      <c:pt idx="24">
                        <c:v>72614.954733080696</c:v>
                      </c:pt>
                      <c:pt idx="25">
                        <c:v>64301.572122595971</c:v>
                      </c:pt>
                      <c:pt idx="26">
                        <c:v>58764.65669671644</c:v>
                      </c:pt>
                      <c:pt idx="27">
                        <c:v>45171.642727470258</c:v>
                      </c:pt>
                      <c:pt idx="28">
                        <c:v>34614.271824249881</c:v>
                      </c:pt>
                      <c:pt idx="29">
                        <c:v>20901.971268808818</c:v>
                      </c:pt>
                      <c:pt idx="3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034-4A7F-B480-7C7BAA205692}"/>
                  </c:ext>
                </c:extLst>
              </c15:ser>
            </c15:filteredAreaSeries>
          </c:ext>
        </c:extLst>
      </c:areaChart>
      <c:catAx>
        <c:axId val="164441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20607"/>
        <c:crosses val="autoZero"/>
        <c:auto val="1"/>
        <c:lblAlgn val="ctr"/>
        <c:lblOffset val="100"/>
        <c:noMultiLvlLbl val="0"/>
      </c:catAx>
      <c:valAx>
        <c:axId val="1644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1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Powertrain Mix - Annual Sales (Units)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PTTM!$D$1</c:f>
              <c:strCache>
                <c:ptCount val="1"/>
                <c:pt idx="0">
                  <c:v>BET Units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PTTM!$D$2:$D$32</c:f>
              <c:numCache>
                <c:formatCode>0</c:formatCode>
                <c:ptCount val="31"/>
                <c:pt idx="0">
                  <c:v>149</c:v>
                </c:pt>
                <c:pt idx="1">
                  <c:v>408.14205125370887</c:v>
                </c:pt>
                <c:pt idx="2">
                  <c:v>910.05335873534818</c:v>
                </c:pt>
                <c:pt idx="3">
                  <c:v>1846.2496348009738</c:v>
                </c:pt>
                <c:pt idx="4">
                  <c:v>3714.3648909410686</c:v>
                </c:pt>
                <c:pt idx="5">
                  <c:v>6533.3896585746807</c:v>
                </c:pt>
                <c:pt idx="6">
                  <c:v>10713.900000000001</c:v>
                </c:pt>
                <c:pt idx="7">
                  <c:v>23198.796684822002</c:v>
                </c:pt>
                <c:pt idx="8">
                  <c:v>35771.164928748061</c:v>
                </c:pt>
                <c:pt idx="9">
                  <c:v>55485.024442825299</c:v>
                </c:pt>
                <c:pt idx="10">
                  <c:v>84443.889041331873</c:v>
                </c:pt>
                <c:pt idx="11">
                  <c:v>120706.24004318622</c:v>
                </c:pt>
                <c:pt idx="12">
                  <c:v>163130.00873910473</c:v>
                </c:pt>
                <c:pt idx="13">
                  <c:v>210964.75954333376</c:v>
                </c:pt>
                <c:pt idx="14">
                  <c:v>263975.59727063327</c:v>
                </c:pt>
                <c:pt idx="15">
                  <c:v>319209.64966294769</c:v>
                </c:pt>
                <c:pt idx="16">
                  <c:v>375531.5975071119</c:v>
                </c:pt>
                <c:pt idx="17">
                  <c:v>428657.49622644176</c:v>
                </c:pt>
                <c:pt idx="18">
                  <c:v>474459.69525957655</c:v>
                </c:pt>
                <c:pt idx="19">
                  <c:v>511169.18704648392</c:v>
                </c:pt>
                <c:pt idx="20">
                  <c:v>537961.96804750466</c:v>
                </c:pt>
                <c:pt idx="21">
                  <c:v>568624.57473841088</c:v>
                </c:pt>
                <c:pt idx="22">
                  <c:v>601347.10319754377</c:v>
                </c:pt>
                <c:pt idx="23">
                  <c:v>622730.46326968796</c:v>
                </c:pt>
                <c:pt idx="24">
                  <c:v>653103.40519004629</c:v>
                </c:pt>
                <c:pt idx="25">
                  <c:v>709008.30697129469</c:v>
                </c:pt>
                <c:pt idx="26">
                  <c:v>744988.65938316251</c:v>
                </c:pt>
                <c:pt idx="27">
                  <c:v>782128.42297234351</c:v>
                </c:pt>
                <c:pt idx="28">
                  <c:v>820111.14805883309</c:v>
                </c:pt>
                <c:pt idx="29">
                  <c:v>858927.07426048594</c:v>
                </c:pt>
                <c:pt idx="30">
                  <c:v>898513.42332718265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9D-47E7-B753-B5E55BE5D1D4}"/>
            </c:ext>
          </c:extLst>
        </c:ser>
        <c:ser>
          <c:idx val="4"/>
          <c:order val="4"/>
          <c:tx>
            <c:strRef>
              <c:f>PTTM!$F$1</c:f>
              <c:strCache>
                <c:ptCount val="1"/>
                <c:pt idx="0">
                  <c:v>H2 ICE Units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PTTM!$F$2:$F$32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31.155000000000008</c:v>
                </c:pt>
                <c:pt idx="4">
                  <c:v>60.165251595160974</c:v>
                </c:pt>
                <c:pt idx="5">
                  <c:v>103.8564062908798</c:v>
                </c:pt>
                <c:pt idx="6">
                  <c:v>170.17395775208524</c:v>
                </c:pt>
                <c:pt idx="7">
                  <c:v>289.05014875549324</c:v>
                </c:pt>
                <c:pt idx="8">
                  <c:v>457.11094801035966</c:v>
                </c:pt>
                <c:pt idx="9">
                  <c:v>678.64608072933686</c:v>
                </c:pt>
                <c:pt idx="10">
                  <c:v>994.95656405211207</c:v>
                </c:pt>
                <c:pt idx="11">
                  <c:v>1403.903123123192</c:v>
                </c:pt>
                <c:pt idx="12">
                  <c:v>1919.2768008992973</c:v>
                </c:pt>
                <c:pt idx="13">
                  <c:v>2563.2557365888842</c:v>
                </c:pt>
                <c:pt idx="14">
                  <c:v>3368.9115448661978</c:v>
                </c:pt>
                <c:pt idx="15">
                  <c:v>4339.986773426459</c:v>
                </c:pt>
                <c:pt idx="16">
                  <c:v>5506.4433901977236</c:v>
                </c:pt>
                <c:pt idx="17">
                  <c:v>6854.825044815685</c:v>
                </c:pt>
                <c:pt idx="18">
                  <c:v>8363.567574579256</c:v>
                </c:pt>
                <c:pt idx="19">
                  <c:v>10039.813326939546</c:v>
                </c:pt>
                <c:pt idx="20">
                  <c:v>11905.528320341517</c:v>
                </c:pt>
                <c:pt idx="21">
                  <c:v>13926.994462713301</c:v>
                </c:pt>
                <c:pt idx="22">
                  <c:v>16135.42707107211</c:v>
                </c:pt>
                <c:pt idx="23">
                  <c:v>18136.838861057146</c:v>
                </c:pt>
                <c:pt idx="24">
                  <c:v>20473.483382251045</c:v>
                </c:pt>
                <c:pt idx="25">
                  <c:v>23739.913097510482</c:v>
                </c:pt>
                <c:pt idx="26">
                  <c:v>26636.700000000004</c:v>
                </c:pt>
                <c:pt idx="27">
                  <c:v>41668.308493558536</c:v>
                </c:pt>
                <c:pt idx="28">
                  <c:v>49908.008295828316</c:v>
                </c:pt>
                <c:pt idx="29">
                  <c:v>58654.580491494009</c:v>
                </c:pt>
                <c:pt idx="30">
                  <c:v>67908.572399728073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9A9D-47E7-B753-B5E55BE5D1D4}"/>
            </c:ext>
          </c:extLst>
        </c:ser>
        <c:ser>
          <c:idx val="6"/>
          <c:order val="6"/>
          <c:tx>
            <c:strRef>
              <c:f>PTTM!$H$1</c:f>
              <c:strCache>
                <c:ptCount val="1"/>
                <c:pt idx="0">
                  <c:v>H2 FCET Units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PTTM!$H$2:$H$32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34.995000000000005</c:v>
                </c:pt>
                <c:pt idx="6">
                  <c:v>67.458112974663635</c:v>
                </c:pt>
                <c:pt idx="7">
                  <c:v>131.93256070106435</c:v>
                </c:pt>
                <c:pt idx="8">
                  <c:v>235.74184956656484</c:v>
                </c:pt>
                <c:pt idx="9">
                  <c:v>388.94901126299607</c:v>
                </c:pt>
                <c:pt idx="10">
                  <c:v>624.55365816275889</c:v>
                </c:pt>
                <c:pt idx="11">
                  <c:v>952.97754001239377</c:v>
                </c:pt>
                <c:pt idx="12">
                  <c:v>1393.211641671091</c:v>
                </c:pt>
                <c:pt idx="13">
                  <c:v>1970.4666371189423</c:v>
                </c:pt>
                <c:pt idx="14">
                  <c:v>2719.3558254801883</c:v>
                </c:pt>
                <c:pt idx="15">
                  <c:v>3651.2367705709662</c:v>
                </c:pt>
                <c:pt idx="16">
                  <c:v>4797.2421475223946</c:v>
                </c:pt>
                <c:pt idx="17">
                  <c:v>6149.6052665740663</c:v>
                </c:pt>
                <c:pt idx="18">
                  <c:v>7688.7880289966124</c:v>
                </c:pt>
                <c:pt idx="19">
                  <c:v>9418.3917311327987</c:v>
                </c:pt>
                <c:pt idx="20">
                  <c:v>11355.427789265219</c:v>
                </c:pt>
                <c:pt idx="21">
                  <c:v>13463.368998761969</c:v>
                </c:pt>
                <c:pt idx="22">
                  <c:v>15766.956827215763</c:v>
                </c:pt>
                <c:pt idx="23">
                  <c:v>17872.997792618466</c:v>
                </c:pt>
                <c:pt idx="24">
                  <c:v>20306.724855547549</c:v>
                </c:pt>
                <c:pt idx="25">
                  <c:v>23659.823508657439</c:v>
                </c:pt>
                <c:pt idx="26">
                  <c:v>26636.699999999997</c:v>
                </c:pt>
                <c:pt idx="27">
                  <c:v>30776.636548157676</c:v>
                </c:pt>
                <c:pt idx="28">
                  <c:v>40972.597833973632</c:v>
                </c:pt>
                <c:pt idx="29">
                  <c:v>51848.727907656939</c:v>
                </c:pt>
                <c:pt idx="30">
                  <c:v>63408.004273089253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9A9D-47E7-B753-B5E55BE5D1D4}"/>
            </c:ext>
          </c:extLst>
        </c:ser>
        <c:ser>
          <c:idx val="7"/>
          <c:order val="7"/>
          <c:tx>
            <c:strRef>
              <c:f>PTTM!$I$1</c:f>
              <c:strCache>
                <c:ptCount val="1"/>
                <c:pt idx="0">
                  <c:v>LNG Units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PTTM!$I$2:$I$32</c:f>
              <c:numCache>
                <c:formatCode>0</c:formatCode>
                <c:ptCount val="31"/>
                <c:pt idx="0">
                  <c:v>368</c:v>
                </c:pt>
                <c:pt idx="1">
                  <c:v>414.46682101680636</c:v>
                </c:pt>
                <c:pt idx="2">
                  <c:v>422.21530521241357</c:v>
                </c:pt>
                <c:pt idx="3">
                  <c:v>430.01216025553077</c:v>
                </c:pt>
                <c:pt idx="4">
                  <c:v>473.02071551434142</c:v>
                </c:pt>
                <c:pt idx="5">
                  <c:v>492.08950375123715</c:v>
                </c:pt>
                <c:pt idx="6">
                  <c:v>513.58633436503203</c:v>
                </c:pt>
                <c:pt idx="7">
                  <c:v>586.95910934693575</c:v>
                </c:pt>
                <c:pt idx="8">
                  <c:v>659.35616126186483</c:v>
                </c:pt>
                <c:pt idx="9">
                  <c:v>733.10210364627039</c:v>
                </c:pt>
                <c:pt idx="10">
                  <c:v>846.26002207956196</c:v>
                </c:pt>
                <c:pt idx="11">
                  <c:v>984.02608832528972</c:v>
                </c:pt>
                <c:pt idx="12">
                  <c:v>1153.1186258485841</c:v>
                </c:pt>
                <c:pt idx="13">
                  <c:v>1362.8803941730075</c:v>
                </c:pt>
                <c:pt idx="14">
                  <c:v>1623.418225490632</c:v>
                </c:pt>
                <c:pt idx="15">
                  <c:v>1925.2459235025458</c:v>
                </c:pt>
                <c:pt idx="16">
                  <c:v>2265.9962727856296</c:v>
                </c:pt>
                <c:pt idx="17">
                  <c:v>2617.3163316550517</c:v>
                </c:pt>
                <c:pt idx="18">
                  <c:v>2942.9219380279092</c:v>
                </c:pt>
                <c:pt idx="19">
                  <c:v>3212.9489925802427</c:v>
                </c:pt>
                <c:pt idx="20">
                  <c:v>3399.7596493708465</c:v>
                </c:pt>
                <c:pt idx="21">
                  <c:v>3407.6555147585923</c:v>
                </c:pt>
                <c:pt idx="22">
                  <c:v>3414.1605511723046</c:v>
                </c:pt>
                <c:pt idx="23">
                  <c:v>3346.0831140575924</c:v>
                </c:pt>
                <c:pt idx="24">
                  <c:v>3317.3795796468844</c:v>
                </c:pt>
                <c:pt idx="25">
                  <c:v>3400.0398359695378</c:v>
                </c:pt>
                <c:pt idx="26">
                  <c:v>3199.2428453784096</c:v>
                </c:pt>
                <c:pt idx="27">
                  <c:v>2406.431813377988</c:v>
                </c:pt>
                <c:pt idx="28">
                  <c:v>1318.9485230546181</c:v>
                </c:pt>
                <c:pt idx="29">
                  <c:v>378.10965375866755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9A9D-47E7-B753-B5E55BE5D1D4}"/>
            </c:ext>
          </c:extLst>
        </c:ser>
        <c:ser>
          <c:idx val="9"/>
          <c:order val="9"/>
          <c:tx>
            <c:strRef>
              <c:f>PTTM!$K$1</c:f>
              <c:strCache>
                <c:ptCount val="1"/>
                <c:pt idx="0">
                  <c:v>CNG Units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PTTM!$K$2:$K$32</c:f>
              <c:numCache>
                <c:formatCode>_ * #,##0_ ;_ * \-#,##0_ ;_ * "-"??_ ;_ @_ </c:formatCode>
                <c:ptCount val="31"/>
                <c:pt idx="0">
                  <c:v>11875</c:v>
                </c:pt>
                <c:pt idx="1">
                  <c:v>13373.994638025666</c:v>
                </c:pt>
                <c:pt idx="2">
                  <c:v>13617.238294212208</c:v>
                </c:pt>
                <c:pt idx="3">
                  <c:v>13838.845902642373</c:v>
                </c:pt>
                <c:pt idx="4">
                  <c:v>15135.2996480521</c:v>
                </c:pt>
                <c:pt idx="5">
                  <c:v>15556.839574443309</c:v>
                </c:pt>
                <c:pt idx="6">
                  <c:v>15891.460949332401</c:v>
                </c:pt>
                <c:pt idx="7">
                  <c:v>17551.564186772997</c:v>
                </c:pt>
                <c:pt idx="8">
                  <c:v>18760.164376046756</c:v>
                </c:pt>
                <c:pt idx="9">
                  <c:v>19506.793371984204</c:v>
                </c:pt>
                <c:pt idx="10">
                  <c:v>20696.979035130444</c:v>
                </c:pt>
                <c:pt idx="11">
                  <c:v>21782.625641962928</c:v>
                </c:pt>
                <c:pt idx="12">
                  <c:v>22837.081882772323</c:v>
                </c:pt>
                <c:pt idx="13">
                  <c:v>23992.565735955901</c:v>
                </c:pt>
                <c:pt idx="14">
                  <c:v>25387.010398007762</c:v>
                </c:pt>
                <c:pt idx="15">
                  <c:v>26883.748625806136</c:v>
                </c:pt>
                <c:pt idx="16">
                  <c:v>28559.143776407946</c:v>
                </c:pt>
                <c:pt idx="17">
                  <c:v>30244.597157381802</c:v>
                </c:pt>
                <c:pt idx="18">
                  <c:v>31813.957625514628</c:v>
                </c:pt>
                <c:pt idx="19">
                  <c:v>33284.652261065159</c:v>
                </c:pt>
                <c:pt idx="20">
                  <c:v>34697.547009755406</c:v>
                </c:pt>
                <c:pt idx="21">
                  <c:v>33866.494024629414</c:v>
                </c:pt>
                <c:pt idx="22">
                  <c:v>32950.579735954721</c:v>
                </c:pt>
                <c:pt idx="23">
                  <c:v>31259.153452335016</c:v>
                </c:pt>
                <c:pt idx="24">
                  <c:v>29884.052259427608</c:v>
                </c:pt>
                <c:pt idx="25">
                  <c:v>29400.344463971884</c:v>
                </c:pt>
                <c:pt idx="26">
                  <c:v>27664.041074742723</c:v>
                </c:pt>
                <c:pt idx="27">
                  <c:v>20808.557445092014</c:v>
                </c:pt>
                <c:pt idx="28">
                  <c:v>11405.02546406052</c:v>
                </c:pt>
                <c:pt idx="29">
                  <c:v>3269.5364177955371</c:v>
                </c:pt>
                <c:pt idx="30" formatCode="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9A9D-47E7-B753-B5E55BE5D1D4}"/>
            </c:ext>
          </c:extLst>
        </c:ser>
        <c:ser>
          <c:idx val="11"/>
          <c:order val="11"/>
          <c:tx>
            <c:strRef>
              <c:f>PTTM!$M$1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PTTM!$M$2:$M$32</c:f>
              <c:numCache>
                <c:formatCode>_ * #,##0_ ;_ * \-#,##0_ ;_ * "-"??_ ;_ @_ </c:formatCode>
                <c:ptCount val="31"/>
                <c:pt idx="0">
                  <c:v>254978</c:v>
                </c:pt>
                <c:pt idx="1">
                  <c:v>286923.37491417094</c:v>
                </c:pt>
                <c:pt idx="2">
                  <c:v>291640.49304184003</c:v>
                </c:pt>
                <c:pt idx="3">
                  <c:v>295403.7373023011</c:v>
                </c:pt>
                <c:pt idx="4">
                  <c:v>321267.14949389733</c:v>
                </c:pt>
                <c:pt idx="5">
                  <c:v>327228.8298569399</c:v>
                </c:pt>
                <c:pt idx="6">
                  <c:v>329773.4206455758</c:v>
                </c:pt>
                <c:pt idx="7">
                  <c:v>352051.69730960153</c:v>
                </c:pt>
                <c:pt idx="8">
                  <c:v>364026.46173636639</c:v>
                </c:pt>
                <c:pt idx="9">
                  <c:v>358317.48498955189</c:v>
                </c:pt>
                <c:pt idx="10">
                  <c:v>351873.36167924327</c:v>
                </c:pt>
                <c:pt idx="11">
                  <c:v>334780.22756338998</c:v>
                </c:pt>
                <c:pt idx="12">
                  <c:v>309577.30230970401</c:v>
                </c:pt>
                <c:pt idx="13">
                  <c:v>279636.07195282949</c:v>
                </c:pt>
                <c:pt idx="14">
                  <c:v>247895.70673552196</c:v>
                </c:pt>
                <c:pt idx="15">
                  <c:v>214530.13224374619</c:v>
                </c:pt>
                <c:pt idx="16">
                  <c:v>182409.57690597442</c:v>
                </c:pt>
                <c:pt idx="17">
                  <c:v>152976.15997313161</c:v>
                </c:pt>
                <c:pt idx="18">
                  <c:v>128751.06957330508</c:v>
                </c:pt>
                <c:pt idx="19">
                  <c:v>112865.0066417983</c:v>
                </c:pt>
                <c:pt idx="20">
                  <c:v>107929.76918376249</c:v>
                </c:pt>
                <c:pt idx="21">
                  <c:v>100750.91226072586</c:v>
                </c:pt>
                <c:pt idx="22">
                  <c:v>92875.77261704125</c:v>
                </c:pt>
                <c:pt idx="23">
                  <c:v>82474.463510243804</c:v>
                </c:pt>
                <c:pt idx="24">
                  <c:v>72614.954733080696</c:v>
                </c:pt>
                <c:pt idx="25">
                  <c:v>64301.572122595971</c:v>
                </c:pt>
                <c:pt idx="26">
                  <c:v>58764.65669671644</c:v>
                </c:pt>
                <c:pt idx="27">
                  <c:v>45171.642727470258</c:v>
                </c:pt>
                <c:pt idx="28">
                  <c:v>34614.271824249881</c:v>
                </c:pt>
                <c:pt idx="29">
                  <c:v>20901.971268808818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9A9D-47E7-B753-B5E55BE5D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413407"/>
        <c:axId val="16444206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PTTM!$B$1</c15:sqref>
                        </c15:formulaRef>
                      </c:ext>
                    </c:extLst>
                    <c:strCache>
                      <c:ptCount val="1"/>
                      <c:pt idx="0">
                        <c:v> Grand Total Sales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PTTM!$B$2:$B$32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267370</c:v>
                      </c:pt>
                      <c:pt idx="1">
                        <c:v>301119.97842446715</c:v>
                      </c:pt>
                      <c:pt idx="2">
                        <c:v>306590</c:v>
                      </c:pt>
                      <c:pt idx="3">
                        <c:v>311550</c:v>
                      </c:pt>
                      <c:pt idx="4">
                        <c:v>340650</c:v>
                      </c:pt>
                      <c:pt idx="5">
                        <c:v>349950</c:v>
                      </c:pt>
                      <c:pt idx="6">
                        <c:v>357130</c:v>
                      </c:pt>
                      <c:pt idx="7">
                        <c:v>393810</c:v>
                      </c:pt>
                      <c:pt idx="8">
                        <c:v>419910</c:v>
                      </c:pt>
                      <c:pt idx="9">
                        <c:v>435110</c:v>
                      </c:pt>
                      <c:pt idx="10">
                        <c:v>459480</c:v>
                      </c:pt>
                      <c:pt idx="11">
                        <c:v>480610</c:v>
                      </c:pt>
                      <c:pt idx="12">
                        <c:v>500010</c:v>
                      </c:pt>
                      <c:pt idx="13">
                        <c:v>520490</c:v>
                      </c:pt>
                      <c:pt idx="14">
                        <c:v>544970</c:v>
                      </c:pt>
                      <c:pt idx="15">
                        <c:v>570540</c:v>
                      </c:pt>
                      <c:pt idx="16">
                        <c:v>599070</c:v>
                      </c:pt>
                      <c:pt idx="17">
                        <c:v>627500</c:v>
                      </c:pt>
                      <c:pt idx="18">
                        <c:v>654020</c:v>
                      </c:pt>
                      <c:pt idx="19">
                        <c:v>679990</c:v>
                      </c:pt>
                      <c:pt idx="20">
                        <c:v>707250</c:v>
                      </c:pt>
                      <c:pt idx="21">
                        <c:v>734040</c:v>
                      </c:pt>
                      <c:pt idx="22">
                        <c:v>762490</c:v>
                      </c:pt>
                      <c:pt idx="23">
                        <c:v>775820</c:v>
                      </c:pt>
                      <c:pt idx="24">
                        <c:v>799700</c:v>
                      </c:pt>
                      <c:pt idx="25">
                        <c:v>853510</c:v>
                      </c:pt>
                      <c:pt idx="26">
                        <c:v>887890</c:v>
                      </c:pt>
                      <c:pt idx="27">
                        <c:v>922960</c:v>
                      </c:pt>
                      <c:pt idx="28">
                        <c:v>958330</c:v>
                      </c:pt>
                      <c:pt idx="29">
                        <c:v>993980</c:v>
                      </c:pt>
                      <c:pt idx="30">
                        <c:v>1029830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A9D-47E7-B753-B5E55BE5D1D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PTTM!$C$1</c15:sqref>
                        </c15:formulaRef>
                      </c:ext>
                    </c:extLst>
                    <c:strCache>
                      <c:ptCount val="1"/>
                      <c:pt idx="0">
                        <c:v>BET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PTTM!$C$2:$C$32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5.5728017354228227E-4</c:v>
                      </c:pt>
                      <c:pt idx="1">
                        <c:v>1.3554133916627094E-3</c:v>
                      </c:pt>
                      <c:pt idx="2">
                        <c:v>2.9683073770682285E-3</c:v>
                      </c:pt>
                      <c:pt idx="3">
                        <c:v>5.9260139136606445E-3</c:v>
                      </c:pt>
                      <c:pt idx="4">
                        <c:v>1.0903757202234165E-2</c:v>
                      </c:pt>
                      <c:pt idx="5">
                        <c:v>1.8669494666594316E-2</c:v>
                      </c:pt>
                      <c:pt idx="6">
                        <c:v>3.0000000000000002E-2</c:v>
                      </c:pt>
                      <c:pt idx="7">
                        <c:v>5.890860233316067E-2</c:v>
                      </c:pt>
                      <c:pt idx="8">
                        <c:v>8.5187694812574266E-2</c:v>
                      </c:pt>
                      <c:pt idx="9">
                        <c:v>0.12751953400938912</c:v>
                      </c:pt>
                      <c:pt idx="10">
                        <c:v>0.18378142474391024</c:v>
                      </c:pt>
                      <c:pt idx="11">
                        <c:v>0.25115216088551262</c:v>
                      </c:pt>
                      <c:pt idx="12">
                        <c:v>0.32625349240836127</c:v>
                      </c:pt>
                      <c:pt idx="13">
                        <c:v>0.40531952495405055</c:v>
                      </c:pt>
                      <c:pt idx="14">
                        <c:v>0.48438555749973988</c:v>
                      </c:pt>
                      <c:pt idx="15">
                        <c:v>0.55948688902258858</c:v>
                      </c:pt>
                      <c:pt idx="16">
                        <c:v>0.62685762516419097</c:v>
                      </c:pt>
                      <c:pt idx="17">
                        <c:v>0.683119515898712</c:v>
                      </c:pt>
                      <c:pt idx="18">
                        <c:v>0.72545135509552694</c:v>
                      </c:pt>
                      <c:pt idx="19">
                        <c:v>0.75173044757494067</c:v>
                      </c:pt>
                      <c:pt idx="20">
                        <c:v>0.76063904990810127</c:v>
                      </c:pt>
                      <c:pt idx="21">
                        <c:v>0.77465066581986119</c:v>
                      </c:pt>
                      <c:pt idx="22">
                        <c:v>0.78866228173162112</c:v>
                      </c:pt>
                      <c:pt idx="23">
                        <c:v>0.80267389764338115</c:v>
                      </c:pt>
                      <c:pt idx="24">
                        <c:v>0.81668551355514107</c:v>
                      </c:pt>
                      <c:pt idx="25">
                        <c:v>0.830697129466901</c:v>
                      </c:pt>
                      <c:pt idx="26">
                        <c:v>0.8390551300084047</c:v>
                      </c:pt>
                      <c:pt idx="27">
                        <c:v>0.84741313054990852</c:v>
                      </c:pt>
                      <c:pt idx="28">
                        <c:v>0.85577113109141223</c:v>
                      </c:pt>
                      <c:pt idx="29">
                        <c:v>0.86412913163291605</c:v>
                      </c:pt>
                      <c:pt idx="30">
                        <c:v>0.87248713217441975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A9D-47E7-B753-B5E55BE5D1D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PTTM!$E$1</c15:sqref>
                        </c15:formulaRef>
                      </c:ext>
                    </c:extLst>
                    <c:strCache>
                      <c:ptCount val="1"/>
                      <c:pt idx="0">
                        <c:v>H2 ICE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PTTM!$E$2:$E$32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1.0000000000000003E-4</c:v>
                      </c:pt>
                      <c:pt idx="4">
                        <c:v>1.7661896842847784E-4</c:v>
                      </c:pt>
                      <c:pt idx="5">
                        <c:v>2.9677498582906072E-4</c:v>
                      </c:pt>
                      <c:pt idx="6">
                        <c:v>4.7650423585832955E-4</c:v>
                      </c:pt>
                      <c:pt idx="7">
                        <c:v>7.3398377074094926E-4</c:v>
                      </c:pt>
                      <c:pt idx="8">
                        <c:v>1.0885926698824978E-3</c:v>
                      </c:pt>
                      <c:pt idx="9">
                        <c:v>1.5597115229007306E-3</c:v>
                      </c:pt>
                      <c:pt idx="10">
                        <c:v>2.1653968922523549E-3</c:v>
                      </c:pt>
                      <c:pt idx="11">
                        <c:v>2.9210859597661142E-3</c:v>
                      </c:pt>
                      <c:pt idx="12">
                        <c:v>3.8384768322619494E-3</c:v>
                      </c:pt>
                      <c:pt idx="13">
                        <c:v>4.9246973747600993E-3</c:v>
                      </c:pt>
                      <c:pt idx="14">
                        <c:v>6.1818293573337943E-3</c:v>
                      </c:pt>
                      <c:pt idx="15">
                        <c:v>7.6068054359492042E-3</c:v>
                      </c:pt>
                      <c:pt idx="16">
                        <c:v>9.1916527120331909E-3</c:v>
                      </c:pt>
                      <c:pt idx="17">
                        <c:v>1.0924023975801889E-2</c:v>
                      </c:pt>
                      <c:pt idx="18">
                        <c:v>1.2787938556281546E-2</c:v>
                      </c:pt>
                      <c:pt idx="19">
                        <c:v>1.4764648490330072E-2</c:v>
                      </c:pt>
                      <c:pt idx="20">
                        <c:v>1.6833550117131873E-2</c:v>
                      </c:pt>
                      <c:pt idx="21">
                        <c:v>1.8973072942500818E-2</c:v>
                      </c:pt>
                      <c:pt idx="22">
                        <c:v>2.1161493358695996E-2</c:v>
                      </c:pt>
                      <c:pt idx="23">
                        <c:v>2.3377637675049814E-2</c:v>
                      </c:pt>
                      <c:pt idx="24">
                        <c:v>2.5601454773353814E-2</c:v>
                      </c:pt>
                      <c:pt idx="25">
                        <c:v>2.7814452200337996E-2</c:v>
                      </c:pt>
                      <c:pt idx="26">
                        <c:v>3.0000000000000006E-2</c:v>
                      </c:pt>
                      <c:pt idx="27">
                        <c:v>4.5146386076924824E-2</c:v>
                      </c:pt>
                      <c:pt idx="28">
                        <c:v>5.2078102841222038E-2</c:v>
                      </c:pt>
                      <c:pt idx="29">
                        <c:v>5.9009819605519237E-2</c:v>
                      </c:pt>
                      <c:pt idx="30">
                        <c:v>6.594153636981645E-2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9D-47E7-B753-B5E55BE5D1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PTTM!$G$1</c15:sqref>
                        </c15:formulaRef>
                      </c:ext>
                    </c:extLst>
                    <c:strCache>
                      <c:ptCount val="1"/>
                      <c:pt idx="0">
                        <c:v>H2 FCET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PTTM!$G$2:$G$32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1E-4</c:v>
                      </c:pt>
                      <c:pt idx="6">
                        <c:v>1.8888951635164685E-4</c:v>
                      </c:pt>
                      <c:pt idx="7">
                        <c:v>3.3501577080588188E-4</c:v>
                      </c:pt>
                      <c:pt idx="8">
                        <c:v>5.6141042024854097E-4</c:v>
                      </c:pt>
                      <c:pt idx="9">
                        <c:v>8.9390961196707968E-4</c:v>
                      </c:pt>
                      <c:pt idx="10">
                        <c:v>1.3592619007633823E-3</c:v>
                      </c:pt>
                      <c:pt idx="11">
                        <c:v>1.9828500031468213E-3</c:v>
                      </c:pt>
                      <c:pt idx="12">
                        <c:v>2.7863675559910623E-3</c:v>
                      </c:pt>
                      <c:pt idx="13">
                        <c:v>3.7857915370495925E-3</c:v>
                      </c:pt>
                      <c:pt idx="14">
                        <c:v>4.9899183908842471E-3</c:v>
                      </c:pt>
                      <c:pt idx="15">
                        <c:v>6.399615750991983E-3</c:v>
                      </c:pt>
                      <c:pt idx="16">
                        <c:v>8.0078156935289614E-3</c:v>
                      </c:pt>
                      <c:pt idx="17">
                        <c:v>9.8001677554965198E-3</c:v>
                      </c:pt>
                      <c:pt idx="18">
                        <c:v>1.1756197102529911E-2</c:v>
                      </c:pt>
                      <c:pt idx="19">
                        <c:v>1.3850779763132984E-2</c:v>
                      </c:pt>
                      <c:pt idx="20">
                        <c:v>1.6055748022997834E-2</c:v>
                      </c:pt>
                      <c:pt idx="21">
                        <c:v>1.8341465041090362E-2</c:v>
                      </c:pt>
                      <c:pt idx="22">
                        <c:v>2.0678247356969617E-2</c:v>
                      </c:pt>
                      <c:pt idx="23">
                        <c:v>2.3037557413599117E-2</c:v>
                      </c:pt>
                      <c:pt idx="24">
                        <c:v>2.5392928417591033E-2</c:v>
                      </c:pt>
                      <c:pt idx="25">
                        <c:v>2.7720616640294123E-2</c:v>
                      </c:pt>
                      <c:pt idx="26">
                        <c:v>2.9999999999999995E-2</c:v>
                      </c:pt>
                      <c:pt idx="27">
                        <c:v>3.3345580033975121E-2</c:v>
                      </c:pt>
                      <c:pt idx="28">
                        <c:v>4.2754163841238021E-2</c:v>
                      </c:pt>
                      <c:pt idx="29">
                        <c:v>5.2162747648500915E-2</c:v>
                      </c:pt>
                      <c:pt idx="30">
                        <c:v>6.1571331455763816E-2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9D-47E7-B753-B5E55BE5D1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PTTM!$J$1</c15:sqref>
                        </c15:formulaRef>
                      </c:ext>
                    </c:extLst>
                    <c:strCache>
                      <c:ptCount val="1"/>
                      <c:pt idx="0">
                        <c:v>LNG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PTTM!$J$2:$J$32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1.37636982458765E-3</c:v>
                      </c:pt>
                      <c:pt idx="1">
                        <c:v>1.376417543549908E-3</c:v>
                      </c:pt>
                      <c:pt idx="2">
                        <c:v>1.3771333220666479E-3</c:v>
                      </c:pt>
                      <c:pt idx="3">
                        <c:v>1.3802348266908385E-3</c:v>
                      </c:pt>
                      <c:pt idx="4">
                        <c:v>1.3885827550692541E-3</c:v>
                      </c:pt>
                      <c:pt idx="5">
                        <c:v>1.4061708922738596E-3</c:v>
                      </c:pt>
                      <c:pt idx="6">
                        <c:v>1.4380935075883627E-3</c:v>
                      </c:pt>
                      <c:pt idx="7">
                        <c:v>1.4904626833928437E-3</c:v>
                      </c:pt>
                      <c:pt idx="8">
                        <c:v>1.570232100359279E-3</c:v>
                      </c:pt>
                      <c:pt idx="9">
                        <c:v>1.6848661341873788E-3</c:v>
                      </c:pt>
                      <c:pt idx="10">
                        <c:v>1.8417777097579045E-3</c:v>
                      </c:pt>
                      <c:pt idx="11">
                        <c:v>2.0474523799448403E-3</c:v>
                      </c:pt>
                      <c:pt idx="12">
                        <c:v>2.3061911278746106E-3</c:v>
                      </c:pt>
                      <c:pt idx="13">
                        <c:v>2.6184564432995975E-3</c:v>
                      </c:pt>
                      <c:pt idx="14">
                        <c:v>2.9789130144606715E-3</c:v>
                      </c:pt>
                      <c:pt idx="15">
                        <c:v>3.3744276010490865E-3</c:v>
                      </c:pt>
                      <c:pt idx="16">
                        <c:v>3.7825233658597989E-3</c:v>
                      </c:pt>
                      <c:pt idx="17">
                        <c:v>4.1710220424781702E-3</c:v>
                      </c:pt>
                      <c:pt idx="18">
                        <c:v>4.499743032365844E-3</c:v>
                      </c:pt>
                      <c:pt idx="19">
                        <c:v>4.7249944743014494E-3</c:v>
                      </c:pt>
                      <c:pt idx="20">
                        <c:v>4.8070125830623495E-3</c:v>
                      </c:pt>
                      <c:pt idx="21">
                        <c:v>4.6423294571938754E-3</c:v>
                      </c:pt>
                      <c:pt idx="22">
                        <c:v>4.4776463313254003E-3</c:v>
                      </c:pt>
                      <c:pt idx="23">
                        <c:v>4.3129632054569262E-3</c:v>
                      </c:pt>
                      <c:pt idx="24">
                        <c:v>4.1482800795884511E-3</c:v>
                      </c:pt>
                      <c:pt idx="25">
                        <c:v>3.983596953719977E-3</c:v>
                      </c:pt>
                      <c:pt idx="26">
                        <c:v>3.6031972940098545E-3</c:v>
                      </c:pt>
                      <c:pt idx="27">
                        <c:v>2.6072980555798602E-3</c:v>
                      </c:pt>
                      <c:pt idx="28">
                        <c:v>1.3762988981401167E-3</c:v>
                      </c:pt>
                      <c:pt idx="29">
                        <c:v>3.8039965971012248E-4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A9D-47E7-B753-B5E55BE5D1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PTTM!$L$1</c15:sqref>
                        </c15:formulaRef>
                      </c:ext>
                    </c:extLst>
                    <c:strCache>
                      <c:ptCount val="1"/>
                      <c:pt idx="0">
                        <c:v>CNG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PTTM!$L$2:$L$32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4.4414107790702026E-2</c:v>
                      </c:pt>
                      <c:pt idx="1">
                        <c:v>4.4414172410617368E-2</c:v>
                      </c:pt>
                      <c:pt idx="2">
                        <c:v>4.4415141701334704E-2</c:v>
                      </c:pt>
                      <c:pt idx="3">
                        <c:v>4.4419341687184637E-2</c:v>
                      </c:pt>
                      <c:pt idx="4">
                        <c:v>4.4430646258776164E-2</c:v>
                      </c:pt>
                      <c:pt idx="5">
                        <c:v>4.4454463707510529E-2</c:v>
                      </c:pt>
                      <c:pt idx="6">
                        <c:v>4.4497692575063426E-2</c:v>
                      </c:pt>
                      <c:pt idx="7">
                        <c:v>4.4568609702072055E-2</c:v>
                      </c:pt>
                      <c:pt idx="8">
                        <c:v>4.4676631602121299E-2</c:v>
                      </c:pt>
                      <c:pt idx="9">
                        <c:v>4.4831866360194442E-2</c:v>
                      </c:pt>
                      <c:pt idx="10">
                        <c:v>4.5044352387765392E-2</c:v>
                      </c:pt>
                      <c:pt idx="11">
                        <c:v>4.5322872270578907E-2</c:v>
                      </c:pt>
                      <c:pt idx="12">
                        <c:v>4.5673250300538634E-2</c:v>
                      </c:pt>
                      <c:pt idx="13">
                        <c:v>4.609611277057369E-2</c:v>
                      </c:pt>
                      <c:pt idx="14">
                        <c:v>4.6584234724861485E-2</c:v>
                      </c:pt>
                      <c:pt idx="15">
                        <c:v>4.7119831433039112E-2</c:v>
                      </c:pt>
                      <c:pt idx="16">
                        <c:v>4.7672465281866805E-2</c:v>
                      </c:pt>
                      <c:pt idx="17">
                        <c:v>4.8198561206982952E-2</c:v>
                      </c:pt>
                      <c:pt idx="18">
                        <c:v>4.8643707570891759E-2</c:v>
                      </c:pt>
                      <c:pt idx="19">
                        <c:v>4.8948737865358548E-2</c:v>
                      </c:pt>
                      <c:pt idx="20">
                        <c:v>4.9059804891842217E-2</c:v>
                      </c:pt>
                      <c:pt idx="21">
                        <c:v>4.6137123351083616E-2</c:v>
                      </c:pt>
                      <c:pt idx="22">
                        <c:v>4.3214441810325015E-2</c:v>
                      </c:pt>
                      <c:pt idx="23">
                        <c:v>4.0291760269566414E-2</c:v>
                      </c:pt>
                      <c:pt idx="24">
                        <c:v>3.7369078728807813E-2</c:v>
                      </c:pt>
                      <c:pt idx="25">
                        <c:v>3.4446397188049212E-2</c:v>
                      </c:pt>
                      <c:pt idx="26">
                        <c:v>3.1157058954085215E-2</c:v>
                      </c:pt>
                      <c:pt idx="27">
                        <c:v>2.254545965707291E-2</c:v>
                      </c:pt>
                      <c:pt idx="28">
                        <c:v>1.1900937530976303E-2</c:v>
                      </c:pt>
                      <c:pt idx="29">
                        <c:v>3.2893382339640002E-3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9D-47E7-B753-B5E55BE5D1D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PTTM!$N$1</c15:sqref>
                        </c15:formulaRef>
                      </c:ext>
                    </c:extLst>
                    <c:strCache>
                      <c:ptCount val="1"/>
                      <c:pt idx="0">
                        <c:v>Diesel Share%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PTTM!$N$2:$N$32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0.95365224221116807</c:v>
                      </c:pt>
                      <c:pt idx="1">
                        <c:v>0.95285399665416992</c:v>
                      </c:pt>
                      <c:pt idx="2">
                        <c:v>0.95123941759953046</c:v>
                      </c:pt>
                      <c:pt idx="3">
                        <c:v>0.94817440957246379</c:v>
                      </c:pt>
                      <c:pt idx="4">
                        <c:v>0.9431003948154919</c:v>
                      </c:pt>
                      <c:pt idx="5">
                        <c:v>0.93507309574779229</c:v>
                      </c:pt>
                      <c:pt idx="6">
                        <c:v>0.92339882016513819</c:v>
                      </c:pt>
                      <c:pt idx="7">
                        <c:v>0.89396332573982762</c:v>
                      </c:pt>
                      <c:pt idx="8">
                        <c:v>0.86691543839481411</c:v>
                      </c:pt>
                      <c:pt idx="9">
                        <c:v>0.82351011236136118</c:v>
                      </c:pt>
                      <c:pt idx="10">
                        <c:v>0.7658077863655508</c:v>
                      </c:pt>
                      <c:pt idx="11">
                        <c:v>0.69657357850105073</c:v>
                      </c:pt>
                      <c:pt idx="12">
                        <c:v>0.61914222177497258</c:v>
                      </c:pt>
                      <c:pt idx="13">
                        <c:v>0.53725541692026646</c:v>
                      </c:pt>
                      <c:pt idx="14">
                        <c:v>0.45487954701271988</c:v>
                      </c:pt>
                      <c:pt idx="15">
                        <c:v>0.37601243075638202</c:v>
                      </c:pt>
                      <c:pt idx="16">
                        <c:v>0.30448791778252027</c:v>
                      </c:pt>
                      <c:pt idx="17">
                        <c:v>0.24378670912052847</c:v>
                      </c:pt>
                      <c:pt idx="18">
                        <c:v>0.19686105864240402</c:v>
                      </c:pt>
                      <c:pt idx="19">
                        <c:v>0.16598039183193622</c:v>
                      </c:pt>
                      <c:pt idx="20">
                        <c:v>0.1526048344768646</c:v>
                      </c:pt>
                      <c:pt idx="21">
                        <c:v>0.1372553433882702</c:v>
                      </c:pt>
                      <c:pt idx="22">
                        <c:v>0.12180588941106277</c:v>
                      </c:pt>
                      <c:pt idx="23">
                        <c:v>0.10630618379294657</c:v>
                      </c:pt>
                      <c:pt idx="24">
                        <c:v>9.0802744445517933E-2</c:v>
                      </c:pt>
                      <c:pt idx="25">
                        <c:v>7.5337807550697675E-2</c:v>
                      </c:pt>
                      <c:pt idx="26">
                        <c:v>6.6184613743500251E-2</c:v>
                      </c:pt>
                      <c:pt idx="27">
                        <c:v>4.8942145626538806E-2</c:v>
                      </c:pt>
                      <c:pt idx="28">
                        <c:v>3.6119365797011346E-2</c:v>
                      </c:pt>
                      <c:pt idx="29">
                        <c:v>2.1028563219389545E-2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9D-47E7-B753-B5E55BE5D1D4}"/>
                  </c:ext>
                </c:extLst>
              </c15:ser>
            </c15:filteredLineSeries>
          </c:ext>
        </c:extLst>
      </c:lineChart>
      <c:catAx>
        <c:axId val="1644413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20607"/>
        <c:crosses val="autoZero"/>
        <c:auto val="1"/>
        <c:lblAlgn val="ctr"/>
        <c:lblOffset val="100"/>
        <c:noMultiLvlLbl val="0"/>
      </c:catAx>
      <c:valAx>
        <c:axId val="1644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1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PTTM!$D$1</c:f>
              <c:strCache>
                <c:ptCount val="1"/>
                <c:pt idx="0">
                  <c:v>BET Units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PTTM!$D$2:$D$32</c:f>
              <c:numCache>
                <c:formatCode>0</c:formatCode>
                <c:ptCount val="31"/>
                <c:pt idx="0">
                  <c:v>149</c:v>
                </c:pt>
                <c:pt idx="1">
                  <c:v>408.14205125370887</c:v>
                </c:pt>
                <c:pt idx="2">
                  <c:v>910.05335873534818</c:v>
                </c:pt>
                <c:pt idx="3">
                  <c:v>1846.2496348009738</c:v>
                </c:pt>
                <c:pt idx="4">
                  <c:v>3714.3648909410686</c:v>
                </c:pt>
                <c:pt idx="5">
                  <c:v>6533.3896585746807</c:v>
                </c:pt>
                <c:pt idx="6">
                  <c:v>10713.900000000001</c:v>
                </c:pt>
                <c:pt idx="7">
                  <c:v>23198.796684822002</c:v>
                </c:pt>
                <c:pt idx="8">
                  <c:v>35771.164928748061</c:v>
                </c:pt>
                <c:pt idx="9">
                  <c:v>55485.024442825299</c:v>
                </c:pt>
                <c:pt idx="10">
                  <c:v>84443.889041331873</c:v>
                </c:pt>
                <c:pt idx="11">
                  <c:v>120706.24004318622</c:v>
                </c:pt>
                <c:pt idx="12">
                  <c:v>163130.00873910473</c:v>
                </c:pt>
                <c:pt idx="13">
                  <c:v>210964.75954333376</c:v>
                </c:pt>
                <c:pt idx="14">
                  <c:v>263975.59727063327</c:v>
                </c:pt>
                <c:pt idx="15">
                  <c:v>319209.64966294769</c:v>
                </c:pt>
                <c:pt idx="16">
                  <c:v>375531.5975071119</c:v>
                </c:pt>
                <c:pt idx="17">
                  <c:v>428657.49622644176</c:v>
                </c:pt>
                <c:pt idx="18">
                  <c:v>474459.69525957655</c:v>
                </c:pt>
                <c:pt idx="19">
                  <c:v>511169.18704648392</c:v>
                </c:pt>
                <c:pt idx="20">
                  <c:v>537961.96804750466</c:v>
                </c:pt>
                <c:pt idx="21">
                  <c:v>568624.57473841088</c:v>
                </c:pt>
                <c:pt idx="22">
                  <c:v>601347.10319754377</c:v>
                </c:pt>
                <c:pt idx="23">
                  <c:v>622730.46326968796</c:v>
                </c:pt>
                <c:pt idx="24">
                  <c:v>653103.40519004629</c:v>
                </c:pt>
                <c:pt idx="25">
                  <c:v>709008.30697129469</c:v>
                </c:pt>
                <c:pt idx="26">
                  <c:v>744988.65938316251</c:v>
                </c:pt>
                <c:pt idx="27">
                  <c:v>782128.42297234351</c:v>
                </c:pt>
                <c:pt idx="28">
                  <c:v>820111.14805883309</c:v>
                </c:pt>
                <c:pt idx="29">
                  <c:v>858927.07426048594</c:v>
                </c:pt>
                <c:pt idx="30">
                  <c:v>898513.42332718265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C7-4397-90EC-970D680B749E}"/>
            </c:ext>
          </c:extLst>
        </c:ser>
        <c:ser>
          <c:idx val="5"/>
          <c:order val="5"/>
          <c:tx>
            <c:strRef>
              <c:f>PTTM!$F$1</c:f>
              <c:strCache>
                <c:ptCount val="1"/>
                <c:pt idx="0">
                  <c:v>H2 ICE Units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PTTM!$F$2:$F$32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31.155000000000008</c:v>
                </c:pt>
                <c:pt idx="4">
                  <c:v>60.165251595160974</c:v>
                </c:pt>
                <c:pt idx="5">
                  <c:v>103.8564062908798</c:v>
                </c:pt>
                <c:pt idx="6">
                  <c:v>170.17395775208524</c:v>
                </c:pt>
                <c:pt idx="7">
                  <c:v>289.05014875549324</c:v>
                </c:pt>
                <c:pt idx="8">
                  <c:v>457.11094801035966</c:v>
                </c:pt>
                <c:pt idx="9">
                  <c:v>678.64608072933686</c:v>
                </c:pt>
                <c:pt idx="10">
                  <c:v>994.95656405211207</c:v>
                </c:pt>
                <c:pt idx="11">
                  <c:v>1403.903123123192</c:v>
                </c:pt>
                <c:pt idx="12">
                  <c:v>1919.2768008992973</c:v>
                </c:pt>
                <c:pt idx="13">
                  <c:v>2563.2557365888842</c:v>
                </c:pt>
                <c:pt idx="14">
                  <c:v>3368.9115448661978</c:v>
                </c:pt>
                <c:pt idx="15">
                  <c:v>4339.986773426459</c:v>
                </c:pt>
                <c:pt idx="16">
                  <c:v>5506.4433901977236</c:v>
                </c:pt>
                <c:pt idx="17">
                  <c:v>6854.825044815685</c:v>
                </c:pt>
                <c:pt idx="18">
                  <c:v>8363.567574579256</c:v>
                </c:pt>
                <c:pt idx="19">
                  <c:v>10039.813326939546</c:v>
                </c:pt>
                <c:pt idx="20">
                  <c:v>11905.528320341517</c:v>
                </c:pt>
                <c:pt idx="21">
                  <c:v>13926.994462713301</c:v>
                </c:pt>
                <c:pt idx="22">
                  <c:v>16135.42707107211</c:v>
                </c:pt>
                <c:pt idx="23">
                  <c:v>18136.838861057146</c:v>
                </c:pt>
                <c:pt idx="24">
                  <c:v>20473.483382251045</c:v>
                </c:pt>
                <c:pt idx="25">
                  <c:v>23739.913097510482</c:v>
                </c:pt>
                <c:pt idx="26">
                  <c:v>26636.700000000004</c:v>
                </c:pt>
                <c:pt idx="27">
                  <c:v>41668.308493558536</c:v>
                </c:pt>
                <c:pt idx="28">
                  <c:v>49908.008295828316</c:v>
                </c:pt>
                <c:pt idx="29">
                  <c:v>58654.580491494009</c:v>
                </c:pt>
                <c:pt idx="30">
                  <c:v>67908.572399728073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C7-4397-90EC-970D680B749E}"/>
            </c:ext>
          </c:extLst>
        </c:ser>
        <c:ser>
          <c:idx val="7"/>
          <c:order val="7"/>
          <c:tx>
            <c:strRef>
              <c:f>PTTM!$H$1</c:f>
              <c:strCache>
                <c:ptCount val="1"/>
                <c:pt idx="0">
                  <c:v>H2 FCET Units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PTTM!$H$2:$H$32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34.995000000000005</c:v>
                </c:pt>
                <c:pt idx="6">
                  <c:v>67.458112974663635</c:v>
                </c:pt>
                <c:pt idx="7">
                  <c:v>131.93256070106435</c:v>
                </c:pt>
                <c:pt idx="8">
                  <c:v>235.74184956656484</c:v>
                </c:pt>
                <c:pt idx="9">
                  <c:v>388.94901126299607</c:v>
                </c:pt>
                <c:pt idx="10">
                  <c:v>624.55365816275889</c:v>
                </c:pt>
                <c:pt idx="11">
                  <c:v>952.97754001239377</c:v>
                </c:pt>
                <c:pt idx="12">
                  <c:v>1393.211641671091</c:v>
                </c:pt>
                <c:pt idx="13">
                  <c:v>1970.4666371189423</c:v>
                </c:pt>
                <c:pt idx="14">
                  <c:v>2719.3558254801883</c:v>
                </c:pt>
                <c:pt idx="15">
                  <c:v>3651.2367705709662</c:v>
                </c:pt>
                <c:pt idx="16">
                  <c:v>4797.2421475223946</c:v>
                </c:pt>
                <c:pt idx="17">
                  <c:v>6149.6052665740663</c:v>
                </c:pt>
                <c:pt idx="18">
                  <c:v>7688.7880289966124</c:v>
                </c:pt>
                <c:pt idx="19">
                  <c:v>9418.3917311327987</c:v>
                </c:pt>
                <c:pt idx="20">
                  <c:v>11355.427789265219</c:v>
                </c:pt>
                <c:pt idx="21">
                  <c:v>13463.368998761969</c:v>
                </c:pt>
                <c:pt idx="22">
                  <c:v>15766.956827215763</c:v>
                </c:pt>
                <c:pt idx="23">
                  <c:v>17872.997792618466</c:v>
                </c:pt>
                <c:pt idx="24">
                  <c:v>20306.724855547549</c:v>
                </c:pt>
                <c:pt idx="25">
                  <c:v>23659.823508657439</c:v>
                </c:pt>
                <c:pt idx="26">
                  <c:v>26636.699999999997</c:v>
                </c:pt>
                <c:pt idx="27">
                  <c:v>30776.636548157676</c:v>
                </c:pt>
                <c:pt idx="28">
                  <c:v>40972.597833973632</c:v>
                </c:pt>
                <c:pt idx="29">
                  <c:v>51848.727907656939</c:v>
                </c:pt>
                <c:pt idx="30">
                  <c:v>63408.004273089253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C7-4397-90EC-970D680B749E}"/>
            </c:ext>
          </c:extLst>
        </c:ser>
        <c:ser>
          <c:idx val="8"/>
          <c:order val="8"/>
          <c:tx>
            <c:strRef>
              <c:f>PTTM!$I$1</c:f>
              <c:strCache>
                <c:ptCount val="1"/>
                <c:pt idx="0">
                  <c:v>LNG Units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PTTM!$I$2:$I$32</c:f>
              <c:numCache>
                <c:formatCode>0</c:formatCode>
                <c:ptCount val="31"/>
                <c:pt idx="0">
                  <c:v>368</c:v>
                </c:pt>
                <c:pt idx="1">
                  <c:v>414.46682101680636</c:v>
                </c:pt>
                <c:pt idx="2">
                  <c:v>422.21530521241357</c:v>
                </c:pt>
                <c:pt idx="3">
                  <c:v>430.01216025553077</c:v>
                </c:pt>
                <c:pt idx="4">
                  <c:v>473.02071551434142</c:v>
                </c:pt>
                <c:pt idx="5">
                  <c:v>492.08950375123715</c:v>
                </c:pt>
                <c:pt idx="6">
                  <c:v>513.58633436503203</c:v>
                </c:pt>
                <c:pt idx="7">
                  <c:v>586.95910934693575</c:v>
                </c:pt>
                <c:pt idx="8">
                  <c:v>659.35616126186483</c:v>
                </c:pt>
                <c:pt idx="9">
                  <c:v>733.10210364627039</c:v>
                </c:pt>
                <c:pt idx="10">
                  <c:v>846.26002207956196</c:v>
                </c:pt>
                <c:pt idx="11">
                  <c:v>984.02608832528972</c:v>
                </c:pt>
                <c:pt idx="12">
                  <c:v>1153.1186258485841</c:v>
                </c:pt>
                <c:pt idx="13">
                  <c:v>1362.8803941730075</c:v>
                </c:pt>
                <c:pt idx="14">
                  <c:v>1623.418225490632</c:v>
                </c:pt>
                <c:pt idx="15">
                  <c:v>1925.2459235025458</c:v>
                </c:pt>
                <c:pt idx="16">
                  <c:v>2265.9962727856296</c:v>
                </c:pt>
                <c:pt idx="17">
                  <c:v>2617.3163316550517</c:v>
                </c:pt>
                <c:pt idx="18">
                  <c:v>2942.9219380279092</c:v>
                </c:pt>
                <c:pt idx="19">
                  <c:v>3212.9489925802427</c:v>
                </c:pt>
                <c:pt idx="20">
                  <c:v>3399.7596493708465</c:v>
                </c:pt>
                <c:pt idx="21">
                  <c:v>3407.6555147585923</c:v>
                </c:pt>
                <c:pt idx="22">
                  <c:v>3414.1605511723046</c:v>
                </c:pt>
                <c:pt idx="23">
                  <c:v>3346.0831140575924</c:v>
                </c:pt>
                <c:pt idx="24">
                  <c:v>3317.3795796468844</c:v>
                </c:pt>
                <c:pt idx="25">
                  <c:v>3400.0398359695378</c:v>
                </c:pt>
                <c:pt idx="26">
                  <c:v>3199.2428453784096</c:v>
                </c:pt>
                <c:pt idx="27">
                  <c:v>2406.431813377988</c:v>
                </c:pt>
                <c:pt idx="28">
                  <c:v>1318.9485230546181</c:v>
                </c:pt>
                <c:pt idx="29">
                  <c:v>378.10965375866755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C7-4397-90EC-970D680B749E}"/>
            </c:ext>
          </c:extLst>
        </c:ser>
        <c:ser>
          <c:idx val="10"/>
          <c:order val="10"/>
          <c:tx>
            <c:strRef>
              <c:f>PTTM!$K$1</c:f>
              <c:strCache>
                <c:ptCount val="1"/>
                <c:pt idx="0">
                  <c:v>CNG Units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PTTM!$K$2:$K$32</c:f>
              <c:numCache>
                <c:formatCode>_ * #,##0_ ;_ * \-#,##0_ ;_ * "-"??_ ;_ @_ </c:formatCode>
                <c:ptCount val="31"/>
                <c:pt idx="0">
                  <c:v>11875</c:v>
                </c:pt>
                <c:pt idx="1">
                  <c:v>13373.994638025666</c:v>
                </c:pt>
                <c:pt idx="2">
                  <c:v>13617.238294212208</c:v>
                </c:pt>
                <c:pt idx="3">
                  <c:v>13838.845902642373</c:v>
                </c:pt>
                <c:pt idx="4">
                  <c:v>15135.2996480521</c:v>
                </c:pt>
                <c:pt idx="5">
                  <c:v>15556.839574443309</c:v>
                </c:pt>
                <c:pt idx="6">
                  <c:v>15891.460949332401</c:v>
                </c:pt>
                <c:pt idx="7">
                  <c:v>17551.564186772997</c:v>
                </c:pt>
                <c:pt idx="8">
                  <c:v>18760.164376046756</c:v>
                </c:pt>
                <c:pt idx="9">
                  <c:v>19506.793371984204</c:v>
                </c:pt>
                <c:pt idx="10">
                  <c:v>20696.979035130444</c:v>
                </c:pt>
                <c:pt idx="11">
                  <c:v>21782.625641962928</c:v>
                </c:pt>
                <c:pt idx="12">
                  <c:v>22837.081882772323</c:v>
                </c:pt>
                <c:pt idx="13">
                  <c:v>23992.565735955901</c:v>
                </c:pt>
                <c:pt idx="14">
                  <c:v>25387.010398007762</c:v>
                </c:pt>
                <c:pt idx="15">
                  <c:v>26883.748625806136</c:v>
                </c:pt>
                <c:pt idx="16">
                  <c:v>28559.143776407946</c:v>
                </c:pt>
                <c:pt idx="17">
                  <c:v>30244.597157381802</c:v>
                </c:pt>
                <c:pt idx="18">
                  <c:v>31813.957625514628</c:v>
                </c:pt>
                <c:pt idx="19">
                  <c:v>33284.652261065159</c:v>
                </c:pt>
                <c:pt idx="20">
                  <c:v>34697.547009755406</c:v>
                </c:pt>
                <c:pt idx="21">
                  <c:v>33866.494024629414</c:v>
                </c:pt>
                <c:pt idx="22">
                  <c:v>32950.579735954721</c:v>
                </c:pt>
                <c:pt idx="23">
                  <c:v>31259.153452335016</c:v>
                </c:pt>
                <c:pt idx="24">
                  <c:v>29884.052259427608</c:v>
                </c:pt>
                <c:pt idx="25">
                  <c:v>29400.344463971884</c:v>
                </c:pt>
                <c:pt idx="26">
                  <c:v>27664.041074742723</c:v>
                </c:pt>
                <c:pt idx="27">
                  <c:v>20808.557445092014</c:v>
                </c:pt>
                <c:pt idx="28">
                  <c:v>11405.02546406052</c:v>
                </c:pt>
                <c:pt idx="29">
                  <c:v>3269.5364177955371</c:v>
                </c:pt>
                <c:pt idx="30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C7-4397-90EC-970D680B749E}"/>
            </c:ext>
          </c:extLst>
        </c:ser>
        <c:ser>
          <c:idx val="12"/>
          <c:order val="12"/>
          <c:tx>
            <c:strRef>
              <c:f>PTTM!$M$1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PTTM!$A$2:$A$32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PTTM!$M$2:$M$32</c:f>
              <c:numCache>
                <c:formatCode>_ * #,##0_ ;_ * \-#,##0_ ;_ * "-"??_ ;_ @_ </c:formatCode>
                <c:ptCount val="31"/>
                <c:pt idx="0">
                  <c:v>254978</c:v>
                </c:pt>
                <c:pt idx="1">
                  <c:v>286923.37491417094</c:v>
                </c:pt>
                <c:pt idx="2">
                  <c:v>291640.49304184003</c:v>
                </c:pt>
                <c:pt idx="3">
                  <c:v>295403.7373023011</c:v>
                </c:pt>
                <c:pt idx="4">
                  <c:v>321267.14949389733</c:v>
                </c:pt>
                <c:pt idx="5">
                  <c:v>327228.8298569399</c:v>
                </c:pt>
                <c:pt idx="6">
                  <c:v>329773.4206455758</c:v>
                </c:pt>
                <c:pt idx="7">
                  <c:v>352051.69730960153</c:v>
                </c:pt>
                <c:pt idx="8">
                  <c:v>364026.46173636639</c:v>
                </c:pt>
                <c:pt idx="9">
                  <c:v>358317.48498955189</c:v>
                </c:pt>
                <c:pt idx="10">
                  <c:v>351873.36167924327</c:v>
                </c:pt>
                <c:pt idx="11">
                  <c:v>334780.22756338998</c:v>
                </c:pt>
                <c:pt idx="12">
                  <c:v>309577.30230970401</c:v>
                </c:pt>
                <c:pt idx="13">
                  <c:v>279636.07195282949</c:v>
                </c:pt>
                <c:pt idx="14">
                  <c:v>247895.70673552196</c:v>
                </c:pt>
                <c:pt idx="15">
                  <c:v>214530.13224374619</c:v>
                </c:pt>
                <c:pt idx="16">
                  <c:v>182409.57690597442</c:v>
                </c:pt>
                <c:pt idx="17">
                  <c:v>152976.15997313161</c:v>
                </c:pt>
                <c:pt idx="18">
                  <c:v>128751.06957330508</c:v>
                </c:pt>
                <c:pt idx="19">
                  <c:v>112865.0066417983</c:v>
                </c:pt>
                <c:pt idx="20">
                  <c:v>107929.76918376249</c:v>
                </c:pt>
                <c:pt idx="21">
                  <c:v>100750.91226072586</c:v>
                </c:pt>
                <c:pt idx="22">
                  <c:v>92875.77261704125</c:v>
                </c:pt>
                <c:pt idx="23">
                  <c:v>82474.463510243804</c:v>
                </c:pt>
                <c:pt idx="24">
                  <c:v>72614.954733080696</c:v>
                </c:pt>
                <c:pt idx="25">
                  <c:v>64301.572122595971</c:v>
                </c:pt>
                <c:pt idx="26">
                  <c:v>58764.65669671644</c:v>
                </c:pt>
                <c:pt idx="27">
                  <c:v>45171.642727470258</c:v>
                </c:pt>
                <c:pt idx="28">
                  <c:v>34614.271824249881</c:v>
                </c:pt>
                <c:pt idx="29">
                  <c:v>20901.971268808818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C7-4397-90EC-970D680B7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962032"/>
        <c:axId val="566962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PTTM!$A$1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3C7-4397-90EC-970D680B749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PTTM!$B$1</c15:sqref>
                        </c15:formulaRef>
                      </c:ext>
                    </c:extLst>
                    <c:strCache>
                      <c:ptCount val="1"/>
                      <c:pt idx="0">
                        <c:v> Grand Total Sales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PTTM!$B$2:$B$32</c15:sqref>
                        </c15:formulaRef>
                      </c:ext>
                    </c:extLst>
                    <c:numCache>
                      <c:formatCode>_ * #,##0_ ;_ * \-#,##0_ ;_ * "-"??_ ;_ @_ </c:formatCode>
                      <c:ptCount val="31"/>
                      <c:pt idx="0">
                        <c:v>267370</c:v>
                      </c:pt>
                      <c:pt idx="1">
                        <c:v>301119.97842446715</c:v>
                      </c:pt>
                      <c:pt idx="2">
                        <c:v>306590</c:v>
                      </c:pt>
                      <c:pt idx="3">
                        <c:v>311550</c:v>
                      </c:pt>
                      <c:pt idx="4">
                        <c:v>340650</c:v>
                      </c:pt>
                      <c:pt idx="5">
                        <c:v>349950</c:v>
                      </c:pt>
                      <c:pt idx="6">
                        <c:v>357130</c:v>
                      </c:pt>
                      <c:pt idx="7">
                        <c:v>393810</c:v>
                      </c:pt>
                      <c:pt idx="8">
                        <c:v>419910</c:v>
                      </c:pt>
                      <c:pt idx="9">
                        <c:v>435110</c:v>
                      </c:pt>
                      <c:pt idx="10">
                        <c:v>459480</c:v>
                      </c:pt>
                      <c:pt idx="11">
                        <c:v>480610</c:v>
                      </c:pt>
                      <c:pt idx="12">
                        <c:v>500010</c:v>
                      </c:pt>
                      <c:pt idx="13">
                        <c:v>520490</c:v>
                      </c:pt>
                      <c:pt idx="14">
                        <c:v>544970</c:v>
                      </c:pt>
                      <c:pt idx="15">
                        <c:v>570540</c:v>
                      </c:pt>
                      <c:pt idx="16">
                        <c:v>599070</c:v>
                      </c:pt>
                      <c:pt idx="17">
                        <c:v>627500</c:v>
                      </c:pt>
                      <c:pt idx="18">
                        <c:v>654020</c:v>
                      </c:pt>
                      <c:pt idx="19">
                        <c:v>679990</c:v>
                      </c:pt>
                      <c:pt idx="20">
                        <c:v>707250</c:v>
                      </c:pt>
                      <c:pt idx="21">
                        <c:v>734040</c:v>
                      </c:pt>
                      <c:pt idx="22">
                        <c:v>762490</c:v>
                      </c:pt>
                      <c:pt idx="23">
                        <c:v>775820</c:v>
                      </c:pt>
                      <c:pt idx="24">
                        <c:v>799700</c:v>
                      </c:pt>
                      <c:pt idx="25">
                        <c:v>853510</c:v>
                      </c:pt>
                      <c:pt idx="26">
                        <c:v>887890</c:v>
                      </c:pt>
                      <c:pt idx="27">
                        <c:v>922960</c:v>
                      </c:pt>
                      <c:pt idx="28">
                        <c:v>958330</c:v>
                      </c:pt>
                      <c:pt idx="29">
                        <c:v>993980</c:v>
                      </c:pt>
                      <c:pt idx="30">
                        <c:v>1029830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3C7-4397-90EC-970D680B749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PTTM!$C$1</c15:sqref>
                        </c15:formulaRef>
                      </c:ext>
                    </c:extLst>
                    <c:strCache>
                      <c:ptCount val="1"/>
                      <c:pt idx="0">
                        <c:v>BET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PTTM!$C$2:$C$32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5.5728017354228227E-4</c:v>
                      </c:pt>
                      <c:pt idx="1">
                        <c:v>1.3554133916627094E-3</c:v>
                      </c:pt>
                      <c:pt idx="2">
                        <c:v>2.9683073770682285E-3</c:v>
                      </c:pt>
                      <c:pt idx="3">
                        <c:v>5.9260139136606445E-3</c:v>
                      </c:pt>
                      <c:pt idx="4">
                        <c:v>1.0903757202234165E-2</c:v>
                      </c:pt>
                      <c:pt idx="5">
                        <c:v>1.8669494666594316E-2</c:v>
                      </c:pt>
                      <c:pt idx="6">
                        <c:v>3.0000000000000002E-2</c:v>
                      </c:pt>
                      <c:pt idx="7">
                        <c:v>5.890860233316067E-2</c:v>
                      </c:pt>
                      <c:pt idx="8">
                        <c:v>8.5187694812574266E-2</c:v>
                      </c:pt>
                      <c:pt idx="9">
                        <c:v>0.12751953400938912</c:v>
                      </c:pt>
                      <c:pt idx="10">
                        <c:v>0.18378142474391024</c:v>
                      </c:pt>
                      <c:pt idx="11">
                        <c:v>0.25115216088551262</c:v>
                      </c:pt>
                      <c:pt idx="12">
                        <c:v>0.32625349240836127</c:v>
                      </c:pt>
                      <c:pt idx="13">
                        <c:v>0.40531952495405055</c:v>
                      </c:pt>
                      <c:pt idx="14">
                        <c:v>0.48438555749973988</c:v>
                      </c:pt>
                      <c:pt idx="15">
                        <c:v>0.55948688902258858</c:v>
                      </c:pt>
                      <c:pt idx="16">
                        <c:v>0.62685762516419097</c:v>
                      </c:pt>
                      <c:pt idx="17">
                        <c:v>0.683119515898712</c:v>
                      </c:pt>
                      <c:pt idx="18">
                        <c:v>0.72545135509552694</c:v>
                      </c:pt>
                      <c:pt idx="19">
                        <c:v>0.75173044757494067</c:v>
                      </c:pt>
                      <c:pt idx="20">
                        <c:v>0.76063904990810127</c:v>
                      </c:pt>
                      <c:pt idx="21">
                        <c:v>0.77465066581986119</c:v>
                      </c:pt>
                      <c:pt idx="22">
                        <c:v>0.78866228173162112</c:v>
                      </c:pt>
                      <c:pt idx="23">
                        <c:v>0.80267389764338115</c:v>
                      </c:pt>
                      <c:pt idx="24">
                        <c:v>0.81668551355514107</c:v>
                      </c:pt>
                      <c:pt idx="25">
                        <c:v>0.830697129466901</c:v>
                      </c:pt>
                      <c:pt idx="26">
                        <c:v>0.8390551300084047</c:v>
                      </c:pt>
                      <c:pt idx="27">
                        <c:v>0.84741313054990852</c:v>
                      </c:pt>
                      <c:pt idx="28">
                        <c:v>0.85577113109141223</c:v>
                      </c:pt>
                      <c:pt idx="29">
                        <c:v>0.86412913163291605</c:v>
                      </c:pt>
                      <c:pt idx="30">
                        <c:v>0.87248713217441975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3C7-4397-90EC-970D680B749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PTTM!$E$1</c15:sqref>
                        </c15:formulaRef>
                      </c:ext>
                    </c:extLst>
                    <c:strCache>
                      <c:ptCount val="1"/>
                      <c:pt idx="0">
                        <c:v>H2 ICE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PTTM!$E$2:$E$32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1.0000000000000003E-4</c:v>
                      </c:pt>
                      <c:pt idx="4">
                        <c:v>1.7661896842847784E-4</c:v>
                      </c:pt>
                      <c:pt idx="5">
                        <c:v>2.9677498582906072E-4</c:v>
                      </c:pt>
                      <c:pt idx="6">
                        <c:v>4.7650423585832955E-4</c:v>
                      </c:pt>
                      <c:pt idx="7">
                        <c:v>7.3398377074094926E-4</c:v>
                      </c:pt>
                      <c:pt idx="8">
                        <c:v>1.0885926698824978E-3</c:v>
                      </c:pt>
                      <c:pt idx="9">
                        <c:v>1.5597115229007306E-3</c:v>
                      </c:pt>
                      <c:pt idx="10">
                        <c:v>2.1653968922523549E-3</c:v>
                      </c:pt>
                      <c:pt idx="11">
                        <c:v>2.9210859597661142E-3</c:v>
                      </c:pt>
                      <c:pt idx="12">
                        <c:v>3.8384768322619494E-3</c:v>
                      </c:pt>
                      <c:pt idx="13">
                        <c:v>4.9246973747600993E-3</c:v>
                      </c:pt>
                      <c:pt idx="14">
                        <c:v>6.1818293573337943E-3</c:v>
                      </c:pt>
                      <c:pt idx="15">
                        <c:v>7.6068054359492042E-3</c:v>
                      </c:pt>
                      <c:pt idx="16">
                        <c:v>9.1916527120331909E-3</c:v>
                      </c:pt>
                      <c:pt idx="17">
                        <c:v>1.0924023975801889E-2</c:v>
                      </c:pt>
                      <c:pt idx="18">
                        <c:v>1.2787938556281546E-2</c:v>
                      </c:pt>
                      <c:pt idx="19">
                        <c:v>1.4764648490330072E-2</c:v>
                      </c:pt>
                      <c:pt idx="20">
                        <c:v>1.6833550117131873E-2</c:v>
                      </c:pt>
                      <c:pt idx="21">
                        <c:v>1.8973072942500818E-2</c:v>
                      </c:pt>
                      <c:pt idx="22">
                        <c:v>2.1161493358695996E-2</c:v>
                      </c:pt>
                      <c:pt idx="23">
                        <c:v>2.3377637675049814E-2</c:v>
                      </c:pt>
                      <c:pt idx="24">
                        <c:v>2.5601454773353814E-2</c:v>
                      </c:pt>
                      <c:pt idx="25">
                        <c:v>2.7814452200337996E-2</c:v>
                      </c:pt>
                      <c:pt idx="26">
                        <c:v>3.0000000000000006E-2</c:v>
                      </c:pt>
                      <c:pt idx="27">
                        <c:v>4.5146386076924824E-2</c:v>
                      </c:pt>
                      <c:pt idx="28">
                        <c:v>5.2078102841222038E-2</c:v>
                      </c:pt>
                      <c:pt idx="29">
                        <c:v>5.9009819605519237E-2</c:v>
                      </c:pt>
                      <c:pt idx="30">
                        <c:v>6.594153636981645E-2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C7-4397-90EC-970D680B749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PTTM!$G$1</c15:sqref>
                        </c15:formulaRef>
                      </c:ext>
                    </c:extLst>
                    <c:strCache>
                      <c:ptCount val="1"/>
                      <c:pt idx="0">
                        <c:v>H2 FCET Share (%)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PTTM!$G$2:$G$32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1E-4</c:v>
                      </c:pt>
                      <c:pt idx="6">
                        <c:v>1.8888951635164685E-4</c:v>
                      </c:pt>
                      <c:pt idx="7">
                        <c:v>3.3501577080588188E-4</c:v>
                      </c:pt>
                      <c:pt idx="8">
                        <c:v>5.6141042024854097E-4</c:v>
                      </c:pt>
                      <c:pt idx="9">
                        <c:v>8.9390961196707968E-4</c:v>
                      </c:pt>
                      <c:pt idx="10">
                        <c:v>1.3592619007633823E-3</c:v>
                      </c:pt>
                      <c:pt idx="11">
                        <c:v>1.9828500031468213E-3</c:v>
                      </c:pt>
                      <c:pt idx="12">
                        <c:v>2.7863675559910623E-3</c:v>
                      </c:pt>
                      <c:pt idx="13">
                        <c:v>3.7857915370495925E-3</c:v>
                      </c:pt>
                      <c:pt idx="14">
                        <c:v>4.9899183908842471E-3</c:v>
                      </c:pt>
                      <c:pt idx="15">
                        <c:v>6.399615750991983E-3</c:v>
                      </c:pt>
                      <c:pt idx="16">
                        <c:v>8.0078156935289614E-3</c:v>
                      </c:pt>
                      <c:pt idx="17">
                        <c:v>9.8001677554965198E-3</c:v>
                      </c:pt>
                      <c:pt idx="18">
                        <c:v>1.1756197102529911E-2</c:v>
                      </c:pt>
                      <c:pt idx="19">
                        <c:v>1.3850779763132984E-2</c:v>
                      </c:pt>
                      <c:pt idx="20">
                        <c:v>1.6055748022997834E-2</c:v>
                      </c:pt>
                      <c:pt idx="21">
                        <c:v>1.8341465041090362E-2</c:v>
                      </c:pt>
                      <c:pt idx="22">
                        <c:v>2.0678247356969617E-2</c:v>
                      </c:pt>
                      <c:pt idx="23">
                        <c:v>2.3037557413599117E-2</c:v>
                      </c:pt>
                      <c:pt idx="24">
                        <c:v>2.5392928417591033E-2</c:v>
                      </c:pt>
                      <c:pt idx="25">
                        <c:v>2.7720616640294123E-2</c:v>
                      </c:pt>
                      <c:pt idx="26">
                        <c:v>2.9999999999999995E-2</c:v>
                      </c:pt>
                      <c:pt idx="27">
                        <c:v>3.3345580033975121E-2</c:v>
                      </c:pt>
                      <c:pt idx="28">
                        <c:v>4.2754163841238021E-2</c:v>
                      </c:pt>
                      <c:pt idx="29">
                        <c:v>5.2162747648500915E-2</c:v>
                      </c:pt>
                      <c:pt idx="30">
                        <c:v>6.1571331455763816E-2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3C7-4397-90EC-970D680B749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PTTM!$J$1</c15:sqref>
                        </c15:formulaRef>
                      </c:ext>
                    </c:extLst>
                    <c:strCache>
                      <c:ptCount val="1"/>
                      <c:pt idx="0">
                        <c:v>LNG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PTTM!$J$2:$J$32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1.37636982458765E-3</c:v>
                      </c:pt>
                      <c:pt idx="1">
                        <c:v>1.376417543549908E-3</c:v>
                      </c:pt>
                      <c:pt idx="2">
                        <c:v>1.3771333220666479E-3</c:v>
                      </c:pt>
                      <c:pt idx="3">
                        <c:v>1.3802348266908385E-3</c:v>
                      </c:pt>
                      <c:pt idx="4">
                        <c:v>1.3885827550692541E-3</c:v>
                      </c:pt>
                      <c:pt idx="5">
                        <c:v>1.4061708922738596E-3</c:v>
                      </c:pt>
                      <c:pt idx="6">
                        <c:v>1.4380935075883627E-3</c:v>
                      </c:pt>
                      <c:pt idx="7">
                        <c:v>1.4904626833928437E-3</c:v>
                      </c:pt>
                      <c:pt idx="8">
                        <c:v>1.570232100359279E-3</c:v>
                      </c:pt>
                      <c:pt idx="9">
                        <c:v>1.6848661341873788E-3</c:v>
                      </c:pt>
                      <c:pt idx="10">
                        <c:v>1.8417777097579045E-3</c:v>
                      </c:pt>
                      <c:pt idx="11">
                        <c:v>2.0474523799448403E-3</c:v>
                      </c:pt>
                      <c:pt idx="12">
                        <c:v>2.3061911278746106E-3</c:v>
                      </c:pt>
                      <c:pt idx="13">
                        <c:v>2.6184564432995975E-3</c:v>
                      </c:pt>
                      <c:pt idx="14">
                        <c:v>2.9789130144606715E-3</c:v>
                      </c:pt>
                      <c:pt idx="15">
                        <c:v>3.3744276010490865E-3</c:v>
                      </c:pt>
                      <c:pt idx="16">
                        <c:v>3.7825233658597989E-3</c:v>
                      </c:pt>
                      <c:pt idx="17">
                        <c:v>4.1710220424781702E-3</c:v>
                      </c:pt>
                      <c:pt idx="18">
                        <c:v>4.499743032365844E-3</c:v>
                      </c:pt>
                      <c:pt idx="19">
                        <c:v>4.7249944743014494E-3</c:v>
                      </c:pt>
                      <c:pt idx="20">
                        <c:v>4.8070125830623495E-3</c:v>
                      </c:pt>
                      <c:pt idx="21">
                        <c:v>4.6423294571938754E-3</c:v>
                      </c:pt>
                      <c:pt idx="22">
                        <c:v>4.4776463313254003E-3</c:v>
                      </c:pt>
                      <c:pt idx="23">
                        <c:v>4.3129632054569262E-3</c:v>
                      </c:pt>
                      <c:pt idx="24">
                        <c:v>4.1482800795884511E-3</c:v>
                      </c:pt>
                      <c:pt idx="25">
                        <c:v>3.983596953719977E-3</c:v>
                      </c:pt>
                      <c:pt idx="26">
                        <c:v>3.6031972940098545E-3</c:v>
                      </c:pt>
                      <c:pt idx="27">
                        <c:v>2.6072980555798602E-3</c:v>
                      </c:pt>
                      <c:pt idx="28">
                        <c:v>1.3762988981401167E-3</c:v>
                      </c:pt>
                      <c:pt idx="29">
                        <c:v>3.8039965971012248E-4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3C7-4397-90EC-970D680B749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PTTM!$L$1</c15:sqref>
                        </c15:formulaRef>
                      </c:ext>
                    </c:extLst>
                    <c:strCache>
                      <c:ptCount val="1"/>
                      <c:pt idx="0">
                        <c:v>CNG Share %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PTTM!$L$2:$L$32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4.4414107790702026E-2</c:v>
                      </c:pt>
                      <c:pt idx="1">
                        <c:v>4.4414172410617368E-2</c:v>
                      </c:pt>
                      <c:pt idx="2">
                        <c:v>4.4415141701334704E-2</c:v>
                      </c:pt>
                      <c:pt idx="3">
                        <c:v>4.4419341687184637E-2</c:v>
                      </c:pt>
                      <c:pt idx="4">
                        <c:v>4.4430646258776164E-2</c:v>
                      </c:pt>
                      <c:pt idx="5">
                        <c:v>4.4454463707510529E-2</c:v>
                      </c:pt>
                      <c:pt idx="6">
                        <c:v>4.4497692575063426E-2</c:v>
                      </c:pt>
                      <c:pt idx="7">
                        <c:v>4.4568609702072055E-2</c:v>
                      </c:pt>
                      <c:pt idx="8">
                        <c:v>4.4676631602121299E-2</c:v>
                      </c:pt>
                      <c:pt idx="9">
                        <c:v>4.4831866360194442E-2</c:v>
                      </c:pt>
                      <c:pt idx="10">
                        <c:v>4.5044352387765392E-2</c:v>
                      </c:pt>
                      <c:pt idx="11">
                        <c:v>4.5322872270578907E-2</c:v>
                      </c:pt>
                      <c:pt idx="12">
                        <c:v>4.5673250300538634E-2</c:v>
                      </c:pt>
                      <c:pt idx="13">
                        <c:v>4.609611277057369E-2</c:v>
                      </c:pt>
                      <c:pt idx="14">
                        <c:v>4.6584234724861485E-2</c:v>
                      </c:pt>
                      <c:pt idx="15">
                        <c:v>4.7119831433039112E-2</c:v>
                      </c:pt>
                      <c:pt idx="16">
                        <c:v>4.7672465281866805E-2</c:v>
                      </c:pt>
                      <c:pt idx="17">
                        <c:v>4.8198561206982952E-2</c:v>
                      </c:pt>
                      <c:pt idx="18">
                        <c:v>4.8643707570891759E-2</c:v>
                      </c:pt>
                      <c:pt idx="19">
                        <c:v>4.8948737865358548E-2</c:v>
                      </c:pt>
                      <c:pt idx="20">
                        <c:v>4.9059804891842217E-2</c:v>
                      </c:pt>
                      <c:pt idx="21">
                        <c:v>4.6137123351083616E-2</c:v>
                      </c:pt>
                      <c:pt idx="22">
                        <c:v>4.3214441810325015E-2</c:v>
                      </c:pt>
                      <c:pt idx="23">
                        <c:v>4.0291760269566414E-2</c:v>
                      </c:pt>
                      <c:pt idx="24">
                        <c:v>3.7369078728807813E-2</c:v>
                      </c:pt>
                      <c:pt idx="25">
                        <c:v>3.4446397188049212E-2</c:v>
                      </c:pt>
                      <c:pt idx="26">
                        <c:v>3.1157058954085215E-2</c:v>
                      </c:pt>
                      <c:pt idx="27">
                        <c:v>2.254545965707291E-2</c:v>
                      </c:pt>
                      <c:pt idx="28">
                        <c:v>1.1900937530976303E-2</c:v>
                      </c:pt>
                      <c:pt idx="29">
                        <c:v>3.2893382339640002E-3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3C7-4397-90EC-970D680B749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PTTM!$N$1</c15:sqref>
                        </c15:formulaRef>
                      </c:ext>
                    </c:extLst>
                    <c:strCache>
                      <c:ptCount val="1"/>
                      <c:pt idx="0">
                        <c:v>Diesel Share%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PTTM!$N$2:$N$32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0.95365224221116807</c:v>
                      </c:pt>
                      <c:pt idx="1">
                        <c:v>0.95285399665416992</c:v>
                      </c:pt>
                      <c:pt idx="2">
                        <c:v>0.95123941759953046</c:v>
                      </c:pt>
                      <c:pt idx="3">
                        <c:v>0.94817440957246379</c:v>
                      </c:pt>
                      <c:pt idx="4">
                        <c:v>0.9431003948154919</c:v>
                      </c:pt>
                      <c:pt idx="5">
                        <c:v>0.93507309574779229</c:v>
                      </c:pt>
                      <c:pt idx="6">
                        <c:v>0.92339882016513819</c:v>
                      </c:pt>
                      <c:pt idx="7">
                        <c:v>0.89396332573982762</c:v>
                      </c:pt>
                      <c:pt idx="8">
                        <c:v>0.86691543839481411</c:v>
                      </c:pt>
                      <c:pt idx="9">
                        <c:v>0.82351011236136118</c:v>
                      </c:pt>
                      <c:pt idx="10">
                        <c:v>0.7658077863655508</c:v>
                      </c:pt>
                      <c:pt idx="11">
                        <c:v>0.69657357850105073</c:v>
                      </c:pt>
                      <c:pt idx="12">
                        <c:v>0.61914222177497258</c:v>
                      </c:pt>
                      <c:pt idx="13">
                        <c:v>0.53725541692026646</c:v>
                      </c:pt>
                      <c:pt idx="14">
                        <c:v>0.45487954701271988</c:v>
                      </c:pt>
                      <c:pt idx="15">
                        <c:v>0.37601243075638202</c:v>
                      </c:pt>
                      <c:pt idx="16">
                        <c:v>0.30448791778252027</c:v>
                      </c:pt>
                      <c:pt idx="17">
                        <c:v>0.24378670912052847</c:v>
                      </c:pt>
                      <c:pt idx="18">
                        <c:v>0.19686105864240402</c:v>
                      </c:pt>
                      <c:pt idx="19">
                        <c:v>0.16598039183193622</c:v>
                      </c:pt>
                      <c:pt idx="20">
                        <c:v>0.1526048344768646</c:v>
                      </c:pt>
                      <c:pt idx="21">
                        <c:v>0.1372553433882702</c:v>
                      </c:pt>
                      <c:pt idx="22">
                        <c:v>0.12180588941106277</c:v>
                      </c:pt>
                      <c:pt idx="23">
                        <c:v>0.10630618379294657</c:v>
                      </c:pt>
                      <c:pt idx="24">
                        <c:v>9.0802744445517933E-2</c:v>
                      </c:pt>
                      <c:pt idx="25">
                        <c:v>7.5337807550697675E-2</c:v>
                      </c:pt>
                      <c:pt idx="26">
                        <c:v>6.6184613743500251E-2</c:v>
                      </c:pt>
                      <c:pt idx="27">
                        <c:v>4.8942145626538806E-2</c:v>
                      </c:pt>
                      <c:pt idx="28">
                        <c:v>3.6119365797011346E-2</c:v>
                      </c:pt>
                      <c:pt idx="29">
                        <c:v>2.1028563219389545E-2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3C7-4397-90EC-970D680B749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PTTM!$O$1</c15:sqref>
                        </c15:formulaRef>
                      </c:ext>
                    </c:extLst>
                    <c:strCache>
                      <c:ptCount val="1"/>
                      <c:pt idx="0">
                        <c:v>Total ZET Share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PTTM!$O$2:$O$32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5.5728017354228227E-4</c:v>
                      </c:pt>
                      <c:pt idx="1">
                        <c:v>1.3554133916627094E-3</c:v>
                      </c:pt>
                      <c:pt idx="2">
                        <c:v>2.9683073770682285E-3</c:v>
                      </c:pt>
                      <c:pt idx="3">
                        <c:v>6.0260139136606447E-3</c:v>
                      </c:pt>
                      <c:pt idx="4">
                        <c:v>1.1080376170662643E-2</c:v>
                      </c:pt>
                      <c:pt idx="5">
                        <c:v>1.9066269652423376E-2</c:v>
                      </c:pt>
                      <c:pt idx="6">
                        <c:v>3.0665393752209977E-2</c:v>
                      </c:pt>
                      <c:pt idx="7">
                        <c:v>5.9977601874707499E-2</c:v>
                      </c:pt>
                      <c:pt idx="8">
                        <c:v>8.6837697902705305E-2</c:v>
                      </c:pt>
                      <c:pt idx="9">
                        <c:v>0.12997315514425695</c:v>
                      </c:pt>
                      <c:pt idx="10">
                        <c:v>0.18730608353692596</c:v>
                      </c:pt>
                      <c:pt idx="11">
                        <c:v>0.25605609684842551</c:v>
                      </c:pt>
                      <c:pt idx="12">
                        <c:v>0.33287833679661427</c:v>
                      </c:pt>
                      <c:pt idx="13">
                        <c:v>0.41403001386586025</c:v>
                      </c:pt>
                      <c:pt idx="14">
                        <c:v>0.49555730524795794</c:v>
                      </c:pt>
                      <c:pt idx="15">
                        <c:v>0.57349331020952976</c:v>
                      </c:pt>
                      <c:pt idx="16">
                        <c:v>0.64405709356975305</c:v>
                      </c:pt>
                      <c:pt idx="17">
                        <c:v>0.70384370763001047</c:v>
                      </c:pt>
                      <c:pt idx="18">
                        <c:v>0.74999549075433847</c:v>
                      </c:pt>
                      <c:pt idx="19">
                        <c:v>0.78034587582840376</c:v>
                      </c:pt>
                      <c:pt idx="20">
                        <c:v>0.79352834804823091</c:v>
                      </c:pt>
                      <c:pt idx="21">
                        <c:v>0.81196520380345238</c:v>
                      </c:pt>
                      <c:pt idx="22">
                        <c:v>0.83050202244728677</c:v>
                      </c:pt>
                      <c:pt idx="23">
                        <c:v>0.84908909273203015</c:v>
                      </c:pt>
                      <c:pt idx="24">
                        <c:v>0.86767989674608592</c:v>
                      </c:pt>
                      <c:pt idx="25">
                        <c:v>0.88623219830753308</c:v>
                      </c:pt>
                      <c:pt idx="26">
                        <c:v>0.89905513000840476</c:v>
                      </c:pt>
                      <c:pt idx="27">
                        <c:v>0.92590509666080845</c:v>
                      </c:pt>
                      <c:pt idx="28">
                        <c:v>0.95060339777387226</c:v>
                      </c:pt>
                      <c:pt idx="29">
                        <c:v>0.97530169888693619</c:v>
                      </c:pt>
                      <c:pt idx="3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3C7-4397-90EC-970D680B749E}"/>
                  </c:ext>
                </c:extLst>
              </c15:ser>
            </c15:filteredLineSeries>
          </c:ext>
        </c:extLst>
      </c:lineChart>
      <c:catAx>
        <c:axId val="5669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62512"/>
        <c:crosses val="autoZero"/>
        <c:auto val="1"/>
        <c:lblAlgn val="ctr"/>
        <c:lblOffset val="100"/>
        <c:noMultiLvlLbl val="0"/>
      </c:catAx>
      <c:valAx>
        <c:axId val="56696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All Powertrain</a:t>
            </a:r>
            <a:r>
              <a:rPr lang="en-IN" baseline="0"/>
              <a:t> Emissions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'Emissions '!$H$87</c:f>
              <c:strCache>
                <c:ptCount val="1"/>
                <c:pt idx="0">
                  <c:v>Emission w/o PT Adoption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'Emissions '!$A$88:$A$118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'Emissions '!$H$88:$H$118</c:f>
              <c:numCache>
                <c:formatCode>0.00</c:formatCode>
                <c:ptCount val="31"/>
                <c:pt idx="0">
                  <c:v>427.42151743668472</c:v>
                </c:pt>
                <c:pt idx="1">
                  <c:v>434.73466239913637</c:v>
                </c:pt>
                <c:pt idx="2">
                  <c:v>440.5707546012124</c:v>
                </c:pt>
                <c:pt idx="3">
                  <c:v>447.00773569525001</c:v>
                </c:pt>
                <c:pt idx="4">
                  <c:v>454.82296941899892</c:v>
                </c:pt>
                <c:pt idx="5">
                  <c:v>460.73154685147625</c:v>
                </c:pt>
                <c:pt idx="6">
                  <c:v>467.20907026200234</c:v>
                </c:pt>
                <c:pt idx="7">
                  <c:v>480.96279425279232</c:v>
                </c:pt>
                <c:pt idx="8">
                  <c:v>498.265781985893</c:v>
                </c:pt>
                <c:pt idx="9">
                  <c:v>521.54290599694934</c:v>
                </c:pt>
                <c:pt idx="10">
                  <c:v>545.23311036828943</c:v>
                </c:pt>
                <c:pt idx="11">
                  <c:v>569.41393678133511</c:v>
                </c:pt>
                <c:pt idx="12">
                  <c:v>581.68555401091919</c:v>
                </c:pt>
                <c:pt idx="13">
                  <c:v>592.78222822501846</c:v>
                </c:pt>
                <c:pt idx="14">
                  <c:v>605.35067876068672</c:v>
                </c:pt>
                <c:pt idx="15">
                  <c:v>625.70578374334139</c:v>
                </c:pt>
                <c:pt idx="16">
                  <c:v>654.54454583991537</c:v>
                </c:pt>
                <c:pt idx="17">
                  <c:v>698.06223419537241</c:v>
                </c:pt>
                <c:pt idx="18">
                  <c:v>735.2246851752235</c:v>
                </c:pt>
                <c:pt idx="19">
                  <c:v>768.04036499855658</c:v>
                </c:pt>
                <c:pt idx="20">
                  <c:v>803.57056151441452</c:v>
                </c:pt>
                <c:pt idx="21">
                  <c:v>840.93498291795652</c:v>
                </c:pt>
                <c:pt idx="22">
                  <c:v>877.91628635867653</c:v>
                </c:pt>
                <c:pt idx="23">
                  <c:v>916.20710995209436</c:v>
                </c:pt>
                <c:pt idx="24">
                  <c:v>955.46581555694502</c:v>
                </c:pt>
                <c:pt idx="25">
                  <c:v>995.42260168166774</c:v>
                </c:pt>
                <c:pt idx="26">
                  <c:v>1038.8448951205885</c:v>
                </c:pt>
                <c:pt idx="27">
                  <c:v>1084.4814891569472</c:v>
                </c:pt>
                <c:pt idx="28">
                  <c:v>1130.2055060112059</c:v>
                </c:pt>
                <c:pt idx="29">
                  <c:v>1176.1888463355142</c:v>
                </c:pt>
                <c:pt idx="30">
                  <c:v>1223.8162603687381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0E0-404E-BFA0-7AB700949785}"/>
            </c:ext>
          </c:extLst>
        </c:ser>
        <c:ser>
          <c:idx val="7"/>
          <c:order val="7"/>
          <c:tx>
            <c:strRef>
              <c:f>'Emissions '!$I$87</c:f>
              <c:strCache>
                <c:ptCount val="1"/>
                <c:pt idx="0">
                  <c:v>Emission with PT Adoption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'Emissions '!$I$88:$I$118</c:f>
              <c:numCache>
                <c:formatCode>0.00</c:formatCode>
                <c:ptCount val="31"/>
                <c:pt idx="0">
                  <c:v>427.23042729952988</c:v>
                </c:pt>
                <c:pt idx="1">
                  <c:v>434.32359617724353</c:v>
                </c:pt>
                <c:pt idx="2">
                  <c:v>439.92697351851916</c:v>
                </c:pt>
                <c:pt idx="3">
                  <c:v>446.10391581682484</c:v>
                </c:pt>
                <c:pt idx="4">
                  <c:v>453.59269936325325</c:v>
                </c:pt>
                <c:pt idx="5">
                  <c:v>459.08871630449192</c:v>
                </c:pt>
                <c:pt idx="6">
                  <c:v>465.01363849721747</c:v>
                </c:pt>
                <c:pt idx="7">
                  <c:v>477.83652547435548</c:v>
                </c:pt>
                <c:pt idx="8">
                  <c:v>493.74719680648974</c:v>
                </c:pt>
                <c:pt idx="9">
                  <c:v>514.89512253550777</c:v>
                </c:pt>
                <c:pt idx="10">
                  <c:v>535.39724433625133</c:v>
                </c:pt>
                <c:pt idx="11">
                  <c:v>554.89094251407857</c:v>
                </c:pt>
                <c:pt idx="12">
                  <c:v>560.55154305339829</c:v>
                </c:pt>
                <c:pt idx="13">
                  <c:v>563.01033364562181</c:v>
                </c:pt>
                <c:pt idx="14">
                  <c:v>564.28313439371561</c:v>
                </c:pt>
                <c:pt idx="15">
                  <c:v>570.39680169799851</c:v>
                </c:pt>
                <c:pt idx="16">
                  <c:v>582.16357710753914</c:v>
                </c:pt>
                <c:pt idx="17">
                  <c:v>604.47488661933573</c:v>
                </c:pt>
                <c:pt idx="18">
                  <c:v>618.12185292087679</c:v>
                </c:pt>
                <c:pt idx="19">
                  <c:v>624.61333677037771</c:v>
                </c:pt>
                <c:pt idx="20">
                  <c:v>631.37810881028543</c:v>
                </c:pt>
                <c:pt idx="21">
                  <c:v>637.57133869014638</c:v>
                </c:pt>
                <c:pt idx="22">
                  <c:v>640.58993263718548</c:v>
                </c:pt>
                <c:pt idx="23">
                  <c:v>642.66072271274902</c:v>
                </c:pt>
                <c:pt idx="24">
                  <c:v>643.4830323290854</c:v>
                </c:pt>
                <c:pt idx="25">
                  <c:v>643.22019766672986</c:v>
                </c:pt>
                <c:pt idx="26">
                  <c:v>643.38844689668838</c:v>
                </c:pt>
                <c:pt idx="27">
                  <c:v>643.39546287147084</c:v>
                </c:pt>
                <c:pt idx="28">
                  <c:v>641.43402868399676</c:v>
                </c:pt>
                <c:pt idx="29">
                  <c:v>638.31704758501792</c:v>
                </c:pt>
                <c:pt idx="30">
                  <c:v>635.2332334281748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B-4EF8-B877-97772220DD3A}"/>
            </c:ext>
          </c:extLst>
        </c:ser>
        <c:ser>
          <c:idx val="8"/>
          <c:order val="8"/>
          <c:tx>
            <c:strRef>
              <c:f>'Emissions '!$J$87</c:f>
              <c:strCache>
                <c:ptCount val="1"/>
                <c:pt idx="0">
                  <c:v>Annual Emission Reduction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'Emissions '!$J$88:$J$118</c:f>
              <c:numCache>
                <c:formatCode>0.00</c:formatCode>
                <c:ptCount val="31"/>
                <c:pt idx="0">
                  <c:v>0.1910901371548448</c:v>
                </c:pt>
                <c:pt idx="1">
                  <c:v>0.41106622189283826</c:v>
                </c:pt>
                <c:pt idx="2">
                  <c:v>0.64378108269323775</c:v>
                </c:pt>
                <c:pt idx="3">
                  <c:v>0.90381987842516764</c:v>
                </c:pt>
                <c:pt idx="4">
                  <c:v>1.2302700557456774</c:v>
                </c:pt>
                <c:pt idx="5">
                  <c:v>1.6428305469843281</c:v>
                </c:pt>
                <c:pt idx="6">
                  <c:v>2.1954317647848711</c:v>
                </c:pt>
                <c:pt idx="7">
                  <c:v>3.1262687784368381</c:v>
                </c:pt>
                <c:pt idx="8">
                  <c:v>4.5185851794032601</c:v>
                </c:pt>
                <c:pt idx="9">
                  <c:v>6.6477834614415769</c:v>
                </c:pt>
                <c:pt idx="10">
                  <c:v>9.8358660320380977</c:v>
                </c:pt>
                <c:pt idx="11">
                  <c:v>14.522994267256536</c:v>
                </c:pt>
                <c:pt idx="12">
                  <c:v>21.1340109575209</c:v>
                </c:pt>
                <c:pt idx="13">
                  <c:v>29.771894579396644</c:v>
                </c:pt>
                <c:pt idx="14">
                  <c:v>41.067544366971106</c:v>
                </c:pt>
                <c:pt idx="15">
                  <c:v>55.308982045342873</c:v>
                </c:pt>
                <c:pt idx="16">
                  <c:v>72.380968732376232</c:v>
                </c:pt>
                <c:pt idx="17">
                  <c:v>93.587347576036677</c:v>
                </c:pt>
                <c:pt idx="18">
                  <c:v>117.10283225434671</c:v>
                </c:pt>
                <c:pt idx="19">
                  <c:v>143.42702822817887</c:v>
                </c:pt>
                <c:pt idx="20">
                  <c:v>172.1924527041291</c:v>
                </c:pt>
                <c:pt idx="21">
                  <c:v>203.36364422781014</c:v>
                </c:pt>
                <c:pt idx="22">
                  <c:v>237.32635372149105</c:v>
                </c:pt>
                <c:pt idx="23">
                  <c:v>273.54638723934534</c:v>
                </c:pt>
                <c:pt idx="24">
                  <c:v>311.98278322785961</c:v>
                </c:pt>
                <c:pt idx="25">
                  <c:v>352.20240401493788</c:v>
                </c:pt>
                <c:pt idx="26">
                  <c:v>395.45644822390011</c:v>
                </c:pt>
                <c:pt idx="27">
                  <c:v>441.08602628547635</c:v>
                </c:pt>
                <c:pt idx="28">
                  <c:v>488.77147732720914</c:v>
                </c:pt>
                <c:pt idx="29">
                  <c:v>537.87179875049628</c:v>
                </c:pt>
                <c:pt idx="30">
                  <c:v>588.58302694056329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3-499E-9B79-314AAD7D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019568"/>
        <c:axId val="839021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'Emissions '!$B$87</c15:sqref>
                        </c15:formulaRef>
                      </c:ext>
                    </c:extLst>
                    <c:strCache>
                      <c:ptCount val="1"/>
                      <c:pt idx="0">
                        <c:v>Diesel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'Emissions '!$B$88:$B$118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426.42498937881993</c:v>
                      </c:pt>
                      <c:pt idx="1">
                        <c:v>432.59517465384192</c:v>
                      </c:pt>
                      <c:pt idx="2">
                        <c:v>437.23668981431257</c:v>
                      </c:pt>
                      <c:pt idx="3">
                        <c:v>442.38072288992373</c:v>
                      </c:pt>
                      <c:pt idx="4">
                        <c:v>448.64956367448718</c:v>
                      </c:pt>
                      <c:pt idx="5">
                        <c:v>452.75565994203271</c:v>
                      </c:pt>
                      <c:pt idx="6">
                        <c:v>457.05632396174065</c:v>
                      </c:pt>
                      <c:pt idx="7">
                        <c:v>467.51342893131499</c:v>
                      </c:pt>
                      <c:pt idx="8">
                        <c:v>480.3974146670754</c:v>
                      </c:pt>
                      <c:pt idx="9">
                        <c:v>497.56743206108138</c:v>
                      </c:pt>
                      <c:pt idx="10">
                        <c:v>512.73232424613104</c:v>
                      </c:pt>
                      <c:pt idx="11">
                        <c:v>525.32863590083616</c:v>
                      </c:pt>
                      <c:pt idx="12">
                        <c:v>522.37102743623541</c:v>
                      </c:pt>
                      <c:pt idx="13">
                        <c:v>514.3596201898888</c:v>
                      </c:pt>
                      <c:pt idx="14">
                        <c:v>503.23411324302867</c:v>
                      </c:pt>
                      <c:pt idx="15">
                        <c:v>495.1642467564551</c:v>
                      </c:pt>
                      <c:pt idx="16">
                        <c:v>491.93413718206671</c:v>
                      </c:pt>
                      <c:pt idx="17">
                        <c:v>497.80109148834919</c:v>
                      </c:pt>
                      <c:pt idx="18">
                        <c:v>494.02913801820267</c:v>
                      </c:pt>
                      <c:pt idx="19">
                        <c:v>482.62890522934441</c:v>
                      </c:pt>
                      <c:pt idx="20">
                        <c:v>471.61227712619609</c:v>
                      </c:pt>
                      <c:pt idx="21">
                        <c:v>460.08447820919667</c:v>
                      </c:pt>
                      <c:pt idx="22">
                        <c:v>445.6160294013448</c:v>
                      </c:pt>
                      <c:pt idx="23">
                        <c:v>431.34756395421266</c:v>
                      </c:pt>
                      <c:pt idx="24">
                        <c:v>416.73540598920891</c:v>
                      </c:pt>
                      <c:pt idx="25">
                        <c:v>400.27562656991114</c:v>
                      </c:pt>
                      <c:pt idx="26">
                        <c:v>385.70793211854004</c:v>
                      </c:pt>
                      <c:pt idx="27">
                        <c:v>372.51140105403834</c:v>
                      </c:pt>
                      <c:pt idx="28">
                        <c:v>359.14864639311924</c:v>
                      </c:pt>
                      <c:pt idx="29">
                        <c:v>346.46378941277294</c:v>
                      </c:pt>
                      <c:pt idx="30">
                        <c:v>335.38961664492689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0E0-404E-BFA0-7AB7009497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'!$C$87</c15:sqref>
                        </c15:formulaRef>
                      </c:ext>
                    </c:extLst>
                    <c:strCache>
                      <c:ptCount val="1"/>
                      <c:pt idx="0">
                        <c:v>BET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'!$C$88:$C$118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1.0005278667370103E-2</c:v>
                      </c:pt>
                      <c:pt idx="1">
                        <c:v>3.6288374826192203E-2</c:v>
                      </c:pt>
                      <c:pt idx="2">
                        <c:v>9.2975375567009313E-2</c:v>
                      </c:pt>
                      <c:pt idx="3">
                        <c:v>0.20346200340691553</c:v>
                      </c:pt>
                      <c:pt idx="4">
                        <c:v>0.41905297336201175</c:v>
                      </c:pt>
                      <c:pt idx="5">
                        <c:v>0.78075943224578492</c:v>
                      </c:pt>
                      <c:pt idx="6">
                        <c:v>1.3484695826833772</c:v>
                      </c:pt>
                      <c:pt idx="7">
                        <c:v>2.5651562413298739</c:v>
                      </c:pt>
                      <c:pt idx="8">
                        <c:v>4.3540348630105958</c:v>
                      </c:pt>
                      <c:pt idx="9">
                        <c:v>7.0275123780436992</c:v>
                      </c:pt>
                      <c:pt idx="10">
                        <c:v>10.986898087137556</c:v>
                      </c:pt>
                      <c:pt idx="11">
                        <c:v>16.418333637890051</c:v>
                      </c:pt>
                      <c:pt idx="12">
                        <c:v>23.459778944765354</c:v>
                      </c:pt>
                      <c:pt idx="13">
                        <c:v>32.304201350748556</c:v>
                      </c:pt>
                      <c:pt idx="14">
                        <c:v>42.944816953747555</c:v>
                      </c:pt>
                      <c:pt idx="15">
                        <c:v>55.247599199621362</c:v>
                      </c:pt>
                      <c:pt idx="16">
                        <c:v>69.044112765991812</c:v>
                      </c:pt>
                      <c:pt idx="17">
                        <c:v>84.131233079651722</c:v>
                      </c:pt>
                      <c:pt idx="18">
                        <c:v>100.17443523011589</c:v>
                      </c:pt>
                      <c:pt idx="19">
                        <c:v>116.58818355170816</c:v>
                      </c:pt>
                      <c:pt idx="20">
                        <c:v>132.87129061087285</c:v>
                      </c:pt>
                      <c:pt idx="21">
                        <c:v>149.18429285080714</c:v>
                      </c:pt>
                      <c:pt idx="22">
                        <c:v>165.33720434414658</c:v>
                      </c:pt>
                      <c:pt idx="23">
                        <c:v>180.53441778460626</c:v>
                      </c:pt>
                      <c:pt idx="24">
                        <c:v>195.01862613567454</c:v>
                      </c:pt>
                      <c:pt idx="25">
                        <c:v>210.39102069561082</c:v>
                      </c:pt>
                      <c:pt idx="26">
                        <c:v>224.45400516667834</c:v>
                      </c:pt>
                      <c:pt idx="27">
                        <c:v>237.53803349731751</c:v>
                      </c:pt>
                      <c:pt idx="28">
                        <c:v>249.56175900699981</c:v>
                      </c:pt>
                      <c:pt idx="29">
                        <c:v>260.43309813620726</c:v>
                      </c:pt>
                      <c:pt idx="30">
                        <c:v>270.05778495551061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E0-404E-BFA0-7AB7009497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'!$D$87</c15:sqref>
                        </c15:formulaRef>
                      </c:ext>
                    </c:extLst>
                    <c:strCache>
                      <c:ptCount val="1"/>
                      <c:pt idx="0">
                        <c:v>H2ICE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'!$D$88:$D$118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5.4354811878229754E-5</c:v>
                      </c:pt>
                      <c:pt idx="4">
                        <c:v>1.5909586710122372E-4</c:v>
                      </c:pt>
                      <c:pt idx="5">
                        <c:v>3.3935349075157276E-4</c:v>
                      </c:pt>
                      <c:pt idx="6">
                        <c:v>6.3479196481639258E-4</c:v>
                      </c:pt>
                      <c:pt idx="7">
                        <c:v>1.133792904384822E-3</c:v>
                      </c:pt>
                      <c:pt idx="8">
                        <c:v>1.9227116204275239E-3</c:v>
                      </c:pt>
                      <c:pt idx="9">
                        <c:v>3.0971043936478624E-3</c:v>
                      </c:pt>
                      <c:pt idx="10">
                        <c:v>4.814236214406669E-3</c:v>
                      </c:pt>
                      <c:pt idx="11">
                        <c:v>7.2409061853107651E-3</c:v>
                      </c:pt>
                      <c:pt idx="12">
                        <c:v>1.0578406518227002E-2</c:v>
                      </c:pt>
                      <c:pt idx="13">
                        <c:v>1.5005350194719873E-2</c:v>
                      </c:pt>
                      <c:pt idx="14">
                        <c:v>2.0847744929723966E-2</c:v>
                      </c:pt>
                      <c:pt idx="15">
                        <c:v>2.8381573213558831E-2</c:v>
                      </c:pt>
                      <c:pt idx="16">
                        <c:v>3.7894344185378223E-2</c:v>
                      </c:pt>
                      <c:pt idx="17">
                        <c:v>5.000776844792388E-2</c:v>
                      </c:pt>
                      <c:pt idx="18">
                        <c:v>6.458611585111794E-2</c:v>
                      </c:pt>
                      <c:pt idx="19">
                        <c:v>8.2037510798475127E-2</c:v>
                      </c:pt>
                      <c:pt idx="20">
                        <c:v>0.10269353204841132</c:v>
                      </c:pt>
                      <c:pt idx="21">
                        <c:v>0.12675453982207369</c:v>
                      </c:pt>
                      <c:pt idx="22">
                        <c:v>0.15455546417906746</c:v>
                      </c:pt>
                      <c:pt idx="23">
                        <c:v>0.18579692493955877</c:v>
                      </c:pt>
                      <c:pt idx="24">
                        <c:v>0.22072107605408253</c:v>
                      </c:pt>
                      <c:pt idx="25">
                        <c:v>0.2605808011230587</c:v>
                      </c:pt>
                      <c:pt idx="26">
                        <c:v>0.3053151088496332</c:v>
                      </c:pt>
                      <c:pt idx="27">
                        <c:v>0.37553131432532733</c:v>
                      </c:pt>
                      <c:pt idx="28">
                        <c:v>0.45930448956790998</c:v>
                      </c:pt>
                      <c:pt idx="29">
                        <c:v>0.55701805227445711</c:v>
                      </c:pt>
                      <c:pt idx="30">
                        <c:v>0.66943851048422853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0E0-404E-BFA0-7AB70094978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'!$E$87</c15:sqref>
                        </c15:formulaRef>
                      </c:ext>
                    </c:extLst>
                    <c:strCache>
                      <c:ptCount val="1"/>
                      <c:pt idx="0">
                        <c:v>H2 FCET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'!$E$88:$E$118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2.6216592605930149E-5</c:v>
                      </c:pt>
                      <c:pt idx="6">
                        <c:v>5.095488317378273E-5</c:v>
                      </c:pt>
                      <c:pt idx="7">
                        <c:v>9.9323365326796522E-5</c:v>
                      </c:pt>
                      <c:pt idx="8">
                        <c:v>1.7770205016136704E-4</c:v>
                      </c:pt>
                      <c:pt idx="9">
                        <c:v>2.9372620611021024E-4</c:v>
                      </c:pt>
                      <c:pt idx="10">
                        <c:v>4.727783291719457E-4</c:v>
                      </c:pt>
                      <c:pt idx="11">
                        <c:v>7.2018852604293639E-4</c:v>
                      </c:pt>
                      <c:pt idx="12">
                        <c:v>1.0576646401289579E-3</c:v>
                      </c:pt>
                      <c:pt idx="13">
                        <c:v>1.4869767522973571E-3</c:v>
                      </c:pt>
                      <c:pt idx="14">
                        <c:v>2.0448097676495666E-3</c:v>
                      </c:pt>
                      <c:pt idx="15">
                        <c:v>2.742891528055345E-3</c:v>
                      </c:pt>
                      <c:pt idx="16">
                        <c:v>3.6022848971080899E-3</c:v>
                      </c:pt>
                      <c:pt idx="17">
                        <c:v>4.6144856348449897E-3</c:v>
                      </c:pt>
                      <c:pt idx="18">
                        <c:v>5.7546854286827549E-3</c:v>
                      </c:pt>
                      <c:pt idx="19">
                        <c:v>7.0347064145297846E-3</c:v>
                      </c:pt>
                      <c:pt idx="20">
                        <c:v>8.4639321602103003E-3</c:v>
                      </c:pt>
                      <c:pt idx="21">
                        <c:v>9.9904145877619463E-3</c:v>
                      </c:pt>
                      <c:pt idx="22">
                        <c:v>1.1673107557004363E-2</c:v>
                      </c:pt>
                      <c:pt idx="23">
                        <c:v>1.3288280640217785E-2</c:v>
                      </c:pt>
                      <c:pt idx="24">
                        <c:v>1.5111835203532585E-2</c:v>
                      </c:pt>
                      <c:pt idx="25">
                        <c:v>1.7458705722925225E-2</c:v>
                      </c:pt>
                      <c:pt idx="26">
                        <c:v>1.963637278027687E-2</c:v>
                      </c:pt>
                      <c:pt idx="27">
                        <c:v>2.2660031646298533E-2</c:v>
                      </c:pt>
                      <c:pt idx="28">
                        <c:v>3.0123166729531393E-2</c:v>
                      </c:pt>
                      <c:pt idx="29">
                        <c:v>3.8062881293252526E-2</c:v>
                      </c:pt>
                      <c:pt idx="30">
                        <c:v>4.6486553001321936E-2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0E0-404E-BFA0-7AB7009497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'!$F$87</c15:sqref>
                        </c15:formulaRef>
                      </c:ext>
                    </c:extLst>
                    <c:strCache>
                      <c:ptCount val="1"/>
                      <c:pt idx="0">
                        <c:v>CNG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'!$F$88:$F$118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0.76894682631117173</c:v>
                      </c:pt>
                      <c:pt idx="1">
                        <c:v>1.6357857009925558</c:v>
                      </c:pt>
                      <c:pt idx="2">
                        <c:v>2.5107887333391501</c:v>
                      </c:pt>
                      <c:pt idx="3">
                        <c:v>3.402354176124216</c:v>
                      </c:pt>
                      <c:pt idx="4">
                        <c:v>4.3728676787025051</c:v>
                      </c:pt>
                      <c:pt idx="5">
                        <c:v>5.365980042180384</c:v>
                      </c:pt>
                      <c:pt idx="6">
                        <c:v>6.3856288074935295</c:v>
                      </c:pt>
                      <c:pt idx="7">
                        <c:v>7.4929727372362409</c:v>
                      </c:pt>
                      <c:pt idx="8">
                        <c:v>8.6834113951556624</c:v>
                      </c:pt>
                      <c:pt idx="9">
                        <c:v>9.9343306948168753</c:v>
                      </c:pt>
                      <c:pt idx="10">
                        <c:v>11.250419700421192</c:v>
                      </c:pt>
                      <c:pt idx="11">
                        <c:v>12.643728559657381</c:v>
                      </c:pt>
                      <c:pt idx="12">
                        <c:v>14.133737260834739</c:v>
                      </c:pt>
                      <c:pt idx="13">
                        <c:v>15.658105596042713</c:v>
                      </c:pt>
                      <c:pt idx="14">
                        <c:v>17.293352294463613</c:v>
                      </c:pt>
                      <c:pt idx="15">
                        <c:v>19.028112705544352</c:v>
                      </c:pt>
                      <c:pt idx="16">
                        <c:v>20.083612314707089</c:v>
                      </c:pt>
                      <c:pt idx="17">
                        <c:v>21.264829952177447</c:v>
                      </c:pt>
                      <c:pt idx="18">
                        <c:v>22.443833054899653</c:v>
                      </c:pt>
                      <c:pt idx="19">
                        <c:v>23.703211016529764</c:v>
                      </c:pt>
                      <c:pt idx="20">
                        <c:v>24.969242109130555</c:v>
                      </c:pt>
                      <c:pt idx="21">
                        <c:v>26.143027494239814</c:v>
                      </c:pt>
                      <c:pt idx="22">
                        <c:v>27.239920008793845</c:v>
                      </c:pt>
                      <c:pt idx="23">
                        <c:v>28.149355910264084</c:v>
                      </c:pt>
                      <c:pt idx="24">
                        <c:v>28.871859974611407</c:v>
                      </c:pt>
                      <c:pt idx="25">
                        <c:v>29.466641368532681</c:v>
                      </c:pt>
                      <c:pt idx="26">
                        <c:v>29.923270655567777</c:v>
                      </c:pt>
                      <c:pt idx="27">
                        <c:v>29.866868984006153</c:v>
                      </c:pt>
                      <c:pt idx="28">
                        <c:v>29.140141668674513</c:v>
                      </c:pt>
                      <c:pt idx="29">
                        <c:v>27.801802486144616</c:v>
                      </c:pt>
                      <c:pt idx="30">
                        <c:v>26.163185073853295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E0-404E-BFA0-7AB70094978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'!$G$87</c15:sqref>
                        </c15:formulaRef>
                      </c:ext>
                    </c:extLst>
                    <c:strCache>
                      <c:ptCount val="1"/>
                      <c:pt idx="0">
                        <c:v>LNG Emissions MT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'!$G$88:$G$118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2.6485815731378662E-2</c:v>
                      </c:pt>
                      <c:pt idx="1">
                        <c:v>5.6347447582864883E-2</c:v>
                      </c:pt>
                      <c:pt idx="2">
                        <c:v>8.6519595300453764E-2</c:v>
                      </c:pt>
                      <c:pt idx="3">
                        <c:v>0.1173223925580775</c:v>
                      </c:pt>
                      <c:pt idx="4">
                        <c:v>0.1510559408344396</c:v>
                      </c:pt>
                      <c:pt idx="5">
                        <c:v>0.18595131794968178</c:v>
                      </c:pt>
                      <c:pt idx="6">
                        <c:v>0.22253039845192307</c:v>
                      </c:pt>
                      <c:pt idx="7">
                        <c:v>0.26373444820465197</c:v>
                      </c:pt>
                      <c:pt idx="8">
                        <c:v>0.31023546757749598</c:v>
                      </c:pt>
                      <c:pt idx="9">
                        <c:v>0.36245657096607758</c:v>
                      </c:pt>
                      <c:pt idx="10">
                        <c:v>0.42231528801799034</c:v>
                      </c:pt>
                      <c:pt idx="11">
                        <c:v>0.49228332098360117</c:v>
                      </c:pt>
                      <c:pt idx="12">
                        <c:v>0.57536334040430848</c:v>
                      </c:pt>
                      <c:pt idx="13">
                        <c:v>0.67191418199472175</c:v>
                      </c:pt>
                      <c:pt idx="14">
                        <c:v>0.78795934777840881</c:v>
                      </c:pt>
                      <c:pt idx="15">
                        <c:v>0.92571857163603277</c:v>
                      </c:pt>
                      <c:pt idx="16">
                        <c:v>1.0602182156911184</c:v>
                      </c:pt>
                      <c:pt idx="17">
                        <c:v>1.2231098450744862</c:v>
                      </c:pt>
                      <c:pt idx="18">
                        <c:v>1.4041058163787237</c:v>
                      </c:pt>
                      <c:pt idx="19">
                        <c:v>1.6039647555824073</c:v>
                      </c:pt>
                      <c:pt idx="20">
                        <c:v>1.8141414998773397</c:v>
                      </c:pt>
                      <c:pt idx="21">
                        <c:v>2.022795181492949</c:v>
                      </c:pt>
                      <c:pt idx="22">
                        <c:v>2.2305503111640657</c:v>
                      </c:pt>
                      <c:pt idx="23">
                        <c:v>2.430299858086201</c:v>
                      </c:pt>
                      <c:pt idx="24">
                        <c:v>2.6213073183327888</c:v>
                      </c:pt>
                      <c:pt idx="25">
                        <c:v>2.8088695258291883</c:v>
                      </c:pt>
                      <c:pt idx="26">
                        <c:v>2.9782874742723147</c:v>
                      </c:pt>
                      <c:pt idx="27">
                        <c:v>3.08096799013722</c:v>
                      </c:pt>
                      <c:pt idx="28">
                        <c:v>3.0940539589059086</c:v>
                      </c:pt>
                      <c:pt idx="29">
                        <c:v>3.0232766163253397</c:v>
                      </c:pt>
                      <c:pt idx="30">
                        <c:v>2.9067216903985189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E0-404E-BFA0-7AB700949785}"/>
                  </c:ext>
                </c:extLst>
              </c15:ser>
            </c15:filteredLineSeries>
          </c:ext>
        </c:extLst>
      </c:lineChart>
      <c:catAx>
        <c:axId val="83901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21968"/>
        <c:crosses val="autoZero"/>
        <c:auto val="1"/>
        <c:lblAlgn val="ctr"/>
        <c:lblOffset val="100"/>
        <c:noMultiLvlLbl val="0"/>
      </c:catAx>
      <c:valAx>
        <c:axId val="8390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Emissions</a:t>
                </a:r>
                <a:r>
                  <a:rPr lang="en-IN" baseline="0"/>
                  <a:t> In Million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1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Emissions Savings - Cumulative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52901429009273E-2"/>
          <c:y val="8.728767984467363E-2"/>
          <c:w val="0.86061404039275458"/>
          <c:h val="0.72558728099691827"/>
        </c:manualLayout>
      </c:layout>
      <c:barChart>
        <c:barDir val="col"/>
        <c:grouping val="clustered"/>
        <c:varyColors val="0"/>
        <c:ser>
          <c:idx val="7"/>
          <c:order val="7"/>
          <c:tx>
            <c:strRef>
              <c:f>'Emissions '!$J$87</c:f>
              <c:strCache>
                <c:ptCount val="1"/>
                <c:pt idx="0">
                  <c:v>Annual Emission Reduction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'Emissions '!$A$88:$A$118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'Emissions '!$J$88:$J$118</c:f>
              <c:numCache>
                <c:formatCode>0.00</c:formatCode>
                <c:ptCount val="31"/>
                <c:pt idx="0">
                  <c:v>0.1910901371548448</c:v>
                </c:pt>
                <c:pt idx="1">
                  <c:v>0.41106622189283826</c:v>
                </c:pt>
                <c:pt idx="2">
                  <c:v>0.64378108269323775</c:v>
                </c:pt>
                <c:pt idx="3">
                  <c:v>0.90381987842516764</c:v>
                </c:pt>
                <c:pt idx="4">
                  <c:v>1.2302700557456774</c:v>
                </c:pt>
                <c:pt idx="5">
                  <c:v>1.6428305469843281</c:v>
                </c:pt>
                <c:pt idx="6">
                  <c:v>2.1954317647848711</c:v>
                </c:pt>
                <c:pt idx="7">
                  <c:v>3.1262687784368381</c:v>
                </c:pt>
                <c:pt idx="8">
                  <c:v>4.5185851794032601</c:v>
                </c:pt>
                <c:pt idx="9">
                  <c:v>6.6477834614415769</c:v>
                </c:pt>
                <c:pt idx="10">
                  <c:v>9.8358660320380977</c:v>
                </c:pt>
                <c:pt idx="11">
                  <c:v>14.522994267256536</c:v>
                </c:pt>
                <c:pt idx="12">
                  <c:v>21.1340109575209</c:v>
                </c:pt>
                <c:pt idx="13">
                  <c:v>29.771894579396644</c:v>
                </c:pt>
                <c:pt idx="14">
                  <c:v>41.067544366971106</c:v>
                </c:pt>
                <c:pt idx="15">
                  <c:v>55.308982045342873</c:v>
                </c:pt>
                <c:pt idx="16">
                  <c:v>72.380968732376232</c:v>
                </c:pt>
                <c:pt idx="17">
                  <c:v>93.587347576036677</c:v>
                </c:pt>
                <c:pt idx="18">
                  <c:v>117.10283225434671</c:v>
                </c:pt>
                <c:pt idx="19">
                  <c:v>143.42702822817887</c:v>
                </c:pt>
                <c:pt idx="20">
                  <c:v>172.1924527041291</c:v>
                </c:pt>
                <c:pt idx="21">
                  <c:v>203.36364422781014</c:v>
                </c:pt>
                <c:pt idx="22">
                  <c:v>237.32635372149105</c:v>
                </c:pt>
                <c:pt idx="23">
                  <c:v>273.54638723934534</c:v>
                </c:pt>
                <c:pt idx="24">
                  <c:v>311.98278322785961</c:v>
                </c:pt>
                <c:pt idx="25">
                  <c:v>352.20240401493788</c:v>
                </c:pt>
                <c:pt idx="26">
                  <c:v>395.45644822390011</c:v>
                </c:pt>
                <c:pt idx="27">
                  <c:v>441.08602628547635</c:v>
                </c:pt>
                <c:pt idx="28">
                  <c:v>488.77147732720914</c:v>
                </c:pt>
                <c:pt idx="29">
                  <c:v>537.87179875049628</c:v>
                </c:pt>
                <c:pt idx="30">
                  <c:v>588.58302694056329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6-425A-80EF-890BEC90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019568"/>
        <c:axId val="839021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'Emissions '!$B$87</c15:sqref>
                        </c15:formulaRef>
                      </c:ext>
                    </c:extLst>
                    <c:strCache>
                      <c:ptCount val="1"/>
                      <c:pt idx="0">
                        <c:v>Diesel Emissions MT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'Emissions '!$B$88:$B$118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426.42498937881993</c:v>
                      </c:pt>
                      <c:pt idx="1">
                        <c:v>432.59517465384192</c:v>
                      </c:pt>
                      <c:pt idx="2">
                        <c:v>437.23668981431257</c:v>
                      </c:pt>
                      <c:pt idx="3">
                        <c:v>442.38072288992373</c:v>
                      </c:pt>
                      <c:pt idx="4">
                        <c:v>448.64956367448718</c:v>
                      </c:pt>
                      <c:pt idx="5">
                        <c:v>452.75565994203271</c:v>
                      </c:pt>
                      <c:pt idx="6">
                        <c:v>457.05632396174065</c:v>
                      </c:pt>
                      <c:pt idx="7">
                        <c:v>467.51342893131499</c:v>
                      </c:pt>
                      <c:pt idx="8">
                        <c:v>480.3974146670754</c:v>
                      </c:pt>
                      <c:pt idx="9">
                        <c:v>497.56743206108138</c:v>
                      </c:pt>
                      <c:pt idx="10">
                        <c:v>512.73232424613104</c:v>
                      </c:pt>
                      <c:pt idx="11">
                        <c:v>525.32863590083616</c:v>
                      </c:pt>
                      <c:pt idx="12">
                        <c:v>522.37102743623541</c:v>
                      </c:pt>
                      <c:pt idx="13">
                        <c:v>514.3596201898888</c:v>
                      </c:pt>
                      <c:pt idx="14">
                        <c:v>503.23411324302867</c:v>
                      </c:pt>
                      <c:pt idx="15">
                        <c:v>495.1642467564551</c:v>
                      </c:pt>
                      <c:pt idx="16">
                        <c:v>491.93413718206671</c:v>
                      </c:pt>
                      <c:pt idx="17">
                        <c:v>497.80109148834919</c:v>
                      </c:pt>
                      <c:pt idx="18">
                        <c:v>494.02913801820267</c:v>
                      </c:pt>
                      <c:pt idx="19">
                        <c:v>482.62890522934441</c:v>
                      </c:pt>
                      <c:pt idx="20">
                        <c:v>471.61227712619609</c:v>
                      </c:pt>
                      <c:pt idx="21">
                        <c:v>460.08447820919667</c:v>
                      </c:pt>
                      <c:pt idx="22">
                        <c:v>445.6160294013448</c:v>
                      </c:pt>
                      <c:pt idx="23">
                        <c:v>431.34756395421266</c:v>
                      </c:pt>
                      <c:pt idx="24">
                        <c:v>416.73540598920891</c:v>
                      </c:pt>
                      <c:pt idx="25">
                        <c:v>400.27562656991114</c:v>
                      </c:pt>
                      <c:pt idx="26">
                        <c:v>385.70793211854004</c:v>
                      </c:pt>
                      <c:pt idx="27">
                        <c:v>372.51140105403834</c:v>
                      </c:pt>
                      <c:pt idx="28">
                        <c:v>359.14864639311924</c:v>
                      </c:pt>
                      <c:pt idx="29">
                        <c:v>346.46378941277294</c:v>
                      </c:pt>
                      <c:pt idx="30">
                        <c:v>335.38961664492689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4B6-4A3E-BDE3-02B2CBD0D06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'!$C$87</c15:sqref>
                        </c15:formulaRef>
                      </c:ext>
                    </c:extLst>
                    <c:strCache>
                      <c:ptCount val="1"/>
                      <c:pt idx="0">
                        <c:v>BET Emissions MT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'!$C$88:$C$118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1.0005278667370103E-2</c:v>
                      </c:pt>
                      <c:pt idx="1">
                        <c:v>3.6288374826192203E-2</c:v>
                      </c:pt>
                      <c:pt idx="2">
                        <c:v>9.2975375567009313E-2</c:v>
                      </c:pt>
                      <c:pt idx="3">
                        <c:v>0.20346200340691553</c:v>
                      </c:pt>
                      <c:pt idx="4">
                        <c:v>0.41905297336201175</c:v>
                      </c:pt>
                      <c:pt idx="5">
                        <c:v>0.78075943224578492</c:v>
                      </c:pt>
                      <c:pt idx="6">
                        <c:v>1.3484695826833772</c:v>
                      </c:pt>
                      <c:pt idx="7">
                        <c:v>2.5651562413298739</c:v>
                      </c:pt>
                      <c:pt idx="8">
                        <c:v>4.3540348630105958</c:v>
                      </c:pt>
                      <c:pt idx="9">
                        <c:v>7.0275123780436992</c:v>
                      </c:pt>
                      <c:pt idx="10">
                        <c:v>10.986898087137556</c:v>
                      </c:pt>
                      <c:pt idx="11">
                        <c:v>16.418333637890051</c:v>
                      </c:pt>
                      <c:pt idx="12">
                        <c:v>23.459778944765354</c:v>
                      </c:pt>
                      <c:pt idx="13">
                        <c:v>32.304201350748556</c:v>
                      </c:pt>
                      <c:pt idx="14">
                        <c:v>42.944816953747555</c:v>
                      </c:pt>
                      <c:pt idx="15">
                        <c:v>55.247599199621362</c:v>
                      </c:pt>
                      <c:pt idx="16">
                        <c:v>69.044112765991812</c:v>
                      </c:pt>
                      <c:pt idx="17">
                        <c:v>84.131233079651722</c:v>
                      </c:pt>
                      <c:pt idx="18">
                        <c:v>100.17443523011589</c:v>
                      </c:pt>
                      <c:pt idx="19">
                        <c:v>116.58818355170816</c:v>
                      </c:pt>
                      <c:pt idx="20">
                        <c:v>132.87129061087285</c:v>
                      </c:pt>
                      <c:pt idx="21">
                        <c:v>149.18429285080714</c:v>
                      </c:pt>
                      <c:pt idx="22">
                        <c:v>165.33720434414658</c:v>
                      </c:pt>
                      <c:pt idx="23">
                        <c:v>180.53441778460626</c:v>
                      </c:pt>
                      <c:pt idx="24">
                        <c:v>195.01862613567454</c:v>
                      </c:pt>
                      <c:pt idx="25">
                        <c:v>210.39102069561082</c:v>
                      </c:pt>
                      <c:pt idx="26">
                        <c:v>224.45400516667834</c:v>
                      </c:pt>
                      <c:pt idx="27">
                        <c:v>237.53803349731751</c:v>
                      </c:pt>
                      <c:pt idx="28">
                        <c:v>249.56175900699981</c:v>
                      </c:pt>
                      <c:pt idx="29">
                        <c:v>260.43309813620726</c:v>
                      </c:pt>
                      <c:pt idx="30">
                        <c:v>270.05778495551061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B6-4A3E-BDE3-02B2CBD0D06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'!$D$87</c15:sqref>
                        </c15:formulaRef>
                      </c:ext>
                    </c:extLst>
                    <c:strCache>
                      <c:ptCount val="1"/>
                      <c:pt idx="0">
                        <c:v>H2ICE Emissions MT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'!$D$88:$D$118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5.4354811878229754E-5</c:v>
                      </c:pt>
                      <c:pt idx="4">
                        <c:v>1.5909586710122372E-4</c:v>
                      </c:pt>
                      <c:pt idx="5">
                        <c:v>3.3935349075157276E-4</c:v>
                      </c:pt>
                      <c:pt idx="6">
                        <c:v>6.3479196481639258E-4</c:v>
                      </c:pt>
                      <c:pt idx="7">
                        <c:v>1.133792904384822E-3</c:v>
                      </c:pt>
                      <c:pt idx="8">
                        <c:v>1.9227116204275239E-3</c:v>
                      </c:pt>
                      <c:pt idx="9">
                        <c:v>3.0971043936478624E-3</c:v>
                      </c:pt>
                      <c:pt idx="10">
                        <c:v>4.814236214406669E-3</c:v>
                      </c:pt>
                      <c:pt idx="11">
                        <c:v>7.2409061853107651E-3</c:v>
                      </c:pt>
                      <c:pt idx="12">
                        <c:v>1.0578406518227002E-2</c:v>
                      </c:pt>
                      <c:pt idx="13">
                        <c:v>1.5005350194719873E-2</c:v>
                      </c:pt>
                      <c:pt idx="14">
                        <c:v>2.0847744929723966E-2</c:v>
                      </c:pt>
                      <c:pt idx="15">
                        <c:v>2.8381573213558831E-2</c:v>
                      </c:pt>
                      <c:pt idx="16">
                        <c:v>3.7894344185378223E-2</c:v>
                      </c:pt>
                      <c:pt idx="17">
                        <c:v>5.000776844792388E-2</c:v>
                      </c:pt>
                      <c:pt idx="18">
                        <c:v>6.458611585111794E-2</c:v>
                      </c:pt>
                      <c:pt idx="19">
                        <c:v>8.2037510798475127E-2</c:v>
                      </c:pt>
                      <c:pt idx="20">
                        <c:v>0.10269353204841132</c:v>
                      </c:pt>
                      <c:pt idx="21">
                        <c:v>0.12675453982207369</c:v>
                      </c:pt>
                      <c:pt idx="22">
                        <c:v>0.15455546417906746</c:v>
                      </c:pt>
                      <c:pt idx="23">
                        <c:v>0.18579692493955877</c:v>
                      </c:pt>
                      <c:pt idx="24">
                        <c:v>0.22072107605408253</c:v>
                      </c:pt>
                      <c:pt idx="25">
                        <c:v>0.2605808011230587</c:v>
                      </c:pt>
                      <c:pt idx="26">
                        <c:v>0.3053151088496332</c:v>
                      </c:pt>
                      <c:pt idx="27">
                        <c:v>0.37553131432532733</c:v>
                      </c:pt>
                      <c:pt idx="28">
                        <c:v>0.45930448956790998</c:v>
                      </c:pt>
                      <c:pt idx="29">
                        <c:v>0.55701805227445711</c:v>
                      </c:pt>
                      <c:pt idx="30">
                        <c:v>0.66943851048422853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B6-4A3E-BDE3-02B2CBD0D06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'!$E$87</c15:sqref>
                        </c15:formulaRef>
                      </c:ext>
                    </c:extLst>
                    <c:strCache>
                      <c:ptCount val="1"/>
                      <c:pt idx="0">
                        <c:v>H2 FCET Emissions MT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'!$E$88:$E$118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2.6216592605930149E-5</c:v>
                      </c:pt>
                      <c:pt idx="6">
                        <c:v>5.095488317378273E-5</c:v>
                      </c:pt>
                      <c:pt idx="7">
                        <c:v>9.9323365326796522E-5</c:v>
                      </c:pt>
                      <c:pt idx="8">
                        <c:v>1.7770205016136704E-4</c:v>
                      </c:pt>
                      <c:pt idx="9">
                        <c:v>2.9372620611021024E-4</c:v>
                      </c:pt>
                      <c:pt idx="10">
                        <c:v>4.727783291719457E-4</c:v>
                      </c:pt>
                      <c:pt idx="11">
                        <c:v>7.2018852604293639E-4</c:v>
                      </c:pt>
                      <c:pt idx="12">
                        <c:v>1.0576646401289579E-3</c:v>
                      </c:pt>
                      <c:pt idx="13">
                        <c:v>1.4869767522973571E-3</c:v>
                      </c:pt>
                      <c:pt idx="14">
                        <c:v>2.0448097676495666E-3</c:v>
                      </c:pt>
                      <c:pt idx="15">
                        <c:v>2.742891528055345E-3</c:v>
                      </c:pt>
                      <c:pt idx="16">
                        <c:v>3.6022848971080899E-3</c:v>
                      </c:pt>
                      <c:pt idx="17">
                        <c:v>4.6144856348449897E-3</c:v>
                      </c:pt>
                      <c:pt idx="18">
                        <c:v>5.7546854286827549E-3</c:v>
                      </c:pt>
                      <c:pt idx="19">
                        <c:v>7.0347064145297846E-3</c:v>
                      </c:pt>
                      <c:pt idx="20">
                        <c:v>8.4639321602103003E-3</c:v>
                      </c:pt>
                      <c:pt idx="21">
                        <c:v>9.9904145877619463E-3</c:v>
                      </c:pt>
                      <c:pt idx="22">
                        <c:v>1.1673107557004363E-2</c:v>
                      </c:pt>
                      <c:pt idx="23">
                        <c:v>1.3288280640217785E-2</c:v>
                      </c:pt>
                      <c:pt idx="24">
                        <c:v>1.5111835203532585E-2</c:v>
                      </c:pt>
                      <c:pt idx="25">
                        <c:v>1.7458705722925225E-2</c:v>
                      </c:pt>
                      <c:pt idx="26">
                        <c:v>1.963637278027687E-2</c:v>
                      </c:pt>
                      <c:pt idx="27">
                        <c:v>2.2660031646298533E-2</c:v>
                      </c:pt>
                      <c:pt idx="28">
                        <c:v>3.0123166729531393E-2</c:v>
                      </c:pt>
                      <c:pt idx="29">
                        <c:v>3.8062881293252526E-2</c:v>
                      </c:pt>
                      <c:pt idx="30">
                        <c:v>4.6486553001321936E-2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B6-4A3E-BDE3-02B2CBD0D06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'!$F$87</c15:sqref>
                        </c15:formulaRef>
                      </c:ext>
                    </c:extLst>
                    <c:strCache>
                      <c:ptCount val="1"/>
                      <c:pt idx="0">
                        <c:v>CNG Emissions MT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'!$F$88:$F$118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0.76894682631117173</c:v>
                      </c:pt>
                      <c:pt idx="1">
                        <c:v>1.6357857009925558</c:v>
                      </c:pt>
                      <c:pt idx="2">
                        <c:v>2.5107887333391501</c:v>
                      </c:pt>
                      <c:pt idx="3">
                        <c:v>3.402354176124216</c:v>
                      </c:pt>
                      <c:pt idx="4">
                        <c:v>4.3728676787025051</c:v>
                      </c:pt>
                      <c:pt idx="5">
                        <c:v>5.365980042180384</c:v>
                      </c:pt>
                      <c:pt idx="6">
                        <c:v>6.3856288074935295</c:v>
                      </c:pt>
                      <c:pt idx="7">
                        <c:v>7.4929727372362409</c:v>
                      </c:pt>
                      <c:pt idx="8">
                        <c:v>8.6834113951556624</c:v>
                      </c:pt>
                      <c:pt idx="9">
                        <c:v>9.9343306948168753</c:v>
                      </c:pt>
                      <c:pt idx="10">
                        <c:v>11.250419700421192</c:v>
                      </c:pt>
                      <c:pt idx="11">
                        <c:v>12.643728559657381</c:v>
                      </c:pt>
                      <c:pt idx="12">
                        <c:v>14.133737260834739</c:v>
                      </c:pt>
                      <c:pt idx="13">
                        <c:v>15.658105596042713</c:v>
                      </c:pt>
                      <c:pt idx="14">
                        <c:v>17.293352294463613</c:v>
                      </c:pt>
                      <c:pt idx="15">
                        <c:v>19.028112705544352</c:v>
                      </c:pt>
                      <c:pt idx="16">
                        <c:v>20.083612314707089</c:v>
                      </c:pt>
                      <c:pt idx="17">
                        <c:v>21.264829952177447</c:v>
                      </c:pt>
                      <c:pt idx="18">
                        <c:v>22.443833054899653</c:v>
                      </c:pt>
                      <c:pt idx="19">
                        <c:v>23.703211016529764</c:v>
                      </c:pt>
                      <c:pt idx="20">
                        <c:v>24.969242109130555</c:v>
                      </c:pt>
                      <c:pt idx="21">
                        <c:v>26.143027494239814</c:v>
                      </c:pt>
                      <c:pt idx="22">
                        <c:v>27.239920008793845</c:v>
                      </c:pt>
                      <c:pt idx="23">
                        <c:v>28.149355910264084</c:v>
                      </c:pt>
                      <c:pt idx="24">
                        <c:v>28.871859974611407</c:v>
                      </c:pt>
                      <c:pt idx="25">
                        <c:v>29.466641368532681</c:v>
                      </c:pt>
                      <c:pt idx="26">
                        <c:v>29.923270655567777</c:v>
                      </c:pt>
                      <c:pt idx="27">
                        <c:v>29.866868984006153</c:v>
                      </c:pt>
                      <c:pt idx="28">
                        <c:v>29.140141668674513</c:v>
                      </c:pt>
                      <c:pt idx="29">
                        <c:v>27.801802486144616</c:v>
                      </c:pt>
                      <c:pt idx="30">
                        <c:v>26.163185073853295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4B6-4A3E-BDE3-02B2CBD0D06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'!$G$87</c15:sqref>
                        </c15:formulaRef>
                      </c:ext>
                    </c:extLst>
                    <c:strCache>
                      <c:ptCount val="1"/>
                      <c:pt idx="0">
                        <c:v>LNG Emissions MT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'!$G$88:$G$118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2.6485815731378662E-2</c:v>
                      </c:pt>
                      <c:pt idx="1">
                        <c:v>5.6347447582864883E-2</c:v>
                      </c:pt>
                      <c:pt idx="2">
                        <c:v>8.6519595300453764E-2</c:v>
                      </c:pt>
                      <c:pt idx="3">
                        <c:v>0.1173223925580775</c:v>
                      </c:pt>
                      <c:pt idx="4">
                        <c:v>0.1510559408344396</c:v>
                      </c:pt>
                      <c:pt idx="5">
                        <c:v>0.18595131794968178</c:v>
                      </c:pt>
                      <c:pt idx="6">
                        <c:v>0.22253039845192307</c:v>
                      </c:pt>
                      <c:pt idx="7">
                        <c:v>0.26373444820465197</c:v>
                      </c:pt>
                      <c:pt idx="8">
                        <c:v>0.31023546757749598</c:v>
                      </c:pt>
                      <c:pt idx="9">
                        <c:v>0.36245657096607758</c:v>
                      </c:pt>
                      <c:pt idx="10">
                        <c:v>0.42231528801799034</c:v>
                      </c:pt>
                      <c:pt idx="11">
                        <c:v>0.49228332098360117</c:v>
                      </c:pt>
                      <c:pt idx="12">
                        <c:v>0.57536334040430848</c:v>
                      </c:pt>
                      <c:pt idx="13">
                        <c:v>0.67191418199472175</c:v>
                      </c:pt>
                      <c:pt idx="14">
                        <c:v>0.78795934777840881</c:v>
                      </c:pt>
                      <c:pt idx="15">
                        <c:v>0.92571857163603277</c:v>
                      </c:pt>
                      <c:pt idx="16">
                        <c:v>1.0602182156911184</c:v>
                      </c:pt>
                      <c:pt idx="17">
                        <c:v>1.2231098450744862</c:v>
                      </c:pt>
                      <c:pt idx="18">
                        <c:v>1.4041058163787237</c:v>
                      </c:pt>
                      <c:pt idx="19">
                        <c:v>1.6039647555824073</c:v>
                      </c:pt>
                      <c:pt idx="20">
                        <c:v>1.8141414998773397</c:v>
                      </c:pt>
                      <c:pt idx="21">
                        <c:v>2.022795181492949</c:v>
                      </c:pt>
                      <c:pt idx="22">
                        <c:v>2.2305503111640657</c:v>
                      </c:pt>
                      <c:pt idx="23">
                        <c:v>2.430299858086201</c:v>
                      </c:pt>
                      <c:pt idx="24">
                        <c:v>2.6213073183327888</c:v>
                      </c:pt>
                      <c:pt idx="25">
                        <c:v>2.8088695258291883</c:v>
                      </c:pt>
                      <c:pt idx="26">
                        <c:v>2.9782874742723147</c:v>
                      </c:pt>
                      <c:pt idx="27">
                        <c:v>3.08096799013722</c:v>
                      </c:pt>
                      <c:pt idx="28">
                        <c:v>3.0940539589059086</c:v>
                      </c:pt>
                      <c:pt idx="29">
                        <c:v>3.0232766163253397</c:v>
                      </c:pt>
                      <c:pt idx="30">
                        <c:v>2.9067216903985189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4B6-4A3E-BDE3-02B2CBD0D06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'!$H$87</c15:sqref>
                        </c15:formulaRef>
                      </c:ext>
                    </c:extLst>
                    <c:strCache>
                      <c:ptCount val="1"/>
                      <c:pt idx="0">
                        <c:v>Emission w/o PT Adoption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'!$A$88:$A$118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'Emissions '!$H$88:$H$118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427.42151743668472</c:v>
                      </c:pt>
                      <c:pt idx="1">
                        <c:v>434.73466239913637</c:v>
                      </c:pt>
                      <c:pt idx="2">
                        <c:v>440.5707546012124</c:v>
                      </c:pt>
                      <c:pt idx="3">
                        <c:v>447.00773569525001</c:v>
                      </c:pt>
                      <c:pt idx="4">
                        <c:v>454.82296941899892</c:v>
                      </c:pt>
                      <c:pt idx="5">
                        <c:v>460.73154685147625</c:v>
                      </c:pt>
                      <c:pt idx="6">
                        <c:v>467.20907026200234</c:v>
                      </c:pt>
                      <c:pt idx="7">
                        <c:v>480.96279425279232</c:v>
                      </c:pt>
                      <c:pt idx="8">
                        <c:v>498.265781985893</c:v>
                      </c:pt>
                      <c:pt idx="9">
                        <c:v>521.54290599694934</c:v>
                      </c:pt>
                      <c:pt idx="10">
                        <c:v>545.23311036828943</c:v>
                      </c:pt>
                      <c:pt idx="11">
                        <c:v>569.41393678133511</c:v>
                      </c:pt>
                      <c:pt idx="12">
                        <c:v>581.68555401091919</c:v>
                      </c:pt>
                      <c:pt idx="13">
                        <c:v>592.78222822501846</c:v>
                      </c:pt>
                      <c:pt idx="14">
                        <c:v>605.35067876068672</c:v>
                      </c:pt>
                      <c:pt idx="15">
                        <c:v>625.70578374334139</c:v>
                      </c:pt>
                      <c:pt idx="16">
                        <c:v>654.54454583991537</c:v>
                      </c:pt>
                      <c:pt idx="17">
                        <c:v>698.06223419537241</c:v>
                      </c:pt>
                      <c:pt idx="18">
                        <c:v>735.2246851752235</c:v>
                      </c:pt>
                      <c:pt idx="19">
                        <c:v>768.04036499855658</c:v>
                      </c:pt>
                      <c:pt idx="20">
                        <c:v>803.57056151441452</c:v>
                      </c:pt>
                      <c:pt idx="21">
                        <c:v>840.93498291795652</c:v>
                      </c:pt>
                      <c:pt idx="22">
                        <c:v>877.91628635867653</c:v>
                      </c:pt>
                      <c:pt idx="23">
                        <c:v>916.20710995209436</c:v>
                      </c:pt>
                      <c:pt idx="24">
                        <c:v>955.46581555694502</c:v>
                      </c:pt>
                      <c:pt idx="25">
                        <c:v>995.42260168166774</c:v>
                      </c:pt>
                      <c:pt idx="26">
                        <c:v>1038.8448951205885</c:v>
                      </c:pt>
                      <c:pt idx="27">
                        <c:v>1084.4814891569472</c:v>
                      </c:pt>
                      <c:pt idx="28">
                        <c:v>1130.2055060112059</c:v>
                      </c:pt>
                      <c:pt idx="29">
                        <c:v>1176.1888463355142</c:v>
                      </c:pt>
                      <c:pt idx="30">
                        <c:v>1223.8162603687381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4B6-4A3E-BDE3-02B2CBD0D06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'Emissions '!$K$87</c:f>
              <c:strCache>
                <c:ptCount val="1"/>
                <c:pt idx="0">
                  <c:v>Cummulative Emission Reduction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'Emissions '!$A$88:$A$118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'Emissions '!$K$88:$K$118</c:f>
              <c:numCache>
                <c:formatCode>0.00</c:formatCode>
                <c:ptCount val="31"/>
                <c:pt idx="0">
                  <c:v>0.1910901371548448</c:v>
                </c:pt>
                <c:pt idx="1">
                  <c:v>0.60215635904768305</c:v>
                </c:pt>
                <c:pt idx="2">
                  <c:v>1.2459374417409208</c:v>
                </c:pt>
                <c:pt idx="3">
                  <c:v>2.1497573201660884</c:v>
                </c:pt>
                <c:pt idx="4">
                  <c:v>3.3800273759117658</c:v>
                </c:pt>
                <c:pt idx="5">
                  <c:v>5.0228579228960939</c:v>
                </c:pt>
                <c:pt idx="6">
                  <c:v>7.218289687680965</c:v>
                </c:pt>
                <c:pt idx="7">
                  <c:v>10.344558466117803</c:v>
                </c:pt>
                <c:pt idx="8">
                  <c:v>14.863143645521063</c:v>
                </c:pt>
                <c:pt idx="9">
                  <c:v>21.51092710696264</c:v>
                </c:pt>
                <c:pt idx="10">
                  <c:v>31.346793139000738</c:v>
                </c:pt>
                <c:pt idx="11">
                  <c:v>45.869787406257274</c:v>
                </c:pt>
                <c:pt idx="12">
                  <c:v>67.003798363778174</c:v>
                </c:pt>
                <c:pt idx="13">
                  <c:v>96.775692943174818</c:v>
                </c:pt>
                <c:pt idx="14">
                  <c:v>137.84323731014592</c:v>
                </c:pt>
                <c:pt idx="15">
                  <c:v>193.1522193554888</c:v>
                </c:pt>
                <c:pt idx="16">
                  <c:v>265.53318808786503</c:v>
                </c:pt>
                <c:pt idx="17">
                  <c:v>359.12053566390171</c:v>
                </c:pt>
                <c:pt idx="18">
                  <c:v>476.22336791824841</c:v>
                </c:pt>
                <c:pt idx="19">
                  <c:v>619.65039614642728</c:v>
                </c:pt>
                <c:pt idx="20">
                  <c:v>791.84284885055638</c:v>
                </c:pt>
                <c:pt idx="21">
                  <c:v>995.20649307836652</c:v>
                </c:pt>
                <c:pt idx="22">
                  <c:v>1232.5328467998575</c:v>
                </c:pt>
                <c:pt idx="23">
                  <c:v>1506.0792340392027</c:v>
                </c:pt>
                <c:pt idx="24">
                  <c:v>1818.0620172670624</c:v>
                </c:pt>
                <c:pt idx="25">
                  <c:v>2170.2644212820005</c:v>
                </c:pt>
                <c:pt idx="26">
                  <c:v>2565.7208695059007</c:v>
                </c:pt>
                <c:pt idx="27">
                  <c:v>3006.806895791377</c:v>
                </c:pt>
                <c:pt idx="28">
                  <c:v>3495.5783731185861</c:v>
                </c:pt>
                <c:pt idx="29">
                  <c:v>4033.4501718690826</c:v>
                </c:pt>
                <c:pt idx="30">
                  <c:v>4622.0331988096459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6-425A-80EF-890BEC90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248591"/>
        <c:axId val="1574243791"/>
      </c:lineChart>
      <c:catAx>
        <c:axId val="83901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21968"/>
        <c:crosses val="autoZero"/>
        <c:auto val="1"/>
        <c:lblAlgn val="ctr"/>
        <c:lblOffset val="100"/>
        <c:noMultiLvlLbl val="0"/>
      </c:catAx>
      <c:valAx>
        <c:axId val="8390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Emissions</a:t>
                </a:r>
                <a:r>
                  <a:rPr lang="en-IN" baseline="0"/>
                  <a:t> In Million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019568"/>
        <c:crosses val="autoZero"/>
        <c:crossBetween val="between"/>
      </c:valAx>
      <c:valAx>
        <c:axId val="157424379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48591"/>
        <c:crosses val="max"/>
        <c:crossBetween val="between"/>
      </c:valAx>
      <c:catAx>
        <c:axId val="1574248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42437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CNG</a:t>
            </a:r>
            <a:r>
              <a:rPr lang="en-IN" baseline="0"/>
              <a:t> &amp; LNG</a:t>
            </a:r>
            <a:r>
              <a:rPr lang="en-IN"/>
              <a:t> Requirement</a:t>
            </a:r>
            <a:r>
              <a:rPr lang="en-IN" baseline="0"/>
              <a:t>s in Million Tonnes</a:t>
            </a:r>
          </a:p>
          <a:p>
            <a:pPr>
              <a:defRPr/>
            </a:pP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26721472981273E-2"/>
          <c:y val="0.15753274119415039"/>
          <c:w val="0.94463790117241353"/>
          <c:h val="0.70873776183110759"/>
        </c:manualLayout>
      </c:layout>
      <c:lineChart>
        <c:grouping val="standard"/>
        <c:varyColors val="0"/>
        <c:ser>
          <c:idx val="2"/>
          <c:order val="2"/>
          <c:tx>
            <c:strRef>
              <c:f>'Energy Requirementsfinal'!$F$166</c:f>
              <c:strCache>
                <c:ptCount val="1"/>
                <c:pt idx="0">
                  <c:v>CNG in Million tonnes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Requirementsfinal'!$F$167:$F$197</c:f>
              <c:numCache>
                <c:formatCode>0.00</c:formatCode>
                <c:ptCount val="31"/>
                <c:pt idx="0">
                  <c:v>0.28902342654056451</c:v>
                </c:pt>
                <c:pt idx="1">
                  <c:v>0.61484145874555762</c:v>
                </c:pt>
                <c:pt idx="2">
                  <c:v>0.94372814634059399</c:v>
                </c:pt>
                <c:pt idx="3">
                  <c:v>1.2788401338561233</c:v>
                </c:pt>
                <c:pt idx="4">
                  <c:v>1.6436262652518348</c:v>
                </c:pt>
                <c:pt idx="5">
                  <c:v>2.0169066123587238</c:v>
                </c:pt>
                <c:pt idx="6">
                  <c:v>2.4001611755284826</c:v>
                </c:pt>
                <c:pt idx="7">
                  <c:v>2.8163776497787039</c:v>
                </c:pt>
                <c:pt idx="8">
                  <c:v>3.263826872826785</c:v>
                </c:pt>
                <c:pt idx="9">
                  <c:v>3.7340089061518045</c:v>
                </c:pt>
                <c:pt idx="10">
                  <c:v>4.2286862245522245</c:v>
                </c:pt>
                <c:pt idx="11">
                  <c:v>4.7523881073698098</c:v>
                </c:pt>
                <c:pt idx="12">
                  <c:v>5.3124364821780645</c:v>
                </c:pt>
                <c:pt idx="13">
                  <c:v>5.8853995850564624</c:v>
                </c:pt>
                <c:pt idx="14">
                  <c:v>6.5000384493379499</c:v>
                </c:pt>
                <c:pt idx="15">
                  <c:v>7.1520814529390551</c:v>
                </c:pt>
                <c:pt idx="16">
                  <c:v>7.5488112440169486</c:v>
                </c:pt>
                <c:pt idx="17">
                  <c:v>7.9927945695085345</c:v>
                </c:pt>
                <c:pt idx="18">
                  <c:v>8.4359455196014466</c:v>
                </c:pt>
                <c:pt idx="19">
                  <c:v>8.909306903412805</c:v>
                </c:pt>
                <c:pt idx="20">
                  <c:v>9.3851689942231005</c:v>
                </c:pt>
                <c:pt idx="21">
                  <c:v>9.8263587649839543</c:v>
                </c:pt>
                <c:pt idx="22">
                  <c:v>10.238646874194266</c:v>
                </c:pt>
                <c:pt idx="23">
                  <c:v>10.580475816675095</c:v>
                </c:pt>
                <c:pt idx="24">
                  <c:v>10.852042839545724</c:v>
                </c:pt>
                <c:pt idx="25">
                  <c:v>11.075602844778308</c:v>
                </c:pt>
                <c:pt idx="26">
                  <c:v>11.247235728459982</c:v>
                </c:pt>
                <c:pt idx="27">
                  <c:v>11.226036077431367</c:v>
                </c:pt>
                <c:pt idx="28">
                  <c:v>10.952881664602337</c:v>
                </c:pt>
                <c:pt idx="29">
                  <c:v>10.449841190056237</c:v>
                </c:pt>
                <c:pt idx="30">
                  <c:v>9.8339353782572054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C474-4DDA-96AB-25BD55E46AE9}"/>
            </c:ext>
          </c:extLst>
        </c:ser>
        <c:ser>
          <c:idx val="3"/>
          <c:order val="3"/>
          <c:tx>
            <c:strRef>
              <c:f>'Energy Requirementsfinal'!$G$166</c:f>
              <c:strCache>
                <c:ptCount val="1"/>
                <c:pt idx="0">
                  <c:v>LNG in million tonnes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Requirementsfinal'!$G$167:$G$197</c:f>
              <c:numCache>
                <c:formatCode>0.00</c:formatCode>
                <c:ptCount val="31"/>
                <c:pt idx="0">
                  <c:v>8.9566838708991757E-3</c:v>
                </c:pt>
                <c:pt idx="1">
                  <c:v>1.905394842650223E-2</c:v>
                </c:pt>
                <c:pt idx="2">
                  <c:v>2.9251418111399825E-2</c:v>
                </c:pt>
                <c:pt idx="3">
                  <c:v>3.9664349363585358E-2</c:v>
                </c:pt>
                <c:pt idx="4">
                  <c:v>5.1065395188244683E-2</c:v>
                </c:pt>
                <c:pt idx="5">
                  <c:v>6.2874554099399044E-2</c:v>
                </c:pt>
                <c:pt idx="6">
                  <c:v>7.5261750820413656E-2</c:v>
                </c:pt>
                <c:pt idx="7">
                  <c:v>8.919514894168612E-2</c:v>
                </c:pt>
                <c:pt idx="8">
                  <c:v>0.1049357167640718</c:v>
                </c:pt>
                <c:pt idx="9">
                  <c:v>0.12260289086741409</c:v>
                </c:pt>
                <c:pt idx="10">
                  <c:v>0.14285471506700528</c:v>
                </c:pt>
                <c:pt idx="11">
                  <c:v>0.16651532490873683</c:v>
                </c:pt>
                <c:pt idx="12">
                  <c:v>0.19464482186153725</c:v>
                </c:pt>
                <c:pt idx="13">
                  <c:v>0.22728762863125973</c:v>
                </c:pt>
                <c:pt idx="14">
                  <c:v>0.26651529815162728</c:v>
                </c:pt>
                <c:pt idx="15">
                  <c:v>0.31308898950738606</c:v>
                </c:pt>
                <c:pt idx="16">
                  <c:v>0.35858333330033976</c:v>
                </c:pt>
                <c:pt idx="17">
                  <c:v>0.41359279744903449</c:v>
                </c:pt>
                <c:pt idx="18">
                  <c:v>0.47475518814550199</c:v>
                </c:pt>
                <c:pt idx="19">
                  <c:v>0.54228815573214095</c:v>
                </c:pt>
                <c:pt idx="20">
                  <c:v>0.61330484928121121</c:v>
                </c:pt>
                <c:pt idx="21">
                  <c:v>0.68376701878222268</c:v>
                </c:pt>
                <c:pt idx="22">
                  <c:v>0.75394954977264472</c:v>
                </c:pt>
                <c:pt idx="23">
                  <c:v>0.82153108580498213</c:v>
                </c:pt>
                <c:pt idx="24">
                  <c:v>0.88611529170085357</c:v>
                </c:pt>
                <c:pt idx="25">
                  <c:v>0.94937251274789225</c:v>
                </c:pt>
                <c:pt idx="26">
                  <c:v>1.0065976730088393</c:v>
                </c:pt>
                <c:pt idx="27">
                  <c:v>1.0412600131207939</c:v>
                </c:pt>
                <c:pt idx="28">
                  <c:v>1.0456304785479031</c:v>
                </c:pt>
                <c:pt idx="29">
                  <c:v>1.0216758513896926</c:v>
                </c:pt>
                <c:pt idx="30">
                  <c:v>0.98225746323060614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C474-4DDA-96AB-25BD55E4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895535"/>
        <c:axId val="1749910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Requirementsfinal'!$A$166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74-4DDA-96AB-25BD55E46AE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474-4DDA-96AB-25BD55E46AE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Requirementsfinal'!$H$166</c15:sqref>
                        </c15:formulaRef>
                      </c:ext>
                    </c:extLst>
                    <c:strCache>
                      <c:ptCount val="1"/>
                      <c:pt idx="0">
                        <c:v>H2 ICE(Green H2) 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Requirementsfinal'!$H$167:$H$197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7.7649731254613927E-4</c:v>
                      </c:pt>
                      <c:pt idx="4">
                        <c:v>2.272798101446052E-3</c:v>
                      </c:pt>
                      <c:pt idx="5">
                        <c:v>4.847907010736752E-3</c:v>
                      </c:pt>
                      <c:pt idx="6">
                        <c:v>9.0684566402341772E-3</c:v>
                      </c:pt>
                      <c:pt idx="7">
                        <c:v>1.6197041491211744E-2</c:v>
                      </c:pt>
                      <c:pt idx="8">
                        <c:v>2.7467308863250335E-2</c:v>
                      </c:pt>
                      <c:pt idx="9">
                        <c:v>4.4244348480683739E-2</c:v>
                      </c:pt>
                      <c:pt idx="10">
                        <c:v>6.877480306295243E-2</c:v>
                      </c:pt>
                      <c:pt idx="11">
                        <c:v>0.10344151693301092</c:v>
                      </c:pt>
                      <c:pt idx="12">
                        <c:v>0.15112009311752858</c:v>
                      </c:pt>
                      <c:pt idx="13">
                        <c:v>0.21436214563885525</c:v>
                      </c:pt>
                      <c:pt idx="14">
                        <c:v>0.29782492756748519</c:v>
                      </c:pt>
                      <c:pt idx="15">
                        <c:v>0.40545104590798331</c:v>
                      </c:pt>
                      <c:pt idx="16">
                        <c:v>0.54134777407683177</c:v>
                      </c:pt>
                      <c:pt idx="17">
                        <c:v>0.71439669211319845</c:v>
                      </c:pt>
                      <c:pt idx="18">
                        <c:v>0.92265879787311311</c:v>
                      </c:pt>
                      <c:pt idx="19">
                        <c:v>1.1719644399782156</c:v>
                      </c:pt>
                      <c:pt idx="20">
                        <c:v>1.4670504578344472</c:v>
                      </c:pt>
                      <c:pt idx="21">
                        <c:v>1.8107791403153379</c:v>
                      </c:pt>
                      <c:pt idx="22">
                        <c:v>2.2079352025581054</c:v>
                      </c:pt>
                      <c:pt idx="23">
                        <c:v>2.6542417848508393</c:v>
                      </c:pt>
                      <c:pt idx="24">
                        <c:v>3.1531582293440361</c:v>
                      </c:pt>
                      <c:pt idx="25">
                        <c:v>3.7225828731865529</c:v>
                      </c:pt>
                      <c:pt idx="26">
                        <c:v>4.3616444121376174</c:v>
                      </c:pt>
                      <c:pt idx="27">
                        <c:v>5.364733061790389</c:v>
                      </c:pt>
                      <c:pt idx="28">
                        <c:v>6.5614927081129979</c:v>
                      </c:pt>
                      <c:pt idx="29">
                        <c:v>7.9574007467779548</c:v>
                      </c:pt>
                      <c:pt idx="30">
                        <c:v>9.5634072926318332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74-4DDA-96AB-25BD55E46AE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Requirementsfinal'!$I$166</c15:sqref>
                        </c15:formulaRef>
                      </c:ext>
                    </c:extLst>
                    <c:strCache>
                      <c:ptCount val="1"/>
                      <c:pt idx="0">
                        <c:v>H2 FCET (Green H2)in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Requirementsfinal'!$I$167:$I$197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3.7452275151328771E-4</c:v>
                      </c:pt>
                      <c:pt idx="6">
                        <c:v>1.1055508950473976E-3</c:v>
                      </c:pt>
                      <c:pt idx="7">
                        <c:v>2.5207655627949321E-3</c:v>
                      </c:pt>
                      <c:pt idx="8">
                        <c:v>5.0625973690557047E-3</c:v>
                      </c:pt>
                      <c:pt idx="9">
                        <c:v>9.2679533795507196E-3</c:v>
                      </c:pt>
                      <c:pt idx="10">
                        <c:v>1.6044102500382511E-2</c:v>
                      </c:pt>
                      <c:pt idx="11">
                        <c:v>2.6305775587790518E-2</c:v>
                      </c:pt>
                      <c:pt idx="12">
                        <c:v>4.1534706154334022E-2</c:v>
                      </c:pt>
                      <c:pt idx="13">
                        <c:v>6.2529716806738411E-2</c:v>
                      </c:pt>
                      <c:pt idx="14">
                        <c:v>9.1518769060979832E-2</c:v>
                      </c:pt>
                      <c:pt idx="15">
                        <c:v>0.13061484140947963</c:v>
                      </c:pt>
                      <c:pt idx="16">
                        <c:v>0.1820212627188304</c:v>
                      </c:pt>
                      <c:pt idx="17">
                        <c:v>0.24781245534774229</c:v>
                      </c:pt>
                      <c:pt idx="18">
                        <c:v>0.32938833764363445</c:v>
                      </c:pt>
                      <c:pt idx="19">
                        <c:v>0.42920643354692539</c:v>
                      </c:pt>
                      <c:pt idx="20">
                        <c:v>0.54923066905348816</c:v>
                      </c:pt>
                      <c:pt idx="21">
                        <c:v>0.68913332857511289</c:v>
                      </c:pt>
                      <c:pt idx="22">
                        <c:v>0.85360758217373456</c:v>
                      </c:pt>
                      <c:pt idx="23">
                        <c:v>1.0456488320762634</c:v>
                      </c:pt>
                      <c:pt idx="24">
                        <c:v>1.2600038146100783</c:v>
                      </c:pt>
                      <c:pt idx="25">
                        <c:v>1.4946914996238954</c:v>
                      </c:pt>
                      <c:pt idx="26">
                        <c:v>1.7671899880041497</c:v>
                      </c:pt>
                      <c:pt idx="27">
                        <c:v>2.0786791026469493</c:v>
                      </c:pt>
                      <c:pt idx="28">
                        <c:v>2.4913534275934786</c:v>
                      </c:pt>
                      <c:pt idx="29">
                        <c:v>3.0107547751663342</c:v>
                      </c:pt>
                      <c:pt idx="30">
                        <c:v>3.6423474307781825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74-4DDA-96AB-25BD55E46AE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Requirementsfinal'!$J$166</c15:sqref>
                        </c15:formulaRef>
                      </c:ext>
                    </c:extLst>
                    <c:strCache>
                      <c:ptCount val="1"/>
                      <c:pt idx="0">
                        <c:v>BET in TWh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Requirementsfinal'!$J$167:$J$197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1.3420896938122205E-2</c:v>
                      </c:pt>
                      <c:pt idx="1">
                        <c:v>5.018201971442704E-2</c:v>
                      </c:pt>
                      <c:pt idx="2">
                        <c:v>0.13254911274713757</c:v>
                      </c:pt>
                      <c:pt idx="3">
                        <c:v>0.29903392821240576</c:v>
                      </c:pt>
                      <c:pt idx="4">
                        <c:v>0.63494241816036412</c:v>
                      </c:pt>
                      <c:pt idx="5">
                        <c:v>1.2195817600225316</c:v>
                      </c:pt>
                      <c:pt idx="6">
                        <c:v>2.1715163376191859</c:v>
                      </c:pt>
                      <c:pt idx="7">
                        <c:v>4.2585723999620386</c:v>
                      </c:pt>
                      <c:pt idx="8">
                        <c:v>7.4519576863100481</c:v>
                      </c:pt>
                      <c:pt idx="9">
                        <c:v>12.399619632089291</c:v>
                      </c:pt>
                      <c:pt idx="10">
                        <c:v>19.985273943645357</c:v>
                      </c:pt>
                      <c:pt idx="11">
                        <c:v>30.788770898880525</c:v>
                      </c:pt>
                      <c:pt idx="12">
                        <c:v>45.353985468236715</c:v>
                      </c:pt>
                      <c:pt idx="13">
                        <c:v>64.384127582804709</c:v>
                      </c:pt>
                      <c:pt idx="14">
                        <c:v>88.238644598627801</c:v>
                      </c:pt>
                      <c:pt idx="15">
                        <c:v>117.02799071917451</c:v>
                      </c:pt>
                      <c:pt idx="16">
                        <c:v>150.77566657277049</c:v>
                      </c:pt>
                      <c:pt idx="17">
                        <c:v>189.40442624585071</c:v>
                      </c:pt>
                      <c:pt idx="18">
                        <c:v>232.49736652191024</c:v>
                      </c:pt>
                      <c:pt idx="19">
                        <c:v>278.96128646837792</c:v>
                      </c:pt>
                      <c:pt idx="20">
                        <c:v>327.75461859348849</c:v>
                      </c:pt>
                      <c:pt idx="21">
                        <c:v>379.37528323061383</c:v>
                      </c:pt>
                      <c:pt idx="22">
                        <c:v>433.45576981309324</c:v>
                      </c:pt>
                      <c:pt idx="23">
                        <c:v>487.93556430114052</c:v>
                      </c:pt>
                      <c:pt idx="24">
                        <c:v>543.38396997161158</c:v>
                      </c:pt>
                      <c:pt idx="25">
                        <c:v>604.34675721177393</c:v>
                      </c:pt>
                      <c:pt idx="26">
                        <c:v>664.68307546540746</c:v>
                      </c:pt>
                      <c:pt idx="27">
                        <c:v>725.18478523052977</c:v>
                      </c:pt>
                      <c:pt idx="28">
                        <c:v>785.45594435068233</c:v>
                      </c:pt>
                      <c:pt idx="29">
                        <c:v>845.0224280440533</c:v>
                      </c:pt>
                      <c:pt idx="30">
                        <c:v>903.35203123184283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474-4DDA-96AB-25BD55E46AE9}"/>
                  </c:ext>
                </c:extLst>
              </c15:ser>
            </c15:filteredLineSeries>
          </c:ext>
        </c:extLst>
      </c:lineChart>
      <c:catAx>
        <c:axId val="174989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10415"/>
        <c:crosses val="autoZero"/>
        <c:auto val="1"/>
        <c:lblAlgn val="ctr"/>
        <c:lblOffset val="100"/>
        <c:noMultiLvlLbl val="0"/>
      </c:catAx>
      <c:valAx>
        <c:axId val="17499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9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H2 Requirements in Million</a:t>
            </a:r>
            <a:r>
              <a:rPr lang="en-IN" baseline="0"/>
              <a:t> tonnes</a:t>
            </a:r>
            <a:r>
              <a:rPr lang="en-IN"/>
              <a:t> </a:t>
            </a: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'Energy Requirementsfinal'!$H$166</c:f>
              <c:strCache>
                <c:ptCount val="1"/>
                <c:pt idx="0">
                  <c:v>H2 ICE(Green H2) in Million Tonnes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Requirementsfinal'!$H$167:$H$197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7.7649731254613927E-4</c:v>
                </c:pt>
                <c:pt idx="4">
                  <c:v>2.272798101446052E-3</c:v>
                </c:pt>
                <c:pt idx="5">
                  <c:v>4.847907010736752E-3</c:v>
                </c:pt>
                <c:pt idx="6">
                  <c:v>9.0684566402341772E-3</c:v>
                </c:pt>
                <c:pt idx="7">
                  <c:v>1.6197041491211744E-2</c:v>
                </c:pt>
                <c:pt idx="8">
                  <c:v>2.7467308863250335E-2</c:v>
                </c:pt>
                <c:pt idx="9">
                  <c:v>4.4244348480683739E-2</c:v>
                </c:pt>
                <c:pt idx="10">
                  <c:v>6.877480306295243E-2</c:v>
                </c:pt>
                <c:pt idx="11">
                  <c:v>0.10344151693301092</c:v>
                </c:pt>
                <c:pt idx="12">
                  <c:v>0.15112009311752858</c:v>
                </c:pt>
                <c:pt idx="13">
                  <c:v>0.21436214563885525</c:v>
                </c:pt>
                <c:pt idx="14">
                  <c:v>0.29782492756748519</c:v>
                </c:pt>
                <c:pt idx="15">
                  <c:v>0.40545104590798331</c:v>
                </c:pt>
                <c:pt idx="16">
                  <c:v>0.54134777407683177</c:v>
                </c:pt>
                <c:pt idx="17">
                  <c:v>0.71439669211319845</c:v>
                </c:pt>
                <c:pt idx="18">
                  <c:v>0.92265879787311311</c:v>
                </c:pt>
                <c:pt idx="19">
                  <c:v>1.1719644399782156</c:v>
                </c:pt>
                <c:pt idx="20">
                  <c:v>1.4670504578344472</c:v>
                </c:pt>
                <c:pt idx="21">
                  <c:v>1.8107791403153379</c:v>
                </c:pt>
                <c:pt idx="22">
                  <c:v>2.2079352025581054</c:v>
                </c:pt>
                <c:pt idx="23">
                  <c:v>2.6542417848508393</c:v>
                </c:pt>
                <c:pt idx="24">
                  <c:v>3.1531582293440361</c:v>
                </c:pt>
                <c:pt idx="25">
                  <c:v>3.7225828731865529</c:v>
                </c:pt>
                <c:pt idx="26">
                  <c:v>4.3616444121376174</c:v>
                </c:pt>
                <c:pt idx="27">
                  <c:v>5.364733061790389</c:v>
                </c:pt>
                <c:pt idx="28">
                  <c:v>6.5614927081129979</c:v>
                </c:pt>
                <c:pt idx="29">
                  <c:v>7.9574007467779548</c:v>
                </c:pt>
                <c:pt idx="30">
                  <c:v>9.5634072926318332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E4C8-4257-9A0A-DDE5BB7C7E0D}"/>
            </c:ext>
          </c:extLst>
        </c:ser>
        <c:ser>
          <c:idx val="5"/>
          <c:order val="5"/>
          <c:tx>
            <c:strRef>
              <c:f>'Energy Requirementsfinal'!$I$166</c:f>
              <c:strCache>
                <c:ptCount val="1"/>
                <c:pt idx="0">
                  <c:v>H2 FCET (Green H2)in Million Tonnes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Requirementsfinal'!$I$167:$I$197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3.7452275151328771E-4</c:v>
                </c:pt>
                <c:pt idx="6">
                  <c:v>1.1055508950473976E-3</c:v>
                </c:pt>
                <c:pt idx="7">
                  <c:v>2.5207655627949321E-3</c:v>
                </c:pt>
                <c:pt idx="8">
                  <c:v>5.0625973690557047E-3</c:v>
                </c:pt>
                <c:pt idx="9">
                  <c:v>9.2679533795507196E-3</c:v>
                </c:pt>
                <c:pt idx="10">
                  <c:v>1.6044102500382511E-2</c:v>
                </c:pt>
                <c:pt idx="11">
                  <c:v>2.6305775587790518E-2</c:v>
                </c:pt>
                <c:pt idx="12">
                  <c:v>4.1534706154334022E-2</c:v>
                </c:pt>
                <c:pt idx="13">
                  <c:v>6.2529716806738411E-2</c:v>
                </c:pt>
                <c:pt idx="14">
                  <c:v>9.1518769060979832E-2</c:v>
                </c:pt>
                <c:pt idx="15">
                  <c:v>0.13061484140947963</c:v>
                </c:pt>
                <c:pt idx="16">
                  <c:v>0.1820212627188304</c:v>
                </c:pt>
                <c:pt idx="17">
                  <c:v>0.24781245534774229</c:v>
                </c:pt>
                <c:pt idx="18">
                  <c:v>0.32938833764363445</c:v>
                </c:pt>
                <c:pt idx="19">
                  <c:v>0.42920643354692539</c:v>
                </c:pt>
                <c:pt idx="20">
                  <c:v>0.54923066905348816</c:v>
                </c:pt>
                <c:pt idx="21">
                  <c:v>0.68913332857511289</c:v>
                </c:pt>
                <c:pt idx="22">
                  <c:v>0.85360758217373456</c:v>
                </c:pt>
                <c:pt idx="23">
                  <c:v>1.0456488320762634</c:v>
                </c:pt>
                <c:pt idx="24">
                  <c:v>1.2600038146100783</c:v>
                </c:pt>
                <c:pt idx="25">
                  <c:v>1.4946914996238954</c:v>
                </c:pt>
                <c:pt idx="26">
                  <c:v>1.7671899880041497</c:v>
                </c:pt>
                <c:pt idx="27">
                  <c:v>2.0786791026469493</c:v>
                </c:pt>
                <c:pt idx="28">
                  <c:v>2.4913534275934786</c:v>
                </c:pt>
                <c:pt idx="29">
                  <c:v>3.0107547751663342</c:v>
                </c:pt>
                <c:pt idx="30">
                  <c:v>3.6423474307781825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4C8-4257-9A0A-DDE5BB7C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9895535"/>
        <c:axId val="17499104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Requirementsfinal'!$A$166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4C8-4257-9A0A-DDE5BB7C7E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C8-4257-9A0A-DDE5BB7C7E0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Requirementsfinal'!$F$166</c15:sqref>
                        </c15:formulaRef>
                      </c:ext>
                    </c:extLst>
                    <c:strCache>
                      <c:ptCount val="1"/>
                      <c:pt idx="0">
                        <c:v>CNG in Million tonnes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Requirementsfinal'!$F$167:$F$197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0.28902342654056451</c:v>
                      </c:pt>
                      <c:pt idx="1">
                        <c:v>0.61484145874555762</c:v>
                      </c:pt>
                      <c:pt idx="2">
                        <c:v>0.94372814634059399</c:v>
                      </c:pt>
                      <c:pt idx="3">
                        <c:v>1.2788401338561233</c:v>
                      </c:pt>
                      <c:pt idx="4">
                        <c:v>1.6436262652518348</c:v>
                      </c:pt>
                      <c:pt idx="5">
                        <c:v>2.0169066123587238</c:v>
                      </c:pt>
                      <c:pt idx="6">
                        <c:v>2.4001611755284826</c:v>
                      </c:pt>
                      <c:pt idx="7">
                        <c:v>2.8163776497787039</c:v>
                      </c:pt>
                      <c:pt idx="8">
                        <c:v>3.263826872826785</c:v>
                      </c:pt>
                      <c:pt idx="9">
                        <c:v>3.7340089061518045</c:v>
                      </c:pt>
                      <c:pt idx="10">
                        <c:v>4.2286862245522245</c:v>
                      </c:pt>
                      <c:pt idx="11">
                        <c:v>4.7523881073698098</c:v>
                      </c:pt>
                      <c:pt idx="12">
                        <c:v>5.3124364821780645</c:v>
                      </c:pt>
                      <c:pt idx="13">
                        <c:v>5.8853995850564624</c:v>
                      </c:pt>
                      <c:pt idx="14">
                        <c:v>6.5000384493379499</c:v>
                      </c:pt>
                      <c:pt idx="15">
                        <c:v>7.1520814529390551</c:v>
                      </c:pt>
                      <c:pt idx="16">
                        <c:v>7.5488112440169486</c:v>
                      </c:pt>
                      <c:pt idx="17">
                        <c:v>7.9927945695085345</c:v>
                      </c:pt>
                      <c:pt idx="18">
                        <c:v>8.4359455196014466</c:v>
                      </c:pt>
                      <c:pt idx="19">
                        <c:v>8.909306903412805</c:v>
                      </c:pt>
                      <c:pt idx="20">
                        <c:v>9.3851689942231005</c:v>
                      </c:pt>
                      <c:pt idx="21">
                        <c:v>9.8263587649839543</c:v>
                      </c:pt>
                      <c:pt idx="22">
                        <c:v>10.238646874194266</c:v>
                      </c:pt>
                      <c:pt idx="23">
                        <c:v>10.580475816675095</c:v>
                      </c:pt>
                      <c:pt idx="24">
                        <c:v>10.852042839545724</c:v>
                      </c:pt>
                      <c:pt idx="25">
                        <c:v>11.075602844778308</c:v>
                      </c:pt>
                      <c:pt idx="26">
                        <c:v>11.247235728459982</c:v>
                      </c:pt>
                      <c:pt idx="27">
                        <c:v>11.226036077431367</c:v>
                      </c:pt>
                      <c:pt idx="28">
                        <c:v>10.952881664602337</c:v>
                      </c:pt>
                      <c:pt idx="29">
                        <c:v>10.449841190056237</c:v>
                      </c:pt>
                      <c:pt idx="30">
                        <c:v>9.8339353782572054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C8-4257-9A0A-DDE5BB7C7E0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Requirementsfinal'!$G$166</c15:sqref>
                        </c15:formulaRef>
                      </c:ext>
                    </c:extLst>
                    <c:strCache>
                      <c:ptCount val="1"/>
                      <c:pt idx="0">
                        <c:v>LNG in million tonnes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Requirementsfinal'!$G$167:$G$197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8.9566838708991757E-3</c:v>
                      </c:pt>
                      <c:pt idx="1">
                        <c:v>1.905394842650223E-2</c:v>
                      </c:pt>
                      <c:pt idx="2">
                        <c:v>2.9251418111399825E-2</c:v>
                      </c:pt>
                      <c:pt idx="3">
                        <c:v>3.9664349363585358E-2</c:v>
                      </c:pt>
                      <c:pt idx="4">
                        <c:v>5.1065395188244683E-2</c:v>
                      </c:pt>
                      <c:pt idx="5">
                        <c:v>6.2874554099399044E-2</c:v>
                      </c:pt>
                      <c:pt idx="6">
                        <c:v>7.5261750820413656E-2</c:v>
                      </c:pt>
                      <c:pt idx="7">
                        <c:v>8.919514894168612E-2</c:v>
                      </c:pt>
                      <c:pt idx="8">
                        <c:v>0.1049357167640718</c:v>
                      </c:pt>
                      <c:pt idx="9">
                        <c:v>0.12260289086741409</c:v>
                      </c:pt>
                      <c:pt idx="10">
                        <c:v>0.14285471506700528</c:v>
                      </c:pt>
                      <c:pt idx="11">
                        <c:v>0.16651532490873683</c:v>
                      </c:pt>
                      <c:pt idx="12">
                        <c:v>0.19464482186153725</c:v>
                      </c:pt>
                      <c:pt idx="13">
                        <c:v>0.22728762863125973</c:v>
                      </c:pt>
                      <c:pt idx="14">
                        <c:v>0.26651529815162728</c:v>
                      </c:pt>
                      <c:pt idx="15">
                        <c:v>0.31308898950738606</c:v>
                      </c:pt>
                      <c:pt idx="16">
                        <c:v>0.35858333330033976</c:v>
                      </c:pt>
                      <c:pt idx="17">
                        <c:v>0.41359279744903449</c:v>
                      </c:pt>
                      <c:pt idx="18">
                        <c:v>0.47475518814550199</c:v>
                      </c:pt>
                      <c:pt idx="19">
                        <c:v>0.54228815573214095</c:v>
                      </c:pt>
                      <c:pt idx="20">
                        <c:v>0.61330484928121121</c:v>
                      </c:pt>
                      <c:pt idx="21">
                        <c:v>0.68376701878222268</c:v>
                      </c:pt>
                      <c:pt idx="22">
                        <c:v>0.75394954977264472</c:v>
                      </c:pt>
                      <c:pt idx="23">
                        <c:v>0.82153108580498213</c:v>
                      </c:pt>
                      <c:pt idx="24">
                        <c:v>0.88611529170085357</c:v>
                      </c:pt>
                      <c:pt idx="25">
                        <c:v>0.94937251274789225</c:v>
                      </c:pt>
                      <c:pt idx="26">
                        <c:v>1.0065976730088393</c:v>
                      </c:pt>
                      <c:pt idx="27">
                        <c:v>1.0412600131207939</c:v>
                      </c:pt>
                      <c:pt idx="28">
                        <c:v>1.0456304785479031</c:v>
                      </c:pt>
                      <c:pt idx="29">
                        <c:v>1.0216758513896926</c:v>
                      </c:pt>
                      <c:pt idx="30">
                        <c:v>0.98225746323060614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4C8-4257-9A0A-DDE5BB7C7E0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Requirementsfinal'!$J$166</c15:sqref>
                        </c15:formulaRef>
                      </c:ext>
                    </c:extLst>
                    <c:strCache>
                      <c:ptCount val="1"/>
                      <c:pt idx="0">
                        <c:v>BET in TWh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Requirementsfinal'!$J$167:$J$197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1.3420896938122205E-2</c:v>
                      </c:pt>
                      <c:pt idx="1">
                        <c:v>5.018201971442704E-2</c:v>
                      </c:pt>
                      <c:pt idx="2">
                        <c:v>0.13254911274713757</c:v>
                      </c:pt>
                      <c:pt idx="3">
                        <c:v>0.29903392821240576</c:v>
                      </c:pt>
                      <c:pt idx="4">
                        <c:v>0.63494241816036412</c:v>
                      </c:pt>
                      <c:pt idx="5">
                        <c:v>1.2195817600225316</c:v>
                      </c:pt>
                      <c:pt idx="6">
                        <c:v>2.1715163376191859</c:v>
                      </c:pt>
                      <c:pt idx="7">
                        <c:v>4.2585723999620386</c:v>
                      </c:pt>
                      <c:pt idx="8">
                        <c:v>7.4519576863100481</c:v>
                      </c:pt>
                      <c:pt idx="9">
                        <c:v>12.399619632089291</c:v>
                      </c:pt>
                      <c:pt idx="10">
                        <c:v>19.985273943645357</c:v>
                      </c:pt>
                      <c:pt idx="11">
                        <c:v>30.788770898880525</c:v>
                      </c:pt>
                      <c:pt idx="12">
                        <c:v>45.353985468236715</c:v>
                      </c:pt>
                      <c:pt idx="13">
                        <c:v>64.384127582804709</c:v>
                      </c:pt>
                      <c:pt idx="14">
                        <c:v>88.238644598627801</c:v>
                      </c:pt>
                      <c:pt idx="15">
                        <c:v>117.02799071917451</c:v>
                      </c:pt>
                      <c:pt idx="16">
                        <c:v>150.77566657277049</c:v>
                      </c:pt>
                      <c:pt idx="17">
                        <c:v>189.40442624585071</c:v>
                      </c:pt>
                      <c:pt idx="18">
                        <c:v>232.49736652191024</c:v>
                      </c:pt>
                      <c:pt idx="19">
                        <c:v>278.96128646837792</c:v>
                      </c:pt>
                      <c:pt idx="20">
                        <c:v>327.75461859348849</c:v>
                      </c:pt>
                      <c:pt idx="21">
                        <c:v>379.37528323061383</c:v>
                      </c:pt>
                      <c:pt idx="22">
                        <c:v>433.45576981309324</c:v>
                      </c:pt>
                      <c:pt idx="23">
                        <c:v>487.93556430114052</c:v>
                      </c:pt>
                      <c:pt idx="24">
                        <c:v>543.38396997161158</c:v>
                      </c:pt>
                      <c:pt idx="25">
                        <c:v>604.34675721177393</c:v>
                      </c:pt>
                      <c:pt idx="26">
                        <c:v>664.68307546540746</c:v>
                      </c:pt>
                      <c:pt idx="27">
                        <c:v>725.18478523052977</c:v>
                      </c:pt>
                      <c:pt idx="28">
                        <c:v>785.45594435068233</c:v>
                      </c:pt>
                      <c:pt idx="29">
                        <c:v>845.0224280440533</c:v>
                      </c:pt>
                      <c:pt idx="30">
                        <c:v>903.35203123184283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C8-4257-9A0A-DDE5BB7C7E0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7"/>
          <c:tx>
            <c:strRef>
              <c:f>'Energy Requirementsfinal'!$M$166</c:f>
              <c:strCache>
                <c:ptCount val="1"/>
                <c:pt idx="0">
                  <c:v>Total H2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'Energy Requirementsfinal'!$M$167:$M$197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7.7649731254613927E-4</c:v>
                </c:pt>
                <c:pt idx="4">
                  <c:v>2.272798101446052E-3</c:v>
                </c:pt>
                <c:pt idx="5">
                  <c:v>5.2224297622500398E-3</c:v>
                </c:pt>
                <c:pt idx="6">
                  <c:v>1.0174007535281575E-2</c:v>
                </c:pt>
                <c:pt idx="7">
                  <c:v>1.8717807054006677E-2</c:v>
                </c:pt>
                <c:pt idx="8">
                  <c:v>3.252990623230604E-2</c:v>
                </c:pt>
                <c:pt idx="9">
                  <c:v>5.3512301860234458E-2</c:v>
                </c:pt>
                <c:pt idx="10">
                  <c:v>8.4818905563334934E-2</c:v>
                </c:pt>
                <c:pt idx="11">
                  <c:v>0.12974729252080144</c:v>
                </c:pt>
                <c:pt idx="12">
                  <c:v>0.1926547992718626</c:v>
                </c:pt>
                <c:pt idx="13">
                  <c:v>0.27689186244559366</c:v>
                </c:pt>
                <c:pt idx="14">
                  <c:v>0.38934369662846502</c:v>
                </c:pt>
                <c:pt idx="15">
                  <c:v>0.53606588731746296</c:v>
                </c:pt>
                <c:pt idx="16">
                  <c:v>0.72336903679566222</c:v>
                </c:pt>
                <c:pt idx="17">
                  <c:v>0.96220914746094077</c:v>
                </c:pt>
                <c:pt idx="18">
                  <c:v>1.2520471355167475</c:v>
                </c:pt>
                <c:pt idx="19">
                  <c:v>1.6011708735251411</c:v>
                </c:pt>
                <c:pt idx="20">
                  <c:v>2.0162811268879355</c:v>
                </c:pt>
                <c:pt idx="21">
                  <c:v>2.499912468890451</c:v>
                </c:pt>
                <c:pt idx="22">
                  <c:v>3.0615427847318397</c:v>
                </c:pt>
                <c:pt idx="23">
                  <c:v>3.6998906169271026</c:v>
                </c:pt>
                <c:pt idx="24">
                  <c:v>4.4131620439541148</c:v>
                </c:pt>
                <c:pt idx="25">
                  <c:v>5.217274372810448</c:v>
                </c:pt>
                <c:pt idx="26">
                  <c:v>6.1288344001417672</c:v>
                </c:pt>
                <c:pt idx="27">
                  <c:v>7.4434121644373388</c:v>
                </c:pt>
                <c:pt idx="28">
                  <c:v>9.052846135706476</c:v>
                </c:pt>
                <c:pt idx="29">
                  <c:v>10.96815552194429</c:v>
                </c:pt>
                <c:pt idx="30">
                  <c:v>13.205754723410015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A-4D23-BABA-EDB89313D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379359"/>
        <c:axId val="1777368319"/>
      </c:lineChart>
      <c:catAx>
        <c:axId val="174989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10415"/>
        <c:crosses val="autoZero"/>
        <c:auto val="1"/>
        <c:lblAlgn val="ctr"/>
        <c:lblOffset val="100"/>
        <c:noMultiLvlLbl val="0"/>
      </c:catAx>
      <c:valAx>
        <c:axId val="17499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95535"/>
        <c:crosses val="autoZero"/>
        <c:crossBetween val="between"/>
        <c:majorUnit val="5"/>
        <c:minorUnit val="1"/>
      </c:valAx>
      <c:valAx>
        <c:axId val="177736831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379359"/>
        <c:crosses val="max"/>
        <c:crossBetween val="between"/>
      </c:valAx>
      <c:catAx>
        <c:axId val="1777379359"/>
        <c:scaling>
          <c:orientation val="minMax"/>
        </c:scaling>
        <c:delete val="1"/>
        <c:axPos val="b"/>
        <c:majorTickMark val="out"/>
        <c:minorTickMark val="none"/>
        <c:tickLblPos val="nextTo"/>
        <c:crossAx val="1777368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Diesel</a:t>
            </a:r>
            <a:r>
              <a:rPr lang="en-IN" baseline="0"/>
              <a:t> Requirements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Requirementsfinal'!$B$166</c:f>
              <c:strCache>
                <c:ptCount val="1"/>
                <c:pt idx="0">
                  <c:v>Diesel Million Litres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Requirementsfinal'!$B$167:$B$197</c:f>
              <c:numCache>
                <c:formatCode>0</c:formatCode>
                <c:ptCount val="31"/>
                <c:pt idx="0">
                  <c:v>136238.01577598078</c:v>
                </c:pt>
                <c:pt idx="1">
                  <c:v>138209.32097566835</c:v>
                </c:pt>
                <c:pt idx="2">
                  <c:v>139692.23316751199</c:v>
                </c:pt>
                <c:pt idx="3">
                  <c:v>141335.69421403311</c:v>
                </c:pt>
                <c:pt idx="4">
                  <c:v>143338.51874584254</c:v>
                </c:pt>
                <c:pt idx="5">
                  <c:v>144650.37058850878</c:v>
                </c:pt>
                <c:pt idx="6">
                  <c:v>146024.38465231331</c:v>
                </c:pt>
                <c:pt idx="7">
                  <c:v>149365.31275760866</c:v>
                </c:pt>
                <c:pt idx="8">
                  <c:v>153481.60213005601</c:v>
                </c:pt>
                <c:pt idx="9">
                  <c:v>158967.23069044133</c:v>
                </c:pt>
                <c:pt idx="10">
                  <c:v>163812.24416809296</c:v>
                </c:pt>
                <c:pt idx="11">
                  <c:v>167836.62488844604</c:v>
                </c:pt>
                <c:pt idx="12">
                  <c:v>166891.70205630525</c:v>
                </c:pt>
                <c:pt idx="13">
                  <c:v>164332.14702552353</c:v>
                </c:pt>
                <c:pt idx="14">
                  <c:v>160777.67196262893</c:v>
                </c:pt>
                <c:pt idx="15">
                  <c:v>158199.43985829237</c:v>
                </c:pt>
                <c:pt idx="16">
                  <c:v>157167.45596871135</c:v>
                </c:pt>
                <c:pt idx="17">
                  <c:v>159041.88226464827</c:v>
                </c:pt>
                <c:pt idx="18">
                  <c:v>157836.78530932992</c:v>
                </c:pt>
                <c:pt idx="19">
                  <c:v>154194.53841193111</c:v>
                </c:pt>
                <c:pt idx="20">
                  <c:v>150674.8489221074</c:v>
                </c:pt>
                <c:pt idx="21">
                  <c:v>146991.84607322581</c:v>
                </c:pt>
                <c:pt idx="22">
                  <c:v>142369.33846688329</c:v>
                </c:pt>
                <c:pt idx="23">
                  <c:v>137810.72330805514</c:v>
                </c:pt>
                <c:pt idx="24">
                  <c:v>133142.30223297409</c:v>
                </c:pt>
                <c:pt idx="25">
                  <c:v>127883.58676354986</c:v>
                </c:pt>
                <c:pt idx="26">
                  <c:v>123229.37128387862</c:v>
                </c:pt>
                <c:pt idx="27">
                  <c:v>119013.22717381416</c:v>
                </c:pt>
                <c:pt idx="28">
                  <c:v>114743.97648342469</c:v>
                </c:pt>
                <c:pt idx="29">
                  <c:v>110691.30652165269</c:v>
                </c:pt>
                <c:pt idx="30">
                  <c:v>107153.23215492872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6-4833-A2C6-A22013881001}"/>
            </c:ext>
          </c:extLst>
        </c:ser>
        <c:ser>
          <c:idx val="1"/>
          <c:order val="1"/>
          <c:tx>
            <c:strRef>
              <c:f>'Energy Requirementsfinal'!$C$166</c:f>
              <c:strCache>
                <c:ptCount val="1"/>
                <c:pt idx="0">
                  <c:v>Diesel Million Litres- No P/T Adoption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Requirementsfinal'!$C$167:$C$197</c:f>
              <c:numCache>
                <c:formatCode>0</c:formatCode>
                <c:ptCount val="31"/>
                <c:pt idx="0">
                  <c:v>136556.39534718363</c:v>
                </c:pt>
                <c:pt idx="1">
                  <c:v>138892.86338630551</c:v>
                </c:pt>
                <c:pt idx="2">
                  <c:v>140757.42958505187</c:v>
                </c:pt>
                <c:pt idx="3">
                  <c:v>142813.97306557512</c:v>
                </c:pt>
                <c:pt idx="4">
                  <c:v>145310.85284952042</c:v>
                </c:pt>
                <c:pt idx="5">
                  <c:v>147198.57726884229</c:v>
                </c:pt>
                <c:pt idx="6">
                  <c:v>149268.07356613496</c:v>
                </c:pt>
                <c:pt idx="7">
                  <c:v>153662.23458555667</c:v>
                </c:pt>
                <c:pt idx="8">
                  <c:v>159190.34568239388</c:v>
                </c:pt>
                <c:pt idx="9">
                  <c:v>166627.12651659717</c:v>
                </c:pt>
                <c:pt idx="10">
                  <c:v>174195.88190680169</c:v>
                </c:pt>
                <c:pt idx="11">
                  <c:v>181921.38555314214</c:v>
                </c:pt>
                <c:pt idx="12">
                  <c:v>185842.03003543746</c:v>
                </c:pt>
                <c:pt idx="13">
                  <c:v>189387.29336262576</c:v>
                </c:pt>
                <c:pt idx="14">
                  <c:v>193402.77276699254</c:v>
                </c:pt>
                <c:pt idx="15">
                  <c:v>199906.00119595573</c:v>
                </c:pt>
                <c:pt idx="16">
                  <c:v>209119.66320764073</c:v>
                </c:pt>
                <c:pt idx="17">
                  <c:v>223023.07801769095</c:v>
                </c:pt>
                <c:pt idx="18">
                  <c:v>234896.06555118959</c:v>
                </c:pt>
                <c:pt idx="19">
                  <c:v>245380.30830624807</c:v>
                </c:pt>
                <c:pt idx="20">
                  <c:v>256731.80879054783</c:v>
                </c:pt>
                <c:pt idx="21">
                  <c:v>268669.32361596054</c:v>
                </c:pt>
                <c:pt idx="22">
                  <c:v>280484.43653631839</c:v>
                </c:pt>
                <c:pt idx="23">
                  <c:v>292717.92650226655</c:v>
                </c:pt>
                <c:pt idx="24">
                  <c:v>305260.64394790574</c:v>
                </c:pt>
                <c:pt idx="25">
                  <c:v>318026.3903136318</c:v>
                </c:pt>
                <c:pt idx="26">
                  <c:v>331899.32751456491</c:v>
                </c:pt>
                <c:pt idx="27">
                  <c:v>346479.7089958298</c:v>
                </c:pt>
                <c:pt idx="28">
                  <c:v>361088.02108984214</c:v>
                </c:pt>
                <c:pt idx="29">
                  <c:v>375779.18413275213</c:v>
                </c:pt>
                <c:pt idx="30">
                  <c:v>390995.61034144997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6-4833-A2C6-A22013881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526848"/>
        <c:axId val="1920516768"/>
      </c:barChart>
      <c:lineChart>
        <c:grouping val="standard"/>
        <c:varyColors val="0"/>
        <c:ser>
          <c:idx val="2"/>
          <c:order val="2"/>
          <c:tx>
            <c:strRef>
              <c:f>'Energy Requirementsfinal'!$D$166</c:f>
              <c:strCache>
                <c:ptCount val="1"/>
                <c:pt idx="0">
                  <c:v>Diesel Savings Annual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Requirementsfinal'!$D$167:$D$197</c:f>
              <c:numCache>
                <c:formatCode>0</c:formatCode>
                <c:ptCount val="31"/>
                <c:pt idx="0">
                  <c:v>318.37957120285137</c:v>
                </c:pt>
                <c:pt idx="1">
                  <c:v>683.54241063716472</c:v>
                </c:pt>
                <c:pt idx="2">
                  <c:v>1065.1964175398753</c:v>
                </c:pt>
                <c:pt idx="3">
                  <c:v>1478.2788515420107</c:v>
                </c:pt>
                <c:pt idx="4">
                  <c:v>1972.3341036778875</c:v>
                </c:pt>
                <c:pt idx="5">
                  <c:v>2548.2066803335038</c:v>
                </c:pt>
                <c:pt idx="6">
                  <c:v>3243.6889138216502</c:v>
                </c:pt>
                <c:pt idx="7">
                  <c:v>4296.9218279480119</c:v>
                </c:pt>
                <c:pt idx="8">
                  <c:v>5708.7435523378663</c:v>
                </c:pt>
                <c:pt idx="9">
                  <c:v>7659.8958261558437</c:v>
                </c:pt>
                <c:pt idx="10">
                  <c:v>10383.637738708727</c:v>
                </c:pt>
                <c:pt idx="11">
                  <c:v>14084.760664696107</c:v>
                </c:pt>
                <c:pt idx="12">
                  <c:v>18950.327979132213</c:v>
                </c:pt>
                <c:pt idx="13">
                  <c:v>25055.146337102226</c:v>
                </c:pt>
                <c:pt idx="14">
                  <c:v>32625.10080436361</c:v>
                </c:pt>
                <c:pt idx="15">
                  <c:v>41706.561337663356</c:v>
                </c:pt>
                <c:pt idx="16">
                  <c:v>51952.207238929375</c:v>
                </c:pt>
                <c:pt idx="17">
                  <c:v>63981.195753042673</c:v>
                </c:pt>
                <c:pt idx="18">
                  <c:v>77059.280241859669</c:v>
                </c:pt>
                <c:pt idx="19">
                  <c:v>91185.769894316967</c:v>
                </c:pt>
                <c:pt idx="20">
                  <c:v>106056.95986844043</c:v>
                </c:pt>
                <c:pt idx="21">
                  <c:v>121677.47754273473</c:v>
                </c:pt>
                <c:pt idx="22">
                  <c:v>138115.0980694351</c:v>
                </c:pt>
                <c:pt idx="23">
                  <c:v>154907.20319421141</c:v>
                </c:pt>
                <c:pt idx="24">
                  <c:v>172118.34171493165</c:v>
                </c:pt>
                <c:pt idx="25">
                  <c:v>190142.80355008194</c:v>
                </c:pt>
                <c:pt idx="26">
                  <c:v>208669.95623068628</c:v>
                </c:pt>
                <c:pt idx="27">
                  <c:v>227466.48182201566</c:v>
                </c:pt>
                <c:pt idx="28">
                  <c:v>246344.04460641745</c:v>
                </c:pt>
                <c:pt idx="29">
                  <c:v>265087.87761109945</c:v>
                </c:pt>
                <c:pt idx="30">
                  <c:v>283842.37818652124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DA1-4907-AFF2-F52497CEDADD}"/>
            </c:ext>
          </c:extLst>
        </c:ser>
        <c:ser>
          <c:idx val="3"/>
          <c:order val="3"/>
          <c:tx>
            <c:strRef>
              <c:f>'Energy Requirementsfinal'!$E$166</c:f>
              <c:strCache>
                <c:ptCount val="1"/>
                <c:pt idx="0">
                  <c:v>Cumulative Savings- Million Litres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Requirementsfinal'!$E$167:$E$197</c:f>
              <c:numCache>
                <c:formatCode>0</c:formatCode>
                <c:ptCount val="31"/>
                <c:pt idx="0">
                  <c:v>318.37957120285137</c:v>
                </c:pt>
                <c:pt idx="1">
                  <c:v>1001.9219818400161</c:v>
                </c:pt>
                <c:pt idx="2">
                  <c:v>2067.1183993798913</c:v>
                </c:pt>
                <c:pt idx="3">
                  <c:v>3545.397250921902</c:v>
                </c:pt>
                <c:pt idx="4">
                  <c:v>5517.7313545997895</c:v>
                </c:pt>
                <c:pt idx="5">
                  <c:v>8065.9380349332932</c:v>
                </c:pt>
                <c:pt idx="6">
                  <c:v>11309.626948754943</c:v>
                </c:pt>
                <c:pt idx="7">
                  <c:v>15606.548776702955</c:v>
                </c:pt>
                <c:pt idx="8">
                  <c:v>21315.292329040822</c:v>
                </c:pt>
                <c:pt idx="9">
                  <c:v>28975.188155196665</c:v>
                </c:pt>
                <c:pt idx="10">
                  <c:v>39358.825893905392</c:v>
                </c:pt>
                <c:pt idx="11">
                  <c:v>53443.586558601499</c:v>
                </c:pt>
                <c:pt idx="12">
                  <c:v>72393.914537733712</c:v>
                </c:pt>
                <c:pt idx="13">
                  <c:v>97449.060874835937</c:v>
                </c:pt>
                <c:pt idx="14">
                  <c:v>130074.16167919955</c:v>
                </c:pt>
                <c:pt idx="15">
                  <c:v>171780.7230168629</c:v>
                </c:pt>
                <c:pt idx="16">
                  <c:v>223732.93025579228</c:v>
                </c:pt>
                <c:pt idx="17">
                  <c:v>287714.12600883492</c:v>
                </c:pt>
                <c:pt idx="18">
                  <c:v>364773.40625069459</c:v>
                </c:pt>
                <c:pt idx="19">
                  <c:v>455959.17614501156</c:v>
                </c:pt>
                <c:pt idx="20">
                  <c:v>562016.13601345196</c:v>
                </c:pt>
                <c:pt idx="21">
                  <c:v>683693.61355618667</c:v>
                </c:pt>
                <c:pt idx="22">
                  <c:v>821808.71162562177</c:v>
                </c:pt>
                <c:pt idx="23">
                  <c:v>976715.91481983312</c:v>
                </c:pt>
                <c:pt idx="24">
                  <c:v>1148834.2565347648</c:v>
                </c:pt>
                <c:pt idx="25">
                  <c:v>1338977.0600848468</c:v>
                </c:pt>
                <c:pt idx="26">
                  <c:v>1547647.0163155331</c:v>
                </c:pt>
                <c:pt idx="27">
                  <c:v>1775113.4981375488</c:v>
                </c:pt>
                <c:pt idx="28">
                  <c:v>2021457.5427439662</c:v>
                </c:pt>
                <c:pt idx="29">
                  <c:v>2286545.4203550657</c:v>
                </c:pt>
                <c:pt idx="30">
                  <c:v>2570387.7985415868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DA1-4907-AFF2-F52497CED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289391"/>
        <c:axId val="1574288431"/>
      </c:lineChart>
      <c:catAx>
        <c:axId val="192052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16768"/>
        <c:crosses val="autoZero"/>
        <c:auto val="1"/>
        <c:lblAlgn val="ctr"/>
        <c:lblOffset val="100"/>
        <c:noMultiLvlLbl val="0"/>
      </c:catAx>
      <c:valAx>
        <c:axId val="19205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26848"/>
        <c:crosses val="autoZero"/>
        <c:crossBetween val="between"/>
      </c:valAx>
      <c:valAx>
        <c:axId val="157428843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289391"/>
        <c:crosses val="max"/>
        <c:crossBetween val="between"/>
      </c:valAx>
      <c:catAx>
        <c:axId val="1574289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4288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Diesel</a:t>
            </a:r>
            <a:r>
              <a:rPr lang="en-IN" baseline="0"/>
              <a:t>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'Energy Requirementsfinal'!$D$166</c:f>
              <c:strCache>
                <c:ptCount val="1"/>
                <c:pt idx="0">
                  <c:v>Diesel Savings Annual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Requirementsfinal'!$D$167:$D$197</c:f>
              <c:numCache>
                <c:formatCode>0</c:formatCode>
                <c:ptCount val="31"/>
                <c:pt idx="0">
                  <c:v>318.37957120285137</c:v>
                </c:pt>
                <c:pt idx="1">
                  <c:v>683.54241063716472</c:v>
                </c:pt>
                <c:pt idx="2">
                  <c:v>1065.1964175398753</c:v>
                </c:pt>
                <c:pt idx="3">
                  <c:v>1478.2788515420107</c:v>
                </c:pt>
                <c:pt idx="4">
                  <c:v>1972.3341036778875</c:v>
                </c:pt>
                <c:pt idx="5">
                  <c:v>2548.2066803335038</c:v>
                </c:pt>
                <c:pt idx="6">
                  <c:v>3243.6889138216502</c:v>
                </c:pt>
                <c:pt idx="7">
                  <c:v>4296.9218279480119</c:v>
                </c:pt>
                <c:pt idx="8">
                  <c:v>5708.7435523378663</c:v>
                </c:pt>
                <c:pt idx="9">
                  <c:v>7659.8958261558437</c:v>
                </c:pt>
                <c:pt idx="10">
                  <c:v>10383.637738708727</c:v>
                </c:pt>
                <c:pt idx="11">
                  <c:v>14084.760664696107</c:v>
                </c:pt>
                <c:pt idx="12">
                  <c:v>18950.327979132213</c:v>
                </c:pt>
                <c:pt idx="13">
                  <c:v>25055.146337102226</c:v>
                </c:pt>
                <c:pt idx="14">
                  <c:v>32625.10080436361</c:v>
                </c:pt>
                <c:pt idx="15">
                  <c:v>41706.561337663356</c:v>
                </c:pt>
                <c:pt idx="16">
                  <c:v>51952.207238929375</c:v>
                </c:pt>
                <c:pt idx="17">
                  <c:v>63981.195753042673</c:v>
                </c:pt>
                <c:pt idx="18">
                  <c:v>77059.280241859669</c:v>
                </c:pt>
                <c:pt idx="19">
                  <c:v>91185.769894316967</c:v>
                </c:pt>
                <c:pt idx="20">
                  <c:v>106056.95986844043</c:v>
                </c:pt>
                <c:pt idx="21">
                  <c:v>121677.47754273473</c:v>
                </c:pt>
                <c:pt idx="22">
                  <c:v>138115.0980694351</c:v>
                </c:pt>
                <c:pt idx="23">
                  <c:v>154907.20319421141</c:v>
                </c:pt>
                <c:pt idx="24">
                  <c:v>172118.34171493165</c:v>
                </c:pt>
                <c:pt idx="25">
                  <c:v>190142.80355008194</c:v>
                </c:pt>
                <c:pt idx="26">
                  <c:v>208669.95623068628</c:v>
                </c:pt>
                <c:pt idx="27">
                  <c:v>227466.48182201566</c:v>
                </c:pt>
                <c:pt idx="28">
                  <c:v>246344.04460641745</c:v>
                </c:pt>
                <c:pt idx="29">
                  <c:v>265087.87761109945</c:v>
                </c:pt>
                <c:pt idx="30">
                  <c:v>283842.37818652124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67BC-4DA7-A89F-CFF142004340}"/>
            </c:ext>
          </c:extLst>
        </c:ser>
        <c:ser>
          <c:idx val="3"/>
          <c:order val="3"/>
          <c:tx>
            <c:strRef>
              <c:f>'Energy Requirementsfinal'!$E$166</c:f>
              <c:strCache>
                <c:ptCount val="1"/>
                <c:pt idx="0">
                  <c:v>Cumulative Savings- Million Litres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Requirementsfinal'!$E$167:$E$197</c:f>
              <c:numCache>
                <c:formatCode>0</c:formatCode>
                <c:ptCount val="31"/>
                <c:pt idx="0">
                  <c:v>318.37957120285137</c:v>
                </c:pt>
                <c:pt idx="1">
                  <c:v>1001.9219818400161</c:v>
                </c:pt>
                <c:pt idx="2">
                  <c:v>2067.1183993798913</c:v>
                </c:pt>
                <c:pt idx="3">
                  <c:v>3545.397250921902</c:v>
                </c:pt>
                <c:pt idx="4">
                  <c:v>5517.7313545997895</c:v>
                </c:pt>
                <c:pt idx="5">
                  <c:v>8065.9380349332932</c:v>
                </c:pt>
                <c:pt idx="6">
                  <c:v>11309.626948754943</c:v>
                </c:pt>
                <c:pt idx="7">
                  <c:v>15606.548776702955</c:v>
                </c:pt>
                <c:pt idx="8">
                  <c:v>21315.292329040822</c:v>
                </c:pt>
                <c:pt idx="9">
                  <c:v>28975.188155196665</c:v>
                </c:pt>
                <c:pt idx="10">
                  <c:v>39358.825893905392</c:v>
                </c:pt>
                <c:pt idx="11">
                  <c:v>53443.586558601499</c:v>
                </c:pt>
                <c:pt idx="12">
                  <c:v>72393.914537733712</c:v>
                </c:pt>
                <c:pt idx="13">
                  <c:v>97449.060874835937</c:v>
                </c:pt>
                <c:pt idx="14">
                  <c:v>130074.16167919955</c:v>
                </c:pt>
                <c:pt idx="15">
                  <c:v>171780.7230168629</c:v>
                </c:pt>
                <c:pt idx="16">
                  <c:v>223732.93025579228</c:v>
                </c:pt>
                <c:pt idx="17">
                  <c:v>287714.12600883492</c:v>
                </c:pt>
                <c:pt idx="18">
                  <c:v>364773.40625069459</c:v>
                </c:pt>
                <c:pt idx="19">
                  <c:v>455959.17614501156</c:v>
                </c:pt>
                <c:pt idx="20">
                  <c:v>562016.13601345196</c:v>
                </c:pt>
                <c:pt idx="21">
                  <c:v>683693.61355618667</c:v>
                </c:pt>
                <c:pt idx="22">
                  <c:v>821808.71162562177</c:v>
                </c:pt>
                <c:pt idx="23">
                  <c:v>976715.91481983312</c:v>
                </c:pt>
                <c:pt idx="24">
                  <c:v>1148834.2565347648</c:v>
                </c:pt>
                <c:pt idx="25">
                  <c:v>1338977.0600848468</c:v>
                </c:pt>
                <c:pt idx="26">
                  <c:v>1547647.0163155331</c:v>
                </c:pt>
                <c:pt idx="27">
                  <c:v>1775113.4981375488</c:v>
                </c:pt>
                <c:pt idx="28">
                  <c:v>2021457.5427439662</c:v>
                </c:pt>
                <c:pt idx="29">
                  <c:v>2286545.4203550657</c:v>
                </c:pt>
                <c:pt idx="30">
                  <c:v>2570387.7985415868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C-4DA7-A89F-CFF142004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526848"/>
        <c:axId val="1920516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67BC-4DA7-A89F-CFF14200434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Litres- No P/T Adoption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Requirementsfinal'!$C$167:$C$197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136556.39534718363</c:v>
                      </c:pt>
                      <c:pt idx="1">
                        <c:v>138892.86338630551</c:v>
                      </c:pt>
                      <c:pt idx="2">
                        <c:v>140757.42958505187</c:v>
                      </c:pt>
                      <c:pt idx="3">
                        <c:v>142813.97306557512</c:v>
                      </c:pt>
                      <c:pt idx="4">
                        <c:v>145310.85284952042</c:v>
                      </c:pt>
                      <c:pt idx="5">
                        <c:v>147198.57726884229</c:v>
                      </c:pt>
                      <c:pt idx="6">
                        <c:v>149268.07356613496</c:v>
                      </c:pt>
                      <c:pt idx="7">
                        <c:v>153662.23458555667</c:v>
                      </c:pt>
                      <c:pt idx="8">
                        <c:v>159190.34568239388</c:v>
                      </c:pt>
                      <c:pt idx="9">
                        <c:v>166627.12651659717</c:v>
                      </c:pt>
                      <c:pt idx="10">
                        <c:v>174195.88190680169</c:v>
                      </c:pt>
                      <c:pt idx="11">
                        <c:v>181921.38555314214</c:v>
                      </c:pt>
                      <c:pt idx="12">
                        <c:v>185842.03003543746</c:v>
                      </c:pt>
                      <c:pt idx="13">
                        <c:v>189387.29336262576</c:v>
                      </c:pt>
                      <c:pt idx="14">
                        <c:v>193402.77276699254</c:v>
                      </c:pt>
                      <c:pt idx="15">
                        <c:v>199906.00119595573</c:v>
                      </c:pt>
                      <c:pt idx="16">
                        <c:v>209119.66320764073</c:v>
                      </c:pt>
                      <c:pt idx="17">
                        <c:v>223023.07801769095</c:v>
                      </c:pt>
                      <c:pt idx="18">
                        <c:v>234896.06555118959</c:v>
                      </c:pt>
                      <c:pt idx="19">
                        <c:v>245380.30830624807</c:v>
                      </c:pt>
                      <c:pt idx="20">
                        <c:v>256731.80879054783</c:v>
                      </c:pt>
                      <c:pt idx="21">
                        <c:v>268669.32361596054</c:v>
                      </c:pt>
                      <c:pt idx="22">
                        <c:v>280484.43653631839</c:v>
                      </c:pt>
                      <c:pt idx="23">
                        <c:v>292717.92650226655</c:v>
                      </c:pt>
                      <c:pt idx="24">
                        <c:v>305260.64394790574</c:v>
                      </c:pt>
                      <c:pt idx="25">
                        <c:v>318026.3903136318</c:v>
                      </c:pt>
                      <c:pt idx="26">
                        <c:v>331899.32751456491</c:v>
                      </c:pt>
                      <c:pt idx="27">
                        <c:v>346479.7089958298</c:v>
                      </c:pt>
                      <c:pt idx="28">
                        <c:v>361088.02108984214</c:v>
                      </c:pt>
                      <c:pt idx="29">
                        <c:v>375779.18413275213</c:v>
                      </c:pt>
                      <c:pt idx="30">
                        <c:v>390995.61034144997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7BC-4DA7-A89F-CFF142004340}"/>
                  </c:ext>
                </c:extLst>
              </c15:ser>
            </c15:filteredLineSeries>
          </c:ext>
        </c:extLst>
      </c:lineChart>
      <c:catAx>
        <c:axId val="192052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16768"/>
        <c:crosses val="autoZero"/>
        <c:auto val="1"/>
        <c:lblAlgn val="ctr"/>
        <c:lblOffset val="100"/>
        <c:noMultiLvlLbl val="0"/>
      </c:catAx>
      <c:valAx>
        <c:axId val="19205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5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Electric Energy Requirements,</a:t>
            </a:r>
            <a:r>
              <a:rPr lang="en-IN" baseline="0"/>
              <a:t> TWh</a:t>
            </a:r>
          </a:p>
          <a:p>
            <a:pPr>
              <a:defRPr/>
            </a:pP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26721472981273E-2"/>
          <c:y val="0.15753274119415039"/>
          <c:w val="0.94463790117241353"/>
          <c:h val="0.70873776183110759"/>
        </c:manualLayout>
      </c:layout>
      <c:lineChart>
        <c:grouping val="standard"/>
        <c:varyColors val="0"/>
        <c:ser>
          <c:idx val="6"/>
          <c:order val="6"/>
          <c:tx>
            <c:strRef>
              <c:f>'Energy Requirementsfinal'!$J$166</c:f>
              <c:strCache>
                <c:ptCount val="1"/>
                <c:pt idx="0">
                  <c:v>BET in TWh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'Energy Requirementsfinal'!$J$167:$J$197</c:f>
              <c:numCache>
                <c:formatCode>0.00</c:formatCode>
                <c:ptCount val="31"/>
                <c:pt idx="0">
                  <c:v>1.3420896938122205E-2</c:v>
                </c:pt>
                <c:pt idx="1">
                  <c:v>5.018201971442704E-2</c:v>
                </c:pt>
                <c:pt idx="2">
                  <c:v>0.13254911274713757</c:v>
                </c:pt>
                <c:pt idx="3">
                  <c:v>0.29903392821240576</c:v>
                </c:pt>
                <c:pt idx="4">
                  <c:v>0.63494241816036412</c:v>
                </c:pt>
                <c:pt idx="5">
                  <c:v>1.2195817600225316</c:v>
                </c:pt>
                <c:pt idx="6">
                  <c:v>2.1715163376191859</c:v>
                </c:pt>
                <c:pt idx="7">
                  <c:v>4.2585723999620386</c:v>
                </c:pt>
                <c:pt idx="8">
                  <c:v>7.4519576863100481</c:v>
                </c:pt>
                <c:pt idx="9">
                  <c:v>12.399619632089291</c:v>
                </c:pt>
                <c:pt idx="10">
                  <c:v>19.985273943645357</c:v>
                </c:pt>
                <c:pt idx="11">
                  <c:v>30.788770898880525</c:v>
                </c:pt>
                <c:pt idx="12">
                  <c:v>45.353985468236715</c:v>
                </c:pt>
                <c:pt idx="13">
                  <c:v>64.384127582804709</c:v>
                </c:pt>
                <c:pt idx="14">
                  <c:v>88.238644598627801</c:v>
                </c:pt>
                <c:pt idx="15">
                  <c:v>117.02799071917451</c:v>
                </c:pt>
                <c:pt idx="16">
                  <c:v>150.77566657277049</c:v>
                </c:pt>
                <c:pt idx="17">
                  <c:v>189.40442624585071</c:v>
                </c:pt>
                <c:pt idx="18">
                  <c:v>232.49736652191024</c:v>
                </c:pt>
                <c:pt idx="19">
                  <c:v>278.96128646837792</c:v>
                </c:pt>
                <c:pt idx="20">
                  <c:v>327.75461859348849</c:v>
                </c:pt>
                <c:pt idx="21">
                  <c:v>379.37528323061383</c:v>
                </c:pt>
                <c:pt idx="22">
                  <c:v>433.45576981309324</c:v>
                </c:pt>
                <c:pt idx="23">
                  <c:v>487.93556430114052</c:v>
                </c:pt>
                <c:pt idx="24">
                  <c:v>543.38396997161158</c:v>
                </c:pt>
                <c:pt idx="25">
                  <c:v>604.34675721177393</c:v>
                </c:pt>
                <c:pt idx="26">
                  <c:v>664.68307546540746</c:v>
                </c:pt>
                <c:pt idx="27">
                  <c:v>725.18478523052977</c:v>
                </c:pt>
                <c:pt idx="28">
                  <c:v>785.45594435068233</c:v>
                </c:pt>
                <c:pt idx="29">
                  <c:v>845.0224280440533</c:v>
                </c:pt>
                <c:pt idx="30">
                  <c:v>903.35203123184283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2AA3-4AC3-B7EE-93C18236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895535"/>
        <c:axId val="17499104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Requirementsfinal'!$A$166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AA3-4AC3-B7EE-93C182364C5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A3-4AC3-B7EE-93C182364C5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Requirementsfinal'!$F$166</c15:sqref>
                        </c15:formulaRef>
                      </c:ext>
                    </c:extLst>
                    <c:strCache>
                      <c:ptCount val="1"/>
                      <c:pt idx="0">
                        <c:v>CNG 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Requirementsfinal'!$F$167:$F$197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0.28902342654056451</c:v>
                      </c:pt>
                      <c:pt idx="1">
                        <c:v>0.61484145874555762</c:v>
                      </c:pt>
                      <c:pt idx="2">
                        <c:v>0.94372814634059399</c:v>
                      </c:pt>
                      <c:pt idx="3">
                        <c:v>1.2788401338561233</c:v>
                      </c:pt>
                      <c:pt idx="4">
                        <c:v>1.6436262652518348</c:v>
                      </c:pt>
                      <c:pt idx="5">
                        <c:v>2.0169066123587238</c:v>
                      </c:pt>
                      <c:pt idx="6">
                        <c:v>2.4001611755284826</c:v>
                      </c:pt>
                      <c:pt idx="7">
                        <c:v>2.8163776497787039</c:v>
                      </c:pt>
                      <c:pt idx="8">
                        <c:v>3.263826872826785</c:v>
                      </c:pt>
                      <c:pt idx="9">
                        <c:v>3.7340089061518045</c:v>
                      </c:pt>
                      <c:pt idx="10">
                        <c:v>4.2286862245522245</c:v>
                      </c:pt>
                      <c:pt idx="11">
                        <c:v>4.7523881073698098</c:v>
                      </c:pt>
                      <c:pt idx="12">
                        <c:v>5.3124364821780645</c:v>
                      </c:pt>
                      <c:pt idx="13">
                        <c:v>5.8853995850564624</c:v>
                      </c:pt>
                      <c:pt idx="14">
                        <c:v>6.5000384493379499</c:v>
                      </c:pt>
                      <c:pt idx="15">
                        <c:v>7.1520814529390551</c:v>
                      </c:pt>
                      <c:pt idx="16">
                        <c:v>7.5488112440169486</c:v>
                      </c:pt>
                      <c:pt idx="17">
                        <c:v>7.9927945695085345</c:v>
                      </c:pt>
                      <c:pt idx="18">
                        <c:v>8.4359455196014466</c:v>
                      </c:pt>
                      <c:pt idx="19">
                        <c:v>8.909306903412805</c:v>
                      </c:pt>
                      <c:pt idx="20">
                        <c:v>9.3851689942231005</c:v>
                      </c:pt>
                      <c:pt idx="21">
                        <c:v>9.8263587649839543</c:v>
                      </c:pt>
                      <c:pt idx="22">
                        <c:v>10.238646874194266</c:v>
                      </c:pt>
                      <c:pt idx="23">
                        <c:v>10.580475816675095</c:v>
                      </c:pt>
                      <c:pt idx="24">
                        <c:v>10.852042839545724</c:v>
                      </c:pt>
                      <c:pt idx="25">
                        <c:v>11.075602844778308</c:v>
                      </c:pt>
                      <c:pt idx="26">
                        <c:v>11.247235728459982</c:v>
                      </c:pt>
                      <c:pt idx="27">
                        <c:v>11.226036077431367</c:v>
                      </c:pt>
                      <c:pt idx="28">
                        <c:v>10.952881664602337</c:v>
                      </c:pt>
                      <c:pt idx="29">
                        <c:v>10.449841190056237</c:v>
                      </c:pt>
                      <c:pt idx="30">
                        <c:v>9.8339353782572054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AA3-4AC3-B7EE-93C182364C5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Requirementsfinal'!$G$166</c15:sqref>
                        </c15:formulaRef>
                      </c:ext>
                    </c:extLst>
                    <c:strCache>
                      <c:ptCount val="1"/>
                      <c:pt idx="0">
                        <c:v>LNG 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Requirementsfinal'!$G$167:$G$197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8.9566838708991757E-3</c:v>
                      </c:pt>
                      <c:pt idx="1">
                        <c:v>1.905394842650223E-2</c:v>
                      </c:pt>
                      <c:pt idx="2">
                        <c:v>2.9251418111399825E-2</c:v>
                      </c:pt>
                      <c:pt idx="3">
                        <c:v>3.9664349363585358E-2</c:v>
                      </c:pt>
                      <c:pt idx="4">
                        <c:v>5.1065395188244683E-2</c:v>
                      </c:pt>
                      <c:pt idx="5">
                        <c:v>6.2874554099399044E-2</c:v>
                      </c:pt>
                      <c:pt idx="6">
                        <c:v>7.5261750820413656E-2</c:v>
                      </c:pt>
                      <c:pt idx="7">
                        <c:v>8.919514894168612E-2</c:v>
                      </c:pt>
                      <c:pt idx="8">
                        <c:v>0.1049357167640718</c:v>
                      </c:pt>
                      <c:pt idx="9">
                        <c:v>0.12260289086741409</c:v>
                      </c:pt>
                      <c:pt idx="10">
                        <c:v>0.14285471506700528</c:v>
                      </c:pt>
                      <c:pt idx="11">
                        <c:v>0.16651532490873683</c:v>
                      </c:pt>
                      <c:pt idx="12">
                        <c:v>0.19464482186153725</c:v>
                      </c:pt>
                      <c:pt idx="13">
                        <c:v>0.22728762863125973</c:v>
                      </c:pt>
                      <c:pt idx="14">
                        <c:v>0.26651529815162728</c:v>
                      </c:pt>
                      <c:pt idx="15">
                        <c:v>0.31308898950738606</c:v>
                      </c:pt>
                      <c:pt idx="16">
                        <c:v>0.35858333330033976</c:v>
                      </c:pt>
                      <c:pt idx="17">
                        <c:v>0.41359279744903449</c:v>
                      </c:pt>
                      <c:pt idx="18">
                        <c:v>0.47475518814550199</c:v>
                      </c:pt>
                      <c:pt idx="19">
                        <c:v>0.54228815573214095</c:v>
                      </c:pt>
                      <c:pt idx="20">
                        <c:v>0.61330484928121121</c:v>
                      </c:pt>
                      <c:pt idx="21">
                        <c:v>0.68376701878222268</c:v>
                      </c:pt>
                      <c:pt idx="22">
                        <c:v>0.75394954977264472</c:v>
                      </c:pt>
                      <c:pt idx="23">
                        <c:v>0.82153108580498213</c:v>
                      </c:pt>
                      <c:pt idx="24">
                        <c:v>0.88611529170085357</c:v>
                      </c:pt>
                      <c:pt idx="25">
                        <c:v>0.94937251274789225</c:v>
                      </c:pt>
                      <c:pt idx="26">
                        <c:v>1.0065976730088393</c:v>
                      </c:pt>
                      <c:pt idx="27">
                        <c:v>1.0412600131207939</c:v>
                      </c:pt>
                      <c:pt idx="28">
                        <c:v>1.0456304785479031</c:v>
                      </c:pt>
                      <c:pt idx="29">
                        <c:v>1.0216758513896926</c:v>
                      </c:pt>
                      <c:pt idx="30">
                        <c:v>0.98225746323060614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AA3-4AC3-B7EE-93C182364C5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Requirementsfinal'!$H$166</c15:sqref>
                        </c15:formulaRef>
                      </c:ext>
                    </c:extLst>
                    <c:strCache>
                      <c:ptCount val="1"/>
                      <c:pt idx="0">
                        <c:v>H2 ICE(Green H2) 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Requirementsfinal'!$H$167:$H$197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7.7649731254613927E-4</c:v>
                      </c:pt>
                      <c:pt idx="4">
                        <c:v>2.272798101446052E-3</c:v>
                      </c:pt>
                      <c:pt idx="5">
                        <c:v>4.847907010736752E-3</c:v>
                      </c:pt>
                      <c:pt idx="6">
                        <c:v>9.0684566402341772E-3</c:v>
                      </c:pt>
                      <c:pt idx="7">
                        <c:v>1.6197041491211744E-2</c:v>
                      </c:pt>
                      <c:pt idx="8">
                        <c:v>2.7467308863250335E-2</c:v>
                      </c:pt>
                      <c:pt idx="9">
                        <c:v>4.4244348480683739E-2</c:v>
                      </c:pt>
                      <c:pt idx="10">
                        <c:v>6.877480306295243E-2</c:v>
                      </c:pt>
                      <c:pt idx="11">
                        <c:v>0.10344151693301092</c:v>
                      </c:pt>
                      <c:pt idx="12">
                        <c:v>0.15112009311752858</c:v>
                      </c:pt>
                      <c:pt idx="13">
                        <c:v>0.21436214563885525</c:v>
                      </c:pt>
                      <c:pt idx="14">
                        <c:v>0.29782492756748519</c:v>
                      </c:pt>
                      <c:pt idx="15">
                        <c:v>0.40545104590798331</c:v>
                      </c:pt>
                      <c:pt idx="16">
                        <c:v>0.54134777407683177</c:v>
                      </c:pt>
                      <c:pt idx="17">
                        <c:v>0.71439669211319845</c:v>
                      </c:pt>
                      <c:pt idx="18">
                        <c:v>0.92265879787311311</c:v>
                      </c:pt>
                      <c:pt idx="19">
                        <c:v>1.1719644399782156</c:v>
                      </c:pt>
                      <c:pt idx="20">
                        <c:v>1.4670504578344472</c:v>
                      </c:pt>
                      <c:pt idx="21">
                        <c:v>1.8107791403153379</c:v>
                      </c:pt>
                      <c:pt idx="22">
                        <c:v>2.2079352025581054</c:v>
                      </c:pt>
                      <c:pt idx="23">
                        <c:v>2.6542417848508393</c:v>
                      </c:pt>
                      <c:pt idx="24">
                        <c:v>3.1531582293440361</c:v>
                      </c:pt>
                      <c:pt idx="25">
                        <c:v>3.7225828731865529</c:v>
                      </c:pt>
                      <c:pt idx="26">
                        <c:v>4.3616444121376174</c:v>
                      </c:pt>
                      <c:pt idx="27">
                        <c:v>5.364733061790389</c:v>
                      </c:pt>
                      <c:pt idx="28">
                        <c:v>6.5614927081129979</c:v>
                      </c:pt>
                      <c:pt idx="29">
                        <c:v>7.9574007467779548</c:v>
                      </c:pt>
                      <c:pt idx="30">
                        <c:v>9.5634072926318332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A3-4AC3-B7EE-93C182364C5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Requirementsfinal'!$I$166</c15:sqref>
                        </c15:formulaRef>
                      </c:ext>
                    </c:extLst>
                    <c:strCache>
                      <c:ptCount val="1"/>
                      <c:pt idx="0">
                        <c:v>H2 FCET (Green H2)in Million Tonnes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Requirementsfinal'!$I$167:$I$197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3.7452275151328771E-4</c:v>
                      </c:pt>
                      <c:pt idx="6">
                        <c:v>1.1055508950473976E-3</c:v>
                      </c:pt>
                      <c:pt idx="7">
                        <c:v>2.5207655627949321E-3</c:v>
                      </c:pt>
                      <c:pt idx="8">
                        <c:v>5.0625973690557047E-3</c:v>
                      </c:pt>
                      <c:pt idx="9">
                        <c:v>9.2679533795507196E-3</c:v>
                      </c:pt>
                      <c:pt idx="10">
                        <c:v>1.6044102500382511E-2</c:v>
                      </c:pt>
                      <c:pt idx="11">
                        <c:v>2.6305775587790518E-2</c:v>
                      </c:pt>
                      <c:pt idx="12">
                        <c:v>4.1534706154334022E-2</c:v>
                      </c:pt>
                      <c:pt idx="13">
                        <c:v>6.2529716806738411E-2</c:v>
                      </c:pt>
                      <c:pt idx="14">
                        <c:v>9.1518769060979832E-2</c:v>
                      </c:pt>
                      <c:pt idx="15">
                        <c:v>0.13061484140947963</c:v>
                      </c:pt>
                      <c:pt idx="16">
                        <c:v>0.1820212627188304</c:v>
                      </c:pt>
                      <c:pt idx="17">
                        <c:v>0.24781245534774229</c:v>
                      </c:pt>
                      <c:pt idx="18">
                        <c:v>0.32938833764363445</c:v>
                      </c:pt>
                      <c:pt idx="19">
                        <c:v>0.42920643354692539</c:v>
                      </c:pt>
                      <c:pt idx="20">
                        <c:v>0.54923066905348816</c:v>
                      </c:pt>
                      <c:pt idx="21">
                        <c:v>0.68913332857511289</c:v>
                      </c:pt>
                      <c:pt idx="22">
                        <c:v>0.85360758217373456</c:v>
                      </c:pt>
                      <c:pt idx="23">
                        <c:v>1.0456488320762634</c:v>
                      </c:pt>
                      <c:pt idx="24">
                        <c:v>1.2600038146100783</c:v>
                      </c:pt>
                      <c:pt idx="25">
                        <c:v>1.4946914996238954</c:v>
                      </c:pt>
                      <c:pt idx="26">
                        <c:v>1.7671899880041497</c:v>
                      </c:pt>
                      <c:pt idx="27">
                        <c:v>2.0786791026469493</c:v>
                      </c:pt>
                      <c:pt idx="28">
                        <c:v>2.4913534275934786</c:v>
                      </c:pt>
                      <c:pt idx="29">
                        <c:v>3.0107547751663342</c:v>
                      </c:pt>
                      <c:pt idx="30">
                        <c:v>3.6423474307781825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A3-4AC3-B7EE-93C182364C59}"/>
                  </c:ext>
                </c:extLst>
              </c15:ser>
            </c15:filteredLineSeries>
          </c:ext>
        </c:extLst>
      </c:lineChart>
      <c:catAx>
        <c:axId val="174989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910415"/>
        <c:crosses val="autoZero"/>
        <c:auto val="1"/>
        <c:lblAlgn val="ctr"/>
        <c:lblOffset val="100"/>
        <c:noMultiLvlLbl val="0"/>
      </c:catAx>
      <c:valAx>
        <c:axId val="17499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89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'Energy Requirementsfinal'!$E$166</c:f>
              <c:strCache>
                <c:ptCount val="1"/>
                <c:pt idx="0">
                  <c:v>Cumulative Savings- Million Litres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Requirementsfinal'!$E$167:$E$197</c:f>
              <c:numCache>
                <c:formatCode>0</c:formatCode>
                <c:ptCount val="31"/>
                <c:pt idx="0">
                  <c:v>318.37957120285137</c:v>
                </c:pt>
                <c:pt idx="1">
                  <c:v>1001.9219818400161</c:v>
                </c:pt>
                <c:pt idx="2">
                  <c:v>2067.1183993798913</c:v>
                </c:pt>
                <c:pt idx="3">
                  <c:v>3545.397250921902</c:v>
                </c:pt>
                <c:pt idx="4">
                  <c:v>5517.7313545997895</c:v>
                </c:pt>
                <c:pt idx="5">
                  <c:v>8065.9380349332932</c:v>
                </c:pt>
                <c:pt idx="6">
                  <c:v>11309.626948754943</c:v>
                </c:pt>
                <c:pt idx="7">
                  <c:v>15606.548776702955</c:v>
                </c:pt>
                <c:pt idx="8">
                  <c:v>21315.292329040822</c:v>
                </c:pt>
                <c:pt idx="9">
                  <c:v>28975.188155196665</c:v>
                </c:pt>
                <c:pt idx="10">
                  <c:v>39358.825893905392</c:v>
                </c:pt>
                <c:pt idx="11">
                  <c:v>53443.586558601499</c:v>
                </c:pt>
                <c:pt idx="12">
                  <c:v>72393.914537733712</c:v>
                </c:pt>
                <c:pt idx="13">
                  <c:v>97449.060874835937</c:v>
                </c:pt>
                <c:pt idx="14">
                  <c:v>130074.16167919955</c:v>
                </c:pt>
                <c:pt idx="15">
                  <c:v>171780.7230168629</c:v>
                </c:pt>
                <c:pt idx="16">
                  <c:v>223732.93025579228</c:v>
                </c:pt>
                <c:pt idx="17">
                  <c:v>287714.12600883492</c:v>
                </c:pt>
                <c:pt idx="18">
                  <c:v>364773.40625069459</c:v>
                </c:pt>
                <c:pt idx="19">
                  <c:v>455959.17614501156</c:v>
                </c:pt>
                <c:pt idx="20">
                  <c:v>562016.13601345196</c:v>
                </c:pt>
                <c:pt idx="21">
                  <c:v>683693.61355618667</c:v>
                </c:pt>
                <c:pt idx="22">
                  <c:v>821808.71162562177</c:v>
                </c:pt>
                <c:pt idx="23">
                  <c:v>976715.91481983312</c:v>
                </c:pt>
                <c:pt idx="24">
                  <c:v>1148834.2565347648</c:v>
                </c:pt>
                <c:pt idx="25">
                  <c:v>1338977.0600848468</c:v>
                </c:pt>
                <c:pt idx="26">
                  <c:v>1547647.0163155331</c:v>
                </c:pt>
                <c:pt idx="27">
                  <c:v>1775113.4981375488</c:v>
                </c:pt>
                <c:pt idx="28">
                  <c:v>2021457.5427439662</c:v>
                </c:pt>
                <c:pt idx="29">
                  <c:v>2286545.4203550657</c:v>
                </c:pt>
                <c:pt idx="30">
                  <c:v>2570387.7985415868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BC-415F-ADB2-85CA5375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497216"/>
        <c:axId val="601503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Requirementsfinal'!$A$166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6BC-415F-ADB2-85CA5375957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6BC-415F-ADB2-85CA5375957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Litres- No P/T Adoption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Requirementsfinal'!$C$167:$C$197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136556.39534718363</c:v>
                      </c:pt>
                      <c:pt idx="1">
                        <c:v>138892.86338630551</c:v>
                      </c:pt>
                      <c:pt idx="2">
                        <c:v>140757.42958505187</c:v>
                      </c:pt>
                      <c:pt idx="3">
                        <c:v>142813.97306557512</c:v>
                      </c:pt>
                      <c:pt idx="4">
                        <c:v>145310.85284952042</c:v>
                      </c:pt>
                      <c:pt idx="5">
                        <c:v>147198.57726884229</c:v>
                      </c:pt>
                      <c:pt idx="6">
                        <c:v>149268.07356613496</c:v>
                      </c:pt>
                      <c:pt idx="7">
                        <c:v>153662.23458555667</c:v>
                      </c:pt>
                      <c:pt idx="8">
                        <c:v>159190.34568239388</c:v>
                      </c:pt>
                      <c:pt idx="9">
                        <c:v>166627.12651659717</c:v>
                      </c:pt>
                      <c:pt idx="10">
                        <c:v>174195.88190680169</c:v>
                      </c:pt>
                      <c:pt idx="11">
                        <c:v>181921.38555314214</c:v>
                      </c:pt>
                      <c:pt idx="12">
                        <c:v>185842.03003543746</c:v>
                      </c:pt>
                      <c:pt idx="13">
                        <c:v>189387.29336262576</c:v>
                      </c:pt>
                      <c:pt idx="14">
                        <c:v>193402.77276699254</c:v>
                      </c:pt>
                      <c:pt idx="15">
                        <c:v>199906.00119595573</c:v>
                      </c:pt>
                      <c:pt idx="16">
                        <c:v>209119.66320764073</c:v>
                      </c:pt>
                      <c:pt idx="17">
                        <c:v>223023.07801769095</c:v>
                      </c:pt>
                      <c:pt idx="18">
                        <c:v>234896.06555118959</c:v>
                      </c:pt>
                      <c:pt idx="19">
                        <c:v>245380.30830624807</c:v>
                      </c:pt>
                      <c:pt idx="20">
                        <c:v>256731.80879054783</c:v>
                      </c:pt>
                      <c:pt idx="21">
                        <c:v>268669.32361596054</c:v>
                      </c:pt>
                      <c:pt idx="22">
                        <c:v>280484.43653631839</c:v>
                      </c:pt>
                      <c:pt idx="23">
                        <c:v>292717.92650226655</c:v>
                      </c:pt>
                      <c:pt idx="24">
                        <c:v>305260.64394790574</c:v>
                      </c:pt>
                      <c:pt idx="25">
                        <c:v>318026.3903136318</c:v>
                      </c:pt>
                      <c:pt idx="26">
                        <c:v>331899.32751456491</c:v>
                      </c:pt>
                      <c:pt idx="27">
                        <c:v>346479.7089958298</c:v>
                      </c:pt>
                      <c:pt idx="28">
                        <c:v>361088.02108984214</c:v>
                      </c:pt>
                      <c:pt idx="29">
                        <c:v>375779.18413275213</c:v>
                      </c:pt>
                      <c:pt idx="30">
                        <c:v>390995.61034144997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BC-415F-ADB2-85CA5375957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Requirementsfinal'!$D$166</c15:sqref>
                        </c15:formulaRef>
                      </c:ext>
                    </c:extLst>
                    <c:strCache>
                      <c:ptCount val="1"/>
                      <c:pt idx="0">
                        <c:v>Diesel Savings Annual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Requirementsfinal'!$D$167:$D$197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318.37957120285137</c:v>
                      </c:pt>
                      <c:pt idx="1">
                        <c:v>683.54241063716472</c:v>
                      </c:pt>
                      <c:pt idx="2">
                        <c:v>1065.1964175398753</c:v>
                      </c:pt>
                      <c:pt idx="3">
                        <c:v>1478.2788515420107</c:v>
                      </c:pt>
                      <c:pt idx="4">
                        <c:v>1972.3341036778875</c:v>
                      </c:pt>
                      <c:pt idx="5">
                        <c:v>2548.2066803335038</c:v>
                      </c:pt>
                      <c:pt idx="6">
                        <c:v>3243.6889138216502</c:v>
                      </c:pt>
                      <c:pt idx="7">
                        <c:v>4296.9218279480119</c:v>
                      </c:pt>
                      <c:pt idx="8">
                        <c:v>5708.7435523378663</c:v>
                      </c:pt>
                      <c:pt idx="9">
                        <c:v>7659.8958261558437</c:v>
                      </c:pt>
                      <c:pt idx="10">
                        <c:v>10383.637738708727</c:v>
                      </c:pt>
                      <c:pt idx="11">
                        <c:v>14084.760664696107</c:v>
                      </c:pt>
                      <c:pt idx="12">
                        <c:v>18950.327979132213</c:v>
                      </c:pt>
                      <c:pt idx="13">
                        <c:v>25055.146337102226</c:v>
                      </c:pt>
                      <c:pt idx="14">
                        <c:v>32625.10080436361</c:v>
                      </c:pt>
                      <c:pt idx="15">
                        <c:v>41706.561337663356</c:v>
                      </c:pt>
                      <c:pt idx="16">
                        <c:v>51952.207238929375</c:v>
                      </c:pt>
                      <c:pt idx="17">
                        <c:v>63981.195753042673</c:v>
                      </c:pt>
                      <c:pt idx="18">
                        <c:v>77059.280241859669</c:v>
                      </c:pt>
                      <c:pt idx="19">
                        <c:v>91185.769894316967</c:v>
                      </c:pt>
                      <c:pt idx="20">
                        <c:v>106056.95986844043</c:v>
                      </c:pt>
                      <c:pt idx="21">
                        <c:v>121677.47754273473</c:v>
                      </c:pt>
                      <c:pt idx="22">
                        <c:v>138115.0980694351</c:v>
                      </c:pt>
                      <c:pt idx="23">
                        <c:v>154907.20319421141</c:v>
                      </c:pt>
                      <c:pt idx="24">
                        <c:v>172118.34171493165</c:v>
                      </c:pt>
                      <c:pt idx="25">
                        <c:v>190142.80355008194</c:v>
                      </c:pt>
                      <c:pt idx="26">
                        <c:v>208669.95623068628</c:v>
                      </c:pt>
                      <c:pt idx="27">
                        <c:v>227466.48182201566</c:v>
                      </c:pt>
                      <c:pt idx="28">
                        <c:v>246344.04460641745</c:v>
                      </c:pt>
                      <c:pt idx="29">
                        <c:v>265087.87761109945</c:v>
                      </c:pt>
                      <c:pt idx="30">
                        <c:v>283842.37818652124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6BC-415F-ADB2-85CA53759570}"/>
                  </c:ext>
                </c:extLst>
              </c15:ser>
            </c15:filteredLineSeries>
          </c:ext>
        </c:extLst>
      </c:lineChart>
      <c:catAx>
        <c:axId val="6014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03456"/>
        <c:crosses val="autoZero"/>
        <c:auto val="1"/>
        <c:lblAlgn val="ctr"/>
        <c:lblOffset val="100"/>
        <c:noMultiLvlLbl val="0"/>
      </c:catAx>
      <c:valAx>
        <c:axId val="60150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'Energy Requirementsfinal'!$J$166</c:f>
              <c:strCache>
                <c:ptCount val="1"/>
                <c:pt idx="0">
                  <c:v>BET in TWh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Requirementsfinal'!$J$167:$J$197</c:f>
              <c:numCache>
                <c:formatCode>0.00</c:formatCode>
                <c:ptCount val="31"/>
                <c:pt idx="0">
                  <c:v>1.3420896938122205E-2</c:v>
                </c:pt>
                <c:pt idx="1">
                  <c:v>5.018201971442704E-2</c:v>
                </c:pt>
                <c:pt idx="2">
                  <c:v>0.13254911274713757</c:v>
                </c:pt>
                <c:pt idx="3">
                  <c:v>0.29903392821240576</c:v>
                </c:pt>
                <c:pt idx="4">
                  <c:v>0.63494241816036412</c:v>
                </c:pt>
                <c:pt idx="5">
                  <c:v>1.2195817600225316</c:v>
                </c:pt>
                <c:pt idx="6">
                  <c:v>2.1715163376191859</c:v>
                </c:pt>
                <c:pt idx="7">
                  <c:v>4.2585723999620386</c:v>
                </c:pt>
                <c:pt idx="8">
                  <c:v>7.4519576863100481</c:v>
                </c:pt>
                <c:pt idx="9">
                  <c:v>12.399619632089291</c:v>
                </c:pt>
                <c:pt idx="10">
                  <c:v>19.985273943645357</c:v>
                </c:pt>
                <c:pt idx="11">
                  <c:v>30.788770898880525</c:v>
                </c:pt>
                <c:pt idx="12">
                  <c:v>45.353985468236715</c:v>
                </c:pt>
                <c:pt idx="13">
                  <c:v>64.384127582804709</c:v>
                </c:pt>
                <c:pt idx="14">
                  <c:v>88.238644598627801</c:v>
                </c:pt>
                <c:pt idx="15">
                  <c:v>117.02799071917451</c:v>
                </c:pt>
                <c:pt idx="16">
                  <c:v>150.77566657277049</c:v>
                </c:pt>
                <c:pt idx="17">
                  <c:v>189.40442624585071</c:v>
                </c:pt>
                <c:pt idx="18">
                  <c:v>232.49736652191024</c:v>
                </c:pt>
                <c:pt idx="19">
                  <c:v>278.96128646837792</c:v>
                </c:pt>
                <c:pt idx="20">
                  <c:v>327.75461859348849</c:v>
                </c:pt>
                <c:pt idx="21">
                  <c:v>379.37528323061383</c:v>
                </c:pt>
                <c:pt idx="22">
                  <c:v>433.45576981309324</c:v>
                </c:pt>
                <c:pt idx="23">
                  <c:v>487.93556430114052</c:v>
                </c:pt>
                <c:pt idx="24">
                  <c:v>543.38396997161158</c:v>
                </c:pt>
                <c:pt idx="25">
                  <c:v>604.34675721177393</c:v>
                </c:pt>
                <c:pt idx="26">
                  <c:v>664.68307546540746</c:v>
                </c:pt>
                <c:pt idx="27">
                  <c:v>725.18478523052977</c:v>
                </c:pt>
                <c:pt idx="28">
                  <c:v>785.45594435068233</c:v>
                </c:pt>
                <c:pt idx="29">
                  <c:v>845.0224280440533</c:v>
                </c:pt>
                <c:pt idx="30">
                  <c:v>903.35203123184283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C-4BB4-8686-E1A90EA5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899712"/>
        <c:axId val="8928934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'Energy Requirementsfinal'!$B$166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'Energy Requirementsfinal'!$B$167:$B$197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136238.01577598078</c:v>
                      </c:pt>
                      <c:pt idx="1">
                        <c:v>138209.32097566835</c:v>
                      </c:pt>
                      <c:pt idx="2">
                        <c:v>139692.23316751199</c:v>
                      </c:pt>
                      <c:pt idx="3">
                        <c:v>141335.69421403311</c:v>
                      </c:pt>
                      <c:pt idx="4">
                        <c:v>143338.51874584254</c:v>
                      </c:pt>
                      <c:pt idx="5">
                        <c:v>144650.37058850878</c:v>
                      </c:pt>
                      <c:pt idx="6">
                        <c:v>146024.38465231331</c:v>
                      </c:pt>
                      <c:pt idx="7">
                        <c:v>149365.31275760866</c:v>
                      </c:pt>
                      <c:pt idx="8">
                        <c:v>153481.60213005601</c:v>
                      </c:pt>
                      <c:pt idx="9">
                        <c:v>158967.23069044133</c:v>
                      </c:pt>
                      <c:pt idx="10">
                        <c:v>163812.24416809296</c:v>
                      </c:pt>
                      <c:pt idx="11">
                        <c:v>167836.62488844604</c:v>
                      </c:pt>
                      <c:pt idx="12">
                        <c:v>166891.70205630525</c:v>
                      </c:pt>
                      <c:pt idx="13">
                        <c:v>164332.14702552353</c:v>
                      </c:pt>
                      <c:pt idx="14">
                        <c:v>160777.67196262893</c:v>
                      </c:pt>
                      <c:pt idx="15">
                        <c:v>158199.43985829237</c:v>
                      </c:pt>
                      <c:pt idx="16">
                        <c:v>157167.45596871135</c:v>
                      </c:pt>
                      <c:pt idx="17">
                        <c:v>159041.88226464827</c:v>
                      </c:pt>
                      <c:pt idx="18">
                        <c:v>157836.78530932992</c:v>
                      </c:pt>
                      <c:pt idx="19">
                        <c:v>154194.53841193111</c:v>
                      </c:pt>
                      <c:pt idx="20">
                        <c:v>150674.8489221074</c:v>
                      </c:pt>
                      <c:pt idx="21">
                        <c:v>146991.84607322581</c:v>
                      </c:pt>
                      <c:pt idx="22">
                        <c:v>142369.33846688329</c:v>
                      </c:pt>
                      <c:pt idx="23">
                        <c:v>137810.72330805514</c:v>
                      </c:pt>
                      <c:pt idx="24">
                        <c:v>133142.30223297409</c:v>
                      </c:pt>
                      <c:pt idx="25">
                        <c:v>127883.58676354986</c:v>
                      </c:pt>
                      <c:pt idx="26">
                        <c:v>123229.37128387862</c:v>
                      </c:pt>
                      <c:pt idx="27">
                        <c:v>119013.22717381416</c:v>
                      </c:pt>
                      <c:pt idx="28">
                        <c:v>114743.97648342469</c:v>
                      </c:pt>
                      <c:pt idx="29">
                        <c:v>110691.30652165269</c:v>
                      </c:pt>
                      <c:pt idx="30">
                        <c:v>107153.23215492872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68C-4BB4-8686-E1A90EA5585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Requirementsfinal'!$C$166</c15:sqref>
                        </c15:formulaRef>
                      </c:ext>
                    </c:extLst>
                    <c:strCache>
                      <c:ptCount val="1"/>
                      <c:pt idx="0">
                        <c:v>Diesel Million Litres- No P/T Adoption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Requirementsfinal'!$C$167:$C$197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136556.39534718363</c:v>
                      </c:pt>
                      <c:pt idx="1">
                        <c:v>138892.86338630551</c:v>
                      </c:pt>
                      <c:pt idx="2">
                        <c:v>140757.42958505187</c:v>
                      </c:pt>
                      <c:pt idx="3">
                        <c:v>142813.97306557512</c:v>
                      </c:pt>
                      <c:pt idx="4">
                        <c:v>145310.85284952042</c:v>
                      </c:pt>
                      <c:pt idx="5">
                        <c:v>147198.57726884229</c:v>
                      </c:pt>
                      <c:pt idx="6">
                        <c:v>149268.07356613496</c:v>
                      </c:pt>
                      <c:pt idx="7">
                        <c:v>153662.23458555667</c:v>
                      </c:pt>
                      <c:pt idx="8">
                        <c:v>159190.34568239388</c:v>
                      </c:pt>
                      <c:pt idx="9">
                        <c:v>166627.12651659717</c:v>
                      </c:pt>
                      <c:pt idx="10">
                        <c:v>174195.88190680169</c:v>
                      </c:pt>
                      <c:pt idx="11">
                        <c:v>181921.38555314214</c:v>
                      </c:pt>
                      <c:pt idx="12">
                        <c:v>185842.03003543746</c:v>
                      </c:pt>
                      <c:pt idx="13">
                        <c:v>189387.29336262576</c:v>
                      </c:pt>
                      <c:pt idx="14">
                        <c:v>193402.77276699254</c:v>
                      </c:pt>
                      <c:pt idx="15">
                        <c:v>199906.00119595573</c:v>
                      </c:pt>
                      <c:pt idx="16">
                        <c:v>209119.66320764073</c:v>
                      </c:pt>
                      <c:pt idx="17">
                        <c:v>223023.07801769095</c:v>
                      </c:pt>
                      <c:pt idx="18">
                        <c:v>234896.06555118959</c:v>
                      </c:pt>
                      <c:pt idx="19">
                        <c:v>245380.30830624807</c:v>
                      </c:pt>
                      <c:pt idx="20">
                        <c:v>256731.80879054783</c:v>
                      </c:pt>
                      <c:pt idx="21">
                        <c:v>268669.32361596054</c:v>
                      </c:pt>
                      <c:pt idx="22">
                        <c:v>280484.43653631839</c:v>
                      </c:pt>
                      <c:pt idx="23">
                        <c:v>292717.92650226655</c:v>
                      </c:pt>
                      <c:pt idx="24">
                        <c:v>305260.64394790574</c:v>
                      </c:pt>
                      <c:pt idx="25">
                        <c:v>318026.3903136318</c:v>
                      </c:pt>
                      <c:pt idx="26">
                        <c:v>331899.32751456491</c:v>
                      </c:pt>
                      <c:pt idx="27">
                        <c:v>346479.7089958298</c:v>
                      </c:pt>
                      <c:pt idx="28">
                        <c:v>361088.02108984214</c:v>
                      </c:pt>
                      <c:pt idx="29">
                        <c:v>375779.18413275213</c:v>
                      </c:pt>
                      <c:pt idx="30">
                        <c:v>390995.61034144997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68C-4BB4-8686-E1A90EA5585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Requirementsfinal'!$D$166</c15:sqref>
                        </c15:formulaRef>
                      </c:ext>
                    </c:extLst>
                    <c:strCache>
                      <c:ptCount val="1"/>
                      <c:pt idx="0">
                        <c:v>Diesel Savings Annual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Requirementsfinal'!$D$167:$D$197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318.37957120285137</c:v>
                      </c:pt>
                      <c:pt idx="1">
                        <c:v>683.54241063716472</c:v>
                      </c:pt>
                      <c:pt idx="2">
                        <c:v>1065.1964175398753</c:v>
                      </c:pt>
                      <c:pt idx="3">
                        <c:v>1478.2788515420107</c:v>
                      </c:pt>
                      <c:pt idx="4">
                        <c:v>1972.3341036778875</c:v>
                      </c:pt>
                      <c:pt idx="5">
                        <c:v>2548.2066803335038</c:v>
                      </c:pt>
                      <c:pt idx="6">
                        <c:v>3243.6889138216502</c:v>
                      </c:pt>
                      <c:pt idx="7">
                        <c:v>4296.9218279480119</c:v>
                      </c:pt>
                      <c:pt idx="8">
                        <c:v>5708.7435523378663</c:v>
                      </c:pt>
                      <c:pt idx="9">
                        <c:v>7659.8958261558437</c:v>
                      </c:pt>
                      <c:pt idx="10">
                        <c:v>10383.637738708727</c:v>
                      </c:pt>
                      <c:pt idx="11">
                        <c:v>14084.760664696107</c:v>
                      </c:pt>
                      <c:pt idx="12">
                        <c:v>18950.327979132213</c:v>
                      </c:pt>
                      <c:pt idx="13">
                        <c:v>25055.146337102226</c:v>
                      </c:pt>
                      <c:pt idx="14">
                        <c:v>32625.10080436361</c:v>
                      </c:pt>
                      <c:pt idx="15">
                        <c:v>41706.561337663356</c:v>
                      </c:pt>
                      <c:pt idx="16">
                        <c:v>51952.207238929375</c:v>
                      </c:pt>
                      <c:pt idx="17">
                        <c:v>63981.195753042673</c:v>
                      </c:pt>
                      <c:pt idx="18">
                        <c:v>77059.280241859669</c:v>
                      </c:pt>
                      <c:pt idx="19">
                        <c:v>91185.769894316967</c:v>
                      </c:pt>
                      <c:pt idx="20">
                        <c:v>106056.95986844043</c:v>
                      </c:pt>
                      <c:pt idx="21">
                        <c:v>121677.47754273473</c:v>
                      </c:pt>
                      <c:pt idx="22">
                        <c:v>138115.0980694351</c:v>
                      </c:pt>
                      <c:pt idx="23">
                        <c:v>154907.20319421141</c:v>
                      </c:pt>
                      <c:pt idx="24">
                        <c:v>172118.34171493165</c:v>
                      </c:pt>
                      <c:pt idx="25">
                        <c:v>190142.80355008194</c:v>
                      </c:pt>
                      <c:pt idx="26">
                        <c:v>208669.95623068628</c:v>
                      </c:pt>
                      <c:pt idx="27">
                        <c:v>227466.48182201566</c:v>
                      </c:pt>
                      <c:pt idx="28">
                        <c:v>246344.04460641745</c:v>
                      </c:pt>
                      <c:pt idx="29">
                        <c:v>265087.87761109945</c:v>
                      </c:pt>
                      <c:pt idx="30">
                        <c:v>283842.37818652124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C-4BB4-8686-E1A90EA5585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Requirementsfinal'!$E$166</c15:sqref>
                        </c15:formulaRef>
                      </c:ext>
                    </c:extLst>
                    <c:strCache>
                      <c:ptCount val="1"/>
                      <c:pt idx="0">
                        <c:v>Cumulative Savings- Million Litres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Requirementsfinal'!$E$167:$E$197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318.37957120285137</c:v>
                      </c:pt>
                      <c:pt idx="1">
                        <c:v>1001.9219818400161</c:v>
                      </c:pt>
                      <c:pt idx="2">
                        <c:v>2067.1183993798913</c:v>
                      </c:pt>
                      <c:pt idx="3">
                        <c:v>3545.397250921902</c:v>
                      </c:pt>
                      <c:pt idx="4">
                        <c:v>5517.7313545997895</c:v>
                      </c:pt>
                      <c:pt idx="5">
                        <c:v>8065.9380349332932</c:v>
                      </c:pt>
                      <c:pt idx="6">
                        <c:v>11309.626948754943</c:v>
                      </c:pt>
                      <c:pt idx="7">
                        <c:v>15606.548776702955</c:v>
                      </c:pt>
                      <c:pt idx="8">
                        <c:v>21315.292329040822</c:v>
                      </c:pt>
                      <c:pt idx="9">
                        <c:v>28975.188155196665</c:v>
                      </c:pt>
                      <c:pt idx="10">
                        <c:v>39358.825893905392</c:v>
                      </c:pt>
                      <c:pt idx="11">
                        <c:v>53443.586558601499</c:v>
                      </c:pt>
                      <c:pt idx="12">
                        <c:v>72393.914537733712</c:v>
                      </c:pt>
                      <c:pt idx="13">
                        <c:v>97449.060874835937</c:v>
                      </c:pt>
                      <c:pt idx="14">
                        <c:v>130074.16167919955</c:v>
                      </c:pt>
                      <c:pt idx="15">
                        <c:v>171780.7230168629</c:v>
                      </c:pt>
                      <c:pt idx="16">
                        <c:v>223732.93025579228</c:v>
                      </c:pt>
                      <c:pt idx="17">
                        <c:v>287714.12600883492</c:v>
                      </c:pt>
                      <c:pt idx="18">
                        <c:v>364773.40625069459</c:v>
                      </c:pt>
                      <c:pt idx="19">
                        <c:v>455959.17614501156</c:v>
                      </c:pt>
                      <c:pt idx="20">
                        <c:v>562016.13601345196</c:v>
                      </c:pt>
                      <c:pt idx="21">
                        <c:v>683693.61355618667</c:v>
                      </c:pt>
                      <c:pt idx="22">
                        <c:v>821808.71162562177</c:v>
                      </c:pt>
                      <c:pt idx="23">
                        <c:v>976715.91481983312</c:v>
                      </c:pt>
                      <c:pt idx="24">
                        <c:v>1148834.2565347648</c:v>
                      </c:pt>
                      <c:pt idx="25">
                        <c:v>1338977.0600848468</c:v>
                      </c:pt>
                      <c:pt idx="26">
                        <c:v>1547647.0163155331</c:v>
                      </c:pt>
                      <c:pt idx="27">
                        <c:v>1775113.4981375488</c:v>
                      </c:pt>
                      <c:pt idx="28">
                        <c:v>2021457.5427439662</c:v>
                      </c:pt>
                      <c:pt idx="29">
                        <c:v>2286545.4203550657</c:v>
                      </c:pt>
                      <c:pt idx="30">
                        <c:v>2570387.7985415868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68C-4BB4-8686-E1A90EA5585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Requirementsfinal'!$F$166</c15:sqref>
                        </c15:formulaRef>
                      </c:ext>
                    </c:extLst>
                    <c:strCache>
                      <c:ptCount val="1"/>
                      <c:pt idx="0">
                        <c:v>CNG in Million tonnes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Requirementsfinal'!$F$167:$F$197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0.28902342654056451</c:v>
                      </c:pt>
                      <c:pt idx="1">
                        <c:v>0.61484145874555762</c:v>
                      </c:pt>
                      <c:pt idx="2">
                        <c:v>0.94372814634059399</c:v>
                      </c:pt>
                      <c:pt idx="3">
                        <c:v>1.2788401338561233</c:v>
                      </c:pt>
                      <c:pt idx="4">
                        <c:v>1.6436262652518348</c:v>
                      </c:pt>
                      <c:pt idx="5">
                        <c:v>2.0169066123587238</c:v>
                      </c:pt>
                      <c:pt idx="6">
                        <c:v>2.4001611755284826</c:v>
                      </c:pt>
                      <c:pt idx="7">
                        <c:v>2.8163776497787039</c:v>
                      </c:pt>
                      <c:pt idx="8">
                        <c:v>3.263826872826785</c:v>
                      </c:pt>
                      <c:pt idx="9">
                        <c:v>3.7340089061518045</c:v>
                      </c:pt>
                      <c:pt idx="10">
                        <c:v>4.2286862245522245</c:v>
                      </c:pt>
                      <c:pt idx="11">
                        <c:v>4.7523881073698098</c:v>
                      </c:pt>
                      <c:pt idx="12">
                        <c:v>5.3124364821780645</c:v>
                      </c:pt>
                      <c:pt idx="13">
                        <c:v>5.8853995850564624</c:v>
                      </c:pt>
                      <c:pt idx="14">
                        <c:v>6.5000384493379499</c:v>
                      </c:pt>
                      <c:pt idx="15">
                        <c:v>7.1520814529390551</c:v>
                      </c:pt>
                      <c:pt idx="16">
                        <c:v>7.5488112440169486</c:v>
                      </c:pt>
                      <c:pt idx="17">
                        <c:v>7.9927945695085345</c:v>
                      </c:pt>
                      <c:pt idx="18">
                        <c:v>8.4359455196014466</c:v>
                      </c:pt>
                      <c:pt idx="19">
                        <c:v>8.909306903412805</c:v>
                      </c:pt>
                      <c:pt idx="20">
                        <c:v>9.3851689942231005</c:v>
                      </c:pt>
                      <c:pt idx="21">
                        <c:v>9.8263587649839543</c:v>
                      </c:pt>
                      <c:pt idx="22">
                        <c:v>10.238646874194266</c:v>
                      </c:pt>
                      <c:pt idx="23">
                        <c:v>10.580475816675095</c:v>
                      </c:pt>
                      <c:pt idx="24">
                        <c:v>10.852042839545724</c:v>
                      </c:pt>
                      <c:pt idx="25">
                        <c:v>11.075602844778308</c:v>
                      </c:pt>
                      <c:pt idx="26">
                        <c:v>11.247235728459982</c:v>
                      </c:pt>
                      <c:pt idx="27">
                        <c:v>11.226036077431367</c:v>
                      </c:pt>
                      <c:pt idx="28">
                        <c:v>10.952881664602337</c:v>
                      </c:pt>
                      <c:pt idx="29">
                        <c:v>10.449841190056237</c:v>
                      </c:pt>
                      <c:pt idx="30">
                        <c:v>9.8339353782572054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68C-4BB4-8686-E1A90EA5585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Requirementsfinal'!$G$166</c15:sqref>
                        </c15:formulaRef>
                      </c:ext>
                    </c:extLst>
                    <c:strCache>
                      <c:ptCount val="1"/>
                      <c:pt idx="0">
                        <c:v>LNG in million tonnes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Requirementsfinal'!$G$167:$G$197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8.9566838708991757E-3</c:v>
                      </c:pt>
                      <c:pt idx="1">
                        <c:v>1.905394842650223E-2</c:v>
                      </c:pt>
                      <c:pt idx="2">
                        <c:v>2.9251418111399825E-2</c:v>
                      </c:pt>
                      <c:pt idx="3">
                        <c:v>3.9664349363585358E-2</c:v>
                      </c:pt>
                      <c:pt idx="4">
                        <c:v>5.1065395188244683E-2</c:v>
                      </c:pt>
                      <c:pt idx="5">
                        <c:v>6.2874554099399044E-2</c:v>
                      </c:pt>
                      <c:pt idx="6">
                        <c:v>7.5261750820413656E-2</c:v>
                      </c:pt>
                      <c:pt idx="7">
                        <c:v>8.919514894168612E-2</c:v>
                      </c:pt>
                      <c:pt idx="8">
                        <c:v>0.1049357167640718</c:v>
                      </c:pt>
                      <c:pt idx="9">
                        <c:v>0.12260289086741409</c:v>
                      </c:pt>
                      <c:pt idx="10">
                        <c:v>0.14285471506700528</c:v>
                      </c:pt>
                      <c:pt idx="11">
                        <c:v>0.16651532490873683</c:v>
                      </c:pt>
                      <c:pt idx="12">
                        <c:v>0.19464482186153725</c:v>
                      </c:pt>
                      <c:pt idx="13">
                        <c:v>0.22728762863125973</c:v>
                      </c:pt>
                      <c:pt idx="14">
                        <c:v>0.26651529815162728</c:v>
                      </c:pt>
                      <c:pt idx="15">
                        <c:v>0.31308898950738606</c:v>
                      </c:pt>
                      <c:pt idx="16">
                        <c:v>0.35858333330033976</c:v>
                      </c:pt>
                      <c:pt idx="17">
                        <c:v>0.41359279744903449</c:v>
                      </c:pt>
                      <c:pt idx="18">
                        <c:v>0.47475518814550199</c:v>
                      </c:pt>
                      <c:pt idx="19">
                        <c:v>0.54228815573214095</c:v>
                      </c:pt>
                      <c:pt idx="20">
                        <c:v>0.61330484928121121</c:v>
                      </c:pt>
                      <c:pt idx="21">
                        <c:v>0.68376701878222268</c:v>
                      </c:pt>
                      <c:pt idx="22">
                        <c:v>0.75394954977264472</c:v>
                      </c:pt>
                      <c:pt idx="23">
                        <c:v>0.82153108580498213</c:v>
                      </c:pt>
                      <c:pt idx="24">
                        <c:v>0.88611529170085357</c:v>
                      </c:pt>
                      <c:pt idx="25">
                        <c:v>0.94937251274789225</c:v>
                      </c:pt>
                      <c:pt idx="26">
                        <c:v>1.0065976730088393</c:v>
                      </c:pt>
                      <c:pt idx="27">
                        <c:v>1.0412600131207939</c:v>
                      </c:pt>
                      <c:pt idx="28">
                        <c:v>1.0456304785479031</c:v>
                      </c:pt>
                      <c:pt idx="29">
                        <c:v>1.0216758513896926</c:v>
                      </c:pt>
                      <c:pt idx="30">
                        <c:v>0.98225746323060614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68C-4BB4-8686-E1A90EA5585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Requirementsfinal'!$H$166</c15:sqref>
                        </c15:formulaRef>
                      </c:ext>
                    </c:extLst>
                    <c:strCache>
                      <c:ptCount val="1"/>
                      <c:pt idx="0">
                        <c:v>H2 ICE(Green H2) in Million Tonnes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Requirementsfinal'!$H$167:$H$197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7.7649731254613927E-4</c:v>
                      </c:pt>
                      <c:pt idx="4">
                        <c:v>2.272798101446052E-3</c:v>
                      </c:pt>
                      <c:pt idx="5">
                        <c:v>4.847907010736752E-3</c:v>
                      </c:pt>
                      <c:pt idx="6">
                        <c:v>9.0684566402341772E-3</c:v>
                      </c:pt>
                      <c:pt idx="7">
                        <c:v>1.6197041491211744E-2</c:v>
                      </c:pt>
                      <c:pt idx="8">
                        <c:v>2.7467308863250335E-2</c:v>
                      </c:pt>
                      <c:pt idx="9">
                        <c:v>4.4244348480683739E-2</c:v>
                      </c:pt>
                      <c:pt idx="10">
                        <c:v>6.877480306295243E-2</c:v>
                      </c:pt>
                      <c:pt idx="11">
                        <c:v>0.10344151693301092</c:v>
                      </c:pt>
                      <c:pt idx="12">
                        <c:v>0.15112009311752858</c:v>
                      </c:pt>
                      <c:pt idx="13">
                        <c:v>0.21436214563885525</c:v>
                      </c:pt>
                      <c:pt idx="14">
                        <c:v>0.29782492756748519</c:v>
                      </c:pt>
                      <c:pt idx="15">
                        <c:v>0.40545104590798331</c:v>
                      </c:pt>
                      <c:pt idx="16">
                        <c:v>0.54134777407683177</c:v>
                      </c:pt>
                      <c:pt idx="17">
                        <c:v>0.71439669211319845</c:v>
                      </c:pt>
                      <c:pt idx="18">
                        <c:v>0.92265879787311311</c:v>
                      </c:pt>
                      <c:pt idx="19">
                        <c:v>1.1719644399782156</c:v>
                      </c:pt>
                      <c:pt idx="20">
                        <c:v>1.4670504578344472</c:v>
                      </c:pt>
                      <c:pt idx="21">
                        <c:v>1.8107791403153379</c:v>
                      </c:pt>
                      <c:pt idx="22">
                        <c:v>2.2079352025581054</c:v>
                      </c:pt>
                      <c:pt idx="23">
                        <c:v>2.6542417848508393</c:v>
                      </c:pt>
                      <c:pt idx="24">
                        <c:v>3.1531582293440361</c:v>
                      </c:pt>
                      <c:pt idx="25">
                        <c:v>3.7225828731865529</c:v>
                      </c:pt>
                      <c:pt idx="26">
                        <c:v>4.3616444121376174</c:v>
                      </c:pt>
                      <c:pt idx="27">
                        <c:v>5.364733061790389</c:v>
                      </c:pt>
                      <c:pt idx="28">
                        <c:v>6.5614927081129979</c:v>
                      </c:pt>
                      <c:pt idx="29">
                        <c:v>7.9574007467779548</c:v>
                      </c:pt>
                      <c:pt idx="30">
                        <c:v>9.5634072926318332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68C-4BB4-8686-E1A90EA5585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Requirementsfinal'!$I$166</c15:sqref>
                        </c15:formulaRef>
                      </c:ext>
                    </c:extLst>
                    <c:strCache>
                      <c:ptCount val="1"/>
                      <c:pt idx="0">
                        <c:v>H2 FCET (Green H2)in Million Tonnes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Requirementsfinal'!$I$167:$I$197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3.7452275151328771E-4</c:v>
                      </c:pt>
                      <c:pt idx="6">
                        <c:v>1.1055508950473976E-3</c:v>
                      </c:pt>
                      <c:pt idx="7">
                        <c:v>2.5207655627949321E-3</c:v>
                      </c:pt>
                      <c:pt idx="8">
                        <c:v>5.0625973690557047E-3</c:v>
                      </c:pt>
                      <c:pt idx="9">
                        <c:v>9.2679533795507196E-3</c:v>
                      </c:pt>
                      <c:pt idx="10">
                        <c:v>1.6044102500382511E-2</c:v>
                      </c:pt>
                      <c:pt idx="11">
                        <c:v>2.6305775587790518E-2</c:v>
                      </c:pt>
                      <c:pt idx="12">
                        <c:v>4.1534706154334022E-2</c:v>
                      </c:pt>
                      <c:pt idx="13">
                        <c:v>6.2529716806738411E-2</c:v>
                      </c:pt>
                      <c:pt idx="14">
                        <c:v>9.1518769060979832E-2</c:v>
                      </c:pt>
                      <c:pt idx="15">
                        <c:v>0.13061484140947963</c:v>
                      </c:pt>
                      <c:pt idx="16">
                        <c:v>0.1820212627188304</c:v>
                      </c:pt>
                      <c:pt idx="17">
                        <c:v>0.24781245534774229</c:v>
                      </c:pt>
                      <c:pt idx="18">
                        <c:v>0.32938833764363445</c:v>
                      </c:pt>
                      <c:pt idx="19">
                        <c:v>0.42920643354692539</c:v>
                      </c:pt>
                      <c:pt idx="20">
                        <c:v>0.54923066905348816</c:v>
                      </c:pt>
                      <c:pt idx="21">
                        <c:v>0.68913332857511289</c:v>
                      </c:pt>
                      <c:pt idx="22">
                        <c:v>0.85360758217373456</c:v>
                      </c:pt>
                      <c:pt idx="23">
                        <c:v>1.0456488320762634</c:v>
                      </c:pt>
                      <c:pt idx="24">
                        <c:v>1.2600038146100783</c:v>
                      </c:pt>
                      <c:pt idx="25">
                        <c:v>1.4946914996238954</c:v>
                      </c:pt>
                      <c:pt idx="26">
                        <c:v>1.7671899880041497</c:v>
                      </c:pt>
                      <c:pt idx="27">
                        <c:v>2.0786791026469493</c:v>
                      </c:pt>
                      <c:pt idx="28">
                        <c:v>2.4913534275934786</c:v>
                      </c:pt>
                      <c:pt idx="29">
                        <c:v>3.0107547751663342</c:v>
                      </c:pt>
                      <c:pt idx="30">
                        <c:v>3.6423474307781825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68C-4BB4-8686-E1A90EA5585F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Requirementsfinal'!$K$166</c15:sqref>
                        </c15:formulaRef>
                      </c:ext>
                    </c:extLst>
                    <c:strCache>
                      <c:ptCount val="1"/>
                      <c:pt idx="0">
                        <c:v>Total Electricity Generation(Twh)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Requirementsfinal'!$K$167:$K$197</c15:sqref>
                        </c15:formulaRef>
                      </c:ext>
                    </c:extLst>
                    <c:numCache>
                      <c:formatCode>0</c:formatCode>
                      <c:ptCount val="31"/>
                      <c:pt idx="0">
                        <c:v>1904.8125599999998</c:v>
                      </c:pt>
                      <c:pt idx="1">
                        <c:v>1984.8527837711997</c:v>
                      </c:pt>
                      <c:pt idx="2">
                        <c:v>2068.2562977452653</c:v>
                      </c:pt>
                      <c:pt idx="3">
                        <c:v>2155.1644273765214</c:v>
                      </c:pt>
                      <c:pt idx="4">
                        <c:v>2245.7244366148825</c:v>
                      </c:pt>
                      <c:pt idx="5">
                        <c:v>2340.0897774414398</c:v>
                      </c:pt>
                      <c:pt idx="6">
                        <c:v>2438.420349889529</c:v>
                      </c:pt>
                      <c:pt idx="7">
                        <c:v>2540.8827729918867</c:v>
                      </c:pt>
                      <c:pt idx="8">
                        <c:v>2647.6506671130055</c:v>
                      </c:pt>
                      <c:pt idx="9">
                        <c:v>2758.9049481450938</c:v>
                      </c:pt>
                      <c:pt idx="10">
                        <c:v>2874.8341340661505</c:v>
                      </c:pt>
                      <c:pt idx="11">
                        <c:v>2995.6346643796101</c:v>
                      </c:pt>
                      <c:pt idx="12">
                        <c:v>3121.5112329768413</c:v>
                      </c:pt>
                      <c:pt idx="13">
                        <c:v>3252.677134986528</c:v>
                      </c:pt>
                      <c:pt idx="14">
                        <c:v>3389.3546281986619</c:v>
                      </c:pt>
                      <c:pt idx="15">
                        <c:v>3531.7753096755696</c:v>
                      </c:pt>
                      <c:pt idx="16">
                        <c:v>3680.1805081881366</c:v>
                      </c:pt>
                      <c:pt idx="17">
                        <c:v>3834.8216931422021</c:v>
                      </c:pt>
                      <c:pt idx="18">
                        <c:v>3995.9609006880373</c:v>
                      </c:pt>
                      <c:pt idx="19">
                        <c:v>4163.8711777349481</c:v>
                      </c:pt>
                      <c:pt idx="20">
                        <c:v>4338.8370446233703</c:v>
                      </c:pt>
                      <c:pt idx="21">
                        <c:v>4521.1549772384442</c:v>
                      </c:pt>
                      <c:pt idx="22">
                        <c:v>4711.1339093820034</c:v>
                      </c:pt>
                      <c:pt idx="23">
                        <c:v>4909.0957562542353</c:v>
                      </c:pt>
                      <c:pt idx="24">
                        <c:v>5115.3759599320383</c:v>
                      </c:pt>
                      <c:pt idx="25">
                        <c:v>5330.3240577683819</c:v>
                      </c:pt>
                      <c:pt idx="26">
                        <c:v>5554.3042746758092</c:v>
                      </c:pt>
                      <c:pt idx="27">
                        <c:v>5787.6961402976867</c:v>
                      </c:pt>
                      <c:pt idx="28">
                        <c:v>6030.8951321129953</c:v>
                      </c:pt>
                      <c:pt idx="29">
                        <c:v>6284.3133455643829</c:v>
                      </c:pt>
                      <c:pt idx="30">
                        <c:v>6548.3801923449982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68C-4BB4-8686-E1A90EA5585F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Requirementsfinal'!$M$166</c15:sqref>
                        </c15:formulaRef>
                      </c:ext>
                    </c:extLst>
                    <c:strCache>
                      <c:ptCount val="1"/>
                      <c:pt idx="0">
                        <c:v>Total H2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Requirementsfinal'!$A$167:$A$197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'Energy Requirementsfinal'!$M$167:$M$197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7.7649731254613927E-4</c:v>
                      </c:pt>
                      <c:pt idx="4">
                        <c:v>2.272798101446052E-3</c:v>
                      </c:pt>
                      <c:pt idx="5">
                        <c:v>5.2224297622500398E-3</c:v>
                      </c:pt>
                      <c:pt idx="6">
                        <c:v>1.0174007535281575E-2</c:v>
                      </c:pt>
                      <c:pt idx="7">
                        <c:v>1.8717807054006677E-2</c:v>
                      </c:pt>
                      <c:pt idx="8">
                        <c:v>3.252990623230604E-2</c:v>
                      </c:pt>
                      <c:pt idx="9">
                        <c:v>5.3512301860234458E-2</c:v>
                      </c:pt>
                      <c:pt idx="10">
                        <c:v>8.4818905563334934E-2</c:v>
                      </c:pt>
                      <c:pt idx="11">
                        <c:v>0.12974729252080144</c:v>
                      </c:pt>
                      <c:pt idx="12">
                        <c:v>0.1926547992718626</c:v>
                      </c:pt>
                      <c:pt idx="13">
                        <c:v>0.27689186244559366</c:v>
                      </c:pt>
                      <c:pt idx="14">
                        <c:v>0.38934369662846502</c:v>
                      </c:pt>
                      <c:pt idx="15">
                        <c:v>0.53606588731746296</c:v>
                      </c:pt>
                      <c:pt idx="16">
                        <c:v>0.72336903679566222</c:v>
                      </c:pt>
                      <c:pt idx="17">
                        <c:v>0.96220914746094077</c:v>
                      </c:pt>
                      <c:pt idx="18">
                        <c:v>1.2520471355167475</c:v>
                      </c:pt>
                      <c:pt idx="19">
                        <c:v>1.6011708735251411</c:v>
                      </c:pt>
                      <c:pt idx="20">
                        <c:v>2.0162811268879355</c:v>
                      </c:pt>
                      <c:pt idx="21">
                        <c:v>2.499912468890451</c:v>
                      </c:pt>
                      <c:pt idx="22">
                        <c:v>3.0615427847318397</c:v>
                      </c:pt>
                      <c:pt idx="23">
                        <c:v>3.6998906169271026</c:v>
                      </c:pt>
                      <c:pt idx="24">
                        <c:v>4.4131620439541148</c:v>
                      </c:pt>
                      <c:pt idx="25">
                        <c:v>5.217274372810448</c:v>
                      </c:pt>
                      <c:pt idx="26">
                        <c:v>6.1288344001417672</c:v>
                      </c:pt>
                      <c:pt idx="27">
                        <c:v>7.4434121644373388</c:v>
                      </c:pt>
                      <c:pt idx="28">
                        <c:v>9.052846135706476</c:v>
                      </c:pt>
                      <c:pt idx="29">
                        <c:v>10.96815552194429</c:v>
                      </c:pt>
                      <c:pt idx="30">
                        <c:v>13.205754723410015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68C-4BB4-8686-E1A90EA5585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0"/>
          <c:order val="10"/>
          <c:tx>
            <c:strRef>
              <c:f>'Energy Requirementsfinal'!$L$166</c:f>
              <c:strCache>
                <c:ptCount val="1"/>
                <c:pt idx="0">
                  <c:v>% of grid electricity required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'Energy Requirementsfinal'!$A$167:$A$197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'Energy Requirementsfinal'!$L$167:$L$197</c:f>
              <c:numCache>
                <c:formatCode>0.00%</c:formatCode>
                <c:ptCount val="31"/>
                <c:pt idx="0">
                  <c:v>7.0457835169473084E-6</c:v>
                </c:pt>
                <c:pt idx="1">
                  <c:v>2.5282489525032543E-5</c:v>
                </c:pt>
                <c:pt idx="2">
                  <c:v>6.4087372968058942E-5</c:v>
                </c:pt>
                <c:pt idx="3">
                  <c:v>1.3875225686441907E-4</c:v>
                </c:pt>
                <c:pt idx="4">
                  <c:v>2.8273389548962274E-4</c:v>
                </c:pt>
                <c:pt idx="5">
                  <c:v>5.2116879094953928E-4</c:v>
                </c:pt>
                <c:pt idx="6">
                  <c:v>8.9054224704020581E-4</c:v>
                </c:pt>
                <c:pt idx="7">
                  <c:v>1.6760208086843669E-3</c:v>
                </c:pt>
                <c:pt idx="8">
                  <c:v>2.8145547216150129E-3</c:v>
                </c:pt>
                <c:pt idx="9">
                  <c:v>4.4943989971187584E-3</c:v>
                </c:pt>
                <c:pt idx="10">
                  <c:v>6.9518006993253166E-3</c:v>
                </c:pt>
                <c:pt idx="11">
                  <c:v>1.0277879096868048E-2</c:v>
                </c:pt>
                <c:pt idx="12">
                  <c:v>1.4529496158495227E-2</c:v>
                </c:pt>
                <c:pt idx="13">
                  <c:v>1.9794195645880291E-2</c:v>
                </c:pt>
                <c:pt idx="14">
                  <c:v>2.6034054939103241E-2</c:v>
                </c:pt>
                <c:pt idx="15">
                  <c:v>3.3135740656708074E-2</c:v>
                </c:pt>
                <c:pt idx="16">
                  <c:v>4.0969638917793705E-2</c:v>
                </c:pt>
                <c:pt idx="17">
                  <c:v>4.939067351803135E-2</c:v>
                </c:pt>
                <c:pt idx="18">
                  <c:v>5.8183093453661697E-2</c:v>
                </c:pt>
                <c:pt idx="19">
                  <c:v>6.6995657300840547E-2</c:v>
                </c:pt>
                <c:pt idx="20">
                  <c:v>7.5539739156518376E-2</c:v>
                </c:pt>
                <c:pt idx="21">
                  <c:v>8.3911143311955025E-2</c:v>
                </c:pt>
                <c:pt idx="22">
                  <c:v>9.2006675707070495E-2</c:v>
                </c:pt>
                <c:pt idx="23">
                  <c:v>9.939418347656101E-2</c:v>
                </c:pt>
                <c:pt idx="24">
                  <c:v>0.1062256174771621</c:v>
                </c:pt>
                <c:pt idx="25">
                  <c:v>0.11337898984415452</c:v>
                </c:pt>
                <c:pt idx="26">
                  <c:v>0.11966990690372348</c:v>
                </c:pt>
                <c:pt idx="27">
                  <c:v>0.12529766035596165</c:v>
                </c:pt>
                <c:pt idx="28">
                  <c:v>0.13023870041585164</c:v>
                </c:pt>
                <c:pt idx="29">
                  <c:v>0.13446535549353059</c:v>
                </c:pt>
                <c:pt idx="30">
                  <c:v>0.13795045563906838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8C-4BB4-8686-E1A90EA5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158000"/>
        <c:axId val="573160880"/>
      </c:lineChart>
      <c:catAx>
        <c:axId val="8928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93472"/>
        <c:crosses val="autoZero"/>
        <c:auto val="1"/>
        <c:lblAlgn val="ctr"/>
        <c:lblOffset val="100"/>
        <c:noMultiLvlLbl val="0"/>
      </c:catAx>
      <c:valAx>
        <c:axId val="89289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99712"/>
        <c:crosses val="autoZero"/>
        <c:crossBetween val="between"/>
      </c:valAx>
      <c:valAx>
        <c:axId val="5731608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158000"/>
        <c:crosses val="max"/>
        <c:crossBetween val="between"/>
      </c:valAx>
      <c:catAx>
        <c:axId val="573158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316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'B1 - TCO ML 19T'!$A$165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'B1 - TCO ML 19T'!$C$164:$AB$164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'B1 - TCO ML 19T'!$C$165:$AB$165</c:f>
              <c:numCache>
                <c:formatCode>_ [$₹-4009]\ * #,##0.00_ ;_ [$₹-4009]\ * \-#,##0.00_ ;_ [$₹-4009]\ * "-"??_ ;_ @_ </c:formatCode>
                <c:ptCount val="26"/>
                <c:pt idx="0">
                  <c:v>33.521745325043042</c:v>
                </c:pt>
                <c:pt idx="1">
                  <c:v>35.926523434229019</c:v>
                </c:pt>
                <c:pt idx="2">
                  <c:v>36.793136163644689</c:v>
                </c:pt>
                <c:pt idx="3">
                  <c:v>37.685873178709031</c:v>
                </c:pt>
                <c:pt idx="4">
                  <c:v>38.605384285892569</c:v>
                </c:pt>
                <c:pt idx="5">
                  <c:v>40.146648702912103</c:v>
                </c:pt>
                <c:pt idx="6">
                  <c:v>41.138647397944553</c:v>
                </c:pt>
                <c:pt idx="7">
                  <c:v>42.159435674448034</c:v>
                </c:pt>
                <c:pt idx="8">
                  <c:v>43.209411338796556</c:v>
                </c:pt>
                <c:pt idx="9">
                  <c:v>44.28913315900575</c:v>
                </c:pt>
                <c:pt idx="10">
                  <c:v>45.399321285916855</c:v>
                </c:pt>
                <c:pt idx="11">
                  <c:v>47.107131304559651</c:v>
                </c:pt>
                <c:pt idx="12">
                  <c:v>48.296719696356739</c:v>
                </c:pt>
                <c:pt idx="13">
                  <c:v>49.528344837468048</c:v>
                </c:pt>
                <c:pt idx="14">
                  <c:v>50.793387637634183</c:v>
                </c:pt>
                <c:pt idx="15">
                  <c:v>52.101762603347538</c:v>
                </c:pt>
                <c:pt idx="16">
                  <c:v>53.44488132383988</c:v>
                </c:pt>
                <c:pt idx="17">
                  <c:v>54.832690050460478</c:v>
                </c:pt>
                <c:pt idx="18">
                  <c:v>56.256795103538238</c:v>
                </c:pt>
                <c:pt idx="19">
                  <c:v>57.727176729638998</c:v>
                </c:pt>
                <c:pt idx="20">
                  <c:v>59.24457381013746</c:v>
                </c:pt>
                <c:pt idx="21">
                  <c:v>61.571545840922198</c:v>
                </c:pt>
                <c:pt idx="22">
                  <c:v>63.208432888798008</c:v>
                </c:pt>
                <c:pt idx="23">
                  <c:v>64.895677383824307</c:v>
                </c:pt>
                <c:pt idx="24">
                  <c:v>66.634284630920789</c:v>
                </c:pt>
                <c:pt idx="25">
                  <c:v>68.425106098912025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F-4034-B547-B6A559ACC8E1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'B1 - TCO ML 19T'!$C$164:$AB$164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F-4034-B547-B6A559ACC8E1}"/>
            </c:ext>
          </c:extLst>
        </c:ser>
        <c:ser>
          <c:idx val="4"/>
          <c:order val="2"/>
          <c:tx>
            <c:strRef>
              <c:f>'B1 - TCO ML 19T'!$A$168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'B1 - TCO ML 19T'!$C$164:$AB$164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'B1 - TCO ML 19T'!$C$168:$AB$168</c:f>
              <c:numCache>
                <c:formatCode>_ [$₹-4009]\ * #,##0.00_ ;_ [$₹-4009]\ * \-#,##0.00_ ;_ [$₹-4009]\ * "-"??_ ;_ @_ </c:formatCode>
                <c:ptCount val="26"/>
                <c:pt idx="0">
                  <c:v>40.041670801625386</c:v>
                </c:pt>
                <c:pt idx="1">
                  <c:v>40.323734999096878</c:v>
                </c:pt>
                <c:pt idx="2">
                  <c:v>40.552058332339556</c:v>
                </c:pt>
                <c:pt idx="3">
                  <c:v>40.436459957570321</c:v>
                </c:pt>
                <c:pt idx="4">
                  <c:v>40.266175873895037</c:v>
                </c:pt>
                <c:pt idx="5">
                  <c:v>40.714268362881413</c:v>
                </c:pt>
                <c:pt idx="6">
                  <c:v>39.268579765756243</c:v>
                </c:pt>
                <c:pt idx="7">
                  <c:v>39.425964591209841</c:v>
                </c:pt>
                <c:pt idx="8">
                  <c:v>39.439705820143224</c:v>
                </c:pt>
                <c:pt idx="9">
                  <c:v>39.551061722755144</c:v>
                </c:pt>
                <c:pt idx="10">
                  <c:v>39.761919593386601</c:v>
                </c:pt>
                <c:pt idx="11">
                  <c:v>39.286960420340428</c:v>
                </c:pt>
                <c:pt idx="12">
                  <c:v>39.737254008940177</c:v>
                </c:pt>
                <c:pt idx="13">
                  <c:v>40.189574310711819</c:v>
                </c:pt>
                <c:pt idx="14">
                  <c:v>40.712555439155345</c:v>
                </c:pt>
                <c:pt idx="15">
                  <c:v>41.304772125598831</c:v>
                </c:pt>
                <c:pt idx="16">
                  <c:v>41.868917521612019</c:v>
                </c:pt>
                <c:pt idx="17">
                  <c:v>42.727348587121924</c:v>
                </c:pt>
                <c:pt idx="18">
                  <c:v>43.592945569519834</c:v>
                </c:pt>
                <c:pt idx="19">
                  <c:v>44.497498019392779</c:v>
                </c:pt>
                <c:pt idx="20">
                  <c:v>45.444085114183565</c:v>
                </c:pt>
                <c:pt idx="21">
                  <c:v>45.420582669271184</c:v>
                </c:pt>
                <c:pt idx="22">
                  <c:v>46.43136532683517</c:v>
                </c:pt>
                <c:pt idx="23">
                  <c:v>47.492525842510702</c:v>
                </c:pt>
                <c:pt idx="24">
                  <c:v>48.599673642197999</c:v>
                </c:pt>
                <c:pt idx="25">
                  <c:v>49.761457815114944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9F-4034-B547-B6A559ACC8E1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99F-4034-B547-B6A559ACC8E1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99F-4034-B547-B6A559AC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'B1 - TCO ML 19T'!$A$192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'B1 - TCO ML 19T'!$C$164:$AB$164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'B1 - TCO ML 19T'!$C$192:$AB$192</c:f>
              <c:numCache>
                <c:formatCode>0%</c:formatCode>
                <c:ptCount val="26"/>
                <c:pt idx="0">
                  <c:v>0.83717149294585169</c:v>
                </c:pt>
                <c:pt idx="1">
                  <c:v>0.89095227500710583</c:v>
                </c:pt>
                <c:pt idx="2">
                  <c:v>0.90730625464460846</c:v>
                </c:pt>
                <c:pt idx="3">
                  <c:v>0.93197755733940457</c:v>
                </c:pt>
                <c:pt idx="4">
                  <c:v>0.95875467307340756</c:v>
                </c:pt>
                <c:pt idx="5">
                  <c:v>0.9860584585504476</c:v>
                </c:pt>
                <c:pt idx="6">
                  <c:v>1.0476224921640553</c:v>
                </c:pt>
                <c:pt idx="7">
                  <c:v>1.0693317490537093</c:v>
                </c:pt>
                <c:pt idx="8">
                  <c:v>1.0955814816632838</c:v>
                </c:pt>
                <c:pt idx="9">
                  <c:v>1.1197963146846353</c:v>
                </c:pt>
                <c:pt idx="10">
                  <c:v>1.1417789118377448</c:v>
                </c:pt>
                <c:pt idx="11">
                  <c:v>1.1990525813284962</c:v>
                </c:pt>
                <c:pt idx="12">
                  <c:v>1.2154015394594411</c:v>
                </c:pt>
                <c:pt idx="13">
                  <c:v>1.2323679881393306</c:v>
                </c:pt>
                <c:pt idx="14">
                  <c:v>1.2476099102534739</c:v>
                </c:pt>
                <c:pt idx="15">
                  <c:v>1.2613981368767127</c:v>
                </c:pt>
                <c:pt idx="16">
                  <c:v>1.2764810863871163</c:v>
                </c:pt>
                <c:pt idx="17">
                  <c:v>1.2833159993219687</c:v>
                </c:pt>
                <c:pt idx="18">
                  <c:v>1.2905022674786391</c:v>
                </c:pt>
                <c:pt idx="19">
                  <c:v>1.297312866994915</c:v>
                </c:pt>
                <c:pt idx="20">
                  <c:v>1.3036806365730229</c:v>
                </c:pt>
                <c:pt idx="21">
                  <c:v>1.3555868776332933</c:v>
                </c:pt>
                <c:pt idx="22">
                  <c:v>1.3613304808908231</c:v>
                </c:pt>
                <c:pt idx="23">
                  <c:v>1.3664397972646043</c:v>
                </c:pt>
                <c:pt idx="24">
                  <c:v>1.3710850225352902</c:v>
                </c:pt>
                <c:pt idx="25">
                  <c:v>1.3750623294265312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7-4016-85F0-51244BFF7D5A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'B1 - TCO ML 19T'!$C$164:$AB$164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7-4016-85F0-51244BFF7D5A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DFC7-4016-85F0-51244BFF7D5A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FC7-4016-85F0-51244BFF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'B1 - TCO ML 19T'!$A$165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19T'!$C$165:$AG$165</c:f>
              <c:numCache>
                <c:formatCode>_ [$₹-4009]\ * #,##0.00_ ;_ [$₹-4009]\ * \-#,##0.00_ ;_ [$₹-4009]\ * "-"??_ ;_ @_ </c:formatCode>
                <c:ptCount val="31"/>
                <c:pt idx="0">
                  <c:v>33.521745325043042</c:v>
                </c:pt>
                <c:pt idx="1">
                  <c:v>35.926523434229019</c:v>
                </c:pt>
                <c:pt idx="2">
                  <c:v>36.793136163644689</c:v>
                </c:pt>
                <c:pt idx="3">
                  <c:v>37.685873178709031</c:v>
                </c:pt>
                <c:pt idx="4">
                  <c:v>38.605384285892569</c:v>
                </c:pt>
                <c:pt idx="5">
                  <c:v>40.146648702912103</c:v>
                </c:pt>
                <c:pt idx="6">
                  <c:v>41.138647397944553</c:v>
                </c:pt>
                <c:pt idx="7">
                  <c:v>42.159435674448034</c:v>
                </c:pt>
                <c:pt idx="8">
                  <c:v>43.209411338796556</c:v>
                </c:pt>
                <c:pt idx="9">
                  <c:v>44.28913315900575</c:v>
                </c:pt>
                <c:pt idx="10">
                  <c:v>45.399321285916855</c:v>
                </c:pt>
                <c:pt idx="11">
                  <c:v>47.107131304559651</c:v>
                </c:pt>
                <c:pt idx="12">
                  <c:v>48.296719696356739</c:v>
                </c:pt>
                <c:pt idx="13">
                  <c:v>49.528344837468048</c:v>
                </c:pt>
                <c:pt idx="14">
                  <c:v>50.793387637634183</c:v>
                </c:pt>
                <c:pt idx="15">
                  <c:v>52.101762603347538</c:v>
                </c:pt>
                <c:pt idx="16">
                  <c:v>53.44488132383988</c:v>
                </c:pt>
                <c:pt idx="17">
                  <c:v>54.832690050460478</c:v>
                </c:pt>
                <c:pt idx="18">
                  <c:v>56.256795103538238</c:v>
                </c:pt>
                <c:pt idx="19">
                  <c:v>57.727176729638998</c:v>
                </c:pt>
                <c:pt idx="20">
                  <c:v>59.24457381013746</c:v>
                </c:pt>
                <c:pt idx="21">
                  <c:v>61.571545840922198</c:v>
                </c:pt>
                <c:pt idx="22">
                  <c:v>63.208432888798008</c:v>
                </c:pt>
                <c:pt idx="23">
                  <c:v>64.895677383824307</c:v>
                </c:pt>
                <c:pt idx="24">
                  <c:v>66.634284630920789</c:v>
                </c:pt>
                <c:pt idx="25">
                  <c:v>68.425106098912025</c:v>
                </c:pt>
                <c:pt idx="26">
                  <c:v>70.269015282766347</c:v>
                </c:pt>
                <c:pt idx="27">
                  <c:v>72.176517962277714</c:v>
                </c:pt>
                <c:pt idx="28">
                  <c:v>74.139274798877508</c:v>
                </c:pt>
                <c:pt idx="29">
                  <c:v>76.167664540750152</c:v>
                </c:pt>
                <c:pt idx="30">
                  <c:v>78.262656899619898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7-420A-B0D8-9E3DF3C5186B}"/>
            </c:ext>
          </c:extLst>
        </c:ser>
        <c:ser>
          <c:idx val="4"/>
          <c:order val="1"/>
          <c:tx>
            <c:strRef>
              <c:f>'B1 - TCO ML 19T'!$A$168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DB7-420A-B0D8-9E3DF3C5186B}"/>
              </c:ext>
            </c:extLst>
          </c:dPt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19T'!$C$168:$AG$168</c:f>
              <c:numCache>
                <c:formatCode>_ [$₹-4009]\ * #,##0.00_ ;_ [$₹-4009]\ * \-#,##0.00_ ;_ [$₹-4009]\ * "-"??_ ;_ @_ </c:formatCode>
                <c:ptCount val="31"/>
                <c:pt idx="0">
                  <c:v>40.041670801625386</c:v>
                </c:pt>
                <c:pt idx="1">
                  <c:v>40.323734999096878</c:v>
                </c:pt>
                <c:pt idx="2">
                  <c:v>40.552058332339556</c:v>
                </c:pt>
                <c:pt idx="3">
                  <c:v>40.436459957570321</c:v>
                </c:pt>
                <c:pt idx="4">
                  <c:v>40.266175873895037</c:v>
                </c:pt>
                <c:pt idx="5">
                  <c:v>40.714268362881413</c:v>
                </c:pt>
                <c:pt idx="6">
                  <c:v>39.268579765756243</c:v>
                </c:pt>
                <c:pt idx="7">
                  <c:v>39.425964591209841</c:v>
                </c:pt>
                <c:pt idx="8">
                  <c:v>39.439705820143224</c:v>
                </c:pt>
                <c:pt idx="9">
                  <c:v>39.551061722755144</c:v>
                </c:pt>
                <c:pt idx="10">
                  <c:v>39.761919593386601</c:v>
                </c:pt>
                <c:pt idx="11">
                  <c:v>39.286960420340428</c:v>
                </c:pt>
                <c:pt idx="12">
                  <c:v>39.737254008940177</c:v>
                </c:pt>
                <c:pt idx="13">
                  <c:v>40.189574310711819</c:v>
                </c:pt>
                <c:pt idx="14">
                  <c:v>40.712555439155345</c:v>
                </c:pt>
                <c:pt idx="15">
                  <c:v>41.304772125598831</c:v>
                </c:pt>
                <c:pt idx="16">
                  <c:v>41.868917521612019</c:v>
                </c:pt>
                <c:pt idx="17">
                  <c:v>42.727348587121924</c:v>
                </c:pt>
                <c:pt idx="18">
                  <c:v>43.592945569519834</c:v>
                </c:pt>
                <c:pt idx="19">
                  <c:v>44.497498019392779</c:v>
                </c:pt>
                <c:pt idx="20">
                  <c:v>45.444085114183565</c:v>
                </c:pt>
                <c:pt idx="21">
                  <c:v>45.420582669271184</c:v>
                </c:pt>
                <c:pt idx="22">
                  <c:v>46.43136532683517</c:v>
                </c:pt>
                <c:pt idx="23">
                  <c:v>47.492525842510702</c:v>
                </c:pt>
                <c:pt idx="24">
                  <c:v>48.599673642197999</c:v>
                </c:pt>
                <c:pt idx="25">
                  <c:v>49.761457815114944</c:v>
                </c:pt>
                <c:pt idx="26">
                  <c:v>51.21956700136937</c:v>
                </c:pt>
                <c:pt idx="27">
                  <c:v>52.777731541474452</c:v>
                </c:pt>
                <c:pt idx="28">
                  <c:v>54.394274925765608</c:v>
                </c:pt>
                <c:pt idx="29">
                  <c:v>56.073454620092704</c:v>
                </c:pt>
                <c:pt idx="30">
                  <c:v>57.817387735891536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7-420A-B0D8-9E3DF3C5186B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6DB7-420A-B0D8-9E3DF3C5186B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6DB7-420A-B0D8-9E3DF3C5186B}"/>
            </c:ext>
          </c:extLst>
        </c:ser>
        <c:ser>
          <c:idx val="2"/>
          <c:order val="5"/>
          <c:tx>
            <c:strRef>
              <c:f>'B1 - TCO ML 19T'!$A$169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19T'!$C$169:$AG$169</c:f>
              <c:numCache>
                <c:formatCode>_ [$₹-4009]\ * #,##0.00_ ;_ [$₹-4009]\ * \-#,##0.00_ ;_ [$₹-4009]\ * "-"??_ ;_ @_ </c:formatCode>
                <c:ptCount val="31"/>
                <c:pt idx="0">
                  <c:v>66.706791998703494</c:v>
                </c:pt>
                <c:pt idx="1">
                  <c:v>66.636504947001029</c:v>
                </c:pt>
                <c:pt idx="2">
                  <c:v>66.635439910337439</c:v>
                </c:pt>
                <c:pt idx="3">
                  <c:v>66.7028579399948</c:v>
                </c:pt>
                <c:pt idx="4">
                  <c:v>66.838074623511531</c:v>
                </c:pt>
                <c:pt idx="5">
                  <c:v>67.795688435825141</c:v>
                </c:pt>
                <c:pt idx="6">
                  <c:v>65.684504649607717</c:v>
                </c:pt>
                <c:pt idx="7">
                  <c:v>64.855030178498069</c:v>
                </c:pt>
                <c:pt idx="8">
                  <c:v>64.097890942360053</c:v>
                </c:pt>
                <c:pt idx="9">
                  <c:v>63.41160807321782</c:v>
                </c:pt>
                <c:pt idx="10">
                  <c:v>62.796669477714872</c:v>
                </c:pt>
                <c:pt idx="11">
                  <c:v>61.556622992132823</c:v>
                </c:pt>
                <c:pt idx="12">
                  <c:v>61.064834972980442</c:v>
                </c:pt>
                <c:pt idx="13">
                  <c:v>60.649143923558555</c:v>
                </c:pt>
                <c:pt idx="14">
                  <c:v>60.29745147864444</c:v>
                </c:pt>
                <c:pt idx="15">
                  <c:v>60.019751061203223</c:v>
                </c:pt>
                <c:pt idx="16">
                  <c:v>58.543062708154729</c:v>
                </c:pt>
                <c:pt idx="17">
                  <c:v>58.663121767550756</c:v>
                </c:pt>
                <c:pt idx="18">
                  <c:v>58.836979135881549</c:v>
                </c:pt>
                <c:pt idx="19">
                  <c:v>59.078305438548711</c:v>
                </c:pt>
                <c:pt idx="20">
                  <c:v>59.382830354740037</c:v>
                </c:pt>
                <c:pt idx="21">
                  <c:v>59.313777763361607</c:v>
                </c:pt>
                <c:pt idx="22">
                  <c:v>59.735896201284056</c:v>
                </c:pt>
                <c:pt idx="23">
                  <c:v>60.219066196563269</c:v>
                </c:pt>
                <c:pt idx="24">
                  <c:v>60.766164684970676</c:v>
                </c:pt>
                <c:pt idx="25">
                  <c:v>61.376763283349369</c:v>
                </c:pt>
                <c:pt idx="26">
                  <c:v>61.894809302926497</c:v>
                </c:pt>
                <c:pt idx="27">
                  <c:v>63.284775526498194</c:v>
                </c:pt>
                <c:pt idx="28">
                  <c:v>64.742059767354249</c:v>
                </c:pt>
                <c:pt idx="29">
                  <c:v>66.279481139005256</c:v>
                </c:pt>
                <c:pt idx="30">
                  <c:v>67.895606869747283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B7-420A-B0D8-9E3DF3C5186B}"/>
            </c:ext>
          </c:extLst>
        </c:ser>
        <c:ser>
          <c:idx val="6"/>
          <c:order val="6"/>
          <c:tx>
            <c:strRef>
              <c:f>'B1 - TCO ML 19T'!$A$170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19T'!$C$170:$AG$170</c:f>
              <c:numCache>
                <c:formatCode>_ [$₹-4009]\ * #,##0.00_ ;_ [$₹-4009]\ * \-#,##0.00_ ;_ [$₹-4009]\ * "-"??_ ;_ @_ </c:formatCode>
                <c:ptCount val="31"/>
                <c:pt idx="0">
                  <c:v>72.215837278901645</c:v>
                </c:pt>
                <c:pt idx="1">
                  <c:v>71.670090774953891</c:v>
                </c:pt>
                <c:pt idx="2">
                  <c:v>71.196885310394379</c:v>
                </c:pt>
                <c:pt idx="3">
                  <c:v>70.797666921129576</c:v>
                </c:pt>
                <c:pt idx="4">
                  <c:v>70.469759430740851</c:v>
                </c:pt>
                <c:pt idx="5">
                  <c:v>70.631046237224609</c:v>
                </c:pt>
                <c:pt idx="6">
                  <c:v>68.760683808791086</c:v>
                </c:pt>
                <c:pt idx="7">
                  <c:v>67.876669464178306</c:v>
                </c:pt>
                <c:pt idx="8">
                  <c:v>67.061508415465809</c:v>
                </c:pt>
                <c:pt idx="9">
                  <c:v>66.323294736119237</c:v>
                </c:pt>
                <c:pt idx="10">
                  <c:v>65.649584003768595</c:v>
                </c:pt>
                <c:pt idx="11">
                  <c:v>63.793433016154999</c:v>
                </c:pt>
                <c:pt idx="12">
                  <c:v>63.263080305480159</c:v>
                </c:pt>
                <c:pt idx="13">
                  <c:v>62.793212123426528</c:v>
                </c:pt>
                <c:pt idx="14">
                  <c:v>62.394160772643772</c:v>
                </c:pt>
                <c:pt idx="15">
                  <c:v>62.051943764012876</c:v>
                </c:pt>
                <c:pt idx="16">
                  <c:v>60.690204427732048</c:v>
                </c:pt>
                <c:pt idx="17">
                  <c:v>60.857370774624847</c:v>
                </c:pt>
                <c:pt idx="18">
                  <c:v>61.081501756760247</c:v>
                </c:pt>
                <c:pt idx="19">
                  <c:v>61.365816530050346</c:v>
                </c:pt>
                <c:pt idx="20">
                  <c:v>61.703840206855837</c:v>
                </c:pt>
                <c:pt idx="21">
                  <c:v>60.520637653720613</c:v>
                </c:pt>
                <c:pt idx="22">
                  <c:v>60.957221868678445</c:v>
                </c:pt>
                <c:pt idx="23">
                  <c:v>61.458305013874671</c:v>
                </c:pt>
                <c:pt idx="24">
                  <c:v>62.016016858840089</c:v>
                </c:pt>
                <c:pt idx="25">
                  <c:v>62.63741741288694</c:v>
                </c:pt>
                <c:pt idx="26">
                  <c:v>63.08910953457594</c:v>
                </c:pt>
                <c:pt idx="27">
                  <c:v>64.484138941152509</c:v>
                </c:pt>
                <c:pt idx="28">
                  <c:v>65.944975048623604</c:v>
                </c:pt>
                <c:pt idx="29">
                  <c:v>67.475328825532117</c:v>
                </c:pt>
                <c:pt idx="30">
                  <c:v>69.073503468993977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B7-420A-B0D8-9E3DF3C5186B}"/>
            </c:ext>
          </c:extLst>
        </c:ser>
        <c:ser>
          <c:idx val="7"/>
          <c:order val="7"/>
          <c:tx>
            <c:strRef>
              <c:f>'B1 - TCO ML 19T'!$A$96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19T'!$C$167:$AG$167</c:f>
              <c:numCache>
                <c:formatCode>_ [$₹-4009]\ * #,##0.00_ ;_ [$₹-4009]\ * \-#,##0.00_ ;_ [$₹-4009]\ * "-"??_ ;_ @_ </c:formatCode>
                <c:ptCount val="31"/>
                <c:pt idx="0">
                  <c:v>33.134496966772872</c:v>
                </c:pt>
                <c:pt idx="1">
                  <c:v>34.190389662233791</c:v>
                </c:pt>
                <c:pt idx="2">
                  <c:v>35.185211688832737</c:v>
                </c:pt>
                <c:pt idx="3">
                  <c:v>36.213028603173498</c:v>
                </c:pt>
                <c:pt idx="4">
                  <c:v>37.27605619691245</c:v>
                </c:pt>
                <c:pt idx="5">
                  <c:v>38.996050546632297</c:v>
                </c:pt>
                <c:pt idx="6">
                  <c:v>40.150209648835002</c:v>
                </c:pt>
                <c:pt idx="7">
                  <c:v>41.341703681123711</c:v>
                </c:pt>
                <c:pt idx="8">
                  <c:v>42.571288271219558</c:v>
                </c:pt>
                <c:pt idx="9">
                  <c:v>43.841296851287979</c:v>
                </c:pt>
                <c:pt idx="10">
                  <c:v>45.15253615851973</c:v>
                </c:pt>
                <c:pt idx="11">
                  <c:v>47.156668072754989</c:v>
                </c:pt>
                <c:pt idx="12">
                  <c:v>48.569201898228116</c:v>
                </c:pt>
                <c:pt idx="13">
                  <c:v>50.035339924706221</c:v>
                </c:pt>
                <c:pt idx="14">
                  <c:v>51.54674272618459</c:v>
                </c:pt>
                <c:pt idx="15">
                  <c:v>53.113620123240821</c:v>
                </c:pt>
                <c:pt idx="16">
                  <c:v>54.727695196710108</c:v>
                </c:pt>
                <c:pt idx="17">
                  <c:v>56.400927364727465</c:v>
                </c:pt>
                <c:pt idx="18">
                  <c:v>58.125106565973503</c:v>
                </c:pt>
                <c:pt idx="19">
                  <c:v>59.908891461534473</c:v>
                </c:pt>
                <c:pt idx="20">
                  <c:v>61.753402767893697</c:v>
                </c:pt>
                <c:pt idx="21">
                  <c:v>64.519385647837751</c:v>
                </c:pt>
                <c:pt idx="22">
                  <c:v>66.517728038093693</c:v>
                </c:pt>
                <c:pt idx="23">
                  <c:v>68.582736188106665</c:v>
                </c:pt>
                <c:pt idx="24">
                  <c:v>70.717506414269707</c:v>
                </c:pt>
                <c:pt idx="25">
                  <c:v>72.921543632334021</c:v>
                </c:pt>
                <c:pt idx="26">
                  <c:v>75.198031751110179</c:v>
                </c:pt>
                <c:pt idx="27">
                  <c:v>77.55764278360742</c:v>
                </c:pt>
                <c:pt idx="28">
                  <c:v>79.992577886035576</c:v>
                </c:pt>
                <c:pt idx="29">
                  <c:v>82.513606039895521</c:v>
                </c:pt>
                <c:pt idx="30">
                  <c:v>85.122287977255212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DB7-420A-B0D8-9E3DF3C5186B}"/>
            </c:ext>
          </c:extLst>
        </c:ser>
        <c:ser>
          <c:idx val="8"/>
          <c:order val="8"/>
          <c:tx>
            <c:strRef>
              <c:f>'B1 - TCO ML 19T'!$A$79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19T'!$C$166:$AG$166</c:f>
              <c:numCache>
                <c:formatCode>_ [$₹-4009]\ * #,##0.00_ ;_ [$₹-4009]\ * \-#,##0.00_ ;_ [$₹-4009]\ * "-"??_ ;_ @_ </c:formatCode>
                <c:ptCount val="31"/>
                <c:pt idx="0">
                  <c:v>33.072847161282027</c:v>
                </c:pt>
                <c:pt idx="1">
                  <c:v>34.397588131676038</c:v>
                </c:pt>
                <c:pt idx="2">
                  <c:v>35.416590590441139</c:v>
                </c:pt>
                <c:pt idx="3">
                  <c:v>36.470446804450667</c:v>
                </c:pt>
                <c:pt idx="4">
                  <c:v>37.559968814584188</c:v>
                </c:pt>
                <c:pt idx="5">
                  <c:v>39.307066091896594</c:v>
                </c:pt>
                <c:pt idx="6">
                  <c:v>40.489094629196167</c:v>
                </c:pt>
                <c:pt idx="7">
                  <c:v>41.709946304163168</c:v>
                </c:pt>
                <c:pt idx="8">
                  <c:v>42.970561131716536</c:v>
                </c:pt>
                <c:pt idx="9">
                  <c:v>44.271909785386676</c:v>
                </c:pt>
                <c:pt idx="10">
                  <c:v>45.614994618742543</c:v>
                </c:pt>
                <c:pt idx="11">
                  <c:v>47.613327246797787</c:v>
                </c:pt>
                <c:pt idx="12">
                  <c:v>49.061397832943221</c:v>
                </c:pt>
                <c:pt idx="13">
                  <c:v>50.564222970542851</c:v>
                </c:pt>
                <c:pt idx="14">
                  <c:v>52.113699938415195</c:v>
                </c:pt>
                <c:pt idx="15">
                  <c:v>53.720282363105724</c:v>
                </c:pt>
                <c:pt idx="16">
                  <c:v>55.375944445596595</c:v>
                </c:pt>
                <c:pt idx="17">
                  <c:v>57.091219305193057</c:v>
                </c:pt>
                <c:pt idx="18">
                  <c:v>58.858163293939633</c:v>
                </c:pt>
                <c:pt idx="19">
                  <c:v>60.687394431268459</c:v>
                </c:pt>
                <c:pt idx="20">
                  <c:v>62.580316071600642</c:v>
                </c:pt>
                <c:pt idx="21">
                  <c:v>65.361494892648011</c:v>
                </c:pt>
                <c:pt idx="22">
                  <c:v>67.410887021501011</c:v>
                </c:pt>
                <c:pt idx="23">
                  <c:v>69.529203293354342</c:v>
                </c:pt>
                <c:pt idx="24">
                  <c:v>71.718063132541886</c:v>
                </c:pt>
                <c:pt idx="25">
                  <c:v>73.979139228252222</c:v>
                </c:pt>
                <c:pt idx="26">
                  <c:v>76.314159323678169</c:v>
                </c:pt>
                <c:pt idx="27">
                  <c:v>78.734167325787524</c:v>
                </c:pt>
                <c:pt idx="28">
                  <c:v>81.231747441567322</c:v>
                </c:pt>
                <c:pt idx="29">
                  <c:v>83.818063194819104</c:v>
                </c:pt>
                <c:pt idx="30">
                  <c:v>86.495081696180407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B7-420A-B0D8-9E3DF3C51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'B1 - TCO ML 19T'!$A$171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'B1 - TCO ML 19T'!$C$164:$AG$164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'B1 - TCO ML 19T'!$C$171:$AB$171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30.169570792538739</c:v>
                      </c:pt>
                      <c:pt idx="1">
                        <c:v>32.33387109080612</c:v>
                      </c:pt>
                      <c:pt idx="2">
                        <c:v>33.113822547280222</c:v>
                      </c:pt>
                      <c:pt idx="3">
                        <c:v>33.917285860838128</c:v>
                      </c:pt>
                      <c:pt idx="4">
                        <c:v>34.744845857303311</c:v>
                      </c:pt>
                      <c:pt idx="5">
                        <c:v>36.131983832620897</c:v>
                      </c:pt>
                      <c:pt idx="6">
                        <c:v>37.024782658150102</c:v>
                      </c:pt>
                      <c:pt idx="7">
                        <c:v>37.94349210700323</c:v>
                      </c:pt>
                      <c:pt idx="8">
                        <c:v>38.888470204916899</c:v>
                      </c:pt>
                      <c:pt idx="9">
                        <c:v>39.860219843105178</c:v>
                      </c:pt>
                      <c:pt idx="10">
                        <c:v>40.859389157325168</c:v>
                      </c:pt>
                      <c:pt idx="11">
                        <c:v>42.396418174103687</c:v>
                      </c:pt>
                      <c:pt idx="12">
                        <c:v>43.467047726721063</c:v>
                      </c:pt>
                      <c:pt idx="13">
                        <c:v>44.575510353721242</c:v>
                      </c:pt>
                      <c:pt idx="14">
                        <c:v>45.714048873870766</c:v>
                      </c:pt>
                      <c:pt idx="15">
                        <c:v>46.891586343012783</c:v>
                      </c:pt>
                      <c:pt idx="16">
                        <c:v>48.100393191455893</c:v>
                      </c:pt>
                      <c:pt idx="17">
                        <c:v>49.349421045414431</c:v>
                      </c:pt>
                      <c:pt idx="18">
                        <c:v>50.631115593184418</c:v>
                      </c:pt>
                      <c:pt idx="19">
                        <c:v>51.954459056675098</c:v>
                      </c:pt>
                      <c:pt idx="20">
                        <c:v>53.320116429123715</c:v>
                      </c:pt>
                      <c:pt idx="21">
                        <c:v>55.41439125682998</c:v>
                      </c:pt>
                      <c:pt idx="22">
                        <c:v>56.887589599918208</c:v>
                      </c:pt>
                      <c:pt idx="23">
                        <c:v>58.40610964544188</c:v>
                      </c:pt>
                      <c:pt idx="24">
                        <c:v>59.970856167828714</c:v>
                      </c:pt>
                      <c:pt idx="25">
                        <c:v>61.582595489020825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6DB7-420A-B0D8-9E3DF3C5186B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'B1 - TCO ML 19T'!$B$174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19T'!$C$174:$AG$174</c:f>
              <c:numCache>
                <c:formatCode>_ [$₹-4009]\ * #,##0.00_ ;_ [$₹-4009]\ * \-#,##0.00_ ;_ [$₹-4009]\ * "-"??_ ;_ @_ </c:formatCode>
                <c:ptCount val="31"/>
                <c:pt idx="0">
                  <c:v>3.1925471738136233</c:v>
                </c:pt>
                <c:pt idx="1">
                  <c:v>3.4215736604027636</c:v>
                </c:pt>
                <c:pt idx="2">
                  <c:v>3.5041082060613991</c:v>
                </c:pt>
                <c:pt idx="3">
                  <c:v>3.5891307789246696</c:v>
                </c:pt>
                <c:pt idx="4">
                  <c:v>3.676703265323102</c:v>
                </c:pt>
                <c:pt idx="5">
                  <c:v>3.8234903526582955</c:v>
                </c:pt>
                <c:pt idx="6">
                  <c:v>3.9179664188518624</c:v>
                </c:pt>
                <c:pt idx="7">
                  <c:v>4.0151843499474316</c:v>
                </c:pt>
                <c:pt idx="8">
                  <c:v>4.1151820322663388</c:v>
                </c:pt>
                <c:pt idx="9">
                  <c:v>4.2180126818100714</c:v>
                </c:pt>
                <c:pt idx="10">
                  <c:v>4.3237448843730339</c:v>
                </c:pt>
                <c:pt idx="11">
                  <c:v>4.4863934575771101</c:v>
                </c:pt>
                <c:pt idx="12">
                  <c:v>4.5996875901292134</c:v>
                </c:pt>
                <c:pt idx="13">
                  <c:v>4.7169852226160049</c:v>
                </c:pt>
                <c:pt idx="14">
                  <c:v>4.8374654892984932</c:v>
                </c:pt>
                <c:pt idx="15">
                  <c:v>4.9620726288902413</c:v>
                </c:pt>
                <c:pt idx="16">
                  <c:v>5.0899886975085593</c:v>
                </c:pt>
                <c:pt idx="17">
                  <c:v>5.2221609571867118</c:v>
                </c:pt>
                <c:pt idx="18">
                  <c:v>5.3577900098607847</c:v>
                </c:pt>
                <c:pt idx="19">
                  <c:v>5.4978263552037143</c:v>
                </c:pt>
                <c:pt idx="20">
                  <c:v>5.6423403628702342</c:v>
                </c:pt>
                <c:pt idx="21">
                  <c:v>5.8639567467544946</c:v>
                </c:pt>
                <c:pt idx="22">
                  <c:v>6.0198507513140962</c:v>
                </c:pt>
                <c:pt idx="23">
                  <c:v>6.1805407032213626</c:v>
                </c:pt>
                <c:pt idx="24">
                  <c:v>6.3461223458019802</c:v>
                </c:pt>
                <c:pt idx="25">
                  <c:v>6.5166767713249545</c:v>
                </c:pt>
                <c:pt idx="26">
                  <c:v>6.6922871697872708</c:v>
                </c:pt>
                <c:pt idx="27">
                  <c:v>6.8739540916454969</c:v>
                </c:pt>
                <c:pt idx="28">
                  <c:v>7.0608833141788105</c:v>
                </c:pt>
                <c:pt idx="29">
                  <c:v>7.254063289595253</c:v>
                </c:pt>
                <c:pt idx="30">
                  <c:v>7.4535863713923716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4-4680-8990-2BB4D5B1B42A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DE14-4680-8990-2BB4D5B1B42A}"/>
            </c:ext>
          </c:extLst>
        </c:ser>
        <c:ser>
          <c:idx val="3"/>
          <c:order val="2"/>
          <c:tx>
            <c:strRef>
              <c:f>'B1 - TCO ML 19T'!$B$177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19T'!$C$177:$AG$177</c:f>
              <c:numCache>
                <c:formatCode>_ [$₹-4009]\ * #,##0.00_ ;_ [$₹-4009]\ * \-#,##0.00_ ;_ [$₹-4009]\ * "-"??_ ;_ @_ </c:formatCode>
                <c:ptCount val="31"/>
                <c:pt idx="0">
                  <c:v>4.4990641350140885</c:v>
                </c:pt>
                <c:pt idx="1">
                  <c:v>4.530756741471559</c:v>
                </c:pt>
                <c:pt idx="2">
                  <c:v>4.5564110485774778</c:v>
                </c:pt>
                <c:pt idx="3">
                  <c:v>4.543422467142733</c:v>
                </c:pt>
                <c:pt idx="4">
                  <c:v>4.5242894240331504</c:v>
                </c:pt>
                <c:pt idx="5">
                  <c:v>4.5746368947057761</c:v>
                </c:pt>
                <c:pt idx="6">
                  <c:v>4.4121999736804769</c:v>
                </c:pt>
                <c:pt idx="7">
                  <c:v>4.4298836619336903</c:v>
                </c:pt>
                <c:pt idx="8">
                  <c:v>4.4314276202408118</c:v>
                </c:pt>
                <c:pt idx="9">
                  <c:v>4.4439395194106899</c:v>
                </c:pt>
                <c:pt idx="10">
                  <c:v>4.4676314149872587</c:v>
                </c:pt>
                <c:pt idx="11">
                  <c:v>4.4142652157685873</c:v>
                </c:pt>
                <c:pt idx="12">
                  <c:v>4.4648600010045145</c:v>
                </c:pt>
                <c:pt idx="13">
                  <c:v>4.5156825068215527</c:v>
                </c:pt>
                <c:pt idx="14">
                  <c:v>4.5744444313657686</c:v>
                </c:pt>
                <c:pt idx="15">
                  <c:v>4.6409856320897562</c:v>
                </c:pt>
                <c:pt idx="16">
                  <c:v>4.7043727552373058</c:v>
                </c:pt>
                <c:pt idx="17">
                  <c:v>4.8008256839462833</c:v>
                </c:pt>
                <c:pt idx="18">
                  <c:v>4.8980837718561618</c:v>
                </c:pt>
                <c:pt idx="19">
                  <c:v>4.9997188785834581</c:v>
                </c:pt>
                <c:pt idx="20">
                  <c:v>5.1060769791217488</c:v>
                </c:pt>
                <c:pt idx="21">
                  <c:v>5.10343625497429</c:v>
                </c:pt>
                <c:pt idx="22">
                  <c:v>5.217007340093839</c:v>
                </c:pt>
                <c:pt idx="23">
                  <c:v>5.3362388587090672</c:v>
                </c:pt>
                <c:pt idx="24">
                  <c:v>5.4606374878874151</c:v>
                </c:pt>
                <c:pt idx="25">
                  <c:v>5.5911750354061738</c:v>
                </c:pt>
                <c:pt idx="26">
                  <c:v>5.7550075282437492</c:v>
                </c:pt>
                <c:pt idx="27">
                  <c:v>5.9300821956712868</c:v>
                </c:pt>
                <c:pt idx="28">
                  <c:v>6.1117162837938883</c:v>
                </c:pt>
                <c:pt idx="29">
                  <c:v>6.3003881595609776</c:v>
                </c:pt>
                <c:pt idx="30">
                  <c:v>6.4963357006619704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4-4680-8990-2BB4D5B1B42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E14-4680-8990-2BB4D5B1B42A}"/>
            </c:ext>
          </c:extLst>
        </c:ser>
        <c:ser>
          <c:idx val="2"/>
          <c:order val="5"/>
          <c:tx>
            <c:strRef>
              <c:f>'B1 - TCO ML 19T'!$B$175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19T'!$C$175:$AG$175</c:f>
              <c:numCache>
                <c:formatCode>_ [$₹-4009]\ * #,##0.00_ ;_ [$₹-4009]\ * \-#,##0.00_ ;_ [$₹-4009]\ * "-"??_ ;_ @_ </c:formatCode>
                <c:ptCount val="31"/>
                <c:pt idx="0">
                  <c:v>6.3530278094003334</c:v>
                </c:pt>
                <c:pt idx="1">
                  <c:v>6.3463338044762887</c:v>
                </c:pt>
                <c:pt idx="2">
                  <c:v>6.3462323724130894</c:v>
                </c:pt>
                <c:pt idx="3">
                  <c:v>6.3526531371423625</c:v>
                </c:pt>
                <c:pt idx="4">
                  <c:v>6.3655309165249072</c:v>
                </c:pt>
                <c:pt idx="5">
                  <c:v>6.4567322319833469</c:v>
                </c:pt>
                <c:pt idx="6">
                  <c:v>6.2556671094864491</c:v>
                </c:pt>
                <c:pt idx="7">
                  <c:v>6.1766695408093399</c:v>
                </c:pt>
                <c:pt idx="8">
                  <c:v>6.1045610421295287</c:v>
                </c:pt>
                <c:pt idx="9">
                  <c:v>6.0392007688778877</c:v>
                </c:pt>
                <c:pt idx="10">
                  <c:v>5.9806351883537978</c:v>
                </c:pt>
                <c:pt idx="11">
                  <c:v>5.8625355230602691</c:v>
                </c:pt>
                <c:pt idx="12">
                  <c:v>5.8156985688552796</c:v>
                </c:pt>
                <c:pt idx="13">
                  <c:v>5.7761089451008143</c:v>
                </c:pt>
                <c:pt idx="14">
                  <c:v>5.7426144265375658</c:v>
                </c:pt>
                <c:pt idx="15">
                  <c:v>5.7161667677336405</c:v>
                </c:pt>
                <c:pt idx="16">
                  <c:v>5.5755297817290215</c:v>
                </c:pt>
                <c:pt idx="17">
                  <c:v>5.5869639778619771</c:v>
                </c:pt>
                <c:pt idx="18">
                  <c:v>5.6035218224649102</c:v>
                </c:pt>
                <c:pt idx="19">
                  <c:v>5.6265052798617816</c:v>
                </c:pt>
                <c:pt idx="20">
                  <c:v>5.6555076528323847</c:v>
                </c:pt>
                <c:pt idx="21">
                  <c:v>5.6489312155582487</c:v>
                </c:pt>
                <c:pt idx="22">
                  <c:v>5.6891329715508627</c:v>
                </c:pt>
                <c:pt idx="23">
                  <c:v>5.7351491615774535</c:v>
                </c:pt>
                <c:pt idx="24">
                  <c:v>5.7872537795210164</c:v>
                </c:pt>
                <c:pt idx="25">
                  <c:v>5.8454060269856543</c:v>
                </c:pt>
                <c:pt idx="26">
                  <c:v>5.8947437431358569</c:v>
                </c:pt>
                <c:pt idx="27">
                  <c:v>6.027121478714113</c:v>
                </c:pt>
                <c:pt idx="28">
                  <c:v>6.1659104540337379</c:v>
                </c:pt>
                <c:pt idx="29">
                  <c:v>6.3123315370481192</c:v>
                </c:pt>
                <c:pt idx="30">
                  <c:v>6.4662482733092652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14-4680-8990-2BB4D5B1B42A}"/>
            </c:ext>
          </c:extLst>
        </c:ser>
        <c:ser>
          <c:idx val="6"/>
          <c:order val="6"/>
          <c:tx>
            <c:strRef>
              <c:f>'B1 - TCO ML 19T'!$A$176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19T'!$C$176:$AG$176</c:f>
              <c:numCache>
                <c:formatCode>_ [$₹-4009]\ * #,##0.00_ ;_ [$₹-4009]\ * \-#,##0.00_ ;_ [$₹-4009]\ * "-"??_ ;_ @_ </c:formatCode>
                <c:ptCount val="31"/>
                <c:pt idx="0">
                  <c:v>3.1556663777878926</c:v>
                </c:pt>
                <c:pt idx="1">
                  <c:v>3.2562275868794086</c:v>
                </c:pt>
                <c:pt idx="2">
                  <c:v>3.3509725417935941</c:v>
                </c:pt>
                <c:pt idx="3">
                  <c:v>3.4488598669689043</c:v>
                </c:pt>
                <c:pt idx="4">
                  <c:v>3.5501005901821379</c:v>
                </c:pt>
                <c:pt idx="5">
                  <c:v>3.7139095758697427</c:v>
                </c:pt>
                <c:pt idx="6">
                  <c:v>3.8238294903652386</c:v>
                </c:pt>
                <c:pt idx="7">
                  <c:v>3.9373051124879725</c:v>
                </c:pt>
                <c:pt idx="8">
                  <c:v>4.054408406782815</c:v>
                </c:pt>
                <c:pt idx="9">
                  <c:v>4.1753616048845696</c:v>
                </c:pt>
                <c:pt idx="10">
                  <c:v>4.3002415389066417</c:v>
                </c:pt>
                <c:pt idx="11">
                  <c:v>4.4911112450242845</c:v>
                </c:pt>
                <c:pt idx="12">
                  <c:v>4.6256382760217249</c:v>
                </c:pt>
                <c:pt idx="13">
                  <c:v>4.7652704690196401</c:v>
                </c:pt>
                <c:pt idx="14">
                  <c:v>4.9092135929699614</c:v>
                </c:pt>
                <c:pt idx="15">
                  <c:v>5.058440011737221</c:v>
                </c:pt>
                <c:pt idx="16">
                  <c:v>5.2121614473057241</c:v>
                </c:pt>
                <c:pt idx="17">
                  <c:v>5.3715168918788061</c:v>
                </c:pt>
                <c:pt idx="18">
                  <c:v>5.5357244348546191</c:v>
                </c:pt>
                <c:pt idx="19">
                  <c:v>5.7056087106223305</c:v>
                </c:pt>
                <c:pt idx="20">
                  <c:v>5.8812764540851132</c:v>
                </c:pt>
                <c:pt idx="21">
                  <c:v>6.1447033950321668</c:v>
                </c:pt>
                <c:pt idx="22">
                  <c:v>6.3350217179136852</c:v>
                </c:pt>
                <c:pt idx="23">
                  <c:v>6.5316891607720633</c:v>
                </c:pt>
                <c:pt idx="24">
                  <c:v>6.7350006108828291</c:v>
                </c:pt>
                <c:pt idx="25">
                  <c:v>6.9449089173651455</c:v>
                </c:pt>
                <c:pt idx="26">
                  <c:v>7.1617173096295401</c:v>
                </c:pt>
                <c:pt idx="27">
                  <c:v>7.3864421698673732</c:v>
                </c:pt>
                <c:pt idx="28">
                  <c:v>7.6183407510510071</c:v>
                </c:pt>
                <c:pt idx="29">
                  <c:v>7.8584386704662403</c:v>
                </c:pt>
                <c:pt idx="30">
                  <c:v>8.1068845692624016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14-4680-8990-2BB4D5B1B42A}"/>
            </c:ext>
          </c:extLst>
        </c:ser>
        <c:ser>
          <c:idx val="7"/>
          <c:order val="7"/>
          <c:tx>
            <c:strRef>
              <c:f>'B1 - TCO ML 19T'!$A$178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19T'!$C$178:$AG$178</c:f>
              <c:numCache>
                <c:formatCode>_ [$₹-4009]\ * #,##0.00_ ;_ [$₹-4009]\ * \-#,##0.00_ ;_ [$₹-4009]\ * "-"??_ ;_ @_ </c:formatCode>
                <c:ptCount val="31"/>
                <c:pt idx="0">
                  <c:v>6.8776987884668239</c:v>
                </c:pt>
                <c:pt idx="1">
                  <c:v>6.8257229309479897</c:v>
                </c:pt>
                <c:pt idx="2">
                  <c:v>6.7806557438470838</c:v>
                </c:pt>
                <c:pt idx="3">
                  <c:v>6.7426349448694838</c:v>
                </c:pt>
                <c:pt idx="4">
                  <c:v>6.7114056600705574</c:v>
                </c:pt>
                <c:pt idx="5">
                  <c:v>6.7267663083071056</c:v>
                </c:pt>
                <c:pt idx="6">
                  <c:v>6.5486365532181985</c:v>
                </c:pt>
                <c:pt idx="7">
                  <c:v>6.4644447108741243</c:v>
                </c:pt>
                <c:pt idx="8">
                  <c:v>6.3868103252824575</c:v>
                </c:pt>
                <c:pt idx="9">
                  <c:v>6.3165042605827839</c:v>
                </c:pt>
                <c:pt idx="10">
                  <c:v>6.2523413336922475</c:v>
                </c:pt>
                <c:pt idx="11">
                  <c:v>6.0755650491576185</c:v>
                </c:pt>
                <c:pt idx="12">
                  <c:v>6.0250552671885869</c:v>
                </c:pt>
                <c:pt idx="13">
                  <c:v>5.9803059165168122</c:v>
                </c:pt>
                <c:pt idx="14">
                  <c:v>5.9423010259660733</c:v>
                </c:pt>
                <c:pt idx="15">
                  <c:v>5.909708929905988</c:v>
                </c:pt>
                <c:pt idx="16">
                  <c:v>5.7800194693078142</c:v>
                </c:pt>
                <c:pt idx="17">
                  <c:v>5.7959400737737949</c:v>
                </c:pt>
                <c:pt idx="18">
                  <c:v>5.8172858815962138</c:v>
                </c:pt>
                <c:pt idx="19">
                  <c:v>5.8443634790524142</c:v>
                </c:pt>
                <c:pt idx="20">
                  <c:v>5.8765562101767461</c:v>
                </c:pt>
                <c:pt idx="21">
                  <c:v>5.7638702527352965</c:v>
                </c:pt>
                <c:pt idx="22">
                  <c:v>5.8054497017788993</c:v>
                </c:pt>
                <c:pt idx="23">
                  <c:v>5.8531719060833023</c:v>
                </c:pt>
                <c:pt idx="24">
                  <c:v>5.9062873198895325</c:v>
                </c:pt>
                <c:pt idx="25">
                  <c:v>5.9654683250368512</c:v>
                </c:pt>
                <c:pt idx="26">
                  <c:v>6.0084866223405662</c:v>
                </c:pt>
                <c:pt idx="27">
                  <c:v>6.1413465658240485</c:v>
                </c:pt>
                <c:pt idx="28">
                  <c:v>6.2804738141546288</c:v>
                </c:pt>
                <c:pt idx="29">
                  <c:v>6.4262217929078203</c:v>
                </c:pt>
                <c:pt idx="30">
                  <c:v>6.5784289018089499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14-4680-8990-2BB4D5B1B42A}"/>
            </c:ext>
          </c:extLst>
        </c:ser>
        <c:ser>
          <c:idx val="8"/>
          <c:order val="8"/>
          <c:tx>
            <c:strRef>
              <c:f>'B1 - TCO ML 19T'!$A$179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'B1 - TCO ML 19T'!$C$173:$AG$173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19T'!$C$179:$AG$179</c:f>
              <c:numCache>
                <c:formatCode>_ [$₹-4009]\ * #,##0.00_ ;_ [$₹-4009]\ * \-#,##0.00_ ;_ [$₹-4009]\ * "-"??_ ;_ @_ </c:formatCode>
                <c:ptCount val="31"/>
                <c:pt idx="0">
                  <c:v>7.5224830498855875</c:v>
                </c:pt>
                <c:pt idx="1">
                  <c:v>7.4656344557243637</c:v>
                </c:pt>
                <c:pt idx="2">
                  <c:v>7.4163422198327478</c:v>
                </c:pt>
                <c:pt idx="3">
                  <c:v>7.3747569709509975</c:v>
                </c:pt>
                <c:pt idx="4">
                  <c:v>7.3405999407021723</c:v>
                </c:pt>
                <c:pt idx="5">
                  <c:v>7.3574006497108968</c:v>
                </c:pt>
                <c:pt idx="6">
                  <c:v>7.1625712300824045</c:v>
                </c:pt>
                <c:pt idx="7">
                  <c:v>7.0704864025185739</c:v>
                </c:pt>
                <c:pt idx="8">
                  <c:v>6.9855737932776885</c:v>
                </c:pt>
                <c:pt idx="9">
                  <c:v>6.9086765350124208</c:v>
                </c:pt>
                <c:pt idx="10">
                  <c:v>6.8384983337258953</c:v>
                </c:pt>
                <c:pt idx="11">
                  <c:v>6.6451492725161456</c:v>
                </c:pt>
                <c:pt idx="12">
                  <c:v>6.5899041984875169</c:v>
                </c:pt>
                <c:pt idx="13">
                  <c:v>6.5409595961902633</c:v>
                </c:pt>
                <c:pt idx="14">
                  <c:v>6.4993917471503933</c:v>
                </c:pt>
                <c:pt idx="15">
                  <c:v>6.463744142084674</c:v>
                </c:pt>
                <c:pt idx="16">
                  <c:v>6.3218962945554216</c:v>
                </c:pt>
                <c:pt idx="17">
                  <c:v>6.3393094556900884</c:v>
                </c:pt>
                <c:pt idx="18">
                  <c:v>6.362656432995859</c:v>
                </c:pt>
                <c:pt idx="19">
                  <c:v>6.3922725552135775</c:v>
                </c:pt>
                <c:pt idx="20">
                  <c:v>6.4274833548808159</c:v>
                </c:pt>
                <c:pt idx="21">
                  <c:v>6.3042330889292302</c:v>
                </c:pt>
                <c:pt idx="22">
                  <c:v>6.3497106113206714</c:v>
                </c:pt>
                <c:pt idx="23">
                  <c:v>6.4019067722786112</c:v>
                </c:pt>
                <c:pt idx="24">
                  <c:v>6.4600017561291754</c:v>
                </c:pt>
                <c:pt idx="25">
                  <c:v>6.5247309805090561</c:v>
                </c:pt>
                <c:pt idx="26">
                  <c:v>6.5717822431849937</c:v>
                </c:pt>
                <c:pt idx="27">
                  <c:v>6.7170978063700533</c:v>
                </c:pt>
                <c:pt idx="28">
                  <c:v>6.869268234231626</c:v>
                </c:pt>
                <c:pt idx="29">
                  <c:v>7.0286800859929288</c:v>
                </c:pt>
                <c:pt idx="30">
                  <c:v>7.1951566113535392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14-4680-8990-2BB4D5B1B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'B1 - TCO ML 19T'!$A$174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'B1 - TCO ML 19T'!$C$173:$AG$173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'B1 - TCO ML 19T'!$C$174:$AG$174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3.1925471738136233</c:v>
                      </c:pt>
                      <c:pt idx="1">
                        <c:v>3.4215736604027636</c:v>
                      </c:pt>
                      <c:pt idx="2">
                        <c:v>3.5041082060613991</c:v>
                      </c:pt>
                      <c:pt idx="3">
                        <c:v>3.5891307789246696</c:v>
                      </c:pt>
                      <c:pt idx="4">
                        <c:v>3.676703265323102</c:v>
                      </c:pt>
                      <c:pt idx="5">
                        <c:v>3.8234903526582955</c:v>
                      </c:pt>
                      <c:pt idx="6">
                        <c:v>3.9179664188518624</c:v>
                      </c:pt>
                      <c:pt idx="7">
                        <c:v>4.0151843499474316</c:v>
                      </c:pt>
                      <c:pt idx="8">
                        <c:v>4.1151820322663388</c:v>
                      </c:pt>
                      <c:pt idx="9">
                        <c:v>4.2180126818100714</c:v>
                      </c:pt>
                      <c:pt idx="10">
                        <c:v>4.3237448843730339</c:v>
                      </c:pt>
                      <c:pt idx="11">
                        <c:v>4.4863934575771101</c:v>
                      </c:pt>
                      <c:pt idx="12">
                        <c:v>4.5996875901292134</c:v>
                      </c:pt>
                      <c:pt idx="13">
                        <c:v>4.7169852226160049</c:v>
                      </c:pt>
                      <c:pt idx="14">
                        <c:v>4.8374654892984932</c:v>
                      </c:pt>
                      <c:pt idx="15">
                        <c:v>4.9620726288902413</c:v>
                      </c:pt>
                      <c:pt idx="16">
                        <c:v>5.0899886975085593</c:v>
                      </c:pt>
                      <c:pt idx="17">
                        <c:v>5.2221609571867118</c:v>
                      </c:pt>
                      <c:pt idx="18">
                        <c:v>5.3577900098607847</c:v>
                      </c:pt>
                      <c:pt idx="19">
                        <c:v>5.4978263552037143</c:v>
                      </c:pt>
                      <c:pt idx="20">
                        <c:v>5.6423403628702342</c:v>
                      </c:pt>
                      <c:pt idx="21">
                        <c:v>5.8639567467544946</c:v>
                      </c:pt>
                      <c:pt idx="22">
                        <c:v>6.0198507513140962</c:v>
                      </c:pt>
                      <c:pt idx="23">
                        <c:v>6.1805407032213626</c:v>
                      </c:pt>
                      <c:pt idx="24">
                        <c:v>6.3461223458019802</c:v>
                      </c:pt>
                      <c:pt idx="25">
                        <c:v>6.5166767713249545</c:v>
                      </c:pt>
                      <c:pt idx="26">
                        <c:v>6.6922871697872708</c:v>
                      </c:pt>
                      <c:pt idx="27">
                        <c:v>6.8739540916454969</c:v>
                      </c:pt>
                      <c:pt idx="28">
                        <c:v>7.0608833141788105</c:v>
                      </c:pt>
                      <c:pt idx="29">
                        <c:v>7.254063289595253</c:v>
                      </c:pt>
                      <c:pt idx="30">
                        <c:v>7.4535863713923716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DE14-4680-8990-2BB4D5B1B42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'B1 - TCO ML 19T'!$A$62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19T'!$E$63:$AG$63</c:f>
              <c:numCache>
                <c:formatCode>_ [$₹-4009]\ * #,##0_ ;_ [$₹-4009]\ * \-#,##0_ ;_ [$₹-4009]\ * "-"??_ ;_ @_ </c:formatCode>
                <c:ptCount val="29"/>
                <c:pt idx="0">
                  <c:v>2917500</c:v>
                </c:pt>
                <c:pt idx="1">
                  <c:v>3005000</c:v>
                </c:pt>
                <c:pt idx="2">
                  <c:v>3095200</c:v>
                </c:pt>
                <c:pt idx="3">
                  <c:v>3588100</c:v>
                </c:pt>
                <c:pt idx="4">
                  <c:v>3695700</c:v>
                </c:pt>
                <c:pt idx="5">
                  <c:v>3806600</c:v>
                </c:pt>
                <c:pt idx="6">
                  <c:v>3920800</c:v>
                </c:pt>
                <c:pt idx="7">
                  <c:v>4038400</c:v>
                </c:pt>
                <c:pt idx="8">
                  <c:v>4159600</c:v>
                </c:pt>
                <c:pt idx="9">
                  <c:v>4284400</c:v>
                </c:pt>
                <c:pt idx="10">
                  <c:v>4412900</c:v>
                </c:pt>
                <c:pt idx="11">
                  <c:v>4545300</c:v>
                </c:pt>
                <c:pt idx="12">
                  <c:v>4681700</c:v>
                </c:pt>
                <c:pt idx="13">
                  <c:v>4822200</c:v>
                </c:pt>
                <c:pt idx="14">
                  <c:v>4966900</c:v>
                </c:pt>
                <c:pt idx="15">
                  <c:v>5115900</c:v>
                </c:pt>
                <c:pt idx="16">
                  <c:v>5269400</c:v>
                </c:pt>
                <c:pt idx="17">
                  <c:v>5427500</c:v>
                </c:pt>
                <c:pt idx="18">
                  <c:v>5590300</c:v>
                </c:pt>
                <c:pt idx="19">
                  <c:v>5758000</c:v>
                </c:pt>
                <c:pt idx="20">
                  <c:v>5930700</c:v>
                </c:pt>
                <c:pt idx="21">
                  <c:v>6108600</c:v>
                </c:pt>
                <c:pt idx="22">
                  <c:v>6291900</c:v>
                </c:pt>
                <c:pt idx="23">
                  <c:v>6480700</c:v>
                </c:pt>
                <c:pt idx="24">
                  <c:v>6675100</c:v>
                </c:pt>
                <c:pt idx="25">
                  <c:v>6875400</c:v>
                </c:pt>
                <c:pt idx="26">
                  <c:v>7081700</c:v>
                </c:pt>
                <c:pt idx="27">
                  <c:v>7294200</c:v>
                </c:pt>
                <c:pt idx="28">
                  <c:v>7513000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4-45D6-91A4-E67A2CC641B2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2504-45D6-91A4-E67A2CC641B2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2504-45D6-91A4-E67A2CC641B2}"/>
            </c:ext>
          </c:extLst>
        </c:ser>
        <c:ser>
          <c:idx val="3"/>
          <c:order val="3"/>
          <c:tx>
            <c:strRef>
              <c:f>'B1 - TCO ML 19T'!$A$130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19T'!$C$132:$AG$132</c:f>
              <c:numCache>
                <c:formatCode>_ [$₹-4009]\ * #,##0_ ;_ [$₹-4009]\ * \-#,##0_ ;_ [$₹-4009]\ * "-"??_ ;_ @_ </c:formatCode>
                <c:ptCount val="31"/>
                <c:pt idx="0">
                  <c:v>7195000</c:v>
                </c:pt>
                <c:pt idx="1">
                  <c:v>7136000</c:v>
                </c:pt>
                <c:pt idx="2">
                  <c:v>7084000</c:v>
                </c:pt>
                <c:pt idx="3">
                  <c:v>6881000</c:v>
                </c:pt>
                <c:pt idx="4">
                  <c:v>6693000</c:v>
                </c:pt>
                <c:pt idx="5">
                  <c:v>6718000</c:v>
                </c:pt>
                <c:pt idx="6">
                  <c:v>6582000</c:v>
                </c:pt>
                <c:pt idx="7">
                  <c:v>6606000</c:v>
                </c:pt>
                <c:pt idx="8">
                  <c:v>6635000</c:v>
                </c:pt>
                <c:pt idx="9">
                  <c:v>6668000</c:v>
                </c:pt>
                <c:pt idx="10">
                  <c:v>6706000</c:v>
                </c:pt>
                <c:pt idx="11">
                  <c:v>6749000</c:v>
                </c:pt>
                <c:pt idx="12">
                  <c:v>6796000</c:v>
                </c:pt>
                <c:pt idx="13">
                  <c:v>6849000</c:v>
                </c:pt>
                <c:pt idx="14">
                  <c:v>6907000</c:v>
                </c:pt>
                <c:pt idx="15">
                  <c:v>6970000</c:v>
                </c:pt>
                <c:pt idx="16">
                  <c:v>6970000</c:v>
                </c:pt>
                <c:pt idx="17">
                  <c:v>7097000</c:v>
                </c:pt>
                <c:pt idx="18">
                  <c:v>7229000</c:v>
                </c:pt>
                <c:pt idx="19">
                  <c:v>7365000</c:v>
                </c:pt>
                <c:pt idx="20">
                  <c:v>7506000</c:v>
                </c:pt>
                <c:pt idx="21">
                  <c:v>7652000</c:v>
                </c:pt>
                <c:pt idx="22">
                  <c:v>7803000</c:v>
                </c:pt>
                <c:pt idx="23">
                  <c:v>7958000</c:v>
                </c:pt>
                <c:pt idx="24">
                  <c:v>8119000</c:v>
                </c:pt>
                <c:pt idx="25">
                  <c:v>8286000</c:v>
                </c:pt>
                <c:pt idx="26">
                  <c:v>8490000</c:v>
                </c:pt>
                <c:pt idx="27">
                  <c:v>8700000</c:v>
                </c:pt>
                <c:pt idx="28">
                  <c:v>8916000</c:v>
                </c:pt>
                <c:pt idx="29">
                  <c:v>9138000</c:v>
                </c:pt>
                <c:pt idx="30">
                  <c:v>9366000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4-45D6-91A4-E67A2CC641B2}"/>
            </c:ext>
          </c:extLst>
        </c:ser>
        <c:ser>
          <c:idx val="4"/>
          <c:order val="4"/>
          <c:tx>
            <c:strRef>
              <c:f>'B1 - TCO ML 19T'!$A$96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19T'!$C$98:$AG$98</c:f>
              <c:numCache>
                <c:formatCode>_ [$₹-4009]\ * #,##0_ ;_ [$₹-4009]\ * \-#,##0_ ;_ [$₹-4009]\ * "-"??_ ;_ @_ </c:formatCode>
                <c:ptCount val="31"/>
                <c:pt idx="0">
                  <c:v>3330000</c:v>
                </c:pt>
                <c:pt idx="1">
                  <c:v>3419000</c:v>
                </c:pt>
                <c:pt idx="2">
                  <c:v>3510000</c:v>
                </c:pt>
                <c:pt idx="3">
                  <c:v>3603000</c:v>
                </c:pt>
                <c:pt idx="4">
                  <c:v>3699000</c:v>
                </c:pt>
                <c:pt idx="5">
                  <c:v>4198000</c:v>
                </c:pt>
                <c:pt idx="6">
                  <c:v>4312000</c:v>
                </c:pt>
                <c:pt idx="7">
                  <c:v>4429000</c:v>
                </c:pt>
                <c:pt idx="8">
                  <c:v>4549000</c:v>
                </c:pt>
                <c:pt idx="9">
                  <c:v>4673000</c:v>
                </c:pt>
                <c:pt idx="10">
                  <c:v>4801000</c:v>
                </c:pt>
                <c:pt idx="11">
                  <c:v>4932000</c:v>
                </c:pt>
                <c:pt idx="12">
                  <c:v>5067000</c:v>
                </c:pt>
                <c:pt idx="13">
                  <c:v>5206000</c:v>
                </c:pt>
                <c:pt idx="14">
                  <c:v>5349000</c:v>
                </c:pt>
                <c:pt idx="15">
                  <c:v>5496000</c:v>
                </c:pt>
                <c:pt idx="16">
                  <c:v>5647000</c:v>
                </c:pt>
                <c:pt idx="17">
                  <c:v>5803000</c:v>
                </c:pt>
                <c:pt idx="18">
                  <c:v>5964000</c:v>
                </c:pt>
                <c:pt idx="19">
                  <c:v>6129000</c:v>
                </c:pt>
                <c:pt idx="20">
                  <c:v>6298000</c:v>
                </c:pt>
                <c:pt idx="21">
                  <c:v>6473000</c:v>
                </c:pt>
                <c:pt idx="22">
                  <c:v>6653000</c:v>
                </c:pt>
                <c:pt idx="23">
                  <c:v>6838000</c:v>
                </c:pt>
                <c:pt idx="24">
                  <c:v>7029000</c:v>
                </c:pt>
                <c:pt idx="25">
                  <c:v>7225000</c:v>
                </c:pt>
                <c:pt idx="26">
                  <c:v>7427000</c:v>
                </c:pt>
                <c:pt idx="27">
                  <c:v>7635000</c:v>
                </c:pt>
                <c:pt idx="28">
                  <c:v>7849000</c:v>
                </c:pt>
                <c:pt idx="29">
                  <c:v>8069000</c:v>
                </c:pt>
                <c:pt idx="30">
                  <c:v>8295000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4-45D6-91A4-E67A2CC641B2}"/>
            </c:ext>
          </c:extLst>
        </c:ser>
        <c:ser>
          <c:idx val="5"/>
          <c:order val="5"/>
          <c:tx>
            <c:strRef>
              <c:f>'B1 - TCO ML 19T'!$A$113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19T'!$C$115:$AG$115</c:f>
              <c:numCache>
                <c:formatCode>_ [$₹-4009]\ * #,##0_ ;_ [$₹-4009]\ * \-#,##0_ ;_ [$₹-4009]\ * "-"??_ ;_ @_ </c:formatCode>
                <c:ptCount val="31"/>
                <c:pt idx="0">
                  <c:v>4329000</c:v>
                </c:pt>
                <c:pt idx="1">
                  <c:v>4333000</c:v>
                </c:pt>
                <c:pt idx="2">
                  <c:v>4343000</c:v>
                </c:pt>
                <c:pt idx="3">
                  <c:v>4359000</c:v>
                </c:pt>
                <c:pt idx="4">
                  <c:v>4381000</c:v>
                </c:pt>
                <c:pt idx="5">
                  <c:v>4810000</c:v>
                </c:pt>
                <c:pt idx="6">
                  <c:v>4869000</c:v>
                </c:pt>
                <c:pt idx="7">
                  <c:v>4933000</c:v>
                </c:pt>
                <c:pt idx="8">
                  <c:v>5002000</c:v>
                </c:pt>
                <c:pt idx="9">
                  <c:v>5076000</c:v>
                </c:pt>
                <c:pt idx="10">
                  <c:v>5156000</c:v>
                </c:pt>
                <c:pt idx="11">
                  <c:v>5241000</c:v>
                </c:pt>
                <c:pt idx="12">
                  <c:v>5331000</c:v>
                </c:pt>
                <c:pt idx="13">
                  <c:v>5427000</c:v>
                </c:pt>
                <c:pt idx="14">
                  <c:v>5528000</c:v>
                </c:pt>
                <c:pt idx="15">
                  <c:v>5635000</c:v>
                </c:pt>
                <c:pt idx="16">
                  <c:v>5787000</c:v>
                </c:pt>
                <c:pt idx="17">
                  <c:v>5945000</c:v>
                </c:pt>
                <c:pt idx="18">
                  <c:v>6106000</c:v>
                </c:pt>
                <c:pt idx="19">
                  <c:v>6273000</c:v>
                </c:pt>
                <c:pt idx="20">
                  <c:v>6444000</c:v>
                </c:pt>
                <c:pt idx="21">
                  <c:v>6620000</c:v>
                </c:pt>
                <c:pt idx="22">
                  <c:v>6802000</c:v>
                </c:pt>
                <c:pt idx="23">
                  <c:v>6988000</c:v>
                </c:pt>
                <c:pt idx="24">
                  <c:v>7180000</c:v>
                </c:pt>
                <c:pt idx="25">
                  <c:v>7378000</c:v>
                </c:pt>
                <c:pt idx="26">
                  <c:v>7581000</c:v>
                </c:pt>
                <c:pt idx="27">
                  <c:v>7791000</c:v>
                </c:pt>
                <c:pt idx="28">
                  <c:v>8006000</c:v>
                </c:pt>
                <c:pt idx="29">
                  <c:v>8228000</c:v>
                </c:pt>
                <c:pt idx="30">
                  <c:v>8456000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04-45D6-91A4-E67A2CC641B2}"/>
            </c:ext>
          </c:extLst>
        </c:ser>
        <c:ser>
          <c:idx val="6"/>
          <c:order val="6"/>
          <c:tx>
            <c:strRef>
              <c:f>'B1 - TCO ML 19T'!$A$147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19T'!$C$149:$AG$149</c:f>
              <c:numCache>
                <c:formatCode>_ [$₹-4009]\ * #,##0_ ;_ [$₹-4009]\ * \-#,##0_ ;_ [$₹-4009]\ * "-"??_ ;_ @_ </c:formatCode>
                <c:ptCount val="31"/>
                <c:pt idx="0">
                  <c:v>10666000</c:v>
                </c:pt>
                <c:pt idx="1">
                  <c:v>10444000</c:v>
                </c:pt>
                <c:pt idx="2">
                  <c:v>10234000</c:v>
                </c:pt>
                <c:pt idx="3">
                  <c:v>10037000</c:v>
                </c:pt>
                <c:pt idx="4">
                  <c:v>9852000</c:v>
                </c:pt>
                <c:pt idx="5">
                  <c:v>9880000</c:v>
                </c:pt>
                <c:pt idx="6">
                  <c:v>9777000</c:v>
                </c:pt>
                <c:pt idx="7">
                  <c:v>9688000</c:v>
                </c:pt>
                <c:pt idx="8">
                  <c:v>9608000</c:v>
                </c:pt>
                <c:pt idx="9">
                  <c:v>9537000</c:v>
                </c:pt>
                <c:pt idx="10">
                  <c:v>9474000</c:v>
                </c:pt>
                <c:pt idx="11">
                  <c:v>9419000</c:v>
                </c:pt>
                <c:pt idx="12">
                  <c:v>9373000</c:v>
                </c:pt>
                <c:pt idx="13">
                  <c:v>9335000</c:v>
                </c:pt>
                <c:pt idx="14">
                  <c:v>9306000</c:v>
                </c:pt>
                <c:pt idx="15">
                  <c:v>9284000</c:v>
                </c:pt>
                <c:pt idx="16">
                  <c:v>9211000</c:v>
                </c:pt>
                <c:pt idx="17">
                  <c:v>9310000</c:v>
                </c:pt>
                <c:pt idx="18">
                  <c:v>9414000</c:v>
                </c:pt>
                <c:pt idx="19">
                  <c:v>9525000</c:v>
                </c:pt>
                <c:pt idx="20">
                  <c:v>9640000</c:v>
                </c:pt>
                <c:pt idx="21">
                  <c:v>9603000</c:v>
                </c:pt>
                <c:pt idx="22">
                  <c:v>9731000</c:v>
                </c:pt>
                <c:pt idx="23">
                  <c:v>9865000</c:v>
                </c:pt>
                <c:pt idx="24">
                  <c:v>10006000</c:v>
                </c:pt>
                <c:pt idx="25">
                  <c:v>10153000</c:v>
                </c:pt>
                <c:pt idx="26">
                  <c:v>10220000</c:v>
                </c:pt>
                <c:pt idx="27">
                  <c:v>10448000</c:v>
                </c:pt>
                <c:pt idx="28">
                  <c:v>10681000</c:v>
                </c:pt>
                <c:pt idx="29">
                  <c:v>10921000</c:v>
                </c:pt>
                <c:pt idx="30">
                  <c:v>11167000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04-45D6-91A4-E67A2CC641B2}"/>
            </c:ext>
          </c:extLst>
        </c:ser>
        <c:ser>
          <c:idx val="7"/>
          <c:order val="7"/>
          <c:tx>
            <c:strRef>
              <c:f>'B1 - TCO ML 19T'!$A$79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'B1 - TCO ML 19T'!$C$80:$AG$80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'B1 - TCO ML 19T'!$C$81:$AG$81</c:f>
              <c:numCache>
                <c:formatCode>_ [$₹-4009]\ * #,##0_ ;_ [$₹-4009]\ * \-#,##0_ ;_ [$₹-4009]\ * "-"??_ ;_ @_ </c:formatCode>
                <c:ptCount val="31"/>
                <c:pt idx="0">
                  <c:v>3000000</c:v>
                </c:pt>
                <c:pt idx="1">
                  <c:v>3090000</c:v>
                </c:pt>
                <c:pt idx="2">
                  <c:v>3182700</c:v>
                </c:pt>
                <c:pt idx="3">
                  <c:v>3278181</c:v>
                </c:pt>
                <c:pt idx="4">
                  <c:v>3376526.43</c:v>
                </c:pt>
                <c:pt idx="5">
                  <c:v>3877822.2229000004</c:v>
                </c:pt>
                <c:pt idx="6">
                  <c:v>3994156.8895870005</c:v>
                </c:pt>
                <c:pt idx="7">
                  <c:v>4113981.5962746106</c:v>
                </c:pt>
                <c:pt idx="8">
                  <c:v>4237401.044162849</c:v>
                </c:pt>
                <c:pt idx="9">
                  <c:v>4364523.0754877347</c:v>
                </c:pt>
                <c:pt idx="10">
                  <c:v>4495458.7677523671</c:v>
                </c:pt>
                <c:pt idx="11">
                  <c:v>4630322.5307849385</c:v>
                </c:pt>
                <c:pt idx="12">
                  <c:v>4769232.2067084871</c:v>
                </c:pt>
                <c:pt idx="13">
                  <c:v>4912309.1729097422</c:v>
                </c:pt>
                <c:pt idx="14">
                  <c:v>5059678.4480970344</c:v>
                </c:pt>
                <c:pt idx="15">
                  <c:v>5211468.8015399454</c:v>
                </c:pt>
                <c:pt idx="16">
                  <c:v>5367812.8655861439</c:v>
                </c:pt>
                <c:pt idx="17">
                  <c:v>5528847.2515537282</c:v>
                </c:pt>
                <c:pt idx="18">
                  <c:v>5694712.6691003405</c:v>
                </c:pt>
                <c:pt idx="19">
                  <c:v>5865554.0491733504</c:v>
                </c:pt>
                <c:pt idx="20">
                  <c:v>6041520.6706485515</c:v>
                </c:pt>
                <c:pt idx="21">
                  <c:v>6222766.2907680087</c:v>
                </c:pt>
                <c:pt idx="22">
                  <c:v>6409449.2794910492</c:v>
                </c:pt>
                <c:pt idx="23">
                  <c:v>6601732.7578757806</c:v>
                </c:pt>
                <c:pt idx="24">
                  <c:v>6799784.7406120542</c:v>
                </c:pt>
                <c:pt idx="25">
                  <c:v>7003778.2828304162</c:v>
                </c:pt>
                <c:pt idx="26">
                  <c:v>7213891.6313153291</c:v>
                </c:pt>
                <c:pt idx="27">
                  <c:v>7430308.3802547893</c:v>
                </c:pt>
                <c:pt idx="28">
                  <c:v>7653217.631662433</c:v>
                </c:pt>
                <c:pt idx="29">
                  <c:v>7882814.1606123066</c:v>
                </c:pt>
                <c:pt idx="30">
                  <c:v>8119298.5854306761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04-45D6-91A4-E67A2CC64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'B2 - TCO ML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'B2 - TCO ML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'B2 - TCO ML 28T'!$C$165:$AB$165</c:f>
              <c:numCache>
                <c:formatCode>_ [$₹-4009]\ * #,##0.00_ ;_ [$₹-4009]\ * \-#,##0.00_ ;_ [$₹-4009]\ * "-"??_ ;_ @_ </c:formatCode>
                <c:ptCount val="26"/>
                <c:pt idx="0">
                  <c:v>41.956012331075101</c:v>
                </c:pt>
                <c:pt idx="1">
                  <c:v>44.825052601813134</c:v>
                </c:pt>
                <c:pt idx="2">
                  <c:v>45.918584337925175</c:v>
                </c:pt>
                <c:pt idx="3">
                  <c:v>47.044618088758654</c:v>
                </c:pt>
                <c:pt idx="4">
                  <c:v>48.203626263639933</c:v>
                </c:pt>
                <c:pt idx="5">
                  <c:v>50.045092574140931</c:v>
                </c:pt>
                <c:pt idx="6">
                  <c:v>51.291636249870002</c:v>
                </c:pt>
                <c:pt idx="7">
                  <c:v>52.573798975803875</c:v>
                </c:pt>
                <c:pt idx="8">
                  <c:v>53.892440792724656</c:v>
                </c:pt>
                <c:pt idx="9">
                  <c:v>55.258215650809419</c:v>
                </c:pt>
                <c:pt idx="10">
                  <c:v>56.661917658225036</c:v>
                </c:pt>
                <c:pt idx="11">
                  <c:v>58.892469063045255</c:v>
                </c:pt>
                <c:pt idx="12">
                  <c:v>60.40819830196007</c:v>
                </c:pt>
                <c:pt idx="13">
                  <c:v>61.965036247262503</c:v>
                </c:pt>
                <c:pt idx="14">
                  <c:v>63.574085791608745</c:v>
                </c:pt>
                <c:pt idx="15">
                  <c:v>65.226092443833608</c:v>
                </c:pt>
                <c:pt idx="16">
                  <c:v>66.932202321874854</c:v>
                </c:pt>
                <c:pt idx="17">
                  <c:v>68.693306711387194</c:v>
                </c:pt>
                <c:pt idx="18">
                  <c:v>70.510497086269126</c:v>
                </c:pt>
                <c:pt idx="19">
                  <c:v>72.38488935572768</c:v>
                </c:pt>
                <c:pt idx="20">
                  <c:v>74.317448143173834</c:v>
                </c:pt>
                <c:pt idx="21">
                  <c:v>77.36852181919285</c:v>
                </c:pt>
                <c:pt idx="22">
                  <c:v>79.452894629602227</c:v>
                </c:pt>
                <c:pt idx="23">
                  <c:v>81.59997114909568</c:v>
                </c:pt>
                <c:pt idx="24">
                  <c:v>83.821133167822452</c:v>
                </c:pt>
                <c:pt idx="25">
                  <c:v>86.107590674788128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E-4B2B-B92F-82E6C4E1E277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'B2 - TCO ML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E-4B2B-B92F-82E6C4E1E277}"/>
            </c:ext>
          </c:extLst>
        </c:ser>
        <c:ser>
          <c:idx val="4"/>
          <c:order val="2"/>
          <c:tx>
            <c:strRef>
              <c:f>'B2 - TCO ML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'B2 - TCO ML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'B2 - TCO ML 28T'!$C$168:$AB$168</c:f>
              <c:numCache>
                <c:formatCode>_ [$₹-4009]\ * #,##0.00_ ;_ [$₹-4009]\ * \-#,##0.00_ ;_ [$₹-4009]\ * "-"??_ ;_ @_ </c:formatCode>
                <c:ptCount val="26"/>
                <c:pt idx="0">
                  <c:v>52.281666021670269</c:v>
                </c:pt>
                <c:pt idx="1">
                  <c:v>52.70464150646206</c:v>
                </c:pt>
                <c:pt idx="2">
                  <c:v>53.056936278680524</c:v>
                </c:pt>
                <c:pt idx="3">
                  <c:v>52.980445505600144</c:v>
                </c:pt>
                <c:pt idx="4">
                  <c:v>52.829484722972076</c:v>
                </c:pt>
                <c:pt idx="5">
                  <c:v>53.392051055995722</c:v>
                </c:pt>
                <c:pt idx="6">
                  <c:v>51.617937476879362</c:v>
                </c:pt>
                <c:pt idx="7">
                  <c:v>51.867989786902356</c:v>
                </c:pt>
                <c:pt idx="8">
                  <c:v>51.934763410662633</c:v>
                </c:pt>
                <c:pt idx="9">
                  <c:v>52.126056312294054</c:v>
                </c:pt>
                <c:pt idx="10">
                  <c:v>52.443443369337551</c:v>
                </c:pt>
                <c:pt idx="11">
                  <c:v>51.821752463096956</c:v>
                </c:pt>
                <c:pt idx="12">
                  <c:v>52.441348573727893</c:v>
                </c:pt>
                <c:pt idx="13">
                  <c:v>53.073859907658793</c:v>
                </c:pt>
                <c:pt idx="14">
                  <c:v>53.796650216126991</c:v>
                </c:pt>
                <c:pt idx="15">
                  <c:v>54.617703860693872</c:v>
                </c:pt>
                <c:pt idx="16">
                  <c:v>55.391968827120735</c:v>
                </c:pt>
                <c:pt idx="17">
                  <c:v>56.536701258232902</c:v>
                </c:pt>
                <c:pt idx="18">
                  <c:v>57.699926450794443</c:v>
                </c:pt>
                <c:pt idx="19">
                  <c:v>58.914077435739983</c:v>
                </c:pt>
                <c:pt idx="20">
                  <c:v>60.17885252304599</c:v>
                </c:pt>
                <c:pt idx="21">
                  <c:v>60.111062145154726</c:v>
                </c:pt>
                <c:pt idx="22">
                  <c:v>61.465683959896268</c:v>
                </c:pt>
                <c:pt idx="23">
                  <c:v>62.875972707986605</c:v>
                </c:pt>
                <c:pt idx="24">
                  <c:v>64.354023975686076</c:v>
                </c:pt>
                <c:pt idx="25">
                  <c:v>65.897334316604372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E-4B2B-B92F-82E6C4E1E277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3FE-4B2B-B92F-82E6C4E1E277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63FE-4B2B-B92F-82E6C4E1E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'B2 - TCO ML 28T'!$A$192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'B2 - TCO ML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'B2 - TCO ML 28T'!$C$192:$AB$192</c:f>
              <c:numCache>
                <c:formatCode>0%</c:formatCode>
                <c:ptCount val="26"/>
                <c:pt idx="0">
                  <c:v>0.80249952849024975</c:v>
                </c:pt>
                <c:pt idx="1">
                  <c:v>0.85049535146382094</c:v>
                </c:pt>
                <c:pt idx="2">
                  <c:v>0.86545864798409589</c:v>
                </c:pt>
                <c:pt idx="3">
                  <c:v>0.88796191953096992</c:v>
                </c:pt>
                <c:pt idx="4">
                  <c:v>0.91243794097956321</c:v>
                </c:pt>
                <c:pt idx="5">
                  <c:v>0.93731354357702767</c:v>
                </c:pt>
                <c:pt idx="6">
                  <c:v>0.9936785303140887</c:v>
                </c:pt>
                <c:pt idx="7">
                  <c:v>1.0136077991802133</c:v>
                </c:pt>
                <c:pt idx="8">
                  <c:v>1.0376949321321083</c:v>
                </c:pt>
                <c:pt idx="9">
                  <c:v>1.0600881701034544</c:v>
                </c:pt>
                <c:pt idx="10">
                  <c:v>1.0804385451805387</c:v>
                </c:pt>
                <c:pt idx="11">
                  <c:v>1.1364430237086918</c:v>
                </c:pt>
                <c:pt idx="12">
                  <c:v>1.1519192382520731</c:v>
                </c:pt>
                <c:pt idx="13">
                  <c:v>1.1675245847027733</c:v>
                </c:pt>
                <c:pt idx="14">
                  <c:v>1.1817480370283484</c:v>
                </c:pt>
                <c:pt idx="15">
                  <c:v>1.1942298528366762</c:v>
                </c:pt>
                <c:pt idx="16">
                  <c:v>1.2083376658946965</c:v>
                </c:pt>
                <c:pt idx="17">
                  <c:v>1.2150214848515599</c:v>
                </c:pt>
                <c:pt idx="18">
                  <c:v>1.2220205713156207</c:v>
                </c:pt>
                <c:pt idx="19">
                  <c:v>1.22865183511837</c:v>
                </c:pt>
                <c:pt idx="20">
                  <c:v>1.2349429247543953</c:v>
                </c:pt>
                <c:pt idx="21">
                  <c:v>1.2870929086623895</c:v>
                </c:pt>
                <c:pt idx="22">
                  <c:v>1.2926382578194664</c:v>
                </c:pt>
                <c:pt idx="23">
                  <c:v>1.2977925849047058</c:v>
                </c:pt>
                <c:pt idx="24">
                  <c:v>1.3025002632234985</c:v>
                </c:pt>
                <c:pt idx="25">
                  <c:v>1.306693078980758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A-4BE2-83FB-B8F6FF2494A8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'B2 - TCO ML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A-4BE2-83FB-B8F6FF2494A8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0F9A-4BE2-83FB-B8F6FF2494A8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0F9A-4BE2-83FB-B8F6FF24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'B2 - TCO ML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28T'!$C$165:$AG$165</c:f>
              <c:numCache>
                <c:formatCode>_ [$₹-4009]\ * #,##0.00_ ;_ [$₹-4009]\ * \-#,##0.00_ ;_ [$₹-4009]\ * "-"??_ ;_ @_ </c:formatCode>
                <c:ptCount val="31"/>
                <c:pt idx="0">
                  <c:v>41.956012331075101</c:v>
                </c:pt>
                <c:pt idx="1">
                  <c:v>44.825052601813134</c:v>
                </c:pt>
                <c:pt idx="2">
                  <c:v>45.918584337925175</c:v>
                </c:pt>
                <c:pt idx="3">
                  <c:v>47.044618088758654</c:v>
                </c:pt>
                <c:pt idx="4">
                  <c:v>48.203626263639933</c:v>
                </c:pt>
                <c:pt idx="5">
                  <c:v>50.045092574140931</c:v>
                </c:pt>
                <c:pt idx="6">
                  <c:v>51.291636249870002</c:v>
                </c:pt>
                <c:pt idx="7">
                  <c:v>52.573798975803875</c:v>
                </c:pt>
                <c:pt idx="8">
                  <c:v>53.892440792724656</c:v>
                </c:pt>
                <c:pt idx="9">
                  <c:v>55.258215650809419</c:v>
                </c:pt>
                <c:pt idx="10">
                  <c:v>56.661917658225036</c:v>
                </c:pt>
                <c:pt idx="11">
                  <c:v>58.892469063045255</c:v>
                </c:pt>
                <c:pt idx="12">
                  <c:v>60.40819830196007</c:v>
                </c:pt>
                <c:pt idx="13">
                  <c:v>61.965036247262503</c:v>
                </c:pt>
                <c:pt idx="14">
                  <c:v>63.574085791608745</c:v>
                </c:pt>
                <c:pt idx="15">
                  <c:v>65.226092443833608</c:v>
                </c:pt>
                <c:pt idx="16">
                  <c:v>66.932202321874854</c:v>
                </c:pt>
                <c:pt idx="17">
                  <c:v>68.693306711387194</c:v>
                </c:pt>
                <c:pt idx="18">
                  <c:v>70.510497086269126</c:v>
                </c:pt>
                <c:pt idx="19">
                  <c:v>72.38488935572768</c:v>
                </c:pt>
                <c:pt idx="20">
                  <c:v>74.317448143173834</c:v>
                </c:pt>
                <c:pt idx="21">
                  <c:v>77.36852181919285</c:v>
                </c:pt>
                <c:pt idx="22">
                  <c:v>79.452894629602227</c:v>
                </c:pt>
                <c:pt idx="23">
                  <c:v>81.59997114909568</c:v>
                </c:pt>
                <c:pt idx="24">
                  <c:v>83.821133167822452</c:v>
                </c:pt>
                <c:pt idx="25">
                  <c:v>86.107590674788128</c:v>
                </c:pt>
                <c:pt idx="26">
                  <c:v>88.470786993808204</c:v>
                </c:pt>
                <c:pt idx="27">
                  <c:v>90.901995880207011</c:v>
                </c:pt>
                <c:pt idx="28">
                  <c:v>93.412917769510798</c:v>
                </c:pt>
                <c:pt idx="29">
                  <c:v>96.004995916235018</c:v>
                </c:pt>
                <c:pt idx="30">
                  <c:v>98.679709703720235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89D3-45BF-B649-B905379BA5A3}"/>
            </c:ext>
          </c:extLst>
        </c:ser>
        <c:ser>
          <c:idx val="4"/>
          <c:order val="1"/>
          <c:tx>
            <c:strRef>
              <c:f>'B2 - TCO ML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9D3-45BF-B649-B905379BA5A3}"/>
              </c:ext>
            </c:extLst>
          </c:dPt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28T'!$C$168:$AG$168</c:f>
              <c:numCache>
                <c:formatCode>_ [$₹-4009]\ * #,##0.00_ ;_ [$₹-4009]\ * \-#,##0.00_ ;_ [$₹-4009]\ * "-"??_ ;_ @_ </c:formatCode>
                <c:ptCount val="31"/>
                <c:pt idx="0">
                  <c:v>52.281666021670269</c:v>
                </c:pt>
                <c:pt idx="1">
                  <c:v>52.70464150646206</c:v>
                </c:pt>
                <c:pt idx="2">
                  <c:v>53.056936278680524</c:v>
                </c:pt>
                <c:pt idx="3">
                  <c:v>52.980445505600144</c:v>
                </c:pt>
                <c:pt idx="4">
                  <c:v>52.829484722972076</c:v>
                </c:pt>
                <c:pt idx="5">
                  <c:v>53.392051055995722</c:v>
                </c:pt>
                <c:pt idx="6">
                  <c:v>51.617937476879362</c:v>
                </c:pt>
                <c:pt idx="7">
                  <c:v>51.867989786902356</c:v>
                </c:pt>
                <c:pt idx="8">
                  <c:v>51.934763410662633</c:v>
                </c:pt>
                <c:pt idx="9">
                  <c:v>52.126056312294054</c:v>
                </c:pt>
                <c:pt idx="10">
                  <c:v>52.443443369337551</c:v>
                </c:pt>
                <c:pt idx="11">
                  <c:v>51.821752463096956</c:v>
                </c:pt>
                <c:pt idx="12">
                  <c:v>52.441348573727893</c:v>
                </c:pt>
                <c:pt idx="13">
                  <c:v>53.073859907658793</c:v>
                </c:pt>
                <c:pt idx="14">
                  <c:v>53.796650216126991</c:v>
                </c:pt>
                <c:pt idx="15">
                  <c:v>54.617703860693872</c:v>
                </c:pt>
                <c:pt idx="16">
                  <c:v>55.391968827120735</c:v>
                </c:pt>
                <c:pt idx="17">
                  <c:v>56.536701258232902</c:v>
                </c:pt>
                <c:pt idx="18">
                  <c:v>57.699926450794443</c:v>
                </c:pt>
                <c:pt idx="19">
                  <c:v>58.914077435739983</c:v>
                </c:pt>
                <c:pt idx="20">
                  <c:v>60.17885252304599</c:v>
                </c:pt>
                <c:pt idx="21">
                  <c:v>60.111062145154726</c:v>
                </c:pt>
                <c:pt idx="22">
                  <c:v>61.465683959896268</c:v>
                </c:pt>
                <c:pt idx="23">
                  <c:v>62.875972707986605</c:v>
                </c:pt>
                <c:pt idx="24">
                  <c:v>64.354023975686076</c:v>
                </c:pt>
                <c:pt idx="25">
                  <c:v>65.897334316604372</c:v>
                </c:pt>
                <c:pt idx="26">
                  <c:v>67.834414973626721</c:v>
                </c:pt>
                <c:pt idx="27">
                  <c:v>69.896187813897058</c:v>
                </c:pt>
                <c:pt idx="28">
                  <c:v>72.031965528716796</c:v>
                </c:pt>
                <c:pt idx="29">
                  <c:v>74.257350284111183</c:v>
                </c:pt>
                <c:pt idx="30">
                  <c:v>76.563205410258874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89D3-45BF-B649-B905379BA5A3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89D3-45BF-B649-B905379BA5A3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89D3-45BF-B649-B905379BA5A3}"/>
            </c:ext>
          </c:extLst>
        </c:ser>
        <c:ser>
          <c:idx val="2"/>
          <c:order val="5"/>
          <c:tx>
            <c:strRef>
              <c:f>'B2 - TCO ML 28T'!$A$169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28T'!$C$169:$AG$169</c:f>
              <c:numCache>
                <c:formatCode>_ [$₹-4009]\ * #,##0.00_ ;_ [$₹-4009]\ * \-#,##0.00_ ;_ [$₹-4009]\ * "-"??_ ;_ @_ </c:formatCode>
                <c:ptCount val="31"/>
                <c:pt idx="0">
                  <c:v>80.330570389080975</c:v>
                </c:pt>
                <c:pt idx="1">
                  <c:v>80.353877123647578</c:v>
                </c:pt>
                <c:pt idx="2">
                  <c:v>80.459405448968155</c:v>
                </c:pt>
                <c:pt idx="3">
                  <c:v>80.648413671273531</c:v>
                </c:pt>
                <c:pt idx="4">
                  <c:v>80.916061654176104</c:v>
                </c:pt>
                <c:pt idx="5">
                  <c:v>82.085569212262257</c:v>
                </c:pt>
                <c:pt idx="6">
                  <c:v>79.759220564304329</c:v>
                </c:pt>
                <c:pt idx="7">
                  <c:v>78.914568939801725</c:v>
                </c:pt>
                <c:pt idx="8">
                  <c:v>78.158294523532518</c:v>
                </c:pt>
                <c:pt idx="9">
                  <c:v>77.494752982938778</c:v>
                </c:pt>
                <c:pt idx="10">
                  <c:v>76.9164155520061</c:v>
                </c:pt>
                <c:pt idx="11">
                  <c:v>75.493812874963666</c:v>
                </c:pt>
                <c:pt idx="12">
                  <c:v>75.071519289746647</c:v>
                </c:pt>
                <c:pt idx="13">
                  <c:v>74.727464258201593</c:v>
                </c:pt>
                <c:pt idx="14">
                  <c:v>74.470579863424376</c:v>
                </c:pt>
                <c:pt idx="15">
                  <c:v>74.293502380475871</c:v>
                </c:pt>
                <c:pt idx="16">
                  <c:v>72.739803673456194</c:v>
                </c:pt>
                <c:pt idx="17">
                  <c:v>73.032015530030975</c:v>
                </c:pt>
                <c:pt idx="18">
                  <c:v>73.404047790054705</c:v>
                </c:pt>
                <c:pt idx="19">
                  <c:v>73.855034898437239</c:v>
                </c:pt>
                <c:pt idx="20">
                  <c:v>74.384200799920265</c:v>
                </c:pt>
                <c:pt idx="21">
                  <c:v>74.399153886932638</c:v>
                </c:pt>
                <c:pt idx="22">
                  <c:v>75.068083762533604</c:v>
                </c:pt>
                <c:pt idx="23">
                  <c:v>75.814784348077538</c:v>
                </c:pt>
                <c:pt idx="24">
                  <c:v>76.647079261578398</c:v>
                </c:pt>
                <c:pt idx="25">
                  <c:v>77.556346177296348</c:v>
                </c:pt>
                <c:pt idx="26">
                  <c:v>78.376284705373294</c:v>
                </c:pt>
                <c:pt idx="27">
                  <c:v>80.19684858763155</c:v>
                </c:pt>
                <c:pt idx="28">
                  <c:v>82.111284278493869</c:v>
                </c:pt>
                <c:pt idx="29">
                  <c:v>84.121807867261438</c:v>
                </c:pt>
                <c:pt idx="30">
                  <c:v>86.228875529912997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6-89D3-45BF-B649-B905379BA5A3}"/>
            </c:ext>
          </c:extLst>
        </c:ser>
        <c:ser>
          <c:idx val="6"/>
          <c:order val="6"/>
          <c:tx>
            <c:strRef>
              <c:f>'B2 - TCO ML 28T'!$A$170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28T'!$C$170:$AG$170</c:f>
              <c:numCache>
                <c:formatCode>_ [$₹-4009]\ * #,##0.00_ ;_ [$₹-4009]\ * \-#,##0.00_ ;_ [$₹-4009]\ * "-"??_ ;_ @_ </c:formatCode>
                <c:ptCount val="31"/>
                <c:pt idx="0">
                  <c:v>85.551260205916563</c:v>
                </c:pt>
                <c:pt idx="1">
                  <c:v>85.069268203307601</c:v>
                </c:pt>
                <c:pt idx="2">
                  <c:v>84.672488996466342</c:v>
                </c:pt>
                <c:pt idx="3">
                  <c:v>84.360253072337244</c:v>
                </c:pt>
                <c:pt idx="4">
                  <c:v>84.134211938245826</c:v>
                </c:pt>
                <c:pt idx="5">
                  <c:v>84.445730168051924</c:v>
                </c:pt>
                <c:pt idx="6">
                  <c:v>82.436724169157671</c:v>
                </c:pt>
                <c:pt idx="7">
                  <c:v>81.573578406988418</c:v>
                </c:pt>
                <c:pt idx="8">
                  <c:v>80.790011292095258</c:v>
                </c:pt>
                <c:pt idx="9">
                  <c:v>80.094855014335224</c:v>
                </c:pt>
                <c:pt idx="10">
                  <c:v>79.479085116373852</c:v>
                </c:pt>
                <c:pt idx="11">
                  <c:v>77.424878056971394</c:v>
                </c:pt>
                <c:pt idx="12">
                  <c:v>76.971873746168995</c:v>
                </c:pt>
                <c:pt idx="13">
                  <c:v>76.603753555899516</c:v>
                </c:pt>
                <c:pt idx="14">
                  <c:v>76.317471463342926</c:v>
                </c:pt>
                <c:pt idx="15">
                  <c:v>76.114298843975789</c:v>
                </c:pt>
                <c:pt idx="16">
                  <c:v>74.725971172426924</c:v>
                </c:pt>
                <c:pt idx="17">
                  <c:v>75.088474982148441</c:v>
                </c:pt>
                <c:pt idx="18">
                  <c:v>75.532155285792982</c:v>
                </c:pt>
                <c:pt idx="19">
                  <c:v>76.046236605832036</c:v>
                </c:pt>
                <c:pt idx="20">
                  <c:v>76.630110665087699</c:v>
                </c:pt>
                <c:pt idx="21">
                  <c:v>75.336714066086145</c:v>
                </c:pt>
                <c:pt idx="22">
                  <c:v>76.045580030489845</c:v>
                </c:pt>
                <c:pt idx="23">
                  <c:v>76.821783931735453</c:v>
                </c:pt>
                <c:pt idx="24">
                  <c:v>77.677049379526579</c:v>
                </c:pt>
                <c:pt idx="25">
                  <c:v>78.611075257539667</c:v>
                </c:pt>
                <c:pt idx="26">
                  <c:v>79.370444597229167</c:v>
                </c:pt>
                <c:pt idx="27">
                  <c:v>81.205163338200578</c:v>
                </c:pt>
                <c:pt idx="28">
                  <c:v>83.121662282885865</c:v>
                </c:pt>
                <c:pt idx="29">
                  <c:v>85.132276797535894</c:v>
                </c:pt>
                <c:pt idx="30">
                  <c:v>87.227215053862167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7-89D3-45BF-B649-B905379BA5A3}"/>
            </c:ext>
          </c:extLst>
        </c:ser>
        <c:ser>
          <c:idx val="7"/>
          <c:order val="7"/>
          <c:tx>
            <c:strRef>
              <c:f>'B2 - TCO ML 28T'!$A$96</c:f>
              <c:strCache>
                <c:ptCount val="1"/>
                <c:pt idx="0">
                  <c:v>LNG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'B2 - TCO ML 28T'!$C$167:$AG$167</c:f>
              <c:numCache>
                <c:formatCode>_ [$₹-4009]\ * #,##0.00_ ;_ [$₹-4009]\ * \-#,##0.00_ ;_ [$₹-4009]\ * "-"??_ ;_ @_ </c:formatCode>
                <c:ptCount val="31"/>
                <c:pt idx="0">
                  <c:v>41.175126077676097</c:v>
                </c:pt>
                <c:pt idx="1">
                  <c:v>42.473404183654246</c:v>
                </c:pt>
                <c:pt idx="2">
                  <c:v>43.704762208920755</c:v>
                </c:pt>
                <c:pt idx="3">
                  <c:v>44.97816952535527</c:v>
                </c:pt>
                <c:pt idx="4">
                  <c:v>46.292751559852356</c:v>
                </c:pt>
                <c:pt idx="5">
                  <c:v>48.326887111543805</c:v>
                </c:pt>
                <c:pt idx="6">
                  <c:v>49.750101181058689</c:v>
                </c:pt>
                <c:pt idx="7">
                  <c:v>51.217116963044347</c:v>
                </c:pt>
                <c:pt idx="8">
                  <c:v>52.732257471922779</c:v>
                </c:pt>
                <c:pt idx="9">
                  <c:v>54.304896815571055</c:v>
                </c:pt>
                <c:pt idx="10">
                  <c:v>55.927627406850917</c:v>
                </c:pt>
                <c:pt idx="11">
                  <c:v>58.481174086236493</c:v>
                </c:pt>
                <c:pt idx="12">
                  <c:v>60.241998641381656</c:v>
                </c:pt>
                <c:pt idx="13">
                  <c:v>62.055004094222738</c:v>
                </c:pt>
                <c:pt idx="14">
                  <c:v>63.933271553554668</c:v>
                </c:pt>
                <c:pt idx="15">
                  <c:v>65.869718841512693</c:v>
                </c:pt>
                <c:pt idx="16">
                  <c:v>67.873829619470996</c:v>
                </c:pt>
                <c:pt idx="17">
                  <c:v>69.948704271528598</c:v>
                </c:pt>
                <c:pt idx="18">
                  <c:v>72.093809837184295</c:v>
                </c:pt>
                <c:pt idx="19">
                  <c:v>74.314172155992253</c:v>
                </c:pt>
                <c:pt idx="20">
                  <c:v>76.607510504300706</c:v>
                </c:pt>
                <c:pt idx="21">
                  <c:v>80.141137600582923</c:v>
                </c:pt>
                <c:pt idx="22">
                  <c:v>82.625059468534118</c:v>
                </c:pt>
                <c:pt idx="23">
                  <c:v>85.189139961128589</c:v>
                </c:pt>
                <c:pt idx="24">
                  <c:v>87.845076059030248</c:v>
                </c:pt>
                <c:pt idx="25">
                  <c:v>90.588382144282974</c:v>
                </c:pt>
                <c:pt idx="26">
                  <c:v>93.430866229072961</c:v>
                </c:pt>
                <c:pt idx="27">
                  <c:v>96.360227892842929</c:v>
                </c:pt>
                <c:pt idx="28">
                  <c:v>99.39434138255784</c:v>
                </c:pt>
                <c:pt idx="29">
                  <c:v>102.53113040159796</c:v>
                </c:pt>
                <c:pt idx="30">
                  <c:v>105.77651318944329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9D3-45BF-B649-B905379BA5A3}"/>
            </c:ext>
          </c:extLst>
        </c:ser>
        <c:ser>
          <c:idx val="8"/>
          <c:order val="8"/>
          <c:tx>
            <c:strRef>
              <c:f>'B2 - TCO ML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28T'!$C$166:$AG$166</c:f>
              <c:numCache>
                <c:formatCode>_ [$₹-4009]\ * #,##0.00_ ;_ [$₹-4009]\ * \-#,##0.00_ ;_ [$₹-4009]\ * "-"??_ ;_ @_ </c:formatCode>
                <c:ptCount val="31"/>
                <c:pt idx="0">
                  <c:v>40.891699830508635</c:v>
                </c:pt>
                <c:pt idx="1">
                  <c:v>42.485704306052547</c:v>
                </c:pt>
                <c:pt idx="2">
                  <c:v>43.735792451585802</c:v>
                </c:pt>
                <c:pt idx="3">
                  <c:v>45.030134806940922</c:v>
                </c:pt>
                <c:pt idx="4">
                  <c:v>46.366178301729562</c:v>
                </c:pt>
                <c:pt idx="5">
                  <c:v>48.424011357668846</c:v>
                </c:pt>
                <c:pt idx="6">
                  <c:v>49.869787581919852</c:v>
                </c:pt>
                <c:pt idx="7">
                  <c:v>51.361634583431233</c:v>
                </c:pt>
                <c:pt idx="8">
                  <c:v>52.902198803726193</c:v>
                </c:pt>
                <c:pt idx="9">
                  <c:v>54.502565955382671</c:v>
                </c:pt>
                <c:pt idx="10">
                  <c:v>56.151959099373528</c:v>
                </c:pt>
                <c:pt idx="11">
                  <c:v>58.691075249866273</c:v>
                </c:pt>
                <c:pt idx="12">
                  <c:v>60.480309544884619</c:v>
                </c:pt>
                <c:pt idx="13">
                  <c:v>62.326087858264074</c:v>
                </c:pt>
                <c:pt idx="14">
                  <c:v>64.235997514348767</c:v>
                </c:pt>
                <c:pt idx="15">
                  <c:v>66.206653819440007</c:v>
                </c:pt>
                <c:pt idx="16">
                  <c:v>68.245724165532224</c:v>
                </c:pt>
                <c:pt idx="17">
                  <c:v>70.356331453254526</c:v>
                </c:pt>
                <c:pt idx="18">
                  <c:v>72.539804044220034</c:v>
                </c:pt>
                <c:pt idx="19">
                  <c:v>74.797515405592705</c:v>
                </c:pt>
                <c:pt idx="20">
                  <c:v>77.132723808406496</c:v>
                </c:pt>
                <c:pt idx="21">
                  <c:v>80.671177887347127</c:v>
                </c:pt>
                <c:pt idx="22">
                  <c:v>83.197763772043643</c:v>
                </c:pt>
                <c:pt idx="23">
                  <c:v>85.807413794676663</c:v>
                </c:pt>
                <c:pt idx="24">
                  <c:v>88.513835058634683</c:v>
                </c:pt>
                <c:pt idx="25">
                  <c:v>91.304640748297103</c:v>
                </c:pt>
                <c:pt idx="26">
                  <c:v>94.197615545512917</c:v>
                </c:pt>
                <c:pt idx="27">
                  <c:v>97.180489290058446</c:v>
                </c:pt>
                <c:pt idx="28">
                  <c:v>100.26918496680931</c:v>
                </c:pt>
                <c:pt idx="29">
                  <c:v>103.46364081256638</c:v>
                </c:pt>
                <c:pt idx="30">
                  <c:v>106.76584327262755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B-40CD-9916-9C23665D3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'B2 - TCO ML 28T'!$A$171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'B2 - TCO ML 28T'!$C$164:$AG$164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'B2 - TCO ML 28T'!$C$171:$AB$171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37.760411097967591</c:v>
                      </c:pt>
                      <c:pt idx="1">
                        <c:v>40.342547341631821</c:v>
                      </c:pt>
                      <c:pt idx="2">
                        <c:v>41.326725904132658</c:v>
                      </c:pt>
                      <c:pt idx="3">
                        <c:v>42.340156279882791</c:v>
                      </c:pt>
                      <c:pt idx="4">
                        <c:v>43.383263637275938</c:v>
                      </c:pt>
                      <c:pt idx="5">
                        <c:v>45.040583316726838</c:v>
                      </c:pt>
                      <c:pt idx="6">
                        <c:v>46.162472624883002</c:v>
                      </c:pt>
                      <c:pt idx="7">
                        <c:v>47.31641907822349</c:v>
                      </c:pt>
                      <c:pt idx="8">
                        <c:v>48.503196713452191</c:v>
                      </c:pt>
                      <c:pt idx="9">
                        <c:v>49.73239408572848</c:v>
                      </c:pt>
                      <c:pt idx="10">
                        <c:v>50.995725892402533</c:v>
                      </c:pt>
                      <c:pt idx="11">
                        <c:v>53.003222156740733</c:v>
                      </c:pt>
                      <c:pt idx="12">
                        <c:v>54.367378471764063</c:v>
                      </c:pt>
                      <c:pt idx="13">
                        <c:v>55.768532622536256</c:v>
                      </c:pt>
                      <c:pt idx="14">
                        <c:v>57.21667721244787</c:v>
                      </c:pt>
                      <c:pt idx="15">
                        <c:v>58.703483199450247</c:v>
                      </c:pt>
                      <c:pt idx="16">
                        <c:v>60.238982089687369</c:v>
                      </c:pt>
                      <c:pt idx="17">
                        <c:v>61.823976040248475</c:v>
                      </c:pt>
                      <c:pt idx="18">
                        <c:v>63.459447377642213</c:v>
                      </c:pt>
                      <c:pt idx="19">
                        <c:v>65.146400420154919</c:v>
                      </c:pt>
                      <c:pt idx="20">
                        <c:v>66.885703328856451</c:v>
                      </c:pt>
                      <c:pt idx="21">
                        <c:v>69.631669637273561</c:v>
                      </c:pt>
                      <c:pt idx="22">
                        <c:v>71.507605166642008</c:v>
                      </c:pt>
                      <c:pt idx="23">
                        <c:v>73.439974034186108</c:v>
                      </c:pt>
                      <c:pt idx="24">
                        <c:v>75.439019851040214</c:v>
                      </c:pt>
                      <c:pt idx="25">
                        <c:v>77.496831607309318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9D3-45BF-B649-B905379BA5A3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'B2 - TCO ML 28T'!$B$174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28T'!$C$174:$AG$174</c:f>
              <c:numCache>
                <c:formatCode>_ [$₹-4009]\ * #,##0.00_ ;_ [$₹-4009]\ * \-#,##0.00_ ;_ [$₹-4009]\ * "-"??_ ;_ @_ </c:formatCode>
                <c:ptCount val="31"/>
                <c:pt idx="0">
                  <c:v>2.2082111753197422</c:v>
                </c:pt>
                <c:pt idx="1">
                  <c:v>2.3592132948322702</c:v>
                </c:pt>
                <c:pt idx="2">
                  <c:v>2.4167675967329036</c:v>
                </c:pt>
                <c:pt idx="3">
                  <c:v>2.4760325309872977</c:v>
                </c:pt>
                <c:pt idx="4">
                  <c:v>2.5370329612442069</c:v>
                </c:pt>
                <c:pt idx="5">
                  <c:v>2.6339522407442595</c:v>
                </c:pt>
                <c:pt idx="6">
                  <c:v>2.6995598026247367</c:v>
                </c:pt>
                <c:pt idx="7">
                  <c:v>2.7670420513580987</c:v>
                </c:pt>
                <c:pt idx="8">
                  <c:v>2.8364442522486661</c:v>
                </c:pt>
                <c:pt idx="9">
                  <c:v>2.9083271395162851</c:v>
                </c:pt>
                <c:pt idx="10">
                  <c:v>2.9822061925381598</c:v>
                </c:pt>
                <c:pt idx="11">
                  <c:v>3.0996036348971185</c:v>
                </c:pt>
                <c:pt idx="12">
                  <c:v>3.1793788579978983</c:v>
                </c:pt>
                <c:pt idx="13">
                  <c:v>3.2613176972243423</c:v>
                </c:pt>
                <c:pt idx="14">
                  <c:v>3.3460045153478286</c:v>
                </c:pt>
                <c:pt idx="15">
                  <c:v>3.4329522338859797</c:v>
                </c:pt>
                <c:pt idx="16">
                  <c:v>3.522747490624992</c:v>
                </c:pt>
                <c:pt idx="17">
                  <c:v>3.6154371953361681</c:v>
                </c:pt>
                <c:pt idx="18">
                  <c:v>3.7110787940141643</c:v>
                </c:pt>
                <c:pt idx="19">
                  <c:v>3.8097310187225095</c:v>
                </c:pt>
                <c:pt idx="20">
                  <c:v>3.9114446391144124</c:v>
                </c:pt>
                <c:pt idx="21">
                  <c:v>4.0720274641680447</c:v>
                </c:pt>
                <c:pt idx="22">
                  <c:v>4.1817312962948545</c:v>
                </c:pt>
                <c:pt idx="23">
                  <c:v>4.2947353236366146</c:v>
                </c:pt>
                <c:pt idx="24">
                  <c:v>4.4116385877801294</c:v>
                </c:pt>
                <c:pt idx="25">
                  <c:v>4.5319784565677965</c:v>
                </c:pt>
                <c:pt idx="26">
                  <c:v>4.6563572102004311</c:v>
                </c:pt>
                <c:pt idx="27">
                  <c:v>4.7843155726424742</c:v>
                </c:pt>
                <c:pt idx="28">
                  <c:v>4.9164693562900421</c:v>
                </c:pt>
                <c:pt idx="29">
                  <c:v>5.0528945219071062</c:v>
                </c:pt>
                <c:pt idx="30">
                  <c:v>5.1936689317747495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D-4FAA-B783-CA8BDE7668D3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CCED-4FAA-B783-CA8BDE7668D3}"/>
            </c:ext>
          </c:extLst>
        </c:ser>
        <c:ser>
          <c:idx val="3"/>
          <c:order val="2"/>
          <c:tx>
            <c:strRef>
              <c:f>'B2 - TCO ML 28T'!$B$177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28T'!$C$177:$AG$177</c:f>
              <c:numCache>
                <c:formatCode>_ [$₹-4009]\ * #,##0.00_ ;_ [$₹-4009]\ * \-#,##0.00_ ;_ [$₹-4009]\ * "-"??_ ;_ @_ </c:formatCode>
                <c:ptCount val="31"/>
                <c:pt idx="0">
                  <c:v>3.0753921189217808</c:v>
                </c:pt>
                <c:pt idx="1">
                  <c:v>3.1002730297918859</c:v>
                </c:pt>
                <c:pt idx="2">
                  <c:v>3.1209962516870897</c:v>
                </c:pt>
                <c:pt idx="3">
                  <c:v>3.1164967944470674</c:v>
                </c:pt>
                <c:pt idx="4">
                  <c:v>3.107616748410122</c:v>
                </c:pt>
                <c:pt idx="5">
                  <c:v>3.1407088856468071</c:v>
                </c:pt>
                <c:pt idx="6">
                  <c:v>3.0363492633458451</c:v>
                </c:pt>
                <c:pt idx="7">
                  <c:v>3.0510582227589622</c:v>
                </c:pt>
                <c:pt idx="8">
                  <c:v>3.0549860829801547</c:v>
                </c:pt>
                <c:pt idx="9">
                  <c:v>3.0662386066055327</c:v>
                </c:pt>
                <c:pt idx="10">
                  <c:v>3.084908433490444</c:v>
                </c:pt>
                <c:pt idx="11">
                  <c:v>3.048338380182174</c:v>
                </c:pt>
                <c:pt idx="12">
                  <c:v>3.0847852102192879</c:v>
                </c:pt>
                <c:pt idx="13">
                  <c:v>3.1219917592740467</c:v>
                </c:pt>
                <c:pt idx="14">
                  <c:v>3.164508836242764</c:v>
                </c:pt>
                <c:pt idx="15">
                  <c:v>3.2128061094525804</c:v>
                </c:pt>
                <c:pt idx="16">
                  <c:v>3.2583511074776905</c:v>
                </c:pt>
                <c:pt idx="17">
                  <c:v>3.325688309307818</c:v>
                </c:pt>
                <c:pt idx="18">
                  <c:v>3.3941133206349674</c:v>
                </c:pt>
                <c:pt idx="19">
                  <c:v>3.4655339668082346</c:v>
                </c:pt>
                <c:pt idx="20">
                  <c:v>3.5399325013556466</c:v>
                </c:pt>
                <c:pt idx="21">
                  <c:v>3.535944832067925</c:v>
                </c:pt>
                <c:pt idx="22">
                  <c:v>3.6156284682291919</c:v>
                </c:pt>
                <c:pt idx="23">
                  <c:v>3.6985866298815653</c:v>
                </c:pt>
                <c:pt idx="24">
                  <c:v>3.7855308220991808</c:v>
                </c:pt>
                <c:pt idx="25">
                  <c:v>3.8763137833296692</c:v>
                </c:pt>
                <c:pt idx="26">
                  <c:v>3.9902597043309838</c:v>
                </c:pt>
                <c:pt idx="27">
                  <c:v>4.1115404596410032</c:v>
                </c:pt>
                <c:pt idx="28">
                  <c:v>4.2371744428656939</c:v>
                </c:pt>
                <c:pt idx="29">
                  <c:v>4.3680794284771283</c:v>
                </c:pt>
                <c:pt idx="30">
                  <c:v>4.5037179653093453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D-4FAA-B783-CA8BDE7668D3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CCED-4FAA-B783-CA8BDE7668D3}"/>
            </c:ext>
          </c:extLst>
        </c:ser>
        <c:ser>
          <c:idx val="2"/>
          <c:order val="5"/>
          <c:tx>
            <c:strRef>
              <c:f>'B2 - TCO ML 28T'!$B$175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28T'!$C$175:$AG$175</c:f>
              <c:numCache>
                <c:formatCode>_ [$₹-4009]\ * #,##0.00_ ;_ [$₹-4009]\ * \-#,##0.00_ ;_ [$₹-4009]\ * "-"??_ ;_ @_ </c:formatCode>
                <c:ptCount val="31"/>
                <c:pt idx="0">
                  <c:v>4.2279247573200518</c:v>
                </c:pt>
                <c:pt idx="1">
                  <c:v>4.2291514275603994</c:v>
                </c:pt>
                <c:pt idx="2">
                  <c:v>4.2347055499456925</c:v>
                </c:pt>
                <c:pt idx="3">
                  <c:v>4.2446533511196591</c:v>
                </c:pt>
                <c:pt idx="4">
                  <c:v>4.2587400870618994</c:v>
                </c:pt>
                <c:pt idx="5">
                  <c:v>4.3202931164348559</c:v>
                </c:pt>
                <c:pt idx="6">
                  <c:v>4.1978537139107539</c:v>
                </c:pt>
                <c:pt idx="7">
                  <c:v>4.1533983652527224</c:v>
                </c:pt>
                <c:pt idx="8">
                  <c:v>4.1135944486069747</c:v>
                </c:pt>
                <c:pt idx="9">
                  <c:v>4.0786712096283573</c:v>
                </c:pt>
                <c:pt idx="10">
                  <c:v>4.0482323974740053</c:v>
                </c:pt>
                <c:pt idx="11">
                  <c:v>3.973358572366509</c:v>
                </c:pt>
                <c:pt idx="12">
                  <c:v>3.9511325941971918</c:v>
                </c:pt>
                <c:pt idx="13">
                  <c:v>3.933024434642189</c:v>
                </c:pt>
                <c:pt idx="14">
                  <c:v>3.9195042033381249</c:v>
                </c:pt>
                <c:pt idx="15">
                  <c:v>3.910184335814519</c:v>
                </c:pt>
                <c:pt idx="16">
                  <c:v>3.8284107196555892</c:v>
                </c:pt>
                <c:pt idx="17">
                  <c:v>3.8437902910542618</c:v>
                </c:pt>
                <c:pt idx="18">
                  <c:v>3.8633709363186686</c:v>
                </c:pt>
                <c:pt idx="19">
                  <c:v>3.8871070999177495</c:v>
                </c:pt>
                <c:pt idx="20">
                  <c:v>3.9149579368379088</c:v>
                </c:pt>
                <c:pt idx="21">
                  <c:v>3.9157449414175072</c:v>
                </c:pt>
                <c:pt idx="22">
                  <c:v>3.9509517769754532</c:v>
                </c:pt>
                <c:pt idx="23">
                  <c:v>3.9902518077935545</c:v>
                </c:pt>
                <c:pt idx="24">
                  <c:v>4.0340568032409676</c:v>
                </c:pt>
                <c:pt idx="25">
                  <c:v>4.0819129566998082</c:v>
                </c:pt>
                <c:pt idx="26">
                  <c:v>4.125067616072279</c:v>
                </c:pt>
                <c:pt idx="27">
                  <c:v>4.2208867677700823</c:v>
                </c:pt>
                <c:pt idx="28">
                  <c:v>4.3216465409733615</c:v>
                </c:pt>
                <c:pt idx="29">
                  <c:v>4.4274635719611286</c:v>
                </c:pt>
                <c:pt idx="30">
                  <c:v>4.5383618699954207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E2-480E-BE5B-27AB0A2DC831}"/>
            </c:ext>
          </c:extLst>
        </c:ser>
        <c:ser>
          <c:idx val="6"/>
          <c:order val="6"/>
          <c:tx>
            <c:strRef>
              <c:f>'B2 - TCO ML 28T'!$A$176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28T'!$C$176:$AG$176</c:f>
              <c:numCache>
                <c:formatCode>_ [$₹-4009]\ * #,##0.00_ ;_ [$₹-4009]\ * \-#,##0.00_ ;_ [$₹-4009]\ * "-"??_ ;_ @_ </c:formatCode>
                <c:ptCount val="31"/>
                <c:pt idx="0">
                  <c:v>2.1671118988250577</c:v>
                </c:pt>
                <c:pt idx="1">
                  <c:v>2.2354423254554865</c:v>
                </c:pt>
                <c:pt idx="2">
                  <c:v>2.3002506425747766</c:v>
                </c:pt>
                <c:pt idx="3">
                  <c:v>2.3672720802818565</c:v>
                </c:pt>
                <c:pt idx="4">
                  <c:v>2.4364606084132818</c:v>
                </c:pt>
                <c:pt idx="5">
                  <c:v>2.5435203742917789</c:v>
                </c:pt>
                <c:pt idx="6">
                  <c:v>2.6184263779504575</c:v>
                </c:pt>
                <c:pt idx="7">
                  <c:v>2.6956377348970708</c:v>
                </c:pt>
                <c:pt idx="8">
                  <c:v>2.7753819722064619</c:v>
                </c:pt>
                <c:pt idx="9">
                  <c:v>2.8581524639774241</c:v>
                </c:pt>
                <c:pt idx="10">
                  <c:v>2.94355933720268</c:v>
                </c:pt>
                <c:pt idx="11">
                  <c:v>3.0779565308545522</c:v>
                </c:pt>
                <c:pt idx="12">
                  <c:v>3.1706315074411395</c:v>
                </c:pt>
                <c:pt idx="13">
                  <c:v>3.2660528470643548</c:v>
                </c:pt>
                <c:pt idx="14">
                  <c:v>3.3649090291344561</c:v>
                </c:pt>
                <c:pt idx="15">
                  <c:v>3.4668273074480367</c:v>
                </c:pt>
                <c:pt idx="16">
                  <c:v>3.572306822077421</c:v>
                </c:pt>
                <c:pt idx="17">
                  <c:v>3.681510751133084</c:v>
                </c:pt>
                <c:pt idx="18">
                  <c:v>3.7944110440623313</c:v>
                </c:pt>
                <c:pt idx="19">
                  <c:v>3.9112722187364346</c:v>
                </c:pt>
                <c:pt idx="20">
                  <c:v>4.0319742370684581</c:v>
                </c:pt>
                <c:pt idx="21">
                  <c:v>4.2179546105569958</c:v>
                </c:pt>
                <c:pt idx="22">
                  <c:v>4.3486873404491639</c:v>
                </c:pt>
                <c:pt idx="23">
                  <c:v>4.4836389453225571</c:v>
                </c:pt>
                <c:pt idx="24">
                  <c:v>4.6234250557384344</c:v>
                </c:pt>
                <c:pt idx="25">
                  <c:v>4.7678095865412091</c:v>
                </c:pt>
                <c:pt idx="26">
                  <c:v>4.9174140120564713</c:v>
                </c:pt>
                <c:pt idx="27">
                  <c:v>5.0715909417285756</c:v>
                </c:pt>
                <c:pt idx="28">
                  <c:v>5.2312811253977802</c:v>
                </c:pt>
                <c:pt idx="29">
                  <c:v>5.3963752842946295</c:v>
                </c:pt>
                <c:pt idx="30">
                  <c:v>5.5671849047075419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E2-480E-BE5B-27AB0A2DC831}"/>
            </c:ext>
          </c:extLst>
        </c:ser>
        <c:ser>
          <c:idx val="7"/>
          <c:order val="7"/>
          <c:tx>
            <c:strRef>
              <c:f>'B2 - TCO ML 28T'!$A$178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28T'!$C$178:$AG$178</c:f>
              <c:numCache>
                <c:formatCode>_ [$₹-4009]\ * #,##0.00_ ;_ [$₹-4009]\ * \-#,##0.00_ ;_ [$₹-4009]\ * "-"??_ ;_ @_ </c:formatCode>
                <c:ptCount val="31"/>
                <c:pt idx="0">
                  <c:v>4.5026979055745562</c:v>
                </c:pt>
                <c:pt idx="1">
                  <c:v>4.4773299054372417</c:v>
                </c:pt>
                <c:pt idx="2">
                  <c:v>4.4564467892877024</c:v>
                </c:pt>
                <c:pt idx="3">
                  <c:v>4.4400133195966971</c:v>
                </c:pt>
                <c:pt idx="4">
                  <c:v>4.4281164178024115</c:v>
                </c:pt>
                <c:pt idx="5">
                  <c:v>4.4445121141079955</c:v>
                </c:pt>
                <c:pt idx="6">
                  <c:v>4.3387749562714566</c:v>
                </c:pt>
                <c:pt idx="7">
                  <c:v>4.2933462319467584</c:v>
                </c:pt>
                <c:pt idx="8">
                  <c:v>4.2521058574786972</c:v>
                </c:pt>
                <c:pt idx="9">
                  <c:v>4.2155186849650113</c:v>
                </c:pt>
                <c:pt idx="10">
                  <c:v>4.1831097429670443</c:v>
                </c:pt>
                <c:pt idx="11">
                  <c:v>4.0749935819458631</c:v>
                </c:pt>
                <c:pt idx="12">
                  <c:v>4.0511512497983677</c:v>
                </c:pt>
                <c:pt idx="13">
                  <c:v>4.0317765029420798</c:v>
                </c:pt>
                <c:pt idx="14">
                  <c:v>4.0167090243864694</c:v>
                </c:pt>
                <c:pt idx="15">
                  <c:v>4.0060157286303042</c:v>
                </c:pt>
                <c:pt idx="16">
                  <c:v>3.9329458511803641</c:v>
                </c:pt>
                <c:pt idx="17">
                  <c:v>3.9520249990604439</c:v>
                </c:pt>
                <c:pt idx="18">
                  <c:v>3.9753765939891044</c:v>
                </c:pt>
                <c:pt idx="19">
                  <c:v>4.0024335055701075</c:v>
                </c:pt>
                <c:pt idx="20">
                  <c:v>4.0331637192151417</c:v>
                </c:pt>
                <c:pt idx="21">
                  <c:v>3.9650902140045337</c:v>
                </c:pt>
                <c:pt idx="22">
                  <c:v>4.0023989489731502</c:v>
                </c:pt>
                <c:pt idx="23">
                  <c:v>4.0432517858808126</c:v>
                </c:pt>
                <c:pt idx="24">
                  <c:v>4.0882657568171883</c:v>
                </c:pt>
                <c:pt idx="25">
                  <c:v>4.1374250135547195</c:v>
                </c:pt>
                <c:pt idx="26">
                  <c:v>4.1773918209067986</c:v>
                </c:pt>
                <c:pt idx="27">
                  <c:v>4.2739559651684518</c:v>
                </c:pt>
                <c:pt idx="28">
                  <c:v>4.3748243306782042</c:v>
                </c:pt>
                <c:pt idx="29">
                  <c:v>4.4806461472387316</c:v>
                </c:pt>
                <c:pt idx="30">
                  <c:v>4.59090605546643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E2-480E-BE5B-27AB0A2DC831}"/>
            </c:ext>
          </c:extLst>
        </c:ser>
        <c:ser>
          <c:idx val="8"/>
          <c:order val="8"/>
          <c:tx>
            <c:strRef>
              <c:f>'B2 - TCO ML 28T'!$A$179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28T'!$C$179:$AG$179</c:f>
              <c:numCache>
                <c:formatCode>_ [$₹-4009]\ * #,##0.00_ ;_ [$₹-4009]\ * \-#,##0.00_ ;_ [$₹-4009]\ * "-"??_ ;_ @_ </c:formatCode>
                <c:ptCount val="31"/>
                <c:pt idx="0">
                  <c:v>4.7265889616528485</c:v>
                </c:pt>
                <c:pt idx="1">
                  <c:v>4.6999595692435134</c:v>
                </c:pt>
                <c:pt idx="2">
                  <c:v>4.6780380661031122</c:v>
                </c:pt>
                <c:pt idx="3">
                  <c:v>4.6607874625600685</c:v>
                </c:pt>
                <c:pt idx="4">
                  <c:v>4.6482990021130295</c:v>
                </c:pt>
                <c:pt idx="5">
                  <c:v>4.6655099540360174</c:v>
                </c:pt>
                <c:pt idx="6">
                  <c:v>4.5545151474672751</c:v>
                </c:pt>
                <c:pt idx="7">
                  <c:v>4.5068275362977026</c:v>
                </c:pt>
                <c:pt idx="8">
                  <c:v>4.4635365354748764</c:v>
                </c:pt>
                <c:pt idx="9">
                  <c:v>4.4251301112892385</c:v>
                </c:pt>
                <c:pt idx="10">
                  <c:v>4.3911096749377814</c:v>
                </c:pt>
                <c:pt idx="11">
                  <c:v>4.2776175722083645</c:v>
                </c:pt>
                <c:pt idx="12">
                  <c:v>4.252589709733094</c:v>
                </c:pt>
                <c:pt idx="13">
                  <c:v>4.2322515776740062</c:v>
                </c:pt>
                <c:pt idx="14">
                  <c:v>4.2164348874775097</c:v>
                </c:pt>
                <c:pt idx="15">
                  <c:v>4.2052098808826397</c:v>
                </c:pt>
                <c:pt idx="16">
                  <c:v>4.1285066946092224</c:v>
                </c:pt>
                <c:pt idx="17">
                  <c:v>4.1485345294004663</c:v>
                </c:pt>
                <c:pt idx="18">
                  <c:v>4.1730472533587282</c:v>
                </c:pt>
                <c:pt idx="19">
                  <c:v>4.201449536233814</c:v>
                </c:pt>
                <c:pt idx="20">
                  <c:v>4.2337077715518063</c:v>
                </c:pt>
                <c:pt idx="21">
                  <c:v>4.162249395916362</c:v>
                </c:pt>
                <c:pt idx="22">
                  <c:v>4.2014132613530295</c:v>
                </c:pt>
                <c:pt idx="23">
                  <c:v>4.2442974547920143</c:v>
                </c:pt>
                <c:pt idx="24">
                  <c:v>4.2915496894766063</c:v>
                </c:pt>
                <c:pt idx="25">
                  <c:v>4.3431533291458377</c:v>
                </c:pt>
                <c:pt idx="26">
                  <c:v>4.3851074363110039</c:v>
                </c:pt>
                <c:pt idx="27">
                  <c:v>4.4864731126077659</c:v>
                </c:pt>
                <c:pt idx="28">
                  <c:v>4.5923570322036387</c:v>
                </c:pt>
                <c:pt idx="29">
                  <c:v>4.7034407070461821</c:v>
                </c:pt>
                <c:pt idx="30">
                  <c:v>4.8191831521470805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E2-480E-BE5B-27AB0A2DC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'B2 - TCO ML 28T'!$A$174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'B2 - TCO ML 28T'!$C$173:$AG$173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'B2 - TCO ML 28T'!$C$174:$AG$174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2.2082111753197422</c:v>
                      </c:pt>
                      <c:pt idx="1">
                        <c:v>2.3592132948322702</c:v>
                      </c:pt>
                      <c:pt idx="2">
                        <c:v>2.4167675967329036</c:v>
                      </c:pt>
                      <c:pt idx="3">
                        <c:v>2.4760325309872977</c:v>
                      </c:pt>
                      <c:pt idx="4">
                        <c:v>2.5370329612442069</c:v>
                      </c:pt>
                      <c:pt idx="5">
                        <c:v>2.6339522407442595</c:v>
                      </c:pt>
                      <c:pt idx="6">
                        <c:v>2.6995598026247367</c:v>
                      </c:pt>
                      <c:pt idx="7">
                        <c:v>2.7670420513580987</c:v>
                      </c:pt>
                      <c:pt idx="8">
                        <c:v>2.8364442522486661</c:v>
                      </c:pt>
                      <c:pt idx="9">
                        <c:v>2.9083271395162851</c:v>
                      </c:pt>
                      <c:pt idx="10">
                        <c:v>2.9822061925381598</c:v>
                      </c:pt>
                      <c:pt idx="11">
                        <c:v>3.0996036348971185</c:v>
                      </c:pt>
                      <c:pt idx="12">
                        <c:v>3.1793788579978983</c:v>
                      </c:pt>
                      <c:pt idx="13">
                        <c:v>3.2613176972243423</c:v>
                      </c:pt>
                      <c:pt idx="14">
                        <c:v>3.3460045153478286</c:v>
                      </c:pt>
                      <c:pt idx="15">
                        <c:v>3.4329522338859797</c:v>
                      </c:pt>
                      <c:pt idx="16">
                        <c:v>3.522747490624992</c:v>
                      </c:pt>
                      <c:pt idx="17">
                        <c:v>3.6154371953361681</c:v>
                      </c:pt>
                      <c:pt idx="18">
                        <c:v>3.7110787940141643</c:v>
                      </c:pt>
                      <c:pt idx="19">
                        <c:v>3.8097310187225095</c:v>
                      </c:pt>
                      <c:pt idx="20">
                        <c:v>3.9114446391144124</c:v>
                      </c:pt>
                      <c:pt idx="21">
                        <c:v>4.0720274641680447</c:v>
                      </c:pt>
                      <c:pt idx="22">
                        <c:v>4.1817312962948545</c:v>
                      </c:pt>
                      <c:pt idx="23">
                        <c:v>4.2947353236366146</c:v>
                      </c:pt>
                      <c:pt idx="24">
                        <c:v>4.4116385877801294</c:v>
                      </c:pt>
                      <c:pt idx="25">
                        <c:v>4.5319784565677965</c:v>
                      </c:pt>
                      <c:pt idx="26">
                        <c:v>4.6563572102004311</c:v>
                      </c:pt>
                      <c:pt idx="27">
                        <c:v>4.7843155726424742</c:v>
                      </c:pt>
                      <c:pt idx="28">
                        <c:v>4.9164693562900421</c:v>
                      </c:pt>
                      <c:pt idx="29">
                        <c:v>5.0528945219071062</c:v>
                      </c:pt>
                      <c:pt idx="30">
                        <c:v>5.1936689317747495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CED-4FAA-B783-CA8BDE7668D3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'B2 - TCO ML 28T'!$A$62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28T'!$E$63:$AG$63</c:f>
              <c:numCache>
                <c:formatCode>_ [$₹-4009]\ * #,##0_ ;_ [$₹-4009]\ * \-#,##0_ ;_ [$₹-4009]\ * "-"??_ ;_ @_ </c:formatCode>
                <c:ptCount val="29"/>
                <c:pt idx="0">
                  <c:v>3819200</c:v>
                </c:pt>
                <c:pt idx="1">
                  <c:v>3933800</c:v>
                </c:pt>
                <c:pt idx="2">
                  <c:v>4051800</c:v>
                </c:pt>
                <c:pt idx="3">
                  <c:v>4573400</c:v>
                </c:pt>
                <c:pt idx="4">
                  <c:v>4710600</c:v>
                </c:pt>
                <c:pt idx="5">
                  <c:v>4851900</c:v>
                </c:pt>
                <c:pt idx="6">
                  <c:v>4997500</c:v>
                </c:pt>
                <c:pt idx="7">
                  <c:v>5147400</c:v>
                </c:pt>
                <c:pt idx="8">
                  <c:v>5301800</c:v>
                </c:pt>
                <c:pt idx="9">
                  <c:v>5460900</c:v>
                </c:pt>
                <c:pt idx="10">
                  <c:v>5624700</c:v>
                </c:pt>
                <c:pt idx="11">
                  <c:v>5793400</c:v>
                </c:pt>
                <c:pt idx="12">
                  <c:v>5967200</c:v>
                </c:pt>
                <c:pt idx="13">
                  <c:v>6146200</c:v>
                </c:pt>
                <c:pt idx="14">
                  <c:v>6330600</c:v>
                </c:pt>
                <c:pt idx="15">
                  <c:v>6520500</c:v>
                </c:pt>
                <c:pt idx="16">
                  <c:v>6716100</c:v>
                </c:pt>
                <c:pt idx="17">
                  <c:v>6917600</c:v>
                </c:pt>
                <c:pt idx="18">
                  <c:v>7125100</c:v>
                </c:pt>
                <c:pt idx="19">
                  <c:v>7338900</c:v>
                </c:pt>
                <c:pt idx="20">
                  <c:v>7559100</c:v>
                </c:pt>
                <c:pt idx="21">
                  <c:v>7785900</c:v>
                </c:pt>
                <c:pt idx="22">
                  <c:v>8019500</c:v>
                </c:pt>
                <c:pt idx="23">
                  <c:v>8260100</c:v>
                </c:pt>
                <c:pt idx="24">
                  <c:v>8507900</c:v>
                </c:pt>
                <c:pt idx="25">
                  <c:v>8763100</c:v>
                </c:pt>
                <c:pt idx="26">
                  <c:v>9026000</c:v>
                </c:pt>
                <c:pt idx="27">
                  <c:v>9296800</c:v>
                </c:pt>
                <c:pt idx="28">
                  <c:v>9575700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CA63-4558-9BD5-19694B4A6A31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CA63-4558-9BD5-19694B4A6A31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CA63-4558-9BD5-19694B4A6A31}"/>
            </c:ext>
          </c:extLst>
        </c:ser>
        <c:ser>
          <c:idx val="3"/>
          <c:order val="3"/>
          <c:tx>
            <c:strRef>
              <c:f>'B2 - TCO ML 28T'!$A$130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28T'!$C$132:$AG$132</c:f>
              <c:numCache>
                <c:formatCode>_ [$₹-4009]\ * #,##0_ ;_ [$₹-4009]\ * \-#,##0_ ;_ [$₹-4009]\ * "-"??_ ;_ @_ </c:formatCode>
                <c:ptCount val="31"/>
                <c:pt idx="0">
                  <c:v>8763000</c:v>
                </c:pt>
                <c:pt idx="1">
                  <c:v>8718000</c:v>
                </c:pt>
                <c:pt idx="2">
                  <c:v>8680000</c:v>
                </c:pt>
                <c:pt idx="3">
                  <c:v>8470000</c:v>
                </c:pt>
                <c:pt idx="4">
                  <c:v>8275000</c:v>
                </c:pt>
                <c:pt idx="5">
                  <c:v>8295000</c:v>
                </c:pt>
                <c:pt idx="6">
                  <c:v>8150000</c:v>
                </c:pt>
                <c:pt idx="7">
                  <c:v>8190000</c:v>
                </c:pt>
                <c:pt idx="8">
                  <c:v>8235000</c:v>
                </c:pt>
                <c:pt idx="9">
                  <c:v>8286000</c:v>
                </c:pt>
                <c:pt idx="10">
                  <c:v>8343000</c:v>
                </c:pt>
                <c:pt idx="11">
                  <c:v>8407000</c:v>
                </c:pt>
                <c:pt idx="12">
                  <c:v>8476000</c:v>
                </c:pt>
                <c:pt idx="13">
                  <c:v>8552000</c:v>
                </c:pt>
                <c:pt idx="14">
                  <c:v>8635000</c:v>
                </c:pt>
                <c:pt idx="15">
                  <c:v>8724000</c:v>
                </c:pt>
                <c:pt idx="16">
                  <c:v>8740000</c:v>
                </c:pt>
                <c:pt idx="17">
                  <c:v>8903000</c:v>
                </c:pt>
                <c:pt idx="18">
                  <c:v>9072000</c:v>
                </c:pt>
                <c:pt idx="19">
                  <c:v>9247000</c:v>
                </c:pt>
                <c:pt idx="20">
                  <c:v>9427000</c:v>
                </c:pt>
                <c:pt idx="21">
                  <c:v>9614000</c:v>
                </c:pt>
                <c:pt idx="22">
                  <c:v>9807000</c:v>
                </c:pt>
                <c:pt idx="23">
                  <c:v>10007000</c:v>
                </c:pt>
                <c:pt idx="24">
                  <c:v>10214000</c:v>
                </c:pt>
                <c:pt idx="25">
                  <c:v>10427000</c:v>
                </c:pt>
                <c:pt idx="26">
                  <c:v>10688000</c:v>
                </c:pt>
                <c:pt idx="27">
                  <c:v>10956000</c:v>
                </c:pt>
                <c:pt idx="28">
                  <c:v>11232000</c:v>
                </c:pt>
                <c:pt idx="29">
                  <c:v>11516000</c:v>
                </c:pt>
                <c:pt idx="30">
                  <c:v>11807000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CA63-4558-9BD5-19694B4A6A31}"/>
            </c:ext>
          </c:extLst>
        </c:ser>
        <c:ser>
          <c:idx val="4"/>
          <c:order val="4"/>
          <c:tx>
            <c:strRef>
              <c:f>'B2 - TCO ML 28T'!$A$96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28T'!$C$98:$AG$98</c:f>
              <c:numCache>
                <c:formatCode>_ [$₹-4009]\ * #,##0_ ;_ [$₹-4009]\ * \-#,##0_ ;_ [$₹-4009]\ * "-"??_ ;_ @_ </c:formatCode>
                <c:ptCount val="31"/>
                <c:pt idx="0">
                  <c:v>4180000</c:v>
                </c:pt>
                <c:pt idx="1">
                  <c:v>4294000</c:v>
                </c:pt>
                <c:pt idx="2">
                  <c:v>4411000</c:v>
                </c:pt>
                <c:pt idx="3">
                  <c:v>4532000</c:v>
                </c:pt>
                <c:pt idx="4">
                  <c:v>4656000</c:v>
                </c:pt>
                <c:pt idx="5">
                  <c:v>5183000</c:v>
                </c:pt>
                <c:pt idx="6">
                  <c:v>5327000</c:v>
                </c:pt>
                <c:pt idx="7">
                  <c:v>5474000</c:v>
                </c:pt>
                <c:pt idx="8">
                  <c:v>5626000</c:v>
                </c:pt>
                <c:pt idx="9">
                  <c:v>5782000</c:v>
                </c:pt>
                <c:pt idx="10">
                  <c:v>5943000</c:v>
                </c:pt>
                <c:pt idx="11">
                  <c:v>6108000</c:v>
                </c:pt>
                <c:pt idx="12">
                  <c:v>6279000</c:v>
                </c:pt>
                <c:pt idx="13">
                  <c:v>6454000</c:v>
                </c:pt>
                <c:pt idx="14">
                  <c:v>6634000</c:v>
                </c:pt>
                <c:pt idx="15">
                  <c:v>6820000</c:v>
                </c:pt>
                <c:pt idx="16">
                  <c:v>7011000</c:v>
                </c:pt>
                <c:pt idx="17">
                  <c:v>7208000</c:v>
                </c:pt>
                <c:pt idx="18">
                  <c:v>7410000</c:v>
                </c:pt>
                <c:pt idx="19">
                  <c:v>7619000</c:v>
                </c:pt>
                <c:pt idx="20">
                  <c:v>7833000</c:v>
                </c:pt>
                <c:pt idx="21">
                  <c:v>8054000</c:v>
                </c:pt>
                <c:pt idx="22">
                  <c:v>8282000</c:v>
                </c:pt>
                <c:pt idx="23">
                  <c:v>8516000</c:v>
                </c:pt>
                <c:pt idx="24">
                  <c:v>8756000</c:v>
                </c:pt>
                <c:pt idx="25">
                  <c:v>9004000</c:v>
                </c:pt>
                <c:pt idx="26">
                  <c:v>9260000</c:v>
                </c:pt>
                <c:pt idx="27">
                  <c:v>9522000</c:v>
                </c:pt>
                <c:pt idx="28">
                  <c:v>9793000</c:v>
                </c:pt>
                <c:pt idx="29">
                  <c:v>10071000</c:v>
                </c:pt>
                <c:pt idx="30">
                  <c:v>10358000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CA63-4558-9BD5-19694B4A6A31}"/>
            </c:ext>
          </c:extLst>
        </c:ser>
        <c:ser>
          <c:idx val="5"/>
          <c:order val="5"/>
          <c:tx>
            <c:strRef>
              <c:f>'B2 - TCO ML 28T'!$A$113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28T'!$C$115:$AG$115</c:f>
              <c:numCache>
                <c:formatCode>_ [$₹-4009]\ * #,##0_ ;_ [$₹-4009]\ * \-#,##0_ ;_ [$₹-4009]\ * "-"??_ ;_ @_ </c:formatCode>
                <c:ptCount val="31"/>
                <c:pt idx="0">
                  <c:v>5179000</c:v>
                </c:pt>
                <c:pt idx="1">
                  <c:v>5208000</c:v>
                </c:pt>
                <c:pt idx="2">
                  <c:v>5244000</c:v>
                </c:pt>
                <c:pt idx="3">
                  <c:v>5288000</c:v>
                </c:pt>
                <c:pt idx="4">
                  <c:v>5338000</c:v>
                </c:pt>
                <c:pt idx="5">
                  <c:v>5795000</c:v>
                </c:pt>
                <c:pt idx="6">
                  <c:v>5884000</c:v>
                </c:pt>
                <c:pt idx="7">
                  <c:v>5978000</c:v>
                </c:pt>
                <c:pt idx="8">
                  <c:v>6079000</c:v>
                </c:pt>
                <c:pt idx="9">
                  <c:v>6185000</c:v>
                </c:pt>
                <c:pt idx="10">
                  <c:v>6298000</c:v>
                </c:pt>
                <c:pt idx="11">
                  <c:v>6417000</c:v>
                </c:pt>
                <c:pt idx="12">
                  <c:v>6543000</c:v>
                </c:pt>
                <c:pt idx="13">
                  <c:v>6675000</c:v>
                </c:pt>
                <c:pt idx="14">
                  <c:v>6813000</c:v>
                </c:pt>
                <c:pt idx="15">
                  <c:v>6959000</c:v>
                </c:pt>
                <c:pt idx="16">
                  <c:v>7151000</c:v>
                </c:pt>
                <c:pt idx="17">
                  <c:v>7349000</c:v>
                </c:pt>
                <c:pt idx="18">
                  <c:v>7553000</c:v>
                </c:pt>
                <c:pt idx="19">
                  <c:v>7763000</c:v>
                </c:pt>
                <c:pt idx="20">
                  <c:v>7979000</c:v>
                </c:pt>
                <c:pt idx="21">
                  <c:v>8201000</c:v>
                </c:pt>
                <c:pt idx="22">
                  <c:v>8430000</c:v>
                </c:pt>
                <c:pt idx="23">
                  <c:v>8666000</c:v>
                </c:pt>
                <c:pt idx="24">
                  <c:v>8908000</c:v>
                </c:pt>
                <c:pt idx="25">
                  <c:v>9157000</c:v>
                </c:pt>
                <c:pt idx="26">
                  <c:v>9414000</c:v>
                </c:pt>
                <c:pt idx="27">
                  <c:v>9679000</c:v>
                </c:pt>
                <c:pt idx="28">
                  <c:v>9951000</c:v>
                </c:pt>
                <c:pt idx="29">
                  <c:v>10231000</c:v>
                </c:pt>
                <c:pt idx="30">
                  <c:v>10519000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5-CA63-4558-9BD5-19694B4A6A31}"/>
            </c:ext>
          </c:extLst>
        </c:ser>
        <c:ser>
          <c:idx val="6"/>
          <c:order val="6"/>
          <c:tx>
            <c:strRef>
              <c:f>'B2 - TCO ML 28T'!$A$147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28T'!$C$149:$AG$149</c:f>
              <c:numCache>
                <c:formatCode>_ [$₹-4009]\ * #,##0_ ;_ [$₹-4009]\ * \-#,##0_ ;_ [$₹-4009]\ * "-"??_ ;_ @_ </c:formatCode>
                <c:ptCount val="31"/>
                <c:pt idx="0">
                  <c:v>11491000</c:v>
                </c:pt>
                <c:pt idx="1">
                  <c:v>11294000</c:v>
                </c:pt>
                <c:pt idx="2">
                  <c:v>11110000</c:v>
                </c:pt>
                <c:pt idx="3">
                  <c:v>10939000</c:v>
                </c:pt>
                <c:pt idx="4">
                  <c:v>10782000</c:v>
                </c:pt>
                <c:pt idx="5">
                  <c:v>10838000</c:v>
                </c:pt>
                <c:pt idx="6">
                  <c:v>10763000</c:v>
                </c:pt>
                <c:pt idx="7">
                  <c:v>10705000</c:v>
                </c:pt>
                <c:pt idx="8">
                  <c:v>10656000</c:v>
                </c:pt>
                <c:pt idx="9">
                  <c:v>10616000</c:v>
                </c:pt>
                <c:pt idx="10">
                  <c:v>10586000</c:v>
                </c:pt>
                <c:pt idx="11">
                  <c:v>10565000</c:v>
                </c:pt>
                <c:pt idx="12">
                  <c:v>10553000</c:v>
                </c:pt>
                <c:pt idx="13">
                  <c:v>10551000</c:v>
                </c:pt>
                <c:pt idx="14">
                  <c:v>10558000</c:v>
                </c:pt>
                <c:pt idx="15">
                  <c:v>10575000</c:v>
                </c:pt>
                <c:pt idx="16">
                  <c:v>10540000</c:v>
                </c:pt>
                <c:pt idx="17">
                  <c:v>10679000</c:v>
                </c:pt>
                <c:pt idx="18">
                  <c:v>10825000</c:v>
                </c:pt>
                <c:pt idx="19">
                  <c:v>10978000</c:v>
                </c:pt>
                <c:pt idx="20">
                  <c:v>11138000</c:v>
                </c:pt>
                <c:pt idx="21">
                  <c:v>11146000</c:v>
                </c:pt>
                <c:pt idx="22">
                  <c:v>11321000</c:v>
                </c:pt>
                <c:pt idx="23">
                  <c:v>11503000</c:v>
                </c:pt>
                <c:pt idx="24">
                  <c:v>11693000</c:v>
                </c:pt>
                <c:pt idx="25">
                  <c:v>11891000</c:v>
                </c:pt>
                <c:pt idx="26">
                  <c:v>12011000</c:v>
                </c:pt>
                <c:pt idx="27">
                  <c:v>12293000</c:v>
                </c:pt>
                <c:pt idx="28">
                  <c:v>12582000</c:v>
                </c:pt>
                <c:pt idx="29">
                  <c:v>12879000</c:v>
                </c:pt>
                <c:pt idx="30">
                  <c:v>13184000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6-CA63-4558-9BD5-19694B4A6A31}"/>
            </c:ext>
          </c:extLst>
        </c:ser>
        <c:ser>
          <c:idx val="7"/>
          <c:order val="7"/>
          <c:tx>
            <c:strRef>
              <c:f>'B2 - TCO ML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'B2 - TCO ML 28T'!$C$81:$AG$81</c:f>
              <c:numCache>
                <c:formatCode>_ [$₹-4009]\ * #,##0_ ;_ [$₹-4009]\ * \-#,##0_ ;_ [$₹-4009]\ * "-"??_ ;_ @_ </c:formatCode>
                <c:ptCount val="31"/>
                <c:pt idx="0">
                  <c:v>3850000</c:v>
                </c:pt>
                <c:pt idx="1">
                  <c:v>3966000</c:v>
                </c:pt>
                <c:pt idx="2">
                  <c:v>4084000</c:v>
                </c:pt>
                <c:pt idx="3">
                  <c:v>4207000</c:v>
                </c:pt>
                <c:pt idx="4">
                  <c:v>4333000</c:v>
                </c:pt>
                <c:pt idx="5">
                  <c:v>4863000</c:v>
                </c:pt>
                <c:pt idx="6">
                  <c:v>5009000</c:v>
                </c:pt>
                <c:pt idx="7">
                  <c:v>5159000</c:v>
                </c:pt>
                <c:pt idx="8">
                  <c:v>5314000</c:v>
                </c:pt>
                <c:pt idx="9">
                  <c:v>5474000</c:v>
                </c:pt>
                <c:pt idx="10">
                  <c:v>5638000</c:v>
                </c:pt>
                <c:pt idx="11">
                  <c:v>5807000</c:v>
                </c:pt>
                <c:pt idx="12">
                  <c:v>5981000</c:v>
                </c:pt>
                <c:pt idx="13">
                  <c:v>6161000</c:v>
                </c:pt>
                <c:pt idx="14">
                  <c:v>6345000</c:v>
                </c:pt>
                <c:pt idx="15">
                  <c:v>6536000</c:v>
                </c:pt>
                <c:pt idx="16">
                  <c:v>6732000</c:v>
                </c:pt>
                <c:pt idx="17">
                  <c:v>6934000</c:v>
                </c:pt>
                <c:pt idx="18">
                  <c:v>7142000</c:v>
                </c:pt>
                <c:pt idx="19">
                  <c:v>7356000</c:v>
                </c:pt>
                <c:pt idx="20">
                  <c:v>7577000</c:v>
                </c:pt>
                <c:pt idx="21">
                  <c:v>7804000</c:v>
                </c:pt>
                <c:pt idx="22">
                  <c:v>8038000</c:v>
                </c:pt>
                <c:pt idx="23">
                  <c:v>8279000</c:v>
                </c:pt>
                <c:pt idx="24">
                  <c:v>8528000</c:v>
                </c:pt>
                <c:pt idx="25">
                  <c:v>8783000</c:v>
                </c:pt>
                <c:pt idx="26">
                  <c:v>9047000</c:v>
                </c:pt>
                <c:pt idx="27">
                  <c:v>9318000</c:v>
                </c:pt>
                <c:pt idx="28">
                  <c:v>9598000</c:v>
                </c:pt>
                <c:pt idx="29">
                  <c:v>9886000</c:v>
                </c:pt>
                <c:pt idx="30">
                  <c:v>10182000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E-4B3E-8781-8CD6A645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'B3 - TCO ML 48T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'B3 - TCO ML 48T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'B3 - TCO ML 48T '!$C$165:$AB$165</c:f>
              <c:numCache>
                <c:formatCode>_ [$₹-4009]\ * #,##0.00_ ;_ [$₹-4009]\ * \-#,##0.00_ ;_ [$₹-4009]\ * "-"??_ ;_ @_ </c:formatCode>
                <c:ptCount val="26"/>
                <c:pt idx="0">
                  <c:v>61.165655464528228</c:v>
                </c:pt>
                <c:pt idx="1">
                  <c:v>65.529980878408239</c:v>
                </c:pt>
                <c:pt idx="2">
                  <c:v>67.132967092891704</c:v>
                </c:pt>
                <c:pt idx="3">
                  <c:v>68.780028809047153</c:v>
                </c:pt>
                <c:pt idx="4">
                  <c:v>70.481390446557626</c:v>
                </c:pt>
                <c:pt idx="5">
                  <c:v>72.849855319246345</c:v>
                </c:pt>
                <c:pt idx="6">
                  <c:v>74.672347090790169</c:v>
                </c:pt>
                <c:pt idx="7">
                  <c:v>76.54355846933737</c:v>
                </c:pt>
                <c:pt idx="8">
                  <c:v>78.473980655094024</c:v>
                </c:pt>
                <c:pt idx="9">
                  <c:v>80.455616738416268</c:v>
                </c:pt>
                <c:pt idx="10">
                  <c:v>82.499019825823495</c:v>
                </c:pt>
                <c:pt idx="11">
                  <c:v>85.52910451070386</c:v>
                </c:pt>
                <c:pt idx="12">
                  <c:v>87.727455935883526</c:v>
                </c:pt>
                <c:pt idx="13">
                  <c:v>89.992334472871491</c:v>
                </c:pt>
                <c:pt idx="14">
                  <c:v>92.325198148676733</c:v>
                </c:pt>
                <c:pt idx="15">
                  <c:v>94.727374085433709</c:v>
                </c:pt>
                <c:pt idx="16">
                  <c:v>97.200565346324751</c:v>
                </c:pt>
                <c:pt idx="17">
                  <c:v>99.755606120743238</c:v>
                </c:pt>
                <c:pt idx="18">
                  <c:v>102.3848539069856</c:v>
                </c:pt>
                <c:pt idx="19">
                  <c:v>105.09922807011539</c:v>
                </c:pt>
                <c:pt idx="20">
                  <c:v>107.89117438353266</c:v>
                </c:pt>
                <c:pt idx="21">
                  <c:v>112.01332722635949</c:v>
                </c:pt>
                <c:pt idx="22">
                  <c:v>115.02182508757701</c:v>
                </c:pt>
                <c:pt idx="23">
                  <c:v>118.12383532443795</c:v>
                </c:pt>
                <c:pt idx="24">
                  <c:v>121.32146787709151</c:v>
                </c:pt>
                <c:pt idx="25">
                  <c:v>124.62614571343606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B-4210-8956-26ABD36311F6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'B3 - TCO ML 48T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B-4210-8956-26ABD36311F6}"/>
            </c:ext>
          </c:extLst>
        </c:ser>
        <c:ser>
          <c:idx val="4"/>
          <c:order val="2"/>
          <c:tx>
            <c:strRef>
              <c:f>'B3 - TCO ML 48T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'B3 - TCO ML 48T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'B3 - TCO ML 48T '!$C$168:$AB$168</c:f>
              <c:numCache>
                <c:formatCode>_ [$₹-4009]\ * #,##0.00_ ;_ [$₹-4009]\ * \-#,##0.00_ ;_ [$₹-4009]\ * "-"??_ ;_ @_ </c:formatCode>
                <c:ptCount val="26"/>
                <c:pt idx="0">
                  <c:v>66.266420190547265</c:v>
                </c:pt>
                <c:pt idx="1">
                  <c:v>66.873977060592495</c:v>
                </c:pt>
                <c:pt idx="2">
                  <c:v>67.406393409746585</c:v>
                </c:pt>
                <c:pt idx="3">
                  <c:v>67.403483256738767</c:v>
                </c:pt>
                <c:pt idx="4">
                  <c:v>67.335845608004533</c:v>
                </c:pt>
                <c:pt idx="5">
                  <c:v>68.001497063457194</c:v>
                </c:pt>
                <c:pt idx="6">
                  <c:v>66.110348618550773</c:v>
                </c:pt>
                <c:pt idx="7">
                  <c:v>66.55669472582909</c:v>
                </c:pt>
                <c:pt idx="8">
                  <c:v>66.805114002898364</c:v>
                </c:pt>
                <c:pt idx="9">
                  <c:v>67.197617018761235</c:v>
                </c:pt>
                <c:pt idx="10">
                  <c:v>67.747583506872303</c:v>
                </c:pt>
                <c:pt idx="11">
                  <c:v>67.135743420101662</c:v>
                </c:pt>
                <c:pt idx="12">
                  <c:v>68.046409930242433</c:v>
                </c:pt>
                <c:pt idx="13">
                  <c:v>68.974329813081624</c:v>
                </c:pt>
                <c:pt idx="14">
                  <c:v>70.017966413048853</c:v>
                </c:pt>
                <c:pt idx="15">
                  <c:v>71.179571210208962</c:v>
                </c:pt>
                <c:pt idx="16">
                  <c:v>72.285693944809537</c:v>
                </c:pt>
                <c:pt idx="17">
                  <c:v>73.863531212489107</c:v>
                </c:pt>
                <c:pt idx="18">
                  <c:v>75.462709531918094</c:v>
                </c:pt>
                <c:pt idx="19">
                  <c:v>77.137081400625348</c:v>
                </c:pt>
                <c:pt idx="20">
                  <c:v>78.873993943205818</c:v>
                </c:pt>
                <c:pt idx="21">
                  <c:v>79.026071630598096</c:v>
                </c:pt>
                <c:pt idx="22">
                  <c:v>80.894326545557675</c:v>
                </c:pt>
                <c:pt idx="23">
                  <c:v>82.842377007279765</c:v>
                </c:pt>
                <c:pt idx="24">
                  <c:v>84.88040273561738</c:v>
                </c:pt>
                <c:pt idx="25">
                  <c:v>87.00234290380034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B-4210-8956-26ABD36311F6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A7B-4210-8956-26ABD36311F6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A7B-4210-8956-26ABD3631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'B3 - TCO ML 48T 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'B3 - TCO ML 48T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'B3 - TCO ML 48T '!$C$192:$AB$192</c:f>
              <c:numCache>
                <c:formatCode>0%</c:formatCode>
                <c:ptCount val="26"/>
                <c:pt idx="0">
                  <c:v>0.92302640294508242</c:v>
                </c:pt>
                <c:pt idx="1">
                  <c:v>0.97990255341077592</c:v>
                </c:pt>
                <c:pt idx="2">
                  <c:v>0.99594361449969904</c:v>
                </c:pt>
                <c:pt idx="3">
                  <c:v>1.0204224690742636</c:v>
                </c:pt>
                <c:pt idx="4">
                  <c:v>1.0467142694971838</c:v>
                </c:pt>
                <c:pt idx="5">
                  <c:v>1.0712978164475524</c:v>
                </c:pt>
                <c:pt idx="6">
                  <c:v>1.1295107143004366</c:v>
                </c:pt>
                <c:pt idx="7">
                  <c:v>1.1500504762841328</c:v>
                </c:pt>
                <c:pt idx="8">
                  <c:v>1.1746702602990753</c:v>
                </c:pt>
                <c:pt idx="9">
                  <c:v>1.1972986589085959</c:v>
                </c:pt>
                <c:pt idx="10">
                  <c:v>1.2177411437480248</c:v>
                </c:pt>
                <c:pt idx="11">
                  <c:v>1.2739727029684591</c:v>
                </c:pt>
                <c:pt idx="12">
                  <c:v>1.2892297481353838</c:v>
                </c:pt>
                <c:pt idx="13">
                  <c:v>1.3047221294755313</c:v>
                </c:pt>
                <c:pt idx="14">
                  <c:v>1.318592968039566</c:v>
                </c:pt>
                <c:pt idx="15">
                  <c:v>1.3308224884592645</c:v>
                </c:pt>
                <c:pt idx="16">
                  <c:v>1.3446722310024144</c:v>
                </c:pt>
                <c:pt idx="17">
                  <c:v>1.3505393593188544</c:v>
                </c:pt>
                <c:pt idx="18">
                  <c:v>1.3567609027301144</c:v>
                </c:pt>
                <c:pt idx="19">
                  <c:v>1.3624994122381113</c:v>
                </c:pt>
                <c:pt idx="20">
                  <c:v>1.3678928755810313</c:v>
                </c:pt>
                <c:pt idx="21">
                  <c:v>1.4174224393939008</c:v>
                </c:pt>
                <c:pt idx="22">
                  <c:v>1.4218775283678218</c:v>
                </c:pt>
                <c:pt idx="23">
                  <c:v>1.4258866004539903</c:v>
                </c:pt>
                <c:pt idx="24">
                  <c:v>1.4293224815977785</c:v>
                </c:pt>
                <c:pt idx="25">
                  <c:v>1.4324458578228965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9-4B5A-9478-065220EB5C96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'B3 - TCO ML 48T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9-4B5A-9478-065220EB5C96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F329-4B5A-9478-065220EB5C96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F329-4B5A-9478-065220EB5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'B3 - TCO ML 48T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'!$C$165:$AG$165</c:f>
              <c:numCache>
                <c:formatCode>_ [$₹-4009]\ * #,##0.00_ ;_ [$₹-4009]\ * \-#,##0.00_ ;_ [$₹-4009]\ * "-"??_ ;_ @_ </c:formatCode>
                <c:ptCount val="31"/>
                <c:pt idx="0">
                  <c:v>61.165655464528228</c:v>
                </c:pt>
                <c:pt idx="1">
                  <c:v>65.529980878408239</c:v>
                </c:pt>
                <c:pt idx="2">
                  <c:v>67.132967092891704</c:v>
                </c:pt>
                <c:pt idx="3">
                  <c:v>68.780028809047153</c:v>
                </c:pt>
                <c:pt idx="4">
                  <c:v>70.481390446557626</c:v>
                </c:pt>
                <c:pt idx="5">
                  <c:v>72.849855319246345</c:v>
                </c:pt>
                <c:pt idx="6">
                  <c:v>74.672347090790169</c:v>
                </c:pt>
                <c:pt idx="7">
                  <c:v>76.54355846933737</c:v>
                </c:pt>
                <c:pt idx="8">
                  <c:v>78.473980655094024</c:v>
                </c:pt>
                <c:pt idx="9">
                  <c:v>80.455616738416268</c:v>
                </c:pt>
                <c:pt idx="10">
                  <c:v>82.499019825823495</c:v>
                </c:pt>
                <c:pt idx="11">
                  <c:v>85.52910451070386</c:v>
                </c:pt>
                <c:pt idx="12">
                  <c:v>87.727455935883526</c:v>
                </c:pt>
                <c:pt idx="13">
                  <c:v>89.992334472871491</c:v>
                </c:pt>
                <c:pt idx="14">
                  <c:v>92.325198148676733</c:v>
                </c:pt>
                <c:pt idx="15">
                  <c:v>94.727374085433709</c:v>
                </c:pt>
                <c:pt idx="16">
                  <c:v>97.200565346324751</c:v>
                </c:pt>
                <c:pt idx="17">
                  <c:v>99.755606120743238</c:v>
                </c:pt>
                <c:pt idx="18">
                  <c:v>102.3848539069856</c:v>
                </c:pt>
                <c:pt idx="19">
                  <c:v>105.09922807011539</c:v>
                </c:pt>
                <c:pt idx="20">
                  <c:v>107.89117438353266</c:v>
                </c:pt>
                <c:pt idx="21">
                  <c:v>112.01332722635949</c:v>
                </c:pt>
                <c:pt idx="22">
                  <c:v>115.02182508757701</c:v>
                </c:pt>
                <c:pt idx="23">
                  <c:v>118.12383532443795</c:v>
                </c:pt>
                <c:pt idx="24">
                  <c:v>121.32146787709151</c:v>
                </c:pt>
                <c:pt idx="25">
                  <c:v>124.62614571343606</c:v>
                </c:pt>
                <c:pt idx="26">
                  <c:v>128.03064730432271</c:v>
                </c:pt>
                <c:pt idx="27">
                  <c:v>131.54650915740501</c:v>
                </c:pt>
                <c:pt idx="28">
                  <c:v>135.17606844632635</c:v>
                </c:pt>
                <c:pt idx="29">
                  <c:v>138.92172448124842</c:v>
                </c:pt>
                <c:pt idx="30">
                  <c:v>142.78594100484034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F-4636-8994-13D146C4C382}"/>
            </c:ext>
          </c:extLst>
        </c:ser>
        <c:ser>
          <c:idx val="4"/>
          <c:order val="1"/>
          <c:tx>
            <c:strRef>
              <c:f>'B3 - TCO ML 48T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6CF-4636-8994-13D146C4C382}"/>
              </c:ext>
            </c:extLst>
          </c:dPt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'!$C$168:$AG$168</c:f>
              <c:numCache>
                <c:formatCode>_ [$₹-4009]\ * #,##0.00_ ;_ [$₹-4009]\ * \-#,##0.00_ ;_ [$₹-4009]\ * "-"??_ ;_ @_ </c:formatCode>
                <c:ptCount val="31"/>
                <c:pt idx="0">
                  <c:v>66.266420190547265</c:v>
                </c:pt>
                <c:pt idx="1">
                  <c:v>66.873977060592495</c:v>
                </c:pt>
                <c:pt idx="2">
                  <c:v>67.406393409746585</c:v>
                </c:pt>
                <c:pt idx="3">
                  <c:v>67.403483256738767</c:v>
                </c:pt>
                <c:pt idx="4">
                  <c:v>67.335845608004533</c:v>
                </c:pt>
                <c:pt idx="5">
                  <c:v>68.001497063457194</c:v>
                </c:pt>
                <c:pt idx="6">
                  <c:v>66.110348618550773</c:v>
                </c:pt>
                <c:pt idx="7">
                  <c:v>66.55669472582909</c:v>
                </c:pt>
                <c:pt idx="8">
                  <c:v>66.805114002898364</c:v>
                </c:pt>
                <c:pt idx="9">
                  <c:v>67.197617018761235</c:v>
                </c:pt>
                <c:pt idx="10">
                  <c:v>67.747583506872303</c:v>
                </c:pt>
                <c:pt idx="11">
                  <c:v>67.135743420101662</c:v>
                </c:pt>
                <c:pt idx="12">
                  <c:v>68.046409930242433</c:v>
                </c:pt>
                <c:pt idx="13">
                  <c:v>68.974329813081624</c:v>
                </c:pt>
                <c:pt idx="14">
                  <c:v>70.017966413048853</c:v>
                </c:pt>
                <c:pt idx="15">
                  <c:v>71.179571210208962</c:v>
                </c:pt>
                <c:pt idx="16">
                  <c:v>72.285693944809537</c:v>
                </c:pt>
                <c:pt idx="17">
                  <c:v>73.863531212489107</c:v>
                </c:pt>
                <c:pt idx="18">
                  <c:v>75.462709531918094</c:v>
                </c:pt>
                <c:pt idx="19">
                  <c:v>77.137081400625348</c:v>
                </c:pt>
                <c:pt idx="20">
                  <c:v>78.873993943205818</c:v>
                </c:pt>
                <c:pt idx="21">
                  <c:v>79.026071630598096</c:v>
                </c:pt>
                <c:pt idx="22">
                  <c:v>80.894326545557675</c:v>
                </c:pt>
                <c:pt idx="23">
                  <c:v>82.842377007279765</c:v>
                </c:pt>
                <c:pt idx="24">
                  <c:v>84.88040273561738</c:v>
                </c:pt>
                <c:pt idx="25">
                  <c:v>87.00234290380034</c:v>
                </c:pt>
                <c:pt idx="26">
                  <c:v>89.601335265351651</c:v>
                </c:pt>
                <c:pt idx="27">
                  <c:v>92.360990233949778</c:v>
                </c:pt>
                <c:pt idx="28">
                  <c:v>95.219215304643441</c:v>
                </c:pt>
                <c:pt idx="29">
                  <c:v>98.193730400509253</c:v>
                </c:pt>
                <c:pt idx="30">
                  <c:v>101.27897059263022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F-4636-8994-13D146C4C382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6CF-4636-8994-13D146C4C382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56CF-4636-8994-13D146C4C382}"/>
            </c:ext>
          </c:extLst>
        </c:ser>
        <c:ser>
          <c:idx val="2"/>
          <c:order val="5"/>
          <c:tx>
            <c:strRef>
              <c:f>'B3 - TCO ML 48T 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'!$C$169:$AG$169</c:f>
              <c:numCache>
                <c:formatCode>_ [$₹-4009]\ * #,##0.00_ ;_ [$₹-4009]\ * \-#,##0.00_ ;_ [$₹-4009]\ * "-"??_ ;_ @_ </c:formatCode>
                <c:ptCount val="31"/>
                <c:pt idx="0">
                  <c:v>117.92751840613673</c:v>
                </c:pt>
                <c:pt idx="1">
                  <c:v>117.94627264003815</c:v>
                </c:pt>
                <c:pt idx="2">
                  <c:v>118.0807412364238</c:v>
                </c:pt>
                <c:pt idx="3">
                  <c:v>118.33169427974849</c:v>
                </c:pt>
                <c:pt idx="4">
                  <c:v>118.70341623316641</c:v>
                </c:pt>
                <c:pt idx="5">
                  <c:v>119.96937403370733</c:v>
                </c:pt>
                <c:pt idx="6">
                  <c:v>116.26894530305042</c:v>
                </c:pt>
                <c:pt idx="7">
                  <c:v>114.86251190035586</c:v>
                </c:pt>
                <c:pt idx="8">
                  <c:v>113.58902796835422</c:v>
                </c:pt>
                <c:pt idx="9">
                  <c:v>112.43676680884407</c:v>
                </c:pt>
                <c:pt idx="10">
                  <c:v>111.41462669556873</c:v>
                </c:pt>
                <c:pt idx="11">
                  <c:v>109.47018484978196</c:v>
                </c:pt>
                <c:pt idx="12">
                  <c:v>108.67739146909202</c:v>
                </c:pt>
                <c:pt idx="13">
                  <c:v>108.00762578845327</c:v>
                </c:pt>
                <c:pt idx="14">
                  <c:v>107.45916123020162</c:v>
                </c:pt>
                <c:pt idx="15">
                  <c:v>107.03040767801676</c:v>
                </c:pt>
                <c:pt idx="16">
                  <c:v>104.40767665952593</c:v>
                </c:pt>
                <c:pt idx="17">
                  <c:v>104.64305171210457</c:v>
                </c:pt>
                <c:pt idx="18">
                  <c:v>104.98870844038743</c:v>
                </c:pt>
                <c:pt idx="19">
                  <c:v>105.45085230018687</c:v>
                </c:pt>
                <c:pt idx="20">
                  <c:v>106.02094788985534</c:v>
                </c:pt>
                <c:pt idx="21">
                  <c:v>106.02952311495417</c:v>
                </c:pt>
                <c:pt idx="22">
                  <c:v>106.81213675000902</c:v>
                </c:pt>
                <c:pt idx="23">
                  <c:v>107.71072989500573</c:v>
                </c:pt>
                <c:pt idx="24">
                  <c:v>108.72299981439402</c:v>
                </c:pt>
                <c:pt idx="25">
                  <c:v>109.86128542272503</c:v>
                </c:pt>
                <c:pt idx="26">
                  <c:v>110.83813850404954</c:v>
                </c:pt>
                <c:pt idx="27">
                  <c:v>113.3699462426077</c:v>
                </c:pt>
                <c:pt idx="28">
                  <c:v>116.03875899519663</c:v>
                </c:pt>
                <c:pt idx="29">
                  <c:v>118.84707284651093</c:v>
                </c:pt>
                <c:pt idx="30">
                  <c:v>121.79400948439472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CF-4636-8994-13D146C4C382}"/>
            </c:ext>
          </c:extLst>
        </c:ser>
        <c:ser>
          <c:idx val="6"/>
          <c:order val="6"/>
          <c:tx>
            <c:strRef>
              <c:f>'B3 - TCO ML 48T 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'!$C$170:$AG$170</c:f>
              <c:numCache>
                <c:formatCode>_ [$₹-4009]\ * #,##0.00_ ;_ [$₹-4009]\ * \-#,##0.00_ ;_ [$₹-4009]\ * "-"??_ ;_ @_ </c:formatCode>
                <c:ptCount val="31"/>
                <c:pt idx="0">
                  <c:v>121.54816827428125</c:v>
                </c:pt>
                <c:pt idx="1">
                  <c:v>120.94591547846643</c:v>
                </c:pt>
                <c:pt idx="2">
                  <c:v>120.46188324507619</c:v>
                </c:pt>
                <c:pt idx="3">
                  <c:v>120.09514036460308</c:v>
                </c:pt>
                <c:pt idx="4">
                  <c:v>119.85409597427461</c:v>
                </c:pt>
                <c:pt idx="5">
                  <c:v>120.15615563611418</c:v>
                </c:pt>
                <c:pt idx="6">
                  <c:v>117.05125100686008</c:v>
                </c:pt>
                <c:pt idx="7">
                  <c:v>115.70845080002849</c:v>
                </c:pt>
                <c:pt idx="8">
                  <c:v>114.48149476222832</c:v>
                </c:pt>
                <c:pt idx="9">
                  <c:v>113.37565129957821</c:v>
                </c:pt>
                <c:pt idx="10">
                  <c:v>112.38919758423806</c:v>
                </c:pt>
                <c:pt idx="11">
                  <c:v>109.69225206711994</c:v>
                </c:pt>
                <c:pt idx="12">
                  <c:v>108.94225365672897</c:v>
                </c:pt>
                <c:pt idx="13">
                  <c:v>108.30759200362012</c:v>
                </c:pt>
                <c:pt idx="14">
                  <c:v>107.79222032754214</c:v>
                </c:pt>
                <c:pt idx="15">
                  <c:v>107.38974092406343</c:v>
                </c:pt>
                <c:pt idx="16">
                  <c:v>105.14302106828964</c:v>
                </c:pt>
                <c:pt idx="17">
                  <c:v>105.51709800475197</c:v>
                </c:pt>
                <c:pt idx="18">
                  <c:v>105.99516094451846</c:v>
                </c:pt>
                <c:pt idx="19">
                  <c:v>106.57835814943324</c:v>
                </c:pt>
                <c:pt idx="20">
                  <c:v>107.25667289483245</c:v>
                </c:pt>
                <c:pt idx="21">
                  <c:v>105.70088589724884</c:v>
                </c:pt>
                <c:pt idx="22">
                  <c:v>106.57297645489567</c:v>
                </c:pt>
                <c:pt idx="23">
                  <c:v>107.54661697145777</c:v>
                </c:pt>
                <c:pt idx="24">
                  <c:v>108.63260995239261</c:v>
                </c:pt>
                <c:pt idx="25">
                  <c:v>109.82333926319696</c:v>
                </c:pt>
                <c:pt idx="26">
                  <c:v>110.78159604535561</c:v>
                </c:pt>
                <c:pt idx="27">
                  <c:v>113.31311874448683</c:v>
                </c:pt>
                <c:pt idx="28">
                  <c:v>115.96713522418091</c:v>
                </c:pt>
                <c:pt idx="29">
                  <c:v>118.74979359829702</c:v>
                </c:pt>
                <c:pt idx="30">
                  <c:v>121.65823980935129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CF-4636-8994-13D146C4C382}"/>
            </c:ext>
          </c:extLst>
        </c:ser>
        <c:ser>
          <c:idx val="7"/>
          <c:order val="7"/>
          <c:tx>
            <c:strRef>
              <c:f>'B3 - TCO ML 48T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'!$C$167:$AG$167</c:f>
              <c:numCache>
                <c:formatCode>_ [$₹-4009]\ * #,##0.00_ ;_ [$₹-4009]\ * \-#,##0.00_ ;_ [$₹-4009]\ * "-"??_ ;_ @_ </c:formatCode>
                <c:ptCount val="31"/>
                <c:pt idx="0">
                  <c:v>58.969565501210852</c:v>
                </c:pt>
                <c:pt idx="1">
                  <c:v>60.875531308409961</c:v>
                </c:pt>
                <c:pt idx="2">
                  <c:v>62.671251634928183</c:v>
                </c:pt>
                <c:pt idx="3">
                  <c:v>64.524679095780456</c:v>
                </c:pt>
                <c:pt idx="4">
                  <c:v>66.44478301721108</c:v>
                </c:pt>
                <c:pt idx="5">
                  <c:v>69.072822985539773</c:v>
                </c:pt>
                <c:pt idx="6">
                  <c:v>71.142233951158545</c:v>
                </c:pt>
                <c:pt idx="7">
                  <c:v>73.27656358854891</c:v>
                </c:pt>
                <c:pt idx="8">
                  <c:v>75.484971444307746</c:v>
                </c:pt>
                <c:pt idx="9">
                  <c:v>77.76138794542652</c:v>
                </c:pt>
                <c:pt idx="10">
                  <c:v>80.116696797857912</c:v>
                </c:pt>
                <c:pt idx="11">
                  <c:v>83.561969429113304</c:v>
                </c:pt>
                <c:pt idx="12">
                  <c:v>86.108731476230673</c:v>
                </c:pt>
                <c:pt idx="13">
                  <c:v>88.740393364067899</c:v>
                </c:pt>
                <c:pt idx="14">
                  <c:v>91.460564320553686</c:v>
                </c:pt>
                <c:pt idx="15">
                  <c:v>94.27116610583758</c:v>
                </c:pt>
                <c:pt idx="16">
                  <c:v>97.172435242114915</c:v>
                </c:pt>
                <c:pt idx="17">
                  <c:v>100.17918894310127</c:v>
                </c:pt>
                <c:pt idx="18">
                  <c:v>103.28254318770946</c:v>
                </c:pt>
                <c:pt idx="19">
                  <c:v>106.49570768589197</c:v>
                </c:pt>
                <c:pt idx="20">
                  <c:v>109.80994704794618</c:v>
                </c:pt>
                <c:pt idx="21">
                  <c:v>114.57648704243877</c:v>
                </c:pt>
                <c:pt idx="22">
                  <c:v>118.1601327355659</c:v>
                </c:pt>
                <c:pt idx="23">
                  <c:v>121.86799411892871</c:v>
                </c:pt>
                <c:pt idx="24">
                  <c:v>125.69890938107386</c:v>
                </c:pt>
                <c:pt idx="25">
                  <c:v>129.66671595036306</c:v>
                </c:pt>
                <c:pt idx="26">
                  <c:v>133.76494242875972</c:v>
                </c:pt>
                <c:pt idx="27">
                  <c:v>138.00761564639987</c:v>
                </c:pt>
                <c:pt idx="28">
                  <c:v>142.39771955871657</c:v>
                </c:pt>
                <c:pt idx="29">
                  <c:v>146.93834139927728</c:v>
                </c:pt>
                <c:pt idx="30">
                  <c:v>151.63267533543168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6CF-4636-8994-13D146C4C382}"/>
            </c:ext>
          </c:extLst>
        </c:ser>
        <c:ser>
          <c:idx val="8"/>
          <c:order val="8"/>
          <c:tx>
            <c:strRef>
              <c:f>'B3 - TCO ML 48T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'!$C$166:$AG$166</c:f>
              <c:numCache>
                <c:formatCode>_ [$₹-4009]\ * #,##0.00_ ;_ [$₹-4009]\ * \-#,##0.00_ ;_ [$₹-4009]\ * "-"??_ ;_ @_ </c:formatCode>
                <c:ptCount val="31"/>
                <c:pt idx="0">
                  <c:v>58.833206008639664</c:v>
                </c:pt>
                <c:pt idx="1">
                  <c:v>61.194022349094496</c:v>
                </c:pt>
                <c:pt idx="2">
                  <c:v>63.016845361595422</c:v>
                </c:pt>
                <c:pt idx="3">
                  <c:v>64.899758839574375</c:v>
                </c:pt>
                <c:pt idx="4">
                  <c:v>66.850136229744606</c:v>
                </c:pt>
                <c:pt idx="5">
                  <c:v>69.509260741974188</c:v>
                </c:pt>
                <c:pt idx="6">
                  <c:v>71.613829288939883</c:v>
                </c:pt>
                <c:pt idx="7">
                  <c:v>73.78093934728588</c:v>
                </c:pt>
                <c:pt idx="8">
                  <c:v>76.026251537758029</c:v>
                </c:pt>
                <c:pt idx="9">
                  <c:v>78.338866430814775</c:v>
                </c:pt>
                <c:pt idx="10">
                  <c:v>80.731313933590926</c:v>
                </c:pt>
                <c:pt idx="11">
                  <c:v>84.176497681550231</c:v>
                </c:pt>
                <c:pt idx="12">
                  <c:v>86.762761190711913</c:v>
                </c:pt>
                <c:pt idx="13">
                  <c:v>89.438454166636063</c:v>
                </c:pt>
                <c:pt idx="14">
                  <c:v>92.201963390182016</c:v>
                </c:pt>
                <c:pt idx="15">
                  <c:v>95.058744549867484</c:v>
                </c:pt>
                <c:pt idx="16">
                  <c:v>98.007315778256341</c:v>
                </c:pt>
                <c:pt idx="17">
                  <c:v>101.06252797059545</c:v>
                </c:pt>
                <c:pt idx="18">
                  <c:v>104.21553179777493</c:v>
                </c:pt>
                <c:pt idx="19">
                  <c:v>107.481323792631</c:v>
                </c:pt>
                <c:pt idx="20">
                  <c:v>110.84945428003243</c:v>
                </c:pt>
                <c:pt idx="21">
                  <c:v>115.63798587920517</c:v>
                </c:pt>
                <c:pt idx="22">
                  <c:v>119.28272520022605</c:v>
                </c:pt>
                <c:pt idx="23">
                  <c:v>123.04929428209338</c:v>
                </c:pt>
                <c:pt idx="24">
                  <c:v>126.94410619850684</c:v>
                </c:pt>
                <c:pt idx="25">
                  <c:v>130.97727431402535</c:v>
                </c:pt>
                <c:pt idx="26">
                  <c:v>135.14237117737116</c:v>
                </c:pt>
                <c:pt idx="27">
                  <c:v>139.45535224912132</c:v>
                </c:pt>
                <c:pt idx="28">
                  <c:v>143.91736474254586</c:v>
                </c:pt>
                <c:pt idx="29">
                  <c:v>148.53154391302215</c:v>
                </c:pt>
                <c:pt idx="30">
                  <c:v>153.30301675564368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CF-4636-8994-13D146C4C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'B3 - TCO ML 48T 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'B3 - TCO ML 48T 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'B3 - TCO ML 48T 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55.04908991807541</c:v>
                      </c:pt>
                      <c:pt idx="1">
                        <c:v>58.976982790567419</c:v>
                      </c:pt>
                      <c:pt idx="2">
                        <c:v>60.419670383602536</c:v>
                      </c:pt>
                      <c:pt idx="3">
                        <c:v>61.902025928142436</c:v>
                      </c:pt>
                      <c:pt idx="4">
                        <c:v>63.433251401901863</c:v>
                      </c:pt>
                      <c:pt idx="5">
                        <c:v>65.564869787321712</c:v>
                      </c:pt>
                      <c:pt idx="6">
                        <c:v>67.20511238171116</c:v>
                      </c:pt>
                      <c:pt idx="7">
                        <c:v>68.88920262240363</c:v>
                      </c:pt>
                      <c:pt idx="8">
                        <c:v>70.626582589584629</c:v>
                      </c:pt>
                      <c:pt idx="9">
                        <c:v>72.410055064574649</c:v>
                      </c:pt>
                      <c:pt idx="10">
                        <c:v>74.249117843241152</c:v>
                      </c:pt>
                      <c:pt idx="11">
                        <c:v>76.976194059633471</c:v>
                      </c:pt>
                      <c:pt idx="12">
                        <c:v>78.954710342295172</c:v>
                      </c:pt>
                      <c:pt idx="13">
                        <c:v>80.993101025584338</c:v>
                      </c:pt>
                      <c:pt idx="14">
                        <c:v>83.092678333809062</c:v>
                      </c:pt>
                      <c:pt idx="15">
                        <c:v>85.254636676890343</c:v>
                      </c:pt>
                      <c:pt idx="16">
                        <c:v>87.480508811692275</c:v>
                      </c:pt>
                      <c:pt idx="17">
                        <c:v>89.78004550866892</c:v>
                      </c:pt>
                      <c:pt idx="18">
                        <c:v>92.146368516287041</c:v>
                      </c:pt>
                      <c:pt idx="19">
                        <c:v>94.589305263103853</c:v>
                      </c:pt>
                      <c:pt idx="20">
                        <c:v>97.102056945179399</c:v>
                      </c:pt>
                      <c:pt idx="21">
                        <c:v>100.81199450372354</c:v>
                      </c:pt>
                      <c:pt idx="22">
                        <c:v>103.51964257881932</c:v>
                      </c:pt>
                      <c:pt idx="23">
                        <c:v>106.31145179199416</c:v>
                      </c:pt>
                      <c:pt idx="24">
                        <c:v>109.18932108938236</c:v>
                      </c:pt>
                      <c:pt idx="25">
                        <c:v>112.16353114209245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56CF-4636-8994-13D146C4C382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'B3 - TCO ML 48T 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'!$C$174:$AG$174</c:f>
              <c:numCache>
                <c:formatCode>_ [$₹-4009]\ * #,##0.00_ ;_ [$₹-4009]\ * \-#,##0.00_ ;_ [$₹-4009]\ * "-"??_ ;_ @_ </c:formatCode>
                <c:ptCount val="31"/>
                <c:pt idx="0">
                  <c:v>1.7475901561293778</c:v>
                </c:pt>
                <c:pt idx="1">
                  <c:v>1.8722851679545212</c:v>
                </c:pt>
                <c:pt idx="2">
                  <c:v>1.9180847740826201</c:v>
                </c:pt>
                <c:pt idx="3">
                  <c:v>1.9651436802584901</c:v>
                </c:pt>
                <c:pt idx="4">
                  <c:v>2.0137540127587892</c:v>
                </c:pt>
                <c:pt idx="5">
                  <c:v>2.0814244376927529</c:v>
                </c:pt>
                <c:pt idx="6">
                  <c:v>2.1334956311654332</c:v>
                </c:pt>
                <c:pt idx="7">
                  <c:v>2.1869588134096394</c:v>
                </c:pt>
                <c:pt idx="8">
                  <c:v>2.2421137330026863</c:v>
                </c:pt>
                <c:pt idx="9">
                  <c:v>2.2987319068118932</c:v>
                </c:pt>
                <c:pt idx="10">
                  <c:v>2.3571148521663856</c:v>
                </c:pt>
                <c:pt idx="11">
                  <c:v>2.4436887003058243</c:v>
                </c:pt>
                <c:pt idx="12">
                  <c:v>2.5064987410252435</c:v>
                </c:pt>
                <c:pt idx="13">
                  <c:v>2.5712095563677573</c:v>
                </c:pt>
                <c:pt idx="14">
                  <c:v>2.6378628042479066</c:v>
                </c:pt>
                <c:pt idx="15">
                  <c:v>2.7064964024409628</c:v>
                </c:pt>
                <c:pt idx="16">
                  <c:v>2.777159009894993</c:v>
                </c:pt>
                <c:pt idx="17">
                  <c:v>2.8501601748783782</c:v>
                </c:pt>
                <c:pt idx="18">
                  <c:v>2.9252815401995886</c:v>
                </c:pt>
                <c:pt idx="19">
                  <c:v>3.0028350877175827</c:v>
                </c:pt>
                <c:pt idx="20">
                  <c:v>3.0826049823866475</c:v>
                </c:pt>
                <c:pt idx="21">
                  <c:v>3.2003807778959854</c:v>
                </c:pt>
                <c:pt idx="22">
                  <c:v>3.2863378596450579</c:v>
                </c:pt>
                <c:pt idx="23">
                  <c:v>3.37496672355537</c:v>
                </c:pt>
                <c:pt idx="24">
                  <c:v>3.4663276536311862</c:v>
                </c:pt>
                <c:pt idx="25">
                  <c:v>3.5607470203838871</c:v>
                </c:pt>
                <c:pt idx="26">
                  <c:v>3.6580184944092204</c:v>
                </c:pt>
                <c:pt idx="27">
                  <c:v>3.7584716902115716</c:v>
                </c:pt>
                <c:pt idx="28">
                  <c:v>3.8621733841807533</c:v>
                </c:pt>
                <c:pt idx="29">
                  <c:v>3.9691921280356688</c:v>
                </c:pt>
                <c:pt idx="30">
                  <c:v>4.0795983144240093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B-433F-84EA-B8BD40C0FAB7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E92B-433F-84EA-B8BD40C0FAB7}"/>
            </c:ext>
          </c:extLst>
        </c:ser>
        <c:ser>
          <c:idx val="3"/>
          <c:order val="2"/>
          <c:tx>
            <c:strRef>
              <c:f>'B3 - TCO ML 48T 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'!$C$177:$AG$177</c:f>
              <c:numCache>
                <c:formatCode>_ [$₹-4009]\ * #,##0.00_ ;_ [$₹-4009]\ * \-#,##0.00_ ;_ [$₹-4009]\ * "-"??_ ;_ @_ </c:formatCode>
                <c:ptCount val="31"/>
                <c:pt idx="0">
                  <c:v>2.0579633599548841</c:v>
                </c:pt>
                <c:pt idx="1">
                  <c:v>2.0768315857326862</c:v>
                </c:pt>
                <c:pt idx="2">
                  <c:v>2.0933662549610741</c:v>
                </c:pt>
                <c:pt idx="3">
                  <c:v>2.093275877538471</c:v>
                </c:pt>
                <c:pt idx="4">
                  <c:v>2.0911753294411346</c:v>
                </c:pt>
                <c:pt idx="5">
                  <c:v>2.1118477348899747</c:v>
                </c:pt>
                <c:pt idx="6">
                  <c:v>2.0531164167251794</c:v>
                </c:pt>
                <c:pt idx="7">
                  <c:v>2.0669780970754377</c:v>
                </c:pt>
                <c:pt idx="8">
                  <c:v>2.0746929814564705</c:v>
                </c:pt>
                <c:pt idx="9">
                  <c:v>2.0868825161105975</c:v>
                </c:pt>
                <c:pt idx="10">
                  <c:v>2.1039622207103199</c:v>
                </c:pt>
                <c:pt idx="11">
                  <c:v>2.0849609757795546</c:v>
                </c:pt>
                <c:pt idx="12">
                  <c:v>2.1132425444174667</c:v>
                </c:pt>
                <c:pt idx="13">
                  <c:v>2.1420599320832805</c:v>
                </c:pt>
                <c:pt idx="14">
                  <c:v>2.1744710066164239</c:v>
                </c:pt>
                <c:pt idx="15">
                  <c:v>2.2105456897580424</c:v>
                </c:pt>
                <c:pt idx="16">
                  <c:v>2.2448973274785571</c:v>
                </c:pt>
                <c:pt idx="17">
                  <c:v>2.29389848485991</c:v>
                </c:pt>
                <c:pt idx="18">
                  <c:v>2.3435624078235433</c:v>
                </c:pt>
                <c:pt idx="19">
                  <c:v>2.3955615341809113</c:v>
                </c:pt>
                <c:pt idx="20">
                  <c:v>2.4495029174908636</c:v>
                </c:pt>
                <c:pt idx="21">
                  <c:v>2.4542258270372077</c:v>
                </c:pt>
                <c:pt idx="22">
                  <c:v>2.5122461660111077</c:v>
                </c:pt>
                <c:pt idx="23">
                  <c:v>2.5727446275552723</c:v>
                </c:pt>
                <c:pt idx="24">
                  <c:v>2.6360373520378069</c:v>
                </c:pt>
                <c:pt idx="25">
                  <c:v>2.7019361150248553</c:v>
                </c:pt>
                <c:pt idx="26">
                  <c:v>2.7826501635202376</c:v>
                </c:pt>
                <c:pt idx="27">
                  <c:v>2.8683537339735956</c:v>
                </c:pt>
                <c:pt idx="28">
                  <c:v>2.9571184877218459</c:v>
                </c:pt>
                <c:pt idx="29">
                  <c:v>3.0494947329350701</c:v>
                </c:pt>
                <c:pt idx="30">
                  <c:v>3.1453096457338576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2B-433F-84EA-B8BD40C0FAB7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92B-433F-84EA-B8BD40C0FAB7}"/>
            </c:ext>
          </c:extLst>
        </c:ser>
        <c:ser>
          <c:idx val="2"/>
          <c:order val="5"/>
          <c:tx>
            <c:strRef>
              <c:f>'B3 - TCO ML 48T 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'!$C$175:$AG$175</c:f>
              <c:numCache>
                <c:formatCode>_ [$₹-4009]\ * #,##0.00_ ;_ [$₹-4009]\ * \-#,##0.00_ ;_ [$₹-4009]\ * "-"??_ ;_ @_ </c:formatCode>
                <c:ptCount val="31"/>
                <c:pt idx="0">
                  <c:v>3.3693576687467637</c:v>
                </c:pt>
                <c:pt idx="1">
                  <c:v>3.3698935040010896</c:v>
                </c:pt>
                <c:pt idx="2">
                  <c:v>3.3737354638978232</c:v>
                </c:pt>
                <c:pt idx="3">
                  <c:v>3.380905550849957</c:v>
                </c:pt>
                <c:pt idx="4">
                  <c:v>3.3915261780904689</c:v>
                </c:pt>
                <c:pt idx="5">
                  <c:v>3.4276964009630668</c:v>
                </c:pt>
                <c:pt idx="6">
                  <c:v>3.32196986580144</c:v>
                </c:pt>
                <c:pt idx="7">
                  <c:v>3.2817860542958819</c:v>
                </c:pt>
                <c:pt idx="8">
                  <c:v>3.2454007990958349</c:v>
                </c:pt>
                <c:pt idx="9">
                  <c:v>3.2124790516812589</c:v>
                </c:pt>
                <c:pt idx="10">
                  <c:v>3.1832750484448207</c:v>
                </c:pt>
                <c:pt idx="11">
                  <c:v>3.1277195671366274</c:v>
                </c:pt>
                <c:pt idx="12">
                  <c:v>3.1050683276883433</c:v>
                </c:pt>
                <c:pt idx="13">
                  <c:v>3.0859321653843788</c:v>
                </c:pt>
                <c:pt idx="14">
                  <c:v>3.0702617494343318</c:v>
                </c:pt>
                <c:pt idx="15">
                  <c:v>3.0580116479433359</c:v>
                </c:pt>
                <c:pt idx="16">
                  <c:v>2.9830764759864552</c:v>
                </c:pt>
                <c:pt idx="17">
                  <c:v>2.9898014774887018</c:v>
                </c:pt>
                <c:pt idx="18">
                  <c:v>2.9996773840110698</c:v>
                </c:pt>
                <c:pt idx="19">
                  <c:v>3.0128814942910531</c:v>
                </c:pt>
                <c:pt idx="20">
                  <c:v>3.0291699397101524</c:v>
                </c:pt>
                <c:pt idx="21">
                  <c:v>3.0294149461415478</c:v>
                </c:pt>
                <c:pt idx="22">
                  <c:v>3.0517753357145434</c:v>
                </c:pt>
                <c:pt idx="23">
                  <c:v>3.0774494255715923</c:v>
                </c:pt>
                <c:pt idx="24">
                  <c:v>3.1063714232684005</c:v>
                </c:pt>
                <c:pt idx="25">
                  <c:v>3.1388938692207153</c:v>
                </c:pt>
                <c:pt idx="26">
                  <c:v>3.166803957258558</c:v>
                </c:pt>
                <c:pt idx="27">
                  <c:v>3.2391413212173625</c:v>
                </c:pt>
                <c:pt idx="28">
                  <c:v>3.3153931141484754</c:v>
                </c:pt>
                <c:pt idx="29">
                  <c:v>3.3956306527574549</c:v>
                </c:pt>
                <c:pt idx="30">
                  <c:v>3.479828842411278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2B-433F-84EA-B8BD40C0FAB7}"/>
            </c:ext>
          </c:extLst>
        </c:ser>
        <c:ser>
          <c:idx val="6"/>
          <c:order val="6"/>
          <c:tx>
            <c:strRef>
              <c:f>'B3 - TCO ML 48T 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'!$C$176:$AG$176</c:f>
              <c:numCache>
                <c:formatCode>_ [$₹-4009]\ * #,##0.00_ ;_ [$₹-4009]\ * \-#,##0.00_ ;_ [$₹-4009]\ * "-"??_ ;_ @_ </c:formatCode>
                <c:ptCount val="31"/>
                <c:pt idx="0">
                  <c:v>1.6848447286060242</c:v>
                </c:pt>
                <c:pt idx="1">
                  <c:v>1.7393008945259989</c:v>
                </c:pt>
                <c:pt idx="2">
                  <c:v>1.7906071895693767</c:v>
                </c:pt>
                <c:pt idx="3">
                  <c:v>1.8435622598794414</c:v>
                </c:pt>
                <c:pt idx="4">
                  <c:v>1.8984223719203164</c:v>
                </c:pt>
                <c:pt idx="5">
                  <c:v>1.9735092281582791</c:v>
                </c:pt>
                <c:pt idx="6">
                  <c:v>2.0326352557473868</c:v>
                </c:pt>
                <c:pt idx="7">
                  <c:v>2.0936161025299689</c:v>
                </c:pt>
                <c:pt idx="8">
                  <c:v>2.156713469837364</c:v>
                </c:pt>
                <c:pt idx="9">
                  <c:v>2.2217539412979006</c:v>
                </c:pt>
                <c:pt idx="10">
                  <c:v>2.2890484799387978</c:v>
                </c:pt>
                <c:pt idx="11">
                  <c:v>2.3874848408318088</c:v>
                </c:pt>
                <c:pt idx="12">
                  <c:v>2.460249470749448</c:v>
                </c:pt>
                <c:pt idx="13">
                  <c:v>2.53543981040194</c:v>
                </c:pt>
                <c:pt idx="14">
                  <c:v>2.6131589805872482</c:v>
                </c:pt>
                <c:pt idx="15">
                  <c:v>2.6934618887382165</c:v>
                </c:pt>
                <c:pt idx="16">
                  <c:v>2.7763552926318549</c:v>
                </c:pt>
                <c:pt idx="17">
                  <c:v>2.8622625412314644</c:v>
                </c:pt>
                <c:pt idx="18">
                  <c:v>2.9509298053631277</c:v>
                </c:pt>
                <c:pt idx="19">
                  <c:v>3.0427345053111994</c:v>
                </c:pt>
                <c:pt idx="20">
                  <c:v>3.1374270585127482</c:v>
                </c:pt>
                <c:pt idx="21">
                  <c:v>3.2736139154982506</c:v>
                </c:pt>
                <c:pt idx="22">
                  <c:v>3.3760037924447399</c:v>
                </c:pt>
                <c:pt idx="23">
                  <c:v>3.4819426891122487</c:v>
                </c:pt>
                <c:pt idx="24">
                  <c:v>3.5913974108878248</c:v>
                </c:pt>
                <c:pt idx="25">
                  <c:v>3.7047633128675161</c:v>
                </c:pt>
                <c:pt idx="26">
                  <c:v>3.8218554979645636</c:v>
                </c:pt>
                <c:pt idx="27">
                  <c:v>3.9430747327542823</c:v>
                </c:pt>
                <c:pt idx="28">
                  <c:v>4.0685062731061885</c:v>
                </c:pt>
                <c:pt idx="29">
                  <c:v>4.1982383256936364</c:v>
                </c:pt>
                <c:pt idx="30">
                  <c:v>4.3323621524409059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2B-433F-84EA-B8BD40C0FAB7}"/>
            </c:ext>
          </c:extLst>
        </c:ser>
        <c:ser>
          <c:idx val="7"/>
          <c:order val="7"/>
          <c:tx>
            <c:strRef>
              <c:f>'B3 - TCO ML 48T 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'!$C$178:$AG$178</c:f>
              <c:numCache>
                <c:formatCode>_ [$₹-4009]\ * #,##0.00_ ;_ [$₹-4009]\ * \-#,##0.00_ ;_ [$₹-4009]\ * "-"??_ ;_ @_ </c:formatCode>
                <c:ptCount val="31"/>
                <c:pt idx="0">
                  <c:v>3.4728048078366074</c:v>
                </c:pt>
                <c:pt idx="1">
                  <c:v>3.4555975850990408</c:v>
                </c:pt>
                <c:pt idx="2">
                  <c:v>3.4417680927164627</c:v>
                </c:pt>
                <c:pt idx="3">
                  <c:v>3.4312897247029452</c:v>
                </c:pt>
                <c:pt idx="4">
                  <c:v>3.4244027421221319</c:v>
                </c:pt>
                <c:pt idx="5">
                  <c:v>3.4330330181746906</c:v>
                </c:pt>
                <c:pt idx="6">
                  <c:v>3.3443214573388595</c:v>
                </c:pt>
                <c:pt idx="7">
                  <c:v>3.305955737143671</c:v>
                </c:pt>
                <c:pt idx="8">
                  <c:v>3.2708998503493807</c:v>
                </c:pt>
                <c:pt idx="9">
                  <c:v>3.2393043228450917</c:v>
                </c:pt>
                <c:pt idx="10">
                  <c:v>3.2111199309782306</c:v>
                </c:pt>
                <c:pt idx="11">
                  <c:v>3.1340643447748557</c:v>
                </c:pt>
                <c:pt idx="12">
                  <c:v>3.1126358187636849</c:v>
                </c:pt>
                <c:pt idx="13">
                  <c:v>3.0945026286748605</c:v>
                </c:pt>
                <c:pt idx="14">
                  <c:v>3.0797777236440611</c:v>
                </c:pt>
                <c:pt idx="15">
                  <c:v>3.0682783121160981</c:v>
                </c:pt>
                <c:pt idx="16">
                  <c:v>3.004086316236847</c:v>
                </c:pt>
                <c:pt idx="17">
                  <c:v>3.014774228707199</c:v>
                </c:pt>
                <c:pt idx="18">
                  <c:v>3.0284331698433848</c:v>
                </c:pt>
                <c:pt idx="19">
                  <c:v>3.0450959471266641</c:v>
                </c:pt>
                <c:pt idx="20">
                  <c:v>3.0644763684237839</c:v>
                </c:pt>
                <c:pt idx="21">
                  <c:v>3.0200253113499667</c:v>
                </c:pt>
                <c:pt idx="22">
                  <c:v>3.0449421844255902</c:v>
                </c:pt>
                <c:pt idx="23">
                  <c:v>3.0727604848987933</c:v>
                </c:pt>
                <c:pt idx="24">
                  <c:v>3.1037888557826463</c:v>
                </c:pt>
                <c:pt idx="25">
                  <c:v>3.1378096932341988</c:v>
                </c:pt>
                <c:pt idx="26">
                  <c:v>3.1651884584387315</c:v>
                </c:pt>
                <c:pt idx="27">
                  <c:v>3.2375176784139095</c:v>
                </c:pt>
                <c:pt idx="28">
                  <c:v>3.3133467206908831</c:v>
                </c:pt>
                <c:pt idx="29">
                  <c:v>3.392851245665629</c:v>
                </c:pt>
                <c:pt idx="30">
                  <c:v>3.4759497088386082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2B-433F-84EA-B8BD40C0FAB7}"/>
            </c:ext>
          </c:extLst>
        </c:ser>
        <c:ser>
          <c:idx val="8"/>
          <c:order val="8"/>
          <c:tx>
            <c:strRef>
              <c:f>'B3 - TCO ML 48T 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'B3 - TCO ML 48T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'!$C$179:$AG$179</c:f>
              <c:numCache>
                <c:formatCode>_ [$₹-4009]\ * #,##0.00_ ;_ [$₹-4009]\ * \-#,##0.00_ ;_ [$₹-4009]\ * "-"??_ ;_ @_ </c:formatCode>
                <c:ptCount val="31"/>
                <c:pt idx="0">
                  <c:v>3.5854916895068216</c:v>
                </c:pt>
                <c:pt idx="1">
                  <c:v>3.5677261203087443</c:v>
                </c:pt>
                <c:pt idx="2">
                  <c:v>3.5534478833355809</c:v>
                </c:pt>
                <c:pt idx="3">
                  <c:v>3.542629509280327</c:v>
                </c:pt>
                <c:pt idx="4">
                  <c:v>3.5355190552883369</c:v>
                </c:pt>
                <c:pt idx="5">
                  <c:v>3.5444293697968785</c:v>
                </c:pt>
                <c:pt idx="6">
                  <c:v>3.4528392627392352</c:v>
                </c:pt>
                <c:pt idx="7">
                  <c:v>3.4132286371689822</c:v>
                </c:pt>
                <c:pt idx="8">
                  <c:v>3.3770352437235491</c:v>
                </c:pt>
                <c:pt idx="9">
                  <c:v>3.3444144926129264</c:v>
                </c:pt>
                <c:pt idx="10">
                  <c:v>3.3153155629568749</c:v>
                </c:pt>
                <c:pt idx="11">
                  <c:v>3.235759647997638</c:v>
                </c:pt>
                <c:pt idx="12">
                  <c:v>3.2136358010834503</c:v>
                </c:pt>
                <c:pt idx="13">
                  <c:v>3.1949142183958736</c:v>
                </c:pt>
                <c:pt idx="14">
                  <c:v>3.1797115140867889</c:v>
                </c:pt>
                <c:pt idx="15">
                  <c:v>3.1678389653116055</c:v>
                </c:pt>
                <c:pt idx="16">
                  <c:v>3.1015640433123788</c:v>
                </c:pt>
                <c:pt idx="17">
                  <c:v>3.1125987612021229</c:v>
                </c:pt>
                <c:pt idx="18">
                  <c:v>3.1267009128176535</c:v>
                </c:pt>
                <c:pt idx="19">
                  <c:v>3.1439043701897709</c:v>
                </c:pt>
                <c:pt idx="20">
                  <c:v>3.1639136547148214</c:v>
                </c:pt>
                <c:pt idx="21">
                  <c:v>3.1180202329571931</c:v>
                </c:pt>
                <c:pt idx="22">
                  <c:v>3.1437456181385151</c:v>
                </c:pt>
                <c:pt idx="23">
                  <c:v>3.1724665773291378</c:v>
                </c:pt>
                <c:pt idx="24">
                  <c:v>3.2045017685071566</c:v>
                </c:pt>
                <c:pt idx="25">
                  <c:v>3.2396265269379629</c:v>
                </c:pt>
                <c:pt idx="26">
                  <c:v>3.2678936886535577</c:v>
                </c:pt>
                <c:pt idx="27">
                  <c:v>3.3425698744686381</c:v>
                </c:pt>
                <c:pt idx="28">
                  <c:v>3.4208594461410295</c:v>
                </c:pt>
                <c:pt idx="29">
                  <c:v>3.5029437639615639</c:v>
                </c:pt>
                <c:pt idx="30">
                  <c:v>3.5887386374439907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2B-433F-84EA-B8BD40C0F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'B3 - TCO ML 48T 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'B3 - TCO ML 48T 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'B3 - TCO ML 48T 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1.7475901561293778</c:v>
                      </c:pt>
                      <c:pt idx="1">
                        <c:v>1.8722851679545212</c:v>
                      </c:pt>
                      <c:pt idx="2">
                        <c:v>1.9180847740826201</c:v>
                      </c:pt>
                      <c:pt idx="3">
                        <c:v>1.9651436802584901</c:v>
                      </c:pt>
                      <c:pt idx="4">
                        <c:v>2.0137540127587892</c:v>
                      </c:pt>
                      <c:pt idx="5">
                        <c:v>2.0814244376927529</c:v>
                      </c:pt>
                      <c:pt idx="6">
                        <c:v>2.1334956311654332</c:v>
                      </c:pt>
                      <c:pt idx="7">
                        <c:v>2.1869588134096394</c:v>
                      </c:pt>
                      <c:pt idx="8">
                        <c:v>2.2421137330026863</c:v>
                      </c:pt>
                      <c:pt idx="9">
                        <c:v>2.2987319068118932</c:v>
                      </c:pt>
                      <c:pt idx="10">
                        <c:v>2.3571148521663856</c:v>
                      </c:pt>
                      <c:pt idx="11">
                        <c:v>2.4436887003058243</c:v>
                      </c:pt>
                      <c:pt idx="12">
                        <c:v>2.5064987410252435</c:v>
                      </c:pt>
                      <c:pt idx="13">
                        <c:v>2.5712095563677573</c:v>
                      </c:pt>
                      <c:pt idx="14">
                        <c:v>2.6378628042479066</c:v>
                      </c:pt>
                      <c:pt idx="15">
                        <c:v>2.7064964024409628</c:v>
                      </c:pt>
                      <c:pt idx="16">
                        <c:v>2.777159009894993</c:v>
                      </c:pt>
                      <c:pt idx="17">
                        <c:v>2.8501601748783782</c:v>
                      </c:pt>
                      <c:pt idx="18">
                        <c:v>2.9252815401995886</c:v>
                      </c:pt>
                      <c:pt idx="19">
                        <c:v>3.0028350877175827</c:v>
                      </c:pt>
                      <c:pt idx="20">
                        <c:v>3.0826049823866475</c:v>
                      </c:pt>
                      <c:pt idx="21">
                        <c:v>3.2003807778959854</c:v>
                      </c:pt>
                      <c:pt idx="22">
                        <c:v>3.2863378596450579</c:v>
                      </c:pt>
                      <c:pt idx="23">
                        <c:v>3.37496672355537</c:v>
                      </c:pt>
                      <c:pt idx="24">
                        <c:v>3.4663276536311862</c:v>
                      </c:pt>
                      <c:pt idx="25">
                        <c:v>3.5607470203838871</c:v>
                      </c:pt>
                      <c:pt idx="26">
                        <c:v>3.6580184944092204</c:v>
                      </c:pt>
                      <c:pt idx="27">
                        <c:v>3.7584716902115716</c:v>
                      </c:pt>
                      <c:pt idx="28">
                        <c:v>3.8621733841807533</c:v>
                      </c:pt>
                      <c:pt idx="29">
                        <c:v>3.9691921280356688</c:v>
                      </c:pt>
                      <c:pt idx="30">
                        <c:v>4.0795983144240093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E92B-433F-84EA-B8BD40C0FAB7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'B3 - TCO ML 48T 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'!$E$63:$AG$63</c:f>
              <c:numCache>
                <c:formatCode>_ [$₹-4009]\ * #,##0_ ;_ [$₹-4009]\ * \-#,##0_ ;_ [$₹-4009]\ * "-"??_ ;_ @_ </c:formatCode>
                <c:ptCount val="29"/>
                <c:pt idx="0">
                  <c:v>4986200</c:v>
                </c:pt>
                <c:pt idx="1">
                  <c:v>5135800</c:v>
                </c:pt>
                <c:pt idx="2">
                  <c:v>5289900</c:v>
                </c:pt>
                <c:pt idx="3">
                  <c:v>5848600</c:v>
                </c:pt>
                <c:pt idx="4">
                  <c:v>6024100</c:v>
                </c:pt>
                <c:pt idx="5">
                  <c:v>6204800</c:v>
                </c:pt>
                <c:pt idx="6">
                  <c:v>6390900</c:v>
                </c:pt>
                <c:pt idx="7">
                  <c:v>6582600</c:v>
                </c:pt>
                <c:pt idx="8">
                  <c:v>6780100</c:v>
                </c:pt>
                <c:pt idx="9">
                  <c:v>6983500</c:v>
                </c:pt>
                <c:pt idx="10">
                  <c:v>7193000</c:v>
                </c:pt>
                <c:pt idx="11">
                  <c:v>7408800</c:v>
                </c:pt>
                <c:pt idx="12">
                  <c:v>7631100</c:v>
                </c:pt>
                <c:pt idx="13">
                  <c:v>7860000</c:v>
                </c:pt>
                <c:pt idx="14">
                  <c:v>8095800</c:v>
                </c:pt>
                <c:pt idx="15">
                  <c:v>8338700</c:v>
                </c:pt>
                <c:pt idx="16">
                  <c:v>8588900</c:v>
                </c:pt>
                <c:pt idx="17">
                  <c:v>8846600</c:v>
                </c:pt>
                <c:pt idx="18">
                  <c:v>9112000</c:v>
                </c:pt>
                <c:pt idx="19">
                  <c:v>9385400</c:v>
                </c:pt>
                <c:pt idx="20">
                  <c:v>9667000</c:v>
                </c:pt>
                <c:pt idx="21">
                  <c:v>9957000</c:v>
                </c:pt>
                <c:pt idx="22">
                  <c:v>10255700</c:v>
                </c:pt>
                <c:pt idx="23">
                  <c:v>10563400</c:v>
                </c:pt>
                <c:pt idx="24">
                  <c:v>10880300</c:v>
                </c:pt>
                <c:pt idx="25">
                  <c:v>11206700</c:v>
                </c:pt>
                <c:pt idx="26">
                  <c:v>11542900</c:v>
                </c:pt>
                <c:pt idx="27">
                  <c:v>11889200</c:v>
                </c:pt>
                <c:pt idx="28">
                  <c:v>12245900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9-419F-996F-06ADC20843C0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5059-419F-996F-06ADC20843C0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5059-419F-996F-06ADC20843C0}"/>
            </c:ext>
          </c:extLst>
        </c:ser>
        <c:ser>
          <c:idx val="3"/>
          <c:order val="3"/>
          <c:tx>
            <c:strRef>
              <c:f>'B3 - TCO ML 48T 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'!$C$132:$AG$132</c:f>
              <c:numCache>
                <c:formatCode>_ [$₹-4009]\ * #,##0_ ;_ [$₹-4009]\ * \-#,##0_ ;_ [$₹-4009]\ * "-"??_ ;_ @_ </c:formatCode>
                <c:ptCount val="31"/>
                <c:pt idx="0">
                  <c:v>11698000</c:v>
                </c:pt>
                <c:pt idx="1">
                  <c:v>11644000</c:v>
                </c:pt>
                <c:pt idx="2">
                  <c:v>11599000</c:v>
                </c:pt>
                <c:pt idx="3">
                  <c:v>11322000</c:v>
                </c:pt>
                <c:pt idx="4">
                  <c:v>11066000</c:v>
                </c:pt>
                <c:pt idx="5">
                  <c:v>11029000</c:v>
                </c:pt>
                <c:pt idx="6">
                  <c:v>10830000</c:v>
                </c:pt>
                <c:pt idx="7">
                  <c:v>10874000</c:v>
                </c:pt>
                <c:pt idx="8">
                  <c:v>10926000</c:v>
                </c:pt>
                <c:pt idx="9">
                  <c:v>10986000</c:v>
                </c:pt>
                <c:pt idx="10">
                  <c:v>11054000</c:v>
                </c:pt>
                <c:pt idx="11">
                  <c:v>11130000</c:v>
                </c:pt>
                <c:pt idx="12">
                  <c:v>11214000</c:v>
                </c:pt>
                <c:pt idx="13">
                  <c:v>11306000</c:v>
                </c:pt>
                <c:pt idx="14">
                  <c:v>11407000</c:v>
                </c:pt>
                <c:pt idx="15">
                  <c:v>11517000</c:v>
                </c:pt>
                <c:pt idx="16">
                  <c:v>11529000</c:v>
                </c:pt>
                <c:pt idx="17">
                  <c:v>11737000</c:v>
                </c:pt>
                <c:pt idx="18">
                  <c:v>11951000</c:v>
                </c:pt>
                <c:pt idx="19">
                  <c:v>12174000</c:v>
                </c:pt>
                <c:pt idx="20">
                  <c:v>12403000</c:v>
                </c:pt>
                <c:pt idx="21">
                  <c:v>12641000</c:v>
                </c:pt>
                <c:pt idx="22">
                  <c:v>12887000</c:v>
                </c:pt>
                <c:pt idx="23">
                  <c:v>13142000</c:v>
                </c:pt>
                <c:pt idx="24">
                  <c:v>13405000</c:v>
                </c:pt>
                <c:pt idx="25">
                  <c:v>13678000</c:v>
                </c:pt>
                <c:pt idx="26">
                  <c:v>14015000</c:v>
                </c:pt>
                <c:pt idx="27">
                  <c:v>14363000</c:v>
                </c:pt>
                <c:pt idx="28">
                  <c:v>14720000</c:v>
                </c:pt>
                <c:pt idx="29">
                  <c:v>15087000</c:v>
                </c:pt>
                <c:pt idx="30">
                  <c:v>15464000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9-419F-996F-06ADC20843C0}"/>
            </c:ext>
          </c:extLst>
        </c:ser>
        <c:ser>
          <c:idx val="4"/>
          <c:order val="4"/>
          <c:tx>
            <c:strRef>
              <c:f>'B3 - TCO ML 48T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'!$C$98:$AG$98</c:f>
              <c:numCache>
                <c:formatCode>_ [$₹-4009]\ * #,##0_ ;_ [$₹-4009]\ * \-#,##0_ ;_ [$₹-4009]\ * "-"??_ ;_ @_ </c:formatCode>
                <c:ptCount val="31"/>
                <c:pt idx="0">
                  <c:v>5280000</c:v>
                </c:pt>
                <c:pt idx="1">
                  <c:v>5427000</c:v>
                </c:pt>
                <c:pt idx="2">
                  <c:v>5578000</c:v>
                </c:pt>
                <c:pt idx="3">
                  <c:v>5734000</c:v>
                </c:pt>
                <c:pt idx="4">
                  <c:v>5894000</c:v>
                </c:pt>
                <c:pt idx="5">
                  <c:v>6459000</c:v>
                </c:pt>
                <c:pt idx="6">
                  <c:v>6640000</c:v>
                </c:pt>
                <c:pt idx="7">
                  <c:v>6827000</c:v>
                </c:pt>
                <c:pt idx="8">
                  <c:v>7019000</c:v>
                </c:pt>
                <c:pt idx="9">
                  <c:v>7217000</c:v>
                </c:pt>
                <c:pt idx="10">
                  <c:v>7421000</c:v>
                </c:pt>
                <c:pt idx="11">
                  <c:v>7631000</c:v>
                </c:pt>
                <c:pt idx="12">
                  <c:v>7847000</c:v>
                </c:pt>
                <c:pt idx="13">
                  <c:v>8069000</c:v>
                </c:pt>
                <c:pt idx="14">
                  <c:v>8298000</c:v>
                </c:pt>
                <c:pt idx="15">
                  <c:v>8534000</c:v>
                </c:pt>
                <c:pt idx="16">
                  <c:v>8776000</c:v>
                </c:pt>
                <c:pt idx="17">
                  <c:v>9026000</c:v>
                </c:pt>
                <c:pt idx="18">
                  <c:v>9283000</c:v>
                </c:pt>
                <c:pt idx="19">
                  <c:v>9548000</c:v>
                </c:pt>
                <c:pt idx="20">
                  <c:v>9820000</c:v>
                </c:pt>
                <c:pt idx="21">
                  <c:v>10101000</c:v>
                </c:pt>
                <c:pt idx="22">
                  <c:v>10389000</c:v>
                </c:pt>
                <c:pt idx="23">
                  <c:v>10687000</c:v>
                </c:pt>
                <c:pt idx="24">
                  <c:v>10993000</c:v>
                </c:pt>
                <c:pt idx="25">
                  <c:v>11308000</c:v>
                </c:pt>
                <c:pt idx="26">
                  <c:v>11632000</c:v>
                </c:pt>
                <c:pt idx="27">
                  <c:v>11966000</c:v>
                </c:pt>
                <c:pt idx="28">
                  <c:v>12310000</c:v>
                </c:pt>
                <c:pt idx="29">
                  <c:v>12664000</c:v>
                </c:pt>
                <c:pt idx="30">
                  <c:v>13028000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59-419F-996F-06ADC20843C0}"/>
            </c:ext>
          </c:extLst>
        </c:ser>
        <c:ser>
          <c:idx val="5"/>
          <c:order val="5"/>
          <c:tx>
            <c:strRef>
              <c:f>'B3 - TCO ML 48T 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'!$C$115:$AG$115</c:f>
              <c:numCache>
                <c:formatCode>_ [$₹-4009]\ * #,##0_ ;_ [$₹-4009]\ * \-#,##0_ ;_ [$₹-4009]\ * "-"??_ ;_ @_ </c:formatCode>
                <c:ptCount val="31"/>
                <c:pt idx="0">
                  <c:v>6279000</c:v>
                </c:pt>
                <c:pt idx="1">
                  <c:v>6341000</c:v>
                </c:pt>
                <c:pt idx="2">
                  <c:v>6411000</c:v>
                </c:pt>
                <c:pt idx="3">
                  <c:v>6490000</c:v>
                </c:pt>
                <c:pt idx="4">
                  <c:v>6576000</c:v>
                </c:pt>
                <c:pt idx="5">
                  <c:v>7071000</c:v>
                </c:pt>
                <c:pt idx="6">
                  <c:v>7197000</c:v>
                </c:pt>
                <c:pt idx="7">
                  <c:v>7331000</c:v>
                </c:pt>
                <c:pt idx="8">
                  <c:v>7472000</c:v>
                </c:pt>
                <c:pt idx="9">
                  <c:v>7620000</c:v>
                </c:pt>
                <c:pt idx="10">
                  <c:v>7776000</c:v>
                </c:pt>
                <c:pt idx="11">
                  <c:v>7940000</c:v>
                </c:pt>
                <c:pt idx="12">
                  <c:v>8111000</c:v>
                </c:pt>
                <c:pt idx="13">
                  <c:v>8290000</c:v>
                </c:pt>
                <c:pt idx="14">
                  <c:v>8477000</c:v>
                </c:pt>
                <c:pt idx="15">
                  <c:v>8672000</c:v>
                </c:pt>
                <c:pt idx="16">
                  <c:v>8916000</c:v>
                </c:pt>
                <c:pt idx="17">
                  <c:v>9167000</c:v>
                </c:pt>
                <c:pt idx="18">
                  <c:v>9426000</c:v>
                </c:pt>
                <c:pt idx="19">
                  <c:v>9692000</c:v>
                </c:pt>
                <c:pt idx="20">
                  <c:v>9966000</c:v>
                </c:pt>
                <c:pt idx="21">
                  <c:v>10248000</c:v>
                </c:pt>
                <c:pt idx="22">
                  <c:v>10538000</c:v>
                </c:pt>
                <c:pt idx="23">
                  <c:v>10837000</c:v>
                </c:pt>
                <c:pt idx="24">
                  <c:v>11144000</c:v>
                </c:pt>
                <c:pt idx="25">
                  <c:v>11461000</c:v>
                </c:pt>
                <c:pt idx="26">
                  <c:v>11787000</c:v>
                </c:pt>
                <c:pt idx="27">
                  <c:v>12122000</c:v>
                </c:pt>
                <c:pt idx="28">
                  <c:v>12467000</c:v>
                </c:pt>
                <c:pt idx="29">
                  <c:v>12823000</c:v>
                </c:pt>
                <c:pt idx="30">
                  <c:v>13189000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59-419F-996F-06ADC20843C0}"/>
            </c:ext>
          </c:extLst>
        </c:ser>
        <c:ser>
          <c:idx val="6"/>
          <c:order val="6"/>
          <c:tx>
            <c:strRef>
              <c:f>'B3 - TCO ML 48T 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'!$C$149:$AG$149</c:f>
              <c:numCache>
                <c:formatCode>_ [$₹-4009]\ * #,##0_ ;_ [$₹-4009]\ * \-#,##0_ ;_ [$₹-4009]\ * "-"??_ ;_ @_ </c:formatCode>
                <c:ptCount val="31"/>
                <c:pt idx="0">
                  <c:v>15066000</c:v>
                </c:pt>
                <c:pt idx="1">
                  <c:v>14820000</c:v>
                </c:pt>
                <c:pt idx="2">
                  <c:v>14591000</c:v>
                </c:pt>
                <c:pt idx="3">
                  <c:v>14379000</c:v>
                </c:pt>
                <c:pt idx="4">
                  <c:v>14184000</c:v>
                </c:pt>
                <c:pt idx="5">
                  <c:v>14205000</c:v>
                </c:pt>
                <c:pt idx="6">
                  <c:v>14108000</c:v>
                </c:pt>
                <c:pt idx="7">
                  <c:v>14029000</c:v>
                </c:pt>
                <c:pt idx="8">
                  <c:v>13963000</c:v>
                </c:pt>
                <c:pt idx="9">
                  <c:v>13909000</c:v>
                </c:pt>
                <c:pt idx="10">
                  <c:v>13867000</c:v>
                </c:pt>
                <c:pt idx="11">
                  <c:v>13838000</c:v>
                </c:pt>
                <c:pt idx="12">
                  <c:v>13820000</c:v>
                </c:pt>
                <c:pt idx="13">
                  <c:v>13815000</c:v>
                </c:pt>
                <c:pt idx="14">
                  <c:v>13821000</c:v>
                </c:pt>
                <c:pt idx="15">
                  <c:v>13840000</c:v>
                </c:pt>
                <c:pt idx="16">
                  <c:v>13771000</c:v>
                </c:pt>
                <c:pt idx="17">
                  <c:v>13939000</c:v>
                </c:pt>
                <c:pt idx="18">
                  <c:v>14115000</c:v>
                </c:pt>
                <c:pt idx="19">
                  <c:v>14300000</c:v>
                </c:pt>
                <c:pt idx="20">
                  <c:v>14494000</c:v>
                </c:pt>
                <c:pt idx="21">
                  <c:v>14483000</c:v>
                </c:pt>
                <c:pt idx="22">
                  <c:v>14698000</c:v>
                </c:pt>
                <c:pt idx="23">
                  <c:v>14922000</c:v>
                </c:pt>
                <c:pt idx="24">
                  <c:v>15156000</c:v>
                </c:pt>
                <c:pt idx="25">
                  <c:v>15401000</c:v>
                </c:pt>
                <c:pt idx="26">
                  <c:v>15547000</c:v>
                </c:pt>
                <c:pt idx="27">
                  <c:v>15909000</c:v>
                </c:pt>
                <c:pt idx="28">
                  <c:v>16282000</c:v>
                </c:pt>
                <c:pt idx="29">
                  <c:v>16664000</c:v>
                </c:pt>
                <c:pt idx="30">
                  <c:v>17058000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59-419F-996F-06ADC20843C0}"/>
            </c:ext>
          </c:extLst>
        </c:ser>
        <c:ser>
          <c:idx val="7"/>
          <c:order val="7"/>
          <c:tx>
            <c:strRef>
              <c:f>'B3 - TCO ML 48T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'B3 - TCO ML 48T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'B3 - TCO ML 48T '!$C$81:$AG$81</c:f>
              <c:numCache>
                <c:formatCode>_ [$₹-4009]\ * #,##0_ ;_ [$₹-4009]\ * \-#,##0_ ;_ [$₹-4009]\ * "-"??_ ;_ @_ </c:formatCode>
                <c:ptCount val="31"/>
                <c:pt idx="0">
                  <c:v>4950000</c:v>
                </c:pt>
                <c:pt idx="1">
                  <c:v>5099000</c:v>
                </c:pt>
                <c:pt idx="2">
                  <c:v>5251000</c:v>
                </c:pt>
                <c:pt idx="3">
                  <c:v>5409000</c:v>
                </c:pt>
                <c:pt idx="4">
                  <c:v>5571000</c:v>
                </c:pt>
                <c:pt idx="5">
                  <c:v>6138000</c:v>
                </c:pt>
                <c:pt idx="6">
                  <c:v>6323000</c:v>
                </c:pt>
                <c:pt idx="7">
                  <c:v>6512000</c:v>
                </c:pt>
                <c:pt idx="8">
                  <c:v>6708000</c:v>
                </c:pt>
                <c:pt idx="9">
                  <c:v>6909000</c:v>
                </c:pt>
                <c:pt idx="10">
                  <c:v>7116000</c:v>
                </c:pt>
                <c:pt idx="11">
                  <c:v>7330000</c:v>
                </c:pt>
                <c:pt idx="12">
                  <c:v>7549000</c:v>
                </c:pt>
                <c:pt idx="13">
                  <c:v>7776000</c:v>
                </c:pt>
                <c:pt idx="14">
                  <c:v>8009000</c:v>
                </c:pt>
                <c:pt idx="15">
                  <c:v>8250000</c:v>
                </c:pt>
                <c:pt idx="16">
                  <c:v>8497000</c:v>
                </c:pt>
                <c:pt idx="17">
                  <c:v>8752000</c:v>
                </c:pt>
                <c:pt idx="18">
                  <c:v>9014000</c:v>
                </c:pt>
                <c:pt idx="19">
                  <c:v>9285000</c:v>
                </c:pt>
                <c:pt idx="20">
                  <c:v>9563000</c:v>
                </c:pt>
                <c:pt idx="21">
                  <c:v>9850000</c:v>
                </c:pt>
                <c:pt idx="22">
                  <c:v>10146000</c:v>
                </c:pt>
                <c:pt idx="23">
                  <c:v>10450000</c:v>
                </c:pt>
                <c:pt idx="24">
                  <c:v>10764000</c:v>
                </c:pt>
                <c:pt idx="25">
                  <c:v>11087000</c:v>
                </c:pt>
                <c:pt idx="26">
                  <c:v>11419000</c:v>
                </c:pt>
                <c:pt idx="27">
                  <c:v>11762000</c:v>
                </c:pt>
                <c:pt idx="28">
                  <c:v>12115000</c:v>
                </c:pt>
                <c:pt idx="29">
                  <c:v>12478000</c:v>
                </c:pt>
                <c:pt idx="30">
                  <c:v>12852000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59-419F-996F-06ADC2084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'B4 - TCO PL&amp;FMCG 19T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'B4 - TCO PL&amp;FMCG 19T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'B4 - TCO PL&amp;FMCG 19T '!$C$165:$AB$165</c:f>
              <c:numCache>
                <c:formatCode>_ [$₹-4009]\ * #,##0.00_ ;_ [$₹-4009]\ * \-#,##0.00_ ;_ [$₹-4009]\ * "-"??_ ;_ @_ </c:formatCode>
                <c:ptCount val="26"/>
                <c:pt idx="0">
                  <c:v>34.226947602801289</c:v>
                </c:pt>
                <c:pt idx="1">
                  <c:v>36.709744588075168</c:v>
                </c:pt>
                <c:pt idx="2">
                  <c:v>37.592130154029306</c:v>
                </c:pt>
                <c:pt idx="3">
                  <c:v>38.50095817269942</c:v>
                </c:pt>
                <c:pt idx="4">
                  <c:v>39.436884881655786</c:v>
                </c:pt>
                <c:pt idx="5">
                  <c:v>40.994896060030939</c:v>
                </c:pt>
                <c:pt idx="6">
                  <c:v>42.003979370382133</c:v>
                </c:pt>
                <c:pt idx="7">
                  <c:v>43.042196946215135</c:v>
                </c:pt>
                <c:pt idx="8">
                  <c:v>44.109953562376795</c:v>
                </c:pt>
                <c:pt idx="9">
                  <c:v>45.207815096594821</c:v>
                </c:pt>
                <c:pt idx="10">
                  <c:v>46.336508953533382</c:v>
                </c:pt>
                <c:pt idx="11">
                  <c:v>48.063198119086074</c:v>
                </c:pt>
                <c:pt idx="12">
                  <c:v>49.272046625570191</c:v>
                </c:pt>
                <c:pt idx="13">
                  <c:v>50.523320553122169</c:v>
                </c:pt>
                <c:pt idx="14">
                  <c:v>51.80840867165422</c:v>
                </c:pt>
                <c:pt idx="15">
                  <c:v>53.137233507202104</c:v>
                </c:pt>
                <c:pt idx="16">
                  <c:v>54.501214831154535</c:v>
                </c:pt>
                <c:pt idx="17">
                  <c:v>55.910307242938991</c:v>
                </c:pt>
                <c:pt idx="18">
                  <c:v>57.356125580259345</c:v>
                </c:pt>
                <c:pt idx="19">
                  <c:v>58.848658779797347</c:v>
                </c:pt>
                <c:pt idx="20">
                  <c:v>60.388654589299385</c:v>
                </c:pt>
                <c:pt idx="21">
                  <c:v>62.738681550867781</c:v>
                </c:pt>
                <c:pt idx="22">
                  <c:v>64.39908896102294</c:v>
                </c:pt>
                <c:pt idx="23">
                  <c:v>66.110328666776155</c:v>
                </c:pt>
                <c:pt idx="24">
                  <c:v>67.873415581046174</c:v>
                </c:pt>
                <c:pt idx="25">
                  <c:v>69.689210975592275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B-4337-826A-13952D98E422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'B4 - TCO PL&amp;FMCG 19T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2B-4337-826A-13952D98E422}"/>
            </c:ext>
          </c:extLst>
        </c:ser>
        <c:ser>
          <c:idx val="4"/>
          <c:order val="2"/>
          <c:tx>
            <c:strRef>
              <c:f>'B4 - TCO PL&amp;FMCG 19T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'B4 - TCO PL&amp;FMCG 19T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'B4 - TCO PL&amp;FMCG 19T '!$C$168:$AB$168</c:f>
              <c:numCache>
                <c:formatCode>_ [$₹-4009]\ * #,##0.00_ ;_ [$₹-4009]\ * \-#,##0.00_ ;_ [$₹-4009]\ * "-"??_ ;_ @_ </c:formatCode>
                <c:ptCount val="26"/>
                <c:pt idx="0">
                  <c:v>39.645178411902208</c:v>
                </c:pt>
                <c:pt idx="1">
                  <c:v>39.91474260937369</c:v>
                </c:pt>
                <c:pt idx="2">
                  <c:v>40.135028107505036</c:v>
                </c:pt>
                <c:pt idx="3">
                  <c:v>40.01491674156226</c:v>
                </c:pt>
                <c:pt idx="4">
                  <c:v>39.845456143895518</c:v>
                </c:pt>
                <c:pt idx="5">
                  <c:v>40.284602650680242</c:v>
                </c:pt>
                <c:pt idx="6">
                  <c:v>38.915632480831107</c:v>
                </c:pt>
                <c:pt idx="7">
                  <c:v>39.082636989661005</c:v>
                </c:pt>
                <c:pt idx="8">
                  <c:v>39.114934072747594</c:v>
                </c:pt>
                <c:pt idx="9">
                  <c:v>39.241475594278683</c:v>
                </c:pt>
                <c:pt idx="10">
                  <c:v>39.463671874277814</c:v>
                </c:pt>
                <c:pt idx="11">
                  <c:v>38.990558462784712</c:v>
                </c:pt>
                <c:pt idx="12">
                  <c:v>39.44244850917449</c:v>
                </c:pt>
                <c:pt idx="13">
                  <c:v>39.897732992120503</c:v>
                </c:pt>
                <c:pt idx="14">
                  <c:v>40.421834237686959</c:v>
                </c:pt>
                <c:pt idx="15">
                  <c:v>41.012923989885699</c:v>
                </c:pt>
                <c:pt idx="16">
                  <c:v>41.575402816927102</c:v>
                </c:pt>
                <c:pt idx="17">
                  <c:v>42.430173746020145</c:v>
                </c:pt>
                <c:pt idx="18">
                  <c:v>43.293572758258698</c:v>
                </c:pt>
                <c:pt idx="19">
                  <c:v>44.195633819541641</c:v>
                </c:pt>
                <c:pt idx="20">
                  <c:v>45.1393834127676</c:v>
                </c:pt>
                <c:pt idx="21">
                  <c:v>45.112709253792943</c:v>
                </c:pt>
                <c:pt idx="22">
                  <c:v>46.120000330695326</c:v>
                </c:pt>
                <c:pt idx="23">
                  <c:v>47.177292445055336</c:v>
                </c:pt>
                <c:pt idx="24">
                  <c:v>48.280132205067318</c:v>
                </c:pt>
                <c:pt idx="25">
                  <c:v>49.437217524123092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2B-4337-826A-13952D98E422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F2B-4337-826A-13952D98E422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F2B-4337-826A-13952D98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'B4 - TCO PL&amp;FMCG 19T 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'B4 - TCO PL&amp;FMCG 19T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'B4 - TCO PL&amp;FMCG 19T '!$C$192:$AB$192</c:f>
              <c:numCache>
                <c:formatCode>0%</c:formatCode>
                <c:ptCount val="26"/>
                <c:pt idx="0">
                  <c:v>0.86333191005455867</c:v>
                </c:pt>
                <c:pt idx="1">
                  <c:v>0.91970390357607235</c:v>
                </c:pt>
                <c:pt idx="2">
                  <c:v>0.93664143085525275</c:v>
                </c:pt>
                <c:pt idx="3">
                  <c:v>0.96216514509724471</c:v>
                </c:pt>
                <c:pt idx="4">
                  <c:v>0.98974610151872167</c:v>
                </c:pt>
                <c:pt idx="5">
                  <c:v>1.0176318832162716</c:v>
                </c:pt>
                <c:pt idx="6">
                  <c:v>1.0793600589961443</c:v>
                </c:pt>
                <c:pt idx="7">
                  <c:v>1.1013125075874897</c:v>
                </c:pt>
                <c:pt idx="8">
                  <c:v>1.1277010842032675</c:v>
                </c:pt>
                <c:pt idx="9">
                  <c:v>1.1520416705019629</c:v>
                </c:pt>
                <c:pt idx="10">
                  <c:v>1.174156046633239</c:v>
                </c:pt>
                <c:pt idx="11">
                  <c:v>1.2326881176877966</c:v>
                </c:pt>
                <c:pt idx="12">
                  <c:v>1.2492136895129442</c:v>
                </c:pt>
                <c:pt idx="13">
                  <c:v>1.2663205842572594</c:v>
                </c:pt>
                <c:pt idx="14">
                  <c:v>1.2816936600900481</c:v>
                </c:pt>
                <c:pt idx="15">
                  <c:v>1.2956216806269754</c:v>
                </c:pt>
                <c:pt idx="16">
                  <c:v>1.3109004636983286</c:v>
                </c:pt>
                <c:pt idx="17">
                  <c:v>1.3177015860837302</c:v>
                </c:pt>
                <c:pt idx="18">
                  <c:v>1.3248184875044315</c:v>
                </c:pt>
                <c:pt idx="19">
                  <c:v>1.3315491530246295</c:v>
                </c:pt>
                <c:pt idx="20">
                  <c:v>1.3378263065112794</c:v>
                </c:pt>
                <c:pt idx="21">
                  <c:v>1.3907096822298008</c:v>
                </c:pt>
                <c:pt idx="22">
                  <c:v>1.3963375650316703</c:v>
                </c:pt>
                <c:pt idx="23">
                  <c:v>1.4013167191349742</c:v>
                </c:pt>
                <c:pt idx="24">
                  <c:v>1.4058249735679558</c:v>
                </c:pt>
                <c:pt idx="25">
                  <c:v>1.4096507543448848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F-44BD-A47E-9CCB78ECB86A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'B4 - TCO PL&amp;FMCG 19T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F-44BD-A47E-9CCB78ECB86A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119F-44BD-A47E-9CCB78ECB86A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119F-44BD-A47E-9CCB78EC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'B4 - TCO PL&amp;FMCG 19T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'!$C$165:$AG$165</c:f>
              <c:numCache>
                <c:formatCode>_ [$₹-4009]\ * #,##0.00_ ;_ [$₹-4009]\ * \-#,##0.00_ ;_ [$₹-4009]\ * "-"??_ ;_ @_ </c:formatCode>
                <c:ptCount val="31"/>
                <c:pt idx="0">
                  <c:v>34.226947602801289</c:v>
                </c:pt>
                <c:pt idx="1">
                  <c:v>36.709744588075168</c:v>
                </c:pt>
                <c:pt idx="2">
                  <c:v>37.592130154029306</c:v>
                </c:pt>
                <c:pt idx="3">
                  <c:v>38.50095817269942</c:v>
                </c:pt>
                <c:pt idx="4">
                  <c:v>39.436884881655786</c:v>
                </c:pt>
                <c:pt idx="5">
                  <c:v>40.994896060030939</c:v>
                </c:pt>
                <c:pt idx="6">
                  <c:v>42.003979370382133</c:v>
                </c:pt>
                <c:pt idx="7">
                  <c:v>43.042196946215135</c:v>
                </c:pt>
                <c:pt idx="8">
                  <c:v>44.109953562376795</c:v>
                </c:pt>
                <c:pt idx="9">
                  <c:v>45.207815096594821</c:v>
                </c:pt>
                <c:pt idx="10">
                  <c:v>46.336508953533382</c:v>
                </c:pt>
                <c:pt idx="11">
                  <c:v>48.063198119086074</c:v>
                </c:pt>
                <c:pt idx="12">
                  <c:v>49.272046625570191</c:v>
                </c:pt>
                <c:pt idx="13">
                  <c:v>50.523320553122169</c:v>
                </c:pt>
                <c:pt idx="14">
                  <c:v>51.80840867165422</c:v>
                </c:pt>
                <c:pt idx="15">
                  <c:v>53.137233507202104</c:v>
                </c:pt>
                <c:pt idx="16">
                  <c:v>54.501214831154535</c:v>
                </c:pt>
                <c:pt idx="17">
                  <c:v>55.910307242938991</c:v>
                </c:pt>
                <c:pt idx="18">
                  <c:v>57.356125580259345</c:v>
                </c:pt>
                <c:pt idx="19">
                  <c:v>58.848658779797347</c:v>
                </c:pt>
                <c:pt idx="20">
                  <c:v>60.388654589299385</c:v>
                </c:pt>
                <c:pt idx="21">
                  <c:v>62.738681550867781</c:v>
                </c:pt>
                <c:pt idx="22">
                  <c:v>64.39908896102294</c:v>
                </c:pt>
                <c:pt idx="23">
                  <c:v>66.110328666776155</c:v>
                </c:pt>
                <c:pt idx="24">
                  <c:v>67.873415581046174</c:v>
                </c:pt>
                <c:pt idx="25">
                  <c:v>69.689210975592275</c:v>
                </c:pt>
                <c:pt idx="26">
                  <c:v>71.558598347221377</c:v>
                </c:pt>
                <c:pt idx="27">
                  <c:v>73.492093680519048</c:v>
                </c:pt>
                <c:pt idx="28">
                  <c:v>75.481368048793286</c:v>
                </c:pt>
                <c:pt idx="29">
                  <c:v>77.536810823406626</c:v>
                </c:pt>
                <c:pt idx="30">
                  <c:v>79.659402554865423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D-4699-B76E-7DB1AB87763F}"/>
            </c:ext>
          </c:extLst>
        </c:ser>
        <c:ser>
          <c:idx val="4"/>
          <c:order val="1"/>
          <c:tx>
            <c:strRef>
              <c:f>'B4 - TCO PL&amp;FMCG 19T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EBD-4699-B76E-7DB1AB87763F}"/>
              </c:ext>
            </c:extLst>
          </c:dPt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'!$C$168:$AG$168</c:f>
              <c:numCache>
                <c:formatCode>_ [$₹-4009]\ * #,##0.00_ ;_ [$₹-4009]\ * \-#,##0.00_ ;_ [$₹-4009]\ * "-"??_ ;_ @_ </c:formatCode>
                <c:ptCount val="31"/>
                <c:pt idx="0">
                  <c:v>39.645178411902208</c:v>
                </c:pt>
                <c:pt idx="1">
                  <c:v>39.91474260937369</c:v>
                </c:pt>
                <c:pt idx="2">
                  <c:v>40.135028107505036</c:v>
                </c:pt>
                <c:pt idx="3">
                  <c:v>40.01491674156226</c:v>
                </c:pt>
                <c:pt idx="4">
                  <c:v>39.845456143895518</c:v>
                </c:pt>
                <c:pt idx="5">
                  <c:v>40.284602650680242</c:v>
                </c:pt>
                <c:pt idx="6">
                  <c:v>38.915632480831107</c:v>
                </c:pt>
                <c:pt idx="7">
                  <c:v>39.082636989661005</c:v>
                </c:pt>
                <c:pt idx="8">
                  <c:v>39.114934072747594</c:v>
                </c:pt>
                <c:pt idx="9">
                  <c:v>39.241475594278683</c:v>
                </c:pt>
                <c:pt idx="10">
                  <c:v>39.463671874277814</c:v>
                </c:pt>
                <c:pt idx="11">
                  <c:v>38.990558462784712</c:v>
                </c:pt>
                <c:pt idx="12">
                  <c:v>39.44244850917449</c:v>
                </c:pt>
                <c:pt idx="13">
                  <c:v>39.897732992120503</c:v>
                </c:pt>
                <c:pt idx="14">
                  <c:v>40.421834237686959</c:v>
                </c:pt>
                <c:pt idx="15">
                  <c:v>41.012923989885699</c:v>
                </c:pt>
                <c:pt idx="16">
                  <c:v>41.575402816927102</c:v>
                </c:pt>
                <c:pt idx="17">
                  <c:v>42.430173746020145</c:v>
                </c:pt>
                <c:pt idx="18">
                  <c:v>43.293572758258698</c:v>
                </c:pt>
                <c:pt idx="19">
                  <c:v>44.195633819541641</c:v>
                </c:pt>
                <c:pt idx="20">
                  <c:v>45.1393834127676</c:v>
                </c:pt>
                <c:pt idx="21">
                  <c:v>45.112709253792943</c:v>
                </c:pt>
                <c:pt idx="22">
                  <c:v>46.120000330695326</c:v>
                </c:pt>
                <c:pt idx="23">
                  <c:v>47.177292445055336</c:v>
                </c:pt>
                <c:pt idx="24">
                  <c:v>48.280132205067318</c:v>
                </c:pt>
                <c:pt idx="25">
                  <c:v>49.437217524123092</c:v>
                </c:pt>
                <c:pt idx="26">
                  <c:v>50.884485196036223</c:v>
                </c:pt>
                <c:pt idx="27">
                  <c:v>52.429062391643619</c:v>
                </c:pt>
                <c:pt idx="28">
                  <c:v>54.031485371682813</c:v>
                </c:pt>
                <c:pt idx="29">
                  <c:v>55.695807547776788</c:v>
                </c:pt>
                <c:pt idx="30">
                  <c:v>57.424055410339989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BD-4699-B76E-7DB1AB87763F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CEBD-4699-B76E-7DB1AB87763F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CEBD-4699-B76E-7DB1AB87763F}"/>
            </c:ext>
          </c:extLst>
        </c:ser>
        <c:ser>
          <c:idx val="2"/>
          <c:order val="5"/>
          <c:tx>
            <c:strRef>
              <c:f>'B4 - TCO PL&amp;FMCG 19T 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'!$C$169:$AG$169</c:f>
              <c:numCache>
                <c:formatCode>_ [$₹-4009]\ * #,##0.00_ ;_ [$₹-4009]\ * \-#,##0.00_ ;_ [$₹-4009]\ * "-"??_ ;_ @_ </c:formatCode>
                <c:ptCount val="31"/>
                <c:pt idx="0">
                  <c:v>68.556791998703503</c:v>
                </c:pt>
                <c:pt idx="1">
                  <c:v>68.469325459821547</c:v>
                </c:pt>
                <c:pt idx="2">
                  <c:v>68.452795038542561</c:v>
                </c:pt>
                <c:pt idx="3">
                  <c:v>68.506423568199935</c:v>
                </c:pt>
                <c:pt idx="4">
                  <c:v>68.629490259793585</c:v>
                </c:pt>
                <c:pt idx="5">
                  <c:v>69.576558994557189</c:v>
                </c:pt>
                <c:pt idx="6">
                  <c:v>67.359312527682022</c:v>
                </c:pt>
                <c:pt idx="7">
                  <c:v>66.474017466586616</c:v>
                </c:pt>
                <c:pt idx="8">
                  <c:v>65.66291426683155</c:v>
                </c:pt>
                <c:pt idx="9">
                  <c:v>64.924453991264585</c:v>
                </c:pt>
                <c:pt idx="10">
                  <c:v>64.259057383899403</c:v>
                </c:pt>
                <c:pt idx="11">
                  <c:v>62.970207896573292</c:v>
                </c:pt>
                <c:pt idx="12">
                  <c:v>62.431210157071753</c:v>
                </c:pt>
                <c:pt idx="13">
                  <c:v>61.969843478848205</c:v>
                </c:pt>
                <c:pt idx="14">
                  <c:v>61.57395273421772</c:v>
                </c:pt>
                <c:pt idx="15">
                  <c:v>61.253476904680689</c:v>
                </c:pt>
                <c:pt idx="16">
                  <c:v>59.682141190557651</c:v>
                </c:pt>
                <c:pt idx="17">
                  <c:v>59.769856811190607</c:v>
                </c:pt>
                <c:pt idx="18">
                  <c:v>59.912521739621326</c:v>
                </c:pt>
                <c:pt idx="19">
                  <c:v>60.123756853547164</c:v>
                </c:pt>
                <c:pt idx="20">
                  <c:v>60.399244399599304</c:v>
                </c:pt>
                <c:pt idx="21">
                  <c:v>60.302163028066232</c:v>
                </c:pt>
                <c:pt idx="22">
                  <c:v>60.697218145361582</c:v>
                </c:pt>
                <c:pt idx="23">
                  <c:v>61.154249146629013</c:v>
                </c:pt>
                <c:pt idx="24">
                  <c:v>61.676093736564553</c:v>
                </c:pt>
                <c:pt idx="25">
                  <c:v>62.262286111731335</c:v>
                </c:pt>
                <c:pt idx="26">
                  <c:v>62.750577785473332</c:v>
                </c:pt>
                <c:pt idx="27">
                  <c:v>64.143493361344369</c:v>
                </c:pt>
                <c:pt idx="28">
                  <c:v>65.604728938881777</c:v>
                </c:pt>
                <c:pt idx="29">
                  <c:v>67.147087533140606</c:v>
                </c:pt>
                <c:pt idx="30">
                  <c:v>68.769121823614014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BD-4699-B76E-7DB1AB87763F}"/>
            </c:ext>
          </c:extLst>
        </c:ser>
        <c:ser>
          <c:idx val="6"/>
          <c:order val="6"/>
          <c:tx>
            <c:strRef>
              <c:f>'B4 - TCO PL&amp;FMCG 19T 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'!$C$170:$AG$170</c:f>
              <c:numCache>
                <c:formatCode>_ [$₹-4009]\ * #,##0.00_ ;_ [$₹-4009]\ * \-#,##0.00_ ;_ [$₹-4009]\ * "-"??_ ;_ @_ </c:formatCode>
                <c:ptCount val="31"/>
                <c:pt idx="0">
                  <c:v>73.835169838451918</c:v>
                </c:pt>
                <c:pt idx="1">
                  <c:v>73.270742905130803</c:v>
                </c:pt>
                <c:pt idx="2">
                  <c:v>72.780287483470687</c:v>
                </c:pt>
                <c:pt idx="3">
                  <c:v>72.365217323532818</c:v>
                </c:pt>
                <c:pt idx="4">
                  <c:v>72.022825434670565</c:v>
                </c:pt>
                <c:pt idx="5">
                  <c:v>72.170965826073868</c:v>
                </c:pt>
                <c:pt idx="6">
                  <c:v>70.216971053751024</c:v>
                </c:pt>
                <c:pt idx="7">
                  <c:v>69.287087639920856</c:v>
                </c:pt>
                <c:pt idx="8">
                  <c:v>68.427530064302033</c:v>
                </c:pt>
                <c:pt idx="9">
                  <c:v>67.646338247027259</c:v>
                </c:pt>
                <c:pt idx="10">
                  <c:v>66.931015824332491</c:v>
                </c:pt>
                <c:pt idx="11">
                  <c:v>65.034569767592316</c:v>
                </c:pt>
                <c:pt idx="12">
                  <c:v>64.465190805193473</c:v>
                </c:pt>
                <c:pt idx="13">
                  <c:v>63.957519319305717</c:v>
                </c:pt>
                <c:pt idx="14">
                  <c:v>63.521843593147437</c:v>
                </c:pt>
                <c:pt idx="15">
                  <c:v>63.144138887868209</c:v>
                </c:pt>
                <c:pt idx="16">
                  <c:v>61.709745023368988</c:v>
                </c:pt>
                <c:pt idx="17">
                  <c:v>61.851001473851156</c:v>
                </c:pt>
                <c:pt idx="18">
                  <c:v>62.050102331896518</c:v>
                </c:pt>
                <c:pt idx="19">
                  <c:v>62.310229277407323</c:v>
                </c:pt>
                <c:pt idx="20">
                  <c:v>62.62487168474734</c:v>
                </c:pt>
                <c:pt idx="21">
                  <c:v>61.419060337053665</c:v>
                </c:pt>
                <c:pt idx="22">
                  <c:v>61.833775724193146</c:v>
                </c:pt>
                <c:pt idx="23">
                  <c:v>62.313698999905959</c:v>
                </c:pt>
                <c:pt idx="24">
                  <c:v>62.850930353282649</c:v>
                </c:pt>
                <c:pt idx="25">
                  <c:v>63.452501572863092</c:v>
                </c:pt>
                <c:pt idx="26">
                  <c:v>63.883387355562647</c:v>
                </c:pt>
                <c:pt idx="27">
                  <c:v>65.282153290954511</c:v>
                </c:pt>
                <c:pt idx="28">
                  <c:v>66.747492660673259</c:v>
                </c:pt>
                <c:pt idx="29">
                  <c:v>68.283104511871699</c:v>
                </c:pt>
                <c:pt idx="30">
                  <c:v>69.887281284039474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BD-4699-B76E-7DB1AB87763F}"/>
            </c:ext>
          </c:extLst>
        </c:ser>
        <c:ser>
          <c:idx val="7"/>
          <c:order val="7"/>
          <c:tx>
            <c:strRef>
              <c:f>'B4 - TCO PL&amp;FMCG 19T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'!$C$167:$AG$167</c:f>
              <c:numCache>
                <c:formatCode>_ [$₹-4009]\ * #,##0.00_ ;_ [$₹-4009]\ * \-#,##0.00_ ;_ [$₹-4009]\ * "-"??_ ;_ @_ </c:formatCode>
                <c:ptCount val="31"/>
                <c:pt idx="0">
                  <c:v>33.435658069820761</c:v>
                </c:pt>
                <c:pt idx="1">
                  <c:v>34.502436106355709</c:v>
                </c:pt>
                <c:pt idx="2">
                  <c:v>35.506619526278314</c:v>
                </c:pt>
                <c:pt idx="3">
                  <c:v>36.544078675742441</c:v>
                </c:pt>
                <c:pt idx="4">
                  <c:v>37.61703777165846</c:v>
                </c:pt>
                <c:pt idx="5">
                  <c:v>39.347261568620695</c:v>
                </c:pt>
                <c:pt idx="6">
                  <c:v>40.511957001483047</c:v>
                </c:pt>
                <c:pt idx="7">
                  <c:v>41.714303454351196</c:v>
                </c:pt>
                <c:pt idx="8">
                  <c:v>42.955066037643867</c:v>
                </c:pt>
                <c:pt idx="9">
                  <c:v>44.236587950705015</c:v>
                </c:pt>
                <c:pt idx="10">
                  <c:v>45.559685990919284</c:v>
                </c:pt>
                <c:pt idx="11">
                  <c:v>47.576032400126522</c:v>
                </c:pt>
                <c:pt idx="12">
                  <c:v>49.001147155420796</c:v>
                </c:pt>
                <c:pt idx="13">
                  <c:v>50.480243539614683</c:v>
                </c:pt>
                <c:pt idx="14">
                  <c:v>52.004993449540308</c:v>
                </c:pt>
                <c:pt idx="15">
                  <c:v>53.585618368297219</c:v>
                </c:pt>
                <c:pt idx="16">
                  <c:v>55.213853389118192</c:v>
                </c:pt>
                <c:pt idx="17">
                  <c:v>56.901670302907789</c:v>
                </c:pt>
                <c:pt idx="18">
                  <c:v>58.640871792299244</c:v>
                </c:pt>
                <c:pt idx="19">
                  <c:v>60.440129644649979</c:v>
                </c:pt>
                <c:pt idx="20">
                  <c:v>62.300578096502669</c:v>
                </c:pt>
                <c:pt idx="21">
                  <c:v>65.082976236304987</c:v>
                </c:pt>
                <c:pt idx="22">
                  <c:v>67.09822634421495</c:v>
                </c:pt>
                <c:pt idx="23">
                  <c:v>69.180649443411568</c:v>
                </c:pt>
                <c:pt idx="24">
                  <c:v>71.333357067233749</c:v>
                </c:pt>
                <c:pt idx="25">
                  <c:v>73.555869804886981</c:v>
                </c:pt>
                <c:pt idx="26">
                  <c:v>75.851387708839724</c:v>
                </c:pt>
                <c:pt idx="27">
                  <c:v>78.230599420068856</c:v>
                </c:pt>
                <c:pt idx="28">
                  <c:v>80.685723221590848</c:v>
                </c:pt>
                <c:pt idx="29">
                  <c:v>83.227545735517467</c:v>
                </c:pt>
                <c:pt idx="30">
                  <c:v>85.857645863745802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EBD-4699-B76E-7DB1AB87763F}"/>
            </c:ext>
          </c:extLst>
        </c:ser>
        <c:ser>
          <c:idx val="8"/>
          <c:order val="8"/>
          <c:tx>
            <c:strRef>
              <c:f>'B4 - TCO PL&amp;FMCG 19T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'!$C$166:$AG$166</c:f>
              <c:numCache>
                <c:formatCode>_ [$₹-4009]\ * #,##0.00_ ;_ [$₹-4009]\ * \-#,##0.00_ ;_ [$₹-4009]\ * "-"??_ ;_ @_ </c:formatCode>
                <c:ptCount val="31"/>
                <c:pt idx="0">
                  <c:v>33.072847161282027</c:v>
                </c:pt>
                <c:pt idx="1">
                  <c:v>34.397588131676038</c:v>
                </c:pt>
                <c:pt idx="2">
                  <c:v>35.416590590441139</c:v>
                </c:pt>
                <c:pt idx="3">
                  <c:v>36.470446804450667</c:v>
                </c:pt>
                <c:pt idx="4">
                  <c:v>37.559968814584188</c:v>
                </c:pt>
                <c:pt idx="5">
                  <c:v>39.307066091896594</c:v>
                </c:pt>
                <c:pt idx="6">
                  <c:v>40.489094629196167</c:v>
                </c:pt>
                <c:pt idx="7">
                  <c:v>41.709946304163168</c:v>
                </c:pt>
                <c:pt idx="8">
                  <c:v>42.970561131716536</c:v>
                </c:pt>
                <c:pt idx="9">
                  <c:v>44.271909785386676</c:v>
                </c:pt>
                <c:pt idx="10">
                  <c:v>45.614994618742543</c:v>
                </c:pt>
                <c:pt idx="11">
                  <c:v>47.613327246797787</c:v>
                </c:pt>
                <c:pt idx="12">
                  <c:v>49.061397832943221</c:v>
                </c:pt>
                <c:pt idx="13">
                  <c:v>50.564222970542851</c:v>
                </c:pt>
                <c:pt idx="14">
                  <c:v>52.113699938415195</c:v>
                </c:pt>
                <c:pt idx="15">
                  <c:v>53.720282363105724</c:v>
                </c:pt>
                <c:pt idx="16">
                  <c:v>55.375944445596595</c:v>
                </c:pt>
                <c:pt idx="17">
                  <c:v>57.091219305193057</c:v>
                </c:pt>
                <c:pt idx="18">
                  <c:v>58.858163293939633</c:v>
                </c:pt>
                <c:pt idx="19">
                  <c:v>60.687394431268459</c:v>
                </c:pt>
                <c:pt idx="20">
                  <c:v>62.580316071600642</c:v>
                </c:pt>
                <c:pt idx="21">
                  <c:v>65.361494892648011</c:v>
                </c:pt>
                <c:pt idx="22">
                  <c:v>67.410887021501011</c:v>
                </c:pt>
                <c:pt idx="23">
                  <c:v>69.529203293354342</c:v>
                </c:pt>
                <c:pt idx="24">
                  <c:v>71.718063132541886</c:v>
                </c:pt>
                <c:pt idx="25">
                  <c:v>73.979139228252222</c:v>
                </c:pt>
                <c:pt idx="26">
                  <c:v>76.314159323678169</c:v>
                </c:pt>
                <c:pt idx="27">
                  <c:v>78.734167325787524</c:v>
                </c:pt>
                <c:pt idx="28">
                  <c:v>81.231747441567322</c:v>
                </c:pt>
                <c:pt idx="29">
                  <c:v>83.818063194819104</c:v>
                </c:pt>
                <c:pt idx="30">
                  <c:v>86.495081696180407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BD-4699-B76E-7DB1AB877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'B4 - TCO PL&amp;FMCG 19T 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'B4 - TCO PL&amp;FMCG 19T 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'B4 - TCO PL&amp;FMCG 19T 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30.804252842521162</c:v>
                      </c:pt>
                      <c:pt idx="1">
                        <c:v>33.038770129267654</c:v>
                      </c:pt>
                      <c:pt idx="2">
                        <c:v>33.832917138626378</c:v>
                      </c:pt>
                      <c:pt idx="3">
                        <c:v>34.650862355429481</c:v>
                      </c:pt>
                      <c:pt idx="4">
                        <c:v>35.493196393490209</c:v>
                      </c:pt>
                      <c:pt idx="5">
                        <c:v>36.895406454027849</c:v>
                      </c:pt>
                      <c:pt idx="6">
                        <c:v>37.803581433343922</c:v>
                      </c:pt>
                      <c:pt idx="7">
                        <c:v>38.73797725159362</c:v>
                      </c:pt>
                      <c:pt idx="8">
                        <c:v>39.698958206139118</c:v>
                      </c:pt>
                      <c:pt idx="9">
                        <c:v>40.687033586935343</c:v>
                      </c:pt>
                      <c:pt idx="10">
                        <c:v>41.702858058180048</c:v>
                      </c:pt>
                      <c:pt idx="11">
                        <c:v>43.256878307177466</c:v>
                      </c:pt>
                      <c:pt idx="12">
                        <c:v>44.344841963013174</c:v>
                      </c:pt>
                      <c:pt idx="13">
                        <c:v>45.470988497809955</c:v>
                      </c:pt>
                      <c:pt idx="14">
                        <c:v>46.627567804488798</c:v>
                      </c:pt>
                      <c:pt idx="15">
                        <c:v>47.823510156481895</c:v>
                      </c:pt>
                      <c:pt idx="16">
                        <c:v>49.051093348039082</c:v>
                      </c:pt>
                      <c:pt idx="17">
                        <c:v>50.31927651864509</c:v>
                      </c:pt>
                      <c:pt idx="18">
                        <c:v>51.620513022233411</c:v>
                      </c:pt>
                      <c:pt idx="19">
                        <c:v>52.963792901817612</c:v>
                      </c:pt>
                      <c:pt idx="20">
                        <c:v>54.349789130369444</c:v>
                      </c:pt>
                      <c:pt idx="21">
                        <c:v>56.464813395781007</c:v>
                      </c:pt>
                      <c:pt idx="22">
                        <c:v>57.959180064920645</c:v>
                      </c:pt>
                      <c:pt idx="23">
                        <c:v>59.499295800098544</c:v>
                      </c:pt>
                      <c:pt idx="24">
                        <c:v>61.08607402294156</c:v>
                      </c:pt>
                      <c:pt idx="25">
                        <c:v>62.72028987803305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CEBD-4699-B76E-7DB1AB87763F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'B4 - TCO PL&amp;FMCG 19T 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'!$C$174:$AG$174</c:f>
              <c:numCache>
                <c:formatCode>_ [$₹-4009]\ * #,##0.00_ ;_ [$₹-4009]\ * \-#,##0.00_ ;_ [$₹-4009]\ * "-"??_ ;_ @_ </c:formatCode>
                <c:ptCount val="31"/>
                <c:pt idx="0">
                  <c:v>3.259709295504885</c:v>
                </c:pt>
                <c:pt idx="1">
                  <c:v>3.4961661512452538</c:v>
                </c:pt>
                <c:pt idx="2">
                  <c:v>3.5802028718123147</c:v>
                </c:pt>
                <c:pt idx="3">
                  <c:v>3.6667579212094688</c:v>
                </c:pt>
                <c:pt idx="4">
                  <c:v>3.7558937982529317</c:v>
                </c:pt>
                <c:pt idx="5">
                  <c:v>3.9042758152410419</c:v>
                </c:pt>
                <c:pt idx="6">
                  <c:v>4.0003789876554414</c:v>
                </c:pt>
                <c:pt idx="7">
                  <c:v>4.0992568520204884</c:v>
                </c:pt>
                <c:pt idx="8">
                  <c:v>4.2009479583215992</c:v>
                </c:pt>
                <c:pt idx="9">
                  <c:v>4.3055061996756976</c:v>
                </c:pt>
                <c:pt idx="10">
                  <c:v>4.4130008527174649</c:v>
                </c:pt>
                <c:pt idx="11">
                  <c:v>4.5774474399129597</c:v>
                </c:pt>
                <c:pt idx="12">
                  <c:v>4.6925758691019235</c:v>
                </c:pt>
                <c:pt idx="13">
                  <c:v>4.8117448145830641</c:v>
                </c:pt>
                <c:pt idx="14">
                  <c:v>4.934134159205164</c:v>
                </c:pt>
                <c:pt idx="15">
                  <c:v>5.0606889054478197</c:v>
                </c:pt>
                <c:pt idx="16">
                  <c:v>5.190591888681384</c:v>
                </c:pt>
                <c:pt idx="17">
                  <c:v>5.3247911659941893</c:v>
                </c:pt>
                <c:pt idx="18">
                  <c:v>5.4624881505008904</c:v>
                </c:pt>
                <c:pt idx="19">
                  <c:v>5.604634169504509</c:v>
                </c:pt>
                <c:pt idx="20">
                  <c:v>5.7513004370761323</c:v>
                </c:pt>
                <c:pt idx="21">
                  <c:v>5.9751125286540745</c:v>
                </c:pt>
                <c:pt idx="22">
                  <c:v>6.13324656771647</c:v>
                </c:pt>
                <c:pt idx="23">
                  <c:v>6.2962217777882055</c:v>
                </c:pt>
                <c:pt idx="24">
                  <c:v>6.4641348172424928</c:v>
                </c:pt>
                <c:pt idx="25">
                  <c:v>6.6370677119611692</c:v>
                </c:pt>
                <c:pt idx="26">
                  <c:v>6.8151046044972743</c:v>
                </c:pt>
                <c:pt idx="27">
                  <c:v>6.9992470171922898</c:v>
                </c:pt>
                <c:pt idx="28">
                  <c:v>7.1887017189326938</c:v>
                </c:pt>
                <c:pt idx="29">
                  <c:v>7.3844581736577739</c:v>
                </c:pt>
                <c:pt idx="30">
                  <c:v>7.5866097671300405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B-408F-9806-00D436AD9705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066B-408F-9806-00D436AD9705}"/>
            </c:ext>
          </c:extLst>
        </c:ser>
        <c:ser>
          <c:idx val="3"/>
          <c:order val="2"/>
          <c:tx>
            <c:strRef>
              <c:f>'B4 - TCO PL&amp;FMCG 19T 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'!$C$177:$AG$177</c:f>
              <c:numCache>
                <c:formatCode>_ [$₹-4009]\ * #,##0.00_ ;_ [$₹-4009]\ * \-#,##0.00_ ;_ [$₹-4009]\ * "-"??_ ;_ @_ </c:formatCode>
                <c:ptCount val="31"/>
                <c:pt idx="0">
                  <c:v>4.4545144283036189</c:v>
                </c:pt>
                <c:pt idx="1">
                  <c:v>4.4848025403790661</c:v>
                </c:pt>
                <c:pt idx="2">
                  <c:v>4.5095537199443854</c:v>
                </c:pt>
                <c:pt idx="3">
                  <c:v>4.4960580608496921</c:v>
                </c:pt>
                <c:pt idx="4">
                  <c:v>4.4770175442579232</c:v>
                </c:pt>
                <c:pt idx="5">
                  <c:v>4.5263598483910386</c:v>
                </c:pt>
                <c:pt idx="6">
                  <c:v>4.372542975374281</c:v>
                </c:pt>
                <c:pt idx="7">
                  <c:v>4.3913075269282027</c:v>
                </c:pt>
                <c:pt idx="8">
                  <c:v>4.3949364126682688</c:v>
                </c:pt>
                <c:pt idx="9">
                  <c:v>4.4091545611549083</c:v>
                </c:pt>
                <c:pt idx="10">
                  <c:v>4.4341204353121144</c:v>
                </c:pt>
                <c:pt idx="11">
                  <c:v>4.3809616250319898</c:v>
                </c:pt>
                <c:pt idx="12">
                  <c:v>4.4317357875476953</c:v>
                </c:pt>
                <c:pt idx="13">
                  <c:v>4.4828913474292706</c:v>
                </c:pt>
                <c:pt idx="14">
                  <c:v>4.5417791278299946</c:v>
                </c:pt>
                <c:pt idx="15">
                  <c:v>4.6081937067287306</c:v>
                </c:pt>
                <c:pt idx="16">
                  <c:v>4.6713935749356299</c:v>
                </c:pt>
                <c:pt idx="17">
                  <c:v>4.767435252361814</c:v>
                </c:pt>
                <c:pt idx="18">
                  <c:v>4.8644463773324373</c:v>
                </c:pt>
                <c:pt idx="19">
                  <c:v>4.9658015527574877</c:v>
                </c:pt>
                <c:pt idx="20">
                  <c:v>5.0718408328952354</c:v>
                </c:pt>
                <c:pt idx="21">
                  <c:v>5.0688437363812291</c:v>
                </c:pt>
                <c:pt idx="22">
                  <c:v>5.1820225090668908</c:v>
                </c:pt>
                <c:pt idx="23">
                  <c:v>5.3008193758489144</c:v>
                </c:pt>
                <c:pt idx="24">
                  <c:v>5.4247339556255412</c:v>
                </c:pt>
                <c:pt idx="25">
                  <c:v>5.5547435420363023</c:v>
                </c:pt>
                <c:pt idx="26">
                  <c:v>5.7173578871950816</c:v>
                </c:pt>
                <c:pt idx="27">
                  <c:v>5.89090588670153</c:v>
                </c:pt>
                <c:pt idx="28">
                  <c:v>6.0709534125486302</c:v>
                </c:pt>
                <c:pt idx="29">
                  <c:v>6.2579559042445831</c:v>
                </c:pt>
                <c:pt idx="30">
                  <c:v>6.4521410573415716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B-408F-9806-00D436AD9705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066B-408F-9806-00D436AD9705}"/>
            </c:ext>
          </c:extLst>
        </c:ser>
        <c:ser>
          <c:idx val="2"/>
          <c:order val="5"/>
          <c:tx>
            <c:strRef>
              <c:f>'B4 - TCO PL&amp;FMCG 19T 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'!$C$175:$AG$175</c:f>
              <c:numCache>
                <c:formatCode>_ [$₹-4009]\ * #,##0.00_ ;_ [$₹-4009]\ * \-#,##0.00_ ;_ [$₹-4009]\ * "-"??_ ;_ @_ </c:formatCode>
                <c:ptCount val="31"/>
                <c:pt idx="0">
                  <c:v>6.5292182855908099</c:v>
                </c:pt>
                <c:pt idx="1">
                  <c:v>6.5208881390306237</c:v>
                </c:pt>
                <c:pt idx="2">
                  <c:v>6.5193138131945298</c:v>
                </c:pt>
                <c:pt idx="3">
                  <c:v>6.5244212922095182</c:v>
                </c:pt>
                <c:pt idx="4">
                  <c:v>6.5361419295041516</c:v>
                </c:pt>
                <c:pt idx="5">
                  <c:v>6.6263389518625893</c:v>
                </c:pt>
                <c:pt idx="6">
                  <c:v>6.4151726216840022</c:v>
                </c:pt>
                <c:pt idx="7">
                  <c:v>6.3308588063415829</c:v>
                </c:pt>
                <c:pt idx="8">
                  <c:v>6.2536108825553853</c:v>
                </c:pt>
                <c:pt idx="9">
                  <c:v>6.1832813325013891</c:v>
                </c:pt>
                <c:pt idx="10">
                  <c:v>6.119910227038039</c:v>
                </c:pt>
                <c:pt idx="11">
                  <c:v>5.9971626568165046</c:v>
                </c:pt>
                <c:pt idx="12">
                  <c:v>5.9458295387687388</c:v>
                </c:pt>
                <c:pt idx="13">
                  <c:v>5.9018898551284007</c:v>
                </c:pt>
                <c:pt idx="14">
                  <c:v>5.8641859746874019</c:v>
                </c:pt>
                <c:pt idx="15">
                  <c:v>5.8336644671124462</c:v>
                </c:pt>
                <c:pt idx="16">
                  <c:v>5.6840134467197769</c:v>
                </c:pt>
                <c:pt idx="17">
                  <c:v>5.6923673153514862</c:v>
                </c:pt>
                <c:pt idx="18">
                  <c:v>5.7059544513925076</c:v>
                </c:pt>
                <c:pt idx="19">
                  <c:v>5.726072081290206</c:v>
                </c:pt>
                <c:pt idx="20">
                  <c:v>5.7523089904380287</c:v>
                </c:pt>
                <c:pt idx="21">
                  <c:v>5.7430631455301171</c:v>
                </c:pt>
                <c:pt idx="22">
                  <c:v>5.7806874424153882</c:v>
                </c:pt>
                <c:pt idx="23">
                  <c:v>5.8242142044408585</c:v>
                </c:pt>
                <c:pt idx="24">
                  <c:v>5.8739136891966242</c:v>
                </c:pt>
                <c:pt idx="25">
                  <c:v>5.9297415344506028</c:v>
                </c:pt>
                <c:pt idx="26">
                  <c:v>5.9762455033784123</c:v>
                </c:pt>
                <c:pt idx="27">
                  <c:v>6.1089041296518447</c:v>
                </c:pt>
                <c:pt idx="28">
                  <c:v>6.2480694227506453</c:v>
                </c:pt>
                <c:pt idx="29">
                  <c:v>6.3949607174419629</c:v>
                </c:pt>
                <c:pt idx="30">
                  <c:v>6.5494401736775254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6B-408F-9806-00D436AD9705}"/>
            </c:ext>
          </c:extLst>
        </c:ser>
        <c:ser>
          <c:idx val="6"/>
          <c:order val="6"/>
          <c:tx>
            <c:strRef>
              <c:f>'B4 - TCO PL&amp;FMCG 19T 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'!$C$176:$AG$176</c:f>
              <c:numCache>
                <c:formatCode>_ [$₹-4009]\ * #,##0.00_ ;_ [$₹-4009]\ * \-#,##0.00_ ;_ [$₹-4009]\ * "-"??_ ;_ @_ </c:formatCode>
                <c:ptCount val="31"/>
                <c:pt idx="0">
                  <c:v>3.1843483876019771</c:v>
                </c:pt>
                <c:pt idx="1">
                  <c:v>3.2859462958434009</c:v>
                </c:pt>
                <c:pt idx="2">
                  <c:v>3.3815828120265059</c:v>
                </c:pt>
                <c:pt idx="3">
                  <c:v>3.4803884453088036</c:v>
                </c:pt>
                <c:pt idx="4">
                  <c:v>3.5825750258722344</c:v>
                </c:pt>
                <c:pt idx="5">
                  <c:v>3.7473582446305427</c:v>
                </c:pt>
                <c:pt idx="6">
                  <c:v>3.8582816191888614</c:v>
                </c:pt>
                <c:pt idx="7">
                  <c:v>3.9727908051763046</c:v>
                </c:pt>
                <c:pt idx="8">
                  <c:v>4.0909586702517968</c:v>
                </c:pt>
                <c:pt idx="9">
                  <c:v>4.21300837625762</c:v>
                </c:pt>
                <c:pt idx="10">
                  <c:v>4.3390177134208843</c:v>
                </c:pt>
                <c:pt idx="11">
                  <c:v>4.5310507047739543</c:v>
                </c:pt>
                <c:pt idx="12">
                  <c:v>4.6667759195638858</c:v>
                </c:pt>
                <c:pt idx="13">
                  <c:v>4.8076422418680655</c:v>
                </c:pt>
                <c:pt idx="14">
                  <c:v>4.9528565190038387</c:v>
                </c:pt>
                <c:pt idx="15">
                  <c:v>5.103392225552116</c:v>
                </c:pt>
                <c:pt idx="16">
                  <c:v>5.2584622275350661</c:v>
                </c:pt>
                <c:pt idx="17">
                  <c:v>5.4192066955150278</c:v>
                </c:pt>
                <c:pt idx="18">
                  <c:v>5.5848449325999283</c:v>
                </c:pt>
                <c:pt idx="19">
                  <c:v>5.756202823299998</c:v>
                </c:pt>
                <c:pt idx="20">
                  <c:v>5.9333883901431106</c:v>
                </c:pt>
                <c:pt idx="21">
                  <c:v>6.1983786891719035</c:v>
                </c:pt>
                <c:pt idx="22">
                  <c:v>6.3903072708776145</c:v>
                </c:pt>
                <c:pt idx="23">
                  <c:v>6.5886332803249106</c:v>
                </c:pt>
                <c:pt idx="24">
                  <c:v>6.7936530540222613</c:v>
                </c:pt>
                <c:pt idx="25">
                  <c:v>7.0053209337987603</c:v>
                </c:pt>
                <c:pt idx="26">
                  <c:v>7.2239416865561648</c:v>
                </c:pt>
                <c:pt idx="27">
                  <c:v>7.4505332781017959</c:v>
                </c:pt>
                <c:pt idx="28">
                  <c:v>7.6843545925324612</c:v>
                </c:pt>
                <c:pt idx="29">
                  <c:v>7.9264329271921401</c:v>
                </c:pt>
                <c:pt idx="30">
                  <c:v>8.1769186536900769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6B-408F-9806-00D436AD9705}"/>
            </c:ext>
          </c:extLst>
        </c:ser>
        <c:ser>
          <c:idx val="7"/>
          <c:order val="7"/>
          <c:tx>
            <c:strRef>
              <c:f>'B4 - TCO PL&amp;FMCG 19T 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'!$C$178:$AG$178</c:f>
              <c:numCache>
                <c:formatCode>_ [$₹-4009]\ * #,##0.00_ ;_ [$₹-4009]\ * \-#,##0.00_ ;_ [$₹-4009]\ * "-"??_ ;_ @_ </c:formatCode>
                <c:ptCount val="31"/>
                <c:pt idx="0">
                  <c:v>7.0319209369954212</c:v>
                </c:pt>
                <c:pt idx="1">
                  <c:v>6.9781659909648388</c:v>
                </c:pt>
                <c:pt idx="2">
                  <c:v>6.9314559508067326</c:v>
                </c:pt>
                <c:pt idx="3">
                  <c:v>6.891925459384078</c:v>
                </c:pt>
                <c:pt idx="4">
                  <c:v>6.8593167080638633</c:v>
                </c:pt>
                <c:pt idx="5">
                  <c:v>6.8734253167689401</c:v>
                </c:pt>
                <c:pt idx="6">
                  <c:v>6.6873305765477165</c:v>
                </c:pt>
                <c:pt idx="7">
                  <c:v>6.5987702514210334</c:v>
                </c:pt>
                <c:pt idx="8">
                  <c:v>6.5169076251716227</c:v>
                </c:pt>
                <c:pt idx="9">
                  <c:v>6.4425084044787866</c:v>
                </c:pt>
                <c:pt idx="10">
                  <c:v>6.3743824594602367</c:v>
                </c:pt>
                <c:pt idx="11">
                  <c:v>6.1937685492945063</c:v>
                </c:pt>
                <c:pt idx="12">
                  <c:v>6.1395419814469978</c:v>
                </c:pt>
                <c:pt idx="13">
                  <c:v>6.0911923161243537</c:v>
                </c:pt>
                <c:pt idx="14">
                  <c:v>6.0496993898235649</c:v>
                </c:pt>
                <c:pt idx="15">
                  <c:v>6.0137275131303056</c:v>
                </c:pt>
                <c:pt idx="16">
                  <c:v>5.8771185736541893</c:v>
                </c:pt>
                <c:pt idx="17">
                  <c:v>5.8905715689382054</c:v>
                </c:pt>
                <c:pt idx="18">
                  <c:v>5.9095335554187161</c:v>
                </c:pt>
                <c:pt idx="19">
                  <c:v>5.9343075502292688</c:v>
                </c:pt>
                <c:pt idx="20">
                  <c:v>5.9642734937854609</c:v>
                </c:pt>
                <c:pt idx="21">
                  <c:v>5.8494343178146346</c:v>
                </c:pt>
                <c:pt idx="22">
                  <c:v>5.8889310213517287</c:v>
                </c:pt>
                <c:pt idx="23">
                  <c:v>5.9346379999910432</c:v>
                </c:pt>
                <c:pt idx="24">
                  <c:v>5.9858028907888237</c:v>
                </c:pt>
                <c:pt idx="25">
                  <c:v>6.0430953878917233</c:v>
                </c:pt>
                <c:pt idx="26">
                  <c:v>6.0841321291012047</c:v>
                </c:pt>
                <c:pt idx="27">
                  <c:v>6.2173479324718581</c:v>
                </c:pt>
                <c:pt idx="28">
                  <c:v>6.356904062921263</c:v>
                </c:pt>
                <c:pt idx="29">
                  <c:v>6.5031528106544467</c:v>
                </c:pt>
                <c:pt idx="30">
                  <c:v>6.6559315508609025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6B-408F-9806-00D436AD9705}"/>
            </c:ext>
          </c:extLst>
        </c:ser>
        <c:ser>
          <c:idx val="8"/>
          <c:order val="8"/>
          <c:tx>
            <c:strRef>
              <c:f>'B4 - TCO PL&amp;FMCG 19T 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'B4 - TCO PL&amp;FMCG 19T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'!$C$179:$AG$179</c:f>
              <c:numCache>
                <c:formatCode>_ [$₹-4009]\ * #,##0.00_ ;_ [$₹-4009]\ * \-#,##0.00_ ;_ [$₹-4009]\ * "-"??_ ;_ @_ </c:formatCode>
                <c:ptCount val="31"/>
                <c:pt idx="0">
                  <c:v>7.6911635248387418</c:v>
                </c:pt>
                <c:pt idx="1">
                  <c:v>7.6323690526177916</c:v>
                </c:pt>
                <c:pt idx="2">
                  <c:v>7.5812799461948632</c:v>
                </c:pt>
                <c:pt idx="3">
                  <c:v>7.5380434712013349</c:v>
                </c:pt>
                <c:pt idx="4">
                  <c:v>7.5023776494448509</c:v>
                </c:pt>
                <c:pt idx="5">
                  <c:v>7.5178089402160282</c:v>
                </c:pt>
                <c:pt idx="6">
                  <c:v>7.314267818099065</c:v>
                </c:pt>
                <c:pt idx="7">
                  <c:v>7.2174049624917558</c:v>
                </c:pt>
                <c:pt idx="8">
                  <c:v>7.1278677150314618</c:v>
                </c:pt>
                <c:pt idx="9">
                  <c:v>7.0464935673986728</c:v>
                </c:pt>
                <c:pt idx="10">
                  <c:v>6.9719808150346347</c:v>
                </c:pt>
                <c:pt idx="11">
                  <c:v>6.774434350790866</c:v>
                </c:pt>
                <c:pt idx="12">
                  <c:v>6.7151240422076537</c:v>
                </c:pt>
                <c:pt idx="13">
                  <c:v>6.6622415957610119</c:v>
                </c:pt>
                <c:pt idx="14">
                  <c:v>6.6168587076195244</c:v>
                </c:pt>
                <c:pt idx="15">
                  <c:v>6.5775144674862718</c:v>
                </c:pt>
                <c:pt idx="16">
                  <c:v>6.4280984399342698</c:v>
                </c:pt>
                <c:pt idx="17">
                  <c:v>6.4428126535261621</c:v>
                </c:pt>
                <c:pt idx="18">
                  <c:v>6.4635523262392205</c:v>
                </c:pt>
                <c:pt idx="19">
                  <c:v>6.4906488830632627</c:v>
                </c:pt>
                <c:pt idx="20">
                  <c:v>6.5234241338278478</c:v>
                </c:pt>
                <c:pt idx="21">
                  <c:v>6.3978187851097568</c:v>
                </c:pt>
                <c:pt idx="22">
                  <c:v>6.4410183046034524</c:v>
                </c:pt>
                <c:pt idx="23">
                  <c:v>6.4910103124902037</c:v>
                </c:pt>
                <c:pt idx="24">
                  <c:v>6.5469719118002763</c:v>
                </c:pt>
                <c:pt idx="25">
                  <c:v>6.6096355805065725</c:v>
                </c:pt>
                <c:pt idx="26">
                  <c:v>6.6545195162044424</c:v>
                </c:pt>
                <c:pt idx="27">
                  <c:v>6.8002243011410952</c:v>
                </c:pt>
                <c:pt idx="28">
                  <c:v>6.9528638188201315</c:v>
                </c:pt>
                <c:pt idx="29">
                  <c:v>7.1128233866533019</c:v>
                </c:pt>
                <c:pt idx="30">
                  <c:v>7.2799251337541113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6B-408F-9806-00D436AD9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'B4 - TCO PL&amp;FMCG 19T 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'B4 - TCO PL&amp;FMCG 19T 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'B4 - TCO PL&amp;FMCG 19T 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3.259709295504885</c:v>
                      </c:pt>
                      <c:pt idx="1">
                        <c:v>3.4961661512452538</c:v>
                      </c:pt>
                      <c:pt idx="2">
                        <c:v>3.5802028718123147</c:v>
                      </c:pt>
                      <c:pt idx="3">
                        <c:v>3.6667579212094688</c:v>
                      </c:pt>
                      <c:pt idx="4">
                        <c:v>3.7558937982529317</c:v>
                      </c:pt>
                      <c:pt idx="5">
                        <c:v>3.9042758152410419</c:v>
                      </c:pt>
                      <c:pt idx="6">
                        <c:v>4.0003789876554414</c:v>
                      </c:pt>
                      <c:pt idx="7">
                        <c:v>4.0992568520204884</c:v>
                      </c:pt>
                      <c:pt idx="8">
                        <c:v>4.2009479583215992</c:v>
                      </c:pt>
                      <c:pt idx="9">
                        <c:v>4.3055061996756976</c:v>
                      </c:pt>
                      <c:pt idx="10">
                        <c:v>4.4130008527174649</c:v>
                      </c:pt>
                      <c:pt idx="11">
                        <c:v>4.5774474399129597</c:v>
                      </c:pt>
                      <c:pt idx="12">
                        <c:v>4.6925758691019235</c:v>
                      </c:pt>
                      <c:pt idx="13">
                        <c:v>4.8117448145830641</c:v>
                      </c:pt>
                      <c:pt idx="14">
                        <c:v>4.934134159205164</c:v>
                      </c:pt>
                      <c:pt idx="15">
                        <c:v>5.0606889054478197</c:v>
                      </c:pt>
                      <c:pt idx="16">
                        <c:v>5.190591888681384</c:v>
                      </c:pt>
                      <c:pt idx="17">
                        <c:v>5.3247911659941893</c:v>
                      </c:pt>
                      <c:pt idx="18">
                        <c:v>5.4624881505008904</c:v>
                      </c:pt>
                      <c:pt idx="19">
                        <c:v>5.604634169504509</c:v>
                      </c:pt>
                      <c:pt idx="20">
                        <c:v>5.7513004370761323</c:v>
                      </c:pt>
                      <c:pt idx="21">
                        <c:v>5.9751125286540745</c:v>
                      </c:pt>
                      <c:pt idx="22">
                        <c:v>6.13324656771647</c:v>
                      </c:pt>
                      <c:pt idx="23">
                        <c:v>6.2962217777882055</c:v>
                      </c:pt>
                      <c:pt idx="24">
                        <c:v>6.4641348172424928</c:v>
                      </c:pt>
                      <c:pt idx="25">
                        <c:v>6.6370677119611692</c:v>
                      </c:pt>
                      <c:pt idx="26">
                        <c:v>6.8151046044972743</c:v>
                      </c:pt>
                      <c:pt idx="27">
                        <c:v>6.9992470171922898</c:v>
                      </c:pt>
                      <c:pt idx="28">
                        <c:v>7.1887017189326938</c:v>
                      </c:pt>
                      <c:pt idx="29">
                        <c:v>7.3844581736577739</c:v>
                      </c:pt>
                      <c:pt idx="30">
                        <c:v>7.5866097671300405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066B-408F-9806-00D436AD9705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'B4 - TCO PL&amp;FMCG 19T 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'!$E$63:$AG$63</c:f>
              <c:numCache>
                <c:formatCode>_ [$₹-4009]\ * #,##0_ ;_ [$₹-4009]\ * \-#,##0_ ;_ [$₹-4009]\ * "-"??_ ;_ @_ </c:formatCode>
                <c:ptCount val="29"/>
                <c:pt idx="0">
                  <c:v>2917500</c:v>
                </c:pt>
                <c:pt idx="1">
                  <c:v>3005000</c:v>
                </c:pt>
                <c:pt idx="2">
                  <c:v>3095200</c:v>
                </c:pt>
                <c:pt idx="3">
                  <c:v>3588100</c:v>
                </c:pt>
                <c:pt idx="4">
                  <c:v>3695700</c:v>
                </c:pt>
                <c:pt idx="5">
                  <c:v>3806600</c:v>
                </c:pt>
                <c:pt idx="6">
                  <c:v>3920800</c:v>
                </c:pt>
                <c:pt idx="7">
                  <c:v>4038400</c:v>
                </c:pt>
                <c:pt idx="8">
                  <c:v>4159600</c:v>
                </c:pt>
                <c:pt idx="9">
                  <c:v>4284400</c:v>
                </c:pt>
                <c:pt idx="10">
                  <c:v>4412900</c:v>
                </c:pt>
                <c:pt idx="11">
                  <c:v>4545300</c:v>
                </c:pt>
                <c:pt idx="12">
                  <c:v>4681700</c:v>
                </c:pt>
                <c:pt idx="13">
                  <c:v>4822200</c:v>
                </c:pt>
                <c:pt idx="14">
                  <c:v>4966900</c:v>
                </c:pt>
                <c:pt idx="15">
                  <c:v>5115900</c:v>
                </c:pt>
                <c:pt idx="16">
                  <c:v>5269400</c:v>
                </c:pt>
                <c:pt idx="17">
                  <c:v>5427500</c:v>
                </c:pt>
                <c:pt idx="18">
                  <c:v>5590300</c:v>
                </c:pt>
                <c:pt idx="19">
                  <c:v>5758000</c:v>
                </c:pt>
                <c:pt idx="20">
                  <c:v>5930700</c:v>
                </c:pt>
                <c:pt idx="21">
                  <c:v>6108600</c:v>
                </c:pt>
                <c:pt idx="22">
                  <c:v>6291900</c:v>
                </c:pt>
                <c:pt idx="23">
                  <c:v>6480700</c:v>
                </c:pt>
                <c:pt idx="24">
                  <c:v>6675100</c:v>
                </c:pt>
                <c:pt idx="25">
                  <c:v>6875400</c:v>
                </c:pt>
                <c:pt idx="26">
                  <c:v>7081700</c:v>
                </c:pt>
                <c:pt idx="27">
                  <c:v>7294200</c:v>
                </c:pt>
                <c:pt idx="28">
                  <c:v>7513000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E-495B-A50F-C2E009A1DB31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50DE-495B-A50F-C2E009A1DB31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50DE-495B-A50F-C2E009A1DB31}"/>
            </c:ext>
          </c:extLst>
        </c:ser>
        <c:ser>
          <c:idx val="3"/>
          <c:order val="3"/>
          <c:tx>
            <c:strRef>
              <c:f>'B4 - TCO PL&amp;FMCG 19T 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'!$C$132:$AG$132</c:f>
              <c:numCache>
                <c:formatCode>_ [$₹-4009]\ * #,##0_ ;_ [$₹-4009]\ * \-#,##0_ ;_ [$₹-4009]\ * "-"??_ ;_ @_ </c:formatCode>
                <c:ptCount val="31"/>
                <c:pt idx="0">
                  <c:v>7195000</c:v>
                </c:pt>
                <c:pt idx="1">
                  <c:v>7136000</c:v>
                </c:pt>
                <c:pt idx="2">
                  <c:v>7084000</c:v>
                </c:pt>
                <c:pt idx="3">
                  <c:v>6881000</c:v>
                </c:pt>
                <c:pt idx="4">
                  <c:v>6693000</c:v>
                </c:pt>
                <c:pt idx="5">
                  <c:v>6718000</c:v>
                </c:pt>
                <c:pt idx="6">
                  <c:v>6582000</c:v>
                </c:pt>
                <c:pt idx="7">
                  <c:v>6606000</c:v>
                </c:pt>
                <c:pt idx="8">
                  <c:v>6635000</c:v>
                </c:pt>
                <c:pt idx="9">
                  <c:v>6668000</c:v>
                </c:pt>
                <c:pt idx="10">
                  <c:v>6706000</c:v>
                </c:pt>
                <c:pt idx="11">
                  <c:v>6749000</c:v>
                </c:pt>
                <c:pt idx="12">
                  <c:v>6796000</c:v>
                </c:pt>
                <c:pt idx="13">
                  <c:v>6849000</c:v>
                </c:pt>
                <c:pt idx="14">
                  <c:v>6907000</c:v>
                </c:pt>
                <c:pt idx="15">
                  <c:v>6970000</c:v>
                </c:pt>
                <c:pt idx="16">
                  <c:v>6970000</c:v>
                </c:pt>
                <c:pt idx="17">
                  <c:v>7097000</c:v>
                </c:pt>
                <c:pt idx="18">
                  <c:v>7229000</c:v>
                </c:pt>
                <c:pt idx="19">
                  <c:v>7365000</c:v>
                </c:pt>
                <c:pt idx="20">
                  <c:v>7506000</c:v>
                </c:pt>
                <c:pt idx="21">
                  <c:v>7652000</c:v>
                </c:pt>
                <c:pt idx="22">
                  <c:v>7803000</c:v>
                </c:pt>
                <c:pt idx="23">
                  <c:v>7958000</c:v>
                </c:pt>
                <c:pt idx="24">
                  <c:v>8119000</c:v>
                </c:pt>
                <c:pt idx="25">
                  <c:v>8286000</c:v>
                </c:pt>
                <c:pt idx="26">
                  <c:v>8490000</c:v>
                </c:pt>
                <c:pt idx="27">
                  <c:v>8700000</c:v>
                </c:pt>
                <c:pt idx="28">
                  <c:v>8916000</c:v>
                </c:pt>
                <c:pt idx="29">
                  <c:v>9138000</c:v>
                </c:pt>
                <c:pt idx="30">
                  <c:v>9366000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DE-495B-A50F-C2E009A1DB31}"/>
            </c:ext>
          </c:extLst>
        </c:ser>
        <c:ser>
          <c:idx val="4"/>
          <c:order val="4"/>
          <c:tx>
            <c:strRef>
              <c:f>'B4 - TCO PL&amp;FMCG 19T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'!$C$98:$AG$98</c:f>
              <c:numCache>
                <c:formatCode>_ [$₹-4009]\ * #,##0_ ;_ [$₹-4009]\ * \-#,##0_ ;_ [$₹-4009]\ * "-"??_ ;_ @_ </c:formatCode>
                <c:ptCount val="31"/>
                <c:pt idx="0">
                  <c:v>3330000</c:v>
                </c:pt>
                <c:pt idx="1">
                  <c:v>3419000</c:v>
                </c:pt>
                <c:pt idx="2">
                  <c:v>3510000</c:v>
                </c:pt>
                <c:pt idx="3">
                  <c:v>3603000</c:v>
                </c:pt>
                <c:pt idx="4">
                  <c:v>3699000</c:v>
                </c:pt>
                <c:pt idx="5">
                  <c:v>4198000</c:v>
                </c:pt>
                <c:pt idx="6">
                  <c:v>4312000</c:v>
                </c:pt>
                <c:pt idx="7">
                  <c:v>4429000</c:v>
                </c:pt>
                <c:pt idx="8">
                  <c:v>4549000</c:v>
                </c:pt>
                <c:pt idx="9">
                  <c:v>4673000</c:v>
                </c:pt>
                <c:pt idx="10">
                  <c:v>4801000</c:v>
                </c:pt>
                <c:pt idx="11">
                  <c:v>4932000</c:v>
                </c:pt>
                <c:pt idx="12">
                  <c:v>5067000</c:v>
                </c:pt>
                <c:pt idx="13">
                  <c:v>5206000</c:v>
                </c:pt>
                <c:pt idx="14">
                  <c:v>5349000</c:v>
                </c:pt>
                <c:pt idx="15">
                  <c:v>5496000</c:v>
                </c:pt>
                <c:pt idx="16">
                  <c:v>5647000</c:v>
                </c:pt>
                <c:pt idx="17">
                  <c:v>5803000</c:v>
                </c:pt>
                <c:pt idx="18">
                  <c:v>5964000</c:v>
                </c:pt>
                <c:pt idx="19">
                  <c:v>6129000</c:v>
                </c:pt>
                <c:pt idx="20">
                  <c:v>6298000</c:v>
                </c:pt>
                <c:pt idx="21">
                  <c:v>6473000</c:v>
                </c:pt>
                <c:pt idx="22">
                  <c:v>6653000</c:v>
                </c:pt>
                <c:pt idx="23">
                  <c:v>6838000</c:v>
                </c:pt>
                <c:pt idx="24">
                  <c:v>7029000</c:v>
                </c:pt>
                <c:pt idx="25">
                  <c:v>7225000</c:v>
                </c:pt>
                <c:pt idx="26">
                  <c:v>7427000</c:v>
                </c:pt>
                <c:pt idx="27">
                  <c:v>7635000</c:v>
                </c:pt>
                <c:pt idx="28">
                  <c:v>7849000</c:v>
                </c:pt>
                <c:pt idx="29">
                  <c:v>8069000</c:v>
                </c:pt>
                <c:pt idx="30">
                  <c:v>8295000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DE-495B-A50F-C2E009A1DB31}"/>
            </c:ext>
          </c:extLst>
        </c:ser>
        <c:ser>
          <c:idx val="5"/>
          <c:order val="5"/>
          <c:tx>
            <c:strRef>
              <c:f>'B4 - TCO PL&amp;FMCG 19T 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'!$C$115:$AG$115</c:f>
              <c:numCache>
                <c:formatCode>_ [$₹-4009]\ * #,##0_ ;_ [$₹-4009]\ * \-#,##0_ ;_ [$₹-4009]\ * "-"??_ ;_ @_ </c:formatCode>
                <c:ptCount val="31"/>
                <c:pt idx="0">
                  <c:v>4329000</c:v>
                </c:pt>
                <c:pt idx="1">
                  <c:v>4333000</c:v>
                </c:pt>
                <c:pt idx="2">
                  <c:v>4343000</c:v>
                </c:pt>
                <c:pt idx="3">
                  <c:v>4359000</c:v>
                </c:pt>
                <c:pt idx="4">
                  <c:v>4381000</c:v>
                </c:pt>
                <c:pt idx="5">
                  <c:v>4810000</c:v>
                </c:pt>
                <c:pt idx="6">
                  <c:v>4869000</c:v>
                </c:pt>
                <c:pt idx="7">
                  <c:v>4933000</c:v>
                </c:pt>
                <c:pt idx="8">
                  <c:v>5002000</c:v>
                </c:pt>
                <c:pt idx="9">
                  <c:v>5076000</c:v>
                </c:pt>
                <c:pt idx="10">
                  <c:v>5156000</c:v>
                </c:pt>
                <c:pt idx="11">
                  <c:v>5241000</c:v>
                </c:pt>
                <c:pt idx="12">
                  <c:v>5331000</c:v>
                </c:pt>
                <c:pt idx="13">
                  <c:v>5427000</c:v>
                </c:pt>
                <c:pt idx="14">
                  <c:v>5528000</c:v>
                </c:pt>
                <c:pt idx="15">
                  <c:v>5635000</c:v>
                </c:pt>
                <c:pt idx="16">
                  <c:v>5787000</c:v>
                </c:pt>
                <c:pt idx="17">
                  <c:v>5945000</c:v>
                </c:pt>
                <c:pt idx="18">
                  <c:v>6106000</c:v>
                </c:pt>
                <c:pt idx="19">
                  <c:v>6273000</c:v>
                </c:pt>
                <c:pt idx="20">
                  <c:v>6444000</c:v>
                </c:pt>
                <c:pt idx="21">
                  <c:v>6620000</c:v>
                </c:pt>
                <c:pt idx="22">
                  <c:v>6802000</c:v>
                </c:pt>
                <c:pt idx="23">
                  <c:v>6988000</c:v>
                </c:pt>
                <c:pt idx="24">
                  <c:v>7180000</c:v>
                </c:pt>
                <c:pt idx="25">
                  <c:v>7378000</c:v>
                </c:pt>
                <c:pt idx="26">
                  <c:v>7581000</c:v>
                </c:pt>
                <c:pt idx="27">
                  <c:v>7791000</c:v>
                </c:pt>
                <c:pt idx="28">
                  <c:v>8006000</c:v>
                </c:pt>
                <c:pt idx="29">
                  <c:v>8228000</c:v>
                </c:pt>
                <c:pt idx="30">
                  <c:v>8456000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DE-495B-A50F-C2E009A1DB31}"/>
            </c:ext>
          </c:extLst>
        </c:ser>
        <c:ser>
          <c:idx val="6"/>
          <c:order val="6"/>
          <c:tx>
            <c:strRef>
              <c:f>'B4 - TCO PL&amp;FMCG 19T 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'!$C$149:$AG$149</c:f>
              <c:numCache>
                <c:formatCode>_ [$₹-4009]\ * #,##0_ ;_ [$₹-4009]\ * \-#,##0_ ;_ [$₹-4009]\ * "-"??_ ;_ @_ </c:formatCode>
                <c:ptCount val="31"/>
                <c:pt idx="0">
                  <c:v>10666000</c:v>
                </c:pt>
                <c:pt idx="1">
                  <c:v>10444000</c:v>
                </c:pt>
                <c:pt idx="2">
                  <c:v>10234000</c:v>
                </c:pt>
                <c:pt idx="3">
                  <c:v>10037000</c:v>
                </c:pt>
                <c:pt idx="4">
                  <c:v>9852000</c:v>
                </c:pt>
                <c:pt idx="5">
                  <c:v>9880000</c:v>
                </c:pt>
                <c:pt idx="6">
                  <c:v>9777000</c:v>
                </c:pt>
                <c:pt idx="7">
                  <c:v>9688000</c:v>
                </c:pt>
                <c:pt idx="8">
                  <c:v>9608000</c:v>
                </c:pt>
                <c:pt idx="9">
                  <c:v>9537000</c:v>
                </c:pt>
                <c:pt idx="10">
                  <c:v>9474000</c:v>
                </c:pt>
                <c:pt idx="11">
                  <c:v>9419000</c:v>
                </c:pt>
                <c:pt idx="12">
                  <c:v>9373000</c:v>
                </c:pt>
                <c:pt idx="13">
                  <c:v>9335000</c:v>
                </c:pt>
                <c:pt idx="14">
                  <c:v>9306000</c:v>
                </c:pt>
                <c:pt idx="15">
                  <c:v>9284000</c:v>
                </c:pt>
                <c:pt idx="16">
                  <c:v>9211000</c:v>
                </c:pt>
                <c:pt idx="17">
                  <c:v>9310000</c:v>
                </c:pt>
                <c:pt idx="18">
                  <c:v>9414000</c:v>
                </c:pt>
                <c:pt idx="19">
                  <c:v>9525000</c:v>
                </c:pt>
                <c:pt idx="20">
                  <c:v>9640000</c:v>
                </c:pt>
                <c:pt idx="21">
                  <c:v>9603000</c:v>
                </c:pt>
                <c:pt idx="22">
                  <c:v>9731000</c:v>
                </c:pt>
                <c:pt idx="23">
                  <c:v>9865000</c:v>
                </c:pt>
                <c:pt idx="24">
                  <c:v>10006000</c:v>
                </c:pt>
                <c:pt idx="25">
                  <c:v>10153000</c:v>
                </c:pt>
                <c:pt idx="26">
                  <c:v>10220000</c:v>
                </c:pt>
                <c:pt idx="27">
                  <c:v>10448000</c:v>
                </c:pt>
                <c:pt idx="28">
                  <c:v>10681000</c:v>
                </c:pt>
                <c:pt idx="29">
                  <c:v>10921000</c:v>
                </c:pt>
                <c:pt idx="30">
                  <c:v>11167000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DE-495B-A50F-C2E009A1DB31}"/>
            </c:ext>
          </c:extLst>
        </c:ser>
        <c:ser>
          <c:idx val="7"/>
          <c:order val="7"/>
          <c:tx>
            <c:strRef>
              <c:f>'B4 - TCO PL&amp;FMCG 19T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'B4 - TCO PL&amp;FMCG 19T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'B4 - TCO PL&amp;FMCG 19T '!$C$81:$AG$81</c:f>
              <c:numCache>
                <c:formatCode>_ [$₹-4009]\ * #,##0_ ;_ [$₹-4009]\ * \-#,##0_ ;_ [$₹-4009]\ * "-"??_ ;_ @_ </c:formatCode>
                <c:ptCount val="31"/>
                <c:pt idx="0">
                  <c:v>3000000</c:v>
                </c:pt>
                <c:pt idx="1">
                  <c:v>3090000</c:v>
                </c:pt>
                <c:pt idx="2">
                  <c:v>3182700</c:v>
                </c:pt>
                <c:pt idx="3">
                  <c:v>3278181</c:v>
                </c:pt>
                <c:pt idx="4">
                  <c:v>3376526.43</c:v>
                </c:pt>
                <c:pt idx="5">
                  <c:v>3877822.2229000004</c:v>
                </c:pt>
                <c:pt idx="6">
                  <c:v>3994156.8895870005</c:v>
                </c:pt>
                <c:pt idx="7">
                  <c:v>4113981.5962746106</c:v>
                </c:pt>
                <c:pt idx="8">
                  <c:v>4237401.044162849</c:v>
                </c:pt>
                <c:pt idx="9">
                  <c:v>4364523.0754877347</c:v>
                </c:pt>
                <c:pt idx="10">
                  <c:v>4495458.7677523671</c:v>
                </c:pt>
                <c:pt idx="11">
                  <c:v>4630322.5307849385</c:v>
                </c:pt>
                <c:pt idx="12">
                  <c:v>4769232.2067084871</c:v>
                </c:pt>
                <c:pt idx="13">
                  <c:v>4912309.1729097422</c:v>
                </c:pt>
                <c:pt idx="14">
                  <c:v>5059678.4480970344</c:v>
                </c:pt>
                <c:pt idx="15">
                  <c:v>5211468.8015399454</c:v>
                </c:pt>
                <c:pt idx="16">
                  <c:v>5367812.8655861439</c:v>
                </c:pt>
                <c:pt idx="17">
                  <c:v>5528847.2515537282</c:v>
                </c:pt>
                <c:pt idx="18">
                  <c:v>5694712.6691003405</c:v>
                </c:pt>
                <c:pt idx="19">
                  <c:v>5865554.0491733504</c:v>
                </c:pt>
                <c:pt idx="20">
                  <c:v>6041520.6706485515</c:v>
                </c:pt>
                <c:pt idx="21">
                  <c:v>6222766.2907680087</c:v>
                </c:pt>
                <c:pt idx="22">
                  <c:v>6409449.2794910492</c:v>
                </c:pt>
                <c:pt idx="23">
                  <c:v>6601732.7578757806</c:v>
                </c:pt>
                <c:pt idx="24">
                  <c:v>6799784.7406120542</c:v>
                </c:pt>
                <c:pt idx="25">
                  <c:v>7003778.2828304162</c:v>
                </c:pt>
                <c:pt idx="26">
                  <c:v>7213891.6313153291</c:v>
                </c:pt>
                <c:pt idx="27">
                  <c:v>7430308.3802547893</c:v>
                </c:pt>
                <c:pt idx="28">
                  <c:v>7653217.631662433</c:v>
                </c:pt>
                <c:pt idx="29">
                  <c:v>7882814.1606123066</c:v>
                </c:pt>
                <c:pt idx="30">
                  <c:v>8119298.5854306761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DE-495B-A50F-C2E009A1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'B5 - TCO PL&amp;FMCG 28T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'B5 - TCO PL&amp;FMCG 28T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'B5 - TCO PL&amp;FMCG 28T '!$C$165:$AB$165</c:f>
              <c:numCache>
                <c:formatCode>_ [$₹-4009]\ * #,##0.00_ ;_ [$₹-4009]\ * \-#,##0.00_ ;_ [$₹-4009]\ * "-"??_ ;_ @_ </c:formatCode>
                <c:ptCount val="26"/>
                <c:pt idx="0">
                  <c:v>41.090720490681278</c:v>
                </c:pt>
                <c:pt idx="1">
                  <c:v>43.928330625736116</c:v>
                </c:pt>
                <c:pt idx="2">
                  <c:v>44.989158027357341</c:v>
                </c:pt>
                <c:pt idx="3">
                  <c:v>46.081186216894494</c:v>
                </c:pt>
                <c:pt idx="4">
                  <c:v>47.204887603673995</c:v>
                </c:pt>
                <c:pt idx="5">
                  <c:v>48.955662875535836</c:v>
                </c:pt>
                <c:pt idx="6">
                  <c:v>50.162621573684383</c:v>
                </c:pt>
                <c:pt idx="7">
                  <c:v>51.403803497239693</c:v>
                </c:pt>
                <c:pt idx="8">
                  <c:v>52.680041658986028</c:v>
                </c:pt>
                <c:pt idx="9">
                  <c:v>54.001148258258702</c:v>
                </c:pt>
                <c:pt idx="10">
                  <c:v>55.358732126068482</c:v>
                </c:pt>
                <c:pt idx="11">
                  <c:v>57.476021094323833</c:v>
                </c:pt>
                <c:pt idx="12">
                  <c:v>58.939866928238104</c:v>
                </c:pt>
                <c:pt idx="13">
                  <c:v>60.443258609191567</c:v>
                </c:pt>
                <c:pt idx="14">
                  <c:v>61.996427845998411</c:v>
                </c:pt>
                <c:pt idx="15">
                  <c:v>63.590947181835077</c:v>
                </c:pt>
                <c:pt idx="16">
                  <c:v>65.23709155079726</c:v>
                </c:pt>
                <c:pt idx="17">
                  <c:v>66.935737522039545</c:v>
                </c:pt>
                <c:pt idx="18">
                  <c:v>68.687947136460167</c:v>
                </c:pt>
                <c:pt idx="19">
                  <c:v>70.49480687026589</c:v>
                </c:pt>
                <c:pt idx="20">
                  <c:v>72.357266630367548</c:v>
                </c:pt>
                <c:pt idx="21">
                  <c:v>75.247380277099651</c:v>
                </c:pt>
                <c:pt idx="22">
                  <c:v>77.253770153632345</c:v>
                </c:pt>
                <c:pt idx="23">
                  <c:v>79.320129583477311</c:v>
                </c:pt>
                <c:pt idx="24">
                  <c:v>81.456966767939292</c:v>
                </c:pt>
                <c:pt idx="25">
                  <c:v>83.656301608862975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C-42FA-ADA5-2815995ED98B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'B5 - TCO PL&amp;FMCG 28T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C-42FA-ADA5-2815995ED98B}"/>
            </c:ext>
          </c:extLst>
        </c:ser>
        <c:ser>
          <c:idx val="4"/>
          <c:order val="2"/>
          <c:tx>
            <c:strRef>
              <c:f>'B5 - TCO PL&amp;FMCG 28T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'B5 - TCO PL&amp;FMCG 28T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'B5 - TCO PL&amp;FMCG 28T '!$C$168:$AB$168</c:f>
              <c:numCache>
                <c:formatCode>_ [$₹-4009]\ * #,##0.00_ ;_ [$₹-4009]\ * \-#,##0.00_ ;_ [$₹-4009]\ * "-"??_ ;_ @_ </c:formatCode>
                <c:ptCount val="26"/>
                <c:pt idx="0">
                  <c:v>49.448019576254268</c:v>
                </c:pt>
                <c:pt idx="1">
                  <c:v>49.858480437313403</c:v>
                </c:pt>
                <c:pt idx="2">
                  <c:v>50.200356146958335</c:v>
                </c:pt>
                <c:pt idx="3">
                  <c:v>50.146335386141509</c:v>
                </c:pt>
                <c:pt idx="4">
                  <c:v>50.019410704323917</c:v>
                </c:pt>
                <c:pt idx="5">
                  <c:v>50.55703453064875</c:v>
                </c:pt>
                <c:pt idx="6">
                  <c:v>48.868941329563611</c:v>
                </c:pt>
                <c:pt idx="7">
                  <c:v>49.104126134900966</c:v>
                </c:pt>
                <c:pt idx="8">
                  <c:v>49.163083447484695</c:v>
                </c:pt>
                <c:pt idx="9">
                  <c:v>49.340288988839923</c:v>
                </c:pt>
                <c:pt idx="10">
                  <c:v>49.637685491971752</c:v>
                </c:pt>
                <c:pt idx="11">
                  <c:v>49.084533715003069</c:v>
                </c:pt>
                <c:pt idx="12">
                  <c:v>49.670282318700714</c:v>
                </c:pt>
                <c:pt idx="13">
                  <c:v>50.267331953958156</c:v>
                </c:pt>
                <c:pt idx="14">
                  <c:v>50.94983742449309</c:v>
                </c:pt>
                <c:pt idx="15">
                  <c:v>51.725548090187829</c:v>
                </c:pt>
                <c:pt idx="16">
                  <c:v>52.46174052053469</c:v>
                </c:pt>
                <c:pt idx="17">
                  <c:v>53.540405832984476</c:v>
                </c:pt>
                <c:pt idx="18">
                  <c:v>54.635477189828109</c:v>
                </c:pt>
                <c:pt idx="19">
                  <c:v>55.778474112310562</c:v>
                </c:pt>
                <c:pt idx="20">
                  <c:v>56.96920773929866</c:v>
                </c:pt>
                <c:pt idx="21">
                  <c:v>56.939778781987727</c:v>
                </c:pt>
                <c:pt idx="22">
                  <c:v>58.215606906416383</c:v>
                </c:pt>
                <c:pt idx="23">
                  <c:v>59.54393857232391</c:v>
                </c:pt>
                <c:pt idx="24">
                  <c:v>60.935965105692773</c:v>
                </c:pt>
                <c:pt idx="25">
                  <c:v>62.389385367001104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C-42FA-ADA5-2815995ED98B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A6C-42FA-ADA5-2815995ED98B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8A6C-42FA-ADA5-2815995E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'B5 - TCO PL&amp;FMCG 28T 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'B5 - TCO PL&amp;FMCG 28T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'B5 - TCO PL&amp;FMCG 28T '!$C$192:$AB$192</c:f>
              <c:numCache>
                <c:formatCode>0%</c:formatCode>
                <c:ptCount val="26"/>
                <c:pt idx="0">
                  <c:v>0.83098819412403124</c:v>
                </c:pt>
                <c:pt idx="1">
                  <c:v>0.88106035804614602</c:v>
                </c:pt>
                <c:pt idx="2">
                  <c:v>0.89619200899002505</c:v>
                </c:pt>
                <c:pt idx="3">
                  <c:v>0.91893427230635749</c:v>
                </c:pt>
                <c:pt idx="4">
                  <c:v>0.94373138225703601</c:v>
                </c:pt>
                <c:pt idx="5">
                  <c:v>0.96832544333386228</c:v>
                </c:pt>
                <c:pt idx="6">
                  <c:v>1.0264724425969538</c:v>
                </c:pt>
                <c:pt idx="7">
                  <c:v>1.0468326705584976</c:v>
                </c:pt>
                <c:pt idx="8">
                  <c:v>1.0715365669701757</c:v>
                </c:pt>
                <c:pt idx="9">
                  <c:v>1.0944635583807181</c:v>
                </c:pt>
                <c:pt idx="10">
                  <c:v>1.1152561119116249</c:v>
                </c:pt>
                <c:pt idx="11">
                  <c:v>1.1709599082277895</c:v>
                </c:pt>
                <c:pt idx="12">
                  <c:v>1.1866223459343499</c:v>
                </c:pt>
                <c:pt idx="13">
                  <c:v>1.202436179914103</c:v>
                </c:pt>
                <c:pt idx="14">
                  <c:v>1.2168130651619096</c:v>
                </c:pt>
                <c:pt idx="15">
                  <c:v>1.2293914618547672</c:v>
                </c:pt>
                <c:pt idx="16">
                  <c:v>1.243517483474686</c:v>
                </c:pt>
                <c:pt idx="17">
                  <c:v>1.2501910749582448</c:v>
                </c:pt>
                <c:pt idx="18">
                  <c:v>1.2572041221092933</c:v>
                </c:pt>
                <c:pt idx="19">
                  <c:v>1.2638353413598915</c:v>
                </c:pt>
                <c:pt idx="20">
                  <c:v>1.2701118639649582</c:v>
                </c:pt>
                <c:pt idx="21">
                  <c:v>1.3215256870808803</c:v>
                </c:pt>
                <c:pt idx="22">
                  <c:v>1.3270285110626858</c:v>
                </c:pt>
                <c:pt idx="23">
                  <c:v>1.3321276940243485</c:v>
                </c:pt>
                <c:pt idx="24">
                  <c:v>1.3367633814718953</c:v>
                </c:pt>
                <c:pt idx="25">
                  <c:v>1.3408739502202298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6-4F63-8EB5-D98A25E7CF72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'B5 - TCO PL&amp;FMCG 28T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6-4F63-8EB5-D98A25E7CF72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846-4F63-8EB5-D98A25E7CF72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846-4F63-8EB5-D98A25E7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'B5 - TCO PL&amp;FMCG 28T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'!$C$165:$AG$165</c:f>
              <c:numCache>
                <c:formatCode>_ [$₹-4009]\ * #,##0.00_ ;_ [$₹-4009]\ * \-#,##0.00_ ;_ [$₹-4009]\ * "-"??_ ;_ @_ </c:formatCode>
                <c:ptCount val="31"/>
                <c:pt idx="0">
                  <c:v>41.090720490681278</c:v>
                </c:pt>
                <c:pt idx="1">
                  <c:v>43.928330625736116</c:v>
                </c:pt>
                <c:pt idx="2">
                  <c:v>44.989158027357341</c:v>
                </c:pt>
                <c:pt idx="3">
                  <c:v>46.081186216894494</c:v>
                </c:pt>
                <c:pt idx="4">
                  <c:v>47.204887603673995</c:v>
                </c:pt>
                <c:pt idx="5">
                  <c:v>48.955662875535836</c:v>
                </c:pt>
                <c:pt idx="6">
                  <c:v>50.162621573684383</c:v>
                </c:pt>
                <c:pt idx="7">
                  <c:v>51.403803497239693</c:v>
                </c:pt>
                <c:pt idx="8">
                  <c:v>52.680041658986028</c:v>
                </c:pt>
                <c:pt idx="9">
                  <c:v>54.001148258258702</c:v>
                </c:pt>
                <c:pt idx="10">
                  <c:v>55.358732126068482</c:v>
                </c:pt>
                <c:pt idx="11">
                  <c:v>57.476021094323833</c:v>
                </c:pt>
                <c:pt idx="12">
                  <c:v>58.939866928238104</c:v>
                </c:pt>
                <c:pt idx="13">
                  <c:v>60.443258609191567</c:v>
                </c:pt>
                <c:pt idx="14">
                  <c:v>61.996427845998411</c:v>
                </c:pt>
                <c:pt idx="15">
                  <c:v>63.590947181835077</c:v>
                </c:pt>
                <c:pt idx="16">
                  <c:v>65.23709155079726</c:v>
                </c:pt>
                <c:pt idx="17">
                  <c:v>66.935737522039545</c:v>
                </c:pt>
                <c:pt idx="18">
                  <c:v>68.687947136460167</c:v>
                </c:pt>
                <c:pt idx="19">
                  <c:v>70.49480687026589</c:v>
                </c:pt>
                <c:pt idx="20">
                  <c:v>72.357266630367548</c:v>
                </c:pt>
                <c:pt idx="21">
                  <c:v>75.247380277099651</c:v>
                </c:pt>
                <c:pt idx="22">
                  <c:v>77.253770153632345</c:v>
                </c:pt>
                <c:pt idx="23">
                  <c:v>79.320129583477311</c:v>
                </c:pt>
                <c:pt idx="24">
                  <c:v>81.456966767939292</c:v>
                </c:pt>
                <c:pt idx="25">
                  <c:v>83.656301608862975</c:v>
                </c:pt>
                <c:pt idx="26">
                  <c:v>85.928703841219445</c:v>
                </c:pt>
                <c:pt idx="27">
                  <c:v>88.26625713317209</c:v>
                </c:pt>
                <c:pt idx="28">
                  <c:v>90.679772412401391</c:v>
                </c:pt>
                <c:pt idx="29">
                  <c:v>93.170661095420158</c:v>
                </c:pt>
                <c:pt idx="30">
                  <c:v>95.740370727566244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2-4719-8529-BFD553041269}"/>
            </c:ext>
          </c:extLst>
        </c:ser>
        <c:ser>
          <c:idx val="4"/>
          <c:order val="1"/>
          <c:tx>
            <c:strRef>
              <c:f>'B5 - TCO PL&amp;FMCG 28T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BF2-4719-8529-BFD553041269}"/>
              </c:ext>
            </c:extLst>
          </c:dPt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'!$C$168:$AG$168</c:f>
              <c:numCache>
                <c:formatCode>_ [$₹-4009]\ * #,##0.00_ ;_ [$₹-4009]\ * \-#,##0.00_ ;_ [$₹-4009]\ * "-"??_ ;_ @_ </c:formatCode>
                <c:ptCount val="31"/>
                <c:pt idx="0">
                  <c:v>49.448019576254268</c:v>
                </c:pt>
                <c:pt idx="1">
                  <c:v>49.858480437313403</c:v>
                </c:pt>
                <c:pt idx="2">
                  <c:v>50.200356146958335</c:v>
                </c:pt>
                <c:pt idx="3">
                  <c:v>50.146335386141509</c:v>
                </c:pt>
                <c:pt idx="4">
                  <c:v>50.019410704323917</c:v>
                </c:pt>
                <c:pt idx="5">
                  <c:v>50.55703453064875</c:v>
                </c:pt>
                <c:pt idx="6">
                  <c:v>48.868941329563611</c:v>
                </c:pt>
                <c:pt idx="7">
                  <c:v>49.104126134900966</c:v>
                </c:pt>
                <c:pt idx="8">
                  <c:v>49.163083447484695</c:v>
                </c:pt>
                <c:pt idx="9">
                  <c:v>49.340288988839923</c:v>
                </c:pt>
                <c:pt idx="10">
                  <c:v>49.637685491971752</c:v>
                </c:pt>
                <c:pt idx="11">
                  <c:v>49.084533715003069</c:v>
                </c:pt>
                <c:pt idx="12">
                  <c:v>49.670282318700714</c:v>
                </c:pt>
                <c:pt idx="13">
                  <c:v>50.267331953958156</c:v>
                </c:pt>
                <c:pt idx="14">
                  <c:v>50.94983742449309</c:v>
                </c:pt>
                <c:pt idx="15">
                  <c:v>51.725548090187829</c:v>
                </c:pt>
                <c:pt idx="16">
                  <c:v>52.46174052053469</c:v>
                </c:pt>
                <c:pt idx="17">
                  <c:v>53.540405832984476</c:v>
                </c:pt>
                <c:pt idx="18">
                  <c:v>54.635477189828109</c:v>
                </c:pt>
                <c:pt idx="19">
                  <c:v>55.778474112310562</c:v>
                </c:pt>
                <c:pt idx="20">
                  <c:v>56.96920773929866</c:v>
                </c:pt>
                <c:pt idx="21">
                  <c:v>56.939778781987727</c:v>
                </c:pt>
                <c:pt idx="22">
                  <c:v>58.215606906416383</c:v>
                </c:pt>
                <c:pt idx="23">
                  <c:v>59.54393857232391</c:v>
                </c:pt>
                <c:pt idx="24">
                  <c:v>60.935965105692773</c:v>
                </c:pt>
                <c:pt idx="25">
                  <c:v>62.389385367001104</c:v>
                </c:pt>
                <c:pt idx="26">
                  <c:v>64.21460314468878</c:v>
                </c:pt>
                <c:pt idx="27">
                  <c:v>66.158140168116333</c:v>
                </c:pt>
                <c:pt idx="28">
                  <c:v>68.171368425357088</c:v>
                </c:pt>
                <c:pt idx="29">
                  <c:v>70.268843978283812</c:v>
                </c:pt>
                <c:pt idx="30">
                  <c:v>72.442334162328009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F2-4719-8529-BFD553041269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FBF2-4719-8529-BFD553041269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FBF2-4719-8529-BFD553041269}"/>
            </c:ext>
          </c:extLst>
        </c:ser>
        <c:ser>
          <c:idx val="2"/>
          <c:order val="5"/>
          <c:tx>
            <c:strRef>
              <c:f>'B5 - TCO PL&amp;FMCG 28T 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'!$C$169:$AG$169</c:f>
              <c:numCache>
                <c:formatCode>_ [$₹-4009]\ * #,##0.00_ ;_ [$₹-4009]\ * \-#,##0.00_ ;_ [$₹-4009]\ * "-"??_ ;_ @_ </c:formatCode>
                <c:ptCount val="31"/>
                <c:pt idx="0">
                  <c:v>79.06505989369461</c:v>
                </c:pt>
                <c:pt idx="1">
                  <c:v>79.066566375689291</c:v>
                </c:pt>
                <c:pt idx="2">
                  <c:v>79.148254192418321</c:v>
                </c:pt>
                <c:pt idx="3">
                  <c:v>79.311210435087148</c:v>
                </c:pt>
                <c:pt idx="4">
                  <c:v>79.55093739735895</c:v>
                </c:pt>
                <c:pt idx="5">
                  <c:v>80.621997668630698</c:v>
                </c:pt>
                <c:pt idx="6">
                  <c:v>78.259367112367542</c:v>
                </c:pt>
                <c:pt idx="7">
                  <c:v>77.376735753590879</c:v>
                </c:pt>
                <c:pt idx="8">
                  <c:v>76.580441347027957</c:v>
                </c:pt>
                <c:pt idx="9">
                  <c:v>75.874340239329996</c:v>
                </c:pt>
                <c:pt idx="10">
                  <c:v>75.25140298527343</c:v>
                </c:pt>
                <c:pt idx="11">
                  <c:v>73.859495946277463</c:v>
                </c:pt>
                <c:pt idx="12">
                  <c:v>73.389366641596141</c:v>
                </c:pt>
                <c:pt idx="13">
                  <c:v>72.995678999664761</c:v>
                </c:pt>
                <c:pt idx="14">
                  <c:v>72.686523352737368</c:v>
                </c:pt>
                <c:pt idx="15">
                  <c:v>72.455059346689836</c:v>
                </c:pt>
                <c:pt idx="16">
                  <c:v>70.837967874271982</c:v>
                </c:pt>
                <c:pt idx="17">
                  <c:v>71.064148323684748</c:v>
                </c:pt>
                <c:pt idx="18">
                  <c:v>71.367510534782653</c:v>
                </c:pt>
                <c:pt idx="19">
                  <c:v>71.74718895247554</c:v>
                </c:pt>
                <c:pt idx="20">
                  <c:v>72.202407521505108</c:v>
                </c:pt>
                <c:pt idx="21">
                  <c:v>72.190083196108787</c:v>
                </c:pt>
                <c:pt idx="22">
                  <c:v>72.781006129592171</c:v>
                </c:pt>
                <c:pt idx="23">
                  <c:v>73.446944028783392</c:v>
                </c:pt>
                <c:pt idx="24">
                  <c:v>74.195031938362064</c:v>
                </c:pt>
                <c:pt idx="25">
                  <c:v>75.017336105922681</c:v>
                </c:pt>
                <c:pt idx="26">
                  <c:v>75.746561213258133</c:v>
                </c:pt>
                <c:pt idx="27">
                  <c:v>77.473502753032335</c:v>
                </c:pt>
                <c:pt idx="28">
                  <c:v>79.290718606333783</c:v>
                </c:pt>
                <c:pt idx="29">
                  <c:v>81.200271684956263</c:v>
                </c:pt>
                <c:pt idx="30">
                  <c:v>83.202618164878473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F2-4719-8529-BFD553041269}"/>
            </c:ext>
          </c:extLst>
        </c:ser>
        <c:ser>
          <c:idx val="6"/>
          <c:order val="6"/>
          <c:tx>
            <c:strRef>
              <c:f>'B5 - TCO PL&amp;FMCG 28T 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'!$C$170:$AG$170</c:f>
              <c:numCache>
                <c:formatCode>_ [$₹-4009]\ * #,##0.00_ ;_ [$₹-4009]\ * \-#,##0.00_ ;_ [$₹-4009]\ * "-"??_ ;_ @_ </c:formatCode>
                <c:ptCount val="31"/>
                <c:pt idx="0">
                  <c:v>82.763932966534639</c:v>
                </c:pt>
                <c:pt idx="1">
                  <c:v>82.304446778957882</c:v>
                </c:pt>
                <c:pt idx="2">
                  <c:v>81.926756769908948</c:v>
                </c:pt>
                <c:pt idx="3">
                  <c:v>81.630196290915606</c:v>
                </c:pt>
                <c:pt idx="4">
                  <c:v>81.416230389728696</c:v>
                </c:pt>
                <c:pt idx="5">
                  <c:v>81.698565107206477</c:v>
                </c:pt>
                <c:pt idx="6">
                  <c:v>79.682572958869002</c:v>
                </c:pt>
                <c:pt idx="7">
                  <c:v>78.808317389492004</c:v>
                </c:pt>
                <c:pt idx="8">
                  <c:v>78.011032122247812</c:v>
                </c:pt>
                <c:pt idx="9">
                  <c:v>77.2987088625799</c:v>
                </c:pt>
                <c:pt idx="10">
                  <c:v>76.662976892551811</c:v>
                </c:pt>
                <c:pt idx="11">
                  <c:v>74.712405640947367</c:v>
                </c:pt>
                <c:pt idx="12">
                  <c:v>74.233245156368753</c:v>
                </c:pt>
                <c:pt idx="13">
                  <c:v>73.83545577778554</c:v>
                </c:pt>
                <c:pt idx="14">
                  <c:v>73.51616985465985</c:v>
                </c:pt>
                <c:pt idx="15">
                  <c:v>73.276482656792624</c:v>
                </c:pt>
                <c:pt idx="16">
                  <c:v>71.858640763913925</c:v>
                </c:pt>
                <c:pt idx="17">
                  <c:v>72.159096061633491</c:v>
                </c:pt>
                <c:pt idx="18">
                  <c:v>72.536948941494998</c:v>
                </c:pt>
                <c:pt idx="19">
                  <c:v>72.982265807477077</c:v>
                </c:pt>
                <c:pt idx="20">
                  <c:v>73.494438511760521</c:v>
                </c:pt>
                <c:pt idx="21">
                  <c:v>72.28861374646354</c:v>
                </c:pt>
                <c:pt idx="22">
                  <c:v>72.920990335710385</c:v>
                </c:pt>
                <c:pt idx="23">
                  <c:v>73.617852516334267</c:v>
                </c:pt>
                <c:pt idx="24">
                  <c:v>74.389917068939098</c:v>
                </c:pt>
                <c:pt idx="25">
                  <c:v>75.236883000220161</c:v>
                </c:pt>
                <c:pt idx="26">
                  <c:v>75.917153578913556</c:v>
                </c:pt>
                <c:pt idx="27">
                  <c:v>77.643473561715339</c:v>
                </c:pt>
                <c:pt idx="28">
                  <c:v>79.447880022199016</c:v>
                </c:pt>
                <c:pt idx="29">
                  <c:v>81.341701252695643</c:v>
                </c:pt>
                <c:pt idx="30">
                  <c:v>83.315987053994107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F2-4719-8529-BFD553041269}"/>
            </c:ext>
          </c:extLst>
        </c:ser>
        <c:ser>
          <c:idx val="7"/>
          <c:order val="7"/>
          <c:tx>
            <c:strRef>
              <c:f>'B5 - TCO PL&amp;FMCG 28T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'!$C$167:$AG$167</c:f>
              <c:numCache>
                <c:formatCode>_ [$₹-4009]\ * #,##0.00_ ;_ [$₹-4009]\ * \-#,##0.00_ ;_ [$₹-4009]\ * "-"??_ ;_ @_ </c:formatCode>
                <c:ptCount val="31"/>
                <c:pt idx="0">
                  <c:v>40.206320768335701</c:v>
                </c:pt>
                <c:pt idx="1">
                  <c:v>41.471672473009228</c:v>
                </c:pt>
                <c:pt idx="2">
                  <c:v>42.668838888643307</c:v>
                </c:pt>
                <c:pt idx="3">
                  <c:v>43.906648234622267</c:v>
                </c:pt>
                <c:pt idx="4">
                  <c:v>45.184367090335975</c:v>
                </c:pt>
                <c:pt idx="5">
                  <c:v>47.123913256777286</c:v>
                </c:pt>
                <c:pt idx="6">
                  <c:v>48.505757595918361</c:v>
                </c:pt>
                <c:pt idx="7">
                  <c:v>49.930138439202409</c:v>
                </c:pt>
                <c:pt idx="8">
                  <c:v>51.401096496060767</c:v>
                </c:pt>
                <c:pt idx="9">
                  <c:v>52.927305276024043</c:v>
                </c:pt>
                <c:pt idx="10">
                  <c:v>54.502057790300441</c:v>
                </c:pt>
                <c:pt idx="11">
                  <c:v>56.932771258410632</c:v>
                </c:pt>
                <c:pt idx="12">
                  <c:v>58.639624682017313</c:v>
                </c:pt>
                <c:pt idx="13">
                  <c:v>60.397204542448691</c:v>
                </c:pt>
                <c:pt idx="14">
                  <c:v>62.217597020150542</c:v>
                </c:pt>
                <c:pt idx="15">
                  <c:v>64.094408510592487</c:v>
                </c:pt>
                <c:pt idx="16">
                  <c:v>66.036434101814351</c:v>
                </c:pt>
                <c:pt idx="17">
                  <c:v>68.046621000407811</c:v>
                </c:pt>
                <c:pt idx="18">
                  <c:v>70.124589423378964</c:v>
                </c:pt>
                <c:pt idx="19">
                  <c:v>72.275058855267275</c:v>
                </c:pt>
                <c:pt idx="20">
                  <c:v>74.496054927435722</c:v>
                </c:pt>
                <c:pt idx="21">
                  <c:v>77.857734556493384</c:v>
                </c:pt>
                <c:pt idx="22">
                  <c:v>80.261060957092681</c:v>
                </c:pt>
                <c:pt idx="23">
                  <c:v>82.741871265535309</c:v>
                </c:pt>
                <c:pt idx="24">
                  <c:v>85.311020711643522</c:v>
                </c:pt>
                <c:pt idx="25">
                  <c:v>87.964535023264105</c:v>
                </c:pt>
                <c:pt idx="26">
                  <c:v>90.713380461741522</c:v>
                </c:pt>
                <c:pt idx="27">
                  <c:v>93.546428762399046</c:v>
                </c:pt>
                <c:pt idx="28">
                  <c:v>96.480216813801675</c:v>
                </c:pt>
                <c:pt idx="29">
                  <c:v>99.512998724368515</c:v>
                </c:pt>
                <c:pt idx="30">
                  <c:v>102.65036232854067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BF2-4719-8529-BFD553041269}"/>
            </c:ext>
          </c:extLst>
        </c:ser>
        <c:ser>
          <c:idx val="8"/>
          <c:order val="8"/>
          <c:tx>
            <c:strRef>
              <c:f>'B5 - TCO PL&amp;FMCG 28T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'!$C$166:$AG$166</c:f>
              <c:numCache>
                <c:formatCode>_ [$₹-4009]\ * #,##0.00_ ;_ [$₹-4009]\ * \-#,##0.00_ ;_ [$₹-4009]\ * "-"??_ ;_ @_ </c:formatCode>
                <c:ptCount val="31"/>
                <c:pt idx="0">
                  <c:v>39.969474844632913</c:v>
                </c:pt>
                <c:pt idx="1">
                  <c:v>41.530270613881498</c:v>
                </c:pt>
                <c:pt idx="2">
                  <c:v>42.746025997286992</c:v>
                </c:pt>
                <c:pt idx="3">
                  <c:v>44.004488077195852</c:v>
                </c:pt>
                <c:pt idx="4">
                  <c:v>45.303386088210438</c:v>
                </c:pt>
                <c:pt idx="5">
                  <c:v>47.266206301413526</c:v>
                </c:pt>
                <c:pt idx="6">
                  <c:v>48.670330490300024</c:v>
                </c:pt>
                <c:pt idx="7">
                  <c:v>50.119119095623773</c:v>
                </c:pt>
                <c:pt idx="8">
                  <c:v>51.615077406412581</c:v>
                </c:pt>
                <c:pt idx="9">
                  <c:v>53.168449384402706</c:v>
                </c:pt>
                <c:pt idx="10">
                  <c:v>54.769440993904034</c:v>
                </c:pt>
                <c:pt idx="11">
                  <c:v>57.18877885175953</c:v>
                </c:pt>
                <c:pt idx="12">
                  <c:v>58.923582482717286</c:v>
                </c:pt>
                <c:pt idx="13">
                  <c:v>60.713169316150157</c:v>
                </c:pt>
                <c:pt idx="14">
                  <c:v>62.564591280575286</c:v>
                </c:pt>
                <c:pt idx="15">
                  <c:v>64.474845900613587</c:v>
                </c:pt>
                <c:pt idx="16">
                  <c:v>66.451065172432536</c:v>
                </c:pt>
                <c:pt idx="17">
                  <c:v>68.496218819153796</c:v>
                </c:pt>
                <c:pt idx="18">
                  <c:v>70.611635202390531</c:v>
                </c:pt>
                <c:pt idx="19">
                  <c:v>72.798687789306697</c:v>
                </c:pt>
                <c:pt idx="20">
                  <c:v>75.060481673428882</c:v>
                </c:pt>
                <c:pt idx="21">
                  <c:v>78.429075473106963</c:v>
                </c:pt>
                <c:pt idx="22">
                  <c:v>80.87407467533518</c:v>
                </c:pt>
                <c:pt idx="23">
                  <c:v>83.399298096180587</c:v>
                </c:pt>
                <c:pt idx="24">
                  <c:v>86.017445885670597</c:v>
                </c:pt>
                <c:pt idx="25">
                  <c:v>88.717303384065062</c:v>
                </c:pt>
                <c:pt idx="26">
                  <c:v>91.515317914813167</c:v>
                </c:pt>
                <c:pt idx="27">
                  <c:v>94.400391473571659</c:v>
                </c:pt>
                <c:pt idx="28">
                  <c:v>97.387274889335657</c:v>
                </c:pt>
                <c:pt idx="29">
                  <c:v>100.47607160142545</c:v>
                </c:pt>
                <c:pt idx="30">
                  <c:v>103.66876805513888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F2-4719-8529-BFD55304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'B5 - TCO PL&amp;FMCG 28T 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'B5 - TCO PL&amp;FMCG 28T 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'B5 - TCO PL&amp;FMCG 28T 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36.981648441613153</c:v>
                      </c:pt>
                      <c:pt idx="1">
                        <c:v>39.535497563162508</c:v>
                      </c:pt>
                      <c:pt idx="2">
                        <c:v>40.49024222462161</c:v>
                      </c:pt>
                      <c:pt idx="3">
                        <c:v>41.473067595205045</c:v>
                      </c:pt>
                      <c:pt idx="4">
                        <c:v>42.4843988433066</c:v>
                      </c:pt>
                      <c:pt idx="5">
                        <c:v>44.060096587982251</c:v>
                      </c:pt>
                      <c:pt idx="6">
                        <c:v>45.146359416315946</c:v>
                      </c:pt>
                      <c:pt idx="7">
                        <c:v>46.263423147515724</c:v>
                      </c:pt>
                      <c:pt idx="8">
                        <c:v>47.412037493087425</c:v>
                      </c:pt>
                      <c:pt idx="9">
                        <c:v>48.601033432432835</c:v>
                      </c:pt>
                      <c:pt idx="10">
                        <c:v>49.822858913461637</c:v>
                      </c:pt>
                      <c:pt idx="11">
                        <c:v>51.728418984891448</c:v>
                      </c:pt>
                      <c:pt idx="12">
                        <c:v>53.045880235414295</c:v>
                      </c:pt>
                      <c:pt idx="13">
                        <c:v>54.398932748272408</c:v>
                      </c:pt>
                      <c:pt idx="14">
                        <c:v>55.796785061398573</c:v>
                      </c:pt>
                      <c:pt idx="15">
                        <c:v>57.23185246365157</c:v>
                      </c:pt>
                      <c:pt idx="16">
                        <c:v>58.713382395717538</c:v>
                      </c:pt>
                      <c:pt idx="17">
                        <c:v>60.242163769835592</c:v>
                      </c:pt>
                      <c:pt idx="18">
                        <c:v>61.819152422814149</c:v>
                      </c:pt>
                      <c:pt idx="19">
                        <c:v>63.445326183239303</c:v>
                      </c:pt>
                      <c:pt idx="20">
                        <c:v>65.12153996733079</c:v>
                      </c:pt>
                      <c:pt idx="21">
                        <c:v>67.722642249389693</c:v>
                      </c:pt>
                      <c:pt idx="22">
                        <c:v>69.528393138269109</c:v>
                      </c:pt>
                      <c:pt idx="23">
                        <c:v>71.388116625129584</c:v>
                      </c:pt>
                      <c:pt idx="24">
                        <c:v>73.31127009114536</c:v>
                      </c:pt>
                      <c:pt idx="25">
                        <c:v>75.290671447976678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FBF2-4719-8529-BFD553041269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'B5 - TCO PL&amp;FMCG 28T 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'!$C$174:$AG$174</c:f>
              <c:numCache>
                <c:formatCode>_ [$₹-4009]\ * #,##0.00_ ;_ [$₹-4009]\ * \-#,##0.00_ ;_ [$₹-4009]\ * "-"??_ ;_ @_ </c:formatCode>
                <c:ptCount val="31"/>
                <c:pt idx="0">
                  <c:v>2.2211200265233124</c:v>
                </c:pt>
                <c:pt idx="1">
                  <c:v>2.374504358147898</c:v>
                </c:pt>
                <c:pt idx="2">
                  <c:v>2.4318463798571535</c:v>
                </c:pt>
                <c:pt idx="3">
                  <c:v>2.4908749306429456</c:v>
                </c:pt>
                <c:pt idx="4">
                  <c:v>2.5516155461445402</c:v>
                </c:pt>
                <c:pt idx="5">
                  <c:v>2.6462520473262612</c:v>
                </c:pt>
                <c:pt idx="6">
                  <c:v>2.7114930580369938</c:v>
                </c:pt>
                <c:pt idx="7">
                  <c:v>2.7785839728237671</c:v>
                </c:pt>
                <c:pt idx="8">
                  <c:v>2.8475698194046504</c:v>
                </c:pt>
                <c:pt idx="9">
                  <c:v>2.9189809869329029</c:v>
                </c:pt>
                <c:pt idx="10">
                  <c:v>2.9923638987064045</c:v>
                </c:pt>
                <c:pt idx="11">
                  <c:v>3.1068119510445316</c:v>
                </c:pt>
                <c:pt idx="12">
                  <c:v>3.185938752877735</c:v>
                </c:pt>
                <c:pt idx="13">
                  <c:v>3.2672031680644089</c:v>
                </c:pt>
                <c:pt idx="14">
                  <c:v>3.35115826194586</c:v>
                </c:pt>
                <c:pt idx="15">
                  <c:v>3.4373484963154097</c:v>
                </c:pt>
                <c:pt idx="16">
                  <c:v>3.526329273016068</c:v>
                </c:pt>
                <c:pt idx="17">
                  <c:v>3.6181479741642999</c:v>
                </c:pt>
                <c:pt idx="18">
                  <c:v>3.7128620073762253</c:v>
                </c:pt>
                <c:pt idx="19">
                  <c:v>3.8105301010954533</c:v>
                </c:pt>
                <c:pt idx="20">
                  <c:v>3.9112036016414895</c:v>
                </c:pt>
                <c:pt idx="21">
                  <c:v>4.0674259609243055</c:v>
                </c:pt>
                <c:pt idx="22">
                  <c:v>4.1758794677639104</c:v>
                </c:pt>
                <c:pt idx="23">
                  <c:v>4.2875745720798548</c:v>
                </c:pt>
                <c:pt idx="24">
                  <c:v>4.403079284753475</c:v>
                </c:pt>
                <c:pt idx="25">
                  <c:v>4.5219622491277276</c:v>
                </c:pt>
                <c:pt idx="26">
                  <c:v>4.6447948022280778</c:v>
                </c:pt>
                <c:pt idx="27">
                  <c:v>4.7711490342255178</c:v>
                </c:pt>
                <c:pt idx="28">
                  <c:v>4.901609319589264</c:v>
                </c:pt>
                <c:pt idx="29">
                  <c:v>5.0362519511037922</c:v>
                </c:pt>
                <c:pt idx="30">
                  <c:v>5.1751551744630406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C-4B29-8385-452AD2D39415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12FC-4B29-8385-452AD2D39415}"/>
            </c:ext>
          </c:extLst>
        </c:ser>
        <c:ser>
          <c:idx val="3"/>
          <c:order val="2"/>
          <c:tx>
            <c:strRef>
              <c:f>'B5 - TCO PL&amp;FMCG 28T 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'!$C$177:$AG$177</c:f>
              <c:numCache>
                <c:formatCode>_ [$₹-4009]\ * #,##0.00_ ;_ [$₹-4009]\ * \-#,##0.00_ ;_ [$₹-4009]\ * "-"??_ ;_ @_ </c:formatCode>
                <c:ptCount val="31"/>
                <c:pt idx="0">
                  <c:v>2.9968496712881372</c:v>
                </c:pt>
                <c:pt idx="1">
                  <c:v>3.0217260871099034</c:v>
                </c:pt>
                <c:pt idx="2">
                  <c:v>3.0424458270883838</c:v>
                </c:pt>
                <c:pt idx="3">
                  <c:v>3.0391718415843338</c:v>
                </c:pt>
                <c:pt idx="4">
                  <c:v>3.0314794366256921</c:v>
                </c:pt>
                <c:pt idx="5">
                  <c:v>3.0640626988271968</c:v>
                </c:pt>
                <c:pt idx="6">
                  <c:v>2.9617540199735521</c:v>
                </c:pt>
                <c:pt idx="7">
                  <c:v>2.9760076445394521</c:v>
                </c:pt>
                <c:pt idx="8">
                  <c:v>2.9795808149990726</c:v>
                </c:pt>
                <c:pt idx="9">
                  <c:v>2.9903205447781773</c:v>
                </c:pt>
                <c:pt idx="10">
                  <c:v>3.0083445752710154</c:v>
                </c:pt>
                <c:pt idx="11">
                  <c:v>2.9748202251517011</c:v>
                </c:pt>
                <c:pt idx="12">
                  <c:v>3.0103201405273157</c:v>
                </c:pt>
                <c:pt idx="13">
                  <c:v>3.0465049669065549</c:v>
                </c:pt>
                <c:pt idx="14">
                  <c:v>3.087868934817763</c:v>
                </c:pt>
                <c:pt idx="15">
                  <c:v>3.1348817024356261</c:v>
                </c:pt>
                <c:pt idx="16">
                  <c:v>3.1794994254869509</c:v>
                </c:pt>
                <c:pt idx="17">
                  <c:v>3.2448730807869381</c:v>
                </c:pt>
                <c:pt idx="18">
                  <c:v>3.3112410418077642</c:v>
                </c:pt>
                <c:pt idx="19">
                  <c:v>3.3805135825642765</c:v>
                </c:pt>
                <c:pt idx="20">
                  <c:v>3.4526792569271914</c:v>
                </c:pt>
                <c:pt idx="21">
                  <c:v>3.4508956837568316</c:v>
                </c:pt>
                <c:pt idx="22">
                  <c:v>3.5282186003888714</c:v>
                </c:pt>
                <c:pt idx="23">
                  <c:v>3.608723549837813</c:v>
                </c:pt>
                <c:pt idx="24">
                  <c:v>3.6930887942844106</c:v>
                </c:pt>
                <c:pt idx="25">
                  <c:v>3.7811748707273396</c:v>
                </c:pt>
                <c:pt idx="26">
                  <c:v>3.8917941299811383</c:v>
                </c:pt>
                <c:pt idx="27">
                  <c:v>4.0095842526131111</c:v>
                </c:pt>
                <c:pt idx="28">
                  <c:v>4.1315980863852779</c:v>
                </c:pt>
                <c:pt idx="29">
                  <c:v>4.2587178168656861</c:v>
                </c:pt>
                <c:pt idx="30">
                  <c:v>4.3904444946865464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FC-4B29-8385-452AD2D39415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12FC-4B29-8385-452AD2D39415}"/>
            </c:ext>
          </c:extLst>
        </c:ser>
        <c:ser>
          <c:idx val="2"/>
          <c:order val="5"/>
          <c:tx>
            <c:strRef>
              <c:f>'B5 - TCO PL&amp;FMCG 28T 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'!$C$175:$AG$175</c:f>
              <c:numCache>
                <c:formatCode>_ [$₹-4009]\ * #,##0.00_ ;_ [$₹-4009]\ * \-#,##0.00_ ;_ [$₹-4009]\ * "-"??_ ;_ @_ </c:formatCode>
                <c:ptCount val="31"/>
                <c:pt idx="0">
                  <c:v>4.27378702128079</c:v>
                </c:pt>
                <c:pt idx="1">
                  <c:v>4.2738684527399622</c:v>
                </c:pt>
                <c:pt idx="2">
                  <c:v>4.2782840104009905</c:v>
                </c:pt>
                <c:pt idx="3">
                  <c:v>4.2870924559506571</c:v>
                </c:pt>
                <c:pt idx="4">
                  <c:v>4.3000506701275105</c:v>
                </c:pt>
                <c:pt idx="5">
                  <c:v>4.3579458199259831</c:v>
                </c:pt>
                <c:pt idx="6">
                  <c:v>4.2302360601279752</c:v>
                </c:pt>
                <c:pt idx="7">
                  <c:v>4.1825262569508581</c:v>
                </c:pt>
                <c:pt idx="8">
                  <c:v>4.139483316055566</c:v>
                </c:pt>
                <c:pt idx="9">
                  <c:v>4.1013156886124325</c:v>
                </c:pt>
                <c:pt idx="10">
                  <c:v>4.0676434046093748</c:v>
                </c:pt>
                <c:pt idx="11">
                  <c:v>3.9924051862852687</c:v>
                </c:pt>
                <c:pt idx="12">
                  <c:v>3.9669927914376291</c:v>
                </c:pt>
                <c:pt idx="13">
                  <c:v>3.9457123783602577</c:v>
                </c:pt>
                <c:pt idx="14">
                  <c:v>3.9290012623101283</c:v>
                </c:pt>
                <c:pt idx="15">
                  <c:v>3.9164896944156671</c:v>
                </c:pt>
                <c:pt idx="16">
                  <c:v>3.8290793445552422</c:v>
                </c:pt>
                <c:pt idx="17">
                  <c:v>3.8413053147937704</c:v>
                </c:pt>
                <c:pt idx="18">
                  <c:v>3.8577032721504136</c:v>
                </c:pt>
                <c:pt idx="19">
                  <c:v>3.8782264298635427</c:v>
                </c:pt>
                <c:pt idx="20">
                  <c:v>3.902832839000276</c:v>
                </c:pt>
                <c:pt idx="21">
                  <c:v>3.9021666592491235</c:v>
                </c:pt>
                <c:pt idx="22">
                  <c:v>3.9341084394374146</c:v>
                </c:pt>
                <c:pt idx="23">
                  <c:v>3.9701050826369406</c:v>
                </c:pt>
                <c:pt idx="24">
                  <c:v>4.01054226693849</c:v>
                </c:pt>
                <c:pt idx="25">
                  <c:v>4.0549911408606851</c:v>
                </c:pt>
                <c:pt idx="26">
                  <c:v>4.0944087142301697</c:v>
                </c:pt>
                <c:pt idx="27">
                  <c:v>4.1877569055693158</c:v>
                </c:pt>
                <c:pt idx="28">
                  <c:v>4.2859847895315557</c:v>
                </c:pt>
                <c:pt idx="29">
                  <c:v>4.3892038748625009</c:v>
                </c:pt>
                <c:pt idx="30">
                  <c:v>4.4974388197231603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FC-4B29-8385-452AD2D39415}"/>
            </c:ext>
          </c:extLst>
        </c:ser>
        <c:ser>
          <c:idx val="6"/>
          <c:order val="6"/>
          <c:tx>
            <c:strRef>
              <c:f>'B5 - TCO PL&amp;FMCG 28T 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'!$C$176:$AG$176</c:f>
              <c:numCache>
                <c:formatCode>_ [$₹-4009]\ * #,##0.00_ ;_ [$₹-4009]\ * \-#,##0.00_ ;_ [$₹-4009]\ * "-"??_ ;_ @_ </c:formatCode>
                <c:ptCount val="31"/>
                <c:pt idx="0">
                  <c:v>2.1733146361262539</c:v>
                </c:pt>
                <c:pt idx="1">
                  <c:v>2.241712025568066</c:v>
                </c:pt>
                <c:pt idx="2">
                  <c:v>2.306423723710449</c:v>
                </c:pt>
                <c:pt idx="3">
                  <c:v>2.3733323370066088</c:v>
                </c:pt>
                <c:pt idx="4">
                  <c:v>2.4423982210992419</c:v>
                </c:pt>
                <c:pt idx="5">
                  <c:v>2.5472385544203942</c:v>
                </c:pt>
                <c:pt idx="6">
                  <c:v>2.6219328430226141</c:v>
                </c:pt>
                <c:pt idx="7">
                  <c:v>2.6989264021190489</c:v>
                </c:pt>
                <c:pt idx="8">
                  <c:v>2.7784376484357169</c:v>
                </c:pt>
                <c:pt idx="9">
                  <c:v>2.8609354203256241</c:v>
                </c:pt>
                <c:pt idx="10">
                  <c:v>2.9460571778540778</c:v>
                </c:pt>
                <c:pt idx="11">
                  <c:v>3.0774470950492234</c:v>
                </c:pt>
                <c:pt idx="12">
                  <c:v>3.169709442271206</c:v>
                </c:pt>
                <c:pt idx="13">
                  <c:v>3.2647137590512805</c:v>
                </c:pt>
                <c:pt idx="14">
                  <c:v>3.3631133524405699</c:v>
                </c:pt>
                <c:pt idx="15">
                  <c:v>3.4645626221941885</c:v>
                </c:pt>
                <c:pt idx="16">
                  <c:v>3.5695369784764512</c:v>
                </c:pt>
                <c:pt idx="17">
                  <c:v>3.6781957297517738</c:v>
                </c:pt>
                <c:pt idx="18">
                  <c:v>3.790518347209674</c:v>
                </c:pt>
                <c:pt idx="19">
                  <c:v>3.9067599381225553</c:v>
                </c:pt>
                <c:pt idx="20">
                  <c:v>4.0268137798613903</c:v>
                </c:pt>
                <c:pt idx="21">
                  <c:v>4.2085261922428856</c:v>
                </c:pt>
                <c:pt idx="22">
                  <c:v>4.3384357274104159</c:v>
                </c:pt>
                <c:pt idx="23">
                  <c:v>4.4725335819208274</c:v>
                </c:pt>
                <c:pt idx="24">
                  <c:v>4.6114065249537042</c:v>
                </c:pt>
                <c:pt idx="25">
                  <c:v>4.754839730987249</c:v>
                </c:pt>
                <c:pt idx="26">
                  <c:v>4.903425970904947</c:v>
                </c:pt>
                <c:pt idx="27">
                  <c:v>5.0565637168864344</c:v>
                </c:pt>
                <c:pt idx="28">
                  <c:v>5.2151468548000901</c:v>
                </c:pt>
                <c:pt idx="29">
                  <c:v>5.3790810121280277</c:v>
                </c:pt>
                <c:pt idx="30">
                  <c:v>5.5486682339751709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FC-4B29-8385-452AD2D39415}"/>
            </c:ext>
          </c:extLst>
        </c:ser>
        <c:ser>
          <c:idx val="7"/>
          <c:order val="7"/>
          <c:tx>
            <c:strRef>
              <c:f>'B5 - TCO PL&amp;FMCG 28T 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'!$C$178:$AG$178</c:f>
              <c:numCache>
                <c:formatCode>_ [$₹-4009]\ * #,##0.00_ ;_ [$₹-4009]\ * \-#,##0.00_ ;_ [$₹-4009]\ * "-"??_ ;_ @_ </c:formatCode>
                <c:ptCount val="31"/>
                <c:pt idx="0">
                  <c:v>4.4737261062991696</c:v>
                </c:pt>
                <c:pt idx="1">
                  <c:v>4.4488890150788043</c:v>
                </c:pt>
                <c:pt idx="2">
                  <c:v>4.4284733389139967</c:v>
                </c:pt>
                <c:pt idx="3">
                  <c:v>4.4124430427521952</c:v>
                </c:pt>
                <c:pt idx="4">
                  <c:v>4.4008773183637127</c:v>
                </c:pt>
                <c:pt idx="5">
                  <c:v>4.4161386544435928</c:v>
                </c:pt>
                <c:pt idx="6">
                  <c:v>4.3071661058848107</c:v>
                </c:pt>
                <c:pt idx="7">
                  <c:v>4.2599090480806492</c:v>
                </c:pt>
                <c:pt idx="8">
                  <c:v>4.21681254714853</c:v>
                </c:pt>
                <c:pt idx="9">
                  <c:v>4.1783085871664811</c:v>
                </c:pt>
                <c:pt idx="10">
                  <c:v>4.1439446968946925</c:v>
                </c:pt>
                <c:pt idx="11">
                  <c:v>4.0385084130241822</c:v>
                </c:pt>
                <c:pt idx="12">
                  <c:v>4.0126078462902024</c:v>
                </c:pt>
                <c:pt idx="13">
                  <c:v>3.9911057177181375</c:v>
                </c:pt>
                <c:pt idx="14">
                  <c:v>3.9738470191708029</c:v>
                </c:pt>
                <c:pt idx="15">
                  <c:v>3.9608909544212225</c:v>
                </c:pt>
                <c:pt idx="16">
                  <c:v>3.8842508521034556</c:v>
                </c:pt>
                <c:pt idx="17">
                  <c:v>3.9004916790072159</c:v>
                </c:pt>
                <c:pt idx="18">
                  <c:v>3.9209161589997299</c:v>
                </c:pt>
                <c:pt idx="19">
                  <c:v>3.9449873409447069</c:v>
                </c:pt>
                <c:pt idx="20">
                  <c:v>3.9726723519870548</c:v>
                </c:pt>
                <c:pt idx="21">
                  <c:v>3.9074926349439751</c:v>
                </c:pt>
                <c:pt idx="22">
                  <c:v>3.9416751532816421</c:v>
                </c:pt>
                <c:pt idx="23">
                  <c:v>3.9793433792613113</c:v>
                </c:pt>
                <c:pt idx="24">
                  <c:v>4.0210765983210326</c:v>
                </c:pt>
                <c:pt idx="25">
                  <c:v>4.0668585405524409</c:v>
                </c:pt>
                <c:pt idx="26">
                  <c:v>4.103629923184517</c:v>
                </c:pt>
                <c:pt idx="27">
                  <c:v>4.1969445168494772</c:v>
                </c:pt>
                <c:pt idx="28">
                  <c:v>4.2944800011999469</c:v>
                </c:pt>
                <c:pt idx="29">
                  <c:v>4.3968487163619265</c:v>
                </c:pt>
                <c:pt idx="30">
                  <c:v>4.5035668677834657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FC-4B29-8385-452AD2D39415}"/>
            </c:ext>
          </c:extLst>
        </c:ser>
        <c:ser>
          <c:idx val="8"/>
          <c:order val="8"/>
          <c:tx>
            <c:strRef>
              <c:f>'B5 - TCO PL&amp;FMCG 28T 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'B5 - TCO PL&amp;FMCG 28T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'!$C$179:$AG$179</c:f>
              <c:numCache>
                <c:formatCode>_ [$₹-4009]\ * #,##0.00_ ;_ [$₹-4009]\ * \-#,##0.00_ ;_ [$₹-4009]\ * "-"??_ ;_ @_ </c:formatCode>
                <c:ptCount val="31"/>
                <c:pt idx="0">
                  <c:v>4.7024961912803773</c:v>
                </c:pt>
                <c:pt idx="1">
                  <c:v>4.6763890215316977</c:v>
                </c:pt>
                <c:pt idx="2">
                  <c:v>4.6549293619266443</c:v>
                </c:pt>
                <c:pt idx="3">
                  <c:v>4.6380793347111133</c:v>
                </c:pt>
                <c:pt idx="4">
                  <c:v>4.6259221812345848</c:v>
                </c:pt>
                <c:pt idx="5">
                  <c:v>4.6419639265458228</c:v>
                </c:pt>
                <c:pt idx="6">
                  <c:v>4.527418918117557</c:v>
                </c:pt>
                <c:pt idx="7">
                  <c:v>4.477745306221137</c:v>
                </c:pt>
                <c:pt idx="8">
                  <c:v>4.4324450069458976</c:v>
                </c:pt>
                <c:pt idx="9">
                  <c:v>4.3919720944647667</c:v>
                </c:pt>
                <c:pt idx="10">
                  <c:v>4.3558509598040809</c:v>
                </c:pt>
                <c:pt idx="11">
                  <c:v>4.2450230477811006</c:v>
                </c:pt>
                <c:pt idx="12">
                  <c:v>4.2177980202482246</c:v>
                </c:pt>
                <c:pt idx="13">
                  <c:v>4.1951963510105417</c:v>
                </c:pt>
                <c:pt idx="14">
                  <c:v>4.1770551053784004</c:v>
                </c:pt>
                <c:pt idx="15">
                  <c:v>4.1634365145904901</c:v>
                </c:pt>
                <c:pt idx="16">
                  <c:v>4.0828773161314729</c:v>
                </c:pt>
                <c:pt idx="17">
                  <c:v>4.0999486398655387</c:v>
                </c:pt>
                <c:pt idx="18">
                  <c:v>4.1214175534940338</c:v>
                </c:pt>
                <c:pt idx="19">
                  <c:v>4.1467196481521071</c:v>
                </c:pt>
                <c:pt idx="20">
                  <c:v>4.1758203699863934</c:v>
                </c:pt>
                <c:pt idx="21">
                  <c:v>4.1073075992308832</c:v>
                </c:pt>
                <c:pt idx="22">
                  <c:v>4.1432380872562717</c:v>
                </c:pt>
                <c:pt idx="23">
                  <c:v>4.1828325293371735</c:v>
                </c:pt>
                <c:pt idx="24">
                  <c:v>4.2266998334624484</c:v>
                </c:pt>
                <c:pt idx="25">
                  <c:v>4.2748228977397824</c:v>
                </c:pt>
                <c:pt idx="26">
                  <c:v>4.3134746351655426</c:v>
                </c:pt>
                <c:pt idx="27">
                  <c:v>4.4115609978247354</c:v>
                </c:pt>
                <c:pt idx="28">
                  <c:v>4.5140840921703989</c:v>
                </c:pt>
                <c:pt idx="29">
                  <c:v>4.6216875711758885</c:v>
                </c:pt>
                <c:pt idx="30">
                  <c:v>4.7338629007951196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FC-4B29-8385-452AD2D39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'B5 - TCO PL&amp;FMCG 28T 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'B5 - TCO PL&amp;FMCG 28T 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'B5 - TCO PL&amp;FMCG 28T 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2.2211200265233124</c:v>
                      </c:pt>
                      <c:pt idx="1">
                        <c:v>2.374504358147898</c:v>
                      </c:pt>
                      <c:pt idx="2">
                        <c:v>2.4318463798571535</c:v>
                      </c:pt>
                      <c:pt idx="3">
                        <c:v>2.4908749306429456</c:v>
                      </c:pt>
                      <c:pt idx="4">
                        <c:v>2.5516155461445402</c:v>
                      </c:pt>
                      <c:pt idx="5">
                        <c:v>2.6462520473262612</c:v>
                      </c:pt>
                      <c:pt idx="6">
                        <c:v>2.7114930580369938</c:v>
                      </c:pt>
                      <c:pt idx="7">
                        <c:v>2.7785839728237671</c:v>
                      </c:pt>
                      <c:pt idx="8">
                        <c:v>2.8475698194046504</c:v>
                      </c:pt>
                      <c:pt idx="9">
                        <c:v>2.9189809869329029</c:v>
                      </c:pt>
                      <c:pt idx="10">
                        <c:v>2.9923638987064045</c:v>
                      </c:pt>
                      <c:pt idx="11">
                        <c:v>3.1068119510445316</c:v>
                      </c:pt>
                      <c:pt idx="12">
                        <c:v>3.185938752877735</c:v>
                      </c:pt>
                      <c:pt idx="13">
                        <c:v>3.2672031680644089</c:v>
                      </c:pt>
                      <c:pt idx="14">
                        <c:v>3.35115826194586</c:v>
                      </c:pt>
                      <c:pt idx="15">
                        <c:v>3.4373484963154097</c:v>
                      </c:pt>
                      <c:pt idx="16">
                        <c:v>3.526329273016068</c:v>
                      </c:pt>
                      <c:pt idx="17">
                        <c:v>3.6181479741642999</c:v>
                      </c:pt>
                      <c:pt idx="18">
                        <c:v>3.7128620073762253</c:v>
                      </c:pt>
                      <c:pt idx="19">
                        <c:v>3.8105301010954533</c:v>
                      </c:pt>
                      <c:pt idx="20">
                        <c:v>3.9112036016414895</c:v>
                      </c:pt>
                      <c:pt idx="21">
                        <c:v>4.0674259609243055</c:v>
                      </c:pt>
                      <c:pt idx="22">
                        <c:v>4.1758794677639104</c:v>
                      </c:pt>
                      <c:pt idx="23">
                        <c:v>4.2875745720798548</c:v>
                      </c:pt>
                      <c:pt idx="24">
                        <c:v>4.403079284753475</c:v>
                      </c:pt>
                      <c:pt idx="25">
                        <c:v>4.5219622491277276</c:v>
                      </c:pt>
                      <c:pt idx="26">
                        <c:v>4.6447948022280778</c:v>
                      </c:pt>
                      <c:pt idx="27">
                        <c:v>4.7711490342255178</c:v>
                      </c:pt>
                      <c:pt idx="28">
                        <c:v>4.901609319589264</c:v>
                      </c:pt>
                      <c:pt idx="29">
                        <c:v>5.0362519511037922</c:v>
                      </c:pt>
                      <c:pt idx="30">
                        <c:v>5.1751551744630406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12FC-4B29-8385-452AD2D39415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'B5 - TCO PL&amp;FMCG 28T 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'!$E$63:$AG$63</c:f>
              <c:numCache>
                <c:formatCode>_ [$₹-4009]\ * #,##0_ ;_ [$₹-4009]\ * \-#,##0_ ;_ [$₹-4009]\ * "-"??_ ;_ @_ </c:formatCode>
                <c:ptCount val="29"/>
                <c:pt idx="0">
                  <c:v>3819200</c:v>
                </c:pt>
                <c:pt idx="1">
                  <c:v>3933800</c:v>
                </c:pt>
                <c:pt idx="2">
                  <c:v>4051800</c:v>
                </c:pt>
                <c:pt idx="3">
                  <c:v>4573400</c:v>
                </c:pt>
                <c:pt idx="4">
                  <c:v>4710600</c:v>
                </c:pt>
                <c:pt idx="5">
                  <c:v>4851900</c:v>
                </c:pt>
                <c:pt idx="6">
                  <c:v>4997500</c:v>
                </c:pt>
                <c:pt idx="7">
                  <c:v>5147400</c:v>
                </c:pt>
                <c:pt idx="8">
                  <c:v>5301800</c:v>
                </c:pt>
                <c:pt idx="9">
                  <c:v>5460900</c:v>
                </c:pt>
                <c:pt idx="10">
                  <c:v>5624700</c:v>
                </c:pt>
                <c:pt idx="11">
                  <c:v>5793400</c:v>
                </c:pt>
                <c:pt idx="12">
                  <c:v>5967200</c:v>
                </c:pt>
                <c:pt idx="13">
                  <c:v>6146200</c:v>
                </c:pt>
                <c:pt idx="14">
                  <c:v>6330600</c:v>
                </c:pt>
                <c:pt idx="15">
                  <c:v>6520500</c:v>
                </c:pt>
                <c:pt idx="16">
                  <c:v>6716100</c:v>
                </c:pt>
                <c:pt idx="17">
                  <c:v>6917600</c:v>
                </c:pt>
                <c:pt idx="18">
                  <c:v>7125100</c:v>
                </c:pt>
                <c:pt idx="19">
                  <c:v>7338900</c:v>
                </c:pt>
                <c:pt idx="20">
                  <c:v>7559100</c:v>
                </c:pt>
                <c:pt idx="21">
                  <c:v>7785900</c:v>
                </c:pt>
                <c:pt idx="22">
                  <c:v>8019500</c:v>
                </c:pt>
                <c:pt idx="23">
                  <c:v>8260100</c:v>
                </c:pt>
                <c:pt idx="24">
                  <c:v>8507900</c:v>
                </c:pt>
                <c:pt idx="25">
                  <c:v>8763100</c:v>
                </c:pt>
                <c:pt idx="26">
                  <c:v>9026000</c:v>
                </c:pt>
                <c:pt idx="27">
                  <c:v>9296800</c:v>
                </c:pt>
                <c:pt idx="28">
                  <c:v>9575700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E-482C-8A57-3A7338899914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960E-482C-8A57-3A7338899914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960E-482C-8A57-3A7338899914}"/>
            </c:ext>
          </c:extLst>
        </c:ser>
        <c:ser>
          <c:idx val="3"/>
          <c:order val="3"/>
          <c:tx>
            <c:strRef>
              <c:f>'B5 - TCO PL&amp;FMCG 28T 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'!$C$132:$AG$132</c:f>
              <c:numCache>
                <c:formatCode>_ [$₹-4009]\ * #,##0_ ;_ [$₹-4009]\ * \-#,##0_ ;_ [$₹-4009]\ * "-"??_ ;_ @_ </c:formatCode>
                <c:ptCount val="31"/>
                <c:pt idx="0">
                  <c:v>8763000</c:v>
                </c:pt>
                <c:pt idx="1">
                  <c:v>8718000</c:v>
                </c:pt>
                <c:pt idx="2">
                  <c:v>8680000</c:v>
                </c:pt>
                <c:pt idx="3">
                  <c:v>8470000</c:v>
                </c:pt>
                <c:pt idx="4">
                  <c:v>8275000</c:v>
                </c:pt>
                <c:pt idx="5">
                  <c:v>8295000</c:v>
                </c:pt>
                <c:pt idx="6">
                  <c:v>8150000</c:v>
                </c:pt>
                <c:pt idx="7">
                  <c:v>8190000</c:v>
                </c:pt>
                <c:pt idx="8">
                  <c:v>8235000</c:v>
                </c:pt>
                <c:pt idx="9">
                  <c:v>8286000</c:v>
                </c:pt>
                <c:pt idx="10">
                  <c:v>8343000</c:v>
                </c:pt>
                <c:pt idx="11">
                  <c:v>8407000</c:v>
                </c:pt>
                <c:pt idx="12">
                  <c:v>8476000</c:v>
                </c:pt>
                <c:pt idx="13">
                  <c:v>8552000</c:v>
                </c:pt>
                <c:pt idx="14">
                  <c:v>8635000</c:v>
                </c:pt>
                <c:pt idx="15">
                  <c:v>8724000</c:v>
                </c:pt>
                <c:pt idx="16">
                  <c:v>8740000</c:v>
                </c:pt>
                <c:pt idx="17">
                  <c:v>8903000</c:v>
                </c:pt>
                <c:pt idx="18">
                  <c:v>9072000</c:v>
                </c:pt>
                <c:pt idx="19">
                  <c:v>9247000</c:v>
                </c:pt>
                <c:pt idx="20">
                  <c:v>9427000</c:v>
                </c:pt>
                <c:pt idx="21">
                  <c:v>9614000</c:v>
                </c:pt>
                <c:pt idx="22">
                  <c:v>9807000</c:v>
                </c:pt>
                <c:pt idx="23">
                  <c:v>10007000</c:v>
                </c:pt>
                <c:pt idx="24">
                  <c:v>10214000</c:v>
                </c:pt>
                <c:pt idx="25">
                  <c:v>10427000</c:v>
                </c:pt>
                <c:pt idx="26">
                  <c:v>10688000</c:v>
                </c:pt>
                <c:pt idx="27">
                  <c:v>10956000</c:v>
                </c:pt>
                <c:pt idx="28">
                  <c:v>11232000</c:v>
                </c:pt>
                <c:pt idx="29">
                  <c:v>11516000</c:v>
                </c:pt>
                <c:pt idx="30">
                  <c:v>11807000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0E-482C-8A57-3A7338899914}"/>
            </c:ext>
          </c:extLst>
        </c:ser>
        <c:ser>
          <c:idx val="4"/>
          <c:order val="4"/>
          <c:tx>
            <c:strRef>
              <c:f>'B5 - TCO PL&amp;FMCG 28T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'!$C$98:$AG$98</c:f>
              <c:numCache>
                <c:formatCode>_ [$₹-4009]\ * #,##0_ ;_ [$₹-4009]\ * \-#,##0_ ;_ [$₹-4009]\ * "-"??_ ;_ @_ </c:formatCode>
                <c:ptCount val="31"/>
                <c:pt idx="0">
                  <c:v>4180000</c:v>
                </c:pt>
                <c:pt idx="1">
                  <c:v>4294000</c:v>
                </c:pt>
                <c:pt idx="2">
                  <c:v>4411000</c:v>
                </c:pt>
                <c:pt idx="3">
                  <c:v>4532000</c:v>
                </c:pt>
                <c:pt idx="4">
                  <c:v>4656000</c:v>
                </c:pt>
                <c:pt idx="5">
                  <c:v>5183000</c:v>
                </c:pt>
                <c:pt idx="6">
                  <c:v>5327000</c:v>
                </c:pt>
                <c:pt idx="7">
                  <c:v>5474000</c:v>
                </c:pt>
                <c:pt idx="8">
                  <c:v>5626000</c:v>
                </c:pt>
                <c:pt idx="9">
                  <c:v>5782000</c:v>
                </c:pt>
                <c:pt idx="10">
                  <c:v>5943000</c:v>
                </c:pt>
                <c:pt idx="11">
                  <c:v>6108000</c:v>
                </c:pt>
                <c:pt idx="12">
                  <c:v>6279000</c:v>
                </c:pt>
                <c:pt idx="13">
                  <c:v>6454000</c:v>
                </c:pt>
                <c:pt idx="14">
                  <c:v>6634000</c:v>
                </c:pt>
                <c:pt idx="15">
                  <c:v>6820000</c:v>
                </c:pt>
                <c:pt idx="16">
                  <c:v>7011000</c:v>
                </c:pt>
                <c:pt idx="17">
                  <c:v>7208000</c:v>
                </c:pt>
                <c:pt idx="18">
                  <c:v>7410000</c:v>
                </c:pt>
                <c:pt idx="19">
                  <c:v>7619000</c:v>
                </c:pt>
                <c:pt idx="20">
                  <c:v>7833000</c:v>
                </c:pt>
                <c:pt idx="21">
                  <c:v>8054000</c:v>
                </c:pt>
                <c:pt idx="22">
                  <c:v>8282000</c:v>
                </c:pt>
                <c:pt idx="23">
                  <c:v>8516000</c:v>
                </c:pt>
                <c:pt idx="24">
                  <c:v>8756000</c:v>
                </c:pt>
                <c:pt idx="25">
                  <c:v>9004000</c:v>
                </c:pt>
                <c:pt idx="26">
                  <c:v>9260000</c:v>
                </c:pt>
                <c:pt idx="27">
                  <c:v>9522000</c:v>
                </c:pt>
                <c:pt idx="28">
                  <c:v>9793000</c:v>
                </c:pt>
                <c:pt idx="29">
                  <c:v>10071000</c:v>
                </c:pt>
                <c:pt idx="30">
                  <c:v>10358000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0E-482C-8A57-3A7338899914}"/>
            </c:ext>
          </c:extLst>
        </c:ser>
        <c:ser>
          <c:idx val="5"/>
          <c:order val="5"/>
          <c:tx>
            <c:strRef>
              <c:f>'B5 - TCO PL&amp;FMCG 28T 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'!$C$115:$AG$115</c:f>
              <c:numCache>
                <c:formatCode>_ [$₹-4009]\ * #,##0_ ;_ [$₹-4009]\ * \-#,##0_ ;_ [$₹-4009]\ * "-"??_ ;_ @_ </c:formatCode>
                <c:ptCount val="31"/>
                <c:pt idx="0">
                  <c:v>5179000</c:v>
                </c:pt>
                <c:pt idx="1">
                  <c:v>5208000</c:v>
                </c:pt>
                <c:pt idx="2">
                  <c:v>5244000</c:v>
                </c:pt>
                <c:pt idx="3">
                  <c:v>5288000</c:v>
                </c:pt>
                <c:pt idx="4">
                  <c:v>5338000</c:v>
                </c:pt>
                <c:pt idx="5">
                  <c:v>5795000</c:v>
                </c:pt>
                <c:pt idx="6">
                  <c:v>5884000</c:v>
                </c:pt>
                <c:pt idx="7">
                  <c:v>5978000</c:v>
                </c:pt>
                <c:pt idx="8">
                  <c:v>6079000</c:v>
                </c:pt>
                <c:pt idx="9">
                  <c:v>6185000</c:v>
                </c:pt>
                <c:pt idx="10">
                  <c:v>6298000</c:v>
                </c:pt>
                <c:pt idx="11">
                  <c:v>6417000</c:v>
                </c:pt>
                <c:pt idx="12">
                  <c:v>6543000</c:v>
                </c:pt>
                <c:pt idx="13">
                  <c:v>6675000</c:v>
                </c:pt>
                <c:pt idx="14">
                  <c:v>6813000</c:v>
                </c:pt>
                <c:pt idx="15">
                  <c:v>6959000</c:v>
                </c:pt>
                <c:pt idx="16">
                  <c:v>7151000</c:v>
                </c:pt>
                <c:pt idx="17">
                  <c:v>7349000</c:v>
                </c:pt>
                <c:pt idx="18">
                  <c:v>7553000</c:v>
                </c:pt>
                <c:pt idx="19">
                  <c:v>7763000</c:v>
                </c:pt>
                <c:pt idx="20">
                  <c:v>7979000</c:v>
                </c:pt>
                <c:pt idx="21">
                  <c:v>8201000</c:v>
                </c:pt>
                <c:pt idx="22">
                  <c:v>8430000</c:v>
                </c:pt>
                <c:pt idx="23">
                  <c:v>8666000</c:v>
                </c:pt>
                <c:pt idx="24">
                  <c:v>8908000</c:v>
                </c:pt>
                <c:pt idx="25">
                  <c:v>9157000</c:v>
                </c:pt>
                <c:pt idx="26">
                  <c:v>9414000</c:v>
                </c:pt>
                <c:pt idx="27">
                  <c:v>9679000</c:v>
                </c:pt>
                <c:pt idx="28">
                  <c:v>9951000</c:v>
                </c:pt>
                <c:pt idx="29">
                  <c:v>10231000</c:v>
                </c:pt>
                <c:pt idx="30">
                  <c:v>10519000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0E-482C-8A57-3A7338899914}"/>
            </c:ext>
          </c:extLst>
        </c:ser>
        <c:ser>
          <c:idx val="6"/>
          <c:order val="6"/>
          <c:tx>
            <c:strRef>
              <c:f>'B5 - TCO PL&amp;FMCG 28T 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'!$C$149:$AG$149</c:f>
              <c:numCache>
                <c:formatCode>_ [$₹-4009]\ * #,##0_ ;_ [$₹-4009]\ * \-#,##0_ ;_ [$₹-4009]\ * "-"??_ ;_ @_ </c:formatCode>
                <c:ptCount val="31"/>
                <c:pt idx="0">
                  <c:v>11491000</c:v>
                </c:pt>
                <c:pt idx="1">
                  <c:v>11294000</c:v>
                </c:pt>
                <c:pt idx="2">
                  <c:v>11110000</c:v>
                </c:pt>
                <c:pt idx="3">
                  <c:v>10939000</c:v>
                </c:pt>
                <c:pt idx="4">
                  <c:v>10782000</c:v>
                </c:pt>
                <c:pt idx="5">
                  <c:v>10838000</c:v>
                </c:pt>
                <c:pt idx="6">
                  <c:v>10763000</c:v>
                </c:pt>
                <c:pt idx="7">
                  <c:v>10705000</c:v>
                </c:pt>
                <c:pt idx="8">
                  <c:v>10656000</c:v>
                </c:pt>
                <c:pt idx="9">
                  <c:v>10616000</c:v>
                </c:pt>
                <c:pt idx="10">
                  <c:v>10586000</c:v>
                </c:pt>
                <c:pt idx="11">
                  <c:v>10565000</c:v>
                </c:pt>
                <c:pt idx="12">
                  <c:v>10553000</c:v>
                </c:pt>
                <c:pt idx="13">
                  <c:v>10551000</c:v>
                </c:pt>
                <c:pt idx="14">
                  <c:v>10558000</c:v>
                </c:pt>
                <c:pt idx="15">
                  <c:v>10575000</c:v>
                </c:pt>
                <c:pt idx="16">
                  <c:v>10540000</c:v>
                </c:pt>
                <c:pt idx="17">
                  <c:v>10679000</c:v>
                </c:pt>
                <c:pt idx="18">
                  <c:v>10825000</c:v>
                </c:pt>
                <c:pt idx="19">
                  <c:v>10978000</c:v>
                </c:pt>
                <c:pt idx="20">
                  <c:v>11138000</c:v>
                </c:pt>
                <c:pt idx="21">
                  <c:v>11146000</c:v>
                </c:pt>
                <c:pt idx="22">
                  <c:v>11321000</c:v>
                </c:pt>
                <c:pt idx="23">
                  <c:v>11503000</c:v>
                </c:pt>
                <c:pt idx="24">
                  <c:v>11693000</c:v>
                </c:pt>
                <c:pt idx="25">
                  <c:v>11891000</c:v>
                </c:pt>
                <c:pt idx="26">
                  <c:v>12011000</c:v>
                </c:pt>
                <c:pt idx="27">
                  <c:v>12293000</c:v>
                </c:pt>
                <c:pt idx="28">
                  <c:v>12582000</c:v>
                </c:pt>
                <c:pt idx="29">
                  <c:v>12879000</c:v>
                </c:pt>
                <c:pt idx="30">
                  <c:v>13184000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0E-482C-8A57-3A7338899914}"/>
            </c:ext>
          </c:extLst>
        </c:ser>
        <c:ser>
          <c:idx val="7"/>
          <c:order val="7"/>
          <c:tx>
            <c:strRef>
              <c:f>'B5 - TCO PL&amp;FMCG 28T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'B5 - TCO PL&amp;FMCG 28T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'B5 - TCO PL&amp;FMCG 28T '!$C$81:$AG$81</c:f>
              <c:numCache>
                <c:formatCode>_ [$₹-4009]\ * #,##0_ ;_ [$₹-4009]\ * \-#,##0_ ;_ [$₹-4009]\ * "-"??_ ;_ @_ </c:formatCode>
                <c:ptCount val="31"/>
                <c:pt idx="0">
                  <c:v>3850000</c:v>
                </c:pt>
                <c:pt idx="1">
                  <c:v>3966000</c:v>
                </c:pt>
                <c:pt idx="2">
                  <c:v>4084000</c:v>
                </c:pt>
                <c:pt idx="3">
                  <c:v>4207000</c:v>
                </c:pt>
                <c:pt idx="4">
                  <c:v>4333000</c:v>
                </c:pt>
                <c:pt idx="5">
                  <c:v>4863000</c:v>
                </c:pt>
                <c:pt idx="6">
                  <c:v>5009000</c:v>
                </c:pt>
                <c:pt idx="7">
                  <c:v>5159000</c:v>
                </c:pt>
                <c:pt idx="8">
                  <c:v>5314000</c:v>
                </c:pt>
                <c:pt idx="9">
                  <c:v>5474000</c:v>
                </c:pt>
                <c:pt idx="10">
                  <c:v>5638000</c:v>
                </c:pt>
                <c:pt idx="11">
                  <c:v>5807000</c:v>
                </c:pt>
                <c:pt idx="12">
                  <c:v>5981000</c:v>
                </c:pt>
                <c:pt idx="13">
                  <c:v>6161000</c:v>
                </c:pt>
                <c:pt idx="14">
                  <c:v>6345000</c:v>
                </c:pt>
                <c:pt idx="15">
                  <c:v>6536000</c:v>
                </c:pt>
                <c:pt idx="16">
                  <c:v>6732000</c:v>
                </c:pt>
                <c:pt idx="17">
                  <c:v>6934000</c:v>
                </c:pt>
                <c:pt idx="18">
                  <c:v>7142000</c:v>
                </c:pt>
                <c:pt idx="19">
                  <c:v>7356000</c:v>
                </c:pt>
                <c:pt idx="20">
                  <c:v>7577000</c:v>
                </c:pt>
                <c:pt idx="21">
                  <c:v>7804000</c:v>
                </c:pt>
                <c:pt idx="22">
                  <c:v>8038000</c:v>
                </c:pt>
                <c:pt idx="23">
                  <c:v>8279000</c:v>
                </c:pt>
                <c:pt idx="24">
                  <c:v>8528000</c:v>
                </c:pt>
                <c:pt idx="25">
                  <c:v>8783000</c:v>
                </c:pt>
                <c:pt idx="26">
                  <c:v>9047000</c:v>
                </c:pt>
                <c:pt idx="27">
                  <c:v>9318000</c:v>
                </c:pt>
                <c:pt idx="28">
                  <c:v>9598000</c:v>
                </c:pt>
                <c:pt idx="29">
                  <c:v>9886000</c:v>
                </c:pt>
                <c:pt idx="30">
                  <c:v>10182000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0E-482C-8A57-3A7338899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'B6 Perishables 15T'!$A$165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'B6 Perishables 15T'!$C$164:$AB$164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'B6 Perishables 15T'!$C$165:$AB$165</c:f>
              <c:numCache>
                <c:formatCode>_ [$₹-4009]\ * #,##0.00_ ;_ [$₹-4009]\ * \-#,##0.00_ ;_ [$₹-4009]\ * "-"??_ ;_ @_ </c:formatCode>
                <c:ptCount val="26"/>
                <c:pt idx="0">
                  <c:v>29.688487806927938</c:v>
                </c:pt>
                <c:pt idx="1">
                  <c:v>31.786169942497683</c:v>
                </c:pt>
                <c:pt idx="2">
                  <c:v>32.551419415772621</c:v>
                </c:pt>
                <c:pt idx="3">
                  <c:v>33.340131525371945</c:v>
                </c:pt>
                <c:pt idx="4">
                  <c:v>34.152657300790445</c:v>
                </c:pt>
                <c:pt idx="5">
                  <c:v>35.524513259771837</c:v>
                </c:pt>
                <c:pt idx="6">
                  <c:v>36.402086573215144</c:v>
                </c:pt>
                <c:pt idx="7">
                  <c:v>37.305263933427831</c:v>
                </c:pt>
                <c:pt idx="8">
                  <c:v>38.234577066866322</c:v>
                </c:pt>
                <c:pt idx="9">
                  <c:v>39.19057047123227</c:v>
                </c:pt>
                <c:pt idx="10">
                  <c:v>40.173801864460295</c:v>
                </c:pt>
                <c:pt idx="11">
                  <c:v>41.571149338030722</c:v>
                </c:pt>
                <c:pt idx="12">
                  <c:v>42.622046539150695</c:v>
                </c:pt>
                <c:pt idx="13">
                  <c:v>43.710483731798568</c:v>
                </c:pt>
                <c:pt idx="14">
                  <c:v>44.828754920436758</c:v>
                </c:pt>
                <c:pt idx="15">
                  <c:v>45.985836505488741</c:v>
                </c:pt>
                <c:pt idx="16">
                  <c:v>47.174054509517077</c:v>
                </c:pt>
                <c:pt idx="17">
                  <c:v>48.402418491055315</c:v>
                </c:pt>
                <c:pt idx="18">
                  <c:v>49.663288813572144</c:v>
                </c:pt>
                <c:pt idx="19">
                  <c:v>50.965710603744014</c:v>
                </c:pt>
                <c:pt idx="20">
                  <c:v>52.310414399912929</c:v>
                </c:pt>
                <c:pt idx="21">
                  <c:v>54.217507301163891</c:v>
                </c:pt>
                <c:pt idx="22">
                  <c:v>55.664628427492644</c:v>
                </c:pt>
                <c:pt idx="23">
                  <c:v>57.156806787285539</c:v>
                </c:pt>
                <c:pt idx="24">
                  <c:v>58.694866791229678</c:v>
                </c:pt>
                <c:pt idx="25">
                  <c:v>60.279812821353055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7-4507-AEFE-F2FB2FACF9C7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'B6 Perishables 15T'!$C$164:$AB$164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7-4507-AEFE-F2FB2FACF9C7}"/>
            </c:ext>
          </c:extLst>
        </c:ser>
        <c:ser>
          <c:idx val="4"/>
          <c:order val="2"/>
          <c:tx>
            <c:strRef>
              <c:f>'B6 Perishables 15T'!$A$168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'B6 Perishables 15T'!$C$164:$AB$164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'B6 Perishables 15T'!$C$168:$AB$168</c:f>
              <c:numCache>
                <c:formatCode>_ [$₹-4009]\ * #,##0.00_ ;_ [$₹-4009]\ * \-#,##0.00_ ;_ [$₹-4009]\ * "-"??_ ;_ @_ </c:formatCode>
                <c:ptCount val="26"/>
                <c:pt idx="0">
                  <c:v>35.955395317786568</c:v>
                </c:pt>
                <c:pt idx="1">
                  <c:v>36.197032044289251</c:v>
                </c:pt>
                <c:pt idx="2">
                  <c:v>36.389896956913773</c:v>
                </c:pt>
                <c:pt idx="3">
                  <c:v>36.272765668660284</c:v>
                </c:pt>
                <c:pt idx="4">
                  <c:v>36.106165175765966</c:v>
                </c:pt>
                <c:pt idx="5">
                  <c:v>36.494375751523819</c:v>
                </c:pt>
                <c:pt idx="6">
                  <c:v>35.189808573344131</c:v>
                </c:pt>
                <c:pt idx="7">
                  <c:v>35.318854241281556</c:v>
                </c:pt>
                <c:pt idx="8">
                  <c:v>35.320619724665406</c:v>
                </c:pt>
                <c:pt idx="9">
                  <c:v>35.409293559702569</c:v>
                </c:pt>
                <c:pt idx="10">
                  <c:v>35.586569559495871</c:v>
                </c:pt>
                <c:pt idx="11">
                  <c:v>35.253950264277613</c:v>
                </c:pt>
                <c:pt idx="12">
                  <c:v>35.649838135792919</c:v>
                </c:pt>
                <c:pt idx="13">
                  <c:v>36.045744942582388</c:v>
                </c:pt>
                <c:pt idx="14">
                  <c:v>36.504805980383274</c:v>
                </c:pt>
                <c:pt idx="15">
                  <c:v>37.027385996425231</c:v>
                </c:pt>
                <c:pt idx="16">
                  <c:v>37.524930393691356</c:v>
                </c:pt>
                <c:pt idx="17">
                  <c:v>38.285391184627855</c:v>
                </c:pt>
                <c:pt idx="18">
                  <c:v>39.054036299534857</c:v>
                </c:pt>
                <c:pt idx="19">
                  <c:v>39.857726743599542</c:v>
                </c:pt>
                <c:pt idx="20">
                  <c:v>40.697656917610686</c:v>
                </c:pt>
                <c:pt idx="21">
                  <c:v>40.812713443886892</c:v>
                </c:pt>
                <c:pt idx="22">
                  <c:v>41.715356412616963</c:v>
                </c:pt>
                <c:pt idx="23">
                  <c:v>42.665223337779736</c:v>
                </c:pt>
                <c:pt idx="24">
                  <c:v>43.655398206076612</c:v>
                </c:pt>
                <c:pt idx="25">
                  <c:v>44.69223129313653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7-4507-AEFE-F2FB2FACF9C7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797-4507-AEFE-F2FB2FACF9C7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4797-4507-AEFE-F2FB2FACF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'B6 Perishables 15T'!$A$192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'B6 Perishables 15T'!$C$164:$AB$164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'B6 Perishables 15T'!$C$192:$AB$192</c:f>
              <c:numCache>
                <c:formatCode>0%</c:formatCode>
                <c:ptCount val="26"/>
                <c:pt idx="0">
                  <c:v>0.82570327886901329</c:v>
                </c:pt>
                <c:pt idx="1">
                  <c:v>0.87814298983423245</c:v>
                </c:pt>
                <c:pt idx="2">
                  <c:v>0.89451804313472028</c:v>
                </c:pt>
                <c:pt idx="3">
                  <c:v>0.91915052273441233</c:v>
                </c:pt>
                <c:pt idx="4">
                  <c:v>0.94589544845137163</c:v>
                </c:pt>
                <c:pt idx="5">
                  <c:v>0.97342432986508931</c:v>
                </c:pt>
                <c:pt idx="6">
                  <c:v>1.0344496900954812</c:v>
                </c:pt>
                <c:pt idx="7">
                  <c:v>1.0562421894712686</c:v>
                </c:pt>
                <c:pt idx="8">
                  <c:v>1.0825001759571624</c:v>
                </c:pt>
                <c:pt idx="9">
                  <c:v>1.1067876969969537</c:v>
                </c:pt>
                <c:pt idx="10">
                  <c:v>1.1289034700941094</c:v>
                </c:pt>
                <c:pt idx="11">
                  <c:v>1.17919124031199</c:v>
                </c:pt>
                <c:pt idx="12">
                  <c:v>1.1955747562387271</c:v>
                </c:pt>
                <c:pt idx="13">
                  <c:v>1.2126392116857458</c:v>
                </c:pt>
                <c:pt idx="14">
                  <c:v>1.2280233716219875</c:v>
                </c:pt>
                <c:pt idx="15">
                  <c:v>1.2419412083242494</c:v>
                </c:pt>
                <c:pt idx="16">
                  <c:v>1.2571390276968486</c:v>
                </c:pt>
                <c:pt idx="17">
                  <c:v>1.2642529433129992</c:v>
                </c:pt>
                <c:pt idx="18">
                  <c:v>1.2716557242039448</c:v>
                </c:pt>
                <c:pt idx="19">
                  <c:v>1.2786908528828282</c:v>
                </c:pt>
                <c:pt idx="20">
                  <c:v>1.2853421636978115</c:v>
                </c:pt>
                <c:pt idx="21">
                  <c:v>1.3284465237947767</c:v>
                </c:pt>
                <c:pt idx="22">
                  <c:v>1.3343917735449737</c:v>
                </c:pt>
                <c:pt idx="23">
                  <c:v>1.3396579770549006</c:v>
                </c:pt>
                <c:pt idx="24">
                  <c:v>1.3445042126098314</c:v>
                </c:pt>
                <c:pt idx="25">
                  <c:v>1.3487760865188743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7-4E13-B3B0-3ABCF39A39FE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'B6 Perishables 15T'!$C$164:$AB$164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7-4E13-B3B0-3ABCF39A39FE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67A7-4E13-B3B0-3ABCF39A39FE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67A7-4E13-B3B0-3ABCF39A3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'B6 Perishables 15T'!$A$165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15T'!$C$165:$AG$165</c:f>
              <c:numCache>
                <c:formatCode>_ [$₹-4009]\ * #,##0.00_ ;_ [$₹-4009]\ * \-#,##0.00_ ;_ [$₹-4009]\ * "-"??_ ;_ @_ </c:formatCode>
                <c:ptCount val="31"/>
                <c:pt idx="0">
                  <c:v>29.688487806927938</c:v>
                </c:pt>
                <c:pt idx="1">
                  <c:v>31.786169942497683</c:v>
                </c:pt>
                <c:pt idx="2">
                  <c:v>32.551419415772621</c:v>
                </c:pt>
                <c:pt idx="3">
                  <c:v>33.340131525371945</c:v>
                </c:pt>
                <c:pt idx="4">
                  <c:v>34.152657300790445</c:v>
                </c:pt>
                <c:pt idx="5">
                  <c:v>35.524513259771837</c:v>
                </c:pt>
                <c:pt idx="6">
                  <c:v>36.402086573215144</c:v>
                </c:pt>
                <c:pt idx="7">
                  <c:v>37.305263933427831</c:v>
                </c:pt>
                <c:pt idx="8">
                  <c:v>38.234577066866322</c:v>
                </c:pt>
                <c:pt idx="9">
                  <c:v>39.19057047123227</c:v>
                </c:pt>
                <c:pt idx="10">
                  <c:v>40.173801864460295</c:v>
                </c:pt>
                <c:pt idx="11">
                  <c:v>41.571149338030722</c:v>
                </c:pt>
                <c:pt idx="12">
                  <c:v>42.622046539150695</c:v>
                </c:pt>
                <c:pt idx="13">
                  <c:v>43.710483731798568</c:v>
                </c:pt>
                <c:pt idx="14">
                  <c:v>44.828754920436758</c:v>
                </c:pt>
                <c:pt idx="15">
                  <c:v>45.985836505488741</c:v>
                </c:pt>
                <c:pt idx="16">
                  <c:v>47.174054509517077</c:v>
                </c:pt>
                <c:pt idx="17">
                  <c:v>48.402418491055315</c:v>
                </c:pt>
                <c:pt idx="18">
                  <c:v>49.663288813572144</c:v>
                </c:pt>
                <c:pt idx="19">
                  <c:v>50.965710603744014</c:v>
                </c:pt>
                <c:pt idx="20">
                  <c:v>52.310414399912929</c:v>
                </c:pt>
                <c:pt idx="21">
                  <c:v>54.217507301163891</c:v>
                </c:pt>
                <c:pt idx="22">
                  <c:v>55.664628427492644</c:v>
                </c:pt>
                <c:pt idx="23">
                  <c:v>57.156806787285539</c:v>
                </c:pt>
                <c:pt idx="24">
                  <c:v>58.694866791229678</c:v>
                </c:pt>
                <c:pt idx="25">
                  <c:v>60.279812821353055</c:v>
                </c:pt>
                <c:pt idx="26">
                  <c:v>61.912514844799141</c:v>
                </c:pt>
                <c:pt idx="27">
                  <c:v>63.602200185972841</c:v>
                </c:pt>
                <c:pt idx="28">
                  <c:v>65.341611997245408</c:v>
                </c:pt>
                <c:pt idx="29">
                  <c:v>67.140028301785478</c:v>
                </c:pt>
                <c:pt idx="30">
                  <c:v>68.99842053181861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5-4619-A29F-B357D63FFEAC}"/>
            </c:ext>
          </c:extLst>
        </c:ser>
        <c:ser>
          <c:idx val="4"/>
          <c:order val="1"/>
          <c:tx>
            <c:strRef>
              <c:f>'B6 Perishables 15T'!$A$168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045-4619-A29F-B357D63FFEAC}"/>
              </c:ext>
            </c:extLst>
          </c:dPt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15T'!$C$168:$AG$168</c:f>
              <c:numCache>
                <c:formatCode>_ [$₹-4009]\ * #,##0.00_ ;_ [$₹-4009]\ * \-#,##0.00_ ;_ [$₹-4009]\ * "-"??_ ;_ @_ </c:formatCode>
                <c:ptCount val="31"/>
                <c:pt idx="0">
                  <c:v>35.955395317786568</c:v>
                </c:pt>
                <c:pt idx="1">
                  <c:v>36.197032044289251</c:v>
                </c:pt>
                <c:pt idx="2">
                  <c:v>36.389896956913773</c:v>
                </c:pt>
                <c:pt idx="3">
                  <c:v>36.272765668660284</c:v>
                </c:pt>
                <c:pt idx="4">
                  <c:v>36.106165175765966</c:v>
                </c:pt>
                <c:pt idx="5">
                  <c:v>36.494375751523819</c:v>
                </c:pt>
                <c:pt idx="6">
                  <c:v>35.189808573344131</c:v>
                </c:pt>
                <c:pt idx="7">
                  <c:v>35.318854241281556</c:v>
                </c:pt>
                <c:pt idx="8">
                  <c:v>35.320619724665406</c:v>
                </c:pt>
                <c:pt idx="9">
                  <c:v>35.409293559702569</c:v>
                </c:pt>
                <c:pt idx="10">
                  <c:v>35.586569559495871</c:v>
                </c:pt>
                <c:pt idx="11">
                  <c:v>35.253950264277613</c:v>
                </c:pt>
                <c:pt idx="12">
                  <c:v>35.649838135792919</c:v>
                </c:pt>
                <c:pt idx="13">
                  <c:v>36.045744942582388</c:v>
                </c:pt>
                <c:pt idx="14">
                  <c:v>36.504805980383274</c:v>
                </c:pt>
                <c:pt idx="15">
                  <c:v>37.027385996425231</c:v>
                </c:pt>
                <c:pt idx="16">
                  <c:v>37.524930393691356</c:v>
                </c:pt>
                <c:pt idx="17">
                  <c:v>38.285391184627855</c:v>
                </c:pt>
                <c:pt idx="18">
                  <c:v>39.054036299534857</c:v>
                </c:pt>
                <c:pt idx="19">
                  <c:v>39.857726743599542</c:v>
                </c:pt>
                <c:pt idx="20">
                  <c:v>40.697656917610686</c:v>
                </c:pt>
                <c:pt idx="21">
                  <c:v>40.812713443886892</c:v>
                </c:pt>
                <c:pt idx="22">
                  <c:v>41.715356412616963</c:v>
                </c:pt>
                <c:pt idx="23">
                  <c:v>42.665223337779736</c:v>
                </c:pt>
                <c:pt idx="24">
                  <c:v>43.655398206076612</c:v>
                </c:pt>
                <c:pt idx="25">
                  <c:v>44.69223129313653</c:v>
                </c:pt>
                <c:pt idx="26">
                  <c:v>45.999595077555533</c:v>
                </c:pt>
                <c:pt idx="27">
                  <c:v>47.395939849937321</c:v>
                </c:pt>
                <c:pt idx="28">
                  <c:v>48.844065419048668</c:v>
                </c:pt>
                <c:pt idx="29">
                  <c:v>50.349390420533823</c:v>
                </c:pt>
                <c:pt idx="30">
                  <c:v>51.913905669862842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5-4619-A29F-B357D63FFEA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045-4619-A29F-B357D63FFEAC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B045-4619-A29F-B357D63FFEAC}"/>
            </c:ext>
          </c:extLst>
        </c:ser>
        <c:ser>
          <c:idx val="2"/>
          <c:order val="5"/>
          <c:tx>
            <c:strRef>
              <c:f>'B6 Perishables 15T'!$A$169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15T'!$C$169:$AG$169</c:f>
              <c:numCache>
                <c:formatCode>_ [$₹-4009]\ * #,##0.00_ ;_ [$₹-4009]\ * \-#,##0.00_ ;_ [$₹-4009]\ * "-"??_ ;_ @_ </c:formatCode>
                <c:ptCount val="31"/>
                <c:pt idx="0">
                  <c:v>58.383174568497076</c:v>
                </c:pt>
                <c:pt idx="1">
                  <c:v>58.325746799995237</c:v>
                </c:pt>
                <c:pt idx="2">
                  <c:v>58.330251426224962</c:v>
                </c:pt>
                <c:pt idx="3">
                  <c:v>58.394401062879155</c:v>
                </c:pt>
                <c:pt idx="4">
                  <c:v>58.519347549376036</c:v>
                </c:pt>
                <c:pt idx="5">
                  <c:v>59.382607463259298</c:v>
                </c:pt>
                <c:pt idx="6">
                  <c:v>57.561391852992308</c:v>
                </c:pt>
                <c:pt idx="7">
                  <c:v>56.853128307087268</c:v>
                </c:pt>
                <c:pt idx="8">
                  <c:v>56.209750986154773</c:v>
                </c:pt>
                <c:pt idx="9">
                  <c:v>55.628343851513769</c:v>
                </c:pt>
                <c:pt idx="10">
                  <c:v>55.107760585851096</c:v>
                </c:pt>
                <c:pt idx="11">
                  <c:v>54.148265136216594</c:v>
                </c:pt>
                <c:pt idx="12">
                  <c:v>53.740849221952352</c:v>
                </c:pt>
                <c:pt idx="13">
                  <c:v>53.399101108668745</c:v>
                </c:pt>
                <c:pt idx="14">
                  <c:v>53.115394194073986</c:v>
                </c:pt>
                <c:pt idx="15">
                  <c:v>52.897257096427765</c:v>
                </c:pt>
                <c:pt idx="16">
                  <c:v>51.645063932876418</c:v>
                </c:pt>
                <c:pt idx="17">
                  <c:v>51.77517244427623</c:v>
                </c:pt>
                <c:pt idx="18">
                  <c:v>51.954690379762042</c:v>
                </c:pt>
                <c:pt idx="19">
                  <c:v>52.192886936420976</c:v>
                </c:pt>
                <c:pt idx="20">
                  <c:v>52.489189481946909</c:v>
                </c:pt>
                <c:pt idx="21">
                  <c:v>52.532079245903283</c:v>
                </c:pt>
                <c:pt idx="22">
                  <c:v>52.933287574950718</c:v>
                </c:pt>
                <c:pt idx="23">
                  <c:v>53.392550805748961</c:v>
                </c:pt>
                <c:pt idx="24">
                  <c:v>53.908034034182393</c:v>
                </c:pt>
                <c:pt idx="25">
                  <c:v>54.477962656478546</c:v>
                </c:pt>
                <c:pt idx="26">
                  <c:v>54.973218290563523</c:v>
                </c:pt>
                <c:pt idx="27">
                  <c:v>56.224154786413813</c:v>
                </c:pt>
                <c:pt idx="28">
                  <c:v>57.536189351639784</c:v>
                </c:pt>
                <c:pt idx="29">
                  <c:v>58.91946861892508</c:v>
                </c:pt>
                <c:pt idx="30">
                  <c:v>60.374348625833328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45-4619-A29F-B357D63FFEAC}"/>
            </c:ext>
          </c:extLst>
        </c:ser>
        <c:ser>
          <c:idx val="6"/>
          <c:order val="6"/>
          <c:tx>
            <c:strRef>
              <c:f>'B6 Perishables 15T'!$A$170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15T'!$C$170:$AG$170</c:f>
              <c:numCache>
                <c:formatCode>_ [$₹-4009]\ * #,##0.00_ ;_ [$₹-4009]\ * \-#,##0.00_ ;_ [$₹-4009]\ * "-"??_ ;_ @_ </c:formatCode>
                <c:ptCount val="31"/>
                <c:pt idx="0">
                  <c:v>63.766812737521796</c:v>
                </c:pt>
                <c:pt idx="1">
                  <c:v>63.269936227083406</c:v>
                </c:pt>
                <c:pt idx="2">
                  <c:v>62.83820904380655</c:v>
                </c:pt>
                <c:pt idx="3">
                  <c:v>62.472987850579742</c:v>
                </c:pt>
                <c:pt idx="4">
                  <c:v>62.170045916358326</c:v>
                </c:pt>
                <c:pt idx="5">
                  <c:v>62.303660412031924</c:v>
                </c:pt>
                <c:pt idx="6">
                  <c:v>60.670035129102317</c:v>
                </c:pt>
                <c:pt idx="7">
                  <c:v>59.893804706126495</c:v>
                </c:pt>
                <c:pt idx="8">
                  <c:v>59.175756895816392</c:v>
                </c:pt>
                <c:pt idx="9">
                  <c:v>58.527008308017592</c:v>
                </c:pt>
                <c:pt idx="10">
                  <c:v>57.93456995535022</c:v>
                </c:pt>
                <c:pt idx="11">
                  <c:v>56.385087067893856</c:v>
                </c:pt>
                <c:pt idx="12">
                  <c:v>55.923646938953652</c:v>
                </c:pt>
                <c:pt idx="13">
                  <c:v>55.513519292942611</c:v>
                </c:pt>
                <c:pt idx="14">
                  <c:v>55.16584319496323</c:v>
                </c:pt>
                <c:pt idx="15">
                  <c:v>54.869874968413484</c:v>
                </c:pt>
                <c:pt idx="16">
                  <c:v>53.687530052072042</c:v>
                </c:pt>
                <c:pt idx="17">
                  <c:v>53.843793459251501</c:v>
                </c:pt>
                <c:pt idx="18">
                  <c:v>54.050443360778218</c:v>
                </c:pt>
                <c:pt idx="19">
                  <c:v>54.308714975123536</c:v>
                </c:pt>
                <c:pt idx="20">
                  <c:v>54.616383535042218</c:v>
                </c:pt>
                <c:pt idx="21">
                  <c:v>53.70068824269201</c:v>
                </c:pt>
                <c:pt idx="22">
                  <c:v>54.098843749393893</c:v>
                </c:pt>
                <c:pt idx="23">
                  <c:v>54.556395452773458</c:v>
                </c:pt>
                <c:pt idx="24">
                  <c:v>55.061452816838155</c:v>
                </c:pt>
                <c:pt idx="25">
                  <c:v>55.623741885122293</c:v>
                </c:pt>
                <c:pt idx="26">
                  <c:v>56.040208628320755</c:v>
                </c:pt>
                <c:pt idx="27">
                  <c:v>57.282574436385964</c:v>
                </c:pt>
                <c:pt idx="28">
                  <c:v>58.585869291744899</c:v>
                </c:pt>
                <c:pt idx="29">
                  <c:v>59.948627509265364</c:v>
                </c:pt>
                <c:pt idx="30">
                  <c:v>61.374332083770895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45-4619-A29F-B357D63FFEAC}"/>
            </c:ext>
          </c:extLst>
        </c:ser>
        <c:ser>
          <c:idx val="7"/>
          <c:order val="7"/>
          <c:tx>
            <c:strRef>
              <c:f>'B6 Perishables 15T'!$A$96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15T'!$C$167:$AG$167</c:f>
              <c:numCache>
                <c:formatCode>_ [$₹-4009]\ * #,##0.00_ ;_ [$₹-4009]\ * \-#,##0.00_ ;_ [$₹-4009]\ * "-"??_ ;_ @_ </c:formatCode>
                <c:ptCount val="31"/>
                <c:pt idx="0">
                  <c:v>29.334585328848547</c:v>
                </c:pt>
                <c:pt idx="1">
                  <c:v>30.261619247357377</c:v>
                </c:pt>
                <c:pt idx="2">
                  <c:v>31.137778635680586</c:v>
                </c:pt>
                <c:pt idx="3">
                  <c:v>32.042779832894738</c:v>
                </c:pt>
                <c:pt idx="4">
                  <c:v>32.980040188383313</c:v>
                </c:pt>
                <c:pt idx="5">
                  <c:v>34.507769668993305</c:v>
                </c:pt>
                <c:pt idx="6">
                  <c:v>35.524077202015867</c:v>
                </c:pt>
                <c:pt idx="7">
                  <c:v>36.574640193673311</c:v>
                </c:pt>
                <c:pt idx="8">
                  <c:v>37.660169479352014</c:v>
                </c:pt>
                <c:pt idx="9">
                  <c:v>38.781399911261083</c:v>
                </c:pt>
                <c:pt idx="10">
                  <c:v>39.937693780245915</c:v>
                </c:pt>
                <c:pt idx="11">
                  <c:v>41.594805334408129</c:v>
                </c:pt>
                <c:pt idx="12">
                  <c:v>42.837268222184171</c:v>
                </c:pt>
                <c:pt idx="13">
                  <c:v>44.128835844817701</c:v>
                </c:pt>
                <c:pt idx="14">
                  <c:v>45.460526425288556</c:v>
                </c:pt>
                <c:pt idx="15">
                  <c:v>46.841570779616561</c:v>
                </c:pt>
                <c:pt idx="16">
                  <c:v>48.266080008293279</c:v>
                </c:pt>
                <c:pt idx="17">
                  <c:v>49.740314061494487</c:v>
                </c:pt>
                <c:pt idx="18">
                  <c:v>51.261481163227181</c:v>
                </c:pt>
                <c:pt idx="19">
                  <c:v>52.834391252099323</c:v>
                </c:pt>
                <c:pt idx="20">
                  <c:v>54.464654647696243</c:v>
                </c:pt>
                <c:pt idx="21">
                  <c:v>56.754859383367155</c:v>
                </c:pt>
                <c:pt idx="22">
                  <c:v>58.515037462131055</c:v>
                </c:pt>
                <c:pt idx="23">
                  <c:v>60.334933669794893</c:v>
                </c:pt>
                <c:pt idx="24">
                  <c:v>62.215761483318815</c:v>
                </c:pt>
                <c:pt idx="25">
                  <c:v>64.158775903619855</c:v>
                </c:pt>
                <c:pt idx="26">
                  <c:v>66.166910414937618</c:v>
                </c:pt>
                <c:pt idx="27">
                  <c:v>68.24820530978522</c:v>
                </c:pt>
                <c:pt idx="28">
                  <c:v>70.397351269077745</c:v>
                </c:pt>
                <c:pt idx="29">
                  <c:v>72.62411779688324</c:v>
                </c:pt>
                <c:pt idx="30">
                  <c:v>74.928354894589631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045-4619-A29F-B357D63FFEAC}"/>
            </c:ext>
          </c:extLst>
        </c:ser>
        <c:ser>
          <c:idx val="8"/>
          <c:order val="8"/>
          <c:tx>
            <c:strRef>
              <c:f>'B6 Perishables 15T'!$A$79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15T'!$C$166:$AG$166</c:f>
              <c:numCache>
                <c:formatCode>_ [$₹-4009]\ * #,##0.00_ ;_ [$₹-4009]\ * \-#,##0.00_ ;_ [$₹-4009]\ * "-"??_ ;_ @_ </c:formatCode>
                <c:ptCount val="31"/>
                <c:pt idx="0">
                  <c:v>29.047288006328493</c:v>
                </c:pt>
                <c:pt idx="1">
                  <c:v>30.19870664651835</c:v>
                </c:pt>
                <c:pt idx="2">
                  <c:v>31.088881179247227</c:v>
                </c:pt>
                <c:pt idx="3">
                  <c:v>32.009771281291314</c:v>
                </c:pt>
                <c:pt idx="4">
                  <c:v>32.962097617730059</c:v>
                </c:pt>
                <c:pt idx="5">
                  <c:v>34.505568644271349</c:v>
                </c:pt>
                <c:pt idx="6">
                  <c:v>35.539794809441958</c:v>
                </c:pt>
                <c:pt idx="7">
                  <c:v>36.60826900242737</c:v>
                </c:pt>
                <c:pt idx="8">
                  <c:v>37.711827602562678</c:v>
                </c:pt>
                <c:pt idx="9">
                  <c:v>38.851334772324236</c:v>
                </c:pt>
                <c:pt idx="10">
                  <c:v>40.027683401836597</c:v>
                </c:pt>
                <c:pt idx="11">
                  <c:v>41.652953674363395</c:v>
                </c:pt>
                <c:pt idx="12">
                  <c:v>42.918118452541798</c:v>
                </c:pt>
                <c:pt idx="13">
                  <c:v>44.231689046125823</c:v>
                </c:pt>
                <c:pt idx="14">
                  <c:v>45.586361142713514</c:v>
                </c:pt>
                <c:pt idx="15">
                  <c:v>46.991531395838763</c:v>
                </c:pt>
                <c:pt idx="16">
                  <c:v>48.439965261309624</c:v>
                </c:pt>
                <c:pt idx="17">
                  <c:v>49.941131540966509</c:v>
                </c:pt>
                <c:pt idx="18">
                  <c:v>51.487870301976677</c:v>
                </c:pt>
                <c:pt idx="19">
                  <c:v>53.089727506500139</c:v>
                </c:pt>
                <c:pt idx="20">
                  <c:v>54.747956353283911</c:v>
                </c:pt>
                <c:pt idx="21">
                  <c:v>57.016413416703678</c:v>
                </c:pt>
                <c:pt idx="22">
                  <c:v>58.807891257336458</c:v>
                </c:pt>
                <c:pt idx="23">
                  <c:v>60.660255190417139</c:v>
                </c:pt>
                <c:pt idx="24">
                  <c:v>62.574949992405337</c:v>
                </c:pt>
                <c:pt idx="25">
                  <c:v>64.553468902702548</c:v>
                </c:pt>
                <c:pt idx="26">
                  <c:v>66.59735528624536</c:v>
                </c:pt>
                <c:pt idx="27">
                  <c:v>68.716537687697056</c:v>
                </c:pt>
                <c:pt idx="28">
                  <c:v>70.904331612655142</c:v>
                </c:pt>
                <c:pt idx="29">
                  <c:v>73.170774704700833</c:v>
                </c:pt>
                <c:pt idx="30">
                  <c:v>75.517628653862559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45-4619-A29F-B357D63FF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'B6 Perishables 15T'!$A$171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'B6 Perishables 15T'!$C$164:$AG$164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'B6 Perishables 15T'!$C$171:$AB$171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26.719639026235146</c:v>
                      </c:pt>
                      <c:pt idx="1">
                        <c:v>28.607552948247914</c:v>
                      </c:pt>
                      <c:pt idx="2">
                        <c:v>29.29627747419536</c:v>
                      </c:pt>
                      <c:pt idx="3">
                        <c:v>30.006118372834752</c:v>
                      </c:pt>
                      <c:pt idx="4">
                        <c:v>30.737391570711402</c:v>
                      </c:pt>
                      <c:pt idx="5">
                        <c:v>31.972061933794652</c:v>
                      </c:pt>
                      <c:pt idx="6">
                        <c:v>32.761877915893628</c:v>
                      </c:pt>
                      <c:pt idx="7">
                        <c:v>33.574737540085046</c:v>
                      </c:pt>
                      <c:pt idx="8">
                        <c:v>34.41111936017969</c:v>
                      </c:pt>
                      <c:pt idx="9">
                        <c:v>35.271513424109045</c:v>
                      </c:pt>
                      <c:pt idx="10">
                        <c:v>36.156421678014269</c:v>
                      </c:pt>
                      <c:pt idx="11">
                        <c:v>37.41403440422765</c:v>
                      </c:pt>
                      <c:pt idx="12">
                        <c:v>38.359841885235625</c:v>
                      </c:pt>
                      <c:pt idx="13">
                        <c:v>39.339435358618715</c:v>
                      </c:pt>
                      <c:pt idx="14">
                        <c:v>40.345879428393083</c:v>
                      </c:pt>
                      <c:pt idx="15">
                        <c:v>41.387252854939867</c:v>
                      </c:pt>
                      <c:pt idx="16">
                        <c:v>42.456649058565368</c:v>
                      </c:pt>
                      <c:pt idx="17">
                        <c:v>43.562176641949783</c:v>
                      </c:pt>
                      <c:pt idx="18">
                        <c:v>44.696959932214931</c:v>
                      </c:pt>
                      <c:pt idx="19">
                        <c:v>45.869139543369613</c:v>
                      </c:pt>
                      <c:pt idx="20">
                        <c:v>47.079372959921635</c:v>
                      </c:pt>
                      <c:pt idx="21">
                        <c:v>48.795756571047505</c:v>
                      </c:pt>
                      <c:pt idx="22">
                        <c:v>50.098165584743384</c:v>
                      </c:pt>
                      <c:pt idx="23">
                        <c:v>51.441126108556986</c:v>
                      </c:pt>
                      <c:pt idx="24">
                        <c:v>52.825380112106714</c:v>
                      </c:pt>
                      <c:pt idx="25">
                        <c:v>54.251831539217747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B045-4619-A29F-B357D63FFEAC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'B6 Perishables 15T'!$B$174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15T'!$C$174:$AG$174</c:f>
              <c:numCache>
                <c:formatCode>_ [$₹-4009]\ * #,##0.00_ ;_ [$₹-4009]\ * \-#,##0.00_ ;_ [$₹-4009]\ * "-"??_ ;_ @_ </c:formatCode>
                <c:ptCount val="31"/>
                <c:pt idx="0">
                  <c:v>3.1251039796766253</c:v>
                </c:pt>
                <c:pt idx="1">
                  <c:v>3.345912625526072</c:v>
                </c:pt>
                <c:pt idx="2">
                  <c:v>3.4264652016602759</c:v>
                </c:pt>
                <c:pt idx="3">
                  <c:v>3.5094875289865204</c:v>
                </c:pt>
                <c:pt idx="4">
                  <c:v>3.5950165579779414</c:v>
                </c:pt>
                <c:pt idx="5">
                  <c:v>3.7394224483970353</c:v>
                </c:pt>
                <c:pt idx="6">
                  <c:v>3.8317985866542257</c:v>
                </c:pt>
                <c:pt idx="7">
                  <c:v>3.9268698877292456</c:v>
                </c:pt>
                <c:pt idx="8">
                  <c:v>4.0246923228280345</c:v>
                </c:pt>
                <c:pt idx="9">
                  <c:v>4.1253232074981332</c:v>
                </c:pt>
                <c:pt idx="10">
                  <c:v>4.228821248890557</c:v>
                </c:pt>
                <c:pt idx="11">
                  <c:v>4.3759104566348128</c:v>
                </c:pt>
                <c:pt idx="12">
                  <c:v>4.4865312146474414</c:v>
                </c:pt>
                <c:pt idx="13">
                  <c:v>4.6011035507156386</c:v>
                </c:pt>
                <c:pt idx="14">
                  <c:v>4.7188163074143956</c:v>
                </c:pt>
                <c:pt idx="15">
                  <c:v>4.840614368998815</c:v>
                </c:pt>
                <c:pt idx="16">
                  <c:v>4.965689948370219</c:v>
                </c:pt>
                <c:pt idx="17">
                  <c:v>5.0949914201110857</c:v>
                </c:pt>
                <c:pt idx="18">
                  <c:v>5.2277146119549629</c:v>
                </c:pt>
                <c:pt idx="19">
                  <c:v>5.3648116424993706</c:v>
                </c:pt>
                <c:pt idx="20">
                  <c:v>5.5063594105171507</c:v>
                </c:pt>
                <c:pt idx="21">
                  <c:v>5.7071060317014624</c:v>
                </c:pt>
                <c:pt idx="22">
                  <c:v>5.8594345713150151</c:v>
                </c:pt>
                <c:pt idx="23">
                  <c:v>6.016505977609004</c:v>
                </c:pt>
                <c:pt idx="24">
                  <c:v>6.1784070306557561</c:v>
                </c:pt>
                <c:pt idx="25">
                  <c:v>6.3452434548792693</c:v>
                </c:pt>
                <c:pt idx="26">
                  <c:v>6.5171068257683302</c:v>
                </c:pt>
                <c:pt idx="27">
                  <c:v>6.6949684406287204</c:v>
                </c:pt>
                <c:pt idx="28">
                  <c:v>6.8780644207626747</c:v>
                </c:pt>
                <c:pt idx="29">
                  <c:v>7.0673714001879446</c:v>
                </c:pt>
                <c:pt idx="30">
                  <c:v>7.2629916349282748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12-4D90-B362-EFA8FAFBF08F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5112-4D90-B362-EFA8FAFBF08F}"/>
            </c:ext>
          </c:extLst>
        </c:ser>
        <c:ser>
          <c:idx val="3"/>
          <c:order val="2"/>
          <c:tx>
            <c:strRef>
              <c:f>'B6 Perishables 15T'!$B$177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15T'!$C$177:$AG$177</c:f>
              <c:numCache>
                <c:formatCode>_ [$₹-4009]\ * #,##0.00_ ;_ [$₹-4009]\ * \-#,##0.00_ ;_ [$₹-4009]\ * "-"??_ ;_ @_ </c:formatCode>
                <c:ptCount val="31"/>
                <c:pt idx="0">
                  <c:v>4.5513158630109585</c:v>
                </c:pt>
                <c:pt idx="1">
                  <c:v>4.5819027904163612</c:v>
                </c:pt>
                <c:pt idx="2">
                  <c:v>4.6063160704954145</c:v>
                </c:pt>
                <c:pt idx="3">
                  <c:v>4.5914893251468714</c:v>
                </c:pt>
                <c:pt idx="4">
                  <c:v>4.570400655160249</c:v>
                </c:pt>
                <c:pt idx="5">
                  <c:v>4.6195412343701037</c:v>
                </c:pt>
                <c:pt idx="6">
                  <c:v>4.4544061485245736</c:v>
                </c:pt>
                <c:pt idx="7">
                  <c:v>4.4707410432001975</c:v>
                </c:pt>
                <c:pt idx="8">
                  <c:v>4.4709645221095444</c:v>
                </c:pt>
                <c:pt idx="9">
                  <c:v>4.4821890581901984</c:v>
                </c:pt>
                <c:pt idx="10">
                  <c:v>4.504629058164034</c:v>
                </c:pt>
                <c:pt idx="11">
                  <c:v>4.4625253499085593</c:v>
                </c:pt>
                <c:pt idx="12">
                  <c:v>4.5126377387079648</c:v>
                </c:pt>
                <c:pt idx="13">
                  <c:v>4.562752524377518</c:v>
                </c:pt>
                <c:pt idx="14">
                  <c:v>4.6208615165042124</c:v>
                </c:pt>
                <c:pt idx="15">
                  <c:v>4.6870108856234474</c:v>
                </c:pt>
                <c:pt idx="16">
                  <c:v>4.749991189074855</c:v>
                </c:pt>
                <c:pt idx="17">
                  <c:v>4.8462520486870702</c:v>
                </c:pt>
                <c:pt idx="18">
                  <c:v>4.9435488986752985</c:v>
                </c:pt>
                <c:pt idx="19">
                  <c:v>5.0452818662784225</c:v>
                </c:pt>
                <c:pt idx="20">
                  <c:v>5.1516021414697075</c:v>
                </c:pt>
                <c:pt idx="21">
                  <c:v>5.1661662587198593</c:v>
                </c:pt>
                <c:pt idx="22">
                  <c:v>5.2804248623565773</c:v>
                </c:pt>
                <c:pt idx="23">
                  <c:v>5.4006611819974344</c:v>
                </c:pt>
                <c:pt idx="24">
                  <c:v>5.5259997729210903</c:v>
                </c:pt>
                <c:pt idx="25">
                  <c:v>5.6572444674856364</c:v>
                </c:pt>
                <c:pt idx="26">
                  <c:v>5.8227335541209531</c:v>
                </c:pt>
                <c:pt idx="27">
                  <c:v>5.9994860569540913</c:v>
                </c:pt>
                <c:pt idx="28">
                  <c:v>6.1827930910188194</c:v>
                </c:pt>
                <c:pt idx="29">
                  <c:v>6.3733405595612433</c:v>
                </c:pt>
                <c:pt idx="30">
                  <c:v>6.5713804645396001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12-4D90-B362-EFA8FAFBF08F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112-4D90-B362-EFA8FAFBF08F}"/>
            </c:ext>
          </c:extLst>
        </c:ser>
        <c:ser>
          <c:idx val="2"/>
          <c:order val="5"/>
          <c:tx>
            <c:strRef>
              <c:f>'B6 Perishables 15T'!$B$175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15T'!$C$175:$AG$175</c:f>
              <c:numCache>
                <c:formatCode>_ [$₹-4009]\ * #,##0.00_ ;_ [$₹-4009]\ * \-#,##0.00_ ;_ [$₹-4009]\ * "-"??_ ;_ @_ </c:formatCode>
                <c:ptCount val="31"/>
                <c:pt idx="0">
                  <c:v>6.1455973229996923</c:v>
                </c:pt>
                <c:pt idx="1">
                  <c:v>6.1395522947363403</c:v>
                </c:pt>
                <c:pt idx="2">
                  <c:v>6.1400264659184174</c:v>
                </c:pt>
                <c:pt idx="3">
                  <c:v>6.1467790592504379</c:v>
                </c:pt>
                <c:pt idx="4">
                  <c:v>6.1599313209869511</c:v>
                </c:pt>
                <c:pt idx="5">
                  <c:v>6.2508007856062413</c:v>
                </c:pt>
                <c:pt idx="6">
                  <c:v>6.0590938792623481</c:v>
                </c:pt>
                <c:pt idx="7">
                  <c:v>5.9845398217986601</c:v>
                </c:pt>
                <c:pt idx="8">
                  <c:v>5.9168158932794501</c:v>
                </c:pt>
                <c:pt idx="9">
                  <c:v>5.8556151422646066</c:v>
                </c:pt>
                <c:pt idx="10">
                  <c:v>5.8008169037738</c:v>
                </c:pt>
                <c:pt idx="11">
                  <c:v>5.6998173827596412</c:v>
                </c:pt>
                <c:pt idx="12">
                  <c:v>5.6569314970476166</c:v>
                </c:pt>
                <c:pt idx="13">
                  <c:v>5.6209580114388151</c:v>
                </c:pt>
                <c:pt idx="14">
                  <c:v>5.5910941256919982</c:v>
                </c:pt>
                <c:pt idx="15">
                  <c:v>5.5681323259397644</c:v>
                </c:pt>
                <c:pt idx="16">
                  <c:v>5.4363225192501492</c:v>
                </c:pt>
                <c:pt idx="17">
                  <c:v>5.4500181520290765</c:v>
                </c:pt>
                <c:pt idx="18">
                  <c:v>5.4689147768170567</c:v>
                </c:pt>
                <c:pt idx="19">
                  <c:v>5.4939880985706289</c:v>
                </c:pt>
                <c:pt idx="20">
                  <c:v>5.5251778402049379</c:v>
                </c:pt>
                <c:pt idx="21">
                  <c:v>5.5296925522003457</c:v>
                </c:pt>
                <c:pt idx="22">
                  <c:v>5.5719250078895497</c:v>
                </c:pt>
                <c:pt idx="23">
                  <c:v>5.6202685058683119</c:v>
                </c:pt>
                <c:pt idx="24">
                  <c:v>5.6745298983349892</c:v>
                </c:pt>
                <c:pt idx="25">
                  <c:v>5.7345223848924789</c:v>
                </c:pt>
                <c:pt idx="26">
                  <c:v>5.7866545569014241</c:v>
                </c:pt>
                <c:pt idx="27">
                  <c:v>5.9183320827804016</c:v>
                </c:pt>
                <c:pt idx="28">
                  <c:v>6.0564409843831353</c:v>
                </c:pt>
                <c:pt idx="29">
                  <c:v>6.2020493283079032</c:v>
                </c:pt>
                <c:pt idx="30">
                  <c:v>6.3551945921929818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12-4D90-B362-EFA8FAFBF08F}"/>
            </c:ext>
          </c:extLst>
        </c:ser>
        <c:ser>
          <c:idx val="6"/>
          <c:order val="6"/>
          <c:tx>
            <c:strRef>
              <c:f>'B6 Perishables 15T'!$A$176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15T'!$C$176:$AG$176</c:f>
              <c:numCache>
                <c:formatCode>_ [$₹-4009]\ * #,##0.00_ ;_ [$₹-4009]\ * \-#,##0.00_ ;_ [$₹-4009]\ * "-"??_ ;_ @_ </c:formatCode>
                <c:ptCount val="31"/>
                <c:pt idx="0">
                  <c:v>3.0878510872472154</c:v>
                </c:pt>
                <c:pt idx="1">
                  <c:v>3.1854336049849872</c:v>
                </c:pt>
                <c:pt idx="2">
                  <c:v>3.277660909019009</c:v>
                </c:pt>
                <c:pt idx="3">
                  <c:v>3.3729241929362881</c:v>
                </c:pt>
                <c:pt idx="4">
                  <c:v>3.4715831777245594</c:v>
                </c:pt>
                <c:pt idx="5">
                  <c:v>3.6323968072624528</c:v>
                </c:pt>
                <c:pt idx="6">
                  <c:v>3.7393765475806178</c:v>
                </c:pt>
                <c:pt idx="7">
                  <c:v>3.8499621256498222</c:v>
                </c:pt>
                <c:pt idx="8">
                  <c:v>3.9642283662475801</c:v>
                </c:pt>
                <c:pt idx="9">
                  <c:v>4.0822526222380091</c:v>
                </c:pt>
                <c:pt idx="10">
                  <c:v>4.203967766341675</c:v>
                </c:pt>
                <c:pt idx="11">
                  <c:v>4.3784005615166448</c:v>
                </c:pt>
                <c:pt idx="12">
                  <c:v>4.5091861286509651</c:v>
                </c:pt>
                <c:pt idx="13">
                  <c:v>4.6451406152439683</c:v>
                </c:pt>
                <c:pt idx="14">
                  <c:v>4.785318571083006</c:v>
                </c:pt>
                <c:pt idx="15">
                  <c:v>4.9306916610122693</c:v>
                </c:pt>
                <c:pt idx="16">
                  <c:v>5.0806400008729771</c:v>
                </c:pt>
                <c:pt idx="17">
                  <c:v>5.2358225327888928</c:v>
                </c:pt>
                <c:pt idx="18">
                  <c:v>5.395945385602861</c:v>
                </c:pt>
                <c:pt idx="19">
                  <c:v>5.5615148686420346</c:v>
                </c:pt>
                <c:pt idx="20">
                  <c:v>5.7331215418627623</c:v>
                </c:pt>
                <c:pt idx="21">
                  <c:v>5.9741957245649635</c:v>
                </c:pt>
                <c:pt idx="22">
                  <c:v>6.159477627592743</c:v>
                </c:pt>
                <c:pt idx="23">
                  <c:v>6.3510456494520939</c:v>
                </c:pt>
                <c:pt idx="24">
                  <c:v>6.5490275245598752</c:v>
                </c:pt>
                <c:pt idx="25">
                  <c:v>6.7535553582757739</c:v>
                </c:pt>
                <c:pt idx="26">
                  <c:v>6.9649379384144856</c:v>
                </c:pt>
                <c:pt idx="27">
                  <c:v>7.1840216115563393</c:v>
                </c:pt>
                <c:pt idx="28">
                  <c:v>7.4102475020081835</c:v>
                </c:pt>
                <c:pt idx="29">
                  <c:v>7.6446439786192881</c:v>
                </c:pt>
                <c:pt idx="30">
                  <c:v>7.8871952520620674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12-4D90-B362-EFA8FAFBF08F}"/>
            </c:ext>
          </c:extLst>
        </c:ser>
        <c:ser>
          <c:idx val="7"/>
          <c:order val="7"/>
          <c:tx>
            <c:strRef>
              <c:f>'B6 Perishables 15T'!$A$178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15T'!$C$178:$AG$178</c:f>
              <c:numCache>
                <c:formatCode>_ [$₹-4009]\ * #,##0.00_ ;_ [$₹-4009]\ * \-#,##0.00_ ;_ [$₹-4009]\ * "-"??_ ;_ @_ </c:formatCode>
                <c:ptCount val="31"/>
                <c:pt idx="0">
                  <c:v>6.7122960776338738</c:v>
                </c:pt>
                <c:pt idx="1">
                  <c:v>6.6599932870614111</c:v>
                </c:pt>
                <c:pt idx="2">
                  <c:v>6.6145483204006892</c:v>
                </c:pt>
                <c:pt idx="3">
                  <c:v>6.5761039842715521</c:v>
                </c:pt>
                <c:pt idx="4">
                  <c:v>6.5442153596166666</c:v>
                </c:pt>
                <c:pt idx="5">
                  <c:v>6.5582800433717816</c:v>
                </c:pt>
                <c:pt idx="6">
                  <c:v>6.3863194872739282</c:v>
                </c:pt>
                <c:pt idx="7">
                  <c:v>6.304611021697526</c:v>
                </c:pt>
                <c:pt idx="8">
                  <c:v>6.2290270416648834</c:v>
                </c:pt>
                <c:pt idx="9">
                  <c:v>6.1607377166334309</c:v>
                </c:pt>
                <c:pt idx="10">
                  <c:v>6.0983757847737072</c:v>
                </c:pt>
                <c:pt idx="11">
                  <c:v>5.9352723229361954</c:v>
                </c:pt>
                <c:pt idx="12">
                  <c:v>5.8866996777845957</c:v>
                </c:pt>
                <c:pt idx="13">
                  <c:v>5.8435283466255381</c:v>
                </c:pt>
                <c:pt idx="14">
                  <c:v>5.8069308626277083</c:v>
                </c:pt>
                <c:pt idx="15">
                  <c:v>5.7757763124645773</c:v>
                </c:pt>
                <c:pt idx="16">
                  <c:v>5.6513189528496888</c:v>
                </c:pt>
                <c:pt idx="17">
                  <c:v>5.6677677325527895</c:v>
                </c:pt>
                <c:pt idx="18">
                  <c:v>5.6895203537661283</c:v>
                </c:pt>
                <c:pt idx="19">
                  <c:v>5.7167068394866876</c:v>
                </c:pt>
                <c:pt idx="20">
                  <c:v>5.7490930036886549</c:v>
                </c:pt>
                <c:pt idx="21">
                  <c:v>5.6527040255465275</c:v>
                </c:pt>
                <c:pt idx="22">
                  <c:v>5.694615131515147</c:v>
                </c:pt>
                <c:pt idx="23">
                  <c:v>5.7427784687129959</c:v>
                </c:pt>
                <c:pt idx="24">
                  <c:v>5.7959424017724377</c:v>
                </c:pt>
                <c:pt idx="25">
                  <c:v>5.8551307247497153</c:v>
                </c:pt>
                <c:pt idx="26">
                  <c:v>5.8989693292969214</c:v>
                </c:pt>
                <c:pt idx="27">
                  <c:v>6.0297446775143122</c:v>
                </c:pt>
                <c:pt idx="28">
                  <c:v>6.1669336096573577</c:v>
                </c:pt>
                <c:pt idx="29">
                  <c:v>6.3103818430805649</c:v>
                </c:pt>
                <c:pt idx="30">
                  <c:v>6.4604560088179888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12-4D90-B362-EFA8FAFBF08F}"/>
            </c:ext>
          </c:extLst>
        </c:ser>
        <c:ser>
          <c:idx val="8"/>
          <c:order val="8"/>
          <c:tx>
            <c:strRef>
              <c:f>'B6 Perishables 15T'!$A$179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'B6 Perishables 15T'!$C$173:$AG$173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15T'!$C$179:$AG$179</c:f>
              <c:numCache>
                <c:formatCode>_ [$₹-4009]\ * #,##0.00_ ;_ [$₹-4009]\ * \-#,##0.00_ ;_ [$₹-4009]\ * "-"??_ ;_ @_ </c:formatCode>
                <c:ptCount val="31"/>
                <c:pt idx="0">
                  <c:v>7.4147456671536975</c:v>
                </c:pt>
                <c:pt idx="1">
                  <c:v>7.3569693287306279</c:v>
                </c:pt>
                <c:pt idx="2">
                  <c:v>7.3067684934658788</c:v>
                </c:pt>
                <c:pt idx="3">
                  <c:v>7.2643009128581095</c:v>
                </c:pt>
                <c:pt idx="4">
                  <c:v>7.2290751065532941</c:v>
                </c:pt>
                <c:pt idx="5">
                  <c:v>7.2446116758176657</c:v>
                </c:pt>
                <c:pt idx="6">
                  <c:v>7.0546552475700368</c:v>
                </c:pt>
                <c:pt idx="7">
                  <c:v>6.9643958960612196</c:v>
                </c:pt>
                <c:pt idx="8">
                  <c:v>6.8809019646298131</c:v>
                </c:pt>
                <c:pt idx="9">
                  <c:v>6.8054660823276265</c:v>
                </c:pt>
                <c:pt idx="10">
                  <c:v>6.7365779017849095</c:v>
                </c:pt>
                <c:pt idx="11">
                  <c:v>6.5564054730109138</c:v>
                </c:pt>
                <c:pt idx="12">
                  <c:v>6.5027496440643784</c:v>
                </c:pt>
                <c:pt idx="13">
                  <c:v>6.4550603829003039</c:v>
                </c:pt>
                <c:pt idx="14">
                  <c:v>6.4146329296468876</c:v>
                </c:pt>
                <c:pt idx="15">
                  <c:v>6.380218019582963</c:v>
                </c:pt>
                <c:pt idx="16">
                  <c:v>6.2427360525665163</c:v>
                </c:pt>
                <c:pt idx="17">
                  <c:v>6.2609062161920352</c:v>
                </c:pt>
                <c:pt idx="18">
                  <c:v>6.2849352745090954</c:v>
                </c:pt>
                <c:pt idx="19">
                  <c:v>6.3149668575725046</c:v>
                </c:pt>
                <c:pt idx="20">
                  <c:v>6.3507422715165367</c:v>
                </c:pt>
                <c:pt idx="21">
                  <c:v>6.2442660747316285</c:v>
                </c:pt>
                <c:pt idx="22">
                  <c:v>6.2905632266737079</c:v>
                </c:pt>
                <c:pt idx="23">
                  <c:v>6.3437669131131926</c:v>
                </c:pt>
                <c:pt idx="24">
                  <c:v>6.4024945135858315</c:v>
                </c:pt>
                <c:pt idx="25">
                  <c:v>6.4678769633863133</c:v>
                </c:pt>
                <c:pt idx="26">
                  <c:v>6.5163033288745069</c:v>
                </c:pt>
                <c:pt idx="27">
                  <c:v>6.660764469347205</c:v>
                </c:pt>
                <c:pt idx="28">
                  <c:v>6.8123103827610345</c:v>
                </c:pt>
                <c:pt idx="29">
                  <c:v>6.970770640612252</c:v>
                </c:pt>
                <c:pt idx="30">
                  <c:v>7.1365502422989415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12-4D90-B362-EFA8FAFBF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'B6 Perishables 15T'!$A$174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'B6 Perishables 15T'!$C$173:$AG$173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'B6 Perishables 15T'!$C$174:$AG$174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3.1251039796766253</c:v>
                      </c:pt>
                      <c:pt idx="1">
                        <c:v>3.345912625526072</c:v>
                      </c:pt>
                      <c:pt idx="2">
                        <c:v>3.4264652016602759</c:v>
                      </c:pt>
                      <c:pt idx="3">
                        <c:v>3.5094875289865204</c:v>
                      </c:pt>
                      <c:pt idx="4">
                        <c:v>3.5950165579779414</c:v>
                      </c:pt>
                      <c:pt idx="5">
                        <c:v>3.7394224483970353</c:v>
                      </c:pt>
                      <c:pt idx="6">
                        <c:v>3.8317985866542257</c:v>
                      </c:pt>
                      <c:pt idx="7">
                        <c:v>3.9268698877292456</c:v>
                      </c:pt>
                      <c:pt idx="8">
                        <c:v>4.0246923228280345</c:v>
                      </c:pt>
                      <c:pt idx="9">
                        <c:v>4.1253232074981332</c:v>
                      </c:pt>
                      <c:pt idx="10">
                        <c:v>4.228821248890557</c:v>
                      </c:pt>
                      <c:pt idx="11">
                        <c:v>4.3759104566348128</c:v>
                      </c:pt>
                      <c:pt idx="12">
                        <c:v>4.4865312146474414</c:v>
                      </c:pt>
                      <c:pt idx="13">
                        <c:v>4.6011035507156386</c:v>
                      </c:pt>
                      <c:pt idx="14">
                        <c:v>4.7188163074143956</c:v>
                      </c:pt>
                      <c:pt idx="15">
                        <c:v>4.840614368998815</c:v>
                      </c:pt>
                      <c:pt idx="16">
                        <c:v>4.965689948370219</c:v>
                      </c:pt>
                      <c:pt idx="17">
                        <c:v>5.0949914201110857</c:v>
                      </c:pt>
                      <c:pt idx="18">
                        <c:v>5.2277146119549629</c:v>
                      </c:pt>
                      <c:pt idx="19">
                        <c:v>5.3648116424993706</c:v>
                      </c:pt>
                      <c:pt idx="20">
                        <c:v>5.5063594105171507</c:v>
                      </c:pt>
                      <c:pt idx="21">
                        <c:v>5.7071060317014624</c:v>
                      </c:pt>
                      <c:pt idx="22">
                        <c:v>5.8594345713150151</c:v>
                      </c:pt>
                      <c:pt idx="23">
                        <c:v>6.016505977609004</c:v>
                      </c:pt>
                      <c:pt idx="24">
                        <c:v>6.1784070306557561</c:v>
                      </c:pt>
                      <c:pt idx="25">
                        <c:v>6.3452434548792693</c:v>
                      </c:pt>
                      <c:pt idx="26">
                        <c:v>6.5171068257683302</c:v>
                      </c:pt>
                      <c:pt idx="27">
                        <c:v>6.6949684406287204</c:v>
                      </c:pt>
                      <c:pt idx="28">
                        <c:v>6.8780644207626747</c:v>
                      </c:pt>
                      <c:pt idx="29">
                        <c:v>7.0673714001879446</c:v>
                      </c:pt>
                      <c:pt idx="30">
                        <c:v>7.2629916349282748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5112-4D90-B362-EFA8FAFBF08F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'B6 Perishables 15T'!$A$62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15T'!$E$63:$AG$63</c:f>
              <c:numCache>
                <c:formatCode>_ [$₹-4009]\ * #,##0_ ;_ [$₹-4009]\ * \-#,##0_ ;_ [$₹-4009]\ * "-"??_ ;_ @_ </c:formatCode>
                <c:ptCount val="29"/>
                <c:pt idx="0">
                  <c:v>2121800</c:v>
                </c:pt>
                <c:pt idx="1">
                  <c:v>2185500</c:v>
                </c:pt>
                <c:pt idx="2">
                  <c:v>2251100</c:v>
                </c:pt>
                <c:pt idx="3">
                  <c:v>2718600</c:v>
                </c:pt>
                <c:pt idx="4">
                  <c:v>2800200</c:v>
                </c:pt>
                <c:pt idx="5">
                  <c:v>2884200</c:v>
                </c:pt>
                <c:pt idx="6">
                  <c:v>2970700</c:v>
                </c:pt>
                <c:pt idx="7">
                  <c:v>3059800</c:v>
                </c:pt>
                <c:pt idx="8">
                  <c:v>3151600</c:v>
                </c:pt>
                <c:pt idx="9">
                  <c:v>3246100</c:v>
                </c:pt>
                <c:pt idx="10">
                  <c:v>3343500</c:v>
                </c:pt>
                <c:pt idx="11">
                  <c:v>3443800</c:v>
                </c:pt>
                <c:pt idx="12">
                  <c:v>3547100</c:v>
                </c:pt>
                <c:pt idx="13">
                  <c:v>3653500</c:v>
                </c:pt>
                <c:pt idx="14">
                  <c:v>3763100</c:v>
                </c:pt>
                <c:pt idx="15">
                  <c:v>3876000</c:v>
                </c:pt>
                <c:pt idx="16">
                  <c:v>3992300</c:v>
                </c:pt>
                <c:pt idx="17">
                  <c:v>4112100</c:v>
                </c:pt>
                <c:pt idx="18">
                  <c:v>4235500</c:v>
                </c:pt>
                <c:pt idx="19">
                  <c:v>4362600</c:v>
                </c:pt>
                <c:pt idx="20">
                  <c:v>4493500</c:v>
                </c:pt>
                <c:pt idx="21">
                  <c:v>4628300</c:v>
                </c:pt>
                <c:pt idx="22">
                  <c:v>4767100</c:v>
                </c:pt>
                <c:pt idx="23">
                  <c:v>4910100</c:v>
                </c:pt>
                <c:pt idx="24">
                  <c:v>5057400</c:v>
                </c:pt>
                <c:pt idx="25">
                  <c:v>5209100</c:v>
                </c:pt>
                <c:pt idx="26">
                  <c:v>5365400</c:v>
                </c:pt>
                <c:pt idx="27">
                  <c:v>5526400</c:v>
                </c:pt>
                <c:pt idx="28">
                  <c:v>5692200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E-4FB3-8C55-91BF2EB539B1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D5CE-4FB3-8C55-91BF2EB539B1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D5CE-4FB3-8C55-91BF2EB539B1}"/>
            </c:ext>
          </c:extLst>
        </c:ser>
        <c:ser>
          <c:idx val="3"/>
          <c:order val="3"/>
          <c:tx>
            <c:strRef>
              <c:f>'B6 Perishables 15T'!$A$130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15T'!$C$132:$AG$132</c:f>
              <c:numCache>
                <c:formatCode>_ [$₹-4009]\ * #,##0_ ;_ [$₹-4009]\ * \-#,##0_ ;_ [$₹-4009]\ * "-"??_ ;_ @_ </c:formatCode>
                <c:ptCount val="31"/>
                <c:pt idx="0">
                  <c:v>6545000</c:v>
                </c:pt>
                <c:pt idx="1">
                  <c:v>6466000</c:v>
                </c:pt>
                <c:pt idx="2">
                  <c:v>6393000</c:v>
                </c:pt>
                <c:pt idx="3">
                  <c:v>6168000</c:v>
                </c:pt>
                <c:pt idx="4">
                  <c:v>5957000</c:v>
                </c:pt>
                <c:pt idx="5">
                  <c:v>5958000</c:v>
                </c:pt>
                <c:pt idx="6">
                  <c:v>5799000</c:v>
                </c:pt>
                <c:pt idx="7">
                  <c:v>5798000</c:v>
                </c:pt>
                <c:pt idx="8">
                  <c:v>5802000</c:v>
                </c:pt>
                <c:pt idx="9">
                  <c:v>5809000</c:v>
                </c:pt>
                <c:pt idx="10">
                  <c:v>5820000</c:v>
                </c:pt>
                <c:pt idx="11">
                  <c:v>5835000</c:v>
                </c:pt>
                <c:pt idx="12">
                  <c:v>5854000</c:v>
                </c:pt>
                <c:pt idx="13">
                  <c:v>5877000</c:v>
                </c:pt>
                <c:pt idx="14">
                  <c:v>5904000</c:v>
                </c:pt>
                <c:pt idx="15">
                  <c:v>5936000</c:v>
                </c:pt>
                <c:pt idx="16">
                  <c:v>5904000</c:v>
                </c:pt>
                <c:pt idx="17">
                  <c:v>5997000</c:v>
                </c:pt>
                <c:pt idx="18">
                  <c:v>6095000</c:v>
                </c:pt>
                <c:pt idx="19">
                  <c:v>6196000</c:v>
                </c:pt>
                <c:pt idx="20">
                  <c:v>6300000</c:v>
                </c:pt>
                <c:pt idx="21">
                  <c:v>6408000</c:v>
                </c:pt>
                <c:pt idx="22">
                  <c:v>6520000</c:v>
                </c:pt>
                <c:pt idx="23">
                  <c:v>6636000</c:v>
                </c:pt>
                <c:pt idx="24">
                  <c:v>6756000</c:v>
                </c:pt>
                <c:pt idx="25">
                  <c:v>6879000</c:v>
                </c:pt>
                <c:pt idx="26">
                  <c:v>7040000</c:v>
                </c:pt>
                <c:pt idx="27">
                  <c:v>7205000</c:v>
                </c:pt>
                <c:pt idx="28">
                  <c:v>7374000</c:v>
                </c:pt>
                <c:pt idx="29">
                  <c:v>7548000</c:v>
                </c:pt>
                <c:pt idx="30">
                  <c:v>7727000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CE-4FB3-8C55-91BF2EB539B1}"/>
            </c:ext>
          </c:extLst>
        </c:ser>
        <c:ser>
          <c:idx val="4"/>
          <c:order val="4"/>
          <c:tx>
            <c:strRef>
              <c:f>'B6 Perishables 15T'!$A$96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15T'!$C$98:$AG$98</c:f>
              <c:numCache>
                <c:formatCode>_ [$₹-4009]\ * #,##0_ ;_ [$₹-4009]\ * \-#,##0_ ;_ [$₹-4009]\ * "-"??_ ;_ @_ </c:formatCode>
                <c:ptCount val="31"/>
                <c:pt idx="0">
                  <c:v>2580000</c:v>
                </c:pt>
                <c:pt idx="1">
                  <c:v>2646000</c:v>
                </c:pt>
                <c:pt idx="2">
                  <c:v>2714000</c:v>
                </c:pt>
                <c:pt idx="3">
                  <c:v>2783000</c:v>
                </c:pt>
                <c:pt idx="4">
                  <c:v>2855000</c:v>
                </c:pt>
                <c:pt idx="5">
                  <c:v>3329000</c:v>
                </c:pt>
                <c:pt idx="6">
                  <c:v>3416000</c:v>
                </c:pt>
                <c:pt idx="7">
                  <c:v>3506000</c:v>
                </c:pt>
                <c:pt idx="8">
                  <c:v>3599000</c:v>
                </c:pt>
                <c:pt idx="9">
                  <c:v>3695000</c:v>
                </c:pt>
                <c:pt idx="10">
                  <c:v>3793000</c:v>
                </c:pt>
                <c:pt idx="11">
                  <c:v>3894000</c:v>
                </c:pt>
                <c:pt idx="12">
                  <c:v>3997000</c:v>
                </c:pt>
                <c:pt idx="13">
                  <c:v>4104000</c:v>
                </c:pt>
                <c:pt idx="14">
                  <c:v>4214000</c:v>
                </c:pt>
                <c:pt idx="15">
                  <c:v>4327000</c:v>
                </c:pt>
                <c:pt idx="16">
                  <c:v>4444000</c:v>
                </c:pt>
                <c:pt idx="17">
                  <c:v>4563000</c:v>
                </c:pt>
                <c:pt idx="18">
                  <c:v>4687000</c:v>
                </c:pt>
                <c:pt idx="19">
                  <c:v>4813000</c:v>
                </c:pt>
                <c:pt idx="20">
                  <c:v>4944000</c:v>
                </c:pt>
                <c:pt idx="21">
                  <c:v>5078000</c:v>
                </c:pt>
                <c:pt idx="22">
                  <c:v>5216000</c:v>
                </c:pt>
                <c:pt idx="23">
                  <c:v>5358000</c:v>
                </c:pt>
                <c:pt idx="24">
                  <c:v>5504000</c:v>
                </c:pt>
                <c:pt idx="25">
                  <c:v>5654000</c:v>
                </c:pt>
                <c:pt idx="26">
                  <c:v>5809000</c:v>
                </c:pt>
                <c:pt idx="27">
                  <c:v>5968000</c:v>
                </c:pt>
                <c:pt idx="28">
                  <c:v>6132000</c:v>
                </c:pt>
                <c:pt idx="29">
                  <c:v>6301000</c:v>
                </c:pt>
                <c:pt idx="30">
                  <c:v>6474000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CE-4FB3-8C55-91BF2EB539B1}"/>
            </c:ext>
          </c:extLst>
        </c:ser>
        <c:ser>
          <c:idx val="5"/>
          <c:order val="5"/>
          <c:tx>
            <c:strRef>
              <c:f>'B6 Perishables 15T'!$A$113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15T'!$C$115:$AG$115</c:f>
              <c:numCache>
                <c:formatCode>_ [$₹-4009]\ * #,##0_ ;_ [$₹-4009]\ * \-#,##0_ ;_ [$₹-4009]\ * "-"??_ ;_ @_ </c:formatCode>
                <c:ptCount val="31"/>
                <c:pt idx="0">
                  <c:v>3579000</c:v>
                </c:pt>
                <c:pt idx="1">
                  <c:v>3560000</c:v>
                </c:pt>
                <c:pt idx="2">
                  <c:v>3547000</c:v>
                </c:pt>
                <c:pt idx="3">
                  <c:v>3539000</c:v>
                </c:pt>
                <c:pt idx="4">
                  <c:v>3537000</c:v>
                </c:pt>
                <c:pt idx="5">
                  <c:v>3941000</c:v>
                </c:pt>
                <c:pt idx="6">
                  <c:v>3973000</c:v>
                </c:pt>
                <c:pt idx="7">
                  <c:v>4010000</c:v>
                </c:pt>
                <c:pt idx="8">
                  <c:v>4052000</c:v>
                </c:pt>
                <c:pt idx="9">
                  <c:v>4098000</c:v>
                </c:pt>
                <c:pt idx="10">
                  <c:v>4148000</c:v>
                </c:pt>
                <c:pt idx="11">
                  <c:v>4203000</c:v>
                </c:pt>
                <c:pt idx="12">
                  <c:v>4262000</c:v>
                </c:pt>
                <c:pt idx="13">
                  <c:v>4325000</c:v>
                </c:pt>
                <c:pt idx="14">
                  <c:v>4393000</c:v>
                </c:pt>
                <c:pt idx="15">
                  <c:v>4466000</c:v>
                </c:pt>
                <c:pt idx="16">
                  <c:v>4584000</c:v>
                </c:pt>
                <c:pt idx="17">
                  <c:v>4705000</c:v>
                </c:pt>
                <c:pt idx="18">
                  <c:v>4829000</c:v>
                </c:pt>
                <c:pt idx="19">
                  <c:v>4957000</c:v>
                </c:pt>
                <c:pt idx="20">
                  <c:v>5089000</c:v>
                </c:pt>
                <c:pt idx="21">
                  <c:v>5225000</c:v>
                </c:pt>
                <c:pt idx="22">
                  <c:v>5364000</c:v>
                </c:pt>
                <c:pt idx="23">
                  <c:v>5508000</c:v>
                </c:pt>
                <c:pt idx="24">
                  <c:v>5656000</c:v>
                </c:pt>
                <c:pt idx="25">
                  <c:v>5807000</c:v>
                </c:pt>
                <c:pt idx="26">
                  <c:v>5964000</c:v>
                </c:pt>
                <c:pt idx="27">
                  <c:v>6125000</c:v>
                </c:pt>
                <c:pt idx="28">
                  <c:v>6290000</c:v>
                </c:pt>
                <c:pt idx="29">
                  <c:v>6460000</c:v>
                </c:pt>
                <c:pt idx="30">
                  <c:v>6635000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CE-4FB3-8C55-91BF2EB539B1}"/>
            </c:ext>
          </c:extLst>
        </c:ser>
        <c:ser>
          <c:idx val="6"/>
          <c:order val="6"/>
          <c:tx>
            <c:strRef>
              <c:f>'B6 Perishables 15T'!$A$147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15T'!$C$149:$AG$149</c:f>
              <c:numCache>
                <c:formatCode>_ [$₹-4009]\ * #,##0_ ;_ [$₹-4009]\ * \-#,##0_ ;_ [$₹-4009]\ * "-"??_ ;_ @_ </c:formatCode>
                <c:ptCount val="31"/>
                <c:pt idx="0">
                  <c:v>10016000</c:v>
                </c:pt>
                <c:pt idx="1">
                  <c:v>9773000</c:v>
                </c:pt>
                <c:pt idx="2">
                  <c:v>9542000</c:v>
                </c:pt>
                <c:pt idx="3">
                  <c:v>9324000</c:v>
                </c:pt>
                <c:pt idx="4">
                  <c:v>9117000</c:v>
                </c:pt>
                <c:pt idx="5">
                  <c:v>9121000</c:v>
                </c:pt>
                <c:pt idx="6">
                  <c:v>8994000</c:v>
                </c:pt>
                <c:pt idx="7">
                  <c:v>8881000</c:v>
                </c:pt>
                <c:pt idx="8">
                  <c:v>8775000</c:v>
                </c:pt>
                <c:pt idx="9">
                  <c:v>8678000</c:v>
                </c:pt>
                <c:pt idx="10">
                  <c:v>8588000</c:v>
                </c:pt>
                <c:pt idx="11">
                  <c:v>8505000</c:v>
                </c:pt>
                <c:pt idx="12">
                  <c:v>8431000</c:v>
                </c:pt>
                <c:pt idx="13">
                  <c:v>8363000</c:v>
                </c:pt>
                <c:pt idx="14">
                  <c:v>8303000</c:v>
                </c:pt>
                <c:pt idx="15">
                  <c:v>8250000</c:v>
                </c:pt>
                <c:pt idx="16">
                  <c:v>8144000</c:v>
                </c:pt>
                <c:pt idx="17">
                  <c:v>8210000</c:v>
                </c:pt>
                <c:pt idx="18">
                  <c:v>8280000</c:v>
                </c:pt>
                <c:pt idx="19">
                  <c:v>8355000</c:v>
                </c:pt>
                <c:pt idx="20">
                  <c:v>8434000</c:v>
                </c:pt>
                <c:pt idx="21">
                  <c:v>8359000</c:v>
                </c:pt>
                <c:pt idx="22">
                  <c:v>8448000</c:v>
                </c:pt>
                <c:pt idx="23">
                  <c:v>8543000</c:v>
                </c:pt>
                <c:pt idx="24">
                  <c:v>8642000</c:v>
                </c:pt>
                <c:pt idx="25">
                  <c:v>8746000</c:v>
                </c:pt>
                <c:pt idx="26">
                  <c:v>8770000</c:v>
                </c:pt>
                <c:pt idx="27">
                  <c:v>8952000</c:v>
                </c:pt>
                <c:pt idx="28">
                  <c:v>9139000</c:v>
                </c:pt>
                <c:pt idx="29">
                  <c:v>9330000</c:v>
                </c:pt>
                <c:pt idx="30">
                  <c:v>9527000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CE-4FB3-8C55-91BF2EB539B1}"/>
            </c:ext>
          </c:extLst>
        </c:ser>
        <c:ser>
          <c:idx val="7"/>
          <c:order val="7"/>
          <c:tx>
            <c:strRef>
              <c:f>'B6 Perishables 15T'!$A$79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 Perishables 15T'!$C$80:$AG$80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'B6 Perishables 15T'!$C$81:$AG$81</c:f>
              <c:numCache>
                <c:formatCode>_ [$₹-4009]\ * #,##0_ ;_ [$₹-4009]\ * \-#,##0_ ;_ [$₹-4009]\ * "-"??_ ;_ @_ </c:formatCode>
                <c:ptCount val="31"/>
                <c:pt idx="0">
                  <c:v>2150000</c:v>
                </c:pt>
                <c:pt idx="1">
                  <c:v>2214500</c:v>
                </c:pt>
                <c:pt idx="2">
                  <c:v>2280935</c:v>
                </c:pt>
                <c:pt idx="3">
                  <c:v>2349363.0500000003</c:v>
                </c:pt>
                <c:pt idx="4">
                  <c:v>2419843.9415000002</c:v>
                </c:pt>
                <c:pt idx="5">
                  <c:v>2892439.2597450004</c:v>
                </c:pt>
                <c:pt idx="6">
                  <c:v>2979212.4375373507</c:v>
                </c:pt>
                <c:pt idx="7">
                  <c:v>3068588.8106634715</c:v>
                </c:pt>
                <c:pt idx="8">
                  <c:v>3160646.4749833755</c:v>
                </c:pt>
                <c:pt idx="9">
                  <c:v>3255465.8692328767</c:v>
                </c:pt>
                <c:pt idx="10">
                  <c:v>3353129.8453098629</c:v>
                </c:pt>
                <c:pt idx="11">
                  <c:v>3453723.7406691588</c:v>
                </c:pt>
                <c:pt idx="12">
                  <c:v>3557335.4528892338</c:v>
                </c:pt>
                <c:pt idx="13">
                  <c:v>3664055.5164759108</c:v>
                </c:pt>
                <c:pt idx="14">
                  <c:v>3773977.1819701884</c:v>
                </c:pt>
                <c:pt idx="15">
                  <c:v>3887196.497429294</c:v>
                </c:pt>
                <c:pt idx="16">
                  <c:v>4003812.3923521731</c:v>
                </c:pt>
                <c:pt idx="17">
                  <c:v>4123926.7641227385</c:v>
                </c:pt>
                <c:pt idx="18">
                  <c:v>4247644.5670464206</c:v>
                </c:pt>
                <c:pt idx="19">
                  <c:v>4375073.9040578138</c:v>
                </c:pt>
                <c:pt idx="20">
                  <c:v>4506326.1211795481</c:v>
                </c:pt>
                <c:pt idx="21">
                  <c:v>4641515.9048149344</c:v>
                </c:pt>
                <c:pt idx="22">
                  <c:v>4780761.3819593824</c:v>
                </c:pt>
                <c:pt idx="23">
                  <c:v>4924184.2234181641</c:v>
                </c:pt>
                <c:pt idx="24">
                  <c:v>5071909.7501207087</c:v>
                </c:pt>
                <c:pt idx="25">
                  <c:v>5224067.0426243301</c:v>
                </c:pt>
                <c:pt idx="26">
                  <c:v>5380789.05390306</c:v>
                </c:pt>
                <c:pt idx="27">
                  <c:v>5542212.7255201517</c:v>
                </c:pt>
                <c:pt idx="28">
                  <c:v>5708479.1072857566</c:v>
                </c:pt>
                <c:pt idx="29">
                  <c:v>5879733.4805043293</c:v>
                </c:pt>
                <c:pt idx="30">
                  <c:v>6056125.4849194596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CE-4FB3-8C55-91BF2EB53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'B7 C&amp;M 28Tip'!$A$165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'B7 C&amp;M 28Tip'!$C$164:$AB$164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'B7 C&amp;M 28Tip'!$C$165:$AB$165</c:f>
              <c:numCache>
                <c:formatCode>_ [$₹-4009]\ * #,##0.00_ ;_ [$₹-4009]\ * \-#,##0.00_ ;_ [$₹-4009]\ * "-"??_ ;_ @_ </c:formatCode>
                <c:ptCount val="26"/>
                <c:pt idx="0">
                  <c:v>61.604723384563741</c:v>
                </c:pt>
                <c:pt idx="1">
                  <c:v>65.382564524341262</c:v>
                </c:pt>
                <c:pt idx="2">
                  <c:v>67.07166657835576</c:v>
                </c:pt>
                <c:pt idx="3">
                  <c:v>68.813236354616976</c:v>
                </c:pt>
                <c:pt idx="4">
                  <c:v>70.608368350719715</c:v>
                </c:pt>
                <c:pt idx="5">
                  <c:v>73.626402334974131</c:v>
                </c:pt>
                <c:pt idx="6">
                  <c:v>75.567391679853088</c:v>
                </c:pt>
                <c:pt idx="7">
                  <c:v>77.566563753439539</c:v>
                </c:pt>
                <c:pt idx="8">
                  <c:v>79.625421128038141</c:v>
                </c:pt>
                <c:pt idx="9">
                  <c:v>81.760086995805878</c:v>
                </c:pt>
                <c:pt idx="10">
                  <c:v>83.95724759122912</c:v>
                </c:pt>
                <c:pt idx="11">
                  <c:v>86.886940896439569</c:v>
                </c:pt>
                <c:pt idx="12">
                  <c:v>89.248284444307671</c:v>
                </c:pt>
                <c:pt idx="13">
                  <c:v>91.67734783995985</c:v>
                </c:pt>
                <c:pt idx="14">
                  <c:v>94.190441999312739</c:v>
                </c:pt>
                <c:pt idx="15">
                  <c:v>96.774458072679039</c:v>
                </c:pt>
                <c:pt idx="16">
                  <c:v>99.446090038295225</c:v>
                </c:pt>
                <c:pt idx="17">
                  <c:v>102.20719336939197</c:v>
                </c:pt>
                <c:pt idx="18">
                  <c:v>105.05966756950768</c:v>
                </c:pt>
                <c:pt idx="19">
                  <c:v>108.00515513273788</c:v>
                </c:pt>
                <c:pt idx="20">
                  <c:v>111.04595130222489</c:v>
                </c:pt>
                <c:pt idx="21">
                  <c:v>115.0828010236124</c:v>
                </c:pt>
                <c:pt idx="22">
                  <c:v>118.34735695691995</c:v>
                </c:pt>
                <c:pt idx="23">
                  <c:v>121.71430936569313</c:v>
                </c:pt>
                <c:pt idx="24">
                  <c:v>125.20076097809532</c:v>
                </c:pt>
                <c:pt idx="25">
                  <c:v>128.79442289090937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7-42ED-8DF3-338E340CB1AE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'B7 C&amp;M 28Tip'!$C$164:$AB$164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7-42ED-8DF3-338E340CB1AE}"/>
            </c:ext>
          </c:extLst>
        </c:ser>
        <c:ser>
          <c:idx val="4"/>
          <c:order val="2"/>
          <c:tx>
            <c:strRef>
              <c:f>'B7 C&amp;M 28Tip'!$A$168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'B7 C&amp;M 28Tip'!$C$164:$AB$164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'B7 C&amp;M 28Tip'!$C$168:$AB$168</c:f>
              <c:numCache>
                <c:formatCode>_ [$₹-4009]\ * #,##0.00_ ;_ [$₹-4009]\ * \-#,##0.00_ ;_ [$₹-4009]\ * "-"??_ ;_ @_ </c:formatCode>
                <c:ptCount val="26"/>
                <c:pt idx="0">
                  <c:v>76.014743264316806</c:v>
                </c:pt>
                <c:pt idx="1">
                  <c:v>76.618202395703975</c:v>
                </c:pt>
                <c:pt idx="2">
                  <c:v>77.166811597567644</c:v>
                </c:pt>
                <c:pt idx="3">
                  <c:v>77.032752105181558</c:v>
                </c:pt>
                <c:pt idx="4">
                  <c:v>76.855036699006021</c:v>
                </c:pt>
                <c:pt idx="5">
                  <c:v>77.689134205603182</c:v>
                </c:pt>
                <c:pt idx="6">
                  <c:v>75.873518849634593</c:v>
                </c:pt>
                <c:pt idx="7">
                  <c:v>76.488689407137528</c:v>
                </c:pt>
                <c:pt idx="8">
                  <c:v>76.929131555189898</c:v>
                </c:pt>
                <c:pt idx="9">
                  <c:v>77.520062743609159</c:v>
                </c:pt>
                <c:pt idx="10">
                  <c:v>78.269467547645718</c:v>
                </c:pt>
                <c:pt idx="11">
                  <c:v>77.308686864189568</c:v>
                </c:pt>
                <c:pt idx="12">
                  <c:v>78.415137943077156</c:v>
                </c:pt>
                <c:pt idx="13">
                  <c:v>79.559062914893829</c:v>
                </c:pt>
                <c:pt idx="14">
                  <c:v>80.821349504350167</c:v>
                </c:pt>
                <c:pt idx="15">
                  <c:v>82.213013620713809</c:v>
                </c:pt>
                <c:pt idx="16">
                  <c:v>83.481622924742169</c:v>
                </c:pt>
                <c:pt idx="17">
                  <c:v>85.348322631986122</c:v>
                </c:pt>
                <c:pt idx="18">
                  <c:v>87.259439650041301</c:v>
                </c:pt>
                <c:pt idx="19">
                  <c:v>89.252694899936756</c:v>
                </c:pt>
                <c:pt idx="20">
                  <c:v>91.323910204532496</c:v>
                </c:pt>
                <c:pt idx="21">
                  <c:v>92.30488730638487</c:v>
                </c:pt>
                <c:pt idx="22">
                  <c:v>94.533134013482027</c:v>
                </c:pt>
                <c:pt idx="23">
                  <c:v>96.844859193970365</c:v>
                </c:pt>
                <c:pt idx="24">
                  <c:v>99.260443790626439</c:v>
                </c:pt>
                <c:pt idx="25">
                  <c:v>101.77949182397943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67-42ED-8DF3-338E340CB1AE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367-42ED-8DF3-338E340CB1AE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3367-42ED-8DF3-338E340CB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'B7 C&amp;M 28Tip'!$A$192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'B7 C&amp;M 28Tip'!$C$164:$AB$164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'B7 C&amp;M 28Tip'!$C$192:$AB$192</c:f>
              <c:numCache>
                <c:formatCode>0%</c:formatCode>
                <c:ptCount val="26"/>
                <c:pt idx="0">
                  <c:v>0.81043124976891845</c:v>
                </c:pt>
                <c:pt idx="1">
                  <c:v>0.85335550143378591</c:v>
                </c:pt>
                <c:pt idx="2">
                  <c:v>0.86917763206468812</c:v>
                </c:pt>
                <c:pt idx="3">
                  <c:v>0.89329842792918079</c:v>
                </c:pt>
                <c:pt idx="4">
                  <c:v>0.91872141870479263</c:v>
                </c:pt>
                <c:pt idx="5">
                  <c:v>0.94770527549094463</c:v>
                </c:pt>
                <c:pt idx="6">
                  <c:v>0.99596529626643282</c:v>
                </c:pt>
                <c:pt idx="7">
                  <c:v>1.014091944242431</c:v>
                </c:pt>
                <c:pt idx="8">
                  <c:v>1.035049005732164</c:v>
                </c:pt>
                <c:pt idx="9">
                  <c:v>1.0546958310162911</c:v>
                </c:pt>
                <c:pt idx="10">
                  <c:v>1.0726692057809264</c:v>
                </c:pt>
                <c:pt idx="11">
                  <c:v>1.1238962194387858</c:v>
                </c:pt>
                <c:pt idx="12">
                  <c:v>1.1381512139798118</c:v>
                </c:pt>
                <c:pt idx="13">
                  <c:v>1.1523180952750691</c:v>
                </c:pt>
                <c:pt idx="14">
                  <c:v>1.1654153584040685</c:v>
                </c:pt>
                <c:pt idx="15">
                  <c:v>1.1771184853914227</c:v>
                </c:pt>
                <c:pt idx="16">
                  <c:v>1.1912333104489938</c:v>
                </c:pt>
                <c:pt idx="17">
                  <c:v>1.1975301941210925</c:v>
                </c:pt>
                <c:pt idx="18">
                  <c:v>1.2039920035110832</c:v>
                </c:pt>
                <c:pt idx="19">
                  <c:v>1.2101052551278697</c:v>
                </c:pt>
                <c:pt idx="20">
                  <c:v>1.2159570374672106</c:v>
                </c:pt>
                <c:pt idx="21">
                  <c:v>1.2467682306097345</c:v>
                </c:pt>
                <c:pt idx="22">
                  <c:v>1.2519140319630322</c:v>
                </c:pt>
                <c:pt idx="23">
                  <c:v>1.2567968024189264</c:v>
                </c:pt>
                <c:pt idx="24">
                  <c:v>1.2613358977337006</c:v>
                </c:pt>
                <c:pt idx="25">
                  <c:v>1.2654260753595665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5-49FB-92ED-9658E73BE83D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'B7 C&amp;M 28Tip'!$C$164:$AB$164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5-49FB-92ED-9658E73BE83D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0FC5-49FB-92ED-9658E73BE83D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0FC5-49FB-92ED-9658E73BE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'B7 C&amp;M 28Tip'!$A$165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28Tip'!$C$165:$AG$165</c:f>
              <c:numCache>
                <c:formatCode>_ [$₹-4009]\ * #,##0.00_ ;_ [$₹-4009]\ * \-#,##0.00_ ;_ [$₹-4009]\ * "-"??_ ;_ @_ </c:formatCode>
                <c:ptCount val="31"/>
                <c:pt idx="0">
                  <c:v>61.604723384563741</c:v>
                </c:pt>
                <c:pt idx="1">
                  <c:v>65.382564524341262</c:v>
                </c:pt>
                <c:pt idx="2">
                  <c:v>67.07166657835576</c:v>
                </c:pt>
                <c:pt idx="3">
                  <c:v>68.813236354616976</c:v>
                </c:pt>
                <c:pt idx="4">
                  <c:v>70.608368350719715</c:v>
                </c:pt>
                <c:pt idx="5">
                  <c:v>73.626402334974131</c:v>
                </c:pt>
                <c:pt idx="6">
                  <c:v>75.567391679853088</c:v>
                </c:pt>
                <c:pt idx="7">
                  <c:v>77.566563753439539</c:v>
                </c:pt>
                <c:pt idx="8">
                  <c:v>79.625421128038141</c:v>
                </c:pt>
                <c:pt idx="9">
                  <c:v>81.760086995805878</c:v>
                </c:pt>
                <c:pt idx="10">
                  <c:v>83.95724759122912</c:v>
                </c:pt>
                <c:pt idx="11">
                  <c:v>86.886940896439569</c:v>
                </c:pt>
                <c:pt idx="12">
                  <c:v>89.248284444307671</c:v>
                </c:pt>
                <c:pt idx="13">
                  <c:v>91.67734783995985</c:v>
                </c:pt>
                <c:pt idx="14">
                  <c:v>94.190441999312739</c:v>
                </c:pt>
                <c:pt idx="15">
                  <c:v>96.774458072679039</c:v>
                </c:pt>
                <c:pt idx="16">
                  <c:v>99.446090038295225</c:v>
                </c:pt>
                <c:pt idx="17">
                  <c:v>102.20719336939197</c:v>
                </c:pt>
                <c:pt idx="18">
                  <c:v>105.05966756950768</c:v>
                </c:pt>
                <c:pt idx="19">
                  <c:v>108.00515513273788</c:v>
                </c:pt>
                <c:pt idx="20">
                  <c:v>111.04595130222489</c:v>
                </c:pt>
                <c:pt idx="21">
                  <c:v>115.0828010236124</c:v>
                </c:pt>
                <c:pt idx="22">
                  <c:v>118.34735695691995</c:v>
                </c:pt>
                <c:pt idx="23">
                  <c:v>121.71430936569313</c:v>
                </c:pt>
                <c:pt idx="24">
                  <c:v>125.20076097809532</c:v>
                </c:pt>
                <c:pt idx="25">
                  <c:v>128.79442289090937</c:v>
                </c:pt>
                <c:pt idx="26">
                  <c:v>132.51251389689426</c:v>
                </c:pt>
                <c:pt idx="27">
                  <c:v>136.34286552798071</c:v>
                </c:pt>
                <c:pt idx="28">
                  <c:v>140.30282155201149</c:v>
                </c:pt>
                <c:pt idx="29">
                  <c:v>144.39522414436615</c:v>
                </c:pt>
                <c:pt idx="30">
                  <c:v>148.62267071053688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8-4874-9DFA-89B4DFFBB2E9}"/>
            </c:ext>
          </c:extLst>
        </c:ser>
        <c:ser>
          <c:idx val="4"/>
          <c:order val="1"/>
          <c:tx>
            <c:strRef>
              <c:f>'B7 C&amp;M 28Tip'!$A$168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8F8-4874-9DFA-89B4DFFBB2E9}"/>
              </c:ext>
            </c:extLst>
          </c:dPt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28Tip'!$C$168:$AG$168</c:f>
              <c:numCache>
                <c:formatCode>_ [$₹-4009]\ * #,##0.00_ ;_ [$₹-4009]\ * \-#,##0.00_ ;_ [$₹-4009]\ * "-"??_ ;_ @_ </c:formatCode>
                <c:ptCount val="31"/>
                <c:pt idx="0">
                  <c:v>76.014743264316806</c:v>
                </c:pt>
                <c:pt idx="1">
                  <c:v>76.618202395703975</c:v>
                </c:pt>
                <c:pt idx="2">
                  <c:v>77.166811597567644</c:v>
                </c:pt>
                <c:pt idx="3">
                  <c:v>77.032752105181558</c:v>
                </c:pt>
                <c:pt idx="4">
                  <c:v>76.855036699006021</c:v>
                </c:pt>
                <c:pt idx="5">
                  <c:v>77.689134205603182</c:v>
                </c:pt>
                <c:pt idx="6">
                  <c:v>75.873518849634593</c:v>
                </c:pt>
                <c:pt idx="7">
                  <c:v>76.488689407137528</c:v>
                </c:pt>
                <c:pt idx="8">
                  <c:v>76.929131555189898</c:v>
                </c:pt>
                <c:pt idx="9">
                  <c:v>77.520062743609159</c:v>
                </c:pt>
                <c:pt idx="10">
                  <c:v>78.269467547645718</c:v>
                </c:pt>
                <c:pt idx="11">
                  <c:v>77.308686864189568</c:v>
                </c:pt>
                <c:pt idx="12">
                  <c:v>78.415137943077156</c:v>
                </c:pt>
                <c:pt idx="13">
                  <c:v>79.559062914893829</c:v>
                </c:pt>
                <c:pt idx="14">
                  <c:v>80.821349504350167</c:v>
                </c:pt>
                <c:pt idx="15">
                  <c:v>82.213013620713809</c:v>
                </c:pt>
                <c:pt idx="16">
                  <c:v>83.481622924742169</c:v>
                </c:pt>
                <c:pt idx="17">
                  <c:v>85.348322631986122</c:v>
                </c:pt>
                <c:pt idx="18">
                  <c:v>87.259439650041301</c:v>
                </c:pt>
                <c:pt idx="19">
                  <c:v>89.252694899936756</c:v>
                </c:pt>
                <c:pt idx="20">
                  <c:v>91.323910204532496</c:v>
                </c:pt>
                <c:pt idx="21">
                  <c:v>92.30488730638487</c:v>
                </c:pt>
                <c:pt idx="22">
                  <c:v>94.533134013482027</c:v>
                </c:pt>
                <c:pt idx="23">
                  <c:v>96.844859193970365</c:v>
                </c:pt>
                <c:pt idx="24">
                  <c:v>99.260443790626439</c:v>
                </c:pt>
                <c:pt idx="25">
                  <c:v>101.77949182397943</c:v>
                </c:pt>
                <c:pt idx="26">
                  <c:v>104.79917232748056</c:v>
                </c:pt>
                <c:pt idx="27">
                  <c:v>107.99145331795732</c:v>
                </c:pt>
                <c:pt idx="28">
                  <c:v>111.29374399961738</c:v>
                </c:pt>
                <c:pt idx="29">
                  <c:v>114.73029170694069</c:v>
                </c:pt>
                <c:pt idx="30">
                  <c:v>118.28964655896924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F8-4874-9DFA-89B4DFFBB2E9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98F8-4874-9DFA-89B4DFFBB2E9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98F8-4874-9DFA-89B4DFFBB2E9}"/>
            </c:ext>
          </c:extLst>
        </c:ser>
        <c:ser>
          <c:idx val="2"/>
          <c:order val="5"/>
          <c:tx>
            <c:strRef>
              <c:f>'B7 C&amp;M 28Tip'!$A$169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28Tip'!$C$169:$AG$169</c:f>
              <c:numCache>
                <c:formatCode>_ [$₹-4009]\ * #,##0.00_ ;_ [$₹-4009]\ * \-#,##0.00_ ;_ [$₹-4009]\ * "-"??_ ;_ @_ </c:formatCode>
                <c:ptCount val="31"/>
                <c:pt idx="0">
                  <c:v>107.72318918255017</c:v>
                </c:pt>
                <c:pt idx="1">
                  <c:v>108.04850843683765</c:v>
                </c:pt>
                <c:pt idx="2">
                  <c:v>108.48881603777286</c:v>
                </c:pt>
                <c:pt idx="3">
                  <c:v>109.04015742379178</c:v>
                </c:pt>
                <c:pt idx="4">
                  <c:v>109.70514326829185</c:v>
                </c:pt>
                <c:pt idx="5">
                  <c:v>111.7789989784366</c:v>
                </c:pt>
                <c:pt idx="6">
                  <c:v>109.42274648782092</c:v>
                </c:pt>
                <c:pt idx="7">
                  <c:v>108.84161598720513</c:v>
                </c:pt>
                <c:pt idx="8">
                  <c:v>108.38103427790635</c:v>
                </c:pt>
                <c:pt idx="9">
                  <c:v>108.05099323535069</c:v>
                </c:pt>
                <c:pt idx="10">
                  <c:v>107.84157011310066</c:v>
                </c:pt>
                <c:pt idx="11">
                  <c:v>106.97448307092627</c:v>
                </c:pt>
                <c:pt idx="12">
                  <c:v>106.9914529426792</c:v>
                </c:pt>
                <c:pt idx="13">
                  <c:v>107.12437170482694</c:v>
                </c:pt>
                <c:pt idx="14">
                  <c:v>107.38395294822351</c:v>
                </c:pt>
                <c:pt idx="15">
                  <c:v>107.754396864838</c:v>
                </c:pt>
                <c:pt idx="16">
                  <c:v>106.55991246405931</c:v>
                </c:pt>
                <c:pt idx="17">
                  <c:v>107.5728117509509</c:v>
                </c:pt>
                <c:pt idx="18">
                  <c:v>108.70521454060351</c:v>
                </c:pt>
                <c:pt idx="19">
                  <c:v>109.95338826064865</c:v>
                </c:pt>
                <c:pt idx="20">
                  <c:v>111.32312267910702</c:v>
                </c:pt>
                <c:pt idx="21">
                  <c:v>111.81746855840103</c:v>
                </c:pt>
                <c:pt idx="22">
                  <c:v>113.39828861092329</c:v>
                </c:pt>
                <c:pt idx="23">
                  <c:v>115.09608111268753</c:v>
                </c:pt>
                <c:pt idx="24">
                  <c:v>116.92875111313819</c:v>
                </c:pt>
                <c:pt idx="25">
                  <c:v>118.88153007655741</c:v>
                </c:pt>
                <c:pt idx="26">
                  <c:v>120.75878536599669</c:v>
                </c:pt>
                <c:pt idx="27">
                  <c:v>123.8519411414058</c:v>
                </c:pt>
                <c:pt idx="28">
                  <c:v>127.09291134311165</c:v>
                </c:pt>
                <c:pt idx="29">
                  <c:v>130.48579960256222</c:v>
                </c:pt>
                <c:pt idx="30">
                  <c:v>134.02574677036958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F8-4874-9DFA-89B4DFFBB2E9}"/>
            </c:ext>
          </c:extLst>
        </c:ser>
        <c:ser>
          <c:idx val="6"/>
          <c:order val="6"/>
          <c:tx>
            <c:strRef>
              <c:f>'B7 C&amp;M 28Tip'!$A$170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28Tip'!$C$170:$AG$170</c:f>
              <c:numCache>
                <c:formatCode>_ [$₹-4009]\ * #,##0.00_ ;_ [$₹-4009]\ * \-#,##0.00_ ;_ [$₹-4009]\ * "-"??_ ;_ @_ </c:formatCode>
                <c:ptCount val="31"/>
                <c:pt idx="0">
                  <c:v>119.28231877726527</c:v>
                </c:pt>
                <c:pt idx="1">
                  <c:v>118.70013447863057</c:v>
                </c:pt>
                <c:pt idx="2">
                  <c:v>118.23865891194275</c:v>
                </c:pt>
                <c:pt idx="3">
                  <c:v>117.90065509513759</c:v>
                </c:pt>
                <c:pt idx="4">
                  <c:v>117.68549813794743</c:v>
                </c:pt>
                <c:pt idx="5">
                  <c:v>118.27957569782374</c:v>
                </c:pt>
                <c:pt idx="6">
                  <c:v>116.0804296811491</c:v>
                </c:pt>
                <c:pt idx="7">
                  <c:v>115.25458365328568</c:v>
                </c:pt>
                <c:pt idx="8">
                  <c:v>114.5437261717428</c:v>
                </c:pt>
                <c:pt idx="9">
                  <c:v>113.95792477859639</c:v>
                </c:pt>
                <c:pt idx="10">
                  <c:v>113.48103107394491</c:v>
                </c:pt>
                <c:pt idx="11">
                  <c:v>110.63567852352239</c:v>
                </c:pt>
                <c:pt idx="12">
                  <c:v>110.3859161281587</c:v>
                </c:pt>
                <c:pt idx="13">
                  <c:v>110.25455315290124</c:v>
                </c:pt>
                <c:pt idx="14">
                  <c:v>110.24391351600478</c:v>
                </c:pt>
                <c:pt idx="15">
                  <c:v>110.34668574904458</c:v>
                </c:pt>
                <c:pt idx="16">
                  <c:v>109.01270530742498</c:v>
                </c:pt>
                <c:pt idx="17">
                  <c:v>109.93086855383258</c:v>
                </c:pt>
                <c:pt idx="18">
                  <c:v>110.96457210560227</c:v>
                </c:pt>
                <c:pt idx="19">
                  <c:v>112.09835202849706</c:v>
                </c:pt>
                <c:pt idx="20">
                  <c:v>113.33495174577919</c:v>
                </c:pt>
                <c:pt idx="21">
                  <c:v>112.78748066951945</c:v>
                </c:pt>
                <c:pt idx="22">
                  <c:v>114.22739709967504</c:v>
                </c:pt>
                <c:pt idx="23">
                  <c:v>115.76830024135494</c:v>
                </c:pt>
                <c:pt idx="24">
                  <c:v>117.42804036146786</c:v>
                </c:pt>
                <c:pt idx="25">
                  <c:v>119.20340050386973</c:v>
                </c:pt>
                <c:pt idx="26">
                  <c:v>120.70587275847713</c:v>
                </c:pt>
                <c:pt idx="27">
                  <c:v>123.66328160188419</c:v>
                </c:pt>
                <c:pt idx="28">
                  <c:v>126.74625356348758</c:v>
                </c:pt>
                <c:pt idx="29">
                  <c:v>129.97342101491961</c:v>
                </c:pt>
                <c:pt idx="30">
                  <c:v>133.32746868652063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F8-4874-9DFA-89B4DFFBB2E9}"/>
            </c:ext>
          </c:extLst>
        </c:ser>
        <c:ser>
          <c:idx val="7"/>
          <c:order val="7"/>
          <c:tx>
            <c:strRef>
              <c:f>'B7 C&amp;M 28Tip'!$A$96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28Tip'!$C$167:$AG$167</c:f>
              <c:numCache>
                <c:formatCode>_ [$₹-4009]\ * #,##0.00_ ;_ [$₹-4009]\ * \-#,##0.00_ ;_ [$₹-4009]\ * "-"??_ ;_ @_ </c:formatCode>
                <c:ptCount val="31"/>
                <c:pt idx="0">
                  <c:v>61.463427649526928</c:v>
                </c:pt>
                <c:pt idx="1">
                  <c:v>63.392986624482347</c:v>
                </c:pt>
                <c:pt idx="2">
                  <c:v>65.257393259018542</c:v>
                </c:pt>
                <c:pt idx="3">
                  <c:v>67.181751494284214</c:v>
                </c:pt>
                <c:pt idx="4">
                  <c:v>69.173326100840825</c:v>
                </c:pt>
                <c:pt idx="5">
                  <c:v>72.441078350159827</c:v>
                </c:pt>
                <c:pt idx="6">
                  <c:v>74.601157623316553</c:v>
                </c:pt>
                <c:pt idx="7">
                  <c:v>76.832345773026418</c:v>
                </c:pt>
                <c:pt idx="8">
                  <c:v>79.136031911086093</c:v>
                </c:pt>
                <c:pt idx="9">
                  <c:v>81.528534652363234</c:v>
                </c:pt>
                <c:pt idx="10">
                  <c:v>83.996460995521318</c:v>
                </c:pt>
                <c:pt idx="11">
                  <c:v>87.281941594049215</c:v>
                </c:pt>
                <c:pt idx="12">
                  <c:v>89.944024050996987</c:v>
                </c:pt>
                <c:pt idx="13">
                  <c:v>92.689978631157118</c:v>
                </c:pt>
                <c:pt idx="14">
                  <c:v>95.536394075800672</c:v>
                </c:pt>
                <c:pt idx="15">
                  <c:v>98.47015719960973</c:v>
                </c:pt>
                <c:pt idx="16">
                  <c:v>101.50797885596485</c:v>
                </c:pt>
                <c:pt idx="17">
                  <c:v>104.65175331456187</c:v>
                </c:pt>
                <c:pt idx="18">
                  <c:v>107.90970778963889</c:v>
                </c:pt>
                <c:pt idx="19">
                  <c:v>111.2776060642293</c:v>
                </c:pt>
                <c:pt idx="20">
                  <c:v>114.76068288703345</c:v>
                </c:pt>
                <c:pt idx="21">
                  <c:v>119.33581641638992</c:v>
                </c:pt>
                <c:pt idx="22">
                  <c:v>123.08672997873327</c:v>
                </c:pt>
                <c:pt idx="23">
                  <c:v>126.96356616907661</c:v>
                </c:pt>
                <c:pt idx="24">
                  <c:v>130.98038122429656</c:v>
                </c:pt>
                <c:pt idx="25">
                  <c:v>135.13127321109749</c:v>
                </c:pt>
                <c:pt idx="26">
                  <c:v>139.43047239546001</c:v>
                </c:pt>
                <c:pt idx="27">
                  <c:v>143.86577832793</c:v>
                </c:pt>
                <c:pt idx="28">
                  <c:v>148.46132639993633</c:v>
                </c:pt>
                <c:pt idx="29">
                  <c:v>153.21351190149349</c:v>
                </c:pt>
                <c:pt idx="30">
                  <c:v>158.13178992497464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8F8-4874-9DFA-89B4DFFBB2E9}"/>
            </c:ext>
          </c:extLst>
        </c:ser>
        <c:ser>
          <c:idx val="8"/>
          <c:order val="8"/>
          <c:tx>
            <c:strRef>
              <c:f>'B7 C&amp;M 28Tip'!$A$79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28Tip'!$C$166:$AG$166</c:f>
              <c:numCache>
                <c:formatCode>_ [$₹-4009]\ * #,##0.00_ ;_ [$₹-4009]\ * \-#,##0.00_ ;_ [$₹-4009]\ * "-"??_ ;_ @_ </c:formatCode>
                <c:ptCount val="31"/>
                <c:pt idx="0">
                  <c:v>60.932520138878246</c:v>
                </c:pt>
                <c:pt idx="1">
                  <c:v>64.011079076377911</c:v>
                </c:pt>
                <c:pt idx="2">
                  <c:v>65.949395496288318</c:v>
                </c:pt>
                <c:pt idx="3">
                  <c:v>67.951810508796001</c:v>
                </c:pt>
                <c:pt idx="4">
                  <c:v>70.019932035440846</c:v>
                </c:pt>
                <c:pt idx="5">
                  <c:v>73.366156914594455</c:v>
                </c:pt>
                <c:pt idx="6">
                  <c:v>75.607055519071324</c:v>
                </c:pt>
                <c:pt idx="7">
                  <c:v>77.919906147362184</c:v>
                </c:pt>
                <c:pt idx="8">
                  <c:v>80.321458183620834</c:v>
                </c:pt>
                <c:pt idx="9">
                  <c:v>82.798762037528704</c:v>
                </c:pt>
                <c:pt idx="10">
                  <c:v>85.368695123073962</c:v>
                </c:pt>
                <c:pt idx="11">
                  <c:v>88.723952799283893</c:v>
                </c:pt>
                <c:pt idx="12">
                  <c:v>91.491689861250833</c:v>
                </c:pt>
                <c:pt idx="13">
                  <c:v>94.344213000858986</c:v>
                </c:pt>
                <c:pt idx="14">
                  <c:v>97.298702341335485</c:v>
                </c:pt>
                <c:pt idx="15">
                  <c:v>100.35753477315814</c:v>
                </c:pt>
                <c:pt idx="16">
                  <c:v>103.52316759444373</c:v>
                </c:pt>
                <c:pt idx="17">
                  <c:v>106.79814129391883</c:v>
                </c:pt>
                <c:pt idx="18">
                  <c:v>110.18508243227637</c:v>
                </c:pt>
                <c:pt idx="19">
                  <c:v>113.68670662546627</c:v>
                </c:pt>
                <c:pt idx="20">
                  <c:v>117.30582163359817</c:v>
                </c:pt>
                <c:pt idx="21">
                  <c:v>121.993480370043</c:v>
                </c:pt>
                <c:pt idx="22">
                  <c:v>125.89971041675588</c:v>
                </c:pt>
                <c:pt idx="23">
                  <c:v>129.93329331281583</c:v>
                </c:pt>
                <c:pt idx="24">
                  <c:v>134.11234508513209</c:v>
                </c:pt>
                <c:pt idx="25">
                  <c:v>138.44021088758953</c:v>
                </c:pt>
                <c:pt idx="26">
                  <c:v>142.92034978422797</c:v>
                </c:pt>
                <c:pt idx="27">
                  <c:v>147.55633871617445</c:v>
                </c:pt>
                <c:pt idx="28">
                  <c:v>152.35187660964252</c:v>
                </c:pt>
                <c:pt idx="29">
                  <c:v>157.31078863011402</c:v>
                </c:pt>
                <c:pt idx="30">
                  <c:v>162.45191154038756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F8-4874-9DFA-89B4DFFB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'B7 C&amp;M 28Tip'!$A$171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'B7 C&amp;M 28Tip'!$C$164:$AG$164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'B7 C&amp;M 28Tip'!$C$171:$AB$171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55.444251046107368</c:v>
                      </c:pt>
                      <c:pt idx="1">
                        <c:v>58.844308071907136</c:v>
                      </c:pt>
                      <c:pt idx="2">
                        <c:v>60.364499920520188</c:v>
                      </c:pt>
                      <c:pt idx="3">
                        <c:v>61.931912719155278</c:v>
                      </c:pt>
                      <c:pt idx="4">
                        <c:v>63.547531515647748</c:v>
                      </c:pt>
                      <c:pt idx="5">
                        <c:v>66.263762101476715</c:v>
                      </c:pt>
                      <c:pt idx="6">
                        <c:v>68.010652511867775</c:v>
                      </c:pt>
                      <c:pt idx="7">
                        <c:v>69.809907378095588</c:v>
                      </c:pt>
                      <c:pt idx="8">
                        <c:v>71.662879015234324</c:v>
                      </c:pt>
                      <c:pt idx="9">
                        <c:v>73.584078296225286</c:v>
                      </c:pt>
                      <c:pt idx="10">
                        <c:v>75.561522832106206</c:v>
                      </c:pt>
                      <c:pt idx="11">
                        <c:v>78.198246806795609</c:v>
                      </c:pt>
                      <c:pt idx="12">
                        <c:v>80.323455999876913</c:v>
                      </c:pt>
                      <c:pt idx="13">
                        <c:v>82.509613055963868</c:v>
                      </c:pt>
                      <c:pt idx="14">
                        <c:v>84.771397799381461</c:v>
                      </c:pt>
                      <c:pt idx="15">
                        <c:v>87.097012265411138</c:v>
                      </c:pt>
                      <c:pt idx="16">
                        <c:v>89.501481034465698</c:v>
                      </c:pt>
                      <c:pt idx="17">
                        <c:v>91.986474032452776</c:v>
                      </c:pt>
                      <c:pt idx="18">
                        <c:v>94.553700812556912</c:v>
                      </c:pt>
                      <c:pt idx="19">
                        <c:v>97.204639619464103</c:v>
                      </c:pt>
                      <c:pt idx="20">
                        <c:v>99.941356172002401</c:v>
                      </c:pt>
                      <c:pt idx="21">
                        <c:v>103.57452092125116</c:v>
                      </c:pt>
                      <c:pt idx="22">
                        <c:v>106.51262126122796</c:v>
                      </c:pt>
                      <c:pt idx="23">
                        <c:v>109.54287842912382</c:v>
                      </c:pt>
                      <c:pt idx="24">
                        <c:v>112.68068488028578</c:v>
                      </c:pt>
                      <c:pt idx="25">
                        <c:v>115.91498060181844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98F8-4874-9DFA-89B4DFFBB2E9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'B7 C&amp;M 28Tip'!$B$174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28Tip'!$C$174:$AG$174</c:f>
              <c:numCache>
                <c:formatCode>_ [$₹-4009]\ * #,##0.00_ ;_ [$₹-4009]\ * \-#,##0.00_ ;_ [$₹-4009]\ * "-"??_ ;_ @_ </c:formatCode>
                <c:ptCount val="31"/>
                <c:pt idx="0">
                  <c:v>4.2486016127285344</c:v>
                </c:pt>
                <c:pt idx="1">
                  <c:v>4.5091423809890525</c:v>
                </c:pt>
                <c:pt idx="2">
                  <c:v>4.6256321778176384</c:v>
                </c:pt>
                <c:pt idx="3">
                  <c:v>4.7457404382494461</c:v>
                </c:pt>
                <c:pt idx="4">
                  <c:v>4.8695426448772219</c:v>
                </c:pt>
                <c:pt idx="5">
                  <c:v>5.0776829196533884</c:v>
                </c:pt>
                <c:pt idx="6">
                  <c:v>5.2115442537829715</c:v>
                </c:pt>
                <c:pt idx="7">
                  <c:v>5.3494181898923818</c:v>
                </c:pt>
                <c:pt idx="8">
                  <c:v>5.4914083536578033</c:v>
                </c:pt>
                <c:pt idx="9">
                  <c:v>5.6386266893659229</c:v>
                </c:pt>
                <c:pt idx="10">
                  <c:v>5.7901550062916636</c:v>
                </c:pt>
                <c:pt idx="11">
                  <c:v>5.992202820444108</c:v>
                </c:pt>
                <c:pt idx="12">
                  <c:v>6.1550540996074261</c:v>
                </c:pt>
                <c:pt idx="13">
                  <c:v>6.3225757131006795</c:v>
                </c:pt>
                <c:pt idx="14">
                  <c:v>6.4958925516767403</c:v>
                </c:pt>
                <c:pt idx="15">
                  <c:v>6.6741005567364855</c:v>
                </c:pt>
                <c:pt idx="16">
                  <c:v>6.8583510371238088</c:v>
                </c:pt>
                <c:pt idx="17">
                  <c:v>7.0487719565097908</c:v>
                </c:pt>
                <c:pt idx="18">
                  <c:v>7.2454943151384601</c:v>
                </c:pt>
                <c:pt idx="19">
                  <c:v>7.4486313884646815</c:v>
                </c:pt>
                <c:pt idx="20">
                  <c:v>7.658341469118958</c:v>
                </c:pt>
                <c:pt idx="21">
                  <c:v>7.9367448981801667</c:v>
                </c:pt>
                <c:pt idx="22">
                  <c:v>8.1618866866841344</c:v>
                </c:pt>
                <c:pt idx="23">
                  <c:v>8.3940903010822847</c:v>
                </c:pt>
                <c:pt idx="24">
                  <c:v>8.6345352398686419</c:v>
                </c:pt>
                <c:pt idx="25">
                  <c:v>8.8823739924765075</c:v>
                </c:pt>
                <c:pt idx="26">
                  <c:v>9.1387940618547763</c:v>
                </c:pt>
                <c:pt idx="27">
                  <c:v>9.4029562433090135</c:v>
                </c:pt>
                <c:pt idx="28">
                  <c:v>9.6760566587594141</c:v>
                </c:pt>
                <c:pt idx="29">
                  <c:v>9.9582913203011145</c:v>
                </c:pt>
                <c:pt idx="30">
                  <c:v>10.249839359347371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0-4762-B2B2-D14F8CD5ECBA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6B10-4762-B2B2-D14F8CD5ECBA}"/>
            </c:ext>
          </c:extLst>
        </c:ser>
        <c:ser>
          <c:idx val="3"/>
          <c:order val="2"/>
          <c:tx>
            <c:strRef>
              <c:f>'B7 C&amp;M 28Tip'!$B$177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28Tip'!$C$177:$AG$177</c:f>
              <c:numCache>
                <c:formatCode>_ [$₹-4009]\ * #,##0.00_ ;_ [$₹-4009]\ * \-#,##0.00_ ;_ [$₹-4009]\ * "-"??_ ;_ @_ </c:formatCode>
                <c:ptCount val="31"/>
                <c:pt idx="0">
                  <c:v>6.0811794611453438</c:v>
                </c:pt>
                <c:pt idx="1">
                  <c:v>6.1294561916563177</c:v>
                </c:pt>
                <c:pt idx="2">
                  <c:v>6.1733449278054113</c:v>
                </c:pt>
                <c:pt idx="3">
                  <c:v>6.1626201684145245</c:v>
                </c:pt>
                <c:pt idx="4">
                  <c:v>6.1484029359204815</c:v>
                </c:pt>
                <c:pt idx="5">
                  <c:v>6.2151307364482546</c:v>
                </c:pt>
                <c:pt idx="6">
                  <c:v>6.0698815079707673</c:v>
                </c:pt>
                <c:pt idx="7">
                  <c:v>6.1190951525710027</c:v>
                </c:pt>
                <c:pt idx="8">
                  <c:v>6.154330524415192</c:v>
                </c:pt>
                <c:pt idx="9">
                  <c:v>6.2016050194887322</c:v>
                </c:pt>
                <c:pt idx="10">
                  <c:v>6.2615574038116577</c:v>
                </c:pt>
                <c:pt idx="11">
                  <c:v>6.1846949491351655</c:v>
                </c:pt>
                <c:pt idx="12">
                  <c:v>6.273211035446173</c:v>
                </c:pt>
                <c:pt idx="13">
                  <c:v>6.3647250331915064</c:v>
                </c:pt>
                <c:pt idx="14">
                  <c:v>6.4657079603480128</c:v>
                </c:pt>
                <c:pt idx="15">
                  <c:v>6.5770410896571052</c:v>
                </c:pt>
                <c:pt idx="16">
                  <c:v>6.6785298339793737</c:v>
                </c:pt>
                <c:pt idx="17">
                  <c:v>6.8278658105588894</c:v>
                </c:pt>
                <c:pt idx="18">
                  <c:v>6.9807551720033043</c:v>
                </c:pt>
                <c:pt idx="19">
                  <c:v>7.1402155919949397</c:v>
                </c:pt>
                <c:pt idx="20">
                  <c:v>7.305912816362599</c:v>
                </c:pt>
                <c:pt idx="21">
                  <c:v>7.38439098451079</c:v>
                </c:pt>
                <c:pt idx="22">
                  <c:v>7.5626507210785618</c:v>
                </c:pt>
                <c:pt idx="23">
                  <c:v>7.7475887355176294</c:v>
                </c:pt>
                <c:pt idx="24">
                  <c:v>7.9408355032501152</c:v>
                </c:pt>
                <c:pt idx="25">
                  <c:v>8.1423593459183543</c:v>
                </c:pt>
                <c:pt idx="26">
                  <c:v>8.383933786198444</c:v>
                </c:pt>
                <c:pt idx="27">
                  <c:v>8.6393162654365856</c:v>
                </c:pt>
                <c:pt idx="28">
                  <c:v>8.9034995199693903</c:v>
                </c:pt>
                <c:pt idx="29">
                  <c:v>9.1784233365552552</c:v>
                </c:pt>
                <c:pt idx="30">
                  <c:v>9.4631717247175384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10-4762-B2B2-D14F8CD5ECB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6B10-4762-B2B2-D14F8CD5ECBA}"/>
            </c:ext>
          </c:extLst>
        </c:ser>
        <c:ser>
          <c:idx val="2"/>
          <c:order val="5"/>
          <c:tx>
            <c:strRef>
              <c:f>'B7 C&amp;M 28Tip'!$B$175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28Tip'!$C$175:$AG$175</c:f>
              <c:numCache>
                <c:formatCode>_ [$₹-4009]\ * #,##0.00_ ;_ [$₹-4009]\ * \-#,##0.00_ ;_ [$₹-4009]\ * "-"??_ ;_ @_ </c:formatCode>
                <c:ptCount val="31"/>
                <c:pt idx="0">
                  <c:v>7.4291854608655292</c:v>
                </c:pt>
                <c:pt idx="1">
                  <c:v>7.4516212715060446</c:v>
                </c:pt>
                <c:pt idx="2">
                  <c:v>7.4819873129498529</c:v>
                </c:pt>
                <c:pt idx="3">
                  <c:v>7.5200108568132258</c:v>
                </c:pt>
                <c:pt idx="4">
                  <c:v>7.5658719495373692</c:v>
                </c:pt>
                <c:pt idx="5">
                  <c:v>7.7088964812714904</c:v>
                </c:pt>
                <c:pt idx="6">
                  <c:v>7.5463963095048907</c:v>
                </c:pt>
                <c:pt idx="7">
                  <c:v>7.506318343945181</c:v>
                </c:pt>
                <c:pt idx="8">
                  <c:v>7.4745540881314723</c:v>
                </c:pt>
                <c:pt idx="9">
                  <c:v>7.4517926369207368</c:v>
                </c:pt>
                <c:pt idx="10">
                  <c:v>7.4373496629724594</c:v>
                </c:pt>
                <c:pt idx="11">
                  <c:v>7.3775505566156045</c:v>
                </c:pt>
                <c:pt idx="12">
                  <c:v>7.3787208925985652</c:v>
                </c:pt>
                <c:pt idx="13">
                  <c:v>7.3878877037811677</c:v>
                </c:pt>
                <c:pt idx="14">
                  <c:v>7.4057898584981734</c:v>
                </c:pt>
                <c:pt idx="15">
                  <c:v>7.4313377148164141</c:v>
                </c:pt>
                <c:pt idx="16">
                  <c:v>7.3489594802799525</c:v>
                </c:pt>
                <c:pt idx="17">
                  <c:v>7.4188146035138551</c:v>
                </c:pt>
                <c:pt idx="18">
                  <c:v>7.4969113476278277</c:v>
                </c:pt>
                <c:pt idx="19">
                  <c:v>7.5829922938378376</c:v>
                </c:pt>
                <c:pt idx="20">
                  <c:v>7.6774567364901385</c:v>
                </c:pt>
                <c:pt idx="21">
                  <c:v>7.7115495557517955</c:v>
                </c:pt>
                <c:pt idx="22">
                  <c:v>7.820571628339537</c:v>
                </c:pt>
                <c:pt idx="23">
                  <c:v>7.937660766392244</c:v>
                </c:pt>
                <c:pt idx="24">
                  <c:v>8.064051800906082</c:v>
                </c:pt>
                <c:pt idx="25">
                  <c:v>8.1987262121763731</c:v>
                </c:pt>
                <c:pt idx="26">
                  <c:v>8.3281920942066687</c:v>
                </c:pt>
                <c:pt idx="27">
                  <c:v>8.5415131821659163</c:v>
                </c:pt>
                <c:pt idx="28">
                  <c:v>8.7650283684904586</c:v>
                </c:pt>
                <c:pt idx="29">
                  <c:v>8.9990206622456714</c:v>
                </c:pt>
                <c:pt idx="30">
                  <c:v>9.24315494968066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10-4762-B2B2-D14F8CD5ECBA}"/>
            </c:ext>
          </c:extLst>
        </c:ser>
        <c:ser>
          <c:idx val="6"/>
          <c:order val="6"/>
          <c:tx>
            <c:strRef>
              <c:f>'B7 C&amp;M 28Tip'!$A$176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28Tip'!$C$176:$AG$176</c:f>
              <c:numCache>
                <c:formatCode>_ [$₹-4009]\ * #,##0.00_ ;_ [$₹-4009]\ * \-#,##0.00_ ;_ [$₹-4009]\ * "-"??_ ;_ @_ </c:formatCode>
                <c:ptCount val="31"/>
                <c:pt idx="0">
                  <c:v>4.2388570792777189</c:v>
                </c:pt>
                <c:pt idx="1">
                  <c:v>4.3719301120332652</c:v>
                </c:pt>
                <c:pt idx="2">
                  <c:v>4.5005098799323138</c:v>
                </c:pt>
                <c:pt idx="3">
                  <c:v>4.6332242409851183</c:v>
                </c:pt>
                <c:pt idx="4">
                  <c:v>4.7705742138510914</c:v>
                </c:pt>
                <c:pt idx="5">
                  <c:v>4.9959364379420572</c:v>
                </c:pt>
                <c:pt idx="6">
                  <c:v>5.1449074222976927</c:v>
                </c:pt>
                <c:pt idx="7">
                  <c:v>5.2987824671052701</c:v>
                </c:pt>
                <c:pt idx="8">
                  <c:v>5.4576573731783515</c:v>
                </c:pt>
                <c:pt idx="9">
                  <c:v>5.6226575622319475</c:v>
                </c:pt>
                <c:pt idx="10">
                  <c:v>5.7928593790014702</c:v>
                </c:pt>
                <c:pt idx="11">
                  <c:v>6.0194442478654633</c:v>
                </c:pt>
                <c:pt idx="12">
                  <c:v>6.2030361414480684</c:v>
                </c:pt>
                <c:pt idx="13">
                  <c:v>6.3924123193901465</c:v>
                </c:pt>
                <c:pt idx="14">
                  <c:v>6.588716832813839</c:v>
                </c:pt>
                <c:pt idx="15">
                  <c:v>6.7910453241110158</c:v>
                </c:pt>
                <c:pt idx="16">
                  <c:v>7.0005502659286103</c:v>
                </c:pt>
                <c:pt idx="17">
                  <c:v>7.217362297555991</c:v>
                </c:pt>
                <c:pt idx="18">
                  <c:v>7.4420488130785447</c:v>
                </c:pt>
                <c:pt idx="19">
                  <c:v>7.6743176596020204</c:v>
                </c:pt>
                <c:pt idx="20">
                  <c:v>7.914529854278169</c:v>
                </c:pt>
                <c:pt idx="21">
                  <c:v>8.2300563045786159</c:v>
                </c:pt>
                <c:pt idx="22">
                  <c:v>8.4887399985333296</c:v>
                </c:pt>
                <c:pt idx="23">
                  <c:v>8.756108011660455</c:v>
                </c:pt>
                <c:pt idx="24">
                  <c:v>9.0331297396066592</c:v>
                </c:pt>
                <c:pt idx="25">
                  <c:v>9.319398152489482</c:v>
                </c:pt>
                <c:pt idx="26">
                  <c:v>9.6158946479627598</c:v>
                </c:pt>
                <c:pt idx="27">
                  <c:v>9.9217778157193113</c:v>
                </c:pt>
                <c:pt idx="28">
                  <c:v>10.238712165512851</c:v>
                </c:pt>
                <c:pt idx="29">
                  <c:v>10.566449096654722</c:v>
                </c:pt>
                <c:pt idx="30">
                  <c:v>10.905640684481009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10-4762-B2B2-D14F8CD5ECBA}"/>
            </c:ext>
          </c:extLst>
        </c:ser>
        <c:ser>
          <c:idx val="7"/>
          <c:order val="7"/>
          <c:tx>
            <c:strRef>
              <c:f>'B7 C&amp;M 28Tip'!$A$178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28Tip'!$C$178:$AG$178</c:f>
              <c:numCache>
                <c:formatCode>_ [$₹-4009]\ * #,##0.00_ ;_ [$₹-4009]\ * \-#,##0.00_ ;_ [$₹-4009]\ * "-"??_ ;_ @_ </c:formatCode>
                <c:ptCount val="31"/>
                <c:pt idx="0">
                  <c:v>8.2263668122251925</c:v>
                </c:pt>
                <c:pt idx="1">
                  <c:v>8.1862161709400389</c:v>
                </c:pt>
                <c:pt idx="2">
                  <c:v>8.1543902697891557</c:v>
                </c:pt>
                <c:pt idx="3">
                  <c:v>8.1310796617336276</c:v>
                </c:pt>
                <c:pt idx="4">
                  <c:v>8.1162412508929265</c:v>
                </c:pt>
                <c:pt idx="5">
                  <c:v>8.1572121170912926</c:v>
                </c:pt>
                <c:pt idx="6">
                  <c:v>8.0055468745620075</c:v>
                </c:pt>
                <c:pt idx="7">
                  <c:v>7.9485919760886681</c:v>
                </c:pt>
                <c:pt idx="8">
                  <c:v>7.8995673221891591</c:v>
                </c:pt>
                <c:pt idx="9">
                  <c:v>7.8591672261100962</c:v>
                </c:pt>
                <c:pt idx="10">
                  <c:v>7.826278005099649</c:v>
                </c:pt>
                <c:pt idx="11">
                  <c:v>7.6300467947256818</c:v>
                </c:pt>
                <c:pt idx="12">
                  <c:v>7.6128218019419798</c:v>
                </c:pt>
                <c:pt idx="13">
                  <c:v>7.6037622864069823</c:v>
                </c:pt>
                <c:pt idx="14">
                  <c:v>7.6030285183451571</c:v>
                </c:pt>
                <c:pt idx="15">
                  <c:v>7.6101162585547986</c:v>
                </c:pt>
                <c:pt idx="16">
                  <c:v>7.5181176074086196</c:v>
                </c:pt>
                <c:pt idx="17">
                  <c:v>7.5814392106091439</c:v>
                </c:pt>
                <c:pt idx="18">
                  <c:v>7.6527291107311912</c:v>
                </c:pt>
                <c:pt idx="19">
                  <c:v>7.7309208295515219</c:v>
                </c:pt>
                <c:pt idx="20">
                  <c:v>7.8162035686744273</c:v>
                </c:pt>
                <c:pt idx="21">
                  <c:v>7.7784469427254797</c:v>
                </c:pt>
                <c:pt idx="22">
                  <c:v>7.8777515241155207</c:v>
                </c:pt>
                <c:pt idx="23">
                  <c:v>7.984020706300341</c:v>
                </c:pt>
                <c:pt idx="24">
                  <c:v>8.0984855421701987</c:v>
                </c:pt>
                <c:pt idx="25">
                  <c:v>8.2209241726806717</c:v>
                </c:pt>
                <c:pt idx="26">
                  <c:v>8.3245429488604916</c:v>
                </c:pt>
                <c:pt idx="27">
                  <c:v>8.5285021794402898</c:v>
                </c:pt>
                <c:pt idx="28">
                  <c:v>8.7411209354129369</c:v>
                </c:pt>
                <c:pt idx="29">
                  <c:v>8.9636842079254908</c:v>
                </c:pt>
                <c:pt idx="30">
                  <c:v>9.1949978404496999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10-4762-B2B2-D14F8CD5ECBA}"/>
            </c:ext>
          </c:extLst>
        </c:ser>
        <c:ser>
          <c:idx val="8"/>
          <c:order val="8"/>
          <c:tx>
            <c:strRef>
              <c:f>'B7 C&amp;M 28Tip'!$A$179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'B7 C&amp;M 28Tip'!$C$173:$AG$173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28Tip'!$C$179:$AG$179</c:f>
              <c:numCache>
                <c:formatCode>_ [$₹-4009]\ * #,##0.00_ ;_ [$₹-4009]\ * \-#,##0.00_ ;_ [$₹-4009]\ * "-"??_ ;_ @_ </c:formatCode>
                <c:ptCount val="31"/>
                <c:pt idx="0">
                  <c:v>8.7707587336224453</c:v>
                </c:pt>
                <c:pt idx="1">
                  <c:v>8.7279510646051879</c:v>
                </c:pt>
                <c:pt idx="2">
                  <c:v>8.6940190376428497</c:v>
                </c:pt>
                <c:pt idx="3">
                  <c:v>8.6691658158189409</c:v>
                </c:pt>
                <c:pt idx="4">
                  <c:v>8.6533454513196641</c:v>
                </c:pt>
                <c:pt idx="5">
                  <c:v>8.6970276248399809</c:v>
                </c:pt>
                <c:pt idx="6">
                  <c:v>8.5353257118491985</c:v>
                </c:pt>
                <c:pt idx="7">
                  <c:v>8.4746017392121828</c:v>
                </c:pt>
                <c:pt idx="8">
                  <c:v>8.4223328067457945</c:v>
                </c:pt>
                <c:pt idx="9">
                  <c:v>8.3792591748967933</c:v>
                </c:pt>
                <c:pt idx="10">
                  <c:v>8.3441934613194793</c:v>
                </c:pt>
                <c:pt idx="11">
                  <c:v>8.1349763620237052</c:v>
                </c:pt>
                <c:pt idx="12">
                  <c:v>8.1166114800116684</c:v>
                </c:pt>
                <c:pt idx="13">
                  <c:v>8.1069524377133266</c:v>
                </c:pt>
                <c:pt idx="14">
                  <c:v>8.1061701114709397</c:v>
                </c:pt>
                <c:pt idx="15">
                  <c:v>8.1137268933121014</c:v>
                </c:pt>
                <c:pt idx="16">
                  <c:v>8.0156400961341898</c:v>
                </c:pt>
                <c:pt idx="17">
                  <c:v>8.0831520995465134</c:v>
                </c:pt>
                <c:pt idx="18">
                  <c:v>8.1591597136472256</c:v>
                </c:pt>
                <c:pt idx="19">
                  <c:v>8.2425258844483142</c:v>
                </c:pt>
                <c:pt idx="20">
                  <c:v>8.3334523342484701</c:v>
                </c:pt>
                <c:pt idx="21">
                  <c:v>8.293197108052901</c:v>
                </c:pt>
                <c:pt idx="22">
                  <c:v>8.3990733161525757</c:v>
                </c:pt>
                <c:pt idx="23">
                  <c:v>8.5123750177466864</c:v>
                </c:pt>
                <c:pt idx="24">
                  <c:v>8.6344147324608738</c:v>
                </c:pt>
                <c:pt idx="25">
                  <c:v>8.7649559194021851</c:v>
                </c:pt>
                <c:pt idx="26">
                  <c:v>8.8754318204762601</c:v>
                </c:pt>
                <c:pt idx="27">
                  <c:v>9.0928883530797204</c:v>
                </c:pt>
                <c:pt idx="28">
                  <c:v>9.3195774679034997</c:v>
                </c:pt>
                <c:pt idx="29">
                  <c:v>9.5568691922734992</c:v>
                </c:pt>
                <c:pt idx="30">
                  <c:v>9.8034903445971064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10-4762-B2B2-D14F8CD5E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'B7 C&amp;M 28Tip'!$A$174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'B7 C&amp;M 28Tip'!$C$173:$AG$173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'B7 C&amp;M 28Tip'!$C$174:$AG$174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4.2486016127285344</c:v>
                      </c:pt>
                      <c:pt idx="1">
                        <c:v>4.5091423809890525</c:v>
                      </c:pt>
                      <c:pt idx="2">
                        <c:v>4.6256321778176384</c:v>
                      </c:pt>
                      <c:pt idx="3">
                        <c:v>4.7457404382494461</c:v>
                      </c:pt>
                      <c:pt idx="4">
                        <c:v>4.8695426448772219</c:v>
                      </c:pt>
                      <c:pt idx="5">
                        <c:v>5.0776829196533884</c:v>
                      </c:pt>
                      <c:pt idx="6">
                        <c:v>5.2115442537829715</c:v>
                      </c:pt>
                      <c:pt idx="7">
                        <c:v>5.3494181898923818</c:v>
                      </c:pt>
                      <c:pt idx="8">
                        <c:v>5.4914083536578033</c:v>
                      </c:pt>
                      <c:pt idx="9">
                        <c:v>5.6386266893659229</c:v>
                      </c:pt>
                      <c:pt idx="10">
                        <c:v>5.7901550062916636</c:v>
                      </c:pt>
                      <c:pt idx="11">
                        <c:v>5.992202820444108</c:v>
                      </c:pt>
                      <c:pt idx="12">
                        <c:v>6.1550540996074261</c:v>
                      </c:pt>
                      <c:pt idx="13">
                        <c:v>6.3225757131006795</c:v>
                      </c:pt>
                      <c:pt idx="14">
                        <c:v>6.4958925516767403</c:v>
                      </c:pt>
                      <c:pt idx="15">
                        <c:v>6.6741005567364855</c:v>
                      </c:pt>
                      <c:pt idx="16">
                        <c:v>6.8583510371238088</c:v>
                      </c:pt>
                      <c:pt idx="17">
                        <c:v>7.0487719565097908</c:v>
                      </c:pt>
                      <c:pt idx="18">
                        <c:v>7.2454943151384601</c:v>
                      </c:pt>
                      <c:pt idx="19">
                        <c:v>7.4486313884646815</c:v>
                      </c:pt>
                      <c:pt idx="20">
                        <c:v>7.658341469118958</c:v>
                      </c:pt>
                      <c:pt idx="21">
                        <c:v>7.9367448981801667</c:v>
                      </c:pt>
                      <c:pt idx="22">
                        <c:v>8.1618866866841344</c:v>
                      </c:pt>
                      <c:pt idx="23">
                        <c:v>8.3940903010822847</c:v>
                      </c:pt>
                      <c:pt idx="24">
                        <c:v>8.6345352398686419</c:v>
                      </c:pt>
                      <c:pt idx="25">
                        <c:v>8.8823739924765075</c:v>
                      </c:pt>
                      <c:pt idx="26">
                        <c:v>9.1387940618547763</c:v>
                      </c:pt>
                      <c:pt idx="27">
                        <c:v>9.4029562433090135</c:v>
                      </c:pt>
                      <c:pt idx="28">
                        <c:v>9.6760566587594141</c:v>
                      </c:pt>
                      <c:pt idx="29">
                        <c:v>9.9582913203011145</c:v>
                      </c:pt>
                      <c:pt idx="30">
                        <c:v>10.249839359347371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6B10-4762-B2B2-D14F8CD5ECB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'B7 C&amp;M 28Tip'!$A$62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28Tip'!$E$63:$AG$63</c:f>
              <c:numCache>
                <c:formatCode>_ [$₹-4009]\ * #,##0_ ;_ [$₹-4009]\ * \-#,##0_ ;_ [$₹-4009]\ * "-"??_ ;_ @_ </c:formatCode>
                <c:ptCount val="29"/>
                <c:pt idx="0">
                  <c:v>4455800</c:v>
                </c:pt>
                <c:pt idx="1">
                  <c:v>4589500</c:v>
                </c:pt>
                <c:pt idx="2">
                  <c:v>4727200</c:v>
                </c:pt>
                <c:pt idx="3">
                  <c:v>5269000</c:v>
                </c:pt>
                <c:pt idx="4">
                  <c:v>5427100</c:v>
                </c:pt>
                <c:pt idx="5">
                  <c:v>5589900</c:v>
                </c:pt>
                <c:pt idx="6">
                  <c:v>5757600</c:v>
                </c:pt>
                <c:pt idx="7">
                  <c:v>5930300</c:v>
                </c:pt>
                <c:pt idx="8">
                  <c:v>6108200</c:v>
                </c:pt>
                <c:pt idx="9">
                  <c:v>6291400</c:v>
                </c:pt>
                <c:pt idx="10">
                  <c:v>6480100</c:v>
                </c:pt>
                <c:pt idx="11">
                  <c:v>6674500</c:v>
                </c:pt>
                <c:pt idx="12">
                  <c:v>6874700</c:v>
                </c:pt>
                <c:pt idx="13">
                  <c:v>7080900</c:v>
                </c:pt>
                <c:pt idx="14">
                  <c:v>7293300</c:v>
                </c:pt>
                <c:pt idx="15">
                  <c:v>7512100</c:v>
                </c:pt>
                <c:pt idx="16">
                  <c:v>7737500</c:v>
                </c:pt>
                <c:pt idx="17">
                  <c:v>7969600</c:v>
                </c:pt>
                <c:pt idx="18">
                  <c:v>8208700</c:v>
                </c:pt>
                <c:pt idx="19">
                  <c:v>8455000</c:v>
                </c:pt>
                <c:pt idx="20">
                  <c:v>8708700</c:v>
                </c:pt>
                <c:pt idx="21">
                  <c:v>8970000</c:v>
                </c:pt>
                <c:pt idx="22">
                  <c:v>9239100</c:v>
                </c:pt>
                <c:pt idx="23">
                  <c:v>9516300</c:v>
                </c:pt>
                <c:pt idx="24">
                  <c:v>9801800</c:v>
                </c:pt>
                <c:pt idx="25">
                  <c:v>10095900</c:v>
                </c:pt>
                <c:pt idx="26">
                  <c:v>10398800</c:v>
                </c:pt>
                <c:pt idx="27">
                  <c:v>10710800</c:v>
                </c:pt>
                <c:pt idx="28">
                  <c:v>11032100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84E-9694-1340F71BC5DD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0FEE-484E-9694-1340F71BC5DD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0FEE-484E-9694-1340F71BC5DD}"/>
            </c:ext>
          </c:extLst>
        </c:ser>
        <c:ser>
          <c:idx val="3"/>
          <c:order val="3"/>
          <c:tx>
            <c:strRef>
              <c:f>'B7 C&amp;M 28Tip'!$A$130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28Tip'!$C$132:$AG$132</c:f>
              <c:numCache>
                <c:formatCode>_ [$₹-4009]\ * #,##0_ ;_ [$₹-4009]\ * \-#,##0_ ;_ [$₹-4009]\ * "-"??_ ;_ @_ </c:formatCode>
                <c:ptCount val="31"/>
                <c:pt idx="0">
                  <c:v>9813000</c:v>
                </c:pt>
                <c:pt idx="1">
                  <c:v>9768000</c:v>
                </c:pt>
                <c:pt idx="2">
                  <c:v>9732000</c:v>
                </c:pt>
                <c:pt idx="3">
                  <c:v>9510000</c:v>
                </c:pt>
                <c:pt idx="4">
                  <c:v>9307000</c:v>
                </c:pt>
                <c:pt idx="5">
                  <c:v>9321000</c:v>
                </c:pt>
                <c:pt idx="6">
                  <c:v>9182000</c:v>
                </c:pt>
                <c:pt idx="7">
                  <c:v>9239000</c:v>
                </c:pt>
                <c:pt idx="8">
                  <c:v>9304000</c:v>
                </c:pt>
                <c:pt idx="9">
                  <c:v>9374000</c:v>
                </c:pt>
                <c:pt idx="10">
                  <c:v>9452000</c:v>
                </c:pt>
                <c:pt idx="11">
                  <c:v>9537000</c:v>
                </c:pt>
                <c:pt idx="12">
                  <c:v>9628000</c:v>
                </c:pt>
                <c:pt idx="13">
                  <c:v>9727000</c:v>
                </c:pt>
                <c:pt idx="14">
                  <c:v>9833000</c:v>
                </c:pt>
                <c:pt idx="15">
                  <c:v>9946000</c:v>
                </c:pt>
                <c:pt idx="16">
                  <c:v>9982000</c:v>
                </c:pt>
                <c:pt idx="17">
                  <c:v>10177000</c:v>
                </c:pt>
                <c:pt idx="18">
                  <c:v>10378000</c:v>
                </c:pt>
                <c:pt idx="19">
                  <c:v>10587000</c:v>
                </c:pt>
                <c:pt idx="20">
                  <c:v>10802000</c:v>
                </c:pt>
                <c:pt idx="21">
                  <c:v>11024000</c:v>
                </c:pt>
                <c:pt idx="22">
                  <c:v>11254000</c:v>
                </c:pt>
                <c:pt idx="23">
                  <c:v>11491000</c:v>
                </c:pt>
                <c:pt idx="24">
                  <c:v>11736000</c:v>
                </c:pt>
                <c:pt idx="25">
                  <c:v>11989000</c:v>
                </c:pt>
                <c:pt idx="26">
                  <c:v>12290000</c:v>
                </c:pt>
                <c:pt idx="27">
                  <c:v>12601000</c:v>
                </c:pt>
                <c:pt idx="28">
                  <c:v>12920000</c:v>
                </c:pt>
                <c:pt idx="29">
                  <c:v>13248000</c:v>
                </c:pt>
                <c:pt idx="30">
                  <c:v>13585000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EE-484E-9694-1340F71BC5DD}"/>
            </c:ext>
          </c:extLst>
        </c:ser>
        <c:ser>
          <c:idx val="4"/>
          <c:order val="4"/>
          <c:tx>
            <c:strRef>
              <c:f>'B7 C&amp;M 28Tip'!$A$96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28Tip'!$C$98:$AG$98</c:f>
              <c:numCache>
                <c:formatCode>_ [$₹-4009]\ * #,##0_ ;_ [$₹-4009]\ * \-#,##0_ ;_ [$₹-4009]\ * "-"??_ ;_ @_ </c:formatCode>
                <c:ptCount val="31"/>
                <c:pt idx="0">
                  <c:v>4780000</c:v>
                </c:pt>
                <c:pt idx="1">
                  <c:v>4912000</c:v>
                </c:pt>
                <c:pt idx="2">
                  <c:v>5048000</c:v>
                </c:pt>
                <c:pt idx="3">
                  <c:v>5187000</c:v>
                </c:pt>
                <c:pt idx="4">
                  <c:v>5331000</c:v>
                </c:pt>
                <c:pt idx="5">
                  <c:v>5879000</c:v>
                </c:pt>
                <c:pt idx="6">
                  <c:v>6043000</c:v>
                </c:pt>
                <c:pt idx="7">
                  <c:v>6212000</c:v>
                </c:pt>
                <c:pt idx="8">
                  <c:v>6386000</c:v>
                </c:pt>
                <c:pt idx="9">
                  <c:v>6565000</c:v>
                </c:pt>
                <c:pt idx="10">
                  <c:v>6749000</c:v>
                </c:pt>
                <c:pt idx="11">
                  <c:v>6939000</c:v>
                </c:pt>
                <c:pt idx="12">
                  <c:v>7134000</c:v>
                </c:pt>
                <c:pt idx="13">
                  <c:v>7335000</c:v>
                </c:pt>
                <c:pt idx="14">
                  <c:v>7542000</c:v>
                </c:pt>
                <c:pt idx="15">
                  <c:v>7755000</c:v>
                </c:pt>
                <c:pt idx="16">
                  <c:v>7974000</c:v>
                </c:pt>
                <c:pt idx="17">
                  <c:v>8199000</c:v>
                </c:pt>
                <c:pt idx="18">
                  <c:v>8432000</c:v>
                </c:pt>
                <c:pt idx="19">
                  <c:v>8671000</c:v>
                </c:pt>
                <c:pt idx="20">
                  <c:v>8917000</c:v>
                </c:pt>
                <c:pt idx="21">
                  <c:v>9170000</c:v>
                </c:pt>
                <c:pt idx="22">
                  <c:v>9431000</c:v>
                </c:pt>
                <c:pt idx="23">
                  <c:v>9700000</c:v>
                </c:pt>
                <c:pt idx="24">
                  <c:v>9976000</c:v>
                </c:pt>
                <c:pt idx="25">
                  <c:v>10261000</c:v>
                </c:pt>
                <c:pt idx="26">
                  <c:v>10554000</c:v>
                </c:pt>
                <c:pt idx="27">
                  <c:v>10855000</c:v>
                </c:pt>
                <c:pt idx="28">
                  <c:v>11166000</c:v>
                </c:pt>
                <c:pt idx="29">
                  <c:v>11485000</c:v>
                </c:pt>
                <c:pt idx="30">
                  <c:v>11814000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EE-484E-9694-1340F71BC5DD}"/>
            </c:ext>
          </c:extLst>
        </c:ser>
        <c:ser>
          <c:idx val="5"/>
          <c:order val="5"/>
          <c:tx>
            <c:strRef>
              <c:f>'B7 C&amp;M 28Tip'!$A$113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28Tip'!$C$115:$AG$115</c:f>
              <c:numCache>
                <c:formatCode>_ [$₹-4009]\ * #,##0_ ;_ [$₹-4009]\ * \-#,##0_ ;_ [$₹-4009]\ * "-"??_ ;_ @_ </c:formatCode>
                <c:ptCount val="31"/>
                <c:pt idx="0">
                  <c:v>5779000</c:v>
                </c:pt>
                <c:pt idx="1">
                  <c:v>5826000</c:v>
                </c:pt>
                <c:pt idx="2">
                  <c:v>5881000</c:v>
                </c:pt>
                <c:pt idx="3">
                  <c:v>5943000</c:v>
                </c:pt>
                <c:pt idx="4">
                  <c:v>6013000</c:v>
                </c:pt>
                <c:pt idx="5">
                  <c:v>6491000</c:v>
                </c:pt>
                <c:pt idx="6">
                  <c:v>6600000</c:v>
                </c:pt>
                <c:pt idx="7">
                  <c:v>6716000</c:v>
                </c:pt>
                <c:pt idx="8">
                  <c:v>6839000</c:v>
                </c:pt>
                <c:pt idx="9">
                  <c:v>6968000</c:v>
                </c:pt>
                <c:pt idx="10">
                  <c:v>7105000</c:v>
                </c:pt>
                <c:pt idx="11">
                  <c:v>7248000</c:v>
                </c:pt>
                <c:pt idx="12">
                  <c:v>7398000</c:v>
                </c:pt>
                <c:pt idx="13">
                  <c:v>7556000</c:v>
                </c:pt>
                <c:pt idx="14">
                  <c:v>7721000</c:v>
                </c:pt>
                <c:pt idx="15">
                  <c:v>7893000</c:v>
                </c:pt>
                <c:pt idx="16">
                  <c:v>8114000</c:v>
                </c:pt>
                <c:pt idx="17">
                  <c:v>8341000</c:v>
                </c:pt>
                <c:pt idx="18">
                  <c:v>8575000</c:v>
                </c:pt>
                <c:pt idx="19">
                  <c:v>8815000</c:v>
                </c:pt>
                <c:pt idx="20">
                  <c:v>9063000</c:v>
                </c:pt>
                <c:pt idx="21">
                  <c:v>9317000</c:v>
                </c:pt>
                <c:pt idx="22">
                  <c:v>9580000</c:v>
                </c:pt>
                <c:pt idx="23">
                  <c:v>9850000</c:v>
                </c:pt>
                <c:pt idx="24">
                  <c:v>10128000</c:v>
                </c:pt>
                <c:pt idx="25">
                  <c:v>10414000</c:v>
                </c:pt>
                <c:pt idx="26">
                  <c:v>10708000</c:v>
                </c:pt>
                <c:pt idx="27">
                  <c:v>11011000</c:v>
                </c:pt>
                <c:pt idx="28">
                  <c:v>11323000</c:v>
                </c:pt>
                <c:pt idx="29">
                  <c:v>11645000</c:v>
                </c:pt>
                <c:pt idx="30">
                  <c:v>11975000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EE-484E-9694-1340F71BC5DD}"/>
            </c:ext>
          </c:extLst>
        </c:ser>
        <c:ser>
          <c:idx val="6"/>
          <c:order val="6"/>
          <c:tx>
            <c:strRef>
              <c:f>'B7 C&amp;M 28Tip'!$A$147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28Tip'!$C$149:$AG$149</c:f>
              <c:numCache>
                <c:formatCode>_ [$₹-4009]\ * #,##0_ ;_ [$₹-4009]\ * \-#,##0_ ;_ [$₹-4009]\ * "-"??_ ;_ @_ </c:formatCode>
                <c:ptCount val="31"/>
                <c:pt idx="0">
                  <c:v>12511000</c:v>
                </c:pt>
                <c:pt idx="1">
                  <c:v>12315000</c:v>
                </c:pt>
                <c:pt idx="2">
                  <c:v>12133000</c:v>
                </c:pt>
                <c:pt idx="3">
                  <c:v>11966000</c:v>
                </c:pt>
                <c:pt idx="4">
                  <c:v>11814000</c:v>
                </c:pt>
                <c:pt idx="5">
                  <c:v>11876000</c:v>
                </c:pt>
                <c:pt idx="6">
                  <c:v>11819000</c:v>
                </c:pt>
                <c:pt idx="7">
                  <c:v>11778000</c:v>
                </c:pt>
                <c:pt idx="8">
                  <c:v>11748000</c:v>
                </c:pt>
                <c:pt idx="9">
                  <c:v>11728000</c:v>
                </c:pt>
                <c:pt idx="10">
                  <c:v>11718000</c:v>
                </c:pt>
                <c:pt idx="11">
                  <c:v>11718000</c:v>
                </c:pt>
                <c:pt idx="12">
                  <c:v>11728000</c:v>
                </c:pt>
                <c:pt idx="13">
                  <c:v>11748000</c:v>
                </c:pt>
                <c:pt idx="14">
                  <c:v>11779000</c:v>
                </c:pt>
                <c:pt idx="15">
                  <c:v>11819000</c:v>
                </c:pt>
                <c:pt idx="16">
                  <c:v>11804000</c:v>
                </c:pt>
                <c:pt idx="17">
                  <c:v>11976000</c:v>
                </c:pt>
                <c:pt idx="18">
                  <c:v>12155000</c:v>
                </c:pt>
                <c:pt idx="19">
                  <c:v>12341000</c:v>
                </c:pt>
                <c:pt idx="20">
                  <c:v>12535000</c:v>
                </c:pt>
                <c:pt idx="21">
                  <c:v>12567000</c:v>
                </c:pt>
                <c:pt idx="22">
                  <c:v>12779000</c:v>
                </c:pt>
                <c:pt idx="23">
                  <c:v>12999000</c:v>
                </c:pt>
                <c:pt idx="24">
                  <c:v>13228000</c:v>
                </c:pt>
                <c:pt idx="25">
                  <c:v>13465000</c:v>
                </c:pt>
                <c:pt idx="26">
                  <c:v>13614000</c:v>
                </c:pt>
                <c:pt idx="27">
                  <c:v>13937000</c:v>
                </c:pt>
                <c:pt idx="28">
                  <c:v>14269000</c:v>
                </c:pt>
                <c:pt idx="29">
                  <c:v>14611000</c:v>
                </c:pt>
                <c:pt idx="30">
                  <c:v>14962000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EE-484E-9694-1340F71BC5DD}"/>
            </c:ext>
          </c:extLst>
        </c:ser>
        <c:ser>
          <c:idx val="7"/>
          <c:order val="7"/>
          <c:tx>
            <c:strRef>
              <c:f>'B7 C&amp;M 28Tip'!$A$79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 C&amp;M 28Tip'!$C$80:$AG$80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'B7 C&amp;M 28Tip'!$C$81:$AG$81</c:f>
              <c:numCache>
                <c:formatCode>_ [$₹-4009]\ * #,##0_ ;_ [$₹-4009]\ * \-#,##0_ ;_ [$₹-4009]\ * "-"??_ ;_ @_ </c:formatCode>
                <c:ptCount val="31"/>
                <c:pt idx="0">
                  <c:v>4450000</c:v>
                </c:pt>
                <c:pt idx="1">
                  <c:v>4583500</c:v>
                </c:pt>
                <c:pt idx="2">
                  <c:v>4721005</c:v>
                </c:pt>
                <c:pt idx="3">
                  <c:v>4862635.1500000004</c:v>
                </c:pt>
                <c:pt idx="4">
                  <c:v>5008514.2045000009</c:v>
                </c:pt>
                <c:pt idx="5">
                  <c:v>5558769.6306350008</c:v>
                </c:pt>
                <c:pt idx="6">
                  <c:v>5725532.7195540508</c:v>
                </c:pt>
                <c:pt idx="7">
                  <c:v>5897298.7011406729</c:v>
                </c:pt>
                <c:pt idx="8">
                  <c:v>6074217.6621748935</c:v>
                </c:pt>
                <c:pt idx="9">
                  <c:v>6256444.1920401407</c:v>
                </c:pt>
                <c:pt idx="10">
                  <c:v>6444137.5178013453</c:v>
                </c:pt>
                <c:pt idx="11">
                  <c:v>6637461.6433353862</c:v>
                </c:pt>
                <c:pt idx="12">
                  <c:v>6836585.4926354475</c:v>
                </c:pt>
                <c:pt idx="13">
                  <c:v>7041683.0574145112</c:v>
                </c:pt>
                <c:pt idx="14">
                  <c:v>7252933.5491369469</c:v>
                </c:pt>
                <c:pt idx="15">
                  <c:v>7470521.5556110553</c:v>
                </c:pt>
                <c:pt idx="16">
                  <c:v>7694637.202279387</c:v>
                </c:pt>
                <c:pt idx="17">
                  <c:v>7925476.3183477689</c:v>
                </c:pt>
                <c:pt idx="18">
                  <c:v>8163240.6078982018</c:v>
                </c:pt>
                <c:pt idx="19">
                  <c:v>8408137.8261351474</c:v>
                </c:pt>
                <c:pt idx="20">
                  <c:v>8660381.9609192014</c:v>
                </c:pt>
                <c:pt idx="21">
                  <c:v>8920193.419746777</c:v>
                </c:pt>
                <c:pt idx="22">
                  <c:v>9187799.2223391812</c:v>
                </c:pt>
                <c:pt idx="23">
                  <c:v>9463433.199009357</c:v>
                </c:pt>
                <c:pt idx="24">
                  <c:v>9747336.1949796379</c:v>
                </c:pt>
                <c:pt idx="25">
                  <c:v>10039756.280829027</c:v>
                </c:pt>
                <c:pt idx="26">
                  <c:v>10340948.969253898</c:v>
                </c:pt>
                <c:pt idx="27">
                  <c:v>10651177.438331515</c:v>
                </c:pt>
                <c:pt idx="28">
                  <c:v>10970712.76148146</c:v>
                </c:pt>
                <c:pt idx="29">
                  <c:v>11299834.144325905</c:v>
                </c:pt>
                <c:pt idx="30">
                  <c:v>11638829.168655682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EE-484E-9694-1340F71B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'B8 C&amp;M 35Tip'!$A$165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'B8 C&amp;M 35Tip'!$C$164:$AB$164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'B8 C&amp;M 35Tip'!$C$165:$AB$165</c:f>
              <c:numCache>
                <c:formatCode>_ [$₹-4009]\ * #,##0.00_ ;_ [$₹-4009]\ * \-#,##0.00_ ;_ [$₹-4009]\ * "-"??_ ;_ @_ </c:formatCode>
                <c:ptCount val="26"/>
                <c:pt idx="0">
                  <c:v>71.417855348874852</c:v>
                </c:pt>
                <c:pt idx="1">
                  <c:v>76.082493631112541</c:v>
                </c:pt>
                <c:pt idx="2">
                  <c:v>78.095532826774175</c:v>
                </c:pt>
                <c:pt idx="3">
                  <c:v>80.169378764827172</c:v>
                </c:pt>
                <c:pt idx="4">
                  <c:v>82.305336269715042</c:v>
                </c:pt>
                <c:pt idx="5">
                  <c:v>85.672962734655599</c:v>
                </c:pt>
                <c:pt idx="6">
                  <c:v>87.97224466959544</c:v>
                </c:pt>
                <c:pt idx="7">
                  <c:v>90.339226589723111</c:v>
                </c:pt>
                <c:pt idx="8">
                  <c:v>92.790241139679452</c:v>
                </c:pt>
                <c:pt idx="9">
                  <c:v>95.312191272984194</c:v>
                </c:pt>
                <c:pt idx="10">
                  <c:v>97.921783490411528</c:v>
                </c:pt>
                <c:pt idx="11">
                  <c:v>101.36271819305615</c:v>
                </c:pt>
                <c:pt idx="12">
                  <c:v>104.16078725788569</c:v>
                </c:pt>
                <c:pt idx="13">
                  <c:v>107.03774787175196</c:v>
                </c:pt>
                <c:pt idx="14">
                  <c:v>110.01051036821254</c:v>
                </c:pt>
                <c:pt idx="15">
                  <c:v>113.08115408631508</c:v>
                </c:pt>
                <c:pt idx="16">
                  <c:v>116.2518101826751</c:v>
                </c:pt>
                <c:pt idx="17">
                  <c:v>119.52466356278121</c:v>
                </c:pt>
                <c:pt idx="18">
                  <c:v>122.90195488671762</c:v>
                </c:pt>
                <c:pt idx="19">
                  <c:v>126.38628533592839</c:v>
                </c:pt>
                <c:pt idx="20">
                  <c:v>129.9800134092358</c:v>
                </c:pt>
                <c:pt idx="21">
                  <c:v>134.70293868003299</c:v>
                </c:pt>
                <c:pt idx="22">
                  <c:v>138.56818635793755</c:v>
                </c:pt>
                <c:pt idx="23">
                  <c:v>142.55182018222322</c:v>
                </c:pt>
                <c:pt idx="24">
                  <c:v>146.67105090878792</c:v>
                </c:pt>
                <c:pt idx="25">
                  <c:v>150.92922041873328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D-4B85-81EA-5AEE5E41F344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'B8 C&amp;M 35Tip'!$C$164:$AB$164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D-4B85-81EA-5AEE5E41F344}"/>
            </c:ext>
          </c:extLst>
        </c:ser>
        <c:ser>
          <c:idx val="4"/>
          <c:order val="2"/>
          <c:tx>
            <c:strRef>
              <c:f>'B8 C&amp;M 35Tip'!$A$168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'B8 C&amp;M 35Tip'!$C$164:$AB$164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'B8 C&amp;M 35Tip'!$C$168:$AB$168</c:f>
              <c:numCache>
                <c:formatCode>_ [$₹-4009]\ * #,##0.00_ ;_ [$₹-4009]\ * \-#,##0.00_ ;_ [$₹-4009]\ * "-"??_ ;_ @_ </c:formatCode>
                <c:ptCount val="26"/>
                <c:pt idx="0">
                  <c:v>83.294787021148849</c:v>
                </c:pt>
                <c:pt idx="1">
                  <c:v>84.019562451602027</c:v>
                </c:pt>
                <c:pt idx="2">
                  <c:v>84.684386143889398</c:v>
                </c:pt>
                <c:pt idx="3">
                  <c:v>84.593176007069758</c:v>
                </c:pt>
                <c:pt idx="4">
                  <c:v>84.463244640132402</c:v>
                </c:pt>
                <c:pt idx="5">
                  <c:v>85.375562804758772</c:v>
                </c:pt>
                <c:pt idx="6">
                  <c:v>83.446729472201696</c:v>
                </c:pt>
                <c:pt idx="7">
                  <c:v>84.185724897501615</c:v>
                </c:pt>
                <c:pt idx="8">
                  <c:v>84.729908733202095</c:v>
                </c:pt>
                <c:pt idx="9">
                  <c:v>85.449351352652954</c:v>
                </c:pt>
                <c:pt idx="10">
                  <c:v>86.336435566862335</c:v>
                </c:pt>
                <c:pt idx="11">
                  <c:v>85.281736178224435</c:v>
                </c:pt>
                <c:pt idx="12">
                  <c:v>86.581462605650884</c:v>
                </c:pt>
                <c:pt idx="13">
                  <c:v>87.918177226064486</c:v>
                </c:pt>
                <c:pt idx="14">
                  <c:v>89.385661464517042</c:v>
                </c:pt>
                <c:pt idx="15">
                  <c:v>90.999082726680072</c:v>
                </c:pt>
                <c:pt idx="16">
                  <c:v>92.489453886465412</c:v>
                </c:pt>
                <c:pt idx="17">
                  <c:v>94.644363099300335</c:v>
                </c:pt>
                <c:pt idx="18">
                  <c:v>96.832192910963897</c:v>
                </c:pt>
                <c:pt idx="19">
                  <c:v>99.12732469255053</c:v>
                </c:pt>
                <c:pt idx="20">
                  <c:v>101.51420233004399</c:v>
                </c:pt>
                <c:pt idx="21">
                  <c:v>102.68638477228453</c:v>
                </c:pt>
                <c:pt idx="22">
                  <c:v>105.2464626867752</c:v>
                </c:pt>
                <c:pt idx="23">
                  <c:v>107.91636699981299</c:v>
                </c:pt>
                <c:pt idx="24">
                  <c:v>110.70505994263382</c:v>
                </c:pt>
                <c:pt idx="25">
                  <c:v>113.60631645408054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D-4B85-81EA-5AEE5E41F344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D6D-4B85-81EA-5AEE5E41F344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8D6D-4B85-81EA-5AEE5E41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'B8 C&amp;M 35Tip'!$A$192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'B8 C&amp;M 35Tip'!$C$164:$AB$164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'B8 C&amp;M 35Tip'!$C$192:$AB$192</c:f>
              <c:numCache>
                <c:formatCode>0%</c:formatCode>
                <c:ptCount val="26"/>
                <c:pt idx="0">
                  <c:v>0.85741086450874293</c:v>
                </c:pt>
                <c:pt idx="1">
                  <c:v>0.90553308552324951</c:v>
                </c:pt>
                <c:pt idx="2">
                  <c:v>0.92219518122360911</c:v>
                </c:pt>
                <c:pt idx="3">
                  <c:v>0.94770503424681829</c:v>
                </c:pt>
                <c:pt idx="4">
                  <c:v>0.97445150988916618</c:v>
                </c:pt>
                <c:pt idx="5">
                  <c:v>1.0034834315596481</c:v>
                </c:pt>
                <c:pt idx="6">
                  <c:v>1.0542323854513833</c:v>
                </c:pt>
                <c:pt idx="7">
                  <c:v>1.0730943601152518</c:v>
                </c:pt>
                <c:pt idx="8">
                  <c:v>1.0951297189739431</c:v>
                </c:pt>
                <c:pt idx="9">
                  <c:v>1.1154232274932889</c:v>
                </c:pt>
                <c:pt idx="10">
                  <c:v>1.1341883973722431</c:v>
                </c:pt>
                <c:pt idx="11">
                  <c:v>1.1885630234031022</c:v>
                </c:pt>
                <c:pt idx="12">
                  <c:v>1.2030379728314669</c:v>
                </c:pt>
                <c:pt idx="13">
                  <c:v>1.2174700528256541</c:v>
                </c:pt>
                <c:pt idx="14">
                  <c:v>1.2307400154093264</c:v>
                </c:pt>
                <c:pt idx="15">
                  <c:v>1.2426625708520549</c:v>
                </c:pt>
                <c:pt idx="16">
                  <c:v>1.2569196302681056</c:v>
                </c:pt>
                <c:pt idx="17">
                  <c:v>1.2628820105997924</c:v>
                </c:pt>
                <c:pt idx="18">
                  <c:v>1.2692261859619824</c:v>
                </c:pt>
                <c:pt idx="19">
                  <c:v>1.2749893707706044</c:v>
                </c:pt>
                <c:pt idx="20">
                  <c:v>1.2804121041767484</c:v>
                </c:pt>
                <c:pt idx="21">
                  <c:v>1.3117896688908446</c:v>
                </c:pt>
                <c:pt idx="22">
                  <c:v>1.3166065900982475</c:v>
                </c:pt>
                <c:pt idx="23">
                  <c:v>1.3209471755333484</c:v>
                </c:pt>
                <c:pt idx="24">
                  <c:v>1.32488118415537</c:v>
                </c:pt>
                <c:pt idx="25">
                  <c:v>1.3285284227989083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F-4C81-9F59-0FC2311E294E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'B8 C&amp;M 35Tip'!$C$164:$AB$164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F-4C81-9F59-0FC2311E294E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E9CF-4C81-9F59-0FC2311E294E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9CF-4C81-9F59-0FC2311E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'B8 C&amp;M 35Tip'!$A$165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35Tip'!$C$165:$AG$165</c:f>
              <c:numCache>
                <c:formatCode>_ [$₹-4009]\ * #,##0.00_ ;_ [$₹-4009]\ * \-#,##0.00_ ;_ [$₹-4009]\ * "-"??_ ;_ @_ </c:formatCode>
                <c:ptCount val="31"/>
                <c:pt idx="0">
                  <c:v>71.417855348874852</c:v>
                </c:pt>
                <c:pt idx="1">
                  <c:v>76.082493631112541</c:v>
                </c:pt>
                <c:pt idx="2">
                  <c:v>78.095532826774175</c:v>
                </c:pt>
                <c:pt idx="3">
                  <c:v>80.169378764827172</c:v>
                </c:pt>
                <c:pt idx="4">
                  <c:v>82.305336269715042</c:v>
                </c:pt>
                <c:pt idx="5">
                  <c:v>85.672962734655599</c:v>
                </c:pt>
                <c:pt idx="6">
                  <c:v>87.97224466959544</c:v>
                </c:pt>
                <c:pt idx="7">
                  <c:v>90.339226589723111</c:v>
                </c:pt>
                <c:pt idx="8">
                  <c:v>92.790241139679452</c:v>
                </c:pt>
                <c:pt idx="9">
                  <c:v>95.312191272984194</c:v>
                </c:pt>
                <c:pt idx="10">
                  <c:v>97.921783490411528</c:v>
                </c:pt>
                <c:pt idx="11">
                  <c:v>101.36271819305615</c:v>
                </c:pt>
                <c:pt idx="12">
                  <c:v>104.16078725788569</c:v>
                </c:pt>
                <c:pt idx="13">
                  <c:v>107.03774787175196</c:v>
                </c:pt>
                <c:pt idx="14">
                  <c:v>110.01051036821254</c:v>
                </c:pt>
                <c:pt idx="15">
                  <c:v>113.08115408631508</c:v>
                </c:pt>
                <c:pt idx="16">
                  <c:v>116.2518101826751</c:v>
                </c:pt>
                <c:pt idx="17">
                  <c:v>119.52466356278121</c:v>
                </c:pt>
                <c:pt idx="18">
                  <c:v>122.90195488671762</c:v>
                </c:pt>
                <c:pt idx="19">
                  <c:v>126.38628533592839</c:v>
                </c:pt>
                <c:pt idx="20">
                  <c:v>129.9800134092358</c:v>
                </c:pt>
                <c:pt idx="21">
                  <c:v>134.70293868003299</c:v>
                </c:pt>
                <c:pt idx="22">
                  <c:v>138.56818635793755</c:v>
                </c:pt>
                <c:pt idx="23">
                  <c:v>142.55182018222322</c:v>
                </c:pt>
                <c:pt idx="24">
                  <c:v>146.67105090878792</c:v>
                </c:pt>
                <c:pt idx="25">
                  <c:v>150.92922041873328</c:v>
                </c:pt>
                <c:pt idx="26">
                  <c:v>155.32911882242729</c:v>
                </c:pt>
                <c:pt idx="27">
                  <c:v>159.87392722010878</c:v>
                </c:pt>
                <c:pt idx="28">
                  <c:v>164.56690732006723</c:v>
                </c:pt>
                <c:pt idx="29">
                  <c:v>169.41140448349168</c:v>
                </c:pt>
                <c:pt idx="30">
                  <c:v>174.42573183988884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3-4C09-8C60-DBB83A0A513A}"/>
            </c:ext>
          </c:extLst>
        </c:ser>
        <c:ser>
          <c:idx val="4"/>
          <c:order val="1"/>
          <c:tx>
            <c:strRef>
              <c:f>'B8 C&amp;M 35Tip'!$A$168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2E3-4C09-8C60-DBB83A0A513A}"/>
              </c:ext>
            </c:extLst>
          </c:dPt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35Tip'!$C$168:$AG$168</c:f>
              <c:numCache>
                <c:formatCode>_ [$₹-4009]\ * #,##0.00_ ;_ [$₹-4009]\ * \-#,##0.00_ ;_ [$₹-4009]\ * "-"??_ ;_ @_ </c:formatCode>
                <c:ptCount val="31"/>
                <c:pt idx="0">
                  <c:v>83.294787021148849</c:v>
                </c:pt>
                <c:pt idx="1">
                  <c:v>84.019562451602027</c:v>
                </c:pt>
                <c:pt idx="2">
                  <c:v>84.684386143889398</c:v>
                </c:pt>
                <c:pt idx="3">
                  <c:v>84.593176007069758</c:v>
                </c:pt>
                <c:pt idx="4">
                  <c:v>84.463244640132402</c:v>
                </c:pt>
                <c:pt idx="5">
                  <c:v>85.375562804758772</c:v>
                </c:pt>
                <c:pt idx="6">
                  <c:v>83.446729472201696</c:v>
                </c:pt>
                <c:pt idx="7">
                  <c:v>84.185724897501615</c:v>
                </c:pt>
                <c:pt idx="8">
                  <c:v>84.729908733202095</c:v>
                </c:pt>
                <c:pt idx="9">
                  <c:v>85.449351352652954</c:v>
                </c:pt>
                <c:pt idx="10">
                  <c:v>86.336435566862335</c:v>
                </c:pt>
                <c:pt idx="11">
                  <c:v>85.281736178224435</c:v>
                </c:pt>
                <c:pt idx="12">
                  <c:v>86.581462605650884</c:v>
                </c:pt>
                <c:pt idx="13">
                  <c:v>87.918177226064486</c:v>
                </c:pt>
                <c:pt idx="14">
                  <c:v>89.385661464517042</c:v>
                </c:pt>
                <c:pt idx="15">
                  <c:v>90.999082726680072</c:v>
                </c:pt>
                <c:pt idx="16">
                  <c:v>92.489453886465412</c:v>
                </c:pt>
                <c:pt idx="17">
                  <c:v>94.644363099300335</c:v>
                </c:pt>
                <c:pt idx="18">
                  <c:v>96.832192910963897</c:v>
                </c:pt>
                <c:pt idx="19">
                  <c:v>99.12732469255053</c:v>
                </c:pt>
                <c:pt idx="20">
                  <c:v>101.51420233004399</c:v>
                </c:pt>
                <c:pt idx="21">
                  <c:v>102.68638477228453</c:v>
                </c:pt>
                <c:pt idx="22">
                  <c:v>105.2464626867752</c:v>
                </c:pt>
                <c:pt idx="23">
                  <c:v>107.91636699981299</c:v>
                </c:pt>
                <c:pt idx="24">
                  <c:v>110.70505994263382</c:v>
                </c:pt>
                <c:pt idx="25">
                  <c:v>113.60631645408054</c:v>
                </c:pt>
                <c:pt idx="26">
                  <c:v>117.08554840757515</c:v>
                </c:pt>
                <c:pt idx="27">
                  <c:v>120.75187492715187</c:v>
                </c:pt>
                <c:pt idx="28">
                  <c:v>124.55655132454741</c:v>
                </c:pt>
                <c:pt idx="29">
                  <c:v>128.4978764258631</c:v>
                </c:pt>
                <c:pt idx="30">
                  <c:v>132.59473712385125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3-4C09-8C60-DBB83A0A513A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2E3-4C09-8C60-DBB83A0A513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52E3-4C09-8C60-DBB83A0A513A}"/>
            </c:ext>
          </c:extLst>
        </c:ser>
        <c:ser>
          <c:idx val="2"/>
          <c:order val="5"/>
          <c:tx>
            <c:strRef>
              <c:f>'B8 C&amp;M 35Tip'!$A$169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35Tip'!$C$169:$AG$169</c:f>
              <c:numCache>
                <c:formatCode>_ [$₹-4009]\ * #,##0.00_ ;_ [$₹-4009]\ * \-#,##0.00_ ;_ [$₹-4009]\ * "-"??_ ;_ @_ </c:formatCode>
                <c:ptCount val="31"/>
                <c:pt idx="0">
                  <c:v>128.17141637160884</c:v>
                </c:pt>
                <c:pt idx="1">
                  <c:v>128.52079626780034</c:v>
                </c:pt>
                <c:pt idx="2">
                  <c:v>129.00757969296384</c:v>
                </c:pt>
                <c:pt idx="3">
                  <c:v>129.6243697918076</c:v>
                </c:pt>
                <c:pt idx="4">
                  <c:v>130.3768364608456</c:v>
                </c:pt>
                <c:pt idx="5">
                  <c:v>132.55680785984524</c:v>
                </c:pt>
                <c:pt idx="6">
                  <c:v>129.44267948084394</c:v>
                </c:pt>
                <c:pt idx="7">
                  <c:v>128.56635037879138</c:v>
                </c:pt>
                <c:pt idx="8">
                  <c:v>127.85013407855918</c:v>
                </c:pt>
                <c:pt idx="9">
                  <c:v>127.27380607437689</c:v>
                </c:pt>
                <c:pt idx="10">
                  <c:v>126.85354557706758</c:v>
                </c:pt>
                <c:pt idx="11">
                  <c:v>125.71081897945136</c:v>
                </c:pt>
                <c:pt idx="12">
                  <c:v>125.56391333314119</c:v>
                </c:pt>
                <c:pt idx="13">
                  <c:v>125.54932580669902</c:v>
                </c:pt>
                <c:pt idx="14">
                  <c:v>125.6868765738173</c:v>
                </c:pt>
                <c:pt idx="15">
                  <c:v>125.96911793632992</c:v>
                </c:pt>
                <c:pt idx="16">
                  <c:v>124.22255605801273</c:v>
                </c:pt>
                <c:pt idx="17">
                  <c:v>125.26136065812128</c:v>
                </c:pt>
                <c:pt idx="18">
                  <c:v>126.43689555717138</c:v>
                </c:pt>
                <c:pt idx="19">
                  <c:v>127.75151464492265</c:v>
                </c:pt>
                <c:pt idx="20">
                  <c:v>129.2077268949501</c:v>
                </c:pt>
                <c:pt idx="21">
                  <c:v>129.68973822187837</c:v>
                </c:pt>
                <c:pt idx="22">
                  <c:v>131.40502393671508</c:v>
                </c:pt>
                <c:pt idx="23">
                  <c:v>133.25695266881746</c:v>
                </c:pt>
                <c:pt idx="24">
                  <c:v>135.2664320959278</c:v>
                </c:pt>
                <c:pt idx="25">
                  <c:v>137.42752667130225</c:v>
                </c:pt>
                <c:pt idx="26">
                  <c:v>139.47961443646341</c:v>
                </c:pt>
                <c:pt idx="27">
                  <c:v>143.07348860370638</c:v>
                </c:pt>
                <c:pt idx="28">
                  <c:v>146.83736413861718</c:v>
                </c:pt>
                <c:pt idx="29">
                  <c:v>150.77560408214683</c:v>
                </c:pt>
                <c:pt idx="30">
                  <c:v>154.90154692698175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E3-4C09-8C60-DBB83A0A513A}"/>
            </c:ext>
          </c:extLst>
        </c:ser>
        <c:ser>
          <c:idx val="6"/>
          <c:order val="6"/>
          <c:tx>
            <c:strRef>
              <c:f>'B8 C&amp;M 35Tip'!$A$170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35Tip'!$C$170:$AG$170</c:f>
              <c:numCache>
                <c:formatCode>_ [$₹-4009]\ * #,##0.00_ ;_ [$₹-4009]\ * \-#,##0.00_ ;_ [$₹-4009]\ * "-"??_ ;_ @_ </c:formatCode>
                <c:ptCount val="31"/>
                <c:pt idx="0">
                  <c:v>135.2103980286798</c:v>
                </c:pt>
                <c:pt idx="1">
                  <c:v>134.66517722248136</c:v>
                </c:pt>
                <c:pt idx="2">
                  <c:v>134.25917555886292</c:v>
                </c:pt>
                <c:pt idx="3">
                  <c:v>133.99157690074122</c:v>
                </c:pt>
                <c:pt idx="4">
                  <c:v>133.87652825569086</c:v>
                </c:pt>
                <c:pt idx="5">
                  <c:v>134.588897192188</c:v>
                </c:pt>
                <c:pt idx="6">
                  <c:v>131.8473120065029</c:v>
                </c:pt>
                <c:pt idx="7">
                  <c:v>130.84171342873597</c:v>
                </c:pt>
                <c:pt idx="8">
                  <c:v>129.97146723367538</c:v>
                </c:pt>
                <c:pt idx="9">
                  <c:v>129.24288079934658</c:v>
                </c:pt>
                <c:pt idx="10">
                  <c:v>128.64297639043957</c:v>
                </c:pt>
                <c:pt idx="11">
                  <c:v>125.54404730918968</c:v>
                </c:pt>
                <c:pt idx="12">
                  <c:v>125.21683523261873</c:v>
                </c:pt>
                <c:pt idx="13">
                  <c:v>125.03013485118488</c:v>
                </c:pt>
                <c:pt idx="14">
                  <c:v>124.9763722256813</c:v>
                </c:pt>
                <c:pt idx="15">
                  <c:v>125.06103829289385</c:v>
                </c:pt>
                <c:pt idx="16">
                  <c:v>123.37202176390993</c:v>
                </c:pt>
                <c:pt idx="17">
                  <c:v>124.37068582874767</c:v>
                </c:pt>
                <c:pt idx="18">
                  <c:v>125.48413694811285</c:v>
                </c:pt>
                <c:pt idx="19">
                  <c:v>126.73630578739409</c:v>
                </c:pt>
                <c:pt idx="20">
                  <c:v>128.10527706515393</c:v>
                </c:pt>
                <c:pt idx="21">
                  <c:v>127.61643511561002</c:v>
                </c:pt>
                <c:pt idx="22">
                  <c:v>129.21666322469852</c:v>
                </c:pt>
                <c:pt idx="23">
                  <c:v>130.95298271527298</c:v>
                </c:pt>
                <c:pt idx="24">
                  <c:v>132.82213852169909</c:v>
                </c:pt>
                <c:pt idx="25">
                  <c:v>134.82724668268128</c:v>
                </c:pt>
                <c:pt idx="26">
                  <c:v>136.54422434809777</c:v>
                </c:pt>
                <c:pt idx="27">
                  <c:v>139.95825128220841</c:v>
                </c:pt>
                <c:pt idx="28">
                  <c:v>143.53202559129565</c:v>
                </c:pt>
                <c:pt idx="29">
                  <c:v>147.25155239834777</c:v>
                </c:pt>
                <c:pt idx="30">
                  <c:v>151.13583815704507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E3-4C09-8C60-DBB83A0A513A}"/>
            </c:ext>
          </c:extLst>
        </c:ser>
        <c:ser>
          <c:idx val="7"/>
          <c:order val="7"/>
          <c:tx>
            <c:strRef>
              <c:f>'B8 C&amp;M 35Tip'!$A$96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35Tip'!$C$167:$AG$167</c:f>
              <c:numCache>
                <c:formatCode>_ [$₹-4009]\ * #,##0.00_ ;_ [$₹-4009]\ * \-#,##0.00_ ;_ [$₹-4009]\ * "-"??_ ;_ @_ </c:formatCode>
                <c:ptCount val="31"/>
                <c:pt idx="0">
                  <c:v>70.39905310205711</c:v>
                </c:pt>
                <c:pt idx="1">
                  <c:v>72.704082500756257</c:v>
                </c:pt>
                <c:pt idx="2">
                  <c:v>74.919706329094026</c:v>
                </c:pt>
                <c:pt idx="3">
                  <c:v>77.210141137030007</c:v>
                </c:pt>
                <c:pt idx="4">
                  <c:v>79.573876488765919</c:v>
                </c:pt>
                <c:pt idx="5">
                  <c:v>83.229270190392555</c:v>
                </c:pt>
                <c:pt idx="6">
                  <c:v>85.786745074044418</c:v>
                </c:pt>
                <c:pt idx="7">
                  <c:v>88.425421616355493</c:v>
                </c:pt>
                <c:pt idx="8">
                  <c:v>91.16494725271167</c:v>
                </c:pt>
                <c:pt idx="9">
                  <c:v>93.992241564086669</c:v>
                </c:pt>
                <c:pt idx="10">
                  <c:v>96.924049103526002</c:v>
                </c:pt>
                <c:pt idx="11">
                  <c:v>100.77017757367796</c:v>
                </c:pt>
                <c:pt idx="12">
                  <c:v>103.92850255137699</c:v>
                </c:pt>
                <c:pt idx="13">
                  <c:v>107.179956646748</c:v>
                </c:pt>
                <c:pt idx="14">
                  <c:v>110.55095950647269</c:v>
                </c:pt>
                <c:pt idx="15">
                  <c:v>114.03745939834566</c:v>
                </c:pt>
                <c:pt idx="16">
                  <c:v>117.64488190426061</c:v>
                </c:pt>
                <c:pt idx="17">
                  <c:v>121.37560020500797</c:v>
                </c:pt>
                <c:pt idx="18">
                  <c:v>125.23520424527599</c:v>
                </c:pt>
                <c:pt idx="19">
                  <c:v>129.22623748695199</c:v>
                </c:pt>
                <c:pt idx="20">
                  <c:v>133.35133316171292</c:v>
                </c:pt>
                <c:pt idx="21">
                  <c:v>138.70664863118509</c:v>
                </c:pt>
                <c:pt idx="22">
                  <c:v>143.15427520621651</c:v>
                </c:pt>
                <c:pt idx="23">
                  <c:v>147.74852526676048</c:v>
                </c:pt>
                <c:pt idx="24">
                  <c:v>152.5073056652889</c:v>
                </c:pt>
                <c:pt idx="25">
                  <c:v>157.43374949528058</c:v>
                </c:pt>
                <c:pt idx="26">
                  <c:v>162.53434034443487</c:v>
                </c:pt>
                <c:pt idx="27">
                  <c:v>167.80919805008548</c:v>
                </c:pt>
                <c:pt idx="28">
                  <c:v>173.26827997963235</c:v>
                </c:pt>
                <c:pt idx="29">
                  <c:v>178.91194882182927</c:v>
                </c:pt>
                <c:pt idx="30">
                  <c:v>184.75881571097264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2E3-4C09-8C60-DBB83A0A513A}"/>
            </c:ext>
          </c:extLst>
        </c:ser>
        <c:ser>
          <c:idx val="8"/>
          <c:order val="8"/>
          <c:tx>
            <c:strRef>
              <c:f>'B8 C&amp;M 35Tip'!$A$79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35Tip'!$C$166:$AG$166</c:f>
              <c:numCache>
                <c:formatCode>_ [$₹-4009]\ * #,##0.00_ ;_ [$₹-4009]\ * \-#,##0.00_ ;_ [$₹-4009]\ * "-"??_ ;_ @_ </c:formatCode>
                <c:ptCount val="31"/>
                <c:pt idx="0">
                  <c:v>69.813503325072645</c:v>
                </c:pt>
                <c:pt idx="1">
                  <c:v>72.561581043872437</c:v>
                </c:pt>
                <c:pt idx="2">
                  <c:v>74.808949189474319</c:v>
                </c:pt>
                <c:pt idx="3">
                  <c:v>77.130930446110924</c:v>
                </c:pt>
                <c:pt idx="4">
                  <c:v>79.529489304541883</c:v>
                </c:pt>
                <c:pt idx="5">
                  <c:v>83.217391428931862</c:v>
                </c:pt>
                <c:pt idx="6">
                  <c:v>85.811588703680243</c:v>
                </c:pt>
                <c:pt idx="7">
                  <c:v>88.489754069201766</c:v>
                </c:pt>
                <c:pt idx="8">
                  <c:v>91.269045142347764</c:v>
                </c:pt>
                <c:pt idx="9">
                  <c:v>94.136934633169517</c:v>
                </c:pt>
                <c:pt idx="10">
                  <c:v>97.110736817662428</c:v>
                </c:pt>
                <c:pt idx="11">
                  <c:v>100.97187921149701</c:v>
                </c:pt>
                <c:pt idx="12">
                  <c:v>104.17407211228112</c:v>
                </c:pt>
                <c:pt idx="13">
                  <c:v>107.4758171696343</c:v>
                </c:pt>
                <c:pt idx="14">
                  <c:v>110.89479730212115</c:v>
                </c:pt>
                <c:pt idx="15">
                  <c:v>114.43390957710396</c:v>
                </c:pt>
                <c:pt idx="16">
                  <c:v>118.09614946353673</c:v>
                </c:pt>
                <c:pt idx="17">
                  <c:v>121.88461424934252</c:v>
                </c:pt>
                <c:pt idx="18">
                  <c:v>125.8025065799828</c:v>
                </c:pt>
                <c:pt idx="19">
                  <c:v>129.85313812260208</c:v>
                </c:pt>
                <c:pt idx="20">
                  <c:v>134.0399333602918</c:v>
                </c:pt>
                <c:pt idx="21">
                  <c:v>139.43322456739969</c:v>
                </c:pt>
                <c:pt idx="22">
                  <c:v>143.9499763772578</c:v>
                </c:pt>
                <c:pt idx="23">
                  <c:v>148.61484233369706</c:v>
                </c:pt>
                <c:pt idx="24">
                  <c:v>153.44664865298577</c:v>
                </c:pt>
                <c:pt idx="25">
                  <c:v>158.44947537331305</c:v>
                </c:pt>
                <c:pt idx="26">
                  <c:v>163.62754201333956</c:v>
                </c:pt>
                <c:pt idx="27">
                  <c:v>168.98521244613264</c:v>
                </c:pt>
                <c:pt idx="28">
                  <c:v>174.52699994696397</c:v>
                </c:pt>
                <c:pt idx="29">
                  <c:v>180.25757242129168</c:v>
                </c:pt>
                <c:pt idx="30">
                  <c:v>186.19663877186485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E3-4C09-8C60-DBB83A0A5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'B8 C&amp;M 35Tip'!$A$171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'B8 C&amp;M 35Tip'!$C$164:$AG$164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'B8 C&amp;M 35Tip'!$C$171:$AB$171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64.276069813987363</c:v>
                      </c:pt>
                      <c:pt idx="1">
                        <c:v>68.474244268001286</c:v>
                      </c:pt>
                      <c:pt idx="2">
                        <c:v>70.285979544096762</c:v>
                      </c:pt>
                      <c:pt idx="3">
                        <c:v>72.152440888344458</c:v>
                      </c:pt>
                      <c:pt idx="4">
                        <c:v>74.074802642743535</c:v>
                      </c:pt>
                      <c:pt idx="5">
                        <c:v>77.10566646119004</c:v>
                      </c:pt>
                      <c:pt idx="6">
                        <c:v>79.175020202635892</c:v>
                      </c:pt>
                      <c:pt idx="7">
                        <c:v>81.305303930750796</c:v>
                      </c:pt>
                      <c:pt idx="8">
                        <c:v>83.511217025711503</c:v>
                      </c:pt>
                      <c:pt idx="9">
                        <c:v>85.78097214568578</c:v>
                      </c:pt>
                      <c:pt idx="10">
                        <c:v>88.129605141370376</c:v>
                      </c:pt>
                      <c:pt idx="11">
                        <c:v>91.226446373750534</c:v>
                      </c:pt>
                      <c:pt idx="12">
                        <c:v>93.744708532097121</c:v>
                      </c:pt>
                      <c:pt idx="13">
                        <c:v>96.333973084576769</c:v>
                      </c:pt>
                      <c:pt idx="14">
                        <c:v>99.009459331391284</c:v>
                      </c:pt>
                      <c:pt idx="15">
                        <c:v>101.77303867768357</c:v>
                      </c:pt>
                      <c:pt idx="16">
                        <c:v>104.62662916440759</c:v>
                      </c:pt>
                      <c:pt idx="17">
                        <c:v>107.57219720650309</c:v>
                      </c:pt>
                      <c:pt idx="18">
                        <c:v>110.61175939804586</c:v>
                      </c:pt>
                      <c:pt idx="19">
                        <c:v>113.74765680233556</c:v>
                      </c:pt>
                      <c:pt idx="20">
                        <c:v>116.98201206831222</c:v>
                      </c:pt>
                      <c:pt idx="21">
                        <c:v>121.23264481202969</c:v>
                      </c:pt>
                      <c:pt idx="22">
                        <c:v>124.71136772214379</c:v>
                      </c:pt>
                      <c:pt idx="23">
                        <c:v>128.29663816400091</c:v>
                      </c:pt>
                      <c:pt idx="24">
                        <c:v>132.00394581790914</c:v>
                      </c:pt>
                      <c:pt idx="25">
                        <c:v>135.83629837685996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52E3-4C09-8C60-DBB83A0A513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'B8 C&amp;M 35Tip'!$B$174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35Tip'!$C$174:$AG$174</c:f>
              <c:numCache>
                <c:formatCode>_ [$₹-4009]\ * #,##0.00_ ;_ [$₹-4009]\ * \-#,##0.00_ ;_ [$₹-4009]\ * "-"??_ ;_ @_ </c:formatCode>
                <c:ptCount val="31"/>
                <c:pt idx="0">
                  <c:v>3.5708927674437425</c:v>
                </c:pt>
                <c:pt idx="1">
                  <c:v>3.8041246815556269</c:v>
                </c:pt>
                <c:pt idx="2">
                  <c:v>3.9047766413387088</c:v>
                </c:pt>
                <c:pt idx="3">
                  <c:v>4.008468938241359</c:v>
                </c:pt>
                <c:pt idx="4">
                  <c:v>4.1152668134857517</c:v>
                </c:pt>
                <c:pt idx="5">
                  <c:v>4.2836481367327801</c:v>
                </c:pt>
                <c:pt idx="6">
                  <c:v>4.3986122334797715</c:v>
                </c:pt>
                <c:pt idx="7">
                  <c:v>4.516961329486155</c:v>
                </c:pt>
                <c:pt idx="8">
                  <c:v>4.6395120569839721</c:v>
                </c:pt>
                <c:pt idx="9">
                  <c:v>4.7656095636492095</c:v>
                </c:pt>
                <c:pt idx="10">
                  <c:v>4.8960891745205757</c:v>
                </c:pt>
                <c:pt idx="11">
                  <c:v>5.068135909652808</c:v>
                </c:pt>
                <c:pt idx="12">
                  <c:v>5.2080393628942847</c:v>
                </c:pt>
                <c:pt idx="13">
                  <c:v>5.3518873935875977</c:v>
                </c:pt>
                <c:pt idx="14">
                  <c:v>5.500525518410627</c:v>
                </c:pt>
                <c:pt idx="15">
                  <c:v>5.6540577043157541</c:v>
                </c:pt>
                <c:pt idx="16">
                  <c:v>5.8125905091337557</c:v>
                </c:pt>
                <c:pt idx="17">
                  <c:v>5.9762331781390605</c:v>
                </c:pt>
                <c:pt idx="18">
                  <c:v>6.1450977443358807</c:v>
                </c:pt>
                <c:pt idx="19">
                  <c:v>6.3193142667964199</c:v>
                </c:pt>
                <c:pt idx="20">
                  <c:v>6.4990006704617898</c:v>
                </c:pt>
                <c:pt idx="21">
                  <c:v>6.7351469340016497</c:v>
                </c:pt>
                <c:pt idx="22">
                  <c:v>6.9284093178968771</c:v>
                </c:pt>
                <c:pt idx="23">
                  <c:v>7.1275910091111614</c:v>
                </c:pt>
                <c:pt idx="24">
                  <c:v>7.3335525454393959</c:v>
                </c:pt>
                <c:pt idx="25">
                  <c:v>7.5464610209366638</c:v>
                </c:pt>
                <c:pt idx="26">
                  <c:v>7.7664559411213645</c:v>
                </c:pt>
                <c:pt idx="27">
                  <c:v>7.9936963610054388</c:v>
                </c:pt>
                <c:pt idx="28">
                  <c:v>8.2283453660033619</c:v>
                </c:pt>
                <c:pt idx="29">
                  <c:v>8.4705702241745833</c:v>
                </c:pt>
                <c:pt idx="30">
                  <c:v>8.721286591994442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F-44E5-8C54-3DC16492D785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BEBF-44E5-8C54-3DC16492D785}"/>
            </c:ext>
          </c:extLst>
        </c:ser>
        <c:ser>
          <c:idx val="3"/>
          <c:order val="2"/>
          <c:tx>
            <c:strRef>
              <c:f>'B8 C&amp;M 35Tip'!$B$177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35Tip'!$C$177:$AG$177</c:f>
              <c:numCache>
                <c:formatCode>_ [$₹-4009]\ * #,##0.00_ ;_ [$₹-4009]\ * \-#,##0.00_ ;_ [$₹-4009]\ * "-"??_ ;_ @_ </c:formatCode>
                <c:ptCount val="31"/>
                <c:pt idx="0">
                  <c:v>4.7326583534743669</c:v>
                </c:pt>
                <c:pt idx="1">
                  <c:v>4.7738387756592058</c:v>
                </c:pt>
                <c:pt idx="2">
                  <c:v>4.8116128490846242</c:v>
                </c:pt>
                <c:pt idx="3">
                  <c:v>4.8064304549471455</c:v>
                </c:pt>
                <c:pt idx="4">
                  <c:v>4.7990479909166135</c:v>
                </c:pt>
                <c:pt idx="5">
                  <c:v>4.8508842502703846</c:v>
                </c:pt>
                <c:pt idx="6">
                  <c:v>4.7412914472841869</c:v>
                </c:pt>
                <c:pt idx="7">
                  <c:v>4.7832798237216823</c:v>
                </c:pt>
                <c:pt idx="8">
                  <c:v>4.8141993598410284</c:v>
                </c:pt>
                <c:pt idx="9">
                  <c:v>4.8550767814007356</c:v>
                </c:pt>
                <c:pt idx="10">
                  <c:v>4.9054792935717231</c:v>
                </c:pt>
                <c:pt idx="11">
                  <c:v>4.8455531919445702</c:v>
                </c:pt>
                <c:pt idx="12">
                  <c:v>4.9194012844119825</c:v>
                </c:pt>
                <c:pt idx="13">
                  <c:v>4.9953509787536641</c:v>
                </c:pt>
                <c:pt idx="14">
                  <c:v>5.0787307650293778</c:v>
                </c:pt>
                <c:pt idx="15">
                  <c:v>5.1704024276522764</c:v>
                </c:pt>
                <c:pt idx="16">
                  <c:v>5.2550826071855345</c:v>
                </c:pt>
                <c:pt idx="17">
                  <c:v>5.3775206306420644</c:v>
                </c:pt>
                <c:pt idx="18">
                  <c:v>5.5018291426684032</c:v>
                </c:pt>
                <c:pt idx="19">
                  <c:v>5.6322343575312805</c:v>
                </c:pt>
                <c:pt idx="20">
                  <c:v>5.7678524051161357</c:v>
                </c:pt>
                <c:pt idx="21">
                  <c:v>5.8344536802434384</c:v>
                </c:pt>
                <c:pt idx="22">
                  <c:v>5.9799126526576813</c:v>
                </c:pt>
                <c:pt idx="23">
                  <c:v>6.1316117613530112</c:v>
                </c:pt>
                <c:pt idx="24">
                  <c:v>6.2900602240132857</c:v>
                </c:pt>
                <c:pt idx="25">
                  <c:v>6.4549043439818492</c:v>
                </c:pt>
                <c:pt idx="26">
                  <c:v>6.6525879777031331</c:v>
                </c:pt>
                <c:pt idx="27">
                  <c:v>6.8609019844972661</c:v>
                </c:pt>
                <c:pt idx="28">
                  <c:v>7.0770767798038303</c:v>
                </c:pt>
                <c:pt idx="29">
                  <c:v>7.3010157060149492</c:v>
                </c:pt>
                <c:pt idx="30">
                  <c:v>7.5337918820370025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BF-44E5-8C54-3DC16492D785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EBF-44E5-8C54-3DC16492D785}"/>
            </c:ext>
          </c:extLst>
        </c:ser>
        <c:ser>
          <c:idx val="2"/>
          <c:order val="5"/>
          <c:tx>
            <c:strRef>
              <c:f>'B8 C&amp;M 35Tip'!$B$175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35Tip'!$C$175:$AG$175</c:f>
              <c:numCache>
                <c:formatCode>_ [$₹-4009]\ * #,##0.00_ ;_ [$₹-4009]\ * \-#,##0.00_ ;_ [$₹-4009]\ * "-"??_ ;_ @_ </c:formatCode>
                <c:ptCount val="31"/>
                <c:pt idx="0">
                  <c:v>6.4085708185804418</c:v>
                </c:pt>
                <c:pt idx="1">
                  <c:v>6.4260398133900161</c:v>
                </c:pt>
                <c:pt idx="2">
                  <c:v>6.4503789846481929</c:v>
                </c:pt>
                <c:pt idx="3">
                  <c:v>6.4812184895903799</c:v>
                </c:pt>
                <c:pt idx="4">
                  <c:v>6.5188418230422798</c:v>
                </c:pt>
                <c:pt idx="5">
                  <c:v>6.6278403929922618</c:v>
                </c:pt>
                <c:pt idx="6">
                  <c:v>6.4721339740421966</c:v>
                </c:pt>
                <c:pt idx="7">
                  <c:v>6.4283175189395694</c:v>
                </c:pt>
                <c:pt idx="8">
                  <c:v>6.3925067039279595</c:v>
                </c:pt>
                <c:pt idx="9">
                  <c:v>6.3636903037188439</c:v>
                </c:pt>
                <c:pt idx="10">
                  <c:v>6.3426772788533796</c:v>
                </c:pt>
                <c:pt idx="11">
                  <c:v>6.2855409489725682</c:v>
                </c:pt>
                <c:pt idx="12">
                  <c:v>6.2781956666570595</c:v>
                </c:pt>
                <c:pt idx="13">
                  <c:v>6.2774662903349512</c:v>
                </c:pt>
                <c:pt idx="14">
                  <c:v>6.2843438286908651</c:v>
                </c:pt>
                <c:pt idx="15">
                  <c:v>6.2984558968164954</c:v>
                </c:pt>
                <c:pt idx="16">
                  <c:v>6.211127802900636</c:v>
                </c:pt>
                <c:pt idx="17">
                  <c:v>6.2630680329060633</c:v>
                </c:pt>
                <c:pt idx="18">
                  <c:v>6.3218447778585691</c:v>
                </c:pt>
                <c:pt idx="19">
                  <c:v>6.3875757322461322</c:v>
                </c:pt>
                <c:pt idx="20">
                  <c:v>6.4603863447475049</c:v>
                </c:pt>
                <c:pt idx="21">
                  <c:v>6.4844869110939181</c:v>
                </c:pt>
                <c:pt idx="22">
                  <c:v>6.5702511968357546</c:v>
                </c:pt>
                <c:pt idx="23">
                  <c:v>6.6628476334408733</c:v>
                </c:pt>
                <c:pt idx="24">
                  <c:v>6.7633216047963902</c:v>
                </c:pt>
                <c:pt idx="25">
                  <c:v>6.8713763335651121</c:v>
                </c:pt>
                <c:pt idx="26">
                  <c:v>6.9739807218231702</c:v>
                </c:pt>
                <c:pt idx="27">
                  <c:v>7.153674430185319</c:v>
                </c:pt>
                <c:pt idx="28">
                  <c:v>7.3418682069308581</c:v>
                </c:pt>
                <c:pt idx="29">
                  <c:v>7.5387802041073417</c:v>
                </c:pt>
                <c:pt idx="30">
                  <c:v>7.7450773463490874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BF-44E5-8C54-3DC16492D785}"/>
            </c:ext>
          </c:extLst>
        </c:ser>
        <c:ser>
          <c:idx val="6"/>
          <c:order val="6"/>
          <c:tx>
            <c:strRef>
              <c:f>'B8 C&amp;M 35Tip'!$A$176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35Tip'!$C$176:$AG$176</c:f>
              <c:numCache>
                <c:formatCode>_ [$₹-4009]\ * #,##0.00_ ;_ [$₹-4009]\ * \-#,##0.00_ ;_ [$₹-4009]\ * "-"??_ ;_ @_ </c:formatCode>
                <c:ptCount val="31"/>
                <c:pt idx="0">
                  <c:v>3.5199526551028555</c:v>
                </c:pt>
                <c:pt idx="1">
                  <c:v>3.6352041250378129</c:v>
                </c:pt>
                <c:pt idx="2">
                  <c:v>3.7459853164547012</c:v>
                </c:pt>
                <c:pt idx="3">
                  <c:v>3.8605070568515005</c:v>
                </c:pt>
                <c:pt idx="4">
                  <c:v>3.9786938244382957</c:v>
                </c:pt>
                <c:pt idx="5">
                  <c:v>4.1614635095196277</c:v>
                </c:pt>
                <c:pt idx="6">
                  <c:v>4.2893372537022207</c:v>
                </c:pt>
                <c:pt idx="7">
                  <c:v>4.4212710808177746</c:v>
                </c:pt>
                <c:pt idx="8">
                  <c:v>4.5582473626355835</c:v>
                </c:pt>
                <c:pt idx="9">
                  <c:v>4.6996120782043329</c:v>
                </c:pt>
                <c:pt idx="10">
                  <c:v>4.8462024551763001</c:v>
                </c:pt>
                <c:pt idx="11">
                  <c:v>5.0385088786838983</c:v>
                </c:pt>
                <c:pt idx="12">
                  <c:v>5.1964251275688493</c:v>
                </c:pt>
                <c:pt idx="13">
                  <c:v>5.3589978323373995</c:v>
                </c:pt>
                <c:pt idx="14">
                  <c:v>5.5275479753236354</c:v>
                </c:pt>
                <c:pt idx="15">
                  <c:v>5.7018729699172832</c:v>
                </c:pt>
                <c:pt idx="16">
                  <c:v>5.8822440952130313</c:v>
                </c:pt>
                <c:pt idx="17">
                  <c:v>6.068780010250399</c:v>
                </c:pt>
                <c:pt idx="18">
                  <c:v>6.2617602122637992</c:v>
                </c:pt>
                <c:pt idx="19">
                  <c:v>6.4613118743475999</c:v>
                </c:pt>
                <c:pt idx="20">
                  <c:v>6.6675666580856454</c:v>
                </c:pt>
                <c:pt idx="21">
                  <c:v>6.9353324315592539</c:v>
                </c:pt>
                <c:pt idx="22">
                  <c:v>7.1577137603108252</c:v>
                </c:pt>
                <c:pt idx="23">
                  <c:v>7.3874262633380239</c:v>
                </c:pt>
                <c:pt idx="24">
                  <c:v>7.6253652832644452</c:v>
                </c:pt>
                <c:pt idx="25">
                  <c:v>7.8716874747640286</c:v>
                </c:pt>
                <c:pt idx="26">
                  <c:v>8.1267170172217433</c:v>
                </c:pt>
                <c:pt idx="27">
                  <c:v>8.3904599025042739</c:v>
                </c:pt>
                <c:pt idx="28">
                  <c:v>8.6634139989816177</c:v>
                </c:pt>
                <c:pt idx="29">
                  <c:v>8.9455974410914632</c:v>
                </c:pt>
                <c:pt idx="30">
                  <c:v>9.2379407855486306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BF-44E5-8C54-3DC16492D785}"/>
            </c:ext>
          </c:extLst>
        </c:ser>
        <c:ser>
          <c:idx val="7"/>
          <c:order val="7"/>
          <c:tx>
            <c:strRef>
              <c:f>'B8 C&amp;M 35Tip'!$A$178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35Tip'!$C$178:$AG$178</c:f>
              <c:numCache>
                <c:formatCode>_ [$₹-4009]\ * #,##0.00_ ;_ [$₹-4009]\ * \-#,##0.00_ ;_ [$₹-4009]\ * "-"??_ ;_ @_ </c:formatCode>
                <c:ptCount val="31"/>
                <c:pt idx="0">
                  <c:v>6.7605199014339901</c:v>
                </c:pt>
                <c:pt idx="1">
                  <c:v>6.7332588611240674</c:v>
                </c:pt>
                <c:pt idx="2">
                  <c:v>6.7129587779431459</c:v>
                </c:pt>
                <c:pt idx="3">
                  <c:v>6.6995788450370615</c:v>
                </c:pt>
                <c:pt idx="4">
                  <c:v>6.6938264127845422</c:v>
                </c:pt>
                <c:pt idx="5">
                  <c:v>6.7294448596094005</c:v>
                </c:pt>
                <c:pt idx="6">
                  <c:v>6.5923656003251452</c:v>
                </c:pt>
                <c:pt idx="7">
                  <c:v>6.5420856714367988</c:v>
                </c:pt>
                <c:pt idx="8">
                  <c:v>6.4985733616837695</c:v>
                </c:pt>
                <c:pt idx="9">
                  <c:v>6.4621440399673293</c:v>
                </c:pt>
                <c:pt idx="10">
                  <c:v>6.432148819521978</c:v>
                </c:pt>
                <c:pt idx="11">
                  <c:v>6.277202365459484</c:v>
                </c:pt>
                <c:pt idx="12">
                  <c:v>6.2608417616309371</c:v>
                </c:pt>
                <c:pt idx="13">
                  <c:v>6.2515067425592443</c:v>
                </c:pt>
                <c:pt idx="14">
                  <c:v>6.2488186112840651</c:v>
                </c:pt>
                <c:pt idx="15">
                  <c:v>6.2530519146446926</c:v>
                </c:pt>
                <c:pt idx="16">
                  <c:v>6.168601088195496</c:v>
                </c:pt>
                <c:pt idx="17">
                  <c:v>6.2185342914373836</c:v>
                </c:pt>
                <c:pt idx="18">
                  <c:v>6.2742068474056421</c:v>
                </c:pt>
                <c:pt idx="19">
                  <c:v>6.3368152893697047</c:v>
                </c:pt>
                <c:pt idx="20">
                  <c:v>6.4052638532576971</c:v>
                </c:pt>
                <c:pt idx="21">
                  <c:v>6.3808217557805005</c:v>
                </c:pt>
                <c:pt idx="22">
                  <c:v>6.4608331612349268</c:v>
                </c:pt>
                <c:pt idx="23">
                  <c:v>6.547649135763649</c:v>
                </c:pt>
                <c:pt idx="24">
                  <c:v>6.6411069260849542</c:v>
                </c:pt>
                <c:pt idx="25">
                  <c:v>6.741362334134064</c:v>
                </c:pt>
                <c:pt idx="26">
                  <c:v>6.8272112174048889</c:v>
                </c:pt>
                <c:pt idx="27">
                  <c:v>6.9979125641104201</c:v>
                </c:pt>
                <c:pt idx="28">
                  <c:v>7.1766012795647827</c:v>
                </c:pt>
                <c:pt idx="29">
                  <c:v>7.3625776199173885</c:v>
                </c:pt>
                <c:pt idx="30">
                  <c:v>7.5567919078522534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BF-44E5-8C54-3DC16492D785}"/>
            </c:ext>
          </c:extLst>
        </c:ser>
        <c:ser>
          <c:idx val="8"/>
          <c:order val="8"/>
          <c:tx>
            <c:strRef>
              <c:f>'B8 C&amp;M 35Tip'!$A$179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'B8 C&amp;M 35Tip'!$C$173:$AG$173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35Tip'!$C$179:$AG$179</c:f>
              <c:numCache>
                <c:formatCode>_ [$₹-4009]\ * #,##0.00_ ;_ [$₹-4009]\ * \-#,##0.00_ ;_ [$₹-4009]\ * "-"??_ ;_ @_ </c:formatCode>
                <c:ptCount val="31"/>
                <c:pt idx="0">
                  <c:v>7.0790784308209318</c:v>
                </c:pt>
                <c:pt idx="1">
                  <c:v>7.0505328388733703</c:v>
                </c:pt>
                <c:pt idx="2">
                  <c:v>7.0292762072703106</c:v>
                </c:pt>
                <c:pt idx="3">
                  <c:v>7.0152658063215299</c:v>
                </c:pt>
                <c:pt idx="4">
                  <c:v>7.0092423170518776</c:v>
                </c:pt>
                <c:pt idx="5">
                  <c:v>7.0465391200098431</c:v>
                </c:pt>
                <c:pt idx="6">
                  <c:v>6.9030006286127179</c:v>
                </c:pt>
                <c:pt idx="7">
                  <c:v>6.8503514884154955</c:v>
                </c:pt>
                <c:pt idx="8">
                  <c:v>6.8047888604018523</c:v>
                </c:pt>
                <c:pt idx="9">
                  <c:v>6.7666429737877793</c:v>
                </c:pt>
                <c:pt idx="10">
                  <c:v>6.7352343659916007</c:v>
                </c:pt>
                <c:pt idx="11">
                  <c:v>6.5729867701146425</c:v>
                </c:pt>
                <c:pt idx="12">
                  <c:v>6.5558552477810856</c:v>
                </c:pt>
                <c:pt idx="13">
                  <c:v>6.5460803587007792</c:v>
                </c:pt>
                <c:pt idx="14">
                  <c:v>6.5432655615539943</c:v>
                </c:pt>
                <c:pt idx="15">
                  <c:v>6.5476983399420865</c:v>
                </c:pt>
                <c:pt idx="16">
                  <c:v>6.4592681551785303</c:v>
                </c:pt>
                <c:pt idx="17">
                  <c:v>6.5115542318716058</c:v>
                </c:pt>
                <c:pt idx="18">
                  <c:v>6.5698501019954367</c:v>
                </c:pt>
                <c:pt idx="19">
                  <c:v>6.6354086799682763</c:v>
                </c:pt>
                <c:pt idx="20">
                  <c:v>6.7070825688562268</c:v>
                </c:pt>
                <c:pt idx="21">
                  <c:v>6.681488749508377</c:v>
                </c:pt>
                <c:pt idx="22">
                  <c:v>6.7652703259004454</c:v>
                </c:pt>
                <c:pt idx="23">
                  <c:v>6.8561771055116747</c:v>
                </c:pt>
                <c:pt idx="24">
                  <c:v>6.9540386660575439</c:v>
                </c:pt>
                <c:pt idx="25">
                  <c:v>7.0590181509257208</c:v>
                </c:pt>
                <c:pt idx="26">
                  <c:v>7.1489122695339145</c:v>
                </c:pt>
                <c:pt idx="27">
                  <c:v>7.3276571351941575</c:v>
                </c:pt>
                <c:pt idx="28">
                  <c:v>7.5147657377641703</c:v>
                </c:pt>
                <c:pt idx="29">
                  <c:v>7.7095053611700406</c:v>
                </c:pt>
                <c:pt idx="30">
                  <c:v>7.9128711076986953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BF-44E5-8C54-3DC16492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'B8 C&amp;M 35Tip'!$A$174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'B8 C&amp;M 35Tip'!$C$173:$AG$173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'B8 C&amp;M 35Tip'!$C$174:$AG$174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3.5708927674437425</c:v>
                      </c:pt>
                      <c:pt idx="1">
                        <c:v>3.8041246815556269</c:v>
                      </c:pt>
                      <c:pt idx="2">
                        <c:v>3.9047766413387088</c:v>
                      </c:pt>
                      <c:pt idx="3">
                        <c:v>4.008468938241359</c:v>
                      </c:pt>
                      <c:pt idx="4">
                        <c:v>4.1152668134857517</c:v>
                      </c:pt>
                      <c:pt idx="5">
                        <c:v>4.2836481367327801</c:v>
                      </c:pt>
                      <c:pt idx="6">
                        <c:v>4.3986122334797715</c:v>
                      </c:pt>
                      <c:pt idx="7">
                        <c:v>4.516961329486155</c:v>
                      </c:pt>
                      <c:pt idx="8">
                        <c:v>4.6395120569839721</c:v>
                      </c:pt>
                      <c:pt idx="9">
                        <c:v>4.7656095636492095</c:v>
                      </c:pt>
                      <c:pt idx="10">
                        <c:v>4.8960891745205757</c:v>
                      </c:pt>
                      <c:pt idx="11">
                        <c:v>5.068135909652808</c:v>
                      </c:pt>
                      <c:pt idx="12">
                        <c:v>5.2080393628942847</c:v>
                      </c:pt>
                      <c:pt idx="13">
                        <c:v>5.3518873935875977</c:v>
                      </c:pt>
                      <c:pt idx="14">
                        <c:v>5.500525518410627</c:v>
                      </c:pt>
                      <c:pt idx="15">
                        <c:v>5.6540577043157541</c:v>
                      </c:pt>
                      <c:pt idx="16">
                        <c:v>5.8125905091337557</c:v>
                      </c:pt>
                      <c:pt idx="17">
                        <c:v>5.9762331781390605</c:v>
                      </c:pt>
                      <c:pt idx="18">
                        <c:v>6.1450977443358807</c:v>
                      </c:pt>
                      <c:pt idx="19">
                        <c:v>6.3193142667964199</c:v>
                      </c:pt>
                      <c:pt idx="20">
                        <c:v>6.4990006704617898</c:v>
                      </c:pt>
                      <c:pt idx="21">
                        <c:v>6.7351469340016497</c:v>
                      </c:pt>
                      <c:pt idx="22">
                        <c:v>6.9284093178968771</c:v>
                      </c:pt>
                      <c:pt idx="23">
                        <c:v>7.1275910091111614</c:v>
                      </c:pt>
                      <c:pt idx="24">
                        <c:v>7.3335525454393959</c:v>
                      </c:pt>
                      <c:pt idx="25">
                        <c:v>7.5464610209366638</c:v>
                      </c:pt>
                      <c:pt idx="26">
                        <c:v>7.7664559411213645</c:v>
                      </c:pt>
                      <c:pt idx="27">
                        <c:v>7.9936963610054388</c:v>
                      </c:pt>
                      <c:pt idx="28">
                        <c:v>8.2283453660033619</c:v>
                      </c:pt>
                      <c:pt idx="29">
                        <c:v>8.4705702241745833</c:v>
                      </c:pt>
                      <c:pt idx="30">
                        <c:v>8.721286591994442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BEBF-44E5-8C54-3DC16492D785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'B8 C&amp;M 35Tip'!$A$62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35Tip'!$E$63:$AG$63</c:f>
              <c:numCache>
                <c:formatCode>_ [$₹-4009]\ * #,##0_ ;_ [$₹-4009]\ * \-#,##0_ ;_ [$₹-4009]\ * "-"??_ ;_ @_ </c:formatCode>
                <c:ptCount val="29"/>
                <c:pt idx="0">
                  <c:v>5092300</c:v>
                </c:pt>
                <c:pt idx="1">
                  <c:v>5245100</c:v>
                </c:pt>
                <c:pt idx="2">
                  <c:v>5402500</c:v>
                </c:pt>
                <c:pt idx="3">
                  <c:v>5964600</c:v>
                </c:pt>
                <c:pt idx="4">
                  <c:v>6143500</c:v>
                </c:pt>
                <c:pt idx="5">
                  <c:v>6327800</c:v>
                </c:pt>
                <c:pt idx="6">
                  <c:v>6517600</c:v>
                </c:pt>
                <c:pt idx="7">
                  <c:v>6713100</c:v>
                </c:pt>
                <c:pt idx="8">
                  <c:v>6914500</c:v>
                </c:pt>
                <c:pt idx="9">
                  <c:v>7121900</c:v>
                </c:pt>
                <c:pt idx="10">
                  <c:v>7335600</c:v>
                </c:pt>
                <c:pt idx="11">
                  <c:v>7555700</c:v>
                </c:pt>
                <c:pt idx="12">
                  <c:v>7782400</c:v>
                </c:pt>
                <c:pt idx="13">
                  <c:v>8015900</c:v>
                </c:pt>
                <c:pt idx="14">
                  <c:v>8256400</c:v>
                </c:pt>
                <c:pt idx="15">
                  <c:v>8504100</c:v>
                </c:pt>
                <c:pt idx="16">
                  <c:v>8759200</c:v>
                </c:pt>
                <c:pt idx="17">
                  <c:v>9022000</c:v>
                </c:pt>
                <c:pt idx="18">
                  <c:v>9292700</c:v>
                </c:pt>
                <c:pt idx="19">
                  <c:v>9571500</c:v>
                </c:pt>
                <c:pt idx="20">
                  <c:v>9858600</c:v>
                </c:pt>
                <c:pt idx="21">
                  <c:v>10154400</c:v>
                </c:pt>
                <c:pt idx="22">
                  <c:v>10459000</c:v>
                </c:pt>
                <c:pt idx="23">
                  <c:v>10772800</c:v>
                </c:pt>
                <c:pt idx="24">
                  <c:v>11096000</c:v>
                </c:pt>
                <c:pt idx="25">
                  <c:v>11428900</c:v>
                </c:pt>
                <c:pt idx="26">
                  <c:v>11771800</c:v>
                </c:pt>
                <c:pt idx="27">
                  <c:v>12125000</c:v>
                </c:pt>
                <c:pt idx="28">
                  <c:v>12488800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7-47B9-8DA5-9FE634C34CD3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A367-47B9-8DA5-9FE634C34CD3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1"/>
              <c:pt idx="0">
                <c:v>2025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67-47B9-8DA5-9FE634C34CD3}"/>
            </c:ext>
          </c:extLst>
        </c:ser>
        <c:ser>
          <c:idx val="3"/>
          <c:order val="3"/>
          <c:tx>
            <c:strRef>
              <c:f>'B8 C&amp;M 35Tip'!$A$130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35Tip'!$C$132:$AG$132</c:f>
              <c:numCache>
                <c:formatCode>_ [$₹-4009]\ * #,##0_ ;_ [$₹-4009]\ * \-#,##0_ ;_ [$₹-4009]\ * "-"??_ ;_ @_ </c:formatCode>
                <c:ptCount val="31"/>
                <c:pt idx="0">
                  <c:v>11055000</c:v>
                </c:pt>
                <c:pt idx="1">
                  <c:v>11015000</c:v>
                </c:pt>
                <c:pt idx="2">
                  <c:v>10984000</c:v>
                </c:pt>
                <c:pt idx="3">
                  <c:v>10746000</c:v>
                </c:pt>
                <c:pt idx="4">
                  <c:v>10526000</c:v>
                </c:pt>
                <c:pt idx="5">
                  <c:v>10525000</c:v>
                </c:pt>
                <c:pt idx="6">
                  <c:v>10367000</c:v>
                </c:pt>
                <c:pt idx="7">
                  <c:v>10430000</c:v>
                </c:pt>
                <c:pt idx="8">
                  <c:v>10499000</c:v>
                </c:pt>
                <c:pt idx="9">
                  <c:v>10577000</c:v>
                </c:pt>
                <c:pt idx="10">
                  <c:v>10662000</c:v>
                </c:pt>
                <c:pt idx="11">
                  <c:v>10755000</c:v>
                </c:pt>
                <c:pt idx="12">
                  <c:v>10857000</c:v>
                </c:pt>
                <c:pt idx="13">
                  <c:v>10966000</c:v>
                </c:pt>
                <c:pt idx="14">
                  <c:v>11083000</c:v>
                </c:pt>
                <c:pt idx="15">
                  <c:v>11209000</c:v>
                </c:pt>
                <c:pt idx="16">
                  <c:v>11249000</c:v>
                </c:pt>
                <c:pt idx="17">
                  <c:v>11466000</c:v>
                </c:pt>
                <c:pt idx="18">
                  <c:v>11689000</c:v>
                </c:pt>
                <c:pt idx="19">
                  <c:v>11921000</c:v>
                </c:pt>
                <c:pt idx="20">
                  <c:v>12161000</c:v>
                </c:pt>
                <c:pt idx="21">
                  <c:v>12408000</c:v>
                </c:pt>
                <c:pt idx="22">
                  <c:v>12664000</c:v>
                </c:pt>
                <c:pt idx="23">
                  <c:v>12928000</c:v>
                </c:pt>
                <c:pt idx="24">
                  <c:v>13202000</c:v>
                </c:pt>
                <c:pt idx="25">
                  <c:v>13484000</c:v>
                </c:pt>
                <c:pt idx="26">
                  <c:v>13824000</c:v>
                </c:pt>
                <c:pt idx="27">
                  <c:v>14174000</c:v>
                </c:pt>
                <c:pt idx="28">
                  <c:v>14533000</c:v>
                </c:pt>
                <c:pt idx="29">
                  <c:v>14903000</c:v>
                </c:pt>
                <c:pt idx="30">
                  <c:v>15284000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67-47B9-8DA5-9FE634C34CD3}"/>
            </c:ext>
          </c:extLst>
        </c:ser>
        <c:ser>
          <c:idx val="4"/>
          <c:order val="4"/>
          <c:tx>
            <c:strRef>
              <c:f>'B8 C&amp;M 35Tip'!$A$96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35Tip'!$C$98:$AG$98</c:f>
              <c:numCache>
                <c:formatCode>_ [$₹-4009]\ * #,##0_ ;_ [$₹-4009]\ * \-#,##0_ ;_ [$₹-4009]\ * "-"??_ ;_ @_ </c:formatCode>
                <c:ptCount val="31"/>
                <c:pt idx="0">
                  <c:v>5380000</c:v>
                </c:pt>
                <c:pt idx="1">
                  <c:v>5530000</c:v>
                </c:pt>
                <c:pt idx="2">
                  <c:v>5684000</c:v>
                </c:pt>
                <c:pt idx="3">
                  <c:v>5843000</c:v>
                </c:pt>
                <c:pt idx="4">
                  <c:v>6006000</c:v>
                </c:pt>
                <c:pt idx="5">
                  <c:v>6575000</c:v>
                </c:pt>
                <c:pt idx="6">
                  <c:v>6760000</c:v>
                </c:pt>
                <c:pt idx="7">
                  <c:v>6950000</c:v>
                </c:pt>
                <c:pt idx="8">
                  <c:v>7146000</c:v>
                </c:pt>
                <c:pt idx="9">
                  <c:v>7348000</c:v>
                </c:pt>
                <c:pt idx="10">
                  <c:v>7556000</c:v>
                </c:pt>
                <c:pt idx="11">
                  <c:v>7769000</c:v>
                </c:pt>
                <c:pt idx="12">
                  <c:v>7990000</c:v>
                </c:pt>
                <c:pt idx="13">
                  <c:v>8216000</c:v>
                </c:pt>
                <c:pt idx="14">
                  <c:v>8450000</c:v>
                </c:pt>
                <c:pt idx="15">
                  <c:v>8690000</c:v>
                </c:pt>
                <c:pt idx="16">
                  <c:v>8937000</c:v>
                </c:pt>
                <c:pt idx="17">
                  <c:v>9191000</c:v>
                </c:pt>
                <c:pt idx="18">
                  <c:v>9453000</c:v>
                </c:pt>
                <c:pt idx="19">
                  <c:v>9723000</c:v>
                </c:pt>
                <c:pt idx="20">
                  <c:v>10001000</c:v>
                </c:pt>
                <c:pt idx="21">
                  <c:v>10287000</c:v>
                </c:pt>
                <c:pt idx="22">
                  <c:v>10581000</c:v>
                </c:pt>
                <c:pt idx="23">
                  <c:v>10884000</c:v>
                </c:pt>
                <c:pt idx="24">
                  <c:v>11196000</c:v>
                </c:pt>
                <c:pt idx="25">
                  <c:v>11517000</c:v>
                </c:pt>
                <c:pt idx="26">
                  <c:v>11848000</c:v>
                </c:pt>
                <c:pt idx="27">
                  <c:v>12188000</c:v>
                </c:pt>
                <c:pt idx="28">
                  <c:v>12539000</c:v>
                </c:pt>
                <c:pt idx="29">
                  <c:v>12900000</c:v>
                </c:pt>
                <c:pt idx="30">
                  <c:v>13271000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67-47B9-8DA5-9FE634C34CD3}"/>
            </c:ext>
          </c:extLst>
        </c:ser>
        <c:ser>
          <c:idx val="5"/>
          <c:order val="5"/>
          <c:tx>
            <c:strRef>
              <c:f>'B8 C&amp;M 35Tip'!$A$113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35Tip'!$C$115:$AG$115</c:f>
              <c:numCache>
                <c:formatCode>_ [$₹-4009]\ * #,##0_ ;_ [$₹-4009]\ * \-#,##0_ ;_ [$₹-4009]\ * "-"??_ ;_ @_ </c:formatCode>
                <c:ptCount val="31"/>
                <c:pt idx="0">
                  <c:v>6379000</c:v>
                </c:pt>
                <c:pt idx="1">
                  <c:v>6444000</c:v>
                </c:pt>
                <c:pt idx="2">
                  <c:v>6518000</c:v>
                </c:pt>
                <c:pt idx="3">
                  <c:v>6599000</c:v>
                </c:pt>
                <c:pt idx="4">
                  <c:v>6689000</c:v>
                </c:pt>
                <c:pt idx="5">
                  <c:v>7187000</c:v>
                </c:pt>
                <c:pt idx="6">
                  <c:v>7317000</c:v>
                </c:pt>
                <c:pt idx="7">
                  <c:v>7454000</c:v>
                </c:pt>
                <c:pt idx="8">
                  <c:v>7599000</c:v>
                </c:pt>
                <c:pt idx="9">
                  <c:v>7751000</c:v>
                </c:pt>
                <c:pt idx="10">
                  <c:v>7911000</c:v>
                </c:pt>
                <c:pt idx="11">
                  <c:v>8078000</c:v>
                </c:pt>
                <c:pt idx="12">
                  <c:v>8254000</c:v>
                </c:pt>
                <c:pt idx="13">
                  <c:v>8437000</c:v>
                </c:pt>
                <c:pt idx="14">
                  <c:v>8629000</c:v>
                </c:pt>
                <c:pt idx="15">
                  <c:v>8828000</c:v>
                </c:pt>
                <c:pt idx="16">
                  <c:v>9077000</c:v>
                </c:pt>
                <c:pt idx="17">
                  <c:v>9333000</c:v>
                </c:pt>
                <c:pt idx="18">
                  <c:v>9596000</c:v>
                </c:pt>
                <c:pt idx="19">
                  <c:v>9867000</c:v>
                </c:pt>
                <c:pt idx="20">
                  <c:v>10147000</c:v>
                </c:pt>
                <c:pt idx="21">
                  <c:v>10434000</c:v>
                </c:pt>
                <c:pt idx="22">
                  <c:v>10730000</c:v>
                </c:pt>
                <c:pt idx="23">
                  <c:v>11034000</c:v>
                </c:pt>
                <c:pt idx="24">
                  <c:v>11348000</c:v>
                </c:pt>
                <c:pt idx="25">
                  <c:v>11670000</c:v>
                </c:pt>
                <c:pt idx="26">
                  <c:v>12002000</c:v>
                </c:pt>
                <c:pt idx="27">
                  <c:v>12344000</c:v>
                </c:pt>
                <c:pt idx="28">
                  <c:v>12696000</c:v>
                </c:pt>
                <c:pt idx="29">
                  <c:v>13059000</c:v>
                </c:pt>
                <c:pt idx="30">
                  <c:v>13432000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67-47B9-8DA5-9FE634C34CD3}"/>
            </c:ext>
          </c:extLst>
        </c:ser>
        <c:ser>
          <c:idx val="6"/>
          <c:order val="6"/>
          <c:tx>
            <c:strRef>
              <c:f>'B8 C&amp;M 35Tip'!$A$147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35Tip'!$C$149:$AG$149</c:f>
              <c:numCache>
                <c:formatCode>_ [$₹-4009]\ * #,##0_ ;_ [$₹-4009]\ * \-#,##0_ ;_ [$₹-4009]\ * "-"??_ ;_ @_ </c:formatCode>
                <c:ptCount val="31"/>
                <c:pt idx="0">
                  <c:v>13011000</c:v>
                </c:pt>
                <c:pt idx="1">
                  <c:v>12831000</c:v>
                </c:pt>
                <c:pt idx="2">
                  <c:v>12666000</c:v>
                </c:pt>
                <c:pt idx="3">
                  <c:v>12516000</c:v>
                </c:pt>
                <c:pt idx="4">
                  <c:v>12381000</c:v>
                </c:pt>
                <c:pt idx="5">
                  <c:v>12461000</c:v>
                </c:pt>
                <c:pt idx="6">
                  <c:v>12423000</c:v>
                </c:pt>
                <c:pt idx="7">
                  <c:v>12401000</c:v>
                </c:pt>
                <c:pt idx="8">
                  <c:v>12391000</c:v>
                </c:pt>
                <c:pt idx="9">
                  <c:v>12391000</c:v>
                </c:pt>
                <c:pt idx="10">
                  <c:v>12402000</c:v>
                </c:pt>
                <c:pt idx="11">
                  <c:v>12424000</c:v>
                </c:pt>
                <c:pt idx="12">
                  <c:v>12456000</c:v>
                </c:pt>
                <c:pt idx="13">
                  <c:v>12500000</c:v>
                </c:pt>
                <c:pt idx="14">
                  <c:v>12554000</c:v>
                </c:pt>
                <c:pt idx="15">
                  <c:v>12620000</c:v>
                </c:pt>
                <c:pt idx="16">
                  <c:v>12630000</c:v>
                </c:pt>
                <c:pt idx="17">
                  <c:v>12828000</c:v>
                </c:pt>
                <c:pt idx="18">
                  <c:v>13033000</c:v>
                </c:pt>
                <c:pt idx="19">
                  <c:v>13248000</c:v>
                </c:pt>
                <c:pt idx="20">
                  <c:v>13471000</c:v>
                </c:pt>
                <c:pt idx="21">
                  <c:v>13532000</c:v>
                </c:pt>
                <c:pt idx="22">
                  <c:v>13774000</c:v>
                </c:pt>
                <c:pt idx="23">
                  <c:v>14026000</c:v>
                </c:pt>
                <c:pt idx="24">
                  <c:v>14287000</c:v>
                </c:pt>
                <c:pt idx="25">
                  <c:v>14558000</c:v>
                </c:pt>
                <c:pt idx="26">
                  <c:v>14740000</c:v>
                </c:pt>
                <c:pt idx="27">
                  <c:v>15099000</c:v>
                </c:pt>
                <c:pt idx="28">
                  <c:v>15468000</c:v>
                </c:pt>
                <c:pt idx="29">
                  <c:v>15847000</c:v>
                </c:pt>
                <c:pt idx="30">
                  <c:v>16237000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67-47B9-8DA5-9FE634C34CD3}"/>
            </c:ext>
          </c:extLst>
        </c:ser>
        <c:ser>
          <c:idx val="7"/>
          <c:order val="7"/>
          <c:tx>
            <c:strRef>
              <c:f>'B8 C&amp;M 35Tip'!$A$79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 C&amp;M 35Tip'!$C$80:$AG$80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'B8 C&amp;M 35Tip'!$C$81:$AG$81</c:f>
              <c:numCache>
                <c:formatCode>_ [$₹-4009]\ * #,##0_ ;_ [$₹-4009]\ * \-#,##0_ ;_ [$₹-4009]\ * "-"??_ ;_ @_ </c:formatCode>
                <c:ptCount val="31"/>
                <c:pt idx="0">
                  <c:v>5050000</c:v>
                </c:pt>
                <c:pt idx="1">
                  <c:v>5201500</c:v>
                </c:pt>
                <c:pt idx="2">
                  <c:v>5357545</c:v>
                </c:pt>
                <c:pt idx="3">
                  <c:v>5518271.3500000006</c:v>
                </c:pt>
                <c:pt idx="4">
                  <c:v>5683819.4905000003</c:v>
                </c:pt>
                <c:pt idx="5">
                  <c:v>6254334.0752150007</c:v>
                </c:pt>
                <c:pt idx="6">
                  <c:v>6441964.0974714505</c:v>
                </c:pt>
                <c:pt idx="7">
                  <c:v>6635223.0203955937</c:v>
                </c:pt>
                <c:pt idx="8">
                  <c:v>6834279.7110074619</c:v>
                </c:pt>
                <c:pt idx="9">
                  <c:v>7039308.1023376863</c:v>
                </c:pt>
                <c:pt idx="10">
                  <c:v>7250487.3454078175</c:v>
                </c:pt>
                <c:pt idx="11">
                  <c:v>7468001.9657700518</c:v>
                </c:pt>
                <c:pt idx="12">
                  <c:v>7692042.0247431537</c:v>
                </c:pt>
                <c:pt idx="13">
                  <c:v>7922803.2854854483</c:v>
                </c:pt>
                <c:pt idx="14">
                  <c:v>8160487.3840500116</c:v>
                </c:pt>
                <c:pt idx="15">
                  <c:v>8405302.0055715125</c:v>
                </c:pt>
                <c:pt idx="16">
                  <c:v>8657461.0657386575</c:v>
                </c:pt>
                <c:pt idx="17">
                  <c:v>8917184.8977108169</c:v>
                </c:pt>
                <c:pt idx="18">
                  <c:v>9184700.4446421415</c:v>
                </c:pt>
                <c:pt idx="19">
                  <c:v>9460241.4579814058</c:v>
                </c:pt>
                <c:pt idx="20">
                  <c:v>9744048.7017208487</c:v>
                </c:pt>
                <c:pt idx="21">
                  <c:v>10036370.162772475</c:v>
                </c:pt>
                <c:pt idx="22">
                  <c:v>10337461.26765565</c:v>
                </c:pt>
                <c:pt idx="23">
                  <c:v>10647585.10568532</c:v>
                </c:pt>
                <c:pt idx="24">
                  <c:v>10967012.65885588</c:v>
                </c:pt>
                <c:pt idx="25">
                  <c:v>11296023.038621556</c:v>
                </c:pt>
                <c:pt idx="26">
                  <c:v>11634903.729780203</c:v>
                </c:pt>
                <c:pt idx="27">
                  <c:v>11983950.841673609</c:v>
                </c:pt>
                <c:pt idx="28">
                  <c:v>12343469.366923818</c:v>
                </c:pt>
                <c:pt idx="29">
                  <c:v>12713773.447931534</c:v>
                </c:pt>
                <c:pt idx="30">
                  <c:v>13095186.65136948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67-47B9-8DA5-9FE634C34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'B9 Cement 48T Rigid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'B9 Cement 48T Rigid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'B9 Cement 48T Rigid '!$C$165:$AB$165</c:f>
              <c:numCache>
                <c:formatCode>_ [$₹-4009]\ * #,##0.00_ ;_ [$₹-4009]\ * \-#,##0.00_ ;_ [$₹-4009]\ * "-"??_ ;_ @_ </c:formatCode>
                <c:ptCount val="26"/>
                <c:pt idx="0">
                  <c:v>60.362334241714436</c:v>
                </c:pt>
                <c:pt idx="1">
                  <c:v>64.697351685576706</c:v>
                </c:pt>
                <c:pt idx="2">
                  <c:v>66.270043648508391</c:v>
                </c:pt>
                <c:pt idx="3">
                  <c:v>67.885805423109943</c:v>
                </c:pt>
                <c:pt idx="4">
                  <c:v>69.554273021126633</c:v>
                </c:pt>
                <c:pt idx="5">
                  <c:v>71.850001819630762</c:v>
                </c:pt>
                <c:pt idx="6">
                  <c:v>73.635786734481897</c:v>
                </c:pt>
                <c:pt idx="7">
                  <c:v>75.469207932461813</c:v>
                </c:pt>
                <c:pt idx="8">
                  <c:v>77.360158501604801</c:v>
                </c:pt>
                <c:pt idx="9">
                  <c:v>79.301200827502626</c:v>
                </c:pt>
                <c:pt idx="10">
                  <c:v>81.302289904502814</c:v>
                </c:pt>
                <c:pt idx="11">
                  <c:v>84.230596660119247</c:v>
                </c:pt>
                <c:pt idx="12">
                  <c:v>86.381422774477201</c:v>
                </c:pt>
                <c:pt idx="13">
                  <c:v>88.596955143157246</c:v>
                </c:pt>
                <c:pt idx="14">
                  <c:v>90.878630731261097</c:v>
                </c:pt>
                <c:pt idx="15">
                  <c:v>93.227766129969567</c:v>
                </c:pt>
                <c:pt idx="16">
                  <c:v>95.646032809604094</c:v>
                </c:pt>
                <c:pt idx="17">
                  <c:v>98.143665193947044</c:v>
                </c:pt>
                <c:pt idx="18">
                  <c:v>100.71357842309141</c:v>
                </c:pt>
                <c:pt idx="19">
                  <c:v>103.36609209648967</c:v>
                </c:pt>
                <c:pt idx="20">
                  <c:v>106.09420962933837</c:v>
                </c:pt>
                <c:pt idx="21">
                  <c:v>110.07236416504149</c:v>
                </c:pt>
                <c:pt idx="22">
                  <c:v>113.00952696665182</c:v>
                </c:pt>
                <c:pt idx="23">
                  <c:v>116.0375119882449</c:v>
                </c:pt>
                <c:pt idx="24">
                  <c:v>119.15839509695037</c:v>
                </c:pt>
                <c:pt idx="25">
                  <c:v>122.38298648394323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3-4E13-98F7-5328B33E7966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'B9 Cement 48T Rigid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3-4E13-98F7-5328B33E7966}"/>
            </c:ext>
          </c:extLst>
        </c:ser>
        <c:ser>
          <c:idx val="4"/>
          <c:order val="2"/>
          <c:tx>
            <c:strRef>
              <c:f>'B9 Cement 48T Rigid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'B9 Cement 48T Rigid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'B9 Cement 48T Rigid '!$C$168:$AB$168</c:f>
              <c:numCache>
                <c:formatCode>_ [$₹-4009]\ * #,##0.00_ ;_ [$₹-4009]\ * \-#,##0.00_ ;_ [$₹-4009]\ * "-"??_ ;_ @_ </c:formatCode>
                <c:ptCount val="26"/>
                <c:pt idx="0">
                  <c:v>64.875139897022592</c:v>
                </c:pt>
                <c:pt idx="1">
                  <c:v>65.482942020914919</c:v>
                </c:pt>
                <c:pt idx="2">
                  <c:v>66.00947136812789</c:v>
                </c:pt>
                <c:pt idx="3">
                  <c:v>66.025838801780694</c:v>
                </c:pt>
                <c:pt idx="4">
                  <c:v>65.968379643592769</c:v>
                </c:pt>
                <c:pt idx="5">
                  <c:v>66.625850584564589</c:v>
                </c:pt>
                <c:pt idx="6">
                  <c:v>64.660445435272678</c:v>
                </c:pt>
                <c:pt idx="7">
                  <c:v>65.067887551257726</c:v>
                </c:pt>
                <c:pt idx="8">
                  <c:v>65.266903579394068</c:v>
                </c:pt>
                <c:pt idx="9">
                  <c:v>65.611231322250561</c:v>
                </c:pt>
                <c:pt idx="10">
                  <c:v>66.114727028233204</c:v>
                </c:pt>
                <c:pt idx="11">
                  <c:v>65.555779527185322</c:v>
                </c:pt>
                <c:pt idx="12">
                  <c:v>66.426124872339841</c:v>
                </c:pt>
                <c:pt idx="13">
                  <c:v>67.310277961995283</c:v>
                </c:pt>
                <c:pt idx="14">
                  <c:v>68.309217090278764</c:v>
                </c:pt>
                <c:pt idx="15">
                  <c:v>69.426175013044372</c:v>
                </c:pt>
                <c:pt idx="16">
                  <c:v>70.49907716691294</c:v>
                </c:pt>
                <c:pt idx="17">
                  <c:v>72.020884970666785</c:v>
                </c:pt>
                <c:pt idx="18">
                  <c:v>73.560134123116512</c:v>
                </c:pt>
                <c:pt idx="19">
                  <c:v>75.172079527126201</c:v>
                </c:pt>
                <c:pt idx="20">
                  <c:v>76.845052788649312</c:v>
                </c:pt>
                <c:pt idx="21">
                  <c:v>77.034661514042341</c:v>
                </c:pt>
                <c:pt idx="22">
                  <c:v>78.835622294042281</c:v>
                </c:pt>
                <c:pt idx="23">
                  <c:v>80.714038941408006</c:v>
                </c:pt>
                <c:pt idx="24">
                  <c:v>82.679684687136259</c:v>
                </c:pt>
                <c:pt idx="25">
                  <c:v>84.726809652185437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23-4E13-98F7-5328B33E7966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B723-4E13-98F7-5328B33E7966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B723-4E13-98F7-5328B33E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'B9 Cement 48T Rigid 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'B9 Cement 48T Rigid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'B9 Cement 48T Rigid '!$C$192:$AB$192</c:f>
              <c:numCache>
                <c:formatCode>0%</c:formatCode>
                <c:ptCount val="26"/>
                <c:pt idx="0">
                  <c:v>0.93043859847591215</c:v>
                </c:pt>
                <c:pt idx="1">
                  <c:v>0.98800313011154417</c:v>
                </c:pt>
                <c:pt idx="2">
                  <c:v>1.0039474983662164</c:v>
                </c:pt>
                <c:pt idx="3">
                  <c:v>1.0281702838628548</c:v>
                </c:pt>
                <c:pt idx="4">
                  <c:v>1.0543577604438272</c:v>
                </c:pt>
                <c:pt idx="5">
                  <c:v>1.0784102745290349</c:v>
                </c:pt>
                <c:pt idx="6">
                  <c:v>1.13880729151787</c:v>
                </c:pt>
                <c:pt idx="7">
                  <c:v>1.1598533588939761</c:v>
                </c:pt>
                <c:pt idx="8">
                  <c:v>1.1852892393998724</c:v>
                </c:pt>
                <c:pt idx="9">
                  <c:v>1.208652836250147</c:v>
                </c:pt>
                <c:pt idx="10">
                  <c:v>1.2297152776534042</c:v>
                </c:pt>
                <c:pt idx="11">
                  <c:v>1.2848691185983026</c:v>
                </c:pt>
                <c:pt idx="12">
                  <c:v>1.3004133981997021</c:v>
                </c:pt>
                <c:pt idx="13">
                  <c:v>1.3162470550661052</c:v>
                </c:pt>
                <c:pt idx="14">
                  <c:v>1.330400707288947</c:v>
                </c:pt>
                <c:pt idx="15">
                  <c:v>1.3428331045524711</c:v>
                </c:pt>
                <c:pt idx="16">
                  <c:v>1.35669907540993</c:v>
                </c:pt>
                <c:pt idx="17">
                  <c:v>1.3627111807070926</c:v>
                </c:pt>
                <c:pt idx="18">
                  <c:v>1.369132609988565</c:v>
                </c:pt>
                <c:pt idx="19">
                  <c:v>1.3750596331339953</c:v>
                </c:pt>
                <c:pt idx="20">
                  <c:v>1.3806251122129414</c:v>
                </c:pt>
                <c:pt idx="21">
                  <c:v>1.4288680186512774</c:v>
                </c:pt>
                <c:pt idx="22">
                  <c:v>1.4334830331540633</c:v>
                </c:pt>
                <c:pt idx="23">
                  <c:v>1.437637287268934</c:v>
                </c:pt>
                <c:pt idx="24">
                  <c:v>1.4412052434385936</c:v>
                </c:pt>
                <c:pt idx="25">
                  <c:v>1.444442284400195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B-48A3-94E7-412211AAA171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'B9 Cement 48T Rigid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B-48A3-94E7-412211AAA171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B55B-48A3-94E7-412211AAA171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55B-48A3-94E7-412211AAA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'B9 Cement 48T Rigid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'!$C$165:$AG$165</c:f>
              <c:numCache>
                <c:formatCode>_ [$₹-4009]\ * #,##0.00_ ;_ [$₹-4009]\ * \-#,##0.00_ ;_ [$₹-4009]\ * "-"??_ ;_ @_ </c:formatCode>
                <c:ptCount val="31"/>
                <c:pt idx="0">
                  <c:v>60.362334241714436</c:v>
                </c:pt>
                <c:pt idx="1">
                  <c:v>64.697351685576706</c:v>
                </c:pt>
                <c:pt idx="2">
                  <c:v>66.270043648508391</c:v>
                </c:pt>
                <c:pt idx="3">
                  <c:v>67.885805423109943</c:v>
                </c:pt>
                <c:pt idx="4">
                  <c:v>69.554273021126633</c:v>
                </c:pt>
                <c:pt idx="5">
                  <c:v>71.850001819630762</c:v>
                </c:pt>
                <c:pt idx="6">
                  <c:v>73.635786734481897</c:v>
                </c:pt>
                <c:pt idx="7">
                  <c:v>75.469207932461813</c:v>
                </c:pt>
                <c:pt idx="8">
                  <c:v>77.360158501604801</c:v>
                </c:pt>
                <c:pt idx="9">
                  <c:v>79.301200827502626</c:v>
                </c:pt>
                <c:pt idx="10">
                  <c:v>81.302289904502814</c:v>
                </c:pt>
                <c:pt idx="11">
                  <c:v>84.230596660119247</c:v>
                </c:pt>
                <c:pt idx="12">
                  <c:v>86.381422774477201</c:v>
                </c:pt>
                <c:pt idx="13">
                  <c:v>88.596955143157246</c:v>
                </c:pt>
                <c:pt idx="14">
                  <c:v>90.878630731261097</c:v>
                </c:pt>
                <c:pt idx="15">
                  <c:v>93.227766129969567</c:v>
                </c:pt>
                <c:pt idx="16">
                  <c:v>95.646032809604094</c:v>
                </c:pt>
                <c:pt idx="17">
                  <c:v>98.143665193947044</c:v>
                </c:pt>
                <c:pt idx="18">
                  <c:v>100.71357842309141</c:v>
                </c:pt>
                <c:pt idx="19">
                  <c:v>103.36609209648967</c:v>
                </c:pt>
                <c:pt idx="20">
                  <c:v>106.09420962933837</c:v>
                </c:pt>
                <c:pt idx="21">
                  <c:v>110.07236416504149</c:v>
                </c:pt>
                <c:pt idx="22">
                  <c:v>113.00952696665182</c:v>
                </c:pt>
                <c:pt idx="23">
                  <c:v>116.0375119882449</c:v>
                </c:pt>
                <c:pt idx="24">
                  <c:v>119.15839509695037</c:v>
                </c:pt>
                <c:pt idx="25">
                  <c:v>122.38298648394323</c:v>
                </c:pt>
                <c:pt idx="26">
                  <c:v>125.70462060843191</c:v>
                </c:pt>
                <c:pt idx="27">
                  <c:v>129.13422120134658</c:v>
                </c:pt>
                <c:pt idx="28">
                  <c:v>132.67409136331105</c:v>
                </c:pt>
                <c:pt idx="29">
                  <c:v>136.32659633146736</c:v>
                </c:pt>
                <c:pt idx="30">
                  <c:v>140.094165775465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8-48BE-9EEA-2A5315C62CA7}"/>
            </c:ext>
          </c:extLst>
        </c:ser>
        <c:ser>
          <c:idx val="4"/>
          <c:order val="1"/>
          <c:tx>
            <c:strRef>
              <c:f>'B9 Cement 48T Rigid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728-48BE-9EEA-2A5315C62CA7}"/>
              </c:ext>
            </c:extLst>
          </c:dPt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'!$C$168:$AG$168</c:f>
              <c:numCache>
                <c:formatCode>_ [$₹-4009]\ * #,##0.00_ ;_ [$₹-4009]\ * \-#,##0.00_ ;_ [$₹-4009]\ * "-"??_ ;_ @_ </c:formatCode>
                <c:ptCount val="31"/>
                <c:pt idx="0">
                  <c:v>64.875139897022592</c:v>
                </c:pt>
                <c:pt idx="1">
                  <c:v>65.482942020914919</c:v>
                </c:pt>
                <c:pt idx="2">
                  <c:v>66.00947136812789</c:v>
                </c:pt>
                <c:pt idx="3">
                  <c:v>66.025838801780694</c:v>
                </c:pt>
                <c:pt idx="4">
                  <c:v>65.968379643592769</c:v>
                </c:pt>
                <c:pt idx="5">
                  <c:v>66.625850584564589</c:v>
                </c:pt>
                <c:pt idx="6">
                  <c:v>64.660445435272678</c:v>
                </c:pt>
                <c:pt idx="7">
                  <c:v>65.067887551257726</c:v>
                </c:pt>
                <c:pt idx="8">
                  <c:v>65.266903579394068</c:v>
                </c:pt>
                <c:pt idx="9">
                  <c:v>65.611231322250561</c:v>
                </c:pt>
                <c:pt idx="10">
                  <c:v>66.114727028233204</c:v>
                </c:pt>
                <c:pt idx="11">
                  <c:v>65.555779527185322</c:v>
                </c:pt>
                <c:pt idx="12">
                  <c:v>66.426124872339841</c:v>
                </c:pt>
                <c:pt idx="13">
                  <c:v>67.310277961995283</c:v>
                </c:pt>
                <c:pt idx="14">
                  <c:v>68.309217090278764</c:v>
                </c:pt>
                <c:pt idx="15">
                  <c:v>69.426175013044372</c:v>
                </c:pt>
                <c:pt idx="16">
                  <c:v>70.49907716691294</c:v>
                </c:pt>
                <c:pt idx="17">
                  <c:v>72.020884970666785</c:v>
                </c:pt>
                <c:pt idx="18">
                  <c:v>73.560134123116512</c:v>
                </c:pt>
                <c:pt idx="19">
                  <c:v>75.172079527126201</c:v>
                </c:pt>
                <c:pt idx="20">
                  <c:v>76.845052788649312</c:v>
                </c:pt>
                <c:pt idx="21">
                  <c:v>77.034661514042341</c:v>
                </c:pt>
                <c:pt idx="22">
                  <c:v>78.835622294042281</c:v>
                </c:pt>
                <c:pt idx="23">
                  <c:v>80.714038941408006</c:v>
                </c:pt>
                <c:pt idx="24">
                  <c:v>82.679684687136259</c:v>
                </c:pt>
                <c:pt idx="25">
                  <c:v>84.726809652185437</c:v>
                </c:pt>
                <c:pt idx="26">
                  <c:v>87.248698366099816</c:v>
                </c:pt>
                <c:pt idx="27">
                  <c:v>89.930481245965083</c:v>
                </c:pt>
                <c:pt idx="28">
                  <c:v>92.708071946876728</c:v>
                </c:pt>
                <c:pt idx="29">
                  <c:v>95.598706343922473</c:v>
                </c:pt>
                <c:pt idx="30">
                  <c:v>98.597488877978847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8-48BE-9EEA-2A5315C62CA7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1728-48BE-9EEA-2A5315C62CA7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1728-48BE-9EEA-2A5315C62CA7}"/>
            </c:ext>
          </c:extLst>
        </c:ser>
        <c:ser>
          <c:idx val="2"/>
          <c:order val="5"/>
          <c:tx>
            <c:strRef>
              <c:f>'B9 Cement 48T Rigid 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'!$C$169:$AG$169</c:f>
              <c:numCache>
                <c:formatCode>_ [$₹-4009]\ * #,##0.00_ ;_ [$₹-4009]\ * \-#,##0.00_ ;_ [$₹-4009]\ * "-"??_ ;_ @_ </c:formatCode>
                <c:ptCount val="31"/>
                <c:pt idx="0">
                  <c:v>116.81523816092557</c:v>
                </c:pt>
                <c:pt idx="1">
                  <c:v>116.81081307130012</c:v>
                </c:pt>
                <c:pt idx="2">
                  <c:v>116.92054888903235</c:v>
                </c:pt>
                <c:pt idx="3">
                  <c:v>117.14509385464926</c:v>
                </c:pt>
                <c:pt idx="4">
                  <c:v>117.488397415457</c:v>
                </c:pt>
                <c:pt idx="5">
                  <c:v>118.67552395319218</c:v>
                </c:pt>
                <c:pt idx="6">
                  <c:v>114.94006696169987</c:v>
                </c:pt>
                <c:pt idx="7">
                  <c:v>113.49705184304338</c:v>
                </c:pt>
                <c:pt idx="8">
                  <c:v>112.18497588017743</c:v>
                </c:pt>
                <c:pt idx="9">
                  <c:v>110.9926910786043</c:v>
                </c:pt>
                <c:pt idx="10">
                  <c:v>109.92839516443571</c:v>
                </c:pt>
                <c:pt idx="11">
                  <c:v>108.00530689331706</c:v>
                </c:pt>
                <c:pt idx="12">
                  <c:v>107.16762892847751</c:v>
                </c:pt>
                <c:pt idx="13">
                  <c:v>106.45091264242501</c:v>
                </c:pt>
                <c:pt idx="14">
                  <c:v>105.85343145749557</c:v>
                </c:pt>
                <c:pt idx="15">
                  <c:v>105.37359525736875</c:v>
                </c:pt>
                <c:pt idx="16">
                  <c:v>102.69305892365641</c:v>
                </c:pt>
                <c:pt idx="17">
                  <c:v>102.86809751277782</c:v>
                </c:pt>
                <c:pt idx="18">
                  <c:v>103.15135175633934</c:v>
                </c:pt>
                <c:pt idx="19">
                  <c:v>103.54856198318174</c:v>
                </c:pt>
                <c:pt idx="20">
                  <c:v>104.05165791862906</c:v>
                </c:pt>
                <c:pt idx="21">
                  <c:v>104.03294987565009</c:v>
                </c:pt>
                <c:pt idx="22">
                  <c:v>104.74447314993444</c:v>
                </c:pt>
                <c:pt idx="23">
                  <c:v>105.56925483484176</c:v>
                </c:pt>
                <c:pt idx="24">
                  <c:v>106.50510163795589</c:v>
                </c:pt>
                <c:pt idx="25">
                  <c:v>107.56355488385591</c:v>
                </c:pt>
                <c:pt idx="26">
                  <c:v>108.45785450343051</c:v>
                </c:pt>
                <c:pt idx="27">
                  <c:v>110.90380897721613</c:v>
                </c:pt>
                <c:pt idx="28">
                  <c:v>113.48335921887566</c:v>
                </c:pt>
                <c:pt idx="29">
                  <c:v>116.19889186996953</c:v>
                </c:pt>
                <c:pt idx="30">
                  <c:v>119.04963806147605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28-48BE-9EEA-2A5315C62CA7}"/>
            </c:ext>
          </c:extLst>
        </c:ser>
        <c:ser>
          <c:idx val="6"/>
          <c:order val="6"/>
          <c:tx>
            <c:strRef>
              <c:f>'B9 Cement 48T Rigid 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'!$C$170:$AG$170</c:f>
              <c:numCache>
                <c:formatCode>_ [$₹-4009]\ * #,##0.00_ ;_ [$₹-4009]\ * \-#,##0.00_ ;_ [$₹-4009]\ * "-"??_ ;_ @_ </c:formatCode>
                <c:ptCount val="31"/>
                <c:pt idx="0">
                  <c:v>119.10754999851798</c:v>
                </c:pt>
                <c:pt idx="1">
                  <c:v>118.52186386451058</c:v>
                </c:pt>
                <c:pt idx="2">
                  <c:v>118.05151483967273</c:v>
                </c:pt>
                <c:pt idx="3">
                  <c:v>117.6955722792292</c:v>
                </c:pt>
                <c:pt idx="4">
                  <c:v>117.46186716731759</c:v>
                </c:pt>
                <c:pt idx="5">
                  <c:v>117.74166960693424</c:v>
                </c:pt>
                <c:pt idx="6">
                  <c:v>114.62901158494446</c:v>
                </c:pt>
                <c:pt idx="7">
                  <c:v>113.27487143485639</c:v>
                </c:pt>
                <c:pt idx="8">
                  <c:v>112.03423908535275</c:v>
                </c:pt>
                <c:pt idx="9">
                  <c:v>110.91193873323716</c:v>
                </c:pt>
                <c:pt idx="10">
                  <c:v>109.90624779534352</c:v>
                </c:pt>
                <c:pt idx="11">
                  <c:v>107.30155217266925</c:v>
                </c:pt>
                <c:pt idx="12">
                  <c:v>106.52660777857068</c:v>
                </c:pt>
                <c:pt idx="13">
                  <c:v>105.86419374254008</c:v>
                </c:pt>
                <c:pt idx="14">
                  <c:v>105.31793676135345</c:v>
                </c:pt>
                <c:pt idx="15">
                  <c:v>104.88176610039724</c:v>
                </c:pt>
                <c:pt idx="16">
                  <c:v>102.61101278220364</c:v>
                </c:pt>
                <c:pt idx="17">
                  <c:v>102.92946086954132</c:v>
                </c:pt>
                <c:pt idx="18">
                  <c:v>103.34914845289191</c:v>
                </c:pt>
                <c:pt idx="19">
                  <c:v>103.8710978423336</c:v>
                </c:pt>
                <c:pt idx="20">
                  <c:v>104.48587104240833</c:v>
                </c:pt>
                <c:pt idx="21">
                  <c:v>103.00978437429256</c:v>
                </c:pt>
                <c:pt idx="22">
                  <c:v>103.81340940580276</c:v>
                </c:pt>
                <c:pt idx="23">
                  <c:v>104.7157864424215</c:v>
                </c:pt>
                <c:pt idx="24">
                  <c:v>105.72702160006993</c:v>
                </c:pt>
                <c:pt idx="25">
                  <c:v>106.83995976187076</c:v>
                </c:pt>
                <c:pt idx="26">
                  <c:v>107.729290886537</c:v>
                </c:pt>
                <c:pt idx="27">
                  <c:v>110.16414532889073</c:v>
                </c:pt>
                <c:pt idx="28">
                  <c:v>112.71788154663395</c:v>
                </c:pt>
                <c:pt idx="29">
                  <c:v>115.39630434681487</c:v>
                </c:pt>
                <c:pt idx="30">
                  <c:v>118.19678522065837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28-48BE-9EEA-2A5315C62CA7}"/>
            </c:ext>
          </c:extLst>
        </c:ser>
        <c:ser>
          <c:idx val="7"/>
          <c:order val="7"/>
          <c:tx>
            <c:strRef>
              <c:f>'B9 Cement 48T Rigid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'!$C$167:$AG$167</c:f>
              <c:numCache>
                <c:formatCode>_ [$₹-4009]\ * #,##0.00_ ;_ [$₹-4009]\ * \-#,##0.00_ ;_ [$₹-4009]\ * "-"??_ ;_ @_ </c:formatCode>
                <c:ptCount val="31"/>
                <c:pt idx="0">
                  <c:v>58.08813432405185</c:v>
                </c:pt>
                <c:pt idx="1">
                  <c:v>59.963602268301017</c:v>
                </c:pt>
                <c:pt idx="2">
                  <c:v>61.727841324411834</c:v>
                </c:pt>
                <c:pt idx="3">
                  <c:v>63.548702931460845</c:v>
                </c:pt>
                <c:pt idx="4">
                  <c:v>65.434678887927063</c:v>
                </c:pt>
                <c:pt idx="5">
                  <c:v>67.987035932521451</c:v>
                </c:pt>
                <c:pt idx="6">
                  <c:v>70.018458127357562</c:v>
                </c:pt>
                <c:pt idx="7">
                  <c:v>72.113613234630961</c:v>
                </c:pt>
                <c:pt idx="8">
                  <c:v>74.281183273173227</c:v>
                </c:pt>
                <c:pt idx="9">
                  <c:v>76.515576197741154</c:v>
                </c:pt>
                <c:pt idx="10">
                  <c:v>78.827097010583643</c:v>
                </c:pt>
                <c:pt idx="11">
                  <c:v>82.163730168312654</c:v>
                </c:pt>
                <c:pt idx="12">
                  <c:v>84.661389535479373</c:v>
                </c:pt>
                <c:pt idx="13">
                  <c:v>87.242134677153359</c:v>
                </c:pt>
                <c:pt idx="14">
                  <c:v>89.90946537812907</c:v>
                </c:pt>
                <c:pt idx="15">
                  <c:v>92.665303398556063</c:v>
                </c:pt>
                <c:pt idx="16">
                  <c:v>95.50999470376388</c:v>
                </c:pt>
                <c:pt idx="17">
                  <c:v>98.457558917495987</c:v>
                </c:pt>
                <c:pt idx="18">
                  <c:v>101.4998001655031</c:v>
                </c:pt>
                <c:pt idx="19">
                  <c:v>104.6492400108998</c:v>
                </c:pt>
                <c:pt idx="20">
                  <c:v>107.89783121082138</c:v>
                </c:pt>
                <c:pt idx="21">
                  <c:v>112.51249499941798</c:v>
                </c:pt>
                <c:pt idx="22">
                  <c:v>116.02288826566206</c:v>
                </c:pt>
                <c:pt idx="23">
                  <c:v>119.65458400773105</c:v>
                </c:pt>
                <c:pt idx="24">
                  <c:v>123.40665583483144</c:v>
                </c:pt>
                <c:pt idx="25">
                  <c:v>127.29224476129141</c:v>
                </c:pt>
                <c:pt idx="26">
                  <c:v>131.30545809277803</c:v>
                </c:pt>
                <c:pt idx="27">
                  <c:v>135.45962624539357</c:v>
                </c:pt>
                <c:pt idx="28">
                  <c:v>139.75773317457117</c:v>
                </c:pt>
                <c:pt idx="29">
                  <c:v>144.20286611387826</c:v>
                </c:pt>
                <c:pt idx="30">
                  <c:v>148.79821923066456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728-48BE-9EEA-2A5315C62CA7}"/>
            </c:ext>
          </c:extLst>
        </c:ser>
        <c:ser>
          <c:idx val="8"/>
          <c:order val="8"/>
          <c:tx>
            <c:strRef>
              <c:f>'B9 Cement 48T Rigid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'!$C$166:$AG$166</c:f>
              <c:numCache>
                <c:formatCode>_ [$₹-4009]\ * #,##0.00_ ;_ [$₹-4009]\ * \-#,##0.00_ ;_ [$₹-4009]\ * "-"??_ ;_ @_ </c:formatCode>
                <c:ptCount val="31"/>
                <c:pt idx="0">
                  <c:v>57.985162891164187</c:v>
                </c:pt>
                <c:pt idx="1">
                  <c:v>60.314520197253948</c:v>
                </c:pt>
                <c:pt idx="2">
                  <c:v>62.107210108727131</c:v>
                </c:pt>
                <c:pt idx="3">
                  <c:v>63.9566628064334</c:v>
                </c:pt>
                <c:pt idx="4">
                  <c:v>65.873119580848623</c:v>
                </c:pt>
                <c:pt idx="5">
                  <c:v>68.456568340115169</c:v>
                </c:pt>
                <c:pt idx="6">
                  <c:v>70.521456758186332</c:v>
                </c:pt>
                <c:pt idx="7">
                  <c:v>72.650217021118181</c:v>
                </c:pt>
                <c:pt idx="8">
                  <c:v>74.853326129825362</c:v>
                </c:pt>
                <c:pt idx="9">
                  <c:v>77.123960063284741</c:v>
                </c:pt>
                <c:pt idx="10">
                  <c:v>79.472718056940877</c:v>
                </c:pt>
                <c:pt idx="11">
                  <c:v>82.810508979122133</c:v>
                </c:pt>
                <c:pt idx="12">
                  <c:v>85.348798206491651</c:v>
                </c:pt>
                <c:pt idx="13">
                  <c:v>87.97218009474075</c:v>
                </c:pt>
                <c:pt idx="14">
                  <c:v>90.682868484704443</c:v>
                </c:pt>
                <c:pt idx="15">
                  <c:v>93.483151510677331</c:v>
                </c:pt>
                <c:pt idx="16">
                  <c:v>96.375394150371505</c:v>
                </c:pt>
                <c:pt idx="17">
                  <c:v>99.370721419834922</c:v>
                </c:pt>
                <c:pt idx="18">
                  <c:v>102.46297943875179</c:v>
                </c:pt>
                <c:pt idx="19">
                  <c:v>105.66346048055179</c:v>
                </c:pt>
                <c:pt idx="20">
                  <c:v>108.96618367743109</c:v>
                </c:pt>
                <c:pt idx="21">
                  <c:v>113.60414069753837</c:v>
                </c:pt>
                <c:pt idx="22">
                  <c:v>117.17382112861766</c:v>
                </c:pt>
                <c:pt idx="23">
                  <c:v>120.86418135973553</c:v>
                </c:pt>
                <c:pt idx="24">
                  <c:v>124.67833732620886</c:v>
                </c:pt>
                <c:pt idx="25">
                  <c:v>128.62819073411384</c:v>
                </c:pt>
                <c:pt idx="26">
                  <c:v>132.70839102621613</c:v>
                </c:pt>
                <c:pt idx="27">
                  <c:v>136.93106136487998</c:v>
                </c:pt>
                <c:pt idx="28">
                  <c:v>141.2997608587863</c:v>
                </c:pt>
                <c:pt idx="29">
                  <c:v>145.8181691493478</c:v>
                </c:pt>
                <c:pt idx="30">
                  <c:v>150.49009058399491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28-48BE-9EEA-2A5315C62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'B9 Cement 48T Rigid 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'B9 Cement 48T Rigid 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'B9 Cement 48T Rigid 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54.326100817542994</c:v>
                      </c:pt>
                      <c:pt idx="1">
                        <c:v>58.227616517019037</c:v>
                      </c:pt>
                      <c:pt idx="2">
                        <c:v>59.643039283657551</c:v>
                      </c:pt>
                      <c:pt idx="3">
                        <c:v>61.097224880798947</c:v>
                      </c:pt>
                      <c:pt idx="4">
                        <c:v>62.598845719013973</c:v>
                      </c:pt>
                      <c:pt idx="5">
                        <c:v>64.665001637667686</c:v>
                      </c:pt>
                      <c:pt idx="6">
                        <c:v>66.272208061033709</c:v>
                      </c:pt>
                      <c:pt idx="7">
                        <c:v>67.922287139215641</c:v>
                      </c:pt>
                      <c:pt idx="8">
                        <c:v>69.624142651444316</c:v>
                      </c:pt>
                      <c:pt idx="9">
                        <c:v>71.371080744752362</c:v>
                      </c:pt>
                      <c:pt idx="10">
                        <c:v>73.172060914052537</c:v>
                      </c:pt>
                      <c:pt idx="11">
                        <c:v>75.807536994107323</c:v>
                      </c:pt>
                      <c:pt idx="12">
                        <c:v>77.743280497029488</c:v>
                      </c:pt>
                      <c:pt idx="13">
                        <c:v>79.737259628841528</c:v>
                      </c:pt>
                      <c:pt idx="14">
                        <c:v>81.790767658134996</c:v>
                      </c:pt>
                      <c:pt idx="15">
                        <c:v>83.904989516972606</c:v>
                      </c:pt>
                      <c:pt idx="16">
                        <c:v>86.081429528643682</c:v>
                      </c:pt>
                      <c:pt idx="17">
                        <c:v>88.329298674552348</c:v>
                      </c:pt>
                      <c:pt idx="18">
                        <c:v>90.642220580782265</c:v>
                      </c:pt>
                      <c:pt idx="19">
                        <c:v>93.029482886840697</c:v>
                      </c:pt>
                      <c:pt idx="20">
                        <c:v>95.484788666404526</c:v>
                      </c:pt>
                      <c:pt idx="21">
                        <c:v>99.06512774853735</c:v>
                      </c:pt>
                      <c:pt idx="22">
                        <c:v>101.70857426998664</c:v>
                      </c:pt>
                      <c:pt idx="23">
                        <c:v>104.43376078942042</c:v>
                      </c:pt>
                      <c:pt idx="24">
                        <c:v>107.24255558725534</c:v>
                      </c:pt>
                      <c:pt idx="25">
                        <c:v>110.14468783554891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1728-48BE-9EEA-2A5315C62CA7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'B9 Cement 48T Rigid 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'!$C$174:$AG$174</c:f>
              <c:numCache>
                <c:formatCode>_ [$₹-4009]\ * #,##0.00_ ;_ [$₹-4009]\ * \-#,##0.00_ ;_ [$₹-4009]\ * "-"??_ ;_ @_ </c:formatCode>
                <c:ptCount val="31"/>
                <c:pt idx="0">
                  <c:v>1.7246381211918409</c:v>
                </c:pt>
                <c:pt idx="1">
                  <c:v>1.8484957624450487</c:v>
                </c:pt>
                <c:pt idx="2">
                  <c:v>1.8934298185288112</c:v>
                </c:pt>
                <c:pt idx="3">
                  <c:v>1.9395944406602841</c:v>
                </c:pt>
                <c:pt idx="4">
                  <c:v>1.9872649434607608</c:v>
                </c:pt>
                <c:pt idx="5">
                  <c:v>2.052857194846593</c:v>
                </c:pt>
                <c:pt idx="6">
                  <c:v>2.1038796209851971</c:v>
                </c:pt>
                <c:pt idx="7">
                  <c:v>2.1562630837846233</c:v>
                </c:pt>
                <c:pt idx="8">
                  <c:v>2.2102902429029943</c:v>
                </c:pt>
                <c:pt idx="9">
                  <c:v>2.2657485950715035</c:v>
                </c:pt>
                <c:pt idx="10">
                  <c:v>2.3229225687000805</c:v>
                </c:pt>
                <c:pt idx="11">
                  <c:v>2.4065884760034071</c:v>
                </c:pt>
                <c:pt idx="12">
                  <c:v>2.4680406506993484</c:v>
                </c:pt>
                <c:pt idx="13">
                  <c:v>2.5313415755187783</c:v>
                </c:pt>
                <c:pt idx="14">
                  <c:v>2.5965323066074597</c:v>
                </c:pt>
                <c:pt idx="15">
                  <c:v>2.6636504608562732</c:v>
                </c:pt>
                <c:pt idx="16">
                  <c:v>2.732743794560117</c:v>
                </c:pt>
                <c:pt idx="17">
                  <c:v>2.8041047198270581</c:v>
                </c:pt>
                <c:pt idx="18">
                  <c:v>2.8775308120883261</c:v>
                </c:pt>
                <c:pt idx="19">
                  <c:v>2.9533169170425619</c:v>
                </c:pt>
                <c:pt idx="20">
                  <c:v>3.0312631322668104</c:v>
                </c:pt>
                <c:pt idx="21">
                  <c:v>3.144924690429757</c:v>
                </c:pt>
                <c:pt idx="22">
                  <c:v>3.2288436276186232</c:v>
                </c:pt>
                <c:pt idx="23">
                  <c:v>3.315357485378426</c:v>
                </c:pt>
                <c:pt idx="24">
                  <c:v>3.404525574198582</c:v>
                </c:pt>
                <c:pt idx="25">
                  <c:v>3.496656756684092</c:v>
                </c:pt>
                <c:pt idx="26">
                  <c:v>3.5915605888123401</c:v>
                </c:pt>
                <c:pt idx="27">
                  <c:v>3.6895491771813305</c:v>
                </c:pt>
                <c:pt idx="28">
                  <c:v>3.7906883246660303</c:v>
                </c:pt>
                <c:pt idx="29">
                  <c:v>3.8950456094704959</c:v>
                </c:pt>
                <c:pt idx="30">
                  <c:v>4.0026904507275711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A-48E7-9409-3BDBE7E923E3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32A-48E7-9409-3BDBE7E923E3}"/>
            </c:ext>
          </c:extLst>
        </c:ser>
        <c:ser>
          <c:idx val="3"/>
          <c:order val="2"/>
          <c:tx>
            <c:strRef>
              <c:f>'B9 Cement 48T Rigid 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'!$C$177:$AG$177</c:f>
              <c:numCache>
                <c:formatCode>_ [$₹-4009]\ * #,##0.00_ ;_ [$₹-4009]\ * \-#,##0.00_ ;_ [$₹-4009]\ * "-"??_ ;_ @_ </c:formatCode>
                <c:ptCount val="31"/>
                <c:pt idx="0">
                  <c:v>2.0147558974230617</c:v>
                </c:pt>
                <c:pt idx="1">
                  <c:v>2.0336317397799668</c:v>
                </c:pt>
                <c:pt idx="2">
                  <c:v>2.0499835828611146</c:v>
                </c:pt>
                <c:pt idx="3">
                  <c:v>2.0504918882540588</c:v>
                </c:pt>
                <c:pt idx="4">
                  <c:v>2.0487074423476015</c:v>
                </c:pt>
                <c:pt idx="5">
                  <c:v>2.0691257945516957</c:v>
                </c:pt>
                <c:pt idx="6">
                  <c:v>2.008088367555052</c:v>
                </c:pt>
                <c:pt idx="7">
                  <c:v>2.0207418494179419</c:v>
                </c:pt>
                <c:pt idx="8">
                  <c:v>2.0269224714097538</c:v>
                </c:pt>
                <c:pt idx="9">
                  <c:v>2.0376158795729986</c:v>
                </c:pt>
                <c:pt idx="10">
                  <c:v>2.0532523921811552</c:v>
                </c:pt>
                <c:pt idx="11">
                  <c:v>2.03589377413619</c:v>
                </c:pt>
                <c:pt idx="12">
                  <c:v>2.0629231326813615</c:v>
                </c:pt>
                <c:pt idx="13">
                  <c:v>2.0903813031675553</c:v>
                </c:pt>
                <c:pt idx="14">
                  <c:v>2.1214042574620731</c:v>
                </c:pt>
                <c:pt idx="15">
                  <c:v>2.1560923917094525</c:v>
                </c:pt>
                <c:pt idx="16">
                  <c:v>2.1894123343761782</c:v>
                </c:pt>
                <c:pt idx="17">
                  <c:v>2.2366734462939992</c:v>
                </c:pt>
                <c:pt idx="18">
                  <c:v>2.2844762150036182</c:v>
                </c:pt>
                <c:pt idx="19">
                  <c:v>2.3345366312772113</c:v>
                </c:pt>
                <c:pt idx="20">
                  <c:v>2.3864923226288606</c:v>
                </c:pt>
                <c:pt idx="21">
                  <c:v>2.3923807923615636</c:v>
                </c:pt>
                <c:pt idx="22">
                  <c:v>2.4483112513677727</c:v>
                </c:pt>
                <c:pt idx="23">
                  <c:v>2.506647172093416</c:v>
                </c:pt>
                <c:pt idx="24">
                  <c:v>2.567692071029076</c:v>
                </c:pt>
                <c:pt idx="25">
                  <c:v>2.6312673805026532</c:v>
                </c:pt>
                <c:pt idx="26">
                  <c:v>2.7095869057794975</c:v>
                </c:pt>
                <c:pt idx="27">
                  <c:v>2.792872088384009</c:v>
                </c:pt>
                <c:pt idx="28">
                  <c:v>2.8791326691576624</c:v>
                </c:pt>
                <c:pt idx="29">
                  <c:v>2.9689039237243002</c:v>
                </c:pt>
                <c:pt idx="30">
                  <c:v>3.0620338160862999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2A-48E7-9409-3BDBE7E923E3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32A-48E7-9409-3BDBE7E923E3}"/>
            </c:ext>
          </c:extLst>
        </c:ser>
        <c:ser>
          <c:idx val="2"/>
          <c:order val="5"/>
          <c:tx>
            <c:strRef>
              <c:f>'B9 Cement 48T Rigid 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'!$C$175:$AG$175</c:f>
              <c:numCache>
                <c:formatCode>_ [$₹-4009]\ * #,##0.00_ ;_ [$₹-4009]\ * \-#,##0.00_ ;_ [$₹-4009]\ * "-"??_ ;_ @_ </c:formatCode>
                <c:ptCount val="31"/>
                <c:pt idx="0">
                  <c:v>3.3375782331693018</c:v>
                </c:pt>
                <c:pt idx="1">
                  <c:v>3.3374518020371462</c:v>
                </c:pt>
                <c:pt idx="2">
                  <c:v>3.3405871111152097</c:v>
                </c:pt>
                <c:pt idx="3">
                  <c:v>3.3470026815614076</c:v>
                </c:pt>
                <c:pt idx="4">
                  <c:v>3.356811354727343</c:v>
                </c:pt>
                <c:pt idx="5">
                  <c:v>3.3907292558054909</c:v>
                </c:pt>
                <c:pt idx="6">
                  <c:v>3.2840019131914246</c:v>
                </c:pt>
                <c:pt idx="7">
                  <c:v>3.2427729098012392</c:v>
                </c:pt>
                <c:pt idx="8">
                  <c:v>3.2052850251479268</c:v>
                </c:pt>
                <c:pt idx="9">
                  <c:v>3.17121974510298</c:v>
                </c:pt>
                <c:pt idx="10">
                  <c:v>3.140811290412449</c:v>
                </c:pt>
                <c:pt idx="11">
                  <c:v>3.0858659112376303</c:v>
                </c:pt>
                <c:pt idx="12">
                  <c:v>3.0619322550993573</c:v>
                </c:pt>
                <c:pt idx="13">
                  <c:v>3.0414546469264288</c:v>
                </c:pt>
                <c:pt idx="14">
                  <c:v>3.024383755928445</c:v>
                </c:pt>
                <c:pt idx="15">
                  <c:v>3.0106741502105354</c:v>
                </c:pt>
                <c:pt idx="16">
                  <c:v>2.9340873978187547</c:v>
                </c:pt>
                <c:pt idx="17">
                  <c:v>2.9390885003650808</c:v>
                </c:pt>
                <c:pt idx="18">
                  <c:v>2.9471814787525523</c:v>
                </c:pt>
                <c:pt idx="19">
                  <c:v>2.9585303423766209</c:v>
                </c:pt>
                <c:pt idx="20">
                  <c:v>2.9729045119608304</c:v>
                </c:pt>
                <c:pt idx="21">
                  <c:v>2.9723699964471457</c:v>
                </c:pt>
                <c:pt idx="22">
                  <c:v>2.9926992328552693</c:v>
                </c:pt>
                <c:pt idx="23">
                  <c:v>3.0162644238526215</c:v>
                </c:pt>
                <c:pt idx="24">
                  <c:v>3.0430029039415967</c:v>
                </c:pt>
                <c:pt idx="25">
                  <c:v>3.073244425253026</c:v>
                </c:pt>
                <c:pt idx="26">
                  <c:v>3.0987958429551576</c:v>
                </c:pt>
                <c:pt idx="27">
                  <c:v>3.1686802564918897</c:v>
                </c:pt>
                <c:pt idx="28">
                  <c:v>3.2423816919678763</c:v>
                </c:pt>
                <c:pt idx="29">
                  <c:v>3.3199683391419867</c:v>
                </c:pt>
                <c:pt idx="30">
                  <c:v>3.401418230327887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2A-48E7-9409-3BDBE7E923E3}"/>
            </c:ext>
          </c:extLst>
        </c:ser>
        <c:ser>
          <c:idx val="6"/>
          <c:order val="6"/>
          <c:tx>
            <c:strRef>
              <c:f>'B9 Cement 48T Rigid 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'!$C$176:$AG$176</c:f>
              <c:numCache>
                <c:formatCode>_ [$₹-4009]\ * #,##0.00_ ;_ [$₹-4009]\ * \-#,##0.00_ ;_ [$₹-4009]\ * "-"??_ ;_ @_ </c:formatCode>
                <c:ptCount val="31"/>
                <c:pt idx="0">
                  <c:v>1.6596609806871958</c:v>
                </c:pt>
                <c:pt idx="1">
                  <c:v>1.7132457790943147</c:v>
                </c:pt>
                <c:pt idx="2">
                  <c:v>1.7636526092689095</c:v>
                </c:pt>
                <c:pt idx="3">
                  <c:v>1.8156772266131669</c:v>
                </c:pt>
                <c:pt idx="4">
                  <c:v>1.8695622539407732</c:v>
                </c:pt>
                <c:pt idx="5">
                  <c:v>1.9424867409291844</c:v>
                </c:pt>
                <c:pt idx="6">
                  <c:v>2.0005273750673589</c:v>
                </c:pt>
                <c:pt idx="7">
                  <c:v>2.0603889495608847</c:v>
                </c:pt>
                <c:pt idx="8">
                  <c:v>2.1223195220906637</c:v>
                </c:pt>
                <c:pt idx="9">
                  <c:v>2.1861593199354612</c:v>
                </c:pt>
                <c:pt idx="10">
                  <c:v>2.2522027717309614</c:v>
                </c:pt>
                <c:pt idx="11">
                  <c:v>2.347535147666076</c:v>
                </c:pt>
                <c:pt idx="12">
                  <c:v>2.4188968438708391</c:v>
                </c:pt>
                <c:pt idx="13">
                  <c:v>2.4926324193472387</c:v>
                </c:pt>
                <c:pt idx="14">
                  <c:v>2.5688418679465452</c:v>
                </c:pt>
                <c:pt idx="15">
                  <c:v>2.6475800971016015</c:v>
                </c:pt>
                <c:pt idx="16">
                  <c:v>2.7288569915361109</c:v>
                </c:pt>
                <c:pt idx="17">
                  <c:v>2.8130731119284564</c:v>
                </c:pt>
                <c:pt idx="18">
                  <c:v>2.8999942904429457</c:v>
                </c:pt>
                <c:pt idx="19">
                  <c:v>2.9899782860257087</c:v>
                </c:pt>
                <c:pt idx="20">
                  <c:v>3.0827951774520392</c:v>
                </c:pt>
                <c:pt idx="21">
                  <c:v>3.2146427142690852</c:v>
                </c:pt>
                <c:pt idx="22">
                  <c:v>3.3149396647332017</c:v>
                </c:pt>
                <c:pt idx="23">
                  <c:v>3.4187024002208868</c:v>
                </c:pt>
                <c:pt idx="24">
                  <c:v>3.5259044524237555</c:v>
                </c:pt>
                <c:pt idx="25">
                  <c:v>3.6369212788940404</c:v>
                </c:pt>
                <c:pt idx="26">
                  <c:v>3.7515845169365147</c:v>
                </c:pt>
                <c:pt idx="27">
                  <c:v>3.8702750355826732</c:v>
                </c:pt>
                <c:pt idx="28">
                  <c:v>3.9930780907020331</c:v>
                </c:pt>
                <c:pt idx="29">
                  <c:v>4.1200818889679498</c:v>
                </c:pt>
                <c:pt idx="30">
                  <c:v>4.2513776923047022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2A-48E7-9409-3BDBE7E923E3}"/>
            </c:ext>
          </c:extLst>
        </c:ser>
        <c:ser>
          <c:idx val="7"/>
          <c:order val="7"/>
          <c:tx>
            <c:strRef>
              <c:f>'B9 Cement 48T Rigid 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'!$C$178:$AG$178</c:f>
              <c:numCache>
                <c:formatCode>_ [$₹-4009]\ * #,##0.00_ ;_ [$₹-4009]\ * \-#,##0.00_ ;_ [$₹-4009]\ * "-"??_ ;_ @_ </c:formatCode>
                <c:ptCount val="31"/>
                <c:pt idx="0">
                  <c:v>3.403072857100514</c:v>
                </c:pt>
                <c:pt idx="1">
                  <c:v>3.3863389675574451</c:v>
                </c:pt>
                <c:pt idx="2">
                  <c:v>3.3729004239906497</c:v>
                </c:pt>
                <c:pt idx="3">
                  <c:v>3.3627306365494056</c:v>
                </c:pt>
                <c:pt idx="4">
                  <c:v>3.3560533476376455</c:v>
                </c:pt>
                <c:pt idx="5">
                  <c:v>3.364047703055264</c:v>
                </c:pt>
                <c:pt idx="6">
                  <c:v>3.275114616712699</c:v>
                </c:pt>
                <c:pt idx="7">
                  <c:v>3.2364248981387544</c:v>
                </c:pt>
                <c:pt idx="8">
                  <c:v>3.2009782595815071</c:v>
                </c:pt>
                <c:pt idx="9">
                  <c:v>3.1689125352353478</c:v>
                </c:pt>
                <c:pt idx="10">
                  <c:v>3.1401785084383866</c:v>
                </c:pt>
                <c:pt idx="11">
                  <c:v>3.0657586335048355</c:v>
                </c:pt>
                <c:pt idx="12">
                  <c:v>3.0436173651020195</c:v>
                </c:pt>
                <c:pt idx="13">
                  <c:v>3.0246912497868594</c:v>
                </c:pt>
                <c:pt idx="14">
                  <c:v>3.0090839074672417</c:v>
                </c:pt>
                <c:pt idx="15">
                  <c:v>2.9966218885827782</c:v>
                </c:pt>
                <c:pt idx="16">
                  <c:v>2.9317432223486755</c:v>
                </c:pt>
                <c:pt idx="17">
                  <c:v>2.9408417391297519</c:v>
                </c:pt>
                <c:pt idx="18">
                  <c:v>2.9528328129397687</c:v>
                </c:pt>
                <c:pt idx="19">
                  <c:v>2.967745652638103</c:v>
                </c:pt>
                <c:pt idx="20">
                  <c:v>2.9853106012116664</c:v>
                </c:pt>
                <c:pt idx="21">
                  <c:v>2.9431366964083594</c:v>
                </c:pt>
                <c:pt idx="22">
                  <c:v>2.9660974115943644</c:v>
                </c:pt>
                <c:pt idx="23">
                  <c:v>2.9918796126406142</c:v>
                </c:pt>
                <c:pt idx="24">
                  <c:v>3.0207720457162837</c:v>
                </c:pt>
                <c:pt idx="25">
                  <c:v>3.0525702789105931</c:v>
                </c:pt>
                <c:pt idx="26">
                  <c:v>3.0779797396153428</c:v>
                </c:pt>
                <c:pt idx="27">
                  <c:v>3.1475470093968778</c:v>
                </c:pt>
                <c:pt idx="28">
                  <c:v>3.2205109013323985</c:v>
                </c:pt>
                <c:pt idx="29">
                  <c:v>3.2970372670518535</c:v>
                </c:pt>
                <c:pt idx="30">
                  <c:v>3.3770510063045247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2A-48E7-9409-3BDBE7E923E3}"/>
            </c:ext>
          </c:extLst>
        </c:ser>
        <c:ser>
          <c:idx val="8"/>
          <c:order val="8"/>
          <c:tx>
            <c:strRef>
              <c:f>'B9 Cement 48T Rigid 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'B9 Cement 48T Rigid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'!$C$179:$AG$179</c:f>
              <c:numCache>
                <c:formatCode>_ [$₹-4009]\ * #,##0.00_ ;_ [$₹-4009]\ * \-#,##0.00_ ;_ [$₹-4009]\ * "-"??_ ;_ @_ </c:formatCode>
                <c:ptCount val="31"/>
                <c:pt idx="0">
                  <c:v>3.5134970501037754</c:v>
                </c:pt>
                <c:pt idx="1">
                  <c:v>3.4962201729944122</c:v>
                </c:pt>
                <c:pt idx="2">
                  <c:v>3.4823455704918209</c:v>
                </c:pt>
                <c:pt idx="3">
                  <c:v>3.4718457899477637</c:v>
                </c:pt>
                <c:pt idx="4">
                  <c:v>3.4649518338441769</c:v>
                </c:pt>
                <c:pt idx="5">
                  <c:v>3.473205593124904</c:v>
                </c:pt>
                <c:pt idx="6">
                  <c:v>3.3813867724172408</c:v>
                </c:pt>
                <c:pt idx="7">
                  <c:v>3.3414416352465013</c:v>
                </c:pt>
                <c:pt idx="8">
                  <c:v>3.3048448107773676</c:v>
                </c:pt>
                <c:pt idx="9">
                  <c:v>3.2717386057002114</c:v>
                </c:pt>
                <c:pt idx="10">
                  <c:v>3.2420722063523164</c:v>
                </c:pt>
                <c:pt idx="11">
                  <c:v>3.1652375272173816</c:v>
                </c:pt>
                <c:pt idx="12">
                  <c:v>3.1423778105773064</c:v>
                </c:pt>
                <c:pt idx="13">
                  <c:v>3.1228375735262563</c:v>
                </c:pt>
                <c:pt idx="14">
                  <c:v>3.1067237982700133</c:v>
                </c:pt>
                <c:pt idx="15">
                  <c:v>3.0938574070913645</c:v>
                </c:pt>
                <c:pt idx="16">
                  <c:v>3.0268735333983376</c:v>
                </c:pt>
                <c:pt idx="17">
                  <c:v>3.0362672822873544</c:v>
                </c:pt>
                <c:pt idx="18">
                  <c:v>3.0486474469879621</c:v>
                </c:pt>
                <c:pt idx="19">
                  <c:v>3.0640441841396342</c:v>
                </c:pt>
                <c:pt idx="20">
                  <c:v>3.0821790867967063</c:v>
                </c:pt>
                <c:pt idx="21">
                  <c:v>3.0386367072062703</c:v>
                </c:pt>
                <c:pt idx="22">
                  <c:v>3.0623424603481642</c:v>
                </c:pt>
                <c:pt idx="23">
                  <c:v>3.088961251988835</c:v>
                </c:pt>
                <c:pt idx="24">
                  <c:v>3.1187911976421807</c:v>
                </c:pt>
                <c:pt idx="25">
                  <c:v>3.1516212319135919</c:v>
                </c:pt>
                <c:pt idx="26">
                  <c:v>3.1778551883934218</c:v>
                </c:pt>
                <c:pt idx="27">
                  <c:v>3.2496798032121159</c:v>
                </c:pt>
                <c:pt idx="28">
                  <c:v>3.3250112550629485</c:v>
                </c:pt>
                <c:pt idx="29">
                  <c:v>3.4040207771921791</c:v>
                </c:pt>
                <c:pt idx="30">
                  <c:v>3.4866308324677981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2A-48E7-9409-3BDBE7E92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'B9 Cement 48T Rigid 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'B9 Cement 48T Rigid 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'B9 Cement 48T Rigid 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1.7246381211918409</c:v>
                      </c:pt>
                      <c:pt idx="1">
                        <c:v>1.8484957624450487</c:v>
                      </c:pt>
                      <c:pt idx="2">
                        <c:v>1.8934298185288112</c:v>
                      </c:pt>
                      <c:pt idx="3">
                        <c:v>1.9395944406602841</c:v>
                      </c:pt>
                      <c:pt idx="4">
                        <c:v>1.9872649434607608</c:v>
                      </c:pt>
                      <c:pt idx="5">
                        <c:v>2.052857194846593</c:v>
                      </c:pt>
                      <c:pt idx="6">
                        <c:v>2.1038796209851971</c:v>
                      </c:pt>
                      <c:pt idx="7">
                        <c:v>2.1562630837846233</c:v>
                      </c:pt>
                      <c:pt idx="8">
                        <c:v>2.2102902429029943</c:v>
                      </c:pt>
                      <c:pt idx="9">
                        <c:v>2.2657485950715035</c:v>
                      </c:pt>
                      <c:pt idx="10">
                        <c:v>2.3229225687000805</c:v>
                      </c:pt>
                      <c:pt idx="11">
                        <c:v>2.4065884760034071</c:v>
                      </c:pt>
                      <c:pt idx="12">
                        <c:v>2.4680406506993484</c:v>
                      </c:pt>
                      <c:pt idx="13">
                        <c:v>2.5313415755187783</c:v>
                      </c:pt>
                      <c:pt idx="14">
                        <c:v>2.5965323066074597</c:v>
                      </c:pt>
                      <c:pt idx="15">
                        <c:v>2.6636504608562732</c:v>
                      </c:pt>
                      <c:pt idx="16">
                        <c:v>2.732743794560117</c:v>
                      </c:pt>
                      <c:pt idx="17">
                        <c:v>2.8041047198270581</c:v>
                      </c:pt>
                      <c:pt idx="18">
                        <c:v>2.8775308120883261</c:v>
                      </c:pt>
                      <c:pt idx="19">
                        <c:v>2.9533169170425619</c:v>
                      </c:pt>
                      <c:pt idx="20">
                        <c:v>3.0312631322668104</c:v>
                      </c:pt>
                      <c:pt idx="21">
                        <c:v>3.144924690429757</c:v>
                      </c:pt>
                      <c:pt idx="22">
                        <c:v>3.2288436276186232</c:v>
                      </c:pt>
                      <c:pt idx="23">
                        <c:v>3.315357485378426</c:v>
                      </c:pt>
                      <c:pt idx="24">
                        <c:v>3.404525574198582</c:v>
                      </c:pt>
                      <c:pt idx="25">
                        <c:v>3.496656756684092</c:v>
                      </c:pt>
                      <c:pt idx="26">
                        <c:v>3.5915605888123401</c:v>
                      </c:pt>
                      <c:pt idx="27">
                        <c:v>3.6895491771813305</c:v>
                      </c:pt>
                      <c:pt idx="28">
                        <c:v>3.7906883246660303</c:v>
                      </c:pt>
                      <c:pt idx="29">
                        <c:v>3.8950456094704959</c:v>
                      </c:pt>
                      <c:pt idx="30">
                        <c:v>4.0026904507275711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32A-48E7-9409-3BDBE7E923E3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'B9 Cement 48T Rigid 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'!$E$63:$AG$63</c:f>
              <c:numCache>
                <c:formatCode>_ [$₹-4009]\ * #,##0_ ;_ [$₹-4009]\ * \-#,##0_ ;_ [$₹-4009]\ * "-"??_ ;_ @_ </c:formatCode>
                <c:ptCount val="29"/>
                <c:pt idx="0">
                  <c:v>4986200</c:v>
                </c:pt>
                <c:pt idx="1">
                  <c:v>5135800</c:v>
                </c:pt>
                <c:pt idx="2">
                  <c:v>5289900</c:v>
                </c:pt>
                <c:pt idx="3">
                  <c:v>5848600</c:v>
                </c:pt>
                <c:pt idx="4">
                  <c:v>6024100</c:v>
                </c:pt>
                <c:pt idx="5">
                  <c:v>6204800</c:v>
                </c:pt>
                <c:pt idx="6">
                  <c:v>6390900</c:v>
                </c:pt>
                <c:pt idx="7">
                  <c:v>6582600</c:v>
                </c:pt>
                <c:pt idx="8">
                  <c:v>6780100</c:v>
                </c:pt>
                <c:pt idx="9">
                  <c:v>6983500</c:v>
                </c:pt>
                <c:pt idx="10">
                  <c:v>7193000</c:v>
                </c:pt>
                <c:pt idx="11">
                  <c:v>7408800</c:v>
                </c:pt>
                <c:pt idx="12">
                  <c:v>7631100</c:v>
                </c:pt>
                <c:pt idx="13">
                  <c:v>7860000</c:v>
                </c:pt>
                <c:pt idx="14">
                  <c:v>8095800</c:v>
                </c:pt>
                <c:pt idx="15">
                  <c:v>8338700</c:v>
                </c:pt>
                <c:pt idx="16">
                  <c:v>8588900</c:v>
                </c:pt>
                <c:pt idx="17">
                  <c:v>8846600</c:v>
                </c:pt>
                <c:pt idx="18">
                  <c:v>9112000</c:v>
                </c:pt>
                <c:pt idx="19">
                  <c:v>9385400</c:v>
                </c:pt>
                <c:pt idx="20">
                  <c:v>9667000</c:v>
                </c:pt>
                <c:pt idx="21">
                  <c:v>9957000</c:v>
                </c:pt>
                <c:pt idx="22">
                  <c:v>10255700</c:v>
                </c:pt>
                <c:pt idx="23">
                  <c:v>10563400</c:v>
                </c:pt>
                <c:pt idx="24">
                  <c:v>10880300</c:v>
                </c:pt>
                <c:pt idx="25">
                  <c:v>11206700</c:v>
                </c:pt>
                <c:pt idx="26">
                  <c:v>11542900</c:v>
                </c:pt>
                <c:pt idx="27">
                  <c:v>11889200</c:v>
                </c:pt>
                <c:pt idx="28">
                  <c:v>12245900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6-4CEF-857A-316611E00FC9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6EA6-4CEF-857A-316611E00FC9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6EA6-4CEF-857A-316611E00FC9}"/>
            </c:ext>
          </c:extLst>
        </c:ser>
        <c:ser>
          <c:idx val="3"/>
          <c:order val="3"/>
          <c:tx>
            <c:strRef>
              <c:f>'B9 Cement 48T Rigid 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'!$C$132:$AG$132</c:f>
              <c:numCache>
                <c:formatCode>_ [$₹-4009]\ * #,##0_ ;_ [$₹-4009]\ * \-#,##0_ ;_ [$₹-4009]\ * "-"??_ ;_ @_ </c:formatCode>
                <c:ptCount val="31"/>
                <c:pt idx="0">
                  <c:v>11698000</c:v>
                </c:pt>
                <c:pt idx="1">
                  <c:v>11644000</c:v>
                </c:pt>
                <c:pt idx="2">
                  <c:v>11599000</c:v>
                </c:pt>
                <c:pt idx="3">
                  <c:v>11322000</c:v>
                </c:pt>
                <c:pt idx="4">
                  <c:v>11066000</c:v>
                </c:pt>
                <c:pt idx="5">
                  <c:v>11029000</c:v>
                </c:pt>
                <c:pt idx="6">
                  <c:v>10830000</c:v>
                </c:pt>
                <c:pt idx="7">
                  <c:v>10874000</c:v>
                </c:pt>
                <c:pt idx="8">
                  <c:v>10926000</c:v>
                </c:pt>
                <c:pt idx="9">
                  <c:v>10986000</c:v>
                </c:pt>
                <c:pt idx="10">
                  <c:v>11054000</c:v>
                </c:pt>
                <c:pt idx="11">
                  <c:v>11130000</c:v>
                </c:pt>
                <c:pt idx="12">
                  <c:v>11214000</c:v>
                </c:pt>
                <c:pt idx="13">
                  <c:v>11306000</c:v>
                </c:pt>
                <c:pt idx="14">
                  <c:v>11407000</c:v>
                </c:pt>
                <c:pt idx="15">
                  <c:v>11517000</c:v>
                </c:pt>
                <c:pt idx="16">
                  <c:v>11529000</c:v>
                </c:pt>
                <c:pt idx="17">
                  <c:v>11737000</c:v>
                </c:pt>
                <c:pt idx="18">
                  <c:v>11951000</c:v>
                </c:pt>
                <c:pt idx="19">
                  <c:v>12174000</c:v>
                </c:pt>
                <c:pt idx="20">
                  <c:v>12403000</c:v>
                </c:pt>
                <c:pt idx="21">
                  <c:v>12641000</c:v>
                </c:pt>
                <c:pt idx="22">
                  <c:v>12887000</c:v>
                </c:pt>
                <c:pt idx="23">
                  <c:v>13142000</c:v>
                </c:pt>
                <c:pt idx="24">
                  <c:v>13405000</c:v>
                </c:pt>
                <c:pt idx="25">
                  <c:v>13678000</c:v>
                </c:pt>
                <c:pt idx="26">
                  <c:v>14015000</c:v>
                </c:pt>
                <c:pt idx="27">
                  <c:v>14363000</c:v>
                </c:pt>
                <c:pt idx="28">
                  <c:v>14720000</c:v>
                </c:pt>
                <c:pt idx="29">
                  <c:v>15087000</c:v>
                </c:pt>
                <c:pt idx="30">
                  <c:v>15464000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A6-4CEF-857A-316611E00FC9}"/>
            </c:ext>
          </c:extLst>
        </c:ser>
        <c:ser>
          <c:idx val="4"/>
          <c:order val="4"/>
          <c:tx>
            <c:strRef>
              <c:f>'B9 Cement 48T Rigid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'!$C$98:$AG$98</c:f>
              <c:numCache>
                <c:formatCode>_ [$₹-4009]\ * #,##0_ ;_ [$₹-4009]\ * \-#,##0_ ;_ [$₹-4009]\ * "-"??_ ;_ @_ </c:formatCode>
                <c:ptCount val="31"/>
                <c:pt idx="0">
                  <c:v>5280000</c:v>
                </c:pt>
                <c:pt idx="1">
                  <c:v>5427000</c:v>
                </c:pt>
                <c:pt idx="2">
                  <c:v>5578000</c:v>
                </c:pt>
                <c:pt idx="3">
                  <c:v>5734000</c:v>
                </c:pt>
                <c:pt idx="4">
                  <c:v>5894000</c:v>
                </c:pt>
                <c:pt idx="5">
                  <c:v>6459000</c:v>
                </c:pt>
                <c:pt idx="6">
                  <c:v>6640000</c:v>
                </c:pt>
                <c:pt idx="7">
                  <c:v>6827000</c:v>
                </c:pt>
                <c:pt idx="8">
                  <c:v>7019000</c:v>
                </c:pt>
                <c:pt idx="9">
                  <c:v>7217000</c:v>
                </c:pt>
                <c:pt idx="10">
                  <c:v>7421000</c:v>
                </c:pt>
                <c:pt idx="11">
                  <c:v>7631000</c:v>
                </c:pt>
                <c:pt idx="12">
                  <c:v>7847000</c:v>
                </c:pt>
                <c:pt idx="13">
                  <c:v>8069000</c:v>
                </c:pt>
                <c:pt idx="14">
                  <c:v>8298000</c:v>
                </c:pt>
                <c:pt idx="15">
                  <c:v>8534000</c:v>
                </c:pt>
                <c:pt idx="16">
                  <c:v>8776000</c:v>
                </c:pt>
                <c:pt idx="17">
                  <c:v>9026000</c:v>
                </c:pt>
                <c:pt idx="18">
                  <c:v>9283000</c:v>
                </c:pt>
                <c:pt idx="19">
                  <c:v>9548000</c:v>
                </c:pt>
                <c:pt idx="20">
                  <c:v>9820000</c:v>
                </c:pt>
                <c:pt idx="21">
                  <c:v>10101000</c:v>
                </c:pt>
                <c:pt idx="22">
                  <c:v>10389000</c:v>
                </c:pt>
                <c:pt idx="23">
                  <c:v>10687000</c:v>
                </c:pt>
                <c:pt idx="24">
                  <c:v>10993000</c:v>
                </c:pt>
                <c:pt idx="25">
                  <c:v>11308000</c:v>
                </c:pt>
                <c:pt idx="26">
                  <c:v>11632000</c:v>
                </c:pt>
                <c:pt idx="27">
                  <c:v>11966000</c:v>
                </c:pt>
                <c:pt idx="28">
                  <c:v>12310000</c:v>
                </c:pt>
                <c:pt idx="29">
                  <c:v>12664000</c:v>
                </c:pt>
                <c:pt idx="30">
                  <c:v>13028000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A6-4CEF-857A-316611E00FC9}"/>
            </c:ext>
          </c:extLst>
        </c:ser>
        <c:ser>
          <c:idx val="5"/>
          <c:order val="5"/>
          <c:tx>
            <c:strRef>
              <c:f>'B9 Cement 48T Rigid 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'!$C$115:$AG$115</c:f>
              <c:numCache>
                <c:formatCode>_ [$₹-4009]\ * #,##0_ ;_ [$₹-4009]\ * \-#,##0_ ;_ [$₹-4009]\ * "-"??_ ;_ @_ </c:formatCode>
                <c:ptCount val="31"/>
                <c:pt idx="0">
                  <c:v>6279000</c:v>
                </c:pt>
                <c:pt idx="1">
                  <c:v>6341000</c:v>
                </c:pt>
                <c:pt idx="2">
                  <c:v>6411000</c:v>
                </c:pt>
                <c:pt idx="3">
                  <c:v>6490000</c:v>
                </c:pt>
                <c:pt idx="4">
                  <c:v>6576000</c:v>
                </c:pt>
                <c:pt idx="5">
                  <c:v>7071000</c:v>
                </c:pt>
                <c:pt idx="6">
                  <c:v>7197000</c:v>
                </c:pt>
                <c:pt idx="7">
                  <c:v>7331000</c:v>
                </c:pt>
                <c:pt idx="8">
                  <c:v>7472000</c:v>
                </c:pt>
                <c:pt idx="9">
                  <c:v>7620000</c:v>
                </c:pt>
                <c:pt idx="10">
                  <c:v>7776000</c:v>
                </c:pt>
                <c:pt idx="11">
                  <c:v>7940000</c:v>
                </c:pt>
                <c:pt idx="12">
                  <c:v>8111000</c:v>
                </c:pt>
                <c:pt idx="13">
                  <c:v>8290000</c:v>
                </c:pt>
                <c:pt idx="14">
                  <c:v>8477000</c:v>
                </c:pt>
                <c:pt idx="15">
                  <c:v>8672000</c:v>
                </c:pt>
                <c:pt idx="16">
                  <c:v>8916000</c:v>
                </c:pt>
                <c:pt idx="17">
                  <c:v>9167000</c:v>
                </c:pt>
                <c:pt idx="18">
                  <c:v>9426000</c:v>
                </c:pt>
                <c:pt idx="19">
                  <c:v>9692000</c:v>
                </c:pt>
                <c:pt idx="20">
                  <c:v>9966000</c:v>
                </c:pt>
                <c:pt idx="21">
                  <c:v>10248000</c:v>
                </c:pt>
                <c:pt idx="22">
                  <c:v>10538000</c:v>
                </c:pt>
                <c:pt idx="23">
                  <c:v>10837000</c:v>
                </c:pt>
                <c:pt idx="24">
                  <c:v>11144000</c:v>
                </c:pt>
                <c:pt idx="25">
                  <c:v>11461000</c:v>
                </c:pt>
                <c:pt idx="26">
                  <c:v>11787000</c:v>
                </c:pt>
                <c:pt idx="27">
                  <c:v>12122000</c:v>
                </c:pt>
                <c:pt idx="28">
                  <c:v>12467000</c:v>
                </c:pt>
                <c:pt idx="29">
                  <c:v>12823000</c:v>
                </c:pt>
                <c:pt idx="30">
                  <c:v>13189000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A6-4CEF-857A-316611E00FC9}"/>
            </c:ext>
          </c:extLst>
        </c:ser>
        <c:ser>
          <c:idx val="6"/>
          <c:order val="6"/>
          <c:tx>
            <c:strRef>
              <c:f>'B9 Cement 48T Rigid 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'!$C$149:$AG$149</c:f>
              <c:numCache>
                <c:formatCode>_ [$₹-4009]\ * #,##0_ ;_ [$₹-4009]\ * \-#,##0_ ;_ [$₹-4009]\ * "-"??_ ;_ @_ </c:formatCode>
                <c:ptCount val="31"/>
                <c:pt idx="0">
                  <c:v>15066000</c:v>
                </c:pt>
                <c:pt idx="1">
                  <c:v>14820000</c:v>
                </c:pt>
                <c:pt idx="2">
                  <c:v>14591000</c:v>
                </c:pt>
                <c:pt idx="3">
                  <c:v>14379000</c:v>
                </c:pt>
                <c:pt idx="4">
                  <c:v>14184000</c:v>
                </c:pt>
                <c:pt idx="5">
                  <c:v>14205000</c:v>
                </c:pt>
                <c:pt idx="6">
                  <c:v>14108000</c:v>
                </c:pt>
                <c:pt idx="7">
                  <c:v>14029000</c:v>
                </c:pt>
                <c:pt idx="8">
                  <c:v>13963000</c:v>
                </c:pt>
                <c:pt idx="9">
                  <c:v>13909000</c:v>
                </c:pt>
                <c:pt idx="10">
                  <c:v>13867000</c:v>
                </c:pt>
                <c:pt idx="11">
                  <c:v>13838000</c:v>
                </c:pt>
                <c:pt idx="12">
                  <c:v>13820000</c:v>
                </c:pt>
                <c:pt idx="13">
                  <c:v>13815000</c:v>
                </c:pt>
                <c:pt idx="14">
                  <c:v>13821000</c:v>
                </c:pt>
                <c:pt idx="15">
                  <c:v>13840000</c:v>
                </c:pt>
                <c:pt idx="16">
                  <c:v>13771000</c:v>
                </c:pt>
                <c:pt idx="17">
                  <c:v>13939000</c:v>
                </c:pt>
                <c:pt idx="18">
                  <c:v>14115000</c:v>
                </c:pt>
                <c:pt idx="19">
                  <c:v>14300000</c:v>
                </c:pt>
                <c:pt idx="20">
                  <c:v>14494000</c:v>
                </c:pt>
                <c:pt idx="21">
                  <c:v>14483000</c:v>
                </c:pt>
                <c:pt idx="22">
                  <c:v>14698000</c:v>
                </c:pt>
                <c:pt idx="23">
                  <c:v>14922000</c:v>
                </c:pt>
                <c:pt idx="24">
                  <c:v>15156000</c:v>
                </c:pt>
                <c:pt idx="25">
                  <c:v>15401000</c:v>
                </c:pt>
                <c:pt idx="26">
                  <c:v>15547000</c:v>
                </c:pt>
                <c:pt idx="27">
                  <c:v>15909000</c:v>
                </c:pt>
                <c:pt idx="28">
                  <c:v>16282000</c:v>
                </c:pt>
                <c:pt idx="29">
                  <c:v>16664000</c:v>
                </c:pt>
                <c:pt idx="30">
                  <c:v>17058000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A6-4CEF-857A-316611E00FC9}"/>
            </c:ext>
          </c:extLst>
        </c:ser>
        <c:ser>
          <c:idx val="7"/>
          <c:order val="7"/>
          <c:tx>
            <c:strRef>
              <c:f>'B9 Cement 48T Rigid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 Cement 48T Rigid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'B9 Cement 48T Rigid '!$C$81:$AG$81</c:f>
              <c:numCache>
                <c:formatCode>_ [$₹-4009]\ * #,##0_ ;_ [$₹-4009]\ * \-#,##0_ ;_ [$₹-4009]\ * "-"??_ ;_ @_ </c:formatCode>
                <c:ptCount val="31"/>
                <c:pt idx="0">
                  <c:v>4950000</c:v>
                </c:pt>
                <c:pt idx="1">
                  <c:v>5098500</c:v>
                </c:pt>
                <c:pt idx="2">
                  <c:v>5251455</c:v>
                </c:pt>
                <c:pt idx="3">
                  <c:v>5408998.6500000004</c:v>
                </c:pt>
                <c:pt idx="4">
                  <c:v>5571268.6095000003</c:v>
                </c:pt>
                <c:pt idx="5">
                  <c:v>6138406.6677850001</c:v>
                </c:pt>
                <c:pt idx="6">
                  <c:v>6322558.8678185502</c:v>
                </c:pt>
                <c:pt idx="7">
                  <c:v>6512235.6338531068</c:v>
                </c:pt>
                <c:pt idx="8">
                  <c:v>6707602.7028687</c:v>
                </c:pt>
                <c:pt idx="9">
                  <c:v>6908830.783954761</c:v>
                </c:pt>
                <c:pt idx="10">
                  <c:v>7116095.7074734038</c:v>
                </c:pt>
                <c:pt idx="11">
                  <c:v>7329578.578697606</c:v>
                </c:pt>
                <c:pt idx="12">
                  <c:v>7549465.9360585343</c:v>
                </c:pt>
                <c:pt idx="13">
                  <c:v>7775949.9141402906</c:v>
                </c:pt>
                <c:pt idx="14">
                  <c:v>8009228.4115644991</c:v>
                </c:pt>
                <c:pt idx="15">
                  <c:v>8249505.2639114344</c:v>
                </c:pt>
                <c:pt idx="16">
                  <c:v>8496990.4218287785</c:v>
                </c:pt>
                <c:pt idx="17">
                  <c:v>8751900.1344836429</c:v>
                </c:pt>
                <c:pt idx="18">
                  <c:v>9014457.1385181528</c:v>
                </c:pt>
                <c:pt idx="19">
                  <c:v>9284890.8526736982</c:v>
                </c:pt>
                <c:pt idx="20">
                  <c:v>9563437.5782539099</c:v>
                </c:pt>
                <c:pt idx="21">
                  <c:v>9850340.7056015283</c:v>
                </c:pt>
                <c:pt idx="22">
                  <c:v>10145850.926769575</c:v>
                </c:pt>
                <c:pt idx="23">
                  <c:v>10450226.454572663</c:v>
                </c:pt>
                <c:pt idx="24">
                  <c:v>10763733.248209843</c:v>
                </c:pt>
                <c:pt idx="25">
                  <c:v>11086645.245656138</c:v>
                </c:pt>
                <c:pt idx="26">
                  <c:v>11419244.603025822</c:v>
                </c:pt>
                <c:pt idx="27">
                  <c:v>11761821.941116598</c:v>
                </c:pt>
                <c:pt idx="28">
                  <c:v>12114676.599350097</c:v>
                </c:pt>
                <c:pt idx="29">
                  <c:v>12478116.897330601</c:v>
                </c:pt>
                <c:pt idx="30">
                  <c:v>12852460.404250519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A6-4CEF-857A-316611E0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'B10 Cement 55 Tractor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'B10 Cement 55 Tractor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'B10 Cement 55 Tractor '!$C$165:$AB$165</c:f>
              <c:numCache>
                <c:formatCode>_ [$₹-4009]\ * #,##0.00_ ;_ [$₹-4009]\ * \-#,##0.00_ ;_ [$₹-4009]\ * "-"??_ ;_ @_ </c:formatCode>
                <c:ptCount val="26"/>
                <c:pt idx="0">
                  <c:v>64.079056687579651</c:v>
                </c:pt>
                <c:pt idx="1">
                  <c:v>68.812902109298619</c:v>
                </c:pt>
                <c:pt idx="2">
                  <c:v>70.461991861324023</c:v>
                </c:pt>
                <c:pt idx="3">
                  <c:v>72.15511654223863</c:v>
                </c:pt>
                <c:pt idx="4">
                  <c:v>73.902609231779522</c:v>
                </c:pt>
                <c:pt idx="5">
                  <c:v>76.317224115246944</c:v>
                </c:pt>
                <c:pt idx="6">
                  <c:v>78.185833092867838</c:v>
                </c:pt>
                <c:pt idx="7">
                  <c:v>80.103229623230675</c:v>
                </c:pt>
                <c:pt idx="8">
                  <c:v>82.079692243678679</c:v>
                </c:pt>
                <c:pt idx="9">
                  <c:v>84.107163642440327</c:v>
                </c:pt>
                <c:pt idx="10">
                  <c:v>86.196133382247979</c:v>
                </c:pt>
                <c:pt idx="11">
                  <c:v>89.32652513338239</c:v>
                </c:pt>
                <c:pt idx="12">
                  <c:v>91.571665953986596</c:v>
                </c:pt>
                <c:pt idx="13">
                  <c:v>93.882893991524853</c:v>
                </c:pt>
                <c:pt idx="14">
                  <c:v>96.261758194252636</c:v>
                </c:pt>
                <c:pt idx="15">
                  <c:v>98.709504205426981</c:v>
                </c:pt>
                <c:pt idx="16">
                  <c:v>101.22774953208604</c:v>
                </c:pt>
                <c:pt idx="17">
                  <c:v>103.82723855058704</c:v>
                </c:pt>
                <c:pt idx="18">
                  <c:v>106.50023450215286</c:v>
                </c:pt>
                <c:pt idx="19">
                  <c:v>109.25772635102109</c:v>
                </c:pt>
                <c:pt idx="20">
                  <c:v>112.09205613237668</c:v>
                </c:pt>
                <c:pt idx="21">
                  <c:v>116.32936400691915</c:v>
                </c:pt>
                <c:pt idx="22">
                  <c:v>119.38048574992223</c:v>
                </c:pt>
                <c:pt idx="23">
                  <c:v>122.52410936039333</c:v>
                </c:pt>
                <c:pt idx="24">
                  <c:v>125.762401188412</c:v>
                </c:pt>
                <c:pt idx="25">
                  <c:v>129.10647117417682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8-4919-A26A-C7998A29EC9C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'B10 Cement 55 Tractor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8-4919-A26A-C7998A29EC9C}"/>
            </c:ext>
          </c:extLst>
        </c:ser>
        <c:ser>
          <c:idx val="4"/>
          <c:order val="2"/>
          <c:tx>
            <c:strRef>
              <c:f>'B10 Cement 55 Tractor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'B10 Cement 55 Tractor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'B10 Cement 55 Tractor '!$C$168:$AB$168</c:f>
              <c:numCache>
                <c:formatCode>_ [$₹-4009]\ * #,##0.00_ ;_ [$₹-4009]\ * \-#,##0.00_ ;_ [$₹-4009]\ * "-"??_ ;_ @_ </c:formatCode>
                <c:ptCount val="26"/>
                <c:pt idx="0">
                  <c:v>65.158997992512312</c:v>
                </c:pt>
                <c:pt idx="1">
                  <c:v>65.794654627669772</c:v>
                </c:pt>
                <c:pt idx="2">
                  <c:v>66.346696378648645</c:v>
                </c:pt>
                <c:pt idx="3">
                  <c:v>66.401095296987137</c:v>
                </c:pt>
                <c:pt idx="4">
                  <c:v>66.376388578451341</c:v>
                </c:pt>
                <c:pt idx="5">
                  <c:v>67.102754605866082</c:v>
                </c:pt>
                <c:pt idx="6">
                  <c:v>65.10903723279479</c:v>
                </c:pt>
                <c:pt idx="7">
                  <c:v>65.540782298628883</c:v>
                </c:pt>
                <c:pt idx="8">
                  <c:v>65.752752623777695</c:v>
                </c:pt>
                <c:pt idx="9">
                  <c:v>66.113509816446992</c:v>
                </c:pt>
                <c:pt idx="10">
                  <c:v>66.637307029288323</c:v>
                </c:pt>
                <c:pt idx="11">
                  <c:v>66.029044284760886</c:v>
                </c:pt>
                <c:pt idx="12">
                  <c:v>66.927111488006304</c:v>
                </c:pt>
                <c:pt idx="13">
                  <c:v>67.835433827527837</c:v>
                </c:pt>
                <c:pt idx="14">
                  <c:v>68.862570665587413</c:v>
                </c:pt>
                <c:pt idx="15">
                  <c:v>70.007714649433396</c:v>
                </c:pt>
                <c:pt idx="16">
                  <c:v>71.118040611988306</c:v>
                </c:pt>
                <c:pt idx="17">
                  <c:v>72.665514634924378</c:v>
                </c:pt>
                <c:pt idx="18">
                  <c:v>74.232291824588188</c:v>
                </c:pt>
                <c:pt idx="19">
                  <c:v>75.868087344637814</c:v>
                </c:pt>
                <c:pt idx="20">
                  <c:v>77.569650889647974</c:v>
                </c:pt>
                <c:pt idx="21">
                  <c:v>77.665422357376386</c:v>
                </c:pt>
                <c:pt idx="22">
                  <c:v>79.490250435797307</c:v>
                </c:pt>
                <c:pt idx="23">
                  <c:v>81.392124296506097</c:v>
                </c:pt>
                <c:pt idx="24">
                  <c:v>83.382960409584939</c:v>
                </c:pt>
                <c:pt idx="25">
                  <c:v>85.454703633816436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8-4919-A26A-C7998A29EC9C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CB8-4919-A26A-C7998A29EC9C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4CB8-4919-A26A-C7998A29E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'B10 Cement 55 Tractor 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'B10 Cement 55 Tractor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'B10 Cement 55 Tractor '!$C$192:$AB$192</c:f>
              <c:numCache>
                <c:formatCode>0%</c:formatCode>
                <c:ptCount val="26"/>
                <c:pt idx="0">
                  <c:v>0.98342606028016633</c:v>
                </c:pt>
                <c:pt idx="1">
                  <c:v>1.0458737491473895</c:v>
                </c:pt>
                <c:pt idx="2">
                  <c:v>1.0620271348431412</c:v>
                </c:pt>
                <c:pt idx="3">
                  <c:v>1.0866555170440475</c:v>
                </c:pt>
                <c:pt idx="4">
                  <c:v>1.1133870162946997</c:v>
                </c:pt>
                <c:pt idx="5">
                  <c:v>1.1373187965755334</c:v>
                </c:pt>
                <c:pt idx="6">
                  <c:v>1.2008445588485279</c:v>
                </c:pt>
                <c:pt idx="7">
                  <c:v>1.2221890983578698</c:v>
                </c:pt>
                <c:pt idx="8">
                  <c:v>1.2483080778886935</c:v>
                </c:pt>
                <c:pt idx="9">
                  <c:v>1.2721630401403536</c:v>
                </c:pt>
                <c:pt idx="10">
                  <c:v>1.2935116562312938</c:v>
                </c:pt>
                <c:pt idx="11">
                  <c:v>1.3528368629439398</c:v>
                </c:pt>
                <c:pt idx="12">
                  <c:v>1.3682297639633936</c:v>
                </c:pt>
                <c:pt idx="13">
                  <c:v>1.383980151586012</c:v>
                </c:pt>
                <c:pt idx="14">
                  <c:v>1.3978821479337742</c:v>
                </c:pt>
                <c:pt idx="15">
                  <c:v>1.4099803814439453</c:v>
                </c:pt>
                <c:pt idx="16">
                  <c:v>1.4233765252950763</c:v>
                </c:pt>
                <c:pt idx="17">
                  <c:v>1.4288378617040134</c:v>
                </c:pt>
                <c:pt idx="18">
                  <c:v>1.4346887572030542</c:v>
                </c:pt>
                <c:pt idx="19">
                  <c:v>1.4401012359084229</c:v>
                </c:pt>
                <c:pt idx="20">
                  <c:v>1.4450504140058711</c:v>
                </c:pt>
                <c:pt idx="21">
                  <c:v>1.4978269669561721</c:v>
                </c:pt>
                <c:pt idx="22">
                  <c:v>1.5018255081023235</c:v>
                </c:pt>
                <c:pt idx="23">
                  <c:v>1.5053558365677513</c:v>
                </c:pt>
                <c:pt idx="24">
                  <c:v>1.508250613442546</c:v>
                </c:pt>
                <c:pt idx="25">
                  <c:v>1.5108176107825895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8-426E-BB31-A339E680F203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'B10 Cement 55 Tractor 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8-426E-BB31-A339E680F203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D838-426E-BB31-A339E680F203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838-426E-BB31-A339E680F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'B10 Cement 55 Tractor 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'!$C$165:$AG$165</c:f>
              <c:numCache>
                <c:formatCode>_ [$₹-4009]\ * #,##0.00_ ;_ [$₹-4009]\ * \-#,##0.00_ ;_ [$₹-4009]\ * "-"??_ ;_ @_ </c:formatCode>
                <c:ptCount val="31"/>
                <c:pt idx="0">
                  <c:v>64.079056687579651</c:v>
                </c:pt>
                <c:pt idx="1">
                  <c:v>68.812902109298619</c:v>
                </c:pt>
                <c:pt idx="2">
                  <c:v>70.461991861324023</c:v>
                </c:pt>
                <c:pt idx="3">
                  <c:v>72.15511654223863</c:v>
                </c:pt>
                <c:pt idx="4">
                  <c:v>73.902609231779522</c:v>
                </c:pt>
                <c:pt idx="5">
                  <c:v>76.317224115246944</c:v>
                </c:pt>
                <c:pt idx="6">
                  <c:v>78.185833092867838</c:v>
                </c:pt>
                <c:pt idx="7">
                  <c:v>80.103229623230675</c:v>
                </c:pt>
                <c:pt idx="8">
                  <c:v>82.079692243678679</c:v>
                </c:pt>
                <c:pt idx="9">
                  <c:v>84.107163642440327</c:v>
                </c:pt>
                <c:pt idx="10">
                  <c:v>86.196133382247979</c:v>
                </c:pt>
                <c:pt idx="11">
                  <c:v>89.32652513338239</c:v>
                </c:pt>
                <c:pt idx="12">
                  <c:v>91.571665953986596</c:v>
                </c:pt>
                <c:pt idx="13">
                  <c:v>93.882893991524853</c:v>
                </c:pt>
                <c:pt idx="14">
                  <c:v>96.261758194252636</c:v>
                </c:pt>
                <c:pt idx="15">
                  <c:v>98.709504205426981</c:v>
                </c:pt>
                <c:pt idx="16">
                  <c:v>101.22774953208604</c:v>
                </c:pt>
                <c:pt idx="17">
                  <c:v>103.82723855058704</c:v>
                </c:pt>
                <c:pt idx="18">
                  <c:v>106.50023450215286</c:v>
                </c:pt>
                <c:pt idx="19">
                  <c:v>109.25772635102109</c:v>
                </c:pt>
                <c:pt idx="20">
                  <c:v>112.09205613237668</c:v>
                </c:pt>
                <c:pt idx="21">
                  <c:v>116.32936400691915</c:v>
                </c:pt>
                <c:pt idx="22">
                  <c:v>119.38048574992223</c:v>
                </c:pt>
                <c:pt idx="23">
                  <c:v>122.52410936039333</c:v>
                </c:pt>
                <c:pt idx="24">
                  <c:v>125.762401188412</c:v>
                </c:pt>
                <c:pt idx="25">
                  <c:v>129.10647117417682</c:v>
                </c:pt>
                <c:pt idx="26">
                  <c:v>132.54896023203298</c:v>
                </c:pt>
                <c:pt idx="27">
                  <c:v>136.10144251405049</c:v>
                </c:pt>
                <c:pt idx="28">
                  <c:v>139.76610431217674</c:v>
                </c:pt>
                <c:pt idx="29">
                  <c:v>143.54518695836671</c:v>
                </c:pt>
                <c:pt idx="30">
                  <c:v>147.44098881524917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6-4576-AE52-31824C58DBB0}"/>
            </c:ext>
          </c:extLst>
        </c:ser>
        <c:ser>
          <c:idx val="4"/>
          <c:order val="1"/>
          <c:tx>
            <c:strRef>
              <c:f>'B10 Cement 55 Tractor 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816-4576-AE52-31824C58DBB0}"/>
              </c:ext>
            </c:extLst>
          </c:dPt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'!$C$168:$AG$168</c:f>
              <c:numCache>
                <c:formatCode>_ [$₹-4009]\ * #,##0.00_ ;_ [$₹-4009]\ * \-#,##0.00_ ;_ [$₹-4009]\ * "-"??_ ;_ @_ </c:formatCode>
                <c:ptCount val="31"/>
                <c:pt idx="0">
                  <c:v>65.158997992512312</c:v>
                </c:pt>
                <c:pt idx="1">
                  <c:v>65.794654627669772</c:v>
                </c:pt>
                <c:pt idx="2">
                  <c:v>66.346696378648645</c:v>
                </c:pt>
                <c:pt idx="3">
                  <c:v>66.401095296987137</c:v>
                </c:pt>
                <c:pt idx="4">
                  <c:v>66.376388578451341</c:v>
                </c:pt>
                <c:pt idx="5">
                  <c:v>67.102754605866082</c:v>
                </c:pt>
                <c:pt idx="6">
                  <c:v>65.10903723279479</c:v>
                </c:pt>
                <c:pt idx="7">
                  <c:v>65.540782298628883</c:v>
                </c:pt>
                <c:pt idx="8">
                  <c:v>65.752752623777695</c:v>
                </c:pt>
                <c:pt idx="9">
                  <c:v>66.113509816446992</c:v>
                </c:pt>
                <c:pt idx="10">
                  <c:v>66.637307029288323</c:v>
                </c:pt>
                <c:pt idx="11">
                  <c:v>66.029044284760886</c:v>
                </c:pt>
                <c:pt idx="12">
                  <c:v>66.927111488006304</c:v>
                </c:pt>
                <c:pt idx="13">
                  <c:v>67.835433827527837</c:v>
                </c:pt>
                <c:pt idx="14">
                  <c:v>68.862570665587413</c:v>
                </c:pt>
                <c:pt idx="15">
                  <c:v>70.007714649433396</c:v>
                </c:pt>
                <c:pt idx="16">
                  <c:v>71.118040611988306</c:v>
                </c:pt>
                <c:pt idx="17">
                  <c:v>72.665514634924378</c:v>
                </c:pt>
                <c:pt idx="18">
                  <c:v>74.232291824588188</c:v>
                </c:pt>
                <c:pt idx="19">
                  <c:v>75.868087344637814</c:v>
                </c:pt>
                <c:pt idx="20">
                  <c:v>77.569650889647974</c:v>
                </c:pt>
                <c:pt idx="21">
                  <c:v>77.665422357376386</c:v>
                </c:pt>
                <c:pt idx="22">
                  <c:v>79.490250435797307</c:v>
                </c:pt>
                <c:pt idx="23">
                  <c:v>81.392124296506097</c:v>
                </c:pt>
                <c:pt idx="24">
                  <c:v>83.382960409584939</c:v>
                </c:pt>
                <c:pt idx="25">
                  <c:v>85.454703633816436</c:v>
                </c:pt>
                <c:pt idx="26">
                  <c:v>87.998968138561096</c:v>
                </c:pt>
                <c:pt idx="27">
                  <c:v>90.70528909483447</c:v>
                </c:pt>
                <c:pt idx="28">
                  <c:v>93.50873572713185</c:v>
                </c:pt>
                <c:pt idx="29">
                  <c:v>96.425514605071427</c:v>
                </c:pt>
                <c:pt idx="30">
                  <c:v>99.453567036374494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16-4576-AE52-31824C58DBB0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816-4576-AE52-31824C58DBB0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D816-4576-AE52-31824C58DBB0}"/>
            </c:ext>
          </c:extLst>
        </c:ser>
        <c:ser>
          <c:idx val="2"/>
          <c:order val="5"/>
          <c:tx>
            <c:strRef>
              <c:f>'B10 Cement 55 Tractor 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'!$C$169:$AG$169</c:f>
              <c:numCache>
                <c:formatCode>_ [$₹-4009]\ * #,##0.00_ ;_ [$₹-4009]\ * \-#,##0.00_ ;_ [$₹-4009]\ * "-"??_ ;_ @_ </c:formatCode>
                <c:ptCount val="31"/>
                <c:pt idx="0">
                  <c:v>126.88133477707242</c:v>
                </c:pt>
                <c:pt idx="1">
                  <c:v>126.78077512013907</c:v>
                </c:pt>
                <c:pt idx="2">
                  <c:v>126.8048253762809</c:v>
                </c:pt>
                <c:pt idx="3">
                  <c:v>126.95008214521646</c:v>
                </c:pt>
                <c:pt idx="4">
                  <c:v>127.22446086928183</c:v>
                </c:pt>
                <c:pt idx="5">
                  <c:v>128.39726747998461</c:v>
                </c:pt>
                <c:pt idx="6">
                  <c:v>124.11128386894698</c:v>
                </c:pt>
                <c:pt idx="7">
                  <c:v>122.37683249508527</c:v>
                </c:pt>
                <c:pt idx="8">
                  <c:v>120.782504419239</c:v>
                </c:pt>
                <c:pt idx="9">
                  <c:v>119.31806284277751</c:v>
                </c:pt>
                <c:pt idx="10">
                  <c:v>117.99000808012494</c:v>
                </c:pt>
                <c:pt idx="11">
                  <c:v>115.68863554070414</c:v>
                </c:pt>
                <c:pt idx="12">
                  <c:v>114.6013841168824</c:v>
                </c:pt>
                <c:pt idx="13">
                  <c:v>113.64213959760387</c:v>
                </c:pt>
                <c:pt idx="14">
                  <c:v>112.80876357619057</c:v>
                </c:pt>
                <c:pt idx="15">
                  <c:v>112.10107861097788</c:v>
                </c:pt>
                <c:pt idx="16">
                  <c:v>108.92778817630709</c:v>
                </c:pt>
                <c:pt idx="17">
                  <c:v>108.93140766830355</c:v>
                </c:pt>
                <c:pt idx="18">
                  <c:v>109.0476661544072</c:v>
                </c:pt>
                <c:pt idx="19">
                  <c:v>109.28600238518595</c:v>
                </c:pt>
                <c:pt idx="20">
                  <c:v>109.63203433628399</c:v>
                </c:pt>
                <c:pt idx="21">
                  <c:v>109.38444731066404</c:v>
                </c:pt>
                <c:pt idx="22">
                  <c:v>109.94571482787569</c:v>
                </c:pt>
                <c:pt idx="23">
                  <c:v>110.62511871021871</c:v>
                </c:pt>
                <c:pt idx="24">
                  <c:v>111.42172938354705</c:v>
                </c:pt>
                <c:pt idx="25">
                  <c:v>112.34225692903459</c:v>
                </c:pt>
                <c:pt idx="26">
                  <c:v>113.06876770029562</c:v>
                </c:pt>
                <c:pt idx="27">
                  <c:v>115.51777396264447</c:v>
                </c:pt>
                <c:pt idx="28">
                  <c:v>118.10364477487528</c:v>
                </c:pt>
                <c:pt idx="29">
                  <c:v>120.83033111827712</c:v>
                </c:pt>
                <c:pt idx="30">
                  <c:v>123.69490689541121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16-4576-AE52-31824C58DBB0}"/>
            </c:ext>
          </c:extLst>
        </c:ser>
        <c:ser>
          <c:idx val="6"/>
          <c:order val="6"/>
          <c:tx>
            <c:strRef>
              <c:f>'B10 Cement 55 Tractor 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'!$C$170:$AG$170</c:f>
              <c:numCache>
                <c:formatCode>_ [$₹-4009]\ * #,##0.00_ ;_ [$₹-4009]\ * \-#,##0.00_ ;_ [$₹-4009]\ * "-"??_ ;_ @_ </c:formatCode>
                <c:ptCount val="31"/>
                <c:pt idx="0">
                  <c:v>128.43860040876376</c:v>
                </c:pt>
                <c:pt idx="1">
                  <c:v>127.74990095717796</c:v>
                </c:pt>
                <c:pt idx="2">
                  <c:v>127.18455393715905</c:v>
                </c:pt>
                <c:pt idx="3">
                  <c:v>126.74356589712657</c:v>
                </c:pt>
                <c:pt idx="4">
                  <c:v>126.43084468286288</c:v>
                </c:pt>
                <c:pt idx="5">
                  <c:v>126.67003851410323</c:v>
                </c:pt>
                <c:pt idx="6">
                  <c:v>123.1279266050884</c:v>
                </c:pt>
                <c:pt idx="7">
                  <c:v>121.54311325546117</c:v>
                </c:pt>
                <c:pt idx="8">
                  <c:v>120.07941310615718</c:v>
                </c:pt>
                <c:pt idx="9">
                  <c:v>118.74389271492929</c:v>
                </c:pt>
                <c:pt idx="10">
                  <c:v>117.53233974428443</c:v>
                </c:pt>
                <c:pt idx="11">
                  <c:v>114.55749650296842</c:v>
                </c:pt>
                <c:pt idx="12">
                  <c:v>113.59098732532262</c:v>
                </c:pt>
                <c:pt idx="13">
                  <c:v>112.74139503833314</c:v>
                </c:pt>
                <c:pt idx="14">
                  <c:v>112.01840481655998</c:v>
                </c:pt>
                <c:pt idx="15">
                  <c:v>111.40926229208225</c:v>
                </c:pt>
                <c:pt idx="16">
                  <c:v>108.75624314860944</c:v>
                </c:pt>
                <c:pt idx="17">
                  <c:v>108.96093726984617</c:v>
                </c:pt>
                <c:pt idx="18">
                  <c:v>109.27322330804722</c:v>
                </c:pt>
                <c:pt idx="19">
                  <c:v>109.69192580098709</c:v>
                </c:pt>
                <c:pt idx="20">
                  <c:v>110.20873995910229</c:v>
                </c:pt>
                <c:pt idx="21">
                  <c:v>108.418321392203</c:v>
                </c:pt>
                <c:pt idx="22">
                  <c:v>109.12785526247825</c:v>
                </c:pt>
                <c:pt idx="23">
                  <c:v>109.94279337245825</c:v>
                </c:pt>
                <c:pt idx="24">
                  <c:v>110.86987928013288</c:v>
                </c:pt>
                <c:pt idx="25">
                  <c:v>111.89932269334659</c:v>
                </c:pt>
                <c:pt idx="26">
                  <c:v>112.67575994317913</c:v>
                </c:pt>
                <c:pt idx="27">
                  <c:v>115.15012145498659</c:v>
                </c:pt>
                <c:pt idx="28">
                  <c:v>117.74660717108534</c:v>
                </c:pt>
                <c:pt idx="29">
                  <c:v>120.47301579845485</c:v>
                </c:pt>
                <c:pt idx="30">
                  <c:v>123.32249297504754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16-4576-AE52-31824C58DBB0}"/>
            </c:ext>
          </c:extLst>
        </c:ser>
        <c:ser>
          <c:idx val="7"/>
          <c:order val="7"/>
          <c:tx>
            <c:strRef>
              <c:f>'B10 Cement 55 Tractor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'!$C$167:$AG$167</c:f>
              <c:numCache>
                <c:formatCode>_ [$₹-4009]\ * #,##0.00_ ;_ [$₹-4009]\ * \-#,##0.00_ ;_ [$₹-4009]\ * "-"??_ ;_ @_ </c:formatCode>
                <c:ptCount val="31"/>
                <c:pt idx="0">
                  <c:v>62.26334034340482</c:v>
                </c:pt>
                <c:pt idx="1">
                  <c:v>64.255080671924489</c:v>
                </c:pt>
                <c:pt idx="2">
                  <c:v>66.122337594237607</c:v>
                </c:pt>
                <c:pt idx="3">
                  <c:v>68.044933887521552</c:v>
                </c:pt>
                <c:pt idx="4">
                  <c:v>70.038320266080433</c:v>
                </c:pt>
                <c:pt idx="5">
                  <c:v>72.740524199324028</c:v>
                </c:pt>
                <c:pt idx="6">
                  <c:v>74.886604300504132</c:v>
                </c:pt>
                <c:pt idx="7">
                  <c:v>77.098493558471915</c:v>
                </c:pt>
                <c:pt idx="8">
                  <c:v>79.386973689653914</c:v>
                </c:pt>
                <c:pt idx="9">
                  <c:v>81.742740012081498</c:v>
                </c:pt>
                <c:pt idx="10">
                  <c:v>84.179915486674091</c:v>
                </c:pt>
                <c:pt idx="11">
                  <c:v>87.847900478924558</c:v>
                </c:pt>
                <c:pt idx="12">
                  <c:v>90.482458120384692</c:v>
                </c:pt>
                <c:pt idx="13">
                  <c:v>93.204563501211268</c:v>
                </c:pt>
                <c:pt idx="14">
                  <c:v>96.016072105922845</c:v>
                </c:pt>
                <c:pt idx="15">
                  <c:v>98.917150689360199</c:v>
                </c:pt>
                <c:pt idx="16">
                  <c:v>101.91503487209852</c:v>
                </c:pt>
                <c:pt idx="17">
                  <c:v>105.01577971826543</c:v>
                </c:pt>
                <c:pt idx="18">
                  <c:v>108.21749733761776</c:v>
                </c:pt>
                <c:pt idx="19">
                  <c:v>111.52988540005168</c:v>
                </c:pt>
                <c:pt idx="20">
                  <c:v>114.94594801200748</c:v>
                </c:pt>
                <c:pt idx="21">
                  <c:v>119.98287128181761</c:v>
                </c:pt>
                <c:pt idx="22">
                  <c:v>123.67492083677671</c:v>
                </c:pt>
                <c:pt idx="23">
                  <c:v>127.49198836615224</c:v>
                </c:pt>
                <c:pt idx="24">
                  <c:v>131.43477573994875</c:v>
                </c:pt>
                <c:pt idx="25">
                  <c:v>135.51709836209807</c:v>
                </c:pt>
                <c:pt idx="26">
                  <c:v>139.7305769640235</c:v>
                </c:pt>
                <c:pt idx="27">
                  <c:v>144.09109460782065</c:v>
                </c:pt>
                <c:pt idx="28">
                  <c:v>148.59972196770599</c:v>
                </c:pt>
                <c:pt idx="29">
                  <c:v>153.26328014702841</c:v>
                </c:pt>
                <c:pt idx="30">
                  <c:v>158.08116060672106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816-4576-AE52-31824C58DBB0}"/>
            </c:ext>
          </c:extLst>
        </c:ser>
        <c:ser>
          <c:idx val="8"/>
          <c:order val="8"/>
          <c:tx>
            <c:strRef>
              <c:f>'B10 Cement 55 Tractor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'!$C$166:$AG$166</c:f>
              <c:numCache>
                <c:formatCode>_ [$₹-4009]\ * #,##0.00_ ;_ [$₹-4009]\ * \-#,##0.00_ ;_ [$₹-4009]\ * "-"??_ ;_ @_ </c:formatCode>
                <c:ptCount val="31"/>
                <c:pt idx="0">
                  <c:v>61.125762955523953</c:v>
                </c:pt>
                <c:pt idx="1">
                  <c:v>63.607869177523014</c:v>
                </c:pt>
                <c:pt idx="2">
                  <c:v>65.492197845441297</c:v>
                </c:pt>
                <c:pt idx="3">
                  <c:v>67.435631854878608</c:v>
                </c:pt>
                <c:pt idx="4">
                  <c:v>69.449024147562</c:v>
                </c:pt>
                <c:pt idx="5">
                  <c:v>72.172287440558037</c:v>
                </c:pt>
                <c:pt idx="6">
                  <c:v>74.340754772739601</c:v>
                </c:pt>
                <c:pt idx="7">
                  <c:v>76.575605749737974</c:v>
                </c:pt>
                <c:pt idx="8">
                  <c:v>78.887930709323271</c:v>
                </c:pt>
                <c:pt idx="9">
                  <c:v>81.270361664525694</c:v>
                </c:pt>
                <c:pt idx="10">
                  <c:v>83.734111362618165</c:v>
                </c:pt>
                <c:pt idx="11">
                  <c:v>87.305648490167883</c:v>
                </c:pt>
                <c:pt idx="12">
                  <c:v>89.968889056044858</c:v>
                </c:pt>
                <c:pt idx="13">
                  <c:v>92.720625403528103</c:v>
                </c:pt>
                <c:pt idx="14">
                  <c:v>95.563109187334362</c:v>
                </c:pt>
                <c:pt idx="15">
                  <c:v>98.498666307755656</c:v>
                </c:pt>
                <c:pt idx="16">
                  <c:v>101.5296994118887</c:v>
                </c:pt>
                <c:pt idx="17">
                  <c:v>104.66794974017483</c:v>
                </c:pt>
                <c:pt idx="18">
                  <c:v>107.90672202497743</c:v>
                </c:pt>
                <c:pt idx="19">
                  <c:v>111.25792429617967</c:v>
                </c:pt>
                <c:pt idx="20">
                  <c:v>114.71503370815661</c:v>
                </c:pt>
                <c:pt idx="21">
                  <c:v>119.66691287258206</c:v>
                </c:pt>
                <c:pt idx="22">
                  <c:v>123.40423310393945</c:v>
                </c:pt>
                <c:pt idx="23">
                  <c:v>127.26672407622632</c:v>
                </c:pt>
                <c:pt idx="24">
                  <c:v>131.25754061730603</c:v>
                </c:pt>
                <c:pt idx="25">
                  <c:v>135.38920144618746</c:v>
                </c:pt>
                <c:pt idx="26">
                  <c:v>139.6558149403408</c:v>
                </c:pt>
                <c:pt idx="27">
                  <c:v>144.07011984049285</c:v>
                </c:pt>
                <c:pt idx="28">
                  <c:v>148.63571126760579</c:v>
                </c:pt>
                <c:pt idx="29">
                  <c:v>153.35630390837946</c:v>
                </c:pt>
                <c:pt idx="30">
                  <c:v>158.23573607763336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16-4576-AE52-31824C58D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'B10 Cement 55 Tractor 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'B10 Cement 55 Tractor 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'B10 Cement 55 Tractor 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57.671151018821689</c:v>
                      </c:pt>
                      <c:pt idx="1">
                        <c:v>61.931611898368757</c:v>
                      </c:pt>
                      <c:pt idx="2">
                        <c:v>63.415792675191625</c:v>
                      </c:pt>
                      <c:pt idx="3">
                        <c:v>64.93960488801477</c:v>
                      </c:pt>
                      <c:pt idx="4">
                        <c:v>66.512348308601574</c:v>
                      </c:pt>
                      <c:pt idx="5">
                        <c:v>68.685501703722252</c:v>
                      </c:pt>
                      <c:pt idx="6">
                        <c:v>70.367249783581059</c:v>
                      </c:pt>
                      <c:pt idx="7">
                        <c:v>72.092906660907616</c:v>
                      </c:pt>
                      <c:pt idx="8">
                        <c:v>73.871723019310807</c:v>
                      </c:pt>
                      <c:pt idx="9">
                        <c:v>75.696447278196302</c:v>
                      </c:pt>
                      <c:pt idx="10">
                        <c:v>77.576520044023184</c:v>
                      </c:pt>
                      <c:pt idx="11">
                        <c:v>80.393872620044149</c:v>
                      </c:pt>
                      <c:pt idx="12">
                        <c:v>82.414499358587932</c:v>
                      </c:pt>
                      <c:pt idx="13">
                        <c:v>84.494604592372369</c:v>
                      </c:pt>
                      <c:pt idx="14">
                        <c:v>86.635582374827379</c:v>
                      </c:pt>
                      <c:pt idx="15">
                        <c:v>88.838553784884283</c:v>
                      </c:pt>
                      <c:pt idx="16">
                        <c:v>91.104974578877432</c:v>
                      </c:pt>
                      <c:pt idx="17">
                        <c:v>93.444514695528341</c:v>
                      </c:pt>
                      <c:pt idx="18">
                        <c:v>95.850211051937578</c:v>
                      </c:pt>
                      <c:pt idx="19">
                        <c:v>98.331953715918985</c:v>
                      </c:pt>
                      <c:pt idx="20">
                        <c:v>100.88285051913901</c:v>
                      </c:pt>
                      <c:pt idx="21">
                        <c:v>104.69642760622723</c:v>
                      </c:pt>
                      <c:pt idx="22">
                        <c:v>107.44243717493001</c:v>
                      </c:pt>
                      <c:pt idx="23">
                        <c:v>110.271698424354</c:v>
                      </c:pt>
                      <c:pt idx="24">
                        <c:v>113.1861610695708</c:v>
                      </c:pt>
                      <c:pt idx="25">
                        <c:v>116.19582405675914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D816-4576-AE52-31824C58DBB0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'B10 Cement 55 Tractor 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'!$C$174:$AG$174</c:f>
              <c:numCache>
                <c:formatCode>_ [$₹-4009]\ * #,##0.00_ ;_ [$₹-4009]\ * \-#,##0.00_ ;_ [$₹-4009]\ * "-"??_ ;_ @_ </c:formatCode>
                <c:ptCount val="31"/>
                <c:pt idx="0">
                  <c:v>1.6222545996855608</c:v>
                </c:pt>
                <c:pt idx="1">
                  <c:v>1.7420987875771803</c:v>
                </c:pt>
                <c:pt idx="2">
                  <c:v>1.7838478952233929</c:v>
                </c:pt>
                <c:pt idx="3">
                  <c:v>1.8267118111959146</c:v>
                </c:pt>
                <c:pt idx="4">
                  <c:v>1.8709521324501144</c:v>
                </c:pt>
                <c:pt idx="5">
                  <c:v>1.9320816231708089</c:v>
                </c:pt>
                <c:pt idx="6">
                  <c:v>1.9793881795662744</c:v>
                </c:pt>
                <c:pt idx="7">
                  <c:v>2.0279298638792573</c:v>
                </c:pt>
                <c:pt idx="8">
                  <c:v>2.0779668922450298</c:v>
                </c:pt>
                <c:pt idx="9">
                  <c:v>2.1292952820870972</c:v>
                </c:pt>
                <c:pt idx="10">
                  <c:v>2.1821805919556452</c:v>
                </c:pt>
                <c:pt idx="11">
                  <c:v>2.2614310160349969</c:v>
                </c:pt>
                <c:pt idx="12">
                  <c:v>2.3182700241515595</c:v>
                </c:pt>
                <c:pt idx="13">
                  <c:v>2.376782126367718</c:v>
                </c:pt>
                <c:pt idx="14">
                  <c:v>2.437006536563358</c:v>
                </c:pt>
                <c:pt idx="15">
                  <c:v>2.4989747900108097</c:v>
                </c:pt>
                <c:pt idx="16">
                  <c:v>2.5627278362553425</c:v>
                </c:pt>
                <c:pt idx="17">
                  <c:v>2.6285376848249884</c:v>
                </c:pt>
                <c:pt idx="18">
                  <c:v>2.6962084684089334</c:v>
                </c:pt>
                <c:pt idx="19">
                  <c:v>2.7660183886334453</c:v>
                </c:pt>
                <c:pt idx="20">
                  <c:v>2.8377735729715616</c:v>
                </c:pt>
                <c:pt idx="21">
                  <c:v>2.9450471900485859</c:v>
                </c:pt>
                <c:pt idx="22">
                  <c:v>3.0222907784790438</c:v>
                </c:pt>
                <c:pt idx="23">
                  <c:v>3.1018761863390716</c:v>
                </c:pt>
                <c:pt idx="24">
                  <c:v>3.1838582579344812</c:v>
                </c:pt>
                <c:pt idx="25">
                  <c:v>3.268518257574097</c:v>
                </c:pt>
                <c:pt idx="26">
                  <c:v>3.3556698792919741</c:v>
                </c:pt>
                <c:pt idx="27">
                  <c:v>3.4456061395962148</c:v>
                </c:pt>
                <c:pt idx="28">
                  <c:v>3.538382387650044</c:v>
                </c:pt>
                <c:pt idx="29">
                  <c:v>3.6340553660346004</c:v>
                </c:pt>
                <c:pt idx="30">
                  <c:v>3.7326832611455485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3-44CE-B530-D990F81703B4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2AF3-44CE-B530-D990F81703B4}"/>
            </c:ext>
          </c:extLst>
        </c:ser>
        <c:ser>
          <c:idx val="3"/>
          <c:order val="2"/>
          <c:tx>
            <c:strRef>
              <c:f>'B10 Cement 55 Tractor 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'!$C$177:$AG$177</c:f>
              <c:numCache>
                <c:formatCode>_ [$₹-4009]\ * #,##0.00_ ;_ [$₹-4009]\ * \-#,##0.00_ ;_ [$₹-4009]\ * "-"??_ ;_ @_ </c:formatCode>
                <c:ptCount val="31"/>
                <c:pt idx="0">
                  <c:v>1.7563072235178521</c:v>
                </c:pt>
                <c:pt idx="1">
                  <c:v>1.7734408255436596</c:v>
                </c:pt>
                <c:pt idx="2">
                  <c:v>1.7883206571064325</c:v>
                </c:pt>
                <c:pt idx="3">
                  <c:v>1.7897869352287639</c:v>
                </c:pt>
                <c:pt idx="4">
                  <c:v>1.7891209859420847</c:v>
                </c:pt>
                <c:pt idx="5">
                  <c:v>1.8086995850637759</c:v>
                </c:pt>
                <c:pt idx="6">
                  <c:v>1.7549605723125279</c:v>
                </c:pt>
                <c:pt idx="7">
                  <c:v>1.76659790562342</c:v>
                </c:pt>
                <c:pt idx="8">
                  <c:v>1.7723113914764876</c:v>
                </c:pt>
                <c:pt idx="9">
                  <c:v>1.7820353050255253</c:v>
                </c:pt>
                <c:pt idx="10">
                  <c:v>1.7961538282827041</c:v>
                </c:pt>
                <c:pt idx="11">
                  <c:v>1.7797586060582449</c:v>
                </c:pt>
                <c:pt idx="12">
                  <c:v>1.8039652692184986</c:v>
                </c:pt>
                <c:pt idx="13">
                  <c:v>1.828448351146303</c:v>
                </c:pt>
                <c:pt idx="14">
                  <c:v>1.8561339802045125</c:v>
                </c:pt>
                <c:pt idx="15">
                  <c:v>1.8870003948634337</c:v>
                </c:pt>
                <c:pt idx="16">
                  <c:v>1.9169283183824342</c:v>
                </c:pt>
                <c:pt idx="17">
                  <c:v>1.9586392084885276</c:v>
                </c:pt>
                <c:pt idx="18">
                  <c:v>2.0008703995845871</c:v>
                </c:pt>
                <c:pt idx="19">
                  <c:v>2.0449619230360594</c:v>
                </c:pt>
                <c:pt idx="20">
                  <c:v>2.0908261695322907</c:v>
                </c:pt>
                <c:pt idx="21">
                  <c:v>2.0934076107109538</c:v>
                </c:pt>
                <c:pt idx="22">
                  <c:v>2.1425943513691998</c:v>
                </c:pt>
                <c:pt idx="23">
                  <c:v>2.1938577977494904</c:v>
                </c:pt>
                <c:pt idx="24">
                  <c:v>2.2475191485063326</c:v>
                </c:pt>
                <c:pt idx="25">
                  <c:v>2.3033612839303621</c:v>
                </c:pt>
                <c:pt idx="26">
                  <c:v>2.3719398420097333</c:v>
                </c:pt>
                <c:pt idx="27">
                  <c:v>2.4448864985130583</c:v>
                </c:pt>
                <c:pt idx="28">
                  <c:v>2.5204510977663572</c:v>
                </c:pt>
                <c:pt idx="29">
                  <c:v>2.5990704745302269</c:v>
                </c:pt>
                <c:pt idx="30">
                  <c:v>2.6806891384467519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3-44CE-B530-D990F81703B4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2AF3-44CE-B530-D990F81703B4}"/>
            </c:ext>
          </c:extLst>
        </c:ser>
        <c:ser>
          <c:idx val="2"/>
          <c:order val="5"/>
          <c:tx>
            <c:strRef>
              <c:f>'B10 Cement 55 Tractor 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'!$C$175:$AG$175</c:f>
              <c:numCache>
                <c:formatCode>_ [$₹-4009]\ * #,##0.00_ ;_ [$₹-4009]\ * \-#,##0.00_ ;_ [$₹-4009]\ * "-"??_ ;_ @_ </c:formatCode>
                <c:ptCount val="31"/>
                <c:pt idx="0">
                  <c:v>3.2121856905587958</c:v>
                </c:pt>
                <c:pt idx="1">
                  <c:v>3.2096398764592169</c:v>
                </c:pt>
                <c:pt idx="2">
                  <c:v>3.210248743703314</c:v>
                </c:pt>
                <c:pt idx="3">
                  <c:v>3.2139261302586442</c:v>
                </c:pt>
                <c:pt idx="4">
                  <c:v>3.2208724270704261</c:v>
                </c:pt>
                <c:pt idx="5">
                  <c:v>3.2505637336704964</c:v>
                </c:pt>
                <c:pt idx="6">
                  <c:v>3.1420578194670123</c:v>
                </c:pt>
                <c:pt idx="7">
                  <c:v>3.0981476581034246</c:v>
                </c:pt>
                <c:pt idx="8">
                  <c:v>3.0577849220060505</c:v>
                </c:pt>
                <c:pt idx="9">
                  <c:v>3.0207104517158863</c:v>
                </c:pt>
                <c:pt idx="10">
                  <c:v>2.9870888121550618</c:v>
                </c:pt>
                <c:pt idx="11">
                  <c:v>2.928826216220358</c:v>
                </c:pt>
                <c:pt idx="12">
                  <c:v>2.901300863718542</c:v>
                </c:pt>
                <c:pt idx="13">
                  <c:v>2.8770161923444015</c:v>
                </c:pt>
                <c:pt idx="14">
                  <c:v>2.8559180652200147</c:v>
                </c:pt>
                <c:pt idx="15">
                  <c:v>2.8380019901513385</c:v>
                </c:pt>
                <c:pt idx="16">
                  <c:v>2.7576655234508123</c:v>
                </c:pt>
                <c:pt idx="17">
                  <c:v>2.7577571561595837</c:v>
                </c:pt>
                <c:pt idx="18">
                  <c:v>2.7607004089723337</c:v>
                </c:pt>
                <c:pt idx="19">
                  <c:v>2.7667342375996444</c:v>
                </c:pt>
                <c:pt idx="20">
                  <c:v>2.7754945401590883</c:v>
                </c:pt>
                <c:pt idx="21">
                  <c:v>2.7692265141940262</c:v>
                </c:pt>
                <c:pt idx="22">
                  <c:v>2.7834358184272325</c:v>
                </c:pt>
                <c:pt idx="23">
                  <c:v>2.8006359167143975</c:v>
                </c:pt>
                <c:pt idx="24">
                  <c:v>2.8208032755328367</c:v>
                </c:pt>
                <c:pt idx="25">
                  <c:v>2.8441077703553064</c:v>
                </c:pt>
                <c:pt idx="26">
                  <c:v>2.8625004481087499</c:v>
                </c:pt>
                <c:pt idx="27">
                  <c:v>2.924500606649227</c:v>
                </c:pt>
                <c:pt idx="28">
                  <c:v>2.9899656905031713</c:v>
                </c:pt>
                <c:pt idx="29">
                  <c:v>3.0589957245133448</c:v>
                </c:pt>
                <c:pt idx="30">
                  <c:v>3.1315166302635746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F3-44CE-B530-D990F81703B4}"/>
            </c:ext>
          </c:extLst>
        </c:ser>
        <c:ser>
          <c:idx val="6"/>
          <c:order val="6"/>
          <c:tx>
            <c:strRef>
              <c:f>'B10 Cement 55 Tractor 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'!$C$176:$AG$176</c:f>
              <c:numCache>
                <c:formatCode>_ [$₹-4009]\ * #,##0.00_ ;_ [$₹-4009]\ * \-#,##0.00_ ;_ [$₹-4009]\ * "-"??_ ;_ @_ </c:formatCode>
                <c:ptCount val="31"/>
                <c:pt idx="0">
                  <c:v>1.5762870973013878</c:v>
                </c:pt>
                <c:pt idx="1">
                  <c:v>1.626710903086696</c:v>
                </c:pt>
                <c:pt idx="2">
                  <c:v>1.6739832302338635</c:v>
                </c:pt>
                <c:pt idx="3">
                  <c:v>1.7226565541144698</c:v>
                </c:pt>
                <c:pt idx="4">
                  <c:v>1.7731220320526691</c:v>
                </c:pt>
                <c:pt idx="5">
                  <c:v>1.8415322582107347</c:v>
                </c:pt>
                <c:pt idx="6">
                  <c:v>1.8958634000127628</c:v>
                </c:pt>
                <c:pt idx="7">
                  <c:v>1.9518605964170106</c:v>
                </c:pt>
                <c:pt idx="8">
                  <c:v>2.0097968022697192</c:v>
                </c:pt>
                <c:pt idx="9">
                  <c:v>2.0694364560020633</c:v>
                </c:pt>
                <c:pt idx="10">
                  <c:v>2.1311371009284579</c:v>
                </c:pt>
                <c:pt idx="11">
                  <c:v>2.223997480479103</c:v>
                </c:pt>
                <c:pt idx="12">
                  <c:v>2.2906951422882198</c:v>
                </c:pt>
                <c:pt idx="13">
                  <c:v>2.3596092025623108</c:v>
                </c:pt>
                <c:pt idx="14">
                  <c:v>2.4307866355929835</c:v>
                </c:pt>
                <c:pt idx="15">
                  <c:v>2.5042316630217774</c:v>
                </c:pt>
                <c:pt idx="16">
                  <c:v>2.5801274651164183</c:v>
                </c:pt>
                <c:pt idx="17">
                  <c:v>2.6586273346396312</c:v>
                </c:pt>
                <c:pt idx="18">
                  <c:v>2.7396834769017153</c:v>
                </c:pt>
                <c:pt idx="19">
                  <c:v>2.8235414025329542</c:v>
                </c:pt>
                <c:pt idx="20">
                  <c:v>2.9100240003039866</c:v>
                </c:pt>
                <c:pt idx="21">
                  <c:v>3.0375410451093066</c:v>
                </c:pt>
                <c:pt idx="22">
                  <c:v>3.1310106540956126</c:v>
                </c:pt>
                <c:pt idx="23">
                  <c:v>3.2276452750924616</c:v>
                </c:pt>
                <c:pt idx="24">
                  <c:v>3.3274626769607276</c:v>
                </c:pt>
                <c:pt idx="25">
                  <c:v>3.4308126167619761</c:v>
                </c:pt>
                <c:pt idx="26">
                  <c:v>3.5374829611145189</c:v>
                </c:pt>
                <c:pt idx="27">
                  <c:v>3.6478758128562192</c:v>
                </c:pt>
                <c:pt idx="28">
                  <c:v>3.7620182776634428</c:v>
                </c:pt>
                <c:pt idx="29">
                  <c:v>3.8800830416969219</c:v>
                </c:pt>
                <c:pt idx="30">
                  <c:v>4.0020546989043311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F3-44CE-B530-D990F81703B4}"/>
            </c:ext>
          </c:extLst>
        </c:ser>
        <c:ser>
          <c:idx val="7"/>
          <c:order val="7"/>
          <c:tx>
            <c:strRef>
              <c:f>'B10 Cement 55 Tractor 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'!$C$178:$AG$178</c:f>
              <c:numCache>
                <c:formatCode>_ [$₹-4009]\ * #,##0.00_ ;_ [$₹-4009]\ * \-#,##0.00_ ;_ [$₹-4009]\ * "-"??_ ;_ @_ </c:formatCode>
                <c:ptCount val="31"/>
                <c:pt idx="0">
                  <c:v>3.2516101369307284</c:v>
                </c:pt>
                <c:pt idx="1">
                  <c:v>3.2341747077766572</c:v>
                </c:pt>
                <c:pt idx="2">
                  <c:v>3.2198621249913684</c:v>
                </c:pt>
                <c:pt idx="3">
                  <c:v>3.2086978708133311</c:v>
                </c:pt>
                <c:pt idx="4">
                  <c:v>3.2007808780471616</c:v>
                </c:pt>
                <c:pt idx="5">
                  <c:v>3.2068364180785629</c:v>
                </c:pt>
                <c:pt idx="6">
                  <c:v>3.1171626988629977</c:v>
                </c:pt>
                <c:pt idx="7">
                  <c:v>3.0770408419104092</c:v>
                </c:pt>
                <c:pt idx="8">
                  <c:v>3.0399851419280299</c:v>
                </c:pt>
                <c:pt idx="9">
                  <c:v>3.006174499112134</c:v>
                </c:pt>
                <c:pt idx="10">
                  <c:v>2.9755022720072009</c:v>
                </c:pt>
                <c:pt idx="11">
                  <c:v>2.9001897848852765</c:v>
                </c:pt>
                <c:pt idx="12">
                  <c:v>2.8757211981094333</c:v>
                </c:pt>
                <c:pt idx="13">
                  <c:v>2.8542125326160286</c:v>
                </c:pt>
                <c:pt idx="14">
                  <c:v>2.8359089826977208</c:v>
                </c:pt>
                <c:pt idx="15">
                  <c:v>2.8204876529641076</c:v>
                </c:pt>
                <c:pt idx="16">
                  <c:v>2.7533226113572007</c:v>
                </c:pt>
                <c:pt idx="17">
                  <c:v>2.7585047410087635</c:v>
                </c:pt>
                <c:pt idx="18">
                  <c:v>2.766410716659423</c:v>
                </c:pt>
                <c:pt idx="19">
                  <c:v>2.7770107797718251</c:v>
                </c:pt>
                <c:pt idx="20">
                  <c:v>2.7900946825089186</c:v>
                </c:pt>
                <c:pt idx="21">
                  <c:v>2.7447676301823543</c:v>
                </c:pt>
                <c:pt idx="22">
                  <c:v>2.7627305129741329</c:v>
                </c:pt>
                <c:pt idx="23">
                  <c:v>2.783361857530589</c:v>
                </c:pt>
                <c:pt idx="24">
                  <c:v>2.8068323868388072</c:v>
                </c:pt>
                <c:pt idx="25">
                  <c:v>2.8328942454011798</c:v>
                </c:pt>
                <c:pt idx="26">
                  <c:v>2.8525508846374463</c:v>
                </c:pt>
                <c:pt idx="27">
                  <c:v>2.9151929482275087</c:v>
                </c:pt>
                <c:pt idx="28">
                  <c:v>2.9809267638249457</c:v>
                </c:pt>
                <c:pt idx="29">
                  <c:v>3.0499497670494899</c:v>
                </c:pt>
                <c:pt idx="30">
                  <c:v>3.1220884297480391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F3-44CE-B530-D990F81703B4}"/>
            </c:ext>
          </c:extLst>
        </c:ser>
        <c:ser>
          <c:idx val="8"/>
          <c:order val="8"/>
          <c:tx>
            <c:strRef>
              <c:f>'B10 Cement 55 Tractor 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'B10 Cement 55 Tractor 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'!$C$179:$AG$179</c:f>
              <c:numCache>
                <c:formatCode>_ [$₹-4009]\ * #,##0.00_ ;_ [$₹-4009]\ * \-#,##0.00_ ;_ [$₹-4009]\ * "-"??_ ;_ @_ </c:formatCode>
                <c:ptCount val="31"/>
                <c:pt idx="0">
                  <c:v>3.3447552189782228</c:v>
                </c:pt>
                <c:pt idx="1">
                  <c:v>3.3268203374265095</c:v>
                </c:pt>
                <c:pt idx="2">
                  <c:v>3.3120977587801836</c:v>
                </c:pt>
                <c:pt idx="3">
                  <c:v>3.3006136952376712</c:v>
                </c:pt>
                <c:pt idx="4">
                  <c:v>3.292469913616221</c:v>
                </c:pt>
                <c:pt idx="5">
                  <c:v>3.2986989196381047</c:v>
                </c:pt>
                <c:pt idx="6">
                  <c:v>3.2064564220075105</c:v>
                </c:pt>
                <c:pt idx="7">
                  <c:v>3.1651852410276344</c:v>
                </c:pt>
                <c:pt idx="8">
                  <c:v>3.1270680496395098</c:v>
                </c:pt>
                <c:pt idx="9">
                  <c:v>3.0922888727846169</c:v>
                </c:pt>
                <c:pt idx="10">
                  <c:v>3.0607380141740737</c:v>
                </c:pt>
                <c:pt idx="11">
                  <c:v>2.9832681380981363</c:v>
                </c:pt>
                <c:pt idx="12">
                  <c:v>2.9580986282636097</c:v>
                </c:pt>
                <c:pt idx="13">
                  <c:v>2.9359738291232591</c:v>
                </c:pt>
                <c:pt idx="14">
                  <c:v>2.9171459587645829</c:v>
                </c:pt>
                <c:pt idx="15">
                  <c:v>2.901282872189642</c:v>
                </c:pt>
                <c:pt idx="16">
                  <c:v>2.8321938319950379</c:v>
                </c:pt>
                <c:pt idx="17">
                  <c:v>2.8375244080689108</c:v>
                </c:pt>
                <c:pt idx="18">
                  <c:v>2.8456568569803964</c:v>
                </c:pt>
                <c:pt idx="19">
                  <c:v>2.8565605677340389</c:v>
                </c:pt>
                <c:pt idx="20">
                  <c:v>2.8700192697682887</c:v>
                </c:pt>
                <c:pt idx="21">
                  <c:v>2.8233937862552865</c:v>
                </c:pt>
                <c:pt idx="22">
                  <c:v>2.8418712307937044</c:v>
                </c:pt>
                <c:pt idx="23">
                  <c:v>2.863093577407767</c:v>
                </c:pt>
                <c:pt idx="24">
                  <c:v>2.8872364395867938</c:v>
                </c:pt>
                <c:pt idx="25">
                  <c:v>2.9140448618059005</c:v>
                </c:pt>
                <c:pt idx="26">
                  <c:v>2.9342645818536233</c:v>
                </c:pt>
                <c:pt idx="27">
                  <c:v>2.9987010795569424</c:v>
                </c:pt>
                <c:pt idx="28">
                  <c:v>3.0663178950803474</c:v>
                </c:pt>
                <c:pt idx="29">
                  <c:v>3.1373181197514284</c:v>
                </c:pt>
                <c:pt idx="30">
                  <c:v>3.2115232545585295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F3-44CE-B530-D990F817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'B10 Cement 55 Tractor 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'B10 Cement 55 Tractor 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'B10 Cement 55 Tractor 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1.6222545996855608</c:v>
                      </c:pt>
                      <c:pt idx="1">
                        <c:v>1.7420987875771803</c:v>
                      </c:pt>
                      <c:pt idx="2">
                        <c:v>1.7838478952233929</c:v>
                      </c:pt>
                      <c:pt idx="3">
                        <c:v>1.8267118111959146</c:v>
                      </c:pt>
                      <c:pt idx="4">
                        <c:v>1.8709521324501144</c:v>
                      </c:pt>
                      <c:pt idx="5">
                        <c:v>1.9320816231708089</c:v>
                      </c:pt>
                      <c:pt idx="6">
                        <c:v>1.9793881795662744</c:v>
                      </c:pt>
                      <c:pt idx="7">
                        <c:v>2.0279298638792573</c:v>
                      </c:pt>
                      <c:pt idx="8">
                        <c:v>2.0779668922450298</c:v>
                      </c:pt>
                      <c:pt idx="9">
                        <c:v>2.1292952820870972</c:v>
                      </c:pt>
                      <c:pt idx="10">
                        <c:v>2.1821805919556452</c:v>
                      </c:pt>
                      <c:pt idx="11">
                        <c:v>2.2614310160349969</c:v>
                      </c:pt>
                      <c:pt idx="12">
                        <c:v>2.3182700241515595</c:v>
                      </c:pt>
                      <c:pt idx="13">
                        <c:v>2.376782126367718</c:v>
                      </c:pt>
                      <c:pt idx="14">
                        <c:v>2.437006536563358</c:v>
                      </c:pt>
                      <c:pt idx="15">
                        <c:v>2.4989747900108097</c:v>
                      </c:pt>
                      <c:pt idx="16">
                        <c:v>2.5627278362553425</c:v>
                      </c:pt>
                      <c:pt idx="17">
                        <c:v>2.6285376848249884</c:v>
                      </c:pt>
                      <c:pt idx="18">
                        <c:v>2.6962084684089334</c:v>
                      </c:pt>
                      <c:pt idx="19">
                        <c:v>2.7660183886334453</c:v>
                      </c:pt>
                      <c:pt idx="20">
                        <c:v>2.8377735729715616</c:v>
                      </c:pt>
                      <c:pt idx="21">
                        <c:v>2.9450471900485859</c:v>
                      </c:pt>
                      <c:pt idx="22">
                        <c:v>3.0222907784790438</c:v>
                      </c:pt>
                      <c:pt idx="23">
                        <c:v>3.1018761863390716</c:v>
                      </c:pt>
                      <c:pt idx="24">
                        <c:v>3.1838582579344812</c:v>
                      </c:pt>
                      <c:pt idx="25">
                        <c:v>3.268518257574097</c:v>
                      </c:pt>
                      <c:pt idx="26">
                        <c:v>3.3556698792919741</c:v>
                      </c:pt>
                      <c:pt idx="27">
                        <c:v>3.4456061395962148</c:v>
                      </c:pt>
                      <c:pt idx="28">
                        <c:v>3.538382387650044</c:v>
                      </c:pt>
                      <c:pt idx="29">
                        <c:v>3.6340553660346004</c:v>
                      </c:pt>
                      <c:pt idx="30">
                        <c:v>3.7326832611455485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AF3-44CE-B530-D990F81703B4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'B10 Cement 55 Tractor 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'!$E$63:$AG$63</c:f>
              <c:numCache>
                <c:formatCode>_ [$₹-4009]\ * #,##0_ ;_ [$₹-4009]\ * \-#,##0_ ;_ [$₹-4009]\ * "-"??_ ;_ @_ </c:formatCode>
                <c:ptCount val="29"/>
                <c:pt idx="0">
                  <c:v>5304500</c:v>
                </c:pt>
                <c:pt idx="1">
                  <c:v>5463600</c:v>
                </c:pt>
                <c:pt idx="2">
                  <c:v>5627500</c:v>
                </c:pt>
                <c:pt idx="3">
                  <c:v>6196300</c:v>
                </c:pt>
                <c:pt idx="4">
                  <c:v>6382200</c:v>
                </c:pt>
                <c:pt idx="5">
                  <c:v>6573700</c:v>
                </c:pt>
                <c:pt idx="6">
                  <c:v>6770900</c:v>
                </c:pt>
                <c:pt idx="7">
                  <c:v>6974000</c:v>
                </c:pt>
                <c:pt idx="8">
                  <c:v>7183200</c:v>
                </c:pt>
                <c:pt idx="9">
                  <c:v>7398700</c:v>
                </c:pt>
                <c:pt idx="10">
                  <c:v>7620700</c:v>
                </c:pt>
                <c:pt idx="11">
                  <c:v>7849300</c:v>
                </c:pt>
                <c:pt idx="12">
                  <c:v>8084800</c:v>
                </c:pt>
                <c:pt idx="13">
                  <c:v>8327300</c:v>
                </c:pt>
                <c:pt idx="14">
                  <c:v>8577100</c:v>
                </c:pt>
                <c:pt idx="15">
                  <c:v>8834400</c:v>
                </c:pt>
                <c:pt idx="16">
                  <c:v>9099400</c:v>
                </c:pt>
                <c:pt idx="17">
                  <c:v>9372400</c:v>
                </c:pt>
                <c:pt idx="18">
                  <c:v>9653600</c:v>
                </c:pt>
                <c:pt idx="19">
                  <c:v>9943200</c:v>
                </c:pt>
                <c:pt idx="20">
                  <c:v>10241500</c:v>
                </c:pt>
                <c:pt idx="21">
                  <c:v>10548700</c:v>
                </c:pt>
                <c:pt idx="22">
                  <c:v>10865200</c:v>
                </c:pt>
                <c:pt idx="23">
                  <c:v>11191200</c:v>
                </c:pt>
                <c:pt idx="24">
                  <c:v>11526900</c:v>
                </c:pt>
                <c:pt idx="25">
                  <c:v>11872700</c:v>
                </c:pt>
                <c:pt idx="26">
                  <c:v>12228900</c:v>
                </c:pt>
                <c:pt idx="27">
                  <c:v>12595800</c:v>
                </c:pt>
                <c:pt idx="28">
                  <c:v>12973700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6-4DDA-9A3E-4DEA3DFEA8EB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2366-4DDA-9A3E-4DEA3DFEA8EB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2366-4DDA-9A3E-4DEA3DFEA8EB}"/>
            </c:ext>
          </c:extLst>
        </c:ser>
        <c:ser>
          <c:idx val="3"/>
          <c:order val="3"/>
          <c:tx>
            <c:strRef>
              <c:f>'B10 Cement 55 Tractor 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'!$C$132:$AG$132</c:f>
              <c:numCache>
                <c:formatCode>_ [$₹-4009]\ * #,##0_ ;_ [$₹-4009]\ * \-#,##0_ ;_ [$₹-4009]\ * "-"??_ ;_ @_ </c:formatCode>
                <c:ptCount val="31"/>
                <c:pt idx="0">
                  <c:v>11255000</c:v>
                </c:pt>
                <c:pt idx="1">
                  <c:v>11221000</c:v>
                </c:pt>
                <c:pt idx="2">
                  <c:v>11197000</c:v>
                </c:pt>
                <c:pt idx="3">
                  <c:v>10964000</c:v>
                </c:pt>
                <c:pt idx="4">
                  <c:v>10751000</c:v>
                </c:pt>
                <c:pt idx="5">
                  <c:v>10757000</c:v>
                </c:pt>
                <c:pt idx="6">
                  <c:v>10606000</c:v>
                </c:pt>
                <c:pt idx="7">
                  <c:v>10676000</c:v>
                </c:pt>
                <c:pt idx="8">
                  <c:v>10753000</c:v>
                </c:pt>
                <c:pt idx="9">
                  <c:v>10838000</c:v>
                </c:pt>
                <c:pt idx="10">
                  <c:v>10931000</c:v>
                </c:pt>
                <c:pt idx="11">
                  <c:v>11032000</c:v>
                </c:pt>
                <c:pt idx="12">
                  <c:v>11142000</c:v>
                </c:pt>
                <c:pt idx="13">
                  <c:v>11259000</c:v>
                </c:pt>
                <c:pt idx="14">
                  <c:v>11386000</c:v>
                </c:pt>
                <c:pt idx="15">
                  <c:v>11521000</c:v>
                </c:pt>
                <c:pt idx="16">
                  <c:v>11570000</c:v>
                </c:pt>
                <c:pt idx="17">
                  <c:v>11796000</c:v>
                </c:pt>
                <c:pt idx="18">
                  <c:v>12030000</c:v>
                </c:pt>
                <c:pt idx="19">
                  <c:v>12271000</c:v>
                </c:pt>
                <c:pt idx="20">
                  <c:v>12521000</c:v>
                </c:pt>
                <c:pt idx="21">
                  <c:v>12780000</c:v>
                </c:pt>
                <c:pt idx="22">
                  <c:v>13047000</c:v>
                </c:pt>
                <c:pt idx="23">
                  <c:v>13323000</c:v>
                </c:pt>
                <c:pt idx="24">
                  <c:v>13608000</c:v>
                </c:pt>
                <c:pt idx="25">
                  <c:v>13903000</c:v>
                </c:pt>
                <c:pt idx="26">
                  <c:v>14255000</c:v>
                </c:pt>
                <c:pt idx="27">
                  <c:v>14618000</c:v>
                </c:pt>
                <c:pt idx="28">
                  <c:v>14991000</c:v>
                </c:pt>
                <c:pt idx="29">
                  <c:v>15374000</c:v>
                </c:pt>
                <c:pt idx="30">
                  <c:v>15769000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6-4DDA-9A3E-4DEA3DFEA8EB}"/>
            </c:ext>
          </c:extLst>
        </c:ser>
        <c:ser>
          <c:idx val="4"/>
          <c:order val="4"/>
          <c:tx>
            <c:strRef>
              <c:f>'B10 Cement 55 Tractor 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'!$C$98:$AG$98</c:f>
              <c:numCache>
                <c:formatCode>_ [$₹-4009]\ * #,##0_ ;_ [$₹-4009]\ * \-#,##0_ ;_ [$₹-4009]\ * "-"??_ ;_ @_ </c:formatCode>
                <c:ptCount val="31"/>
                <c:pt idx="0">
                  <c:v>6157000</c:v>
                </c:pt>
                <c:pt idx="1">
                  <c:v>6318000</c:v>
                </c:pt>
                <c:pt idx="2">
                  <c:v>6485000</c:v>
                </c:pt>
                <c:pt idx="3">
                  <c:v>6655000</c:v>
                </c:pt>
                <c:pt idx="4">
                  <c:v>6831000</c:v>
                </c:pt>
                <c:pt idx="5">
                  <c:v>7412000</c:v>
                </c:pt>
                <c:pt idx="6">
                  <c:v>7610000</c:v>
                </c:pt>
                <c:pt idx="7">
                  <c:v>7814000</c:v>
                </c:pt>
                <c:pt idx="8">
                  <c:v>8024000</c:v>
                </c:pt>
                <c:pt idx="9">
                  <c:v>8239000</c:v>
                </c:pt>
                <c:pt idx="10">
                  <c:v>8461000</c:v>
                </c:pt>
                <c:pt idx="11">
                  <c:v>8689000</c:v>
                </c:pt>
                <c:pt idx="12">
                  <c:v>8924000</c:v>
                </c:pt>
                <c:pt idx="13">
                  <c:v>9166000</c:v>
                </c:pt>
                <c:pt idx="14">
                  <c:v>9415000</c:v>
                </c:pt>
                <c:pt idx="15">
                  <c:v>9670000</c:v>
                </c:pt>
                <c:pt idx="16">
                  <c:v>9934000</c:v>
                </c:pt>
                <c:pt idx="17">
                  <c:v>10204000</c:v>
                </c:pt>
                <c:pt idx="18">
                  <c:v>10483000</c:v>
                </c:pt>
                <c:pt idx="19">
                  <c:v>10770000</c:v>
                </c:pt>
                <c:pt idx="20">
                  <c:v>11065000</c:v>
                </c:pt>
                <c:pt idx="21">
                  <c:v>11369000</c:v>
                </c:pt>
                <c:pt idx="22">
                  <c:v>11681000</c:v>
                </c:pt>
                <c:pt idx="23">
                  <c:v>12003000</c:v>
                </c:pt>
                <c:pt idx="24">
                  <c:v>12334000</c:v>
                </c:pt>
                <c:pt idx="25">
                  <c:v>12675000</c:v>
                </c:pt>
                <c:pt idx="26">
                  <c:v>13025000</c:v>
                </c:pt>
                <c:pt idx="27">
                  <c:v>13386000</c:v>
                </c:pt>
                <c:pt idx="28">
                  <c:v>13757000</c:v>
                </c:pt>
                <c:pt idx="29">
                  <c:v>14140000</c:v>
                </c:pt>
                <c:pt idx="30">
                  <c:v>14533000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66-4DDA-9A3E-4DEA3DFEA8EB}"/>
            </c:ext>
          </c:extLst>
        </c:ser>
        <c:ser>
          <c:idx val="5"/>
          <c:order val="5"/>
          <c:tx>
            <c:strRef>
              <c:f>'B10 Cement 55 Tractor 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'!$C$115:$AG$115</c:f>
              <c:numCache>
                <c:formatCode>_ [$₹-4009]\ * #,##0_ ;_ [$₹-4009]\ * \-#,##0_ ;_ [$₹-4009]\ * "-"??_ ;_ @_ </c:formatCode>
                <c:ptCount val="31"/>
                <c:pt idx="0">
                  <c:v>6579000</c:v>
                </c:pt>
                <c:pt idx="1">
                  <c:v>6650000</c:v>
                </c:pt>
                <c:pt idx="2">
                  <c:v>6730000</c:v>
                </c:pt>
                <c:pt idx="3">
                  <c:v>6818000</c:v>
                </c:pt>
                <c:pt idx="4">
                  <c:v>6914000</c:v>
                </c:pt>
                <c:pt idx="5">
                  <c:v>7418000</c:v>
                </c:pt>
                <c:pt idx="6">
                  <c:v>7555000</c:v>
                </c:pt>
                <c:pt idx="7">
                  <c:v>7700000</c:v>
                </c:pt>
                <c:pt idx="8">
                  <c:v>7852000</c:v>
                </c:pt>
                <c:pt idx="9">
                  <c:v>8012000</c:v>
                </c:pt>
                <c:pt idx="10">
                  <c:v>8180000</c:v>
                </c:pt>
                <c:pt idx="11">
                  <c:v>8355000</c:v>
                </c:pt>
                <c:pt idx="12">
                  <c:v>8539000</c:v>
                </c:pt>
                <c:pt idx="13">
                  <c:v>8731000</c:v>
                </c:pt>
                <c:pt idx="14">
                  <c:v>8931000</c:v>
                </c:pt>
                <c:pt idx="15">
                  <c:v>9140000</c:v>
                </c:pt>
                <c:pt idx="16">
                  <c:v>9398000</c:v>
                </c:pt>
                <c:pt idx="17">
                  <c:v>9663000</c:v>
                </c:pt>
                <c:pt idx="18">
                  <c:v>9936000</c:v>
                </c:pt>
                <c:pt idx="19">
                  <c:v>10218000</c:v>
                </c:pt>
                <c:pt idx="20">
                  <c:v>10507000</c:v>
                </c:pt>
                <c:pt idx="21">
                  <c:v>10806000</c:v>
                </c:pt>
                <c:pt idx="22">
                  <c:v>11112000</c:v>
                </c:pt>
                <c:pt idx="23">
                  <c:v>11428000</c:v>
                </c:pt>
                <c:pt idx="24">
                  <c:v>11754000</c:v>
                </c:pt>
                <c:pt idx="25">
                  <c:v>12089000</c:v>
                </c:pt>
                <c:pt idx="26">
                  <c:v>12433000</c:v>
                </c:pt>
                <c:pt idx="27">
                  <c:v>12788000</c:v>
                </c:pt>
                <c:pt idx="28">
                  <c:v>13153000</c:v>
                </c:pt>
                <c:pt idx="29">
                  <c:v>13530000</c:v>
                </c:pt>
                <c:pt idx="30">
                  <c:v>13917000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66-4DDA-9A3E-4DEA3DFEA8EB}"/>
            </c:ext>
          </c:extLst>
        </c:ser>
        <c:ser>
          <c:idx val="6"/>
          <c:order val="6"/>
          <c:tx>
            <c:strRef>
              <c:f>'B10 Cement 55 Tractor 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'!$C$149:$AG$149</c:f>
              <c:numCache>
                <c:formatCode>_ [$₹-4009]\ * #,##0_ ;_ [$₹-4009]\ * \-#,##0_ ;_ [$₹-4009]\ * "-"??_ ;_ @_ </c:formatCode>
                <c:ptCount val="31"/>
                <c:pt idx="0">
                  <c:v>15366000</c:v>
                </c:pt>
                <c:pt idx="1">
                  <c:v>15129000</c:v>
                </c:pt>
                <c:pt idx="2">
                  <c:v>14909000</c:v>
                </c:pt>
                <c:pt idx="3">
                  <c:v>14707000</c:v>
                </c:pt>
                <c:pt idx="4">
                  <c:v>14521000</c:v>
                </c:pt>
                <c:pt idx="5">
                  <c:v>14553000</c:v>
                </c:pt>
                <c:pt idx="6">
                  <c:v>14466000</c:v>
                </c:pt>
                <c:pt idx="7">
                  <c:v>14398000</c:v>
                </c:pt>
                <c:pt idx="8">
                  <c:v>14343000</c:v>
                </c:pt>
                <c:pt idx="9">
                  <c:v>14301000</c:v>
                </c:pt>
                <c:pt idx="10">
                  <c:v>14271000</c:v>
                </c:pt>
                <c:pt idx="11">
                  <c:v>14253000</c:v>
                </c:pt>
                <c:pt idx="12">
                  <c:v>14248000</c:v>
                </c:pt>
                <c:pt idx="13">
                  <c:v>14255000</c:v>
                </c:pt>
                <c:pt idx="14">
                  <c:v>14275000</c:v>
                </c:pt>
                <c:pt idx="15">
                  <c:v>14307000</c:v>
                </c:pt>
                <c:pt idx="16">
                  <c:v>14253000</c:v>
                </c:pt>
                <c:pt idx="17">
                  <c:v>14435000</c:v>
                </c:pt>
                <c:pt idx="18">
                  <c:v>14626000</c:v>
                </c:pt>
                <c:pt idx="19">
                  <c:v>14826000</c:v>
                </c:pt>
                <c:pt idx="20">
                  <c:v>15036000</c:v>
                </c:pt>
                <c:pt idx="21">
                  <c:v>15041000</c:v>
                </c:pt>
                <c:pt idx="22">
                  <c:v>15272000</c:v>
                </c:pt>
                <c:pt idx="23">
                  <c:v>15514000</c:v>
                </c:pt>
                <c:pt idx="24">
                  <c:v>15766000</c:v>
                </c:pt>
                <c:pt idx="25">
                  <c:v>16028000</c:v>
                </c:pt>
                <c:pt idx="26">
                  <c:v>16193000</c:v>
                </c:pt>
                <c:pt idx="27">
                  <c:v>16575000</c:v>
                </c:pt>
                <c:pt idx="28">
                  <c:v>16968000</c:v>
                </c:pt>
                <c:pt idx="29">
                  <c:v>17371000</c:v>
                </c:pt>
                <c:pt idx="30">
                  <c:v>17785000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66-4DDA-9A3E-4DEA3DFEA8EB}"/>
            </c:ext>
          </c:extLst>
        </c:ser>
        <c:ser>
          <c:idx val="7"/>
          <c:order val="7"/>
          <c:tx>
            <c:strRef>
              <c:f>'B10 Cement 55 Tractor 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'B10 Cement 55 Tractor 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'B10 Cement 55 Tractor '!$C$81:$AG$81</c:f>
              <c:numCache>
                <c:formatCode>_ [$₹-4009]\ * #,##0_ ;_ [$₹-4009]\ * \-#,##0_ ;_ [$₹-4009]\ * "-"??_ ;_ @_ </c:formatCode>
                <c:ptCount val="31"/>
                <c:pt idx="0">
                  <c:v>5250000</c:v>
                </c:pt>
                <c:pt idx="1">
                  <c:v>5407500</c:v>
                </c:pt>
                <c:pt idx="2">
                  <c:v>5569725</c:v>
                </c:pt>
                <c:pt idx="3">
                  <c:v>5736816.75</c:v>
                </c:pt>
                <c:pt idx="4">
                  <c:v>5908921.2525000004</c:v>
                </c:pt>
                <c:pt idx="5">
                  <c:v>6486188.8900750009</c:v>
                </c:pt>
                <c:pt idx="6">
                  <c:v>6680774.556777251</c:v>
                </c:pt>
                <c:pt idx="7">
                  <c:v>6881197.7934805686</c:v>
                </c:pt>
                <c:pt idx="8">
                  <c:v>7087633.7272849856</c:v>
                </c:pt>
                <c:pt idx="9">
                  <c:v>7300262.7391035352</c:v>
                </c:pt>
                <c:pt idx="10">
                  <c:v>7519270.6212766413</c:v>
                </c:pt>
                <c:pt idx="11">
                  <c:v>7744848.7399149407</c:v>
                </c:pt>
                <c:pt idx="12">
                  <c:v>7977194.2021123888</c:v>
                </c:pt>
                <c:pt idx="13">
                  <c:v>8216510.028175761</c:v>
                </c:pt>
                <c:pt idx="14">
                  <c:v>8463005.3290210348</c:v>
                </c:pt>
                <c:pt idx="15">
                  <c:v>8716895.4888916668</c:v>
                </c:pt>
                <c:pt idx="16">
                  <c:v>8978402.3535584174</c:v>
                </c:pt>
                <c:pt idx="17">
                  <c:v>9247754.4241651706</c:v>
                </c:pt>
                <c:pt idx="18">
                  <c:v>9525187.0568901263</c:v>
                </c:pt>
                <c:pt idx="19">
                  <c:v>9810942.6685968302</c:v>
                </c:pt>
                <c:pt idx="20">
                  <c:v>10105270.948654735</c:v>
                </c:pt>
                <c:pt idx="21">
                  <c:v>10408429.077114377</c:v>
                </c:pt>
                <c:pt idx="22">
                  <c:v>10720681.94942781</c:v>
                </c:pt>
                <c:pt idx="23">
                  <c:v>11042302.407910645</c:v>
                </c:pt>
                <c:pt idx="24">
                  <c:v>11373571.480147965</c:v>
                </c:pt>
                <c:pt idx="25">
                  <c:v>11714778.624552405</c:v>
                </c:pt>
                <c:pt idx="26">
                  <c:v>12066221.983288977</c:v>
                </c:pt>
                <c:pt idx="27">
                  <c:v>12428208.642787647</c:v>
                </c:pt>
                <c:pt idx="28">
                  <c:v>12801054.902071277</c:v>
                </c:pt>
                <c:pt idx="29">
                  <c:v>13185086.549133414</c:v>
                </c:pt>
                <c:pt idx="30">
                  <c:v>13580639.145607417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66-4DDA-9A3E-4DEA3DF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'B11 S&amp;M 55Tractor'!$A$165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'B11 S&amp;M 55Tractor'!$C$164:$AB$164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'B11 S&amp;M 55Tractor'!$C$165:$AB$165</c:f>
              <c:numCache>
                <c:formatCode>_ [$₹-4009]\ * #,##0.00_ ;_ [$₹-4009]\ * \-#,##0.00_ ;_ [$₹-4009]\ * "-"??_ ;_ @_ </c:formatCode>
                <c:ptCount val="26"/>
                <c:pt idx="0">
                  <c:v>67.543924537538089</c:v>
                </c:pt>
                <c:pt idx="1">
                  <c:v>72.41013266142248</c:v>
                </c:pt>
                <c:pt idx="2">
                  <c:v>74.196495904085666</c:v>
                </c:pt>
                <c:pt idx="3">
                  <c:v>76.031939472578571</c:v>
                </c:pt>
                <c:pt idx="4">
                  <c:v>77.928112478981802</c:v>
                </c:pt>
                <c:pt idx="5">
                  <c:v>80.574389582417538</c:v>
                </c:pt>
                <c:pt idx="6">
                  <c:v>82.606029763080116</c:v>
                </c:pt>
                <c:pt idx="7">
                  <c:v>84.692205738465091</c:v>
                </c:pt>
                <c:pt idx="8">
                  <c:v>86.844513020205639</c:v>
                </c:pt>
                <c:pt idx="9">
                  <c:v>89.053921470809939</c:v>
                </c:pt>
                <c:pt idx="10">
                  <c:v>91.332268472694935</c:v>
                </c:pt>
                <c:pt idx="11">
                  <c:v>94.782007174877734</c:v>
                </c:pt>
                <c:pt idx="12">
                  <c:v>97.235672047587983</c:v>
                </c:pt>
                <c:pt idx="13">
                  <c:v>99.763562665608717</c:v>
                </c:pt>
                <c:pt idx="14">
                  <c:v>102.36746850802449</c:v>
                </c:pt>
                <c:pt idx="15">
                  <c:v>105.04884071891112</c:v>
                </c:pt>
                <c:pt idx="16">
                  <c:v>107.80955180749665</c:v>
                </c:pt>
                <c:pt idx="17">
                  <c:v>110.66174517048695</c:v>
                </c:pt>
                <c:pt idx="18">
                  <c:v>113.5967762342039</c:v>
                </c:pt>
                <c:pt idx="19">
                  <c:v>116.62707032345376</c:v>
                </c:pt>
                <c:pt idx="20">
                  <c:v>119.74407858796572</c:v>
                </c:pt>
                <c:pt idx="21">
                  <c:v>124.4397788556286</c:v>
                </c:pt>
                <c:pt idx="22">
                  <c:v>127.8014354816481</c:v>
                </c:pt>
                <c:pt idx="23">
                  <c:v>131.26765071522701</c:v>
                </c:pt>
                <c:pt idx="24">
                  <c:v>134.84094428191199</c:v>
                </c:pt>
                <c:pt idx="25">
                  <c:v>138.53390197464671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5-48DF-AA50-5710511BCF58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'B11 S&amp;M 55Tractor'!$C$164:$AB$164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C5-48DF-AA50-5710511BCF58}"/>
            </c:ext>
          </c:extLst>
        </c:ser>
        <c:ser>
          <c:idx val="4"/>
          <c:order val="2"/>
          <c:tx>
            <c:strRef>
              <c:f>'B11 S&amp;M 55Tractor'!$A$168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'B11 S&amp;M 55Tractor'!$C$164:$AB$164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'B11 S&amp;M 55Tractor'!$C$168:$AB$168</c:f>
              <c:numCache>
                <c:formatCode>_ [$₹-4009]\ * #,##0.00_ ;_ [$₹-4009]\ * \-#,##0.00_ ;_ [$₹-4009]\ * "-"??_ ;_ @_ </c:formatCode>
                <c:ptCount val="26"/>
                <c:pt idx="0">
                  <c:v>70.382595439106623</c:v>
                </c:pt>
                <c:pt idx="1">
                  <c:v>71.098396653658767</c:v>
                </c:pt>
                <c:pt idx="2">
                  <c:v>71.741739886120044</c:v>
                </c:pt>
                <c:pt idx="3">
                  <c:v>71.842593466323308</c:v>
                </c:pt>
                <c:pt idx="4">
                  <c:v>71.880277787103736</c:v>
                </c:pt>
                <c:pt idx="5">
                  <c:v>72.71896825963907</c:v>
                </c:pt>
                <c:pt idx="6">
                  <c:v>70.890462488836874</c:v>
                </c:pt>
                <c:pt idx="7">
                  <c:v>71.481898948495257</c:v>
                </c:pt>
                <c:pt idx="8">
                  <c:v>71.869138189813754</c:v>
                </c:pt>
                <c:pt idx="9">
                  <c:v>72.409989019396463</c:v>
                </c:pt>
                <c:pt idx="10">
                  <c:v>73.11837771857391</c:v>
                </c:pt>
                <c:pt idx="11">
                  <c:v>72.511307660791715</c:v>
                </c:pt>
                <c:pt idx="12">
                  <c:v>73.599822614313709</c:v>
                </c:pt>
                <c:pt idx="13">
                  <c:v>74.708425639167061</c:v>
                </c:pt>
                <c:pt idx="14">
                  <c:v>75.944503948181335</c:v>
                </c:pt>
                <c:pt idx="15">
                  <c:v>77.305402042511744</c:v>
                </c:pt>
                <c:pt idx="16">
                  <c:v>78.619650163611851</c:v>
                </c:pt>
                <c:pt idx="17">
                  <c:v>80.419397044369674</c:v>
                </c:pt>
                <c:pt idx="18">
                  <c:v>82.250674743292635</c:v>
                </c:pt>
                <c:pt idx="19">
                  <c:v>84.161423029013278</c:v>
                </c:pt>
                <c:pt idx="20">
                  <c:v>86.147876578066018</c:v>
                </c:pt>
                <c:pt idx="21">
                  <c:v>86.329725699763486</c:v>
                </c:pt>
                <c:pt idx="22">
                  <c:v>88.458887521564805</c:v>
                </c:pt>
                <c:pt idx="23">
                  <c:v>90.676738297337224</c:v>
                </c:pt>
                <c:pt idx="24">
                  <c:v>92.996551451529342</c:v>
                </c:pt>
                <c:pt idx="25">
                  <c:v>95.4096550126811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C5-48DF-AA50-5710511BCF58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8C5-48DF-AA50-5710511BCF58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8C5-48DF-AA50-5710511B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'B11 S&amp;M 55Tractor'!$A$192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'B11 S&amp;M 55Tractor'!$C$164:$AB$164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'B11 S&amp;M 55Tractor'!$C$192:$AB$192</c:f>
              <c:numCache>
                <c:formatCode>0%</c:formatCode>
                <c:ptCount val="26"/>
                <c:pt idx="0">
                  <c:v>0.95966799911457534</c:v>
                </c:pt>
                <c:pt idx="1">
                  <c:v>1.0184495863409349</c:v>
                </c:pt>
                <c:pt idx="2">
                  <c:v>1.0342165665603065</c:v>
                </c:pt>
                <c:pt idx="3">
                  <c:v>1.0583128448476606</c:v>
                </c:pt>
                <c:pt idx="4">
                  <c:v>1.0841376087859684</c:v>
                </c:pt>
                <c:pt idx="5">
                  <c:v>1.1080243781062888</c:v>
                </c:pt>
                <c:pt idx="6">
                  <c:v>1.1652629544642636</c:v>
                </c:pt>
                <c:pt idx="7">
                  <c:v>1.1848063213805811</c:v>
                </c:pt>
                <c:pt idx="8">
                  <c:v>1.208370034865875</c:v>
                </c:pt>
                <c:pt idx="9">
                  <c:v>1.229856856447735</c:v>
                </c:pt>
                <c:pt idx="10">
                  <c:v>1.2491014068203845</c:v>
                </c:pt>
                <c:pt idx="11">
                  <c:v>1.3071341592440791</c:v>
                </c:pt>
                <c:pt idx="12">
                  <c:v>1.321140032594013</c:v>
                </c:pt>
                <c:pt idx="13">
                  <c:v>1.3353723065649252</c:v>
                </c:pt>
                <c:pt idx="14">
                  <c:v>1.3479246447889388</c:v>
                </c:pt>
                <c:pt idx="15">
                  <c:v>1.3588809830022321</c:v>
                </c:pt>
                <c:pt idx="16">
                  <c:v>1.3712799736851917</c:v>
                </c:pt>
                <c:pt idx="17">
                  <c:v>1.3760578820235585</c:v>
                </c:pt>
                <c:pt idx="18">
                  <c:v>1.381104490494985</c:v>
                </c:pt>
                <c:pt idx="19">
                  <c:v>1.3857544956582837</c:v>
                </c:pt>
                <c:pt idx="20">
                  <c:v>1.3899829379944761</c:v>
                </c:pt>
                <c:pt idx="21">
                  <c:v>1.4414476340212619</c:v>
                </c:pt>
                <c:pt idx="22">
                  <c:v>1.4447551745492191</c:v>
                </c:pt>
                <c:pt idx="23">
                  <c:v>1.4476441607856307</c:v>
                </c:pt>
                <c:pt idx="24">
                  <c:v>1.4499563927614276</c:v>
                </c:pt>
                <c:pt idx="25">
                  <c:v>1.4519903877257903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3-40EF-BE0C-CB6C0F4D7ED3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'B11 S&amp;M 55Tractor'!$C$164:$AB$164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3-40EF-BE0C-CB6C0F4D7ED3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0C03-40EF-BE0C-CB6C0F4D7ED3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0C03-40EF-BE0C-CB6C0F4D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'B11 S&amp;M 55Tractor'!$A$165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55Tractor'!$C$165:$AG$165</c:f>
              <c:numCache>
                <c:formatCode>_ [$₹-4009]\ * #,##0.00_ ;_ [$₹-4009]\ * \-#,##0.00_ ;_ [$₹-4009]\ * "-"??_ ;_ @_ </c:formatCode>
                <c:ptCount val="31"/>
                <c:pt idx="0">
                  <c:v>67.543924537538089</c:v>
                </c:pt>
                <c:pt idx="1">
                  <c:v>72.41013266142248</c:v>
                </c:pt>
                <c:pt idx="2">
                  <c:v>74.196495904085666</c:v>
                </c:pt>
                <c:pt idx="3">
                  <c:v>76.031939472578571</c:v>
                </c:pt>
                <c:pt idx="4">
                  <c:v>77.928112478981802</c:v>
                </c:pt>
                <c:pt idx="5">
                  <c:v>80.574389582417538</c:v>
                </c:pt>
                <c:pt idx="6">
                  <c:v>82.606029763080116</c:v>
                </c:pt>
                <c:pt idx="7">
                  <c:v>84.692205738465091</c:v>
                </c:pt>
                <c:pt idx="8">
                  <c:v>86.844513020205639</c:v>
                </c:pt>
                <c:pt idx="9">
                  <c:v>89.053921470809939</c:v>
                </c:pt>
                <c:pt idx="10">
                  <c:v>91.332268472694935</c:v>
                </c:pt>
                <c:pt idx="11">
                  <c:v>94.782007174877734</c:v>
                </c:pt>
                <c:pt idx="12">
                  <c:v>97.235672047587983</c:v>
                </c:pt>
                <c:pt idx="13">
                  <c:v>99.763562665608717</c:v>
                </c:pt>
                <c:pt idx="14">
                  <c:v>102.36746850802449</c:v>
                </c:pt>
                <c:pt idx="15">
                  <c:v>105.04884071891112</c:v>
                </c:pt>
                <c:pt idx="16">
                  <c:v>107.80955180749665</c:v>
                </c:pt>
                <c:pt idx="17">
                  <c:v>110.66174517048695</c:v>
                </c:pt>
                <c:pt idx="18">
                  <c:v>113.5967762342039</c:v>
                </c:pt>
                <c:pt idx="19">
                  <c:v>116.62707032345376</c:v>
                </c:pt>
                <c:pt idx="20">
                  <c:v>119.74407858796572</c:v>
                </c:pt>
                <c:pt idx="21">
                  <c:v>124.4397788556286</c:v>
                </c:pt>
                <c:pt idx="22">
                  <c:v>127.8014354816481</c:v>
                </c:pt>
                <c:pt idx="23">
                  <c:v>131.26765071522701</c:v>
                </c:pt>
                <c:pt idx="24">
                  <c:v>134.84094428191199</c:v>
                </c:pt>
                <c:pt idx="25">
                  <c:v>138.53390197464671</c:v>
                </c:pt>
                <c:pt idx="26">
                  <c:v>142.33833666629238</c:v>
                </c:pt>
                <c:pt idx="27">
                  <c:v>146.26736607035184</c:v>
                </c:pt>
                <c:pt idx="28">
                  <c:v>150.32355172915712</c:v>
                </c:pt>
                <c:pt idx="29">
                  <c:v>154.50952250922168</c:v>
                </c:pt>
                <c:pt idx="30">
                  <c:v>158.82797708327348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2-475C-A3E4-98957313614F}"/>
            </c:ext>
          </c:extLst>
        </c:ser>
        <c:ser>
          <c:idx val="4"/>
          <c:order val="1"/>
          <c:tx>
            <c:strRef>
              <c:f>'B11 S&amp;M 55Tractor'!$A$168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B42-475C-A3E4-98957313614F}"/>
              </c:ext>
            </c:extLst>
          </c:dPt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55Tractor'!$C$168:$AG$168</c:f>
              <c:numCache>
                <c:formatCode>_ [$₹-4009]\ * #,##0.00_ ;_ [$₹-4009]\ * \-#,##0.00_ ;_ [$₹-4009]\ * "-"??_ ;_ @_ </c:formatCode>
                <c:ptCount val="31"/>
                <c:pt idx="0">
                  <c:v>70.382595439106623</c:v>
                </c:pt>
                <c:pt idx="1">
                  <c:v>71.098396653658767</c:v>
                </c:pt>
                <c:pt idx="2">
                  <c:v>71.741739886120044</c:v>
                </c:pt>
                <c:pt idx="3">
                  <c:v>71.842593466323308</c:v>
                </c:pt>
                <c:pt idx="4">
                  <c:v>71.880277787103736</c:v>
                </c:pt>
                <c:pt idx="5">
                  <c:v>72.71896825963907</c:v>
                </c:pt>
                <c:pt idx="6">
                  <c:v>70.890462488836874</c:v>
                </c:pt>
                <c:pt idx="7">
                  <c:v>71.481898948495257</c:v>
                </c:pt>
                <c:pt idx="8">
                  <c:v>71.869138189813754</c:v>
                </c:pt>
                <c:pt idx="9">
                  <c:v>72.409989019396463</c:v>
                </c:pt>
                <c:pt idx="10">
                  <c:v>73.11837771857391</c:v>
                </c:pt>
                <c:pt idx="11">
                  <c:v>72.511307660791715</c:v>
                </c:pt>
                <c:pt idx="12">
                  <c:v>73.599822614313709</c:v>
                </c:pt>
                <c:pt idx="13">
                  <c:v>74.708425639167061</c:v>
                </c:pt>
                <c:pt idx="14">
                  <c:v>75.944503948181335</c:v>
                </c:pt>
                <c:pt idx="15">
                  <c:v>77.305402042511744</c:v>
                </c:pt>
                <c:pt idx="16">
                  <c:v>78.619650163611851</c:v>
                </c:pt>
                <c:pt idx="17">
                  <c:v>80.419397044369674</c:v>
                </c:pt>
                <c:pt idx="18">
                  <c:v>82.250674743292635</c:v>
                </c:pt>
                <c:pt idx="19">
                  <c:v>84.161423029013278</c:v>
                </c:pt>
                <c:pt idx="20">
                  <c:v>86.147876578066018</c:v>
                </c:pt>
                <c:pt idx="21">
                  <c:v>86.329725699763486</c:v>
                </c:pt>
                <c:pt idx="22">
                  <c:v>88.458887521564805</c:v>
                </c:pt>
                <c:pt idx="23">
                  <c:v>90.676738297337224</c:v>
                </c:pt>
                <c:pt idx="24">
                  <c:v>92.996551451529342</c:v>
                </c:pt>
                <c:pt idx="25">
                  <c:v>95.4096550126811</c:v>
                </c:pt>
                <c:pt idx="26">
                  <c:v>98.316510734709865</c:v>
                </c:pt>
                <c:pt idx="27">
                  <c:v>101.39740641822794</c:v>
                </c:pt>
                <c:pt idx="28">
                  <c:v>104.5897124197387</c:v>
                </c:pt>
                <c:pt idx="29">
                  <c:v>107.91090819552434</c:v>
                </c:pt>
                <c:pt idx="30">
                  <c:v>111.35845710788814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42-475C-A3E4-98957313614F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B42-475C-A3E4-98957313614F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EB42-475C-A3E4-98957313614F}"/>
            </c:ext>
          </c:extLst>
        </c:ser>
        <c:ser>
          <c:idx val="2"/>
          <c:order val="5"/>
          <c:tx>
            <c:strRef>
              <c:f>'B11 S&amp;M 55Tractor'!$A$169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55Tractor'!$C$169:$AG$169</c:f>
              <c:numCache>
                <c:formatCode>_ [$₹-4009]\ * #,##0.00_ ;_ [$₹-4009]\ * \-#,##0.00_ ;_ [$₹-4009]\ * "-"??_ ;_ @_ </c:formatCode>
                <c:ptCount val="31"/>
                <c:pt idx="0">
                  <c:v>130.97900162420646</c:v>
                </c:pt>
                <c:pt idx="1">
                  <c:v>130.99899380502825</c:v>
                </c:pt>
                <c:pt idx="2">
                  <c:v>131.14982649703393</c:v>
                </c:pt>
                <c:pt idx="3">
                  <c:v>131.42796781208645</c:v>
                </c:pt>
                <c:pt idx="4">
                  <c:v>131.84261040792921</c:v>
                </c:pt>
                <c:pt idx="5">
                  <c:v>133.25950255126489</c:v>
                </c:pt>
                <c:pt idx="6">
                  <c:v>129.13385503728361</c:v>
                </c:pt>
                <c:pt idx="7">
                  <c:v>127.5663506310902</c:v>
                </c:pt>
                <c:pt idx="8">
                  <c:v>126.14663427149036</c:v>
                </c:pt>
                <c:pt idx="9">
                  <c:v>124.86370120505245</c:v>
                </c:pt>
                <c:pt idx="10">
                  <c:v>123.7253607489491</c:v>
                </c:pt>
                <c:pt idx="11">
                  <c:v>121.48367744263227</c:v>
                </c:pt>
                <c:pt idx="12">
                  <c:v>120.59998887419871</c:v>
                </c:pt>
                <c:pt idx="13">
                  <c:v>119.85287288051875</c:v>
                </c:pt>
                <c:pt idx="14">
                  <c:v>119.24036840002164</c:v>
                </c:pt>
                <c:pt idx="15">
                  <c:v>118.76270958341861</c:v>
                </c:pt>
                <c:pt idx="16">
                  <c:v>115.83787786008578</c:v>
                </c:pt>
                <c:pt idx="17">
                  <c:v>116.10020507718748</c:v>
                </c:pt>
                <c:pt idx="18">
                  <c:v>116.48469751691222</c:v>
                </c:pt>
                <c:pt idx="19">
                  <c:v>117.00239425813906</c:v>
                </c:pt>
                <c:pt idx="20">
                  <c:v>117.63752596031348</c:v>
                </c:pt>
                <c:pt idx="21">
                  <c:v>117.60151485080043</c:v>
                </c:pt>
                <c:pt idx="22">
                  <c:v>118.47253657079786</c:v>
                </c:pt>
                <c:pt idx="23">
                  <c:v>119.47391859287094</c:v>
                </c:pt>
                <c:pt idx="24">
                  <c:v>120.60499385695515</c:v>
                </c:pt>
                <c:pt idx="25">
                  <c:v>121.87368398000815</c:v>
                </c:pt>
                <c:pt idx="26">
                  <c:v>122.96118184346737</c:v>
                </c:pt>
                <c:pt idx="27">
                  <c:v>125.78589018523118</c:v>
                </c:pt>
                <c:pt idx="28">
                  <c:v>128.76226628217071</c:v>
                </c:pt>
                <c:pt idx="29">
                  <c:v>131.89501827663099</c:v>
                </c:pt>
                <c:pt idx="30">
                  <c:v>135.18111446269651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42-475C-A3E4-98957313614F}"/>
            </c:ext>
          </c:extLst>
        </c:ser>
        <c:ser>
          <c:idx val="6"/>
          <c:order val="6"/>
          <c:tx>
            <c:strRef>
              <c:f>'B11 S&amp;M 55Tractor'!$A$170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55Tractor'!$C$170:$AG$170</c:f>
              <c:numCache>
                <c:formatCode>_ [$₹-4009]\ * #,##0.00_ ;_ [$₹-4009]\ * \-#,##0.00_ ;_ [$₹-4009]\ * "-"??_ ;_ @_ </c:formatCode>
                <c:ptCount val="31"/>
                <c:pt idx="0">
                  <c:v>135.35905045985925</c:v>
                </c:pt>
                <c:pt idx="1">
                  <c:v>134.70766742297906</c:v>
                </c:pt>
                <c:pt idx="2">
                  <c:v>134.18838289084238</c:v>
                </c:pt>
                <c:pt idx="3">
                  <c:v>133.80258349268084</c:v>
                </c:pt>
                <c:pt idx="4">
                  <c:v>133.55491379238299</c:v>
                </c:pt>
                <c:pt idx="5">
                  <c:v>133.92222063962942</c:v>
                </c:pt>
                <c:pt idx="6">
                  <c:v>130.48310340915523</c:v>
                </c:pt>
                <c:pt idx="7">
                  <c:v>129.01228620911883</c:v>
                </c:pt>
                <c:pt idx="8">
                  <c:v>127.67095386687551</c:v>
                </c:pt>
                <c:pt idx="9">
                  <c:v>126.46747451696595</c:v>
                </c:pt>
                <c:pt idx="10">
                  <c:v>125.39751736433179</c:v>
                </c:pt>
                <c:pt idx="11">
                  <c:v>122.33831616213982</c:v>
                </c:pt>
                <c:pt idx="12">
                  <c:v>121.53333823518228</c:v>
                </c:pt>
                <c:pt idx="13">
                  <c:v>120.85512120642903</c:v>
                </c:pt>
                <c:pt idx="14">
                  <c:v>120.31493551591755</c:v>
                </c:pt>
                <c:pt idx="15">
                  <c:v>119.89880045893281</c:v>
                </c:pt>
                <c:pt idx="16">
                  <c:v>117.42615322646259</c:v>
                </c:pt>
                <c:pt idx="17">
                  <c:v>117.87935621707602</c:v>
                </c:pt>
                <c:pt idx="18">
                  <c:v>118.45130158876817</c:v>
                </c:pt>
                <c:pt idx="19">
                  <c:v>119.14102948214877</c:v>
                </c:pt>
                <c:pt idx="20">
                  <c:v>119.939553890477</c:v>
                </c:pt>
                <c:pt idx="21">
                  <c:v>118.14121433197613</c:v>
                </c:pt>
                <c:pt idx="22">
                  <c:v>119.15444185961556</c:v>
                </c:pt>
                <c:pt idx="23">
                  <c:v>120.28571398219508</c:v>
                </c:pt>
                <c:pt idx="24">
                  <c:v>121.54295860199655</c:v>
                </c:pt>
                <c:pt idx="25">
                  <c:v>122.91550087912992</c:v>
                </c:pt>
                <c:pt idx="26">
                  <c:v>124.02723570267993</c:v>
                </c:pt>
                <c:pt idx="27">
                  <c:v>126.900303346573</c:v>
                </c:pt>
                <c:pt idx="28">
                  <c:v>129.9107143518923</c:v>
                </c:pt>
                <c:pt idx="29">
                  <c:v>133.0675089527567</c:v>
                </c:pt>
                <c:pt idx="30">
                  <c:v>136.36324311782249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42-475C-A3E4-98957313614F}"/>
            </c:ext>
          </c:extLst>
        </c:ser>
        <c:ser>
          <c:idx val="7"/>
          <c:order val="7"/>
          <c:tx>
            <c:strRef>
              <c:f>'B11 S&amp;M 55Tractor'!$A$96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55Tractor'!$C$167:$AG$167</c:f>
              <c:numCache>
                <c:formatCode>_ [$₹-4009]\ * #,##0.00_ ;_ [$₹-4009]\ * \-#,##0.00_ ;_ [$₹-4009]\ * "-"??_ ;_ @_ </c:formatCode>
                <c:ptCount val="31"/>
                <c:pt idx="0">
                  <c:v>66.583679269978219</c:v>
                </c:pt>
                <c:pt idx="1">
                  <c:v>68.732212611260962</c:v>
                </c:pt>
                <c:pt idx="2">
                  <c:v>70.758579054523594</c:v>
                </c:pt>
                <c:pt idx="3">
                  <c:v>72.84558541229822</c:v>
                </c:pt>
                <c:pt idx="4">
                  <c:v>75.010582896342058</c:v>
                </c:pt>
                <c:pt idx="5">
                  <c:v>77.971321281056134</c:v>
                </c:pt>
                <c:pt idx="6">
                  <c:v>80.304710107062718</c:v>
                </c:pt>
                <c:pt idx="7">
                  <c:v>82.71039233465595</c:v>
                </c:pt>
                <c:pt idx="8">
                  <c:v>85.200465509057295</c:v>
                </c:pt>
                <c:pt idx="9">
                  <c:v>87.764429764627096</c:v>
                </c:pt>
                <c:pt idx="10">
                  <c:v>90.418141143975106</c:v>
                </c:pt>
                <c:pt idx="11">
                  <c:v>94.454642604358142</c:v>
                </c:pt>
                <c:pt idx="12">
                  <c:v>97.326635075788744</c:v>
                </c:pt>
                <c:pt idx="13">
                  <c:v>100.295182831129</c:v>
                </c:pt>
                <c:pt idx="14">
                  <c:v>103.36234050694991</c:v>
                </c:pt>
                <c:pt idx="15">
                  <c:v>106.52826287188871</c:v>
                </c:pt>
                <c:pt idx="16">
                  <c:v>109.80105715678184</c:v>
                </c:pt>
                <c:pt idx="17">
                  <c:v>113.18750249252348</c:v>
                </c:pt>
                <c:pt idx="18">
                  <c:v>116.68544225286887</c:v>
                </c:pt>
                <c:pt idx="19">
                  <c:v>120.30575367651872</c:v>
                </c:pt>
                <c:pt idx="20">
                  <c:v>124.04053389927576</c:v>
                </c:pt>
                <c:pt idx="21">
                  <c:v>129.596585014357</c:v>
                </c:pt>
                <c:pt idx="22">
                  <c:v>133.63742383164916</c:v>
                </c:pt>
                <c:pt idx="23">
                  <c:v>137.81664679457072</c:v>
                </c:pt>
                <c:pt idx="24">
                  <c:v>142.13501217325845</c:v>
                </c:pt>
                <c:pt idx="25">
                  <c:v>146.60803140026809</c:v>
                </c:pt>
                <c:pt idx="26">
                  <c:v>151.22624740567559</c:v>
                </c:pt>
                <c:pt idx="27">
                  <c:v>156.00749881717749</c:v>
                </c:pt>
                <c:pt idx="28">
                  <c:v>160.95296097763679</c:v>
                </c:pt>
                <c:pt idx="29">
                  <c:v>166.07027919475124</c:v>
                </c:pt>
                <c:pt idx="30">
                  <c:v>171.35874124593909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B42-475C-A3E4-98957313614F}"/>
            </c:ext>
          </c:extLst>
        </c:ser>
        <c:ser>
          <c:idx val="8"/>
          <c:order val="8"/>
          <c:tx>
            <c:strRef>
              <c:f>'B11 S&amp;M 55Tractor'!$A$79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55Tractor'!$C$166:$AG$166</c:f>
              <c:numCache>
                <c:formatCode>_ [$₹-4009]\ * #,##0.00_ ;_ [$₹-4009]\ * \-#,##0.00_ ;_ [$₹-4009]\ * "-"??_ ;_ @_ </c:formatCode>
                <c:ptCount val="31"/>
                <c:pt idx="0">
                  <c:v>65.833348404329541</c:v>
                </c:pt>
                <c:pt idx="1">
                  <c:v>68.510098856459422</c:v>
                </c:pt>
                <c:pt idx="2">
                  <c:v>70.570850988819871</c:v>
                </c:pt>
                <c:pt idx="3">
                  <c:v>72.696935151817783</c:v>
                </c:pt>
                <c:pt idx="4">
                  <c:v>74.900543725039</c:v>
                </c:pt>
                <c:pt idx="5">
                  <c:v>77.901561458335493</c:v>
                </c:pt>
                <c:pt idx="6">
                  <c:v>80.277221115145423</c:v>
                </c:pt>
                <c:pt idx="7">
                  <c:v>82.726333028452586</c:v>
                </c:pt>
                <c:pt idx="8">
                  <c:v>85.261357319166336</c:v>
                </c:pt>
                <c:pt idx="9">
                  <c:v>87.873988741497257</c:v>
                </c:pt>
                <c:pt idx="10">
                  <c:v>90.576825660818756</c:v>
                </c:pt>
                <c:pt idx="11">
                  <c:v>94.524629698105656</c:v>
                </c:pt>
                <c:pt idx="12">
                  <c:v>97.44929107693811</c:v>
                </c:pt>
                <c:pt idx="13">
                  <c:v>100.47218630572313</c:v>
                </c:pt>
                <c:pt idx="14">
                  <c:v>103.59583407306016</c:v>
                </c:pt>
                <c:pt idx="15">
                  <c:v>106.82283709759157</c:v>
                </c:pt>
                <c:pt idx="16">
                  <c:v>110.15588499370401</c:v>
                </c:pt>
                <c:pt idx="17">
                  <c:v>113.60817390371952</c:v>
                </c:pt>
                <c:pt idx="18">
                  <c:v>117.17215956679293</c:v>
                </c:pt>
                <c:pt idx="19">
                  <c:v>120.86122716152643</c:v>
                </c:pt>
                <c:pt idx="20">
                  <c:v>124.66802792611317</c:v>
                </c:pt>
                <c:pt idx="21">
                  <c:v>130.1550226011968</c:v>
                </c:pt>
                <c:pt idx="22">
                  <c:v>134.2742076533539</c:v>
                </c:pt>
                <c:pt idx="23">
                  <c:v>138.53277121518514</c:v>
                </c:pt>
                <c:pt idx="24">
                  <c:v>142.93425580946982</c:v>
                </c:pt>
                <c:pt idx="25">
                  <c:v>147.49273951352862</c:v>
                </c:pt>
                <c:pt idx="26">
                  <c:v>152.20159003700229</c:v>
                </c:pt>
                <c:pt idx="27">
                  <c:v>157.07513560914262</c:v>
                </c:pt>
                <c:pt idx="28">
                  <c:v>162.11741934738924</c:v>
                </c:pt>
                <c:pt idx="29">
                  <c:v>167.33262044585726</c:v>
                </c:pt>
                <c:pt idx="30">
                  <c:v>172.72505885588907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42-475C-A3E4-989573136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'B11 S&amp;M 55Tractor'!$A$171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'B11 S&amp;M 55Tractor'!$C$164:$AG$164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'B11 S&amp;M 55Tractor'!$C$171:$AB$171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60.78953208378428</c:v>
                      </c:pt>
                      <c:pt idx="1">
                        <c:v>65.169119395280234</c:v>
                      </c:pt>
                      <c:pt idx="2">
                        <c:v>66.776846313677098</c:v>
                      </c:pt>
                      <c:pt idx="3">
                        <c:v>68.428745525320721</c:v>
                      </c:pt>
                      <c:pt idx="4">
                        <c:v>70.135301231083631</c:v>
                      </c:pt>
                      <c:pt idx="5">
                        <c:v>72.516950624175792</c:v>
                      </c:pt>
                      <c:pt idx="6">
                        <c:v>74.345426786772109</c:v>
                      </c:pt>
                      <c:pt idx="7">
                        <c:v>76.222985164618578</c:v>
                      </c:pt>
                      <c:pt idx="8">
                        <c:v>78.160061718185077</c:v>
                      </c:pt>
                      <c:pt idx="9">
                        <c:v>80.148529323728951</c:v>
                      </c:pt>
                      <c:pt idx="10">
                        <c:v>82.199041625425437</c:v>
                      </c:pt>
                      <c:pt idx="11">
                        <c:v>85.303806457389967</c:v>
                      </c:pt>
                      <c:pt idx="12">
                        <c:v>87.512104842829189</c:v>
                      </c:pt>
                      <c:pt idx="13">
                        <c:v>89.787206399047847</c:v>
                      </c:pt>
                      <c:pt idx="14">
                        <c:v>92.13072165722204</c:v>
                      </c:pt>
                      <c:pt idx="15">
                        <c:v>94.543956647020011</c:v>
                      </c:pt>
                      <c:pt idx="16">
                        <c:v>97.028596626746989</c:v>
                      </c:pt>
                      <c:pt idx="17">
                        <c:v>99.595570653438259</c:v>
                      </c:pt>
                      <c:pt idx="18">
                        <c:v>102.23709861078352</c:v>
                      </c:pt>
                      <c:pt idx="19">
                        <c:v>104.96436329110838</c:v>
                      </c:pt>
                      <c:pt idx="20">
                        <c:v>107.76967072916915</c:v>
                      </c:pt>
                      <c:pt idx="21">
                        <c:v>111.99580097006574</c:v>
                      </c:pt>
                      <c:pt idx="22">
                        <c:v>115.0212919334833</c:v>
                      </c:pt>
                      <c:pt idx="23">
                        <c:v>118.14088564370431</c:v>
                      </c:pt>
                      <c:pt idx="24">
                        <c:v>121.35684985372079</c:v>
                      </c:pt>
                      <c:pt idx="25">
                        <c:v>124.68051177718205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EB42-475C-A3E4-98957313614F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'B11 S&amp;M 55Tractor'!$B$174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55Tractor'!$C$174:$AG$174</c:f>
              <c:numCache>
                <c:formatCode>_ [$₹-4009]\ * #,##0.00_ ;_ [$₹-4009]\ * \-#,##0.00_ ;_ [$₹-4009]\ * "-"??_ ;_ @_ </c:formatCode>
                <c:ptCount val="31"/>
                <c:pt idx="0">
                  <c:v>1.6885981134384522</c:v>
                </c:pt>
                <c:pt idx="1">
                  <c:v>1.8102533165355621</c:v>
                </c:pt>
                <c:pt idx="2">
                  <c:v>1.8549123976021415</c:v>
                </c:pt>
                <c:pt idx="3">
                  <c:v>1.9007984868144643</c:v>
                </c:pt>
                <c:pt idx="4">
                  <c:v>1.9482028119745451</c:v>
                </c:pt>
                <c:pt idx="5">
                  <c:v>2.0143597395604385</c:v>
                </c:pt>
                <c:pt idx="6">
                  <c:v>2.0651507440770032</c:v>
                </c:pt>
                <c:pt idx="7">
                  <c:v>2.1173051434616275</c:v>
                </c:pt>
                <c:pt idx="8">
                  <c:v>2.1711128255051411</c:v>
                </c:pt>
                <c:pt idx="9">
                  <c:v>2.2263480367702488</c:v>
                </c:pt>
                <c:pt idx="10">
                  <c:v>2.2833067118173735</c:v>
                </c:pt>
                <c:pt idx="11">
                  <c:v>2.3695501793719433</c:v>
                </c:pt>
                <c:pt idx="12">
                  <c:v>2.4308918011896994</c:v>
                </c:pt>
                <c:pt idx="13">
                  <c:v>2.4940890666402176</c:v>
                </c:pt>
                <c:pt idx="14">
                  <c:v>2.5591867127006123</c:v>
                </c:pt>
                <c:pt idx="15">
                  <c:v>2.6262210179727781</c:v>
                </c:pt>
                <c:pt idx="16">
                  <c:v>2.6952387951874162</c:v>
                </c:pt>
                <c:pt idx="17">
                  <c:v>2.7665436292621739</c:v>
                </c:pt>
                <c:pt idx="18">
                  <c:v>2.8399194058550976</c:v>
                </c:pt>
                <c:pt idx="19">
                  <c:v>2.9156767580863439</c:v>
                </c:pt>
                <c:pt idx="20">
                  <c:v>2.9936019646991427</c:v>
                </c:pt>
                <c:pt idx="21">
                  <c:v>3.1109944713907152</c:v>
                </c:pt>
                <c:pt idx="22">
                  <c:v>3.1950358870412026</c:v>
                </c:pt>
                <c:pt idx="23">
                  <c:v>3.2816912678806753</c:v>
                </c:pt>
                <c:pt idx="24">
                  <c:v>3.3710236070477997</c:v>
                </c:pt>
                <c:pt idx="25">
                  <c:v>3.4633475493661678</c:v>
                </c:pt>
                <c:pt idx="26">
                  <c:v>3.5584584166573094</c:v>
                </c:pt>
                <c:pt idx="27">
                  <c:v>3.656684151758796</c:v>
                </c:pt>
                <c:pt idx="28">
                  <c:v>3.7580887932289282</c:v>
                </c:pt>
                <c:pt idx="29">
                  <c:v>3.8627380627305423</c:v>
                </c:pt>
                <c:pt idx="30">
                  <c:v>3.9706994270818372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D-4722-9659-89576791B442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E3AD-4722-9659-89576791B442}"/>
            </c:ext>
          </c:extLst>
        </c:ser>
        <c:ser>
          <c:idx val="3"/>
          <c:order val="2"/>
          <c:tx>
            <c:strRef>
              <c:f>'B11 S&amp;M 55Tractor'!$B$177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55Tractor'!$C$177:$AG$177</c:f>
              <c:numCache>
                <c:formatCode>_ [$₹-4009]\ * #,##0.00_ ;_ [$₹-4009]\ * \-#,##0.00_ ;_ [$₹-4009]\ * "-"??_ ;_ @_ </c:formatCode>
                <c:ptCount val="31"/>
                <c:pt idx="0">
                  <c:v>1.8718775382741122</c:v>
                </c:pt>
                <c:pt idx="1">
                  <c:v>1.8909148046185842</c:v>
                </c:pt>
                <c:pt idx="2">
                  <c:v>1.9080249969712777</c:v>
                </c:pt>
                <c:pt idx="3">
                  <c:v>1.9107072730405137</c:v>
                </c:pt>
                <c:pt idx="4">
                  <c:v>1.911709515614461</c:v>
                </c:pt>
                <c:pt idx="5">
                  <c:v>1.9340151132882732</c:v>
                </c:pt>
                <c:pt idx="6">
                  <c:v>1.8853846406605552</c:v>
                </c:pt>
                <c:pt idx="7">
                  <c:v>1.9011143337365759</c:v>
                </c:pt>
                <c:pt idx="8">
                  <c:v>1.9114132497290892</c:v>
                </c:pt>
                <c:pt idx="9">
                  <c:v>1.9257975803030973</c:v>
                </c:pt>
                <c:pt idx="10">
                  <c:v>1.9446377052812209</c:v>
                </c:pt>
                <c:pt idx="11">
                  <c:v>1.9284922250210563</c:v>
                </c:pt>
                <c:pt idx="12">
                  <c:v>1.9574420908062156</c:v>
                </c:pt>
                <c:pt idx="13">
                  <c:v>1.9869262138076347</c:v>
                </c:pt>
                <c:pt idx="14">
                  <c:v>2.0198006369197161</c:v>
                </c:pt>
                <c:pt idx="15">
                  <c:v>2.0559947351731847</c:v>
                </c:pt>
                <c:pt idx="16">
                  <c:v>2.0909481426492516</c:v>
                </c:pt>
                <c:pt idx="17">
                  <c:v>2.1388137511800447</c:v>
                </c:pt>
                <c:pt idx="18">
                  <c:v>2.1875179453003364</c:v>
                </c:pt>
                <c:pt idx="19">
                  <c:v>2.2383357188567361</c:v>
                </c:pt>
                <c:pt idx="20">
                  <c:v>2.2911669302677136</c:v>
                </c:pt>
                <c:pt idx="21">
                  <c:v>2.2960033430788163</c:v>
                </c:pt>
                <c:pt idx="22">
                  <c:v>2.3526299872756598</c:v>
                </c:pt>
                <c:pt idx="23">
                  <c:v>2.4116153802483304</c:v>
                </c:pt>
                <c:pt idx="24">
                  <c:v>2.4733125386045041</c:v>
                </c:pt>
                <c:pt idx="25">
                  <c:v>2.5374908248053485</c:v>
                </c:pt>
                <c:pt idx="26">
                  <c:v>2.6148008174124961</c:v>
                </c:pt>
                <c:pt idx="27">
                  <c:v>2.6967395323996795</c:v>
                </c:pt>
                <c:pt idx="28">
                  <c:v>2.7816412877590082</c:v>
                </c:pt>
                <c:pt idx="29">
                  <c:v>2.8699709626469239</c:v>
                </c:pt>
                <c:pt idx="30">
                  <c:v>2.9616610932948975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D-4722-9659-89576791B442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3AD-4722-9659-89576791B442}"/>
            </c:ext>
          </c:extLst>
        </c:ser>
        <c:ser>
          <c:idx val="2"/>
          <c:order val="5"/>
          <c:tx>
            <c:strRef>
              <c:f>'B11 S&amp;M 55Tractor'!$B$175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55Tractor'!$C$175:$AG$175</c:f>
              <c:numCache>
                <c:formatCode>_ [$₹-4009]\ * #,##0.00_ ;_ [$₹-4009]\ * \-#,##0.00_ ;_ [$₹-4009]\ * "-"??_ ;_ @_ </c:formatCode>
                <c:ptCount val="31"/>
                <c:pt idx="0">
                  <c:v>3.2744750406051613</c:v>
                </c:pt>
                <c:pt idx="1">
                  <c:v>3.2749748451257061</c:v>
                </c:pt>
                <c:pt idx="2">
                  <c:v>3.2787456624258482</c:v>
                </c:pt>
                <c:pt idx="3">
                  <c:v>3.2856991953021613</c:v>
                </c:pt>
                <c:pt idx="4">
                  <c:v>3.2960652601982305</c:v>
                </c:pt>
                <c:pt idx="5">
                  <c:v>3.3314875637816224</c:v>
                </c:pt>
                <c:pt idx="6">
                  <c:v>3.2283463759320901</c:v>
                </c:pt>
                <c:pt idx="7">
                  <c:v>3.1891587657772549</c:v>
                </c:pt>
                <c:pt idx="8">
                  <c:v>3.1536658567872586</c:v>
                </c:pt>
                <c:pt idx="9">
                  <c:v>3.121592530126311</c:v>
                </c:pt>
                <c:pt idx="10">
                  <c:v>3.0931340187237275</c:v>
                </c:pt>
                <c:pt idx="11">
                  <c:v>3.0370919360658069</c:v>
                </c:pt>
                <c:pt idx="12">
                  <c:v>3.0149997218549678</c:v>
                </c:pt>
                <c:pt idx="13">
                  <c:v>2.9963218220129688</c:v>
                </c:pt>
                <c:pt idx="14">
                  <c:v>2.9810092100005412</c:v>
                </c:pt>
                <c:pt idx="15">
                  <c:v>2.9690677395854657</c:v>
                </c:pt>
                <c:pt idx="16">
                  <c:v>2.8959469465021446</c:v>
                </c:pt>
                <c:pt idx="17">
                  <c:v>2.9025051269296869</c:v>
                </c:pt>
                <c:pt idx="18">
                  <c:v>2.9121174379228054</c:v>
                </c:pt>
                <c:pt idx="19">
                  <c:v>2.9250598564534767</c:v>
                </c:pt>
                <c:pt idx="20">
                  <c:v>2.9409381490078372</c:v>
                </c:pt>
                <c:pt idx="21">
                  <c:v>2.9400378712700106</c:v>
                </c:pt>
                <c:pt idx="22">
                  <c:v>2.9618134142699462</c:v>
                </c:pt>
                <c:pt idx="23">
                  <c:v>2.9868479648217736</c:v>
                </c:pt>
                <c:pt idx="24">
                  <c:v>3.0151248464238787</c:v>
                </c:pt>
                <c:pt idx="25">
                  <c:v>3.0468420995002039</c:v>
                </c:pt>
                <c:pt idx="26">
                  <c:v>3.0740295460866842</c:v>
                </c:pt>
                <c:pt idx="27">
                  <c:v>3.1446472546307795</c:v>
                </c:pt>
                <c:pt idx="28">
                  <c:v>3.219056657054268</c:v>
                </c:pt>
                <c:pt idx="29">
                  <c:v>3.2973754569157747</c:v>
                </c:pt>
                <c:pt idx="30">
                  <c:v>3.3795278615674125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AD-4722-9659-89576791B442}"/>
            </c:ext>
          </c:extLst>
        </c:ser>
        <c:ser>
          <c:idx val="6"/>
          <c:order val="6"/>
          <c:tx>
            <c:strRef>
              <c:f>'B11 S&amp;M 55Tractor'!$A$176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55Tractor'!$C$176:$AG$176</c:f>
              <c:numCache>
                <c:formatCode>_ [$₹-4009]\ * #,##0.00_ ;_ [$₹-4009]\ * \-#,##0.00_ ;_ [$₹-4009]\ * "-"??_ ;_ @_ </c:formatCode>
                <c:ptCount val="31"/>
                <c:pt idx="0">
                  <c:v>1.6645919817494557</c:v>
                </c:pt>
                <c:pt idx="1">
                  <c:v>1.718305315281524</c:v>
                </c:pt>
                <c:pt idx="2">
                  <c:v>1.7689644763630898</c:v>
                </c:pt>
                <c:pt idx="3">
                  <c:v>1.8211396353074556</c:v>
                </c:pt>
                <c:pt idx="4">
                  <c:v>1.8752645724085515</c:v>
                </c:pt>
                <c:pt idx="5">
                  <c:v>1.9492830320264034</c:v>
                </c:pt>
                <c:pt idx="6">
                  <c:v>2.0076177526765679</c:v>
                </c:pt>
                <c:pt idx="7">
                  <c:v>2.0677598083663988</c:v>
                </c:pt>
                <c:pt idx="8">
                  <c:v>2.1300116377264322</c:v>
                </c:pt>
                <c:pt idx="9">
                  <c:v>2.1941107441156773</c:v>
                </c:pt>
                <c:pt idx="10">
                  <c:v>2.2604535285993776</c:v>
                </c:pt>
                <c:pt idx="11">
                  <c:v>2.3613660651089536</c:v>
                </c:pt>
                <c:pt idx="12">
                  <c:v>2.4331658768947184</c:v>
                </c:pt>
                <c:pt idx="13">
                  <c:v>2.5073795707782249</c:v>
                </c:pt>
                <c:pt idx="14">
                  <c:v>2.5840585126737476</c:v>
                </c:pt>
                <c:pt idx="15">
                  <c:v>2.6632065717972178</c:v>
                </c:pt>
                <c:pt idx="16">
                  <c:v>2.7450264289195458</c:v>
                </c:pt>
                <c:pt idx="17">
                  <c:v>2.829687562313087</c:v>
                </c:pt>
                <c:pt idx="18">
                  <c:v>2.9171360563217217</c:v>
                </c:pt>
                <c:pt idx="19">
                  <c:v>3.0076438419129681</c:v>
                </c:pt>
                <c:pt idx="20">
                  <c:v>3.1010133474818939</c:v>
                </c:pt>
                <c:pt idx="21">
                  <c:v>3.2399146253589253</c:v>
                </c:pt>
                <c:pt idx="22">
                  <c:v>3.3409355957912292</c:v>
                </c:pt>
                <c:pt idx="23">
                  <c:v>3.4454161698642678</c:v>
                </c:pt>
                <c:pt idx="24">
                  <c:v>3.5533753043314613</c:v>
                </c:pt>
                <c:pt idx="25">
                  <c:v>3.6652007850067023</c:v>
                </c:pt>
                <c:pt idx="26">
                  <c:v>3.7806561851418898</c:v>
                </c:pt>
                <c:pt idx="27">
                  <c:v>3.9001874704294375</c:v>
                </c:pt>
                <c:pt idx="28">
                  <c:v>4.0238240244409198</c:v>
                </c:pt>
                <c:pt idx="29">
                  <c:v>4.1517569798687814</c:v>
                </c:pt>
                <c:pt idx="30">
                  <c:v>4.283968531148477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AD-4722-9659-89576791B442}"/>
            </c:ext>
          </c:extLst>
        </c:ser>
        <c:ser>
          <c:idx val="7"/>
          <c:order val="7"/>
          <c:tx>
            <c:strRef>
              <c:f>'B11 S&amp;M 55Tractor'!$A$178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55Tractor'!$C$178:$AG$178</c:f>
              <c:numCache>
                <c:formatCode>_ [$₹-4009]\ * #,##0.00_ ;_ [$₹-4009]\ * \-#,##0.00_ ;_ [$₹-4009]\ * "-"??_ ;_ @_ </c:formatCode>
                <c:ptCount val="31"/>
                <c:pt idx="0">
                  <c:v>3.383976261496481</c:v>
                </c:pt>
                <c:pt idx="1">
                  <c:v>3.3676916855744765</c:v>
                </c:pt>
                <c:pt idx="2">
                  <c:v>3.3547095722710596</c:v>
                </c:pt>
                <c:pt idx="3">
                  <c:v>3.3450645873170211</c:v>
                </c:pt>
                <c:pt idx="4">
                  <c:v>3.338872844809575</c:v>
                </c:pt>
                <c:pt idx="5">
                  <c:v>3.3480555159907355</c:v>
                </c:pt>
                <c:pt idx="6">
                  <c:v>3.262077585228881</c:v>
                </c:pt>
                <c:pt idx="7">
                  <c:v>3.2253071552279708</c:v>
                </c:pt>
                <c:pt idx="8">
                  <c:v>3.1917738466718877</c:v>
                </c:pt>
                <c:pt idx="9">
                  <c:v>3.1616868629241486</c:v>
                </c:pt>
                <c:pt idx="10">
                  <c:v>3.1349379341082946</c:v>
                </c:pt>
                <c:pt idx="11">
                  <c:v>3.0584579040534954</c:v>
                </c:pt>
                <c:pt idx="12">
                  <c:v>3.0383334558795569</c:v>
                </c:pt>
                <c:pt idx="13">
                  <c:v>3.0213780301607258</c:v>
                </c:pt>
                <c:pt idx="14">
                  <c:v>3.0078733878979391</c:v>
                </c:pt>
                <c:pt idx="15">
                  <c:v>2.9974700114733204</c:v>
                </c:pt>
                <c:pt idx="16">
                  <c:v>2.9356538306615647</c:v>
                </c:pt>
                <c:pt idx="17">
                  <c:v>2.9469839054269005</c:v>
                </c:pt>
                <c:pt idx="18">
                  <c:v>2.9612825397192042</c:v>
                </c:pt>
                <c:pt idx="19">
                  <c:v>2.9785257370537193</c:v>
                </c:pt>
                <c:pt idx="20">
                  <c:v>2.9984888472619251</c:v>
                </c:pt>
                <c:pt idx="21">
                  <c:v>2.9535303582994032</c:v>
                </c:pt>
                <c:pt idx="22">
                  <c:v>2.9788610464903891</c:v>
                </c:pt>
                <c:pt idx="23">
                  <c:v>3.0071428495548771</c:v>
                </c:pt>
                <c:pt idx="24">
                  <c:v>3.0385739650499137</c:v>
                </c:pt>
                <c:pt idx="25">
                  <c:v>3.0728875219782483</c:v>
                </c:pt>
                <c:pt idx="26">
                  <c:v>3.1006808925669982</c:v>
                </c:pt>
                <c:pt idx="27">
                  <c:v>3.1725075836643248</c:v>
                </c:pt>
                <c:pt idx="28">
                  <c:v>3.2477678587973076</c:v>
                </c:pt>
                <c:pt idx="29">
                  <c:v>3.3266877238189174</c:v>
                </c:pt>
                <c:pt idx="30">
                  <c:v>3.4090810779455625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AD-4722-9659-89576791B442}"/>
            </c:ext>
          </c:extLst>
        </c:ser>
        <c:ser>
          <c:idx val="8"/>
          <c:order val="8"/>
          <c:tx>
            <c:strRef>
              <c:f>'B11 S&amp;M 55Tractor'!$A$179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'B11 S&amp;M 55Tractor'!$C$173:$AG$173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55Tractor'!$C$179:$AG$179</c:f>
              <c:numCache>
                <c:formatCode>_ [$₹-4009]\ * #,##0.00_ ;_ [$₹-4009]\ * \-#,##0.00_ ;_ [$₹-4009]\ * "-"??_ ;_ @_ </c:formatCode>
                <c:ptCount val="31"/>
                <c:pt idx="0">
                  <c:v>3.4796671069372556</c:v>
                </c:pt>
                <c:pt idx="1">
                  <c:v>3.4629220417218267</c:v>
                </c:pt>
                <c:pt idx="2">
                  <c:v>3.4495728249573876</c:v>
                </c:pt>
                <c:pt idx="3">
                  <c:v>3.4396551026396103</c:v>
                </c:pt>
                <c:pt idx="4">
                  <c:v>3.4332882722977636</c:v>
                </c:pt>
                <c:pt idx="5">
                  <c:v>3.4427306077025555</c:v>
                </c:pt>
                <c:pt idx="6">
                  <c:v>3.3543214243998776</c:v>
                </c:pt>
                <c:pt idx="7">
                  <c:v>3.3165112136020265</c:v>
                </c:pt>
                <c:pt idx="8">
                  <c:v>3.2820296623875449</c:v>
                </c:pt>
                <c:pt idx="9">
                  <c:v>3.2510918898962973</c:v>
                </c:pt>
                <c:pt idx="10">
                  <c:v>3.2235865646357786</c:v>
                </c:pt>
                <c:pt idx="11">
                  <c:v>3.1449438602092501</c:v>
                </c:pt>
                <c:pt idx="12">
                  <c:v>3.1242503402360482</c:v>
                </c:pt>
                <c:pt idx="13">
                  <c:v>3.1068154551781242</c:v>
                </c:pt>
                <c:pt idx="14">
                  <c:v>3.0929289335711454</c:v>
                </c:pt>
                <c:pt idx="15">
                  <c:v>3.0822313742656249</c:v>
                </c:pt>
                <c:pt idx="16">
                  <c:v>3.018667178058164</c:v>
                </c:pt>
                <c:pt idx="17">
                  <c:v>3.0303176405418002</c:v>
                </c:pt>
                <c:pt idx="18">
                  <c:v>3.0450206063950684</c:v>
                </c:pt>
                <c:pt idx="19">
                  <c:v>3.0627514005693768</c:v>
                </c:pt>
                <c:pt idx="20">
                  <c:v>3.0832790203207456</c:v>
                </c:pt>
                <c:pt idx="21">
                  <c:v>3.0370492116189238</c:v>
                </c:pt>
                <c:pt idx="22">
                  <c:v>3.0630961917638961</c:v>
                </c:pt>
                <c:pt idx="23">
                  <c:v>3.0921777373314931</c:v>
                </c:pt>
                <c:pt idx="24">
                  <c:v>3.1244976504369291</c:v>
                </c:pt>
                <c:pt idx="25">
                  <c:v>3.1597815136023115</c:v>
                </c:pt>
                <c:pt idx="26">
                  <c:v>3.1883608149789184</c:v>
                </c:pt>
                <c:pt idx="27">
                  <c:v>3.2622185950275835</c:v>
                </c:pt>
                <c:pt idx="28">
                  <c:v>3.3396070527478741</c:v>
                </c:pt>
                <c:pt idx="29">
                  <c:v>3.4207585849037709</c:v>
                </c:pt>
                <c:pt idx="30">
                  <c:v>3.505481828221658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AD-4722-9659-89576791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'B11 S&amp;M 55Tractor'!$A$174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'B11 S&amp;M 55Tractor'!$C$173:$AG$173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'B11 S&amp;M 55Tractor'!$C$174:$AG$174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1.6885981134384522</c:v>
                      </c:pt>
                      <c:pt idx="1">
                        <c:v>1.8102533165355621</c:v>
                      </c:pt>
                      <c:pt idx="2">
                        <c:v>1.8549123976021415</c:v>
                      </c:pt>
                      <c:pt idx="3">
                        <c:v>1.9007984868144643</c:v>
                      </c:pt>
                      <c:pt idx="4">
                        <c:v>1.9482028119745451</c:v>
                      </c:pt>
                      <c:pt idx="5">
                        <c:v>2.0143597395604385</c:v>
                      </c:pt>
                      <c:pt idx="6">
                        <c:v>2.0651507440770032</c:v>
                      </c:pt>
                      <c:pt idx="7">
                        <c:v>2.1173051434616275</c:v>
                      </c:pt>
                      <c:pt idx="8">
                        <c:v>2.1711128255051411</c:v>
                      </c:pt>
                      <c:pt idx="9">
                        <c:v>2.2263480367702488</c:v>
                      </c:pt>
                      <c:pt idx="10">
                        <c:v>2.2833067118173735</c:v>
                      </c:pt>
                      <c:pt idx="11">
                        <c:v>2.3695501793719433</c:v>
                      </c:pt>
                      <c:pt idx="12">
                        <c:v>2.4308918011896994</c:v>
                      </c:pt>
                      <c:pt idx="13">
                        <c:v>2.4940890666402176</c:v>
                      </c:pt>
                      <c:pt idx="14">
                        <c:v>2.5591867127006123</c:v>
                      </c:pt>
                      <c:pt idx="15">
                        <c:v>2.6262210179727781</c:v>
                      </c:pt>
                      <c:pt idx="16">
                        <c:v>2.6952387951874162</c:v>
                      </c:pt>
                      <c:pt idx="17">
                        <c:v>2.7665436292621739</c:v>
                      </c:pt>
                      <c:pt idx="18">
                        <c:v>2.8399194058550976</c:v>
                      </c:pt>
                      <c:pt idx="19">
                        <c:v>2.9156767580863439</c:v>
                      </c:pt>
                      <c:pt idx="20">
                        <c:v>2.9936019646991427</c:v>
                      </c:pt>
                      <c:pt idx="21">
                        <c:v>3.1109944713907152</c:v>
                      </c:pt>
                      <c:pt idx="22">
                        <c:v>3.1950358870412026</c:v>
                      </c:pt>
                      <c:pt idx="23">
                        <c:v>3.2816912678806753</c:v>
                      </c:pt>
                      <c:pt idx="24">
                        <c:v>3.3710236070477997</c:v>
                      </c:pt>
                      <c:pt idx="25">
                        <c:v>3.4633475493661678</c:v>
                      </c:pt>
                      <c:pt idx="26">
                        <c:v>3.5584584166573094</c:v>
                      </c:pt>
                      <c:pt idx="27">
                        <c:v>3.656684151758796</c:v>
                      </c:pt>
                      <c:pt idx="28">
                        <c:v>3.7580887932289282</c:v>
                      </c:pt>
                      <c:pt idx="29">
                        <c:v>3.8627380627305423</c:v>
                      </c:pt>
                      <c:pt idx="30">
                        <c:v>3.9706994270818372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E3AD-4722-9659-89576791B442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'B11 S&amp;M 55Tractor'!$A$62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55Tractor'!$E$63:$AG$63</c:f>
              <c:numCache>
                <c:formatCode>_ [$₹-4009]\ * #,##0_ ;_ [$₹-4009]\ * \-#,##0_ ;_ [$₹-4009]\ * "-"??_ ;_ @_ </c:formatCode>
                <c:ptCount val="29"/>
                <c:pt idx="0">
                  <c:v>5304500</c:v>
                </c:pt>
                <c:pt idx="1">
                  <c:v>5463600</c:v>
                </c:pt>
                <c:pt idx="2">
                  <c:v>5627500</c:v>
                </c:pt>
                <c:pt idx="3">
                  <c:v>6196300</c:v>
                </c:pt>
                <c:pt idx="4">
                  <c:v>6382200</c:v>
                </c:pt>
                <c:pt idx="5">
                  <c:v>6573700</c:v>
                </c:pt>
                <c:pt idx="6">
                  <c:v>6770900</c:v>
                </c:pt>
                <c:pt idx="7">
                  <c:v>6974000</c:v>
                </c:pt>
                <c:pt idx="8">
                  <c:v>7183200</c:v>
                </c:pt>
                <c:pt idx="9">
                  <c:v>7398700</c:v>
                </c:pt>
                <c:pt idx="10">
                  <c:v>7620700</c:v>
                </c:pt>
                <c:pt idx="11">
                  <c:v>7849300</c:v>
                </c:pt>
                <c:pt idx="12">
                  <c:v>8084800</c:v>
                </c:pt>
                <c:pt idx="13">
                  <c:v>8327300</c:v>
                </c:pt>
                <c:pt idx="14">
                  <c:v>8577100</c:v>
                </c:pt>
                <c:pt idx="15">
                  <c:v>8834400</c:v>
                </c:pt>
                <c:pt idx="16">
                  <c:v>9099400</c:v>
                </c:pt>
                <c:pt idx="17">
                  <c:v>9372400</c:v>
                </c:pt>
                <c:pt idx="18">
                  <c:v>9653600</c:v>
                </c:pt>
                <c:pt idx="19">
                  <c:v>9943200</c:v>
                </c:pt>
                <c:pt idx="20">
                  <c:v>10241500</c:v>
                </c:pt>
                <c:pt idx="21">
                  <c:v>10548700</c:v>
                </c:pt>
                <c:pt idx="22">
                  <c:v>10865200</c:v>
                </c:pt>
                <c:pt idx="23">
                  <c:v>11191200</c:v>
                </c:pt>
                <c:pt idx="24">
                  <c:v>11526900</c:v>
                </c:pt>
                <c:pt idx="25">
                  <c:v>11872700</c:v>
                </c:pt>
                <c:pt idx="26">
                  <c:v>12228900</c:v>
                </c:pt>
                <c:pt idx="27">
                  <c:v>12595800</c:v>
                </c:pt>
                <c:pt idx="28">
                  <c:v>12973700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5-49A1-BC06-65BB0D3218F3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215-49A1-BC06-65BB0D3218F3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215-49A1-BC06-65BB0D3218F3}"/>
            </c:ext>
          </c:extLst>
        </c:ser>
        <c:ser>
          <c:idx val="3"/>
          <c:order val="3"/>
          <c:tx>
            <c:strRef>
              <c:f>'B11 S&amp;M 55Tractor'!$A$130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55Tractor'!$C$132:$AG$132</c:f>
              <c:numCache>
                <c:formatCode>_ [$₹-4009]\ * #,##0_ ;_ [$₹-4009]\ * \-#,##0_ ;_ [$₹-4009]\ * "-"??_ ;_ @_ </c:formatCode>
                <c:ptCount val="31"/>
                <c:pt idx="0">
                  <c:v>11255000</c:v>
                </c:pt>
                <c:pt idx="1">
                  <c:v>11221000</c:v>
                </c:pt>
                <c:pt idx="2">
                  <c:v>11197000</c:v>
                </c:pt>
                <c:pt idx="3">
                  <c:v>10964000</c:v>
                </c:pt>
                <c:pt idx="4">
                  <c:v>10751000</c:v>
                </c:pt>
                <c:pt idx="5">
                  <c:v>10757000</c:v>
                </c:pt>
                <c:pt idx="6">
                  <c:v>10606000</c:v>
                </c:pt>
                <c:pt idx="7">
                  <c:v>10676000</c:v>
                </c:pt>
                <c:pt idx="8">
                  <c:v>10753000</c:v>
                </c:pt>
                <c:pt idx="9">
                  <c:v>10838000</c:v>
                </c:pt>
                <c:pt idx="10">
                  <c:v>10931000</c:v>
                </c:pt>
                <c:pt idx="11">
                  <c:v>11032000</c:v>
                </c:pt>
                <c:pt idx="12">
                  <c:v>11142000</c:v>
                </c:pt>
                <c:pt idx="13">
                  <c:v>11259000</c:v>
                </c:pt>
                <c:pt idx="14">
                  <c:v>11386000</c:v>
                </c:pt>
                <c:pt idx="15">
                  <c:v>11521000</c:v>
                </c:pt>
                <c:pt idx="16">
                  <c:v>11570000</c:v>
                </c:pt>
                <c:pt idx="17">
                  <c:v>11796000</c:v>
                </c:pt>
                <c:pt idx="18">
                  <c:v>12030000</c:v>
                </c:pt>
                <c:pt idx="19">
                  <c:v>12271000</c:v>
                </c:pt>
                <c:pt idx="20">
                  <c:v>12521000</c:v>
                </c:pt>
                <c:pt idx="21">
                  <c:v>12780000</c:v>
                </c:pt>
                <c:pt idx="22">
                  <c:v>13047000</c:v>
                </c:pt>
                <c:pt idx="23">
                  <c:v>13323000</c:v>
                </c:pt>
                <c:pt idx="24">
                  <c:v>13608000</c:v>
                </c:pt>
                <c:pt idx="25">
                  <c:v>13903000</c:v>
                </c:pt>
                <c:pt idx="26">
                  <c:v>14255000</c:v>
                </c:pt>
                <c:pt idx="27">
                  <c:v>14618000</c:v>
                </c:pt>
                <c:pt idx="28">
                  <c:v>14991000</c:v>
                </c:pt>
                <c:pt idx="29">
                  <c:v>15374000</c:v>
                </c:pt>
                <c:pt idx="30">
                  <c:v>15769000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15-49A1-BC06-65BB0D3218F3}"/>
            </c:ext>
          </c:extLst>
        </c:ser>
        <c:ser>
          <c:idx val="4"/>
          <c:order val="4"/>
          <c:tx>
            <c:strRef>
              <c:f>'B11 S&amp;M 55Tractor'!$A$96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55Tractor'!$C$98:$AG$98</c:f>
              <c:numCache>
                <c:formatCode>_ [$₹-4009]\ * #,##0_ ;_ [$₹-4009]\ * \-#,##0_ ;_ [$₹-4009]\ * "-"??_ ;_ @_ </c:formatCode>
                <c:ptCount val="31"/>
                <c:pt idx="0">
                  <c:v>6157000</c:v>
                </c:pt>
                <c:pt idx="1">
                  <c:v>6318000</c:v>
                </c:pt>
                <c:pt idx="2">
                  <c:v>6485000</c:v>
                </c:pt>
                <c:pt idx="3">
                  <c:v>6655000</c:v>
                </c:pt>
                <c:pt idx="4">
                  <c:v>6831000</c:v>
                </c:pt>
                <c:pt idx="5">
                  <c:v>7412000</c:v>
                </c:pt>
                <c:pt idx="6">
                  <c:v>7610000</c:v>
                </c:pt>
                <c:pt idx="7">
                  <c:v>7814000</c:v>
                </c:pt>
                <c:pt idx="8">
                  <c:v>8024000</c:v>
                </c:pt>
                <c:pt idx="9">
                  <c:v>8239000</c:v>
                </c:pt>
                <c:pt idx="10">
                  <c:v>8461000</c:v>
                </c:pt>
                <c:pt idx="11">
                  <c:v>8689000</c:v>
                </c:pt>
                <c:pt idx="12">
                  <c:v>8924000</c:v>
                </c:pt>
                <c:pt idx="13">
                  <c:v>9166000</c:v>
                </c:pt>
                <c:pt idx="14">
                  <c:v>9415000</c:v>
                </c:pt>
                <c:pt idx="15">
                  <c:v>9670000</c:v>
                </c:pt>
                <c:pt idx="16">
                  <c:v>9934000</c:v>
                </c:pt>
                <c:pt idx="17">
                  <c:v>10204000</c:v>
                </c:pt>
                <c:pt idx="18">
                  <c:v>10483000</c:v>
                </c:pt>
                <c:pt idx="19">
                  <c:v>10770000</c:v>
                </c:pt>
                <c:pt idx="20">
                  <c:v>11065000</c:v>
                </c:pt>
                <c:pt idx="21">
                  <c:v>11369000</c:v>
                </c:pt>
                <c:pt idx="22">
                  <c:v>11681000</c:v>
                </c:pt>
                <c:pt idx="23">
                  <c:v>12003000</c:v>
                </c:pt>
                <c:pt idx="24">
                  <c:v>12334000</c:v>
                </c:pt>
                <c:pt idx="25">
                  <c:v>12675000</c:v>
                </c:pt>
                <c:pt idx="26">
                  <c:v>13025000</c:v>
                </c:pt>
                <c:pt idx="27">
                  <c:v>13386000</c:v>
                </c:pt>
                <c:pt idx="28">
                  <c:v>13757000</c:v>
                </c:pt>
                <c:pt idx="29">
                  <c:v>14140000</c:v>
                </c:pt>
                <c:pt idx="30">
                  <c:v>14533000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15-49A1-BC06-65BB0D3218F3}"/>
            </c:ext>
          </c:extLst>
        </c:ser>
        <c:ser>
          <c:idx val="5"/>
          <c:order val="5"/>
          <c:tx>
            <c:strRef>
              <c:f>'B11 S&amp;M 55Tractor'!$A$113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55Tractor'!$C$115:$AG$115</c:f>
              <c:numCache>
                <c:formatCode>_ [$₹-4009]\ * #,##0_ ;_ [$₹-4009]\ * \-#,##0_ ;_ [$₹-4009]\ * "-"??_ ;_ @_ </c:formatCode>
                <c:ptCount val="31"/>
                <c:pt idx="0">
                  <c:v>6579000</c:v>
                </c:pt>
                <c:pt idx="1">
                  <c:v>6650000</c:v>
                </c:pt>
                <c:pt idx="2">
                  <c:v>6730000</c:v>
                </c:pt>
                <c:pt idx="3">
                  <c:v>6818000</c:v>
                </c:pt>
                <c:pt idx="4">
                  <c:v>6914000</c:v>
                </c:pt>
                <c:pt idx="5">
                  <c:v>7418000</c:v>
                </c:pt>
                <c:pt idx="6">
                  <c:v>7555000</c:v>
                </c:pt>
                <c:pt idx="7">
                  <c:v>7700000</c:v>
                </c:pt>
                <c:pt idx="8">
                  <c:v>7852000</c:v>
                </c:pt>
                <c:pt idx="9">
                  <c:v>8012000</c:v>
                </c:pt>
                <c:pt idx="10">
                  <c:v>8180000</c:v>
                </c:pt>
                <c:pt idx="11">
                  <c:v>8355000</c:v>
                </c:pt>
                <c:pt idx="12">
                  <c:v>8539000</c:v>
                </c:pt>
                <c:pt idx="13">
                  <c:v>8731000</c:v>
                </c:pt>
                <c:pt idx="14">
                  <c:v>8931000</c:v>
                </c:pt>
                <c:pt idx="15">
                  <c:v>9140000</c:v>
                </c:pt>
                <c:pt idx="16">
                  <c:v>9398000</c:v>
                </c:pt>
                <c:pt idx="17">
                  <c:v>9663000</c:v>
                </c:pt>
                <c:pt idx="18">
                  <c:v>9936000</c:v>
                </c:pt>
                <c:pt idx="19">
                  <c:v>10218000</c:v>
                </c:pt>
                <c:pt idx="20">
                  <c:v>10507000</c:v>
                </c:pt>
                <c:pt idx="21">
                  <c:v>10806000</c:v>
                </c:pt>
                <c:pt idx="22">
                  <c:v>11112000</c:v>
                </c:pt>
                <c:pt idx="23">
                  <c:v>11428000</c:v>
                </c:pt>
                <c:pt idx="24">
                  <c:v>11754000</c:v>
                </c:pt>
                <c:pt idx="25">
                  <c:v>12089000</c:v>
                </c:pt>
                <c:pt idx="26">
                  <c:v>12433000</c:v>
                </c:pt>
                <c:pt idx="27">
                  <c:v>12788000</c:v>
                </c:pt>
                <c:pt idx="28">
                  <c:v>13153000</c:v>
                </c:pt>
                <c:pt idx="29">
                  <c:v>13530000</c:v>
                </c:pt>
                <c:pt idx="30">
                  <c:v>13917000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15-49A1-BC06-65BB0D3218F3}"/>
            </c:ext>
          </c:extLst>
        </c:ser>
        <c:ser>
          <c:idx val="6"/>
          <c:order val="6"/>
          <c:tx>
            <c:strRef>
              <c:f>'B11 S&amp;M 55Tractor'!$A$147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55Tractor'!$C$149:$AG$149</c:f>
              <c:numCache>
                <c:formatCode>_ [$₹-4009]\ * #,##0_ ;_ [$₹-4009]\ * \-#,##0_ ;_ [$₹-4009]\ * "-"??_ ;_ @_ </c:formatCode>
                <c:ptCount val="31"/>
                <c:pt idx="0">
                  <c:v>15366000</c:v>
                </c:pt>
                <c:pt idx="1">
                  <c:v>15129000</c:v>
                </c:pt>
                <c:pt idx="2">
                  <c:v>14909000</c:v>
                </c:pt>
                <c:pt idx="3">
                  <c:v>14707000</c:v>
                </c:pt>
                <c:pt idx="4">
                  <c:v>14521000</c:v>
                </c:pt>
                <c:pt idx="5">
                  <c:v>14553000</c:v>
                </c:pt>
                <c:pt idx="6">
                  <c:v>14466000</c:v>
                </c:pt>
                <c:pt idx="7">
                  <c:v>14398000</c:v>
                </c:pt>
                <c:pt idx="8">
                  <c:v>14343000</c:v>
                </c:pt>
                <c:pt idx="9">
                  <c:v>14301000</c:v>
                </c:pt>
                <c:pt idx="10">
                  <c:v>14271000</c:v>
                </c:pt>
                <c:pt idx="11">
                  <c:v>14253000</c:v>
                </c:pt>
                <c:pt idx="12">
                  <c:v>14248000</c:v>
                </c:pt>
                <c:pt idx="13">
                  <c:v>14255000</c:v>
                </c:pt>
                <c:pt idx="14">
                  <c:v>14275000</c:v>
                </c:pt>
                <c:pt idx="15">
                  <c:v>14307000</c:v>
                </c:pt>
                <c:pt idx="16">
                  <c:v>14253000</c:v>
                </c:pt>
                <c:pt idx="17">
                  <c:v>14435000</c:v>
                </c:pt>
                <c:pt idx="18">
                  <c:v>14626000</c:v>
                </c:pt>
                <c:pt idx="19">
                  <c:v>14826000</c:v>
                </c:pt>
                <c:pt idx="20">
                  <c:v>15036000</c:v>
                </c:pt>
                <c:pt idx="21">
                  <c:v>15041000</c:v>
                </c:pt>
                <c:pt idx="22">
                  <c:v>15272000</c:v>
                </c:pt>
                <c:pt idx="23">
                  <c:v>15514000</c:v>
                </c:pt>
                <c:pt idx="24">
                  <c:v>15766000</c:v>
                </c:pt>
                <c:pt idx="25">
                  <c:v>16028000</c:v>
                </c:pt>
                <c:pt idx="26">
                  <c:v>16193000</c:v>
                </c:pt>
                <c:pt idx="27">
                  <c:v>16575000</c:v>
                </c:pt>
                <c:pt idx="28">
                  <c:v>16968000</c:v>
                </c:pt>
                <c:pt idx="29">
                  <c:v>17371000</c:v>
                </c:pt>
                <c:pt idx="30">
                  <c:v>17785000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15-49A1-BC06-65BB0D3218F3}"/>
            </c:ext>
          </c:extLst>
        </c:ser>
        <c:ser>
          <c:idx val="7"/>
          <c:order val="7"/>
          <c:tx>
            <c:strRef>
              <c:f>'B11 S&amp;M 55Tractor'!$A$79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'B11 S&amp;M 55Tractor'!$C$80:$AG$80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'B11 S&amp;M 55Tractor'!$C$81:$AG$81</c:f>
              <c:numCache>
                <c:formatCode>_ [$₹-4009]\ * #,##0_ ;_ [$₹-4009]\ * \-#,##0_ ;_ [$₹-4009]\ * "-"??_ ;_ @_ </c:formatCode>
                <c:ptCount val="31"/>
                <c:pt idx="0">
                  <c:v>5250000</c:v>
                </c:pt>
                <c:pt idx="1">
                  <c:v>5407500</c:v>
                </c:pt>
                <c:pt idx="2">
                  <c:v>5569725</c:v>
                </c:pt>
                <c:pt idx="3">
                  <c:v>5736816.75</c:v>
                </c:pt>
                <c:pt idx="4">
                  <c:v>5908921.2525000004</c:v>
                </c:pt>
                <c:pt idx="5">
                  <c:v>6486188.8900750009</c:v>
                </c:pt>
                <c:pt idx="6">
                  <c:v>6680774.556777251</c:v>
                </c:pt>
                <c:pt idx="7">
                  <c:v>6881197.7934805686</c:v>
                </c:pt>
                <c:pt idx="8">
                  <c:v>7087633.7272849856</c:v>
                </c:pt>
                <c:pt idx="9">
                  <c:v>7300262.7391035352</c:v>
                </c:pt>
                <c:pt idx="10">
                  <c:v>7519270.6212766413</c:v>
                </c:pt>
                <c:pt idx="11">
                  <c:v>7744848.7399149407</c:v>
                </c:pt>
                <c:pt idx="12">
                  <c:v>7977194.2021123888</c:v>
                </c:pt>
                <c:pt idx="13">
                  <c:v>8216510.028175761</c:v>
                </c:pt>
                <c:pt idx="14">
                  <c:v>8463005.3290210348</c:v>
                </c:pt>
                <c:pt idx="15">
                  <c:v>8716895.4888916668</c:v>
                </c:pt>
                <c:pt idx="16">
                  <c:v>8978402.3535584174</c:v>
                </c:pt>
                <c:pt idx="17">
                  <c:v>9247754.4241651706</c:v>
                </c:pt>
                <c:pt idx="18">
                  <c:v>9525187.0568901263</c:v>
                </c:pt>
                <c:pt idx="19">
                  <c:v>9810942.6685968302</c:v>
                </c:pt>
                <c:pt idx="20">
                  <c:v>10105270.948654735</c:v>
                </c:pt>
                <c:pt idx="21">
                  <c:v>10408429.077114377</c:v>
                </c:pt>
                <c:pt idx="22">
                  <c:v>10720681.94942781</c:v>
                </c:pt>
                <c:pt idx="23">
                  <c:v>11042302.407910645</c:v>
                </c:pt>
                <c:pt idx="24">
                  <c:v>11373571.480147965</c:v>
                </c:pt>
                <c:pt idx="25">
                  <c:v>11714778.624552405</c:v>
                </c:pt>
                <c:pt idx="26">
                  <c:v>12066221.983288977</c:v>
                </c:pt>
                <c:pt idx="27">
                  <c:v>12428208.642787647</c:v>
                </c:pt>
                <c:pt idx="28">
                  <c:v>12801054.902071277</c:v>
                </c:pt>
                <c:pt idx="29">
                  <c:v>13185086.549133414</c:v>
                </c:pt>
                <c:pt idx="30">
                  <c:v>13580639.145607417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15-49A1-BC06-65BB0D321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'B12 POL&amp;CNG Tankers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'B12 POL&amp;CNG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'B12 POL&amp;CNG Tankers 28T'!$C$165:$AB$165</c:f>
              <c:numCache>
                <c:formatCode>_ [$₹-4009]\ * #,##0.00_ ;_ [$₹-4009]\ * \-#,##0.00_ ;_ [$₹-4009]\ * "-"??_ ;_ @_ </c:formatCode>
                <c:ptCount val="26"/>
                <c:pt idx="0">
                  <c:v>43.711817668555511</c:v>
                </c:pt>
                <c:pt idx="1">
                  <c:v>46.577639930847234</c:v>
                </c:pt>
                <c:pt idx="2">
                  <c:v>47.748246535990312</c:v>
                </c:pt>
                <c:pt idx="3">
                  <c:v>48.954795939423818</c:v>
                </c:pt>
                <c:pt idx="4">
                  <c:v>50.197706052630494</c:v>
                </c:pt>
                <c:pt idx="5">
                  <c:v>52.334082876589591</c:v>
                </c:pt>
                <c:pt idx="6">
                  <c:v>53.677564220975498</c:v>
                </c:pt>
                <c:pt idx="7">
                  <c:v>55.060238206514839</c:v>
                </c:pt>
                <c:pt idx="8">
                  <c:v>56.483005589007391</c:v>
                </c:pt>
                <c:pt idx="9">
                  <c:v>57.959687215498903</c:v>
                </c:pt>
                <c:pt idx="10">
                  <c:v>59.477880787462929</c:v>
                </c:pt>
                <c:pt idx="11">
                  <c:v>62.078704701165691</c:v>
                </c:pt>
                <c:pt idx="12">
                  <c:v>63.726884764974685</c:v>
                </c:pt>
                <c:pt idx="13">
                  <c:v>65.419972926734403</c:v>
                </c:pt>
                <c:pt idx="14">
                  <c:v>67.172338794890436</c:v>
                </c:pt>
                <c:pt idx="15">
                  <c:v>68.971470481622021</c:v>
                </c:pt>
                <c:pt idx="16">
                  <c:v>70.83177479708371</c:v>
                </c:pt>
                <c:pt idx="17">
                  <c:v>72.754111696772881</c:v>
                </c:pt>
                <c:pt idx="18">
                  <c:v>74.73959452450822</c:v>
                </c:pt>
                <c:pt idx="19">
                  <c:v>76.789357619773099</c:v>
                </c:pt>
                <c:pt idx="20">
                  <c:v>78.904323951838336</c:v>
                </c:pt>
                <c:pt idx="21">
                  <c:v>82.483790933431223</c:v>
                </c:pt>
                <c:pt idx="22">
                  <c:v>84.774898783469382</c:v>
                </c:pt>
                <c:pt idx="23">
                  <c:v>87.136073542474136</c:v>
                </c:pt>
                <c:pt idx="24">
                  <c:v>89.581937681696175</c:v>
                </c:pt>
                <c:pt idx="25">
                  <c:v>92.100472901588105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4-4717-97CB-1A03DD4541E9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'B12 POL&amp;CNG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34-4717-97CB-1A03DD4541E9}"/>
            </c:ext>
          </c:extLst>
        </c:ser>
        <c:ser>
          <c:idx val="4"/>
          <c:order val="2"/>
          <c:tx>
            <c:strRef>
              <c:f>'B12 POL&amp;CNG Tankers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'B12 POL&amp;CNG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'B12 POL&amp;CNG Tankers 28T'!$C$168:$AB$168</c:f>
              <c:numCache>
                <c:formatCode>_ [$₹-4009]\ * #,##0.00_ ;_ [$₹-4009]\ * \-#,##0.00_ ;_ [$₹-4009]\ * "-"??_ ;_ @_ </c:formatCode>
                <c:ptCount val="26"/>
                <c:pt idx="0">
                  <c:v>57.361696038472033</c:v>
                </c:pt>
                <c:pt idx="1">
                  <c:v>57.784156788094421</c:v>
                </c:pt>
                <c:pt idx="2">
                  <c:v>58.155875850388504</c:v>
                </c:pt>
                <c:pt idx="3">
                  <c:v>57.99408892549507</c:v>
                </c:pt>
                <c:pt idx="4">
                  <c:v>57.785779736886454</c:v>
                </c:pt>
                <c:pt idx="5">
                  <c:v>58.409706134018634</c:v>
                </c:pt>
                <c:pt idx="6">
                  <c:v>56.84336675601832</c:v>
                </c:pt>
                <c:pt idx="7">
                  <c:v>57.227570180793293</c:v>
                </c:pt>
                <c:pt idx="8">
                  <c:v>57.460433724395877</c:v>
                </c:pt>
                <c:pt idx="9">
                  <c:v>57.816703794073547</c:v>
                </c:pt>
                <c:pt idx="10">
                  <c:v>58.293244697220779</c:v>
                </c:pt>
                <c:pt idx="11">
                  <c:v>57.423609346649997</c:v>
                </c:pt>
                <c:pt idx="12">
                  <c:v>58.184465438682665</c:v>
                </c:pt>
                <c:pt idx="13">
                  <c:v>58.971492454940659</c:v>
                </c:pt>
                <c:pt idx="14">
                  <c:v>59.852362211236773</c:v>
                </c:pt>
                <c:pt idx="15">
                  <c:v>60.833156622722228</c:v>
                </c:pt>
                <c:pt idx="16">
                  <c:v>61.71533338874287</c:v>
                </c:pt>
                <c:pt idx="17">
                  <c:v>63.059876519366028</c:v>
                </c:pt>
                <c:pt idx="18">
                  <c:v>64.438892642418864</c:v>
                </c:pt>
                <c:pt idx="19">
                  <c:v>65.876241906704863</c:v>
                </c:pt>
                <c:pt idx="20">
                  <c:v>67.370753378112639</c:v>
                </c:pt>
                <c:pt idx="21">
                  <c:v>67.096525558341369</c:v>
                </c:pt>
                <c:pt idx="22">
                  <c:v>68.690055027422559</c:v>
                </c:pt>
                <c:pt idx="23">
                  <c:v>70.34639350600257</c:v>
                </c:pt>
                <c:pt idx="24">
                  <c:v>72.080590518757603</c:v>
                </c:pt>
                <c:pt idx="25">
                  <c:v>73.88960733673332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4-4717-97CB-1A03DD4541E9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534-4717-97CB-1A03DD4541E9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534-4717-97CB-1A03DD454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'B12 POL&amp;CNG Tankers 28T'!$A$192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'B12 POL&amp;CNG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'B12 POL&amp;CNG Tankers 28T'!$C$192:$AB$192</c:f>
              <c:numCache>
                <c:formatCode>0%</c:formatCode>
                <c:ptCount val="26"/>
                <c:pt idx="0">
                  <c:v>0.7620384452934994</c:v>
                </c:pt>
                <c:pt idx="1">
                  <c:v>0.80606246625102396</c:v>
                </c:pt>
                <c:pt idx="2">
                  <c:v>0.82103907537782073</c:v>
                </c:pt>
                <c:pt idx="3">
                  <c:v>0.84413423585834724</c:v>
                </c:pt>
                <c:pt idx="4">
                  <c:v>0.86868614183616777</c:v>
                </c:pt>
                <c:pt idx="5">
                  <c:v>0.89598264296196284</c:v>
                </c:pt>
                <c:pt idx="6">
                  <c:v>0.94430656177296812</c:v>
                </c:pt>
                <c:pt idx="7">
                  <c:v>0.96212783510759903</c:v>
                </c:pt>
                <c:pt idx="8">
                  <c:v>0.9829895447695951</c:v>
                </c:pt>
                <c:pt idx="9">
                  <c:v>1.0024730469231629</c:v>
                </c:pt>
                <c:pt idx="10">
                  <c:v>1.0203220132348993</c:v>
                </c:pt>
                <c:pt idx="11">
                  <c:v>1.0810658787819172</c:v>
                </c:pt>
                <c:pt idx="12">
                  <c:v>1.0952559980487035</c:v>
                </c:pt>
                <c:pt idx="13">
                  <c:v>1.109349114349123</c:v>
                </c:pt>
                <c:pt idx="14">
                  <c:v>1.1223005460974003</c:v>
                </c:pt>
                <c:pt idx="15">
                  <c:v>1.1337808904011402</c:v>
                </c:pt>
                <c:pt idx="16">
                  <c:v>1.1477176077283204</c:v>
                </c:pt>
                <c:pt idx="17">
                  <c:v>1.1537306400279692</c:v>
                </c:pt>
                <c:pt idx="18">
                  <c:v>1.1598522485364469</c:v>
                </c:pt>
                <c:pt idx="19">
                  <c:v>1.1656608725270574</c:v>
                </c:pt>
                <c:pt idx="20">
                  <c:v>1.1711955113370116</c:v>
                </c:pt>
                <c:pt idx="21">
                  <c:v>1.2293302856898367</c:v>
                </c:pt>
                <c:pt idx="22">
                  <c:v>1.2341655389506589</c:v>
                </c:pt>
                <c:pt idx="23">
                  <c:v>1.2386715110709823</c:v>
                </c:pt>
                <c:pt idx="24">
                  <c:v>1.2428024942218554</c:v>
                </c:pt>
                <c:pt idx="25">
                  <c:v>1.2464604458088855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D-4312-8394-D0D592A4357E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'B12 POL&amp;CNG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D-4312-8394-D0D592A4357E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A5D-4312-8394-D0D592A4357E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A5D-4312-8394-D0D592A43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'B12 POL&amp;CNG Tankers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28T'!$C$165:$AG$165</c:f>
              <c:numCache>
                <c:formatCode>_ [$₹-4009]\ * #,##0.00_ ;_ [$₹-4009]\ * \-#,##0.00_ ;_ [$₹-4009]\ * "-"??_ ;_ @_ </c:formatCode>
                <c:ptCount val="31"/>
                <c:pt idx="0">
                  <c:v>43.711817668555511</c:v>
                </c:pt>
                <c:pt idx="1">
                  <c:v>46.577639930847234</c:v>
                </c:pt>
                <c:pt idx="2">
                  <c:v>47.748246535990312</c:v>
                </c:pt>
                <c:pt idx="3">
                  <c:v>48.954795939423818</c:v>
                </c:pt>
                <c:pt idx="4">
                  <c:v>50.197706052630494</c:v>
                </c:pt>
                <c:pt idx="5">
                  <c:v>52.334082876589591</c:v>
                </c:pt>
                <c:pt idx="6">
                  <c:v>53.677564220975498</c:v>
                </c:pt>
                <c:pt idx="7">
                  <c:v>55.060238206514839</c:v>
                </c:pt>
                <c:pt idx="8">
                  <c:v>56.483005589007391</c:v>
                </c:pt>
                <c:pt idx="9">
                  <c:v>57.959687215498903</c:v>
                </c:pt>
                <c:pt idx="10">
                  <c:v>59.477880787462929</c:v>
                </c:pt>
                <c:pt idx="11">
                  <c:v>62.078704701165691</c:v>
                </c:pt>
                <c:pt idx="12">
                  <c:v>63.726884764974685</c:v>
                </c:pt>
                <c:pt idx="13">
                  <c:v>65.419972926734403</c:v>
                </c:pt>
                <c:pt idx="14">
                  <c:v>67.172338794890436</c:v>
                </c:pt>
                <c:pt idx="15">
                  <c:v>68.971470481622021</c:v>
                </c:pt>
                <c:pt idx="16">
                  <c:v>70.83177479708371</c:v>
                </c:pt>
                <c:pt idx="17">
                  <c:v>72.754111696772881</c:v>
                </c:pt>
                <c:pt idx="18">
                  <c:v>74.73959452450822</c:v>
                </c:pt>
                <c:pt idx="19">
                  <c:v>76.789357619773099</c:v>
                </c:pt>
                <c:pt idx="20">
                  <c:v>78.904323951838336</c:v>
                </c:pt>
                <c:pt idx="21">
                  <c:v>82.483790933431223</c:v>
                </c:pt>
                <c:pt idx="22">
                  <c:v>84.774898783469382</c:v>
                </c:pt>
                <c:pt idx="23">
                  <c:v>87.136073542474136</c:v>
                </c:pt>
                <c:pt idx="24">
                  <c:v>89.581937681696175</c:v>
                </c:pt>
                <c:pt idx="25">
                  <c:v>92.100472901588105</c:v>
                </c:pt>
                <c:pt idx="26">
                  <c:v>94.70635439246729</c:v>
                </c:pt>
                <c:pt idx="27">
                  <c:v>97.387618463431963</c:v>
                </c:pt>
                <c:pt idx="28">
                  <c:v>100.15924903119837</c:v>
                </c:pt>
                <c:pt idx="29">
                  <c:v>103.02267434233988</c:v>
                </c:pt>
                <c:pt idx="30">
                  <c:v>105.97935353894397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6-4493-95FF-BB2B0FF8FE9C}"/>
            </c:ext>
          </c:extLst>
        </c:ser>
        <c:ser>
          <c:idx val="4"/>
          <c:order val="1"/>
          <c:tx>
            <c:strRef>
              <c:f>'B12 POL&amp;CNG Tankers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E16-4493-95FF-BB2B0FF8FE9C}"/>
              </c:ext>
            </c:extLst>
          </c:dPt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28T'!$C$168:$AG$168</c:f>
              <c:numCache>
                <c:formatCode>_ [$₹-4009]\ * #,##0.00_ ;_ [$₹-4009]\ * \-#,##0.00_ ;_ [$₹-4009]\ * "-"??_ ;_ @_ </c:formatCode>
                <c:ptCount val="31"/>
                <c:pt idx="0">
                  <c:v>57.361696038472033</c:v>
                </c:pt>
                <c:pt idx="1">
                  <c:v>57.784156788094421</c:v>
                </c:pt>
                <c:pt idx="2">
                  <c:v>58.155875850388504</c:v>
                </c:pt>
                <c:pt idx="3">
                  <c:v>57.99408892549507</c:v>
                </c:pt>
                <c:pt idx="4">
                  <c:v>57.785779736886454</c:v>
                </c:pt>
                <c:pt idx="5">
                  <c:v>58.409706134018634</c:v>
                </c:pt>
                <c:pt idx="6">
                  <c:v>56.84336675601832</c:v>
                </c:pt>
                <c:pt idx="7">
                  <c:v>57.227570180793293</c:v>
                </c:pt>
                <c:pt idx="8">
                  <c:v>57.460433724395877</c:v>
                </c:pt>
                <c:pt idx="9">
                  <c:v>57.816703794073547</c:v>
                </c:pt>
                <c:pt idx="10">
                  <c:v>58.293244697220779</c:v>
                </c:pt>
                <c:pt idx="11">
                  <c:v>57.423609346649997</c:v>
                </c:pt>
                <c:pt idx="12">
                  <c:v>58.184465438682665</c:v>
                </c:pt>
                <c:pt idx="13">
                  <c:v>58.971492454940659</c:v>
                </c:pt>
                <c:pt idx="14">
                  <c:v>59.852362211236773</c:v>
                </c:pt>
                <c:pt idx="15">
                  <c:v>60.833156622722228</c:v>
                </c:pt>
                <c:pt idx="16">
                  <c:v>61.71533338874287</c:v>
                </c:pt>
                <c:pt idx="17">
                  <c:v>63.059876519366028</c:v>
                </c:pt>
                <c:pt idx="18">
                  <c:v>64.438892642418864</c:v>
                </c:pt>
                <c:pt idx="19">
                  <c:v>65.876241906704863</c:v>
                </c:pt>
                <c:pt idx="20">
                  <c:v>67.370753378112639</c:v>
                </c:pt>
                <c:pt idx="21">
                  <c:v>67.096525558341369</c:v>
                </c:pt>
                <c:pt idx="22">
                  <c:v>68.690055027422559</c:v>
                </c:pt>
                <c:pt idx="23">
                  <c:v>70.34639350600257</c:v>
                </c:pt>
                <c:pt idx="24">
                  <c:v>72.080590518757603</c:v>
                </c:pt>
                <c:pt idx="25">
                  <c:v>73.88960733673332</c:v>
                </c:pt>
                <c:pt idx="26">
                  <c:v>76.099896462981064</c:v>
                </c:pt>
                <c:pt idx="27">
                  <c:v>78.437763101714424</c:v>
                </c:pt>
                <c:pt idx="28">
                  <c:v>80.859640206166361</c:v>
                </c:pt>
                <c:pt idx="29">
                  <c:v>83.383639616090107</c:v>
                </c:pt>
                <c:pt idx="30">
                  <c:v>85.996417381699629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6-4493-95FF-BB2B0FF8FE9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E16-4493-95FF-BB2B0FF8FE9C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EE16-4493-95FF-BB2B0FF8FE9C}"/>
            </c:ext>
          </c:extLst>
        </c:ser>
        <c:ser>
          <c:idx val="2"/>
          <c:order val="5"/>
          <c:tx>
            <c:strRef>
              <c:f>'B12 POL&amp;CNG Tankers 28T'!$A$169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28T'!$C$169:$AG$169</c:f>
              <c:numCache>
                <c:formatCode>_ [$₹-4009]\ * #,##0.00_ ;_ [$₹-4009]\ * \-#,##0.00_ ;_ [$₹-4009]\ * "-"??_ ;_ @_ </c:formatCode>
                <c:ptCount val="31"/>
                <c:pt idx="0">
                  <c:v>82.215899012877685</c:v>
                </c:pt>
                <c:pt idx="1">
                  <c:v>82.316037708652161</c:v>
                </c:pt>
                <c:pt idx="2">
                  <c:v>82.503005407295149</c:v>
                </c:pt>
                <c:pt idx="3">
                  <c:v>82.778720062610603</c:v>
                </c:pt>
                <c:pt idx="4">
                  <c:v>83.137024733019032</c:v>
                </c:pt>
                <c:pt idx="5">
                  <c:v>84.664777048693168</c:v>
                </c:pt>
                <c:pt idx="6">
                  <c:v>82.574069030201926</c:v>
                </c:pt>
                <c:pt idx="7">
                  <c:v>81.908451709041131</c:v>
                </c:pt>
                <c:pt idx="8">
                  <c:v>81.33534664435922</c:v>
                </c:pt>
                <c:pt idx="9">
                  <c:v>80.861056346192498</c:v>
                </c:pt>
                <c:pt idx="10">
                  <c:v>80.476158266934945</c:v>
                </c:pt>
                <c:pt idx="11">
                  <c:v>78.954231733638991</c:v>
                </c:pt>
                <c:pt idx="12">
                  <c:v>78.730558187615372</c:v>
                </c:pt>
                <c:pt idx="13">
                  <c:v>78.588413186999148</c:v>
                </c:pt>
                <c:pt idx="14">
                  <c:v>78.539961949490191</c:v>
                </c:pt>
                <c:pt idx="15">
                  <c:v>78.575826205654124</c:v>
                </c:pt>
                <c:pt idx="16">
                  <c:v>77.331480665469343</c:v>
                </c:pt>
                <c:pt idx="17">
                  <c:v>77.864569906355726</c:v>
                </c:pt>
                <c:pt idx="18">
                  <c:v>78.4840992565683</c:v>
                </c:pt>
                <c:pt idx="19">
                  <c:v>79.189180407027266</c:v>
                </c:pt>
                <c:pt idx="20">
                  <c:v>79.979008346058038</c:v>
                </c:pt>
                <c:pt idx="21">
                  <c:v>80.071811432356526</c:v>
                </c:pt>
                <c:pt idx="22">
                  <c:v>81.009751790085659</c:v>
                </c:pt>
                <c:pt idx="23">
                  <c:v>82.032356407345844</c:v>
                </c:pt>
                <c:pt idx="24">
                  <c:v>83.150039162272279</c:v>
                </c:pt>
                <c:pt idx="25">
                  <c:v>84.351473436449055</c:v>
                </c:pt>
                <c:pt idx="26">
                  <c:v>85.481685529308564</c:v>
                </c:pt>
                <c:pt idx="27">
                  <c:v>87.580504371418897</c:v>
                </c:pt>
                <c:pt idx="28">
                  <c:v>89.782672483219315</c:v>
                </c:pt>
                <c:pt idx="29">
                  <c:v>92.090889739056493</c:v>
                </c:pt>
                <c:pt idx="30">
                  <c:v>94.505501025050179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16-4493-95FF-BB2B0FF8FE9C}"/>
            </c:ext>
          </c:extLst>
        </c:ser>
        <c:ser>
          <c:idx val="6"/>
          <c:order val="6"/>
          <c:tx>
            <c:strRef>
              <c:f>'B12 POL&amp;CNG Tankers 28T'!$A$170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28T'!$C$170:$AG$170</c:f>
              <c:numCache>
                <c:formatCode>_ [$₹-4009]\ * #,##0.00_ ;_ [$₹-4009]\ * \-#,##0.00_ ;_ [$₹-4009]\ * "-"??_ ;_ @_ </c:formatCode>
                <c:ptCount val="31"/>
                <c:pt idx="0">
                  <c:v>93.895123046277945</c:v>
                </c:pt>
                <c:pt idx="1">
                  <c:v>93.318592957444039</c:v>
                </c:pt>
                <c:pt idx="2">
                  <c:v>92.83780197132846</c:v>
                </c:pt>
                <c:pt idx="3">
                  <c:v>92.452065659407324</c:v>
                </c:pt>
                <c:pt idx="4">
                  <c:v>92.163744320147302</c:v>
                </c:pt>
                <c:pt idx="5">
                  <c:v>92.568800773199186</c:v>
                </c:pt>
                <c:pt idx="6">
                  <c:v>90.654832504007359</c:v>
                </c:pt>
                <c:pt idx="7">
                  <c:v>89.855017990317606</c:v>
                </c:pt>
                <c:pt idx="8">
                  <c:v>89.141819515445462</c:v>
                </c:pt>
                <c:pt idx="9">
                  <c:v>88.527311357807335</c:v>
                </c:pt>
                <c:pt idx="10">
                  <c:v>87.9999686364133</c:v>
                </c:pt>
                <c:pt idx="11">
                  <c:v>85.556624086094899</c:v>
                </c:pt>
                <c:pt idx="12">
                  <c:v>85.209935340565991</c:v>
                </c:pt>
                <c:pt idx="13">
                  <c:v>84.958668589802741</c:v>
                </c:pt>
                <c:pt idx="14">
                  <c:v>84.799084321119892</c:v>
                </c:pt>
                <c:pt idx="15">
                  <c:v>84.733117027917714</c:v>
                </c:pt>
                <c:pt idx="16">
                  <c:v>83.500967424467859</c:v>
                </c:pt>
                <c:pt idx="17">
                  <c:v>84.085348676556805</c:v>
                </c:pt>
                <c:pt idx="18">
                  <c:v>84.762495832792823</c:v>
                </c:pt>
                <c:pt idx="19">
                  <c:v>85.518372161531872</c:v>
                </c:pt>
                <c:pt idx="20">
                  <c:v>86.352335352160395</c:v>
                </c:pt>
                <c:pt idx="21">
                  <c:v>84.694396602526069</c:v>
                </c:pt>
                <c:pt idx="22">
                  <c:v>85.66564941010698</c:v>
                </c:pt>
                <c:pt idx="23">
                  <c:v>86.712078116233059</c:v>
                </c:pt>
                <c:pt idx="24">
                  <c:v>87.849218326238059</c:v>
                </c:pt>
                <c:pt idx="25">
                  <c:v>89.076708936676013</c:v>
                </c:pt>
                <c:pt idx="26">
                  <c:v>90.100917796619328</c:v>
                </c:pt>
                <c:pt idx="27">
                  <c:v>92.280188990894672</c:v>
                </c:pt>
                <c:pt idx="28">
                  <c:v>94.551747968768339</c:v>
                </c:pt>
                <c:pt idx="29">
                  <c:v>96.931702069063391</c:v>
                </c:pt>
                <c:pt idx="30">
                  <c:v>99.406926587109794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16-4493-95FF-BB2B0FF8FE9C}"/>
            </c:ext>
          </c:extLst>
        </c:ser>
        <c:ser>
          <c:idx val="7"/>
          <c:order val="7"/>
          <c:tx>
            <c:strRef>
              <c:f>'B12 POL&amp;CNG Tankers 28T'!$A$96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28T'!$C$167:$AG$167</c:f>
              <c:numCache>
                <c:formatCode>_ [$₹-4009]\ * #,##0.00_ ;_ [$₹-4009]\ * \-#,##0.00_ ;_ [$₹-4009]\ * "-"??_ ;_ @_ </c:formatCode>
                <c:ptCount val="31"/>
                <c:pt idx="0">
                  <c:v>43.637542766618473</c:v>
                </c:pt>
                <c:pt idx="1">
                  <c:v>45.014096963283819</c:v>
                </c:pt>
                <c:pt idx="2">
                  <c:v>46.330292059861414</c:v>
                </c:pt>
                <c:pt idx="3">
                  <c:v>47.69225191187757</c:v>
                </c:pt>
                <c:pt idx="4">
                  <c:v>49.098497723805956</c:v>
                </c:pt>
                <c:pt idx="5">
                  <c:v>51.444153998968311</c:v>
                </c:pt>
                <c:pt idx="6">
                  <c:v>52.972646681355457</c:v>
                </c:pt>
                <c:pt idx="7">
                  <c:v>54.547851378826529</c:v>
                </c:pt>
                <c:pt idx="8">
                  <c:v>56.175103087534339</c:v>
                </c:pt>
                <c:pt idx="9">
                  <c:v>57.866391436429147</c:v>
                </c:pt>
                <c:pt idx="10">
                  <c:v>59.611540953985326</c:v>
                </c:pt>
                <c:pt idx="11">
                  <c:v>62.572697241261366</c:v>
                </c:pt>
                <c:pt idx="12">
                  <c:v>64.474364452005275</c:v>
                </c:pt>
                <c:pt idx="13">
                  <c:v>66.431374448369652</c:v>
                </c:pt>
                <c:pt idx="14">
                  <c:v>68.460538924869951</c:v>
                </c:pt>
                <c:pt idx="15">
                  <c:v>70.552038255047734</c:v>
                </c:pt>
                <c:pt idx="16">
                  <c:v>72.717903377819425</c:v>
                </c:pt>
                <c:pt idx="17">
                  <c:v>74.961722383575776</c:v>
                </c:pt>
                <c:pt idx="18">
                  <c:v>77.28226982419946</c:v>
                </c:pt>
                <c:pt idx="19">
                  <c:v>79.685639721111272</c:v>
                </c:pt>
                <c:pt idx="20">
                  <c:v>82.168262640275444</c:v>
                </c:pt>
                <c:pt idx="21">
                  <c:v>86.270413030323155</c:v>
                </c:pt>
                <c:pt idx="22">
                  <c:v>88.968700348637569</c:v>
                </c:pt>
                <c:pt idx="23">
                  <c:v>91.753925514719498</c:v>
                </c:pt>
                <c:pt idx="24">
                  <c:v>94.64088755958123</c:v>
                </c:pt>
                <c:pt idx="25">
                  <c:v>97.623002095424681</c:v>
                </c:pt>
                <c:pt idx="26">
                  <c:v>100.71516913792738</c:v>
                </c:pt>
                <c:pt idx="27">
                  <c:v>103.90044155442499</c:v>
                </c:pt>
                <c:pt idx="28">
                  <c:v>107.20167789724643</c:v>
                </c:pt>
                <c:pt idx="29">
                  <c:v>110.61537623470977</c:v>
                </c:pt>
                <c:pt idx="30">
                  <c:v>114.14856073347286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E16-4493-95FF-BB2B0FF8FE9C}"/>
            </c:ext>
          </c:extLst>
        </c:ser>
        <c:ser>
          <c:idx val="8"/>
          <c:order val="8"/>
          <c:tx>
            <c:strRef>
              <c:f>'B12 POL&amp;CNG Tankers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28T'!$C$166:$AG$166</c:f>
              <c:numCache>
                <c:formatCode>_ [$₹-4009]\ * #,##0.00_ ;_ [$₹-4009]\ * \-#,##0.00_ ;_ [$₹-4009]\ * "-"??_ ;_ @_ </c:formatCode>
                <c:ptCount val="31"/>
                <c:pt idx="0">
                  <c:v>43.363145817087727</c:v>
                </c:pt>
                <c:pt idx="1">
                  <c:v>45.037539071744469</c:v>
                </c:pt>
                <c:pt idx="2">
                  <c:v>46.378674105481018</c:v>
                </c:pt>
                <c:pt idx="3">
                  <c:v>47.768490872631411</c:v>
                </c:pt>
                <c:pt idx="4">
                  <c:v>49.203295155816491</c:v>
                </c:pt>
                <c:pt idx="5">
                  <c:v>51.580468360567949</c:v>
                </c:pt>
                <c:pt idx="6">
                  <c:v>53.138986397908219</c:v>
                </c:pt>
                <c:pt idx="7">
                  <c:v>54.747218915175729</c:v>
                </c:pt>
                <c:pt idx="8">
                  <c:v>56.408288051276507</c:v>
                </c:pt>
                <c:pt idx="9">
                  <c:v>58.136442978915007</c:v>
                </c:pt>
                <c:pt idx="10">
                  <c:v>59.917060914387719</c:v>
                </c:pt>
                <c:pt idx="11">
                  <c:v>62.859450967313414</c:v>
                </c:pt>
                <c:pt idx="12">
                  <c:v>64.798909560391749</c:v>
                </c:pt>
                <c:pt idx="13">
                  <c:v>66.799478974139618</c:v>
                </c:pt>
                <c:pt idx="14">
                  <c:v>68.870719369070642</c:v>
                </c:pt>
                <c:pt idx="15">
                  <c:v>71.007692067142855</c:v>
                </c:pt>
                <c:pt idx="16">
                  <c:v>73.220030809088271</c:v>
                </c:pt>
                <c:pt idx="17">
                  <c:v>75.511353692836025</c:v>
                </c:pt>
                <c:pt idx="18">
                  <c:v>77.882892509750135</c:v>
                </c:pt>
                <c:pt idx="19">
                  <c:v>80.335920452815273</c:v>
                </c:pt>
                <c:pt idx="20">
                  <c:v>82.874179873193441</c:v>
                </c:pt>
                <c:pt idx="21">
                  <c:v>86.983080950495179</c:v>
                </c:pt>
                <c:pt idx="22">
                  <c:v>89.738075213162716</c:v>
                </c:pt>
                <c:pt idx="23">
                  <c:v>92.583854314412307</c:v>
                </c:pt>
                <c:pt idx="24">
                  <c:v>95.53787099865076</c:v>
                </c:pt>
                <c:pt idx="25">
                  <c:v>98.583111659102713</c:v>
                </c:pt>
                <c:pt idx="26">
                  <c:v>101.74236588819892</c:v>
                </c:pt>
                <c:pt idx="27">
                  <c:v>104.99872688089734</c:v>
                </c:pt>
                <c:pt idx="28">
                  <c:v>108.37247791907069</c:v>
                </c:pt>
                <c:pt idx="29">
                  <c:v>111.86277666251877</c:v>
                </c:pt>
                <c:pt idx="30">
                  <c:v>115.47145772916672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16-4493-95FF-BB2B0FF8F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'B12 POL&amp;CNG Tankers 28T'!$A$171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'B12 POL&amp;CNG Tankers 28T'!$C$164:$AG$164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'B12 POL&amp;CNG Tankers 28T'!$C$171:$AB$171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39.340635901699962</c:v>
                      </c:pt>
                      <c:pt idx="1">
                        <c:v>41.919875937762512</c:v>
                      </c:pt>
                      <c:pt idx="2">
                        <c:v>42.973421882391278</c:v>
                      </c:pt>
                      <c:pt idx="3">
                        <c:v>44.059316345481434</c:v>
                      </c:pt>
                      <c:pt idx="4">
                        <c:v>45.177935447367446</c:v>
                      </c:pt>
                      <c:pt idx="5">
                        <c:v>47.10067458893063</c:v>
                      </c:pt>
                      <c:pt idx="6">
                        <c:v>48.309807798877948</c:v>
                      </c:pt>
                      <c:pt idx="7">
                        <c:v>49.554214385863354</c:v>
                      </c:pt>
                      <c:pt idx="8">
                        <c:v>50.834705030106655</c:v>
                      </c:pt>
                      <c:pt idx="9">
                        <c:v>52.163718493949013</c:v>
                      </c:pt>
                      <c:pt idx="10">
                        <c:v>53.530092708716637</c:v>
                      </c:pt>
                      <c:pt idx="11">
                        <c:v>55.870834231049123</c:v>
                      </c:pt>
                      <c:pt idx="12">
                        <c:v>57.354196288477219</c:v>
                      </c:pt>
                      <c:pt idx="13">
                        <c:v>58.877975634060967</c:v>
                      </c:pt>
                      <c:pt idx="14">
                        <c:v>60.455104915401392</c:v>
                      </c:pt>
                      <c:pt idx="15">
                        <c:v>62.074323433459817</c:v>
                      </c:pt>
                      <c:pt idx="16">
                        <c:v>63.748597317375342</c:v>
                      </c:pt>
                      <c:pt idx="17">
                        <c:v>65.478700527095597</c:v>
                      </c:pt>
                      <c:pt idx="18">
                        <c:v>67.265635072057407</c:v>
                      </c:pt>
                      <c:pt idx="19">
                        <c:v>69.110421857795785</c:v>
                      </c:pt>
                      <c:pt idx="20">
                        <c:v>71.013891556654499</c:v>
                      </c:pt>
                      <c:pt idx="21">
                        <c:v>74.235411840088105</c:v>
                      </c:pt>
                      <c:pt idx="22">
                        <c:v>76.297408905122452</c:v>
                      </c:pt>
                      <c:pt idx="23">
                        <c:v>78.422466188226721</c:v>
                      </c:pt>
                      <c:pt idx="24">
                        <c:v>80.623743913526553</c:v>
                      </c:pt>
                      <c:pt idx="25">
                        <c:v>82.890425611429293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EE16-4493-95FF-BB2B0FF8FE9C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'B12 POL&amp;CNG Tankers 28T'!$B$174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28T'!$C$174:$AG$174</c:f>
              <c:numCache>
                <c:formatCode>_ [$₹-4009]\ * #,##0.00_ ;_ [$₹-4009]\ * \-#,##0.00_ ;_ [$₹-4009]\ * "-"??_ ;_ @_ </c:formatCode>
                <c:ptCount val="31"/>
                <c:pt idx="0">
                  <c:v>2.3628009550570548</c:v>
                </c:pt>
                <c:pt idx="1">
                  <c:v>2.517710266532283</c:v>
                </c:pt>
                <c:pt idx="2">
                  <c:v>2.5809862992427197</c:v>
                </c:pt>
                <c:pt idx="3">
                  <c:v>2.646205185914801</c:v>
                </c:pt>
                <c:pt idx="4">
                  <c:v>2.7133895163584048</c:v>
                </c:pt>
                <c:pt idx="5">
                  <c:v>2.8288693446805184</c:v>
                </c:pt>
                <c:pt idx="6">
                  <c:v>2.9014899578905675</c:v>
                </c:pt>
                <c:pt idx="7">
                  <c:v>2.9762290922440453</c:v>
                </c:pt>
                <c:pt idx="8">
                  <c:v>3.0531354372436423</c:v>
                </c:pt>
                <c:pt idx="9">
                  <c:v>3.1329560657026434</c:v>
                </c:pt>
                <c:pt idx="10">
                  <c:v>3.2150205831061043</c:v>
                </c:pt>
                <c:pt idx="11">
                  <c:v>3.3556056595224697</c:v>
                </c:pt>
                <c:pt idx="12">
                  <c:v>3.4446964737824155</c:v>
                </c:pt>
                <c:pt idx="13">
                  <c:v>3.5362147527964543</c:v>
                </c:pt>
                <c:pt idx="14">
                  <c:v>3.6309372321562399</c:v>
                </c:pt>
                <c:pt idx="15">
                  <c:v>3.7281875936011901</c:v>
                </c:pt>
                <c:pt idx="16">
                  <c:v>3.8287445836261464</c:v>
                </c:pt>
                <c:pt idx="17">
                  <c:v>3.932654686312048</c:v>
                </c:pt>
                <c:pt idx="18">
                  <c:v>4.0399780824058498</c:v>
                </c:pt>
                <c:pt idx="19">
                  <c:v>4.1507760875553021</c:v>
                </c:pt>
                <c:pt idx="20">
                  <c:v>4.2650985919912614</c:v>
                </c:pt>
                <c:pt idx="21">
                  <c:v>4.4585832936989851</c:v>
                </c:pt>
                <c:pt idx="22">
                  <c:v>4.5824269612686157</c:v>
                </c:pt>
                <c:pt idx="23">
                  <c:v>4.7100580293229264</c:v>
                </c:pt>
                <c:pt idx="24">
                  <c:v>4.8422669017133071</c:v>
                </c:pt>
                <c:pt idx="25">
                  <c:v>4.978403940626384</c:v>
                </c:pt>
                <c:pt idx="26">
                  <c:v>5.1192623995928264</c:v>
                </c:pt>
                <c:pt idx="27">
                  <c:v>5.264195592617944</c:v>
                </c:pt>
                <c:pt idx="28">
                  <c:v>5.4140134611458581</c:v>
                </c:pt>
                <c:pt idx="29">
                  <c:v>5.5687932076940472</c:v>
                </c:pt>
                <c:pt idx="30">
                  <c:v>5.7286137048077821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D-4C00-867E-B7228C670FBA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50D-4C00-867E-B7228C670FBA}"/>
            </c:ext>
          </c:extLst>
        </c:ser>
        <c:ser>
          <c:idx val="3"/>
          <c:order val="2"/>
          <c:tx>
            <c:strRef>
              <c:f>'B12 POL&amp;CNG Tankers 28T'!$B$177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28T'!$C$177:$AG$177</c:f>
              <c:numCache>
                <c:formatCode>_ [$₹-4009]\ * #,##0.00_ ;_ [$₹-4009]\ * \-#,##0.00_ ;_ [$₹-4009]\ * "-"??_ ;_ @_ </c:formatCode>
                <c:ptCount val="31"/>
                <c:pt idx="0">
                  <c:v>3.4764664265740626</c:v>
                </c:pt>
                <c:pt idx="1">
                  <c:v>3.5020701083693591</c:v>
                </c:pt>
                <c:pt idx="2">
                  <c:v>3.5245985363871819</c:v>
                </c:pt>
                <c:pt idx="3">
                  <c:v>3.5147932682118226</c:v>
                </c:pt>
                <c:pt idx="4">
                  <c:v>3.5021684689022092</c:v>
                </c:pt>
                <c:pt idx="5">
                  <c:v>3.5399821899405235</c:v>
                </c:pt>
                <c:pt idx="6">
                  <c:v>3.4450525306677768</c:v>
                </c:pt>
                <c:pt idx="7">
                  <c:v>3.4683375867147452</c:v>
                </c:pt>
                <c:pt idx="8">
                  <c:v>3.482450528751265</c:v>
                </c:pt>
                <c:pt idx="9">
                  <c:v>3.5040426541862755</c:v>
                </c:pt>
                <c:pt idx="10">
                  <c:v>3.5329239210436834</c:v>
                </c:pt>
                <c:pt idx="11">
                  <c:v>3.4802187482818177</c:v>
                </c:pt>
                <c:pt idx="12">
                  <c:v>3.5263312387080403</c:v>
                </c:pt>
                <c:pt idx="13">
                  <c:v>3.5740298457539792</c:v>
                </c:pt>
                <c:pt idx="14">
                  <c:v>3.6274158915901076</c:v>
                </c:pt>
                <c:pt idx="15">
                  <c:v>3.6868579771346806</c:v>
                </c:pt>
                <c:pt idx="16">
                  <c:v>3.740323235681386</c:v>
                </c:pt>
                <c:pt idx="17">
                  <c:v>3.8218106981433957</c:v>
                </c:pt>
                <c:pt idx="18">
                  <c:v>3.9053874328738707</c:v>
                </c:pt>
                <c:pt idx="19">
                  <c:v>3.9924995094972648</c:v>
                </c:pt>
                <c:pt idx="20">
                  <c:v>4.0830759623098567</c:v>
                </c:pt>
                <c:pt idx="21">
                  <c:v>4.0664560944449315</c:v>
                </c:pt>
                <c:pt idx="22">
                  <c:v>4.1630336380256097</c:v>
                </c:pt>
                <c:pt idx="23">
                  <c:v>4.2634177882425801</c:v>
                </c:pt>
                <c:pt idx="24">
                  <c:v>4.3685206375004615</c:v>
                </c:pt>
                <c:pt idx="25">
                  <c:v>4.4781580204080802</c:v>
                </c:pt>
                <c:pt idx="26">
                  <c:v>4.6121149371503671</c:v>
                </c:pt>
                <c:pt idx="27">
                  <c:v>4.7538038243463294</c:v>
                </c:pt>
                <c:pt idx="28">
                  <c:v>4.900584254919174</c:v>
                </c:pt>
                <c:pt idx="29">
                  <c:v>5.0535539161266732</c:v>
                </c:pt>
                <c:pt idx="30">
                  <c:v>5.2119040837393715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0D-4C00-867E-B7228C670FB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50D-4C00-867E-B7228C670FBA}"/>
            </c:ext>
          </c:extLst>
        </c:ser>
        <c:ser>
          <c:idx val="2"/>
          <c:order val="5"/>
          <c:tx>
            <c:strRef>
              <c:f>'B12 POL&amp;CNG Tankers 28T'!$B$175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28T'!$C$175:$AG$175</c:f>
              <c:numCache>
                <c:formatCode>_ [$₹-4009]\ * #,##0.00_ ;_ [$₹-4009]\ * \-#,##0.00_ ;_ [$₹-4009]\ * "-"??_ ;_ @_ </c:formatCode>
                <c:ptCount val="31"/>
                <c:pt idx="0">
                  <c:v>4.4441026493447398</c:v>
                </c:pt>
                <c:pt idx="1">
                  <c:v>4.4495155518190357</c:v>
                </c:pt>
                <c:pt idx="2">
                  <c:v>4.4596219139078457</c:v>
                </c:pt>
                <c:pt idx="3">
                  <c:v>4.4745254087897628</c:v>
                </c:pt>
                <c:pt idx="4">
                  <c:v>4.4938932288118396</c:v>
                </c:pt>
                <c:pt idx="5">
                  <c:v>4.5764744350644957</c:v>
                </c:pt>
                <c:pt idx="6">
                  <c:v>4.4634631908217255</c:v>
                </c:pt>
                <c:pt idx="7">
                  <c:v>4.4274838761643851</c:v>
                </c:pt>
                <c:pt idx="8">
                  <c:v>4.3965052240194167</c:v>
                </c:pt>
                <c:pt idx="9">
                  <c:v>4.3708679106049999</c:v>
                </c:pt>
                <c:pt idx="10">
                  <c:v>4.3500626090235102</c:v>
                </c:pt>
                <c:pt idx="11">
                  <c:v>4.2677963099264318</c:v>
                </c:pt>
                <c:pt idx="12">
                  <c:v>4.2557058479792094</c:v>
                </c:pt>
                <c:pt idx="13">
                  <c:v>4.2480223344323864</c:v>
                </c:pt>
                <c:pt idx="14">
                  <c:v>4.2454033486210916</c:v>
                </c:pt>
                <c:pt idx="15">
                  <c:v>4.2473419570623854</c:v>
                </c:pt>
                <c:pt idx="16">
                  <c:v>4.1800800359713151</c:v>
                </c:pt>
                <c:pt idx="17">
                  <c:v>4.2088956706138232</c:v>
                </c:pt>
                <c:pt idx="18">
                  <c:v>4.2423837435982872</c:v>
                </c:pt>
                <c:pt idx="19">
                  <c:v>4.2804962382176903</c:v>
                </c:pt>
                <c:pt idx="20">
                  <c:v>4.3231896403274623</c:v>
                </c:pt>
                <c:pt idx="21">
                  <c:v>4.3282060233706234</c:v>
                </c:pt>
                <c:pt idx="22">
                  <c:v>4.3789055021667922</c:v>
                </c:pt>
                <c:pt idx="23">
                  <c:v>4.4341814274240994</c:v>
                </c:pt>
                <c:pt idx="24">
                  <c:v>4.4945967114741769</c:v>
                </c:pt>
                <c:pt idx="25">
                  <c:v>4.5595391046729219</c:v>
                </c:pt>
                <c:pt idx="26">
                  <c:v>4.6206316502328955</c:v>
                </c:pt>
                <c:pt idx="27">
                  <c:v>4.7340813173739944</c:v>
                </c:pt>
                <c:pt idx="28">
                  <c:v>4.8531174315253685</c:v>
                </c:pt>
                <c:pt idx="29">
                  <c:v>4.9778859318408912</c:v>
                </c:pt>
                <c:pt idx="30">
                  <c:v>5.1084054608135236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0D-4C00-867E-B7228C670FBA}"/>
            </c:ext>
          </c:extLst>
        </c:ser>
        <c:ser>
          <c:idx val="6"/>
          <c:order val="6"/>
          <c:tx>
            <c:strRef>
              <c:f>'B12 POL&amp;CNG Tankers 28T'!$A$176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28T'!$C$176:$AG$176</c:f>
              <c:numCache>
                <c:formatCode>_ [$₹-4009]\ * #,##0.00_ ;_ [$₹-4009]\ * \-#,##0.00_ ;_ [$₹-4009]\ * "-"??_ ;_ @_ </c:formatCode>
                <c:ptCount val="31"/>
                <c:pt idx="0">
                  <c:v>2.3587860954928903</c:v>
                </c:pt>
                <c:pt idx="1">
                  <c:v>2.4331944304477737</c:v>
                </c:pt>
                <c:pt idx="2">
                  <c:v>2.5043401113438604</c:v>
                </c:pt>
                <c:pt idx="3">
                  <c:v>2.5779595628041929</c:v>
                </c:pt>
                <c:pt idx="4">
                  <c:v>2.6539728499354571</c:v>
                </c:pt>
                <c:pt idx="5">
                  <c:v>2.7807650810253142</c:v>
                </c:pt>
                <c:pt idx="6">
                  <c:v>2.8633863071002952</c:v>
                </c:pt>
                <c:pt idx="7">
                  <c:v>2.9485325069635961</c:v>
                </c:pt>
                <c:pt idx="8">
                  <c:v>3.0364920587856399</c:v>
                </c:pt>
                <c:pt idx="9">
                  <c:v>3.1279130506177917</c:v>
                </c:pt>
                <c:pt idx="10">
                  <c:v>3.2222454569721797</c:v>
                </c:pt>
                <c:pt idx="11">
                  <c:v>3.3823079589871008</c:v>
                </c:pt>
                <c:pt idx="12">
                  <c:v>3.4851007811894745</c:v>
                </c:pt>
                <c:pt idx="13">
                  <c:v>3.5908851053172786</c:v>
                </c:pt>
                <c:pt idx="14">
                  <c:v>3.7005696716145922</c:v>
                </c:pt>
                <c:pt idx="15">
                  <c:v>3.8136236894620397</c:v>
                </c:pt>
                <c:pt idx="16">
                  <c:v>3.9306974798821308</c:v>
                </c:pt>
                <c:pt idx="17">
                  <c:v>4.0519849937067987</c:v>
                </c:pt>
                <c:pt idx="18">
                  <c:v>4.1774199904972686</c:v>
                </c:pt>
                <c:pt idx="19">
                  <c:v>4.3073318768168258</c:v>
                </c:pt>
                <c:pt idx="20">
                  <c:v>4.4415277102851594</c:v>
                </c:pt>
                <c:pt idx="21">
                  <c:v>4.6632655692066569</c:v>
                </c:pt>
                <c:pt idx="22">
                  <c:v>4.8091189377641932</c:v>
                </c:pt>
                <c:pt idx="23">
                  <c:v>4.9596716494442976</c:v>
                </c:pt>
                <c:pt idx="24">
                  <c:v>5.1157236518692555</c:v>
                </c:pt>
                <c:pt idx="25">
                  <c:v>5.276919032185118</c:v>
                </c:pt>
                <c:pt idx="26">
                  <c:v>5.4440631966447226</c:v>
                </c:pt>
                <c:pt idx="27">
                  <c:v>5.616240084022972</c:v>
                </c:pt>
                <c:pt idx="28">
                  <c:v>5.7946852917430496</c:v>
                </c:pt>
                <c:pt idx="29">
                  <c:v>5.9792095262005285</c:v>
                </c:pt>
                <c:pt idx="30">
                  <c:v>6.1701924720796137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0D-4C00-867E-B7228C670FBA}"/>
            </c:ext>
          </c:extLst>
        </c:ser>
        <c:ser>
          <c:idx val="7"/>
          <c:order val="7"/>
          <c:tx>
            <c:strRef>
              <c:f>'B12 POL&amp;CNG Tankers 28T'!$A$178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28T'!$C$178:$AG$178</c:f>
              <c:numCache>
                <c:formatCode>_ [$₹-4009]\ * #,##0.00_ ;_ [$₹-4009]\ * \-#,##0.00_ ;_ [$₹-4009]\ * "-"??_ ;_ @_ </c:formatCode>
                <c:ptCount val="31"/>
                <c:pt idx="0">
                  <c:v>5.0754120565555647</c:v>
                </c:pt>
                <c:pt idx="1">
                  <c:v>5.0442482679699481</c:v>
                </c:pt>
                <c:pt idx="2">
                  <c:v>5.0182595660177549</c:v>
                </c:pt>
                <c:pt idx="3">
                  <c:v>4.997408954562558</c:v>
                </c:pt>
                <c:pt idx="4">
                  <c:v>4.9818240173052599</c:v>
                </c:pt>
                <c:pt idx="5">
                  <c:v>5.0037189607134698</c:v>
                </c:pt>
                <c:pt idx="6">
                  <c:v>4.9002612164328303</c:v>
                </c:pt>
                <c:pt idx="7">
                  <c:v>4.8570279994766272</c:v>
                </c:pt>
                <c:pt idx="8">
                  <c:v>4.8184767305646199</c:v>
                </c:pt>
                <c:pt idx="9">
                  <c:v>4.7852600733949906</c:v>
                </c:pt>
                <c:pt idx="10">
                  <c:v>4.7567550614277465</c:v>
                </c:pt>
                <c:pt idx="11">
                  <c:v>4.6246823830321571</c:v>
                </c:pt>
                <c:pt idx="12">
                  <c:v>4.6059424508414049</c:v>
                </c:pt>
                <c:pt idx="13">
                  <c:v>4.5923604643136615</c:v>
                </c:pt>
                <c:pt idx="14">
                  <c:v>4.5837342876281024</c:v>
                </c:pt>
                <c:pt idx="15">
                  <c:v>4.580168487995552</c:v>
                </c:pt>
                <c:pt idx="16">
                  <c:v>4.5135658067279927</c:v>
                </c:pt>
                <c:pt idx="17">
                  <c:v>4.5451539825165845</c:v>
                </c:pt>
                <c:pt idx="18">
                  <c:v>4.5817565315023145</c:v>
                </c:pt>
                <c:pt idx="19">
                  <c:v>4.6226147114341556</c:v>
                </c:pt>
                <c:pt idx="20">
                  <c:v>4.667693802819481</c:v>
                </c:pt>
                <c:pt idx="21">
                  <c:v>4.5780754920284359</c:v>
                </c:pt>
                <c:pt idx="22">
                  <c:v>4.630575643789566</c:v>
                </c:pt>
                <c:pt idx="23">
                  <c:v>4.6871393576342193</c:v>
                </c:pt>
                <c:pt idx="24">
                  <c:v>4.7486063960128684</c:v>
                </c:pt>
                <c:pt idx="25">
                  <c:v>4.8149572398203251</c:v>
                </c:pt>
                <c:pt idx="26">
                  <c:v>4.8703198808983421</c:v>
                </c:pt>
                <c:pt idx="27">
                  <c:v>4.9881183238321452</c:v>
                </c:pt>
                <c:pt idx="28">
                  <c:v>5.1109052956090997</c:v>
                </c:pt>
                <c:pt idx="29">
                  <c:v>5.2395514631926154</c:v>
                </c:pt>
                <c:pt idx="30">
                  <c:v>5.3733473830870162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0D-4C00-867E-B7228C670FBA}"/>
            </c:ext>
          </c:extLst>
        </c:ser>
        <c:ser>
          <c:idx val="8"/>
          <c:order val="8"/>
          <c:tx>
            <c:strRef>
              <c:f>'B12 POL&amp;CNG Tankers 28T'!$A$179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'B12 POL&amp;CNG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28T'!$C$179:$AG$179</c:f>
              <c:numCache>
                <c:formatCode>_ [$₹-4009]\ * #,##0.00_ ;_ [$₹-4009]\ * \-#,##0.00_ ;_ [$₹-4009]\ * "-"??_ ;_ @_ </c:formatCode>
                <c:ptCount val="31"/>
                <c:pt idx="0">
                  <c:v>5.3349501730839739</c:v>
                </c:pt>
                <c:pt idx="1">
                  <c:v>5.3021927816729573</c:v>
                </c:pt>
                <c:pt idx="2">
                  <c:v>5.2748751120072983</c:v>
                </c:pt>
                <c:pt idx="3">
                  <c:v>5.2529582761026887</c:v>
                </c:pt>
                <c:pt idx="4">
                  <c:v>5.2365763818265512</c:v>
                </c:pt>
                <c:pt idx="5">
                  <c:v>5.2595909530226814</c:v>
                </c:pt>
                <c:pt idx="6">
                  <c:v>5.1508427559095091</c:v>
                </c:pt>
                <c:pt idx="7">
                  <c:v>5.105398749449864</c:v>
                </c:pt>
                <c:pt idx="8">
                  <c:v>5.0648761088321281</c:v>
                </c:pt>
                <c:pt idx="9">
                  <c:v>5.0299608726026896</c:v>
                </c:pt>
                <c:pt idx="10">
                  <c:v>4.9999982179780282</c:v>
                </c:pt>
                <c:pt idx="11">
                  <c:v>4.8611718230735734</c:v>
                </c:pt>
                <c:pt idx="12">
                  <c:v>4.8414735988957949</c:v>
                </c:pt>
                <c:pt idx="13">
                  <c:v>4.8271970789660648</c:v>
                </c:pt>
                <c:pt idx="14">
                  <c:v>4.818129790972721</c:v>
                </c:pt>
                <c:pt idx="15">
                  <c:v>4.8143816493135061</c:v>
                </c:pt>
                <c:pt idx="16">
                  <c:v>4.7443731491174921</c:v>
                </c:pt>
                <c:pt idx="17">
                  <c:v>4.7775766293498183</c:v>
                </c:pt>
                <c:pt idx="18">
                  <c:v>4.8160508995905014</c:v>
                </c:pt>
                <c:pt idx="19">
                  <c:v>4.8589984182688557</c:v>
                </c:pt>
                <c:pt idx="20">
                  <c:v>4.9063826904636585</c:v>
                </c:pt>
                <c:pt idx="21">
                  <c:v>4.812181625143527</c:v>
                </c:pt>
                <c:pt idx="22">
                  <c:v>4.8673664437560786</c:v>
                </c:pt>
                <c:pt idx="23">
                  <c:v>4.9268226202405145</c:v>
                </c:pt>
                <c:pt idx="24">
                  <c:v>4.9914328594453448</c:v>
                </c:pt>
                <c:pt idx="25">
                  <c:v>5.0611766441293193</c:v>
                </c:pt>
                <c:pt idx="26">
                  <c:v>5.1193703293533712</c:v>
                </c:pt>
                <c:pt idx="27">
                  <c:v>5.2431925563008335</c:v>
                </c:pt>
                <c:pt idx="28">
                  <c:v>5.3722584073163837</c:v>
                </c:pt>
                <c:pt idx="29">
                  <c:v>5.5074830721058747</c:v>
                </c:pt>
                <c:pt idx="30">
                  <c:v>5.6481208288130569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0D-4C00-867E-B7228C670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'B12 POL&amp;CNG Tankers 28T'!$A$174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'B12 POL&amp;CNG Tankers 28T'!$C$173:$AG$173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'B12 POL&amp;CNG Tankers 28T'!$C$174:$AG$174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2.3628009550570548</c:v>
                      </c:pt>
                      <c:pt idx="1">
                        <c:v>2.517710266532283</c:v>
                      </c:pt>
                      <c:pt idx="2">
                        <c:v>2.5809862992427197</c:v>
                      </c:pt>
                      <c:pt idx="3">
                        <c:v>2.646205185914801</c:v>
                      </c:pt>
                      <c:pt idx="4">
                        <c:v>2.7133895163584048</c:v>
                      </c:pt>
                      <c:pt idx="5">
                        <c:v>2.8288693446805184</c:v>
                      </c:pt>
                      <c:pt idx="6">
                        <c:v>2.9014899578905675</c:v>
                      </c:pt>
                      <c:pt idx="7">
                        <c:v>2.9762290922440453</c:v>
                      </c:pt>
                      <c:pt idx="8">
                        <c:v>3.0531354372436423</c:v>
                      </c:pt>
                      <c:pt idx="9">
                        <c:v>3.1329560657026434</c:v>
                      </c:pt>
                      <c:pt idx="10">
                        <c:v>3.2150205831061043</c:v>
                      </c:pt>
                      <c:pt idx="11">
                        <c:v>3.3556056595224697</c:v>
                      </c:pt>
                      <c:pt idx="12">
                        <c:v>3.4446964737824155</c:v>
                      </c:pt>
                      <c:pt idx="13">
                        <c:v>3.5362147527964543</c:v>
                      </c:pt>
                      <c:pt idx="14">
                        <c:v>3.6309372321562399</c:v>
                      </c:pt>
                      <c:pt idx="15">
                        <c:v>3.7281875936011901</c:v>
                      </c:pt>
                      <c:pt idx="16">
                        <c:v>3.8287445836261464</c:v>
                      </c:pt>
                      <c:pt idx="17">
                        <c:v>3.932654686312048</c:v>
                      </c:pt>
                      <c:pt idx="18">
                        <c:v>4.0399780824058498</c:v>
                      </c:pt>
                      <c:pt idx="19">
                        <c:v>4.1507760875553021</c:v>
                      </c:pt>
                      <c:pt idx="20">
                        <c:v>4.2650985919912614</c:v>
                      </c:pt>
                      <c:pt idx="21">
                        <c:v>4.4585832936989851</c:v>
                      </c:pt>
                      <c:pt idx="22">
                        <c:v>4.5824269612686157</c:v>
                      </c:pt>
                      <c:pt idx="23">
                        <c:v>4.7100580293229264</c:v>
                      </c:pt>
                      <c:pt idx="24">
                        <c:v>4.8422669017133071</c:v>
                      </c:pt>
                      <c:pt idx="25">
                        <c:v>4.978403940626384</c:v>
                      </c:pt>
                      <c:pt idx="26">
                        <c:v>5.1192623995928264</c:v>
                      </c:pt>
                      <c:pt idx="27">
                        <c:v>5.264195592617944</c:v>
                      </c:pt>
                      <c:pt idx="28">
                        <c:v>5.4140134611458581</c:v>
                      </c:pt>
                      <c:pt idx="29">
                        <c:v>5.5687932076940472</c:v>
                      </c:pt>
                      <c:pt idx="30">
                        <c:v>5.7286137048077821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50D-4C00-867E-B7228C670FB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'B12 POL&amp;CNG Tankers 28T'!$A$62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28T'!$E$63:$AG$63</c:f>
              <c:numCache>
                <c:formatCode>_ [$₹-4009]\ * #,##0_ ;_ [$₹-4009]\ * \-#,##0_ ;_ [$₹-4009]\ * "-"??_ ;_ @_ </c:formatCode>
                <c:ptCount val="29"/>
                <c:pt idx="0">
                  <c:v>3819200</c:v>
                </c:pt>
                <c:pt idx="1">
                  <c:v>3933800</c:v>
                </c:pt>
                <c:pt idx="2">
                  <c:v>4051800</c:v>
                </c:pt>
                <c:pt idx="3">
                  <c:v>4573400</c:v>
                </c:pt>
                <c:pt idx="4">
                  <c:v>4710600</c:v>
                </c:pt>
                <c:pt idx="5">
                  <c:v>4851900</c:v>
                </c:pt>
                <c:pt idx="6">
                  <c:v>4997500</c:v>
                </c:pt>
                <c:pt idx="7">
                  <c:v>5147400</c:v>
                </c:pt>
                <c:pt idx="8">
                  <c:v>5301800</c:v>
                </c:pt>
                <c:pt idx="9">
                  <c:v>5460900</c:v>
                </c:pt>
                <c:pt idx="10">
                  <c:v>5624700</c:v>
                </c:pt>
                <c:pt idx="11">
                  <c:v>5793400</c:v>
                </c:pt>
                <c:pt idx="12">
                  <c:v>5967200</c:v>
                </c:pt>
                <c:pt idx="13">
                  <c:v>6146200</c:v>
                </c:pt>
                <c:pt idx="14">
                  <c:v>6330600</c:v>
                </c:pt>
                <c:pt idx="15">
                  <c:v>6520500</c:v>
                </c:pt>
                <c:pt idx="16">
                  <c:v>6716100</c:v>
                </c:pt>
                <c:pt idx="17">
                  <c:v>6917600</c:v>
                </c:pt>
                <c:pt idx="18">
                  <c:v>7125100</c:v>
                </c:pt>
                <c:pt idx="19">
                  <c:v>7338900</c:v>
                </c:pt>
                <c:pt idx="20">
                  <c:v>7559100</c:v>
                </c:pt>
                <c:pt idx="21">
                  <c:v>7785900</c:v>
                </c:pt>
                <c:pt idx="22">
                  <c:v>8019500</c:v>
                </c:pt>
                <c:pt idx="23">
                  <c:v>8260100</c:v>
                </c:pt>
                <c:pt idx="24">
                  <c:v>8507900</c:v>
                </c:pt>
                <c:pt idx="25">
                  <c:v>8763100</c:v>
                </c:pt>
                <c:pt idx="26">
                  <c:v>9026000</c:v>
                </c:pt>
                <c:pt idx="27">
                  <c:v>9296800</c:v>
                </c:pt>
                <c:pt idx="28">
                  <c:v>9575700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3-48A7-9F49-CD217FB3745A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373-48A7-9F49-CD217FB3745A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373-48A7-9F49-CD217FB3745A}"/>
            </c:ext>
          </c:extLst>
        </c:ser>
        <c:ser>
          <c:idx val="3"/>
          <c:order val="3"/>
          <c:tx>
            <c:strRef>
              <c:f>'B12 POL&amp;CNG Tankers 28T'!$A$130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28T'!$C$132:$AG$132</c:f>
              <c:numCache>
                <c:formatCode>_ [$₹-4009]\ * #,##0_ ;_ [$₹-4009]\ * \-#,##0_ ;_ [$₹-4009]\ * "-"??_ ;_ @_ </c:formatCode>
                <c:ptCount val="31"/>
                <c:pt idx="0">
                  <c:v>8763000</c:v>
                </c:pt>
                <c:pt idx="1">
                  <c:v>8718000</c:v>
                </c:pt>
                <c:pt idx="2">
                  <c:v>8680000</c:v>
                </c:pt>
                <c:pt idx="3">
                  <c:v>8470000</c:v>
                </c:pt>
                <c:pt idx="4">
                  <c:v>8275000</c:v>
                </c:pt>
                <c:pt idx="5">
                  <c:v>8295000</c:v>
                </c:pt>
                <c:pt idx="6">
                  <c:v>8150000</c:v>
                </c:pt>
                <c:pt idx="7">
                  <c:v>8190000</c:v>
                </c:pt>
                <c:pt idx="8">
                  <c:v>8235000</c:v>
                </c:pt>
                <c:pt idx="9">
                  <c:v>8286000</c:v>
                </c:pt>
                <c:pt idx="10">
                  <c:v>8343000</c:v>
                </c:pt>
                <c:pt idx="11">
                  <c:v>8407000</c:v>
                </c:pt>
                <c:pt idx="12">
                  <c:v>8476000</c:v>
                </c:pt>
                <c:pt idx="13">
                  <c:v>8552000</c:v>
                </c:pt>
                <c:pt idx="14">
                  <c:v>8635000</c:v>
                </c:pt>
                <c:pt idx="15">
                  <c:v>8724000</c:v>
                </c:pt>
                <c:pt idx="16">
                  <c:v>8740000</c:v>
                </c:pt>
                <c:pt idx="17">
                  <c:v>8903000</c:v>
                </c:pt>
                <c:pt idx="18">
                  <c:v>9072000</c:v>
                </c:pt>
                <c:pt idx="19">
                  <c:v>9247000</c:v>
                </c:pt>
                <c:pt idx="20">
                  <c:v>9427000</c:v>
                </c:pt>
                <c:pt idx="21">
                  <c:v>9614000</c:v>
                </c:pt>
                <c:pt idx="22">
                  <c:v>9807000</c:v>
                </c:pt>
                <c:pt idx="23">
                  <c:v>10007000</c:v>
                </c:pt>
                <c:pt idx="24">
                  <c:v>10214000</c:v>
                </c:pt>
                <c:pt idx="25">
                  <c:v>10427000</c:v>
                </c:pt>
                <c:pt idx="26">
                  <c:v>10688000</c:v>
                </c:pt>
                <c:pt idx="27">
                  <c:v>10956000</c:v>
                </c:pt>
                <c:pt idx="28">
                  <c:v>11232000</c:v>
                </c:pt>
                <c:pt idx="29">
                  <c:v>11516000</c:v>
                </c:pt>
                <c:pt idx="30">
                  <c:v>11807000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73-48A7-9F49-CD217FB3745A}"/>
            </c:ext>
          </c:extLst>
        </c:ser>
        <c:ser>
          <c:idx val="4"/>
          <c:order val="4"/>
          <c:tx>
            <c:strRef>
              <c:f>'B12 POL&amp;CNG Tankers 28T'!$A$96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28T'!$C$98:$AG$98</c:f>
              <c:numCache>
                <c:formatCode>_ [$₹-4009]\ * #,##0_ ;_ [$₹-4009]\ * \-#,##0_ ;_ [$₹-4009]\ * "-"??_ ;_ @_ </c:formatCode>
                <c:ptCount val="31"/>
                <c:pt idx="0">
                  <c:v>4180000</c:v>
                </c:pt>
                <c:pt idx="1">
                  <c:v>4294000</c:v>
                </c:pt>
                <c:pt idx="2">
                  <c:v>4411000</c:v>
                </c:pt>
                <c:pt idx="3">
                  <c:v>4532000</c:v>
                </c:pt>
                <c:pt idx="4">
                  <c:v>4656000</c:v>
                </c:pt>
                <c:pt idx="5">
                  <c:v>5183000</c:v>
                </c:pt>
                <c:pt idx="6">
                  <c:v>5327000</c:v>
                </c:pt>
                <c:pt idx="7">
                  <c:v>5474000</c:v>
                </c:pt>
                <c:pt idx="8">
                  <c:v>5626000</c:v>
                </c:pt>
                <c:pt idx="9">
                  <c:v>5782000</c:v>
                </c:pt>
                <c:pt idx="10">
                  <c:v>5943000</c:v>
                </c:pt>
                <c:pt idx="11">
                  <c:v>6108000</c:v>
                </c:pt>
                <c:pt idx="12">
                  <c:v>6279000</c:v>
                </c:pt>
                <c:pt idx="13">
                  <c:v>6454000</c:v>
                </c:pt>
                <c:pt idx="14">
                  <c:v>6634000</c:v>
                </c:pt>
                <c:pt idx="15">
                  <c:v>6820000</c:v>
                </c:pt>
                <c:pt idx="16">
                  <c:v>7011000</c:v>
                </c:pt>
                <c:pt idx="17">
                  <c:v>7208000</c:v>
                </c:pt>
                <c:pt idx="18">
                  <c:v>7410000</c:v>
                </c:pt>
                <c:pt idx="19">
                  <c:v>7619000</c:v>
                </c:pt>
                <c:pt idx="20">
                  <c:v>7833000</c:v>
                </c:pt>
                <c:pt idx="21">
                  <c:v>8054000</c:v>
                </c:pt>
                <c:pt idx="22">
                  <c:v>8282000</c:v>
                </c:pt>
                <c:pt idx="23">
                  <c:v>8516000</c:v>
                </c:pt>
                <c:pt idx="24">
                  <c:v>8756000</c:v>
                </c:pt>
                <c:pt idx="25">
                  <c:v>9004000</c:v>
                </c:pt>
                <c:pt idx="26">
                  <c:v>9260000</c:v>
                </c:pt>
                <c:pt idx="27">
                  <c:v>9522000</c:v>
                </c:pt>
                <c:pt idx="28">
                  <c:v>9793000</c:v>
                </c:pt>
                <c:pt idx="29">
                  <c:v>10071000</c:v>
                </c:pt>
                <c:pt idx="30">
                  <c:v>10358000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73-48A7-9F49-CD217FB3745A}"/>
            </c:ext>
          </c:extLst>
        </c:ser>
        <c:ser>
          <c:idx val="5"/>
          <c:order val="5"/>
          <c:tx>
            <c:strRef>
              <c:f>'B12 POL&amp;CNG Tankers 28T'!$A$113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28T'!$C$115:$AG$115</c:f>
              <c:numCache>
                <c:formatCode>_ [$₹-4009]\ * #,##0_ ;_ [$₹-4009]\ * \-#,##0_ ;_ [$₹-4009]\ * "-"??_ ;_ @_ </c:formatCode>
                <c:ptCount val="31"/>
                <c:pt idx="0">
                  <c:v>5179000</c:v>
                </c:pt>
                <c:pt idx="1">
                  <c:v>5208000</c:v>
                </c:pt>
                <c:pt idx="2">
                  <c:v>5244000</c:v>
                </c:pt>
                <c:pt idx="3">
                  <c:v>5288000</c:v>
                </c:pt>
                <c:pt idx="4">
                  <c:v>5338000</c:v>
                </c:pt>
                <c:pt idx="5">
                  <c:v>5795000</c:v>
                </c:pt>
                <c:pt idx="6">
                  <c:v>5884000</c:v>
                </c:pt>
                <c:pt idx="7">
                  <c:v>5978000</c:v>
                </c:pt>
                <c:pt idx="8">
                  <c:v>6079000</c:v>
                </c:pt>
                <c:pt idx="9">
                  <c:v>6185000</c:v>
                </c:pt>
                <c:pt idx="10">
                  <c:v>6298000</c:v>
                </c:pt>
                <c:pt idx="11">
                  <c:v>6417000</c:v>
                </c:pt>
                <c:pt idx="12">
                  <c:v>6543000</c:v>
                </c:pt>
                <c:pt idx="13">
                  <c:v>6675000</c:v>
                </c:pt>
                <c:pt idx="14">
                  <c:v>6813000</c:v>
                </c:pt>
                <c:pt idx="15">
                  <c:v>6959000</c:v>
                </c:pt>
                <c:pt idx="16">
                  <c:v>7151000</c:v>
                </c:pt>
                <c:pt idx="17">
                  <c:v>7349000</c:v>
                </c:pt>
                <c:pt idx="18">
                  <c:v>7553000</c:v>
                </c:pt>
                <c:pt idx="19">
                  <c:v>7763000</c:v>
                </c:pt>
                <c:pt idx="20">
                  <c:v>7979000</c:v>
                </c:pt>
                <c:pt idx="21">
                  <c:v>8201000</c:v>
                </c:pt>
                <c:pt idx="22">
                  <c:v>8430000</c:v>
                </c:pt>
                <c:pt idx="23">
                  <c:v>8666000</c:v>
                </c:pt>
                <c:pt idx="24">
                  <c:v>8908000</c:v>
                </c:pt>
                <c:pt idx="25">
                  <c:v>9157000</c:v>
                </c:pt>
                <c:pt idx="26">
                  <c:v>9414000</c:v>
                </c:pt>
                <c:pt idx="27">
                  <c:v>9679000</c:v>
                </c:pt>
                <c:pt idx="28">
                  <c:v>9951000</c:v>
                </c:pt>
                <c:pt idx="29">
                  <c:v>10231000</c:v>
                </c:pt>
                <c:pt idx="30">
                  <c:v>10519000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73-48A7-9F49-CD217FB3745A}"/>
            </c:ext>
          </c:extLst>
        </c:ser>
        <c:ser>
          <c:idx val="6"/>
          <c:order val="6"/>
          <c:tx>
            <c:strRef>
              <c:f>'B12 POL&amp;CNG Tankers 28T'!$A$147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28T'!$C$149:$AG$149</c:f>
              <c:numCache>
                <c:formatCode>_ [$₹-4009]\ * #,##0_ ;_ [$₹-4009]\ * \-#,##0_ ;_ [$₹-4009]\ * "-"??_ ;_ @_ </c:formatCode>
                <c:ptCount val="31"/>
                <c:pt idx="0">
                  <c:v>11491000</c:v>
                </c:pt>
                <c:pt idx="1">
                  <c:v>11294000</c:v>
                </c:pt>
                <c:pt idx="2">
                  <c:v>11110000</c:v>
                </c:pt>
                <c:pt idx="3">
                  <c:v>10939000</c:v>
                </c:pt>
                <c:pt idx="4">
                  <c:v>10782000</c:v>
                </c:pt>
                <c:pt idx="5">
                  <c:v>10838000</c:v>
                </c:pt>
                <c:pt idx="6">
                  <c:v>10763000</c:v>
                </c:pt>
                <c:pt idx="7">
                  <c:v>10705000</c:v>
                </c:pt>
                <c:pt idx="8">
                  <c:v>10656000</c:v>
                </c:pt>
                <c:pt idx="9">
                  <c:v>10616000</c:v>
                </c:pt>
                <c:pt idx="10">
                  <c:v>10586000</c:v>
                </c:pt>
                <c:pt idx="11">
                  <c:v>10565000</c:v>
                </c:pt>
                <c:pt idx="12">
                  <c:v>10553000</c:v>
                </c:pt>
                <c:pt idx="13">
                  <c:v>10551000</c:v>
                </c:pt>
                <c:pt idx="14">
                  <c:v>10558000</c:v>
                </c:pt>
                <c:pt idx="15">
                  <c:v>10575000</c:v>
                </c:pt>
                <c:pt idx="16">
                  <c:v>10540000</c:v>
                </c:pt>
                <c:pt idx="17">
                  <c:v>10679000</c:v>
                </c:pt>
                <c:pt idx="18">
                  <c:v>10825000</c:v>
                </c:pt>
                <c:pt idx="19">
                  <c:v>10978000</c:v>
                </c:pt>
                <c:pt idx="20">
                  <c:v>11138000</c:v>
                </c:pt>
                <c:pt idx="21">
                  <c:v>11146000</c:v>
                </c:pt>
                <c:pt idx="22">
                  <c:v>11321000</c:v>
                </c:pt>
                <c:pt idx="23">
                  <c:v>11503000</c:v>
                </c:pt>
                <c:pt idx="24">
                  <c:v>11693000</c:v>
                </c:pt>
                <c:pt idx="25">
                  <c:v>11891000</c:v>
                </c:pt>
                <c:pt idx="26">
                  <c:v>12011000</c:v>
                </c:pt>
                <c:pt idx="27">
                  <c:v>12293000</c:v>
                </c:pt>
                <c:pt idx="28">
                  <c:v>12582000</c:v>
                </c:pt>
                <c:pt idx="29">
                  <c:v>12879000</c:v>
                </c:pt>
                <c:pt idx="30">
                  <c:v>13184000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73-48A7-9F49-CD217FB3745A}"/>
            </c:ext>
          </c:extLst>
        </c:ser>
        <c:ser>
          <c:idx val="7"/>
          <c:order val="7"/>
          <c:tx>
            <c:strRef>
              <c:f>'B12 POL&amp;CNG Tankers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'B12 POL&amp;CNG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'B12 POL&amp;CNG Tankers 28T'!$C$81:$AG$81</c:f>
              <c:numCache>
                <c:formatCode>_ [$₹-4009]\ * #,##0_ ;_ [$₹-4009]\ * \-#,##0_ ;_ [$₹-4009]\ * "-"??_ ;_ @_ </c:formatCode>
                <c:ptCount val="31"/>
                <c:pt idx="0">
                  <c:v>3850000</c:v>
                </c:pt>
                <c:pt idx="1">
                  <c:v>3966000</c:v>
                </c:pt>
                <c:pt idx="2">
                  <c:v>4084000</c:v>
                </c:pt>
                <c:pt idx="3">
                  <c:v>4207000</c:v>
                </c:pt>
                <c:pt idx="4">
                  <c:v>4333000</c:v>
                </c:pt>
                <c:pt idx="5">
                  <c:v>4863000</c:v>
                </c:pt>
                <c:pt idx="6">
                  <c:v>5009000</c:v>
                </c:pt>
                <c:pt idx="7">
                  <c:v>5159000</c:v>
                </c:pt>
                <c:pt idx="8">
                  <c:v>5314000</c:v>
                </c:pt>
                <c:pt idx="9">
                  <c:v>5474000</c:v>
                </c:pt>
                <c:pt idx="10">
                  <c:v>5638000</c:v>
                </c:pt>
                <c:pt idx="11">
                  <c:v>5807000</c:v>
                </c:pt>
                <c:pt idx="12">
                  <c:v>5981000</c:v>
                </c:pt>
                <c:pt idx="13">
                  <c:v>6161000</c:v>
                </c:pt>
                <c:pt idx="14">
                  <c:v>6345000</c:v>
                </c:pt>
                <c:pt idx="15">
                  <c:v>6536000</c:v>
                </c:pt>
                <c:pt idx="16">
                  <c:v>6732000</c:v>
                </c:pt>
                <c:pt idx="17">
                  <c:v>6934000</c:v>
                </c:pt>
                <c:pt idx="18">
                  <c:v>7142000</c:v>
                </c:pt>
                <c:pt idx="19">
                  <c:v>7356000</c:v>
                </c:pt>
                <c:pt idx="20">
                  <c:v>7577000</c:v>
                </c:pt>
                <c:pt idx="21">
                  <c:v>7804000</c:v>
                </c:pt>
                <c:pt idx="22">
                  <c:v>8038000</c:v>
                </c:pt>
                <c:pt idx="23">
                  <c:v>8279000</c:v>
                </c:pt>
                <c:pt idx="24">
                  <c:v>8528000</c:v>
                </c:pt>
                <c:pt idx="25">
                  <c:v>8783000</c:v>
                </c:pt>
                <c:pt idx="26">
                  <c:v>9047000</c:v>
                </c:pt>
                <c:pt idx="27">
                  <c:v>9318000</c:v>
                </c:pt>
                <c:pt idx="28">
                  <c:v>9598000</c:v>
                </c:pt>
                <c:pt idx="29">
                  <c:v>9886000</c:v>
                </c:pt>
                <c:pt idx="30">
                  <c:v>10182000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73-48A7-9F49-CD217FB37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19T B2'!$A$205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19T B2'!$C$204:$AB$204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19T B2'!$C$205:$AB$205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D-4966-A954-43ACEBF48C89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19T B2'!$C$204:$AB$204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D-4966-A954-43ACEBF48C89}"/>
            </c:ext>
          </c:extLst>
        </c:ser>
        <c:ser>
          <c:idx val="4"/>
          <c:order val="2"/>
          <c:tx>
            <c:strRef>
              <c:f>'TCO 19T B2'!$A$209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19T B2'!$C$204:$AB$204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19T B2'!$C$209:$AB$209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D-4966-A954-43ACEBF48C89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0AD-4966-A954-43ACEBF48C89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C0AD-4966-A954-43ACEBF48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19T B2'!$A$221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19T B2'!$C$204:$AB$204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19T B2'!$C$221:$AB$221</c:f>
              <c:numCache>
                <c:formatCode>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2-4F5C-A9B2-AD54AE0410C2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19T B2'!$C$204:$AB$204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2-4F5C-A9B2-AD54AE0410C2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5032-4F5C-A9B2-AD54AE0410C2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032-4F5C-A9B2-AD54AE04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19T B2'!$A$205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B2'!$C$205:$AG$205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1-4BC4-9C13-388A01AAC014}"/>
            </c:ext>
          </c:extLst>
        </c:ser>
        <c:ser>
          <c:idx val="4"/>
          <c:order val="1"/>
          <c:tx>
            <c:strRef>
              <c:f>'TCO 19T B2'!$A$209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31-4BC4-9C13-388A01AAC014}"/>
              </c:ext>
            </c:extLst>
          </c:dPt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B2'!$C$209:$AG$209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1-4BC4-9C13-388A01AAC014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931-4BC4-9C13-388A01AAC014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B931-4BC4-9C13-388A01AAC014}"/>
            </c:ext>
          </c:extLst>
        </c:ser>
        <c:ser>
          <c:idx val="2"/>
          <c:order val="5"/>
          <c:tx>
            <c:strRef>
              <c:f>'TCO 19T B2'!$A$208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B2'!$C$208:$AG$208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31-4BC4-9C13-388A01AAC014}"/>
            </c:ext>
          </c:extLst>
        </c:ser>
        <c:ser>
          <c:idx val="6"/>
          <c:order val="6"/>
          <c:tx>
            <c:strRef>
              <c:f>'TCO 19T B2'!$A$210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B2'!$C$210:$AG$210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31-4BC4-9C13-388A01AAC014}"/>
            </c:ext>
          </c:extLst>
        </c:ser>
        <c:ser>
          <c:idx val="7"/>
          <c:order val="7"/>
          <c:tx>
            <c:strRef>
              <c:f>'TCO 19T B2'!$A$121</c:f>
              <c:strCache>
                <c:ptCount val="1"/>
                <c:pt idx="0">
                  <c:v>LNG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  <c:extLst xmlns:c15="http://schemas.microsoft.com/office/drawing/2012/chart"/>
            </c:numRef>
          </c:cat>
          <c:val>
            <c:numRef>
              <c:f>'TCO 19T B2'!$C$207:$AG$207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B931-4BC4-9C13-388A01AAC014}"/>
            </c:ext>
          </c:extLst>
        </c:ser>
        <c:ser>
          <c:idx val="8"/>
          <c:order val="8"/>
          <c:tx>
            <c:strRef>
              <c:f>'TCO 19T B2'!$A$104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'TCO 19T B2'!$C$204:$AG$204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B2'!$C$206:$AG$206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31-4BC4-9C13-388A01AAC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'TCO 19T B2'!$A$211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'TCO 19T B2'!$C$204:$AG$204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'TCO 19T B2'!$C$211:$AB$211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B931-4BC4-9C13-388A01AAC014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19T B2'!$B$214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'TCO 19T B2'!$C$213:$AB$213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19T B2'!$C$214:$AB$214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0-4C8A-857F-37E74C4E9D1A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E0B0-4C8A-857F-37E74C4E9D1A}"/>
            </c:ext>
          </c:extLst>
        </c:ser>
        <c:ser>
          <c:idx val="3"/>
          <c:order val="2"/>
          <c:tx>
            <c:strRef>
              <c:f>'TCO 19T B2'!$B$216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'TCO 19T B2'!$C$213:$AB$213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19T B2'!$C$216:$AB$216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0-4C8A-857F-37E74C4E9D1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0B0-4C8A-857F-37E74C4E9D1A}"/>
            </c:ext>
          </c:extLst>
        </c:ser>
        <c:ser>
          <c:idx val="0"/>
          <c:order val="4"/>
          <c:tx>
            <c:strRef>
              <c:f>'TCO 19T B2'!$A$218</c:f>
              <c:strCache>
                <c:ptCount val="1"/>
                <c:pt idx="0">
                  <c:v>Diesel - 10%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</c:v>
              </c:pt>
              <c:pt idx="1">
                <c:v>2025</c:v>
              </c:pt>
              <c:pt idx="2">
                <c:v>2026</c:v>
              </c:pt>
              <c:pt idx="3">
                <c:v>2027</c:v>
              </c:pt>
              <c:pt idx="4">
                <c:v>2028</c:v>
              </c:pt>
              <c:pt idx="5">
                <c:v>2029</c:v>
              </c:pt>
              <c:pt idx="6">
                <c:v>2030</c:v>
              </c:pt>
              <c:pt idx="7">
                <c:v>2031</c:v>
              </c:pt>
              <c:pt idx="8">
                <c:v>2032</c:v>
              </c:pt>
              <c:pt idx="9">
                <c:v>2033</c:v>
              </c:pt>
              <c:pt idx="10">
                <c:v>2034</c:v>
              </c:pt>
              <c:pt idx="11">
                <c:v>2035</c:v>
              </c:pt>
              <c:pt idx="12">
                <c:v>2036</c:v>
              </c:pt>
              <c:pt idx="13">
                <c:v>2037</c:v>
              </c:pt>
              <c:pt idx="14">
                <c:v>2038</c:v>
              </c:pt>
              <c:pt idx="15">
                <c:v>2039</c:v>
              </c:pt>
              <c:pt idx="16">
                <c:v>2040</c:v>
              </c:pt>
              <c:pt idx="17">
                <c:v>2041</c:v>
              </c:pt>
              <c:pt idx="18">
                <c:v>2042</c:v>
              </c:pt>
              <c:pt idx="19">
                <c:v>2043</c:v>
              </c:pt>
              <c:pt idx="20">
                <c:v>2044</c:v>
              </c:pt>
              <c:pt idx="21">
                <c:v>2045</c:v>
              </c:pt>
              <c:pt idx="22">
                <c:v>2046</c:v>
              </c:pt>
              <c:pt idx="23">
                <c:v>2047</c:v>
              </c:pt>
              <c:pt idx="24">
                <c:v>2048</c:v>
              </c:pt>
              <c:pt idx="25">
                <c:v>2049</c:v>
              </c:pt>
              <c:pt idx="26">
                <c:v>2050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'TCO 19T B2'!$C$218:$AB$218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B0-4C8A-857F-37E74C4E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19T B2'!$A$205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19T B2'!$C$204:$I$204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19T B2'!$C$205:$I$205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E-415C-8E7B-672F5ADE3189}"/>
            </c:ext>
          </c:extLst>
        </c:ser>
        <c:ser>
          <c:idx val="4"/>
          <c:order val="1"/>
          <c:tx>
            <c:strRef>
              <c:f>'TCO 19T B2'!$A$209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19T B2'!$C$204:$I$204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19T B2'!$C$209:$I$209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E-415C-8E7B-672F5ADE3189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C21E-415C-8E7B-672F5ADE3189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C21E-415C-8E7B-672F5ADE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19T B2'!$A$85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B2'!$E$86:$AG$86</c:f>
              <c:numCache>
                <c:formatCode>_ [$₹-4009]\ * #,##0_ ;_ [$₹-4009]\ * \-#,##0_ ;_ [$₹-4009]\ * "-"??_ ;_ @_ 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5-495C-A8CC-49EFB739CB50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4AE5-495C-A8CC-49EFB739CB50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4AE5-495C-A8CC-49EFB739CB50}"/>
            </c:ext>
          </c:extLst>
        </c:ser>
        <c:ser>
          <c:idx val="3"/>
          <c:order val="3"/>
          <c:tx>
            <c:strRef>
              <c:f>'TCO 19T B2'!$A$155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B2'!$C$162:$AG$162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E5-495C-A8CC-49EFB739CB50}"/>
            </c:ext>
          </c:extLst>
        </c:ser>
        <c:ser>
          <c:idx val="4"/>
          <c:order val="4"/>
          <c:tx>
            <c:strRef>
              <c:f>'TCO 19T B2'!$A$121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B2'!$C$124:$AG$124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E5-495C-A8CC-49EFB739CB50}"/>
            </c:ext>
          </c:extLst>
        </c:ser>
        <c:ser>
          <c:idx val="5"/>
          <c:order val="5"/>
          <c:tx>
            <c:strRef>
              <c:f>'TCO 19T B2'!$A$138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B2'!$C$141:$AG$141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E5-495C-A8CC-49EFB739CB50}"/>
            </c:ext>
          </c:extLst>
        </c:ser>
        <c:ser>
          <c:idx val="6"/>
          <c:order val="6"/>
          <c:tx>
            <c:strRef>
              <c:f>'TCO 19T B2'!$A$182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B2'!$C$189:$AG$189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E5-495C-A8CC-49EFB739CB50}"/>
            </c:ext>
          </c:extLst>
        </c:ser>
        <c:ser>
          <c:idx val="7"/>
          <c:order val="7"/>
          <c:tx>
            <c:strRef>
              <c:f>'TCO 19T B2'!$A$104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19T B2'!$C$105:$AG$105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19T B2'!$C$107:$AG$107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F-4A49-8BAD-C18BAC6E0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 H2  INR/kg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0-AA7B-4212-B322-AB426B513959}"/>
            </c:ext>
          </c:extLst>
        </c:ser>
        <c:ser>
          <c:idx val="1"/>
          <c:order val="1"/>
          <c:tx>
            <c:v>Yellow H2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AA7B-4212-B322-AB426B513959}"/>
            </c:ext>
          </c:extLst>
        </c:ser>
        <c:ser>
          <c:idx val="2"/>
          <c:order val="2"/>
          <c:tx>
            <c:v>Grey H2 INR/kg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A7B-4212-B322-AB426B513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30256"/>
        <c:axId val="1375940128"/>
      </c:lineChart>
      <c:catAx>
        <c:axId val="137653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40128"/>
        <c:crosses val="autoZero"/>
        <c:auto val="1"/>
        <c:lblAlgn val="ctr"/>
        <c:lblOffset val="100"/>
        <c:noMultiLvlLbl val="0"/>
      </c:catAx>
      <c:valAx>
        <c:axId val="13759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28T B3'!$A$205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B3'!$C$204:$AB$204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B3'!$C$205:$AB$205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B2-4861-AD9C-9C8A26627434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28T B3'!$C$204:$AB$204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B2-4861-AD9C-9C8A26627434}"/>
            </c:ext>
          </c:extLst>
        </c:ser>
        <c:ser>
          <c:idx val="4"/>
          <c:order val="2"/>
          <c:tx>
            <c:strRef>
              <c:f>'TCO 28T B3'!$A$209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28T B3'!$C$204:$AB$204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B3'!$C$209:$AB$209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B2-4861-AD9C-9C8A26627434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DB2-4861-AD9C-9C8A26627434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DB2-4861-AD9C-9C8A26627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28T B3'!$A$221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B3'!$C$204:$AB$204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B3'!$C$221:$AB$221</c:f>
              <c:numCache>
                <c:formatCode>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9-4C30-847E-60707E75C3C9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28T B3'!$C$204:$AB$204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9-4C30-847E-60707E75C3C9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C89-4C30-847E-60707E75C3C9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C89-4C30-847E-60707E75C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B3'!$A$205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B3'!$C$205:$AG$205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4-4D12-9D55-184F159B54D0}"/>
            </c:ext>
          </c:extLst>
        </c:ser>
        <c:ser>
          <c:idx val="4"/>
          <c:order val="1"/>
          <c:tx>
            <c:strRef>
              <c:f>'TCO 28T B3'!$A$209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A44-4D12-9D55-184F159B54D0}"/>
              </c:ext>
            </c:extLst>
          </c:dPt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B3'!$C$209:$AG$209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4-4D12-9D55-184F159B54D0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A44-4D12-9D55-184F159B54D0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5A44-4D12-9D55-184F159B54D0}"/>
            </c:ext>
          </c:extLst>
        </c:ser>
        <c:ser>
          <c:idx val="2"/>
          <c:order val="5"/>
          <c:tx>
            <c:strRef>
              <c:f>'TCO 28T B3'!$A$208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B3'!$C$208:$AG$208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44-4D12-9D55-184F159B54D0}"/>
            </c:ext>
          </c:extLst>
        </c:ser>
        <c:ser>
          <c:idx val="6"/>
          <c:order val="6"/>
          <c:tx>
            <c:strRef>
              <c:f>'TCO 28T B3'!$A$210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B3'!$C$210:$AG$210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44-4D12-9D55-184F159B54D0}"/>
            </c:ext>
          </c:extLst>
        </c:ser>
        <c:ser>
          <c:idx val="7"/>
          <c:order val="7"/>
          <c:tx>
            <c:strRef>
              <c:f>'TCO 28T B3'!$A$121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B3'!$C$207:$AG$207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A44-4D12-9D55-184F159B54D0}"/>
            </c:ext>
          </c:extLst>
        </c:ser>
        <c:ser>
          <c:idx val="8"/>
          <c:order val="8"/>
          <c:tx>
            <c:strRef>
              <c:f>'TCO 28T B3'!$A$104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'TCO 28T B3'!$C$204:$AG$204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B3'!$C$206:$AG$206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44-4D12-9D55-184F159B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'TCO 28T B3'!$A$211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'TCO 28T B3'!$C$204:$AG$204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'TCO 28T B3'!$C$211:$AB$211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5A44-4D12-9D55-184F159B54D0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B3'!$B$214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'TCO 28T B3'!$C$213:$AB$213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B3'!$C$214:$AB$214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A-4D03-AA0A-985309625312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94CA-4D03-AA0A-985309625312}"/>
            </c:ext>
          </c:extLst>
        </c:ser>
        <c:ser>
          <c:idx val="3"/>
          <c:order val="2"/>
          <c:tx>
            <c:strRef>
              <c:f>'TCO 28T B3'!$B$216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'TCO 28T B3'!$C$213:$AB$213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B3'!$C$216:$AB$216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A-4D03-AA0A-985309625312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94CA-4D03-AA0A-985309625312}"/>
            </c:ext>
          </c:extLst>
        </c:ser>
        <c:ser>
          <c:idx val="0"/>
          <c:order val="4"/>
          <c:tx>
            <c:strRef>
              <c:f>'TCO 28T B3'!$A$218</c:f>
              <c:strCache>
                <c:ptCount val="1"/>
                <c:pt idx="0">
                  <c:v>Diesel - 10%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</c:v>
              </c:pt>
              <c:pt idx="1">
                <c:v>2025</c:v>
              </c:pt>
              <c:pt idx="2">
                <c:v>2026</c:v>
              </c:pt>
              <c:pt idx="3">
                <c:v>2027</c:v>
              </c:pt>
              <c:pt idx="4">
                <c:v>2028</c:v>
              </c:pt>
              <c:pt idx="5">
                <c:v>2029</c:v>
              </c:pt>
              <c:pt idx="6">
                <c:v>2030</c:v>
              </c:pt>
              <c:pt idx="7">
                <c:v>2031</c:v>
              </c:pt>
              <c:pt idx="8">
                <c:v>2032</c:v>
              </c:pt>
              <c:pt idx="9">
                <c:v>2033</c:v>
              </c:pt>
              <c:pt idx="10">
                <c:v>2034</c:v>
              </c:pt>
              <c:pt idx="11">
                <c:v>2035</c:v>
              </c:pt>
              <c:pt idx="12">
                <c:v>2036</c:v>
              </c:pt>
              <c:pt idx="13">
                <c:v>2037</c:v>
              </c:pt>
              <c:pt idx="14">
                <c:v>2038</c:v>
              </c:pt>
              <c:pt idx="15">
                <c:v>2039</c:v>
              </c:pt>
              <c:pt idx="16">
                <c:v>2040</c:v>
              </c:pt>
              <c:pt idx="17">
                <c:v>2041</c:v>
              </c:pt>
              <c:pt idx="18">
                <c:v>2042</c:v>
              </c:pt>
              <c:pt idx="19">
                <c:v>2043</c:v>
              </c:pt>
              <c:pt idx="20">
                <c:v>2044</c:v>
              </c:pt>
              <c:pt idx="21">
                <c:v>2045</c:v>
              </c:pt>
              <c:pt idx="22">
                <c:v>2046</c:v>
              </c:pt>
              <c:pt idx="23">
                <c:v>2047</c:v>
              </c:pt>
              <c:pt idx="24">
                <c:v>2048</c:v>
              </c:pt>
              <c:pt idx="25">
                <c:v>2049</c:v>
              </c:pt>
              <c:pt idx="26">
                <c:v>2050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'TCO 28T B3'!$C$218:$AB$218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CA-4D03-AA0A-98530962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B3'!$A$205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B3'!$C$204:$I$204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28T B3'!$C$205:$I$205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9-4DF8-A48B-35AC3CF4A450}"/>
            </c:ext>
          </c:extLst>
        </c:ser>
        <c:ser>
          <c:idx val="4"/>
          <c:order val="1"/>
          <c:tx>
            <c:strRef>
              <c:f>'TCO 28T B3'!$A$209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28T B3'!$C$204:$I$204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28T B3'!$C$209:$I$209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9-4DF8-A48B-35AC3CF4A450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43D9-4DF8-A48B-35AC3CF4A450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43D9-4DF8-A48B-35AC3CF4A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28T B3'!$A$85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B3'!$E$86:$AG$86</c:f>
              <c:numCache>
                <c:formatCode>_ [$₹-4009]\ * #,##0_ ;_ [$₹-4009]\ * \-#,##0_ ;_ [$₹-4009]\ * "-"??_ ;_ @_ 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7-4FB1-9E68-9E38987A5687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5467-4FB1-9E68-9E38987A5687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5467-4FB1-9E68-9E38987A5687}"/>
            </c:ext>
          </c:extLst>
        </c:ser>
        <c:ser>
          <c:idx val="3"/>
          <c:order val="3"/>
          <c:tx>
            <c:strRef>
              <c:f>'TCO 28T B3'!$A$155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B3'!$C$162:$AG$162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67-4FB1-9E68-9E38987A5687}"/>
            </c:ext>
          </c:extLst>
        </c:ser>
        <c:ser>
          <c:idx val="4"/>
          <c:order val="4"/>
          <c:tx>
            <c:strRef>
              <c:f>'TCO 28T B3'!$A$121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B3'!$C$124:$AG$124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67-4FB1-9E68-9E38987A5687}"/>
            </c:ext>
          </c:extLst>
        </c:ser>
        <c:ser>
          <c:idx val="5"/>
          <c:order val="5"/>
          <c:tx>
            <c:strRef>
              <c:f>'TCO 28T B3'!$A$138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B3'!$C$141:$AG$141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67-4FB1-9E68-9E38987A5687}"/>
            </c:ext>
          </c:extLst>
        </c:ser>
        <c:ser>
          <c:idx val="6"/>
          <c:order val="6"/>
          <c:tx>
            <c:strRef>
              <c:f>'TCO 28T B3'!$A$182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B3'!$C$189:$AG$189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67-4FB1-9E68-9E38987A5687}"/>
            </c:ext>
          </c:extLst>
        </c:ser>
        <c:ser>
          <c:idx val="7"/>
          <c:order val="7"/>
          <c:tx>
            <c:strRef>
              <c:f>'TCO 28T B3'!$A$104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28T B3'!$C$105:$AG$105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B3'!$C$107:$AG$107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67-4FB1-9E68-9E38987A5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 H2  INR/kg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0-1CE9-4F16-96F3-4D2EACD7B4A0}"/>
            </c:ext>
          </c:extLst>
        </c:ser>
        <c:ser>
          <c:idx val="1"/>
          <c:order val="1"/>
          <c:tx>
            <c:v>Yellow H2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1CE9-4F16-96F3-4D2EACD7B4A0}"/>
            </c:ext>
          </c:extLst>
        </c:ser>
        <c:ser>
          <c:idx val="2"/>
          <c:order val="2"/>
          <c:tx>
            <c:v>Grey H2 INR/kg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1CE9-4F16-96F3-4D2EACD7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30256"/>
        <c:axId val="1375940128"/>
      </c:lineChart>
      <c:catAx>
        <c:axId val="137653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40128"/>
        <c:crosses val="autoZero"/>
        <c:auto val="1"/>
        <c:lblAlgn val="ctr"/>
        <c:lblOffset val="100"/>
        <c:noMultiLvlLbl val="0"/>
      </c:catAx>
      <c:valAx>
        <c:axId val="13759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55T B4'!$A$206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55T B4'!$C$205:$AB$205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55T B4'!$C$206:$AB$206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4-4515-81A5-429B98460EE9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55T B4'!$C$205:$AB$205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4-4515-81A5-429B98460EE9}"/>
            </c:ext>
          </c:extLst>
        </c:ser>
        <c:ser>
          <c:idx val="4"/>
          <c:order val="2"/>
          <c:tx>
            <c:strRef>
              <c:f>'TCO 55T B4'!$A$210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55T B4'!$C$205:$AB$205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55T B4'!$C$210:$AB$210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4-4515-81A5-429B98460EE9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AAA4-4515-81A5-429B98460EE9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AAA4-4515-81A5-429B98460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55T B4'!$A$222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55T B4'!$C$205:$AB$205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55T B4'!$C$222:$AB$222</c:f>
              <c:numCache>
                <c:formatCode>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7-41EA-BB9E-6B5466B102EE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55T B4'!$C$205:$AB$205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7-41EA-BB9E-6B5466B102EE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4327-41EA-BB9E-6B5466B102EE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4327-41EA-BB9E-6B5466B10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55T B4'!$A$206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B4'!$C$206:$AG$206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A-4BBB-A35F-C04B49F58A65}"/>
            </c:ext>
          </c:extLst>
        </c:ser>
        <c:ser>
          <c:idx val="4"/>
          <c:order val="1"/>
          <c:tx>
            <c:strRef>
              <c:f>'TCO 55T B4'!$A$210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BDA-4BBB-A35F-C04B49F58A65}"/>
              </c:ext>
            </c:extLst>
          </c:dPt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B4'!$C$210:$AG$210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A-4BBB-A35F-C04B49F58A65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EBDA-4BBB-A35F-C04B49F58A65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EBDA-4BBB-A35F-C04B49F58A65}"/>
            </c:ext>
          </c:extLst>
        </c:ser>
        <c:ser>
          <c:idx val="2"/>
          <c:order val="5"/>
          <c:tx>
            <c:strRef>
              <c:f>'TCO 55T B4'!$A$209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B4'!$C$209:$AG$209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DA-4BBB-A35F-C04B49F58A65}"/>
            </c:ext>
          </c:extLst>
        </c:ser>
        <c:ser>
          <c:idx val="6"/>
          <c:order val="6"/>
          <c:tx>
            <c:strRef>
              <c:f>'TCO 55T B4'!$A$211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B4'!$C$211:$AG$211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DA-4BBB-A35F-C04B49F58A65}"/>
            </c:ext>
          </c:extLst>
        </c:ser>
        <c:ser>
          <c:idx val="7"/>
          <c:order val="7"/>
          <c:tx>
            <c:strRef>
              <c:f>'TCO 55T B4'!$A$122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B4'!$C$208:$AG$208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BDA-4BBB-A35F-C04B49F58A65}"/>
            </c:ext>
          </c:extLst>
        </c:ser>
        <c:ser>
          <c:idx val="8"/>
          <c:order val="8"/>
          <c:tx>
            <c:strRef>
              <c:f>'TCO 55T B4'!$A$105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'TCO 55T B4'!$C$205:$AG$205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B4'!$C$207:$AG$207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DA-4BBB-A35F-C04B49F58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'TCO 55T B4'!$A$212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'TCO 55T B4'!$C$205:$AG$205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'TCO 55T B4'!$C$212:$AB$212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EBDA-4BBB-A35F-C04B49F58A65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55T B4'!$B$215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'TCO 55T B4'!$C$214:$AB$214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55T B4'!$C$215:$AB$215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F-4EA6-B58A-4362B45234BB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04F-4EA6-B58A-4362B45234BB}"/>
            </c:ext>
          </c:extLst>
        </c:ser>
        <c:ser>
          <c:idx val="3"/>
          <c:order val="2"/>
          <c:tx>
            <c:strRef>
              <c:f>'TCO 55T B4'!$B$217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'TCO 55T B4'!$C$214:$AB$214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55T B4'!$C$217:$AB$217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F-4EA6-B58A-4362B45234BB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04F-4EA6-B58A-4362B45234BB}"/>
            </c:ext>
          </c:extLst>
        </c:ser>
        <c:ser>
          <c:idx val="0"/>
          <c:order val="4"/>
          <c:tx>
            <c:strRef>
              <c:f>'TCO 55T B4'!$A$219</c:f>
              <c:strCache>
                <c:ptCount val="1"/>
                <c:pt idx="0">
                  <c:v>Diesel - 10%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</c:v>
              </c:pt>
              <c:pt idx="1">
                <c:v>2025</c:v>
              </c:pt>
              <c:pt idx="2">
                <c:v>2026</c:v>
              </c:pt>
              <c:pt idx="3">
                <c:v>2027</c:v>
              </c:pt>
              <c:pt idx="4">
                <c:v>2028</c:v>
              </c:pt>
              <c:pt idx="5">
                <c:v>2029</c:v>
              </c:pt>
              <c:pt idx="6">
                <c:v>2030</c:v>
              </c:pt>
              <c:pt idx="7">
                <c:v>2031</c:v>
              </c:pt>
              <c:pt idx="8">
                <c:v>2032</c:v>
              </c:pt>
              <c:pt idx="9">
                <c:v>2033</c:v>
              </c:pt>
              <c:pt idx="10">
                <c:v>2034</c:v>
              </c:pt>
              <c:pt idx="11">
                <c:v>2035</c:v>
              </c:pt>
              <c:pt idx="12">
                <c:v>2036</c:v>
              </c:pt>
              <c:pt idx="13">
                <c:v>2037</c:v>
              </c:pt>
              <c:pt idx="14">
                <c:v>2038</c:v>
              </c:pt>
              <c:pt idx="15">
                <c:v>2039</c:v>
              </c:pt>
              <c:pt idx="16">
                <c:v>2040</c:v>
              </c:pt>
              <c:pt idx="17">
                <c:v>2041</c:v>
              </c:pt>
              <c:pt idx="18">
                <c:v>2042</c:v>
              </c:pt>
              <c:pt idx="19">
                <c:v>2043</c:v>
              </c:pt>
              <c:pt idx="20">
                <c:v>2044</c:v>
              </c:pt>
              <c:pt idx="21">
                <c:v>2045</c:v>
              </c:pt>
              <c:pt idx="22">
                <c:v>2046</c:v>
              </c:pt>
              <c:pt idx="23">
                <c:v>2047</c:v>
              </c:pt>
              <c:pt idx="24">
                <c:v>2048</c:v>
              </c:pt>
              <c:pt idx="25">
                <c:v>2049</c:v>
              </c:pt>
              <c:pt idx="26">
                <c:v>2050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'TCO 55T B4'!$C$219:$AB$219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4F-4EA6-B58A-4362B4523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55T B4'!$A$206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55T B4'!$C$205:$I$205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55T B4'!$C$206:$I$206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B-4A48-A0FC-0AF1218E2DDC}"/>
            </c:ext>
          </c:extLst>
        </c:ser>
        <c:ser>
          <c:idx val="4"/>
          <c:order val="1"/>
          <c:tx>
            <c:strRef>
              <c:f>'TCO 55T B4'!$A$210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55T B4'!$C$205:$I$205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55T B4'!$C$210:$I$210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B-4A48-A0FC-0AF1218E2DD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B4AB-4A48-A0FC-0AF1218E2DDC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4AB-4A48-A0FC-0AF1218E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55T B4'!$A$86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B4'!$E$87:$AG$87</c:f>
              <c:numCache>
                <c:formatCode>_ [$₹-4009]\ * #,##0_ ;_ [$₹-4009]\ * \-#,##0_ ;_ [$₹-4009]\ * "-"??_ ;_ @_ 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8-40CA-A381-E639187D9EE2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8398-40CA-A381-E639187D9EE2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8398-40CA-A381-E639187D9EE2}"/>
            </c:ext>
          </c:extLst>
        </c:ser>
        <c:ser>
          <c:idx val="3"/>
          <c:order val="3"/>
          <c:tx>
            <c:strRef>
              <c:f>'TCO 55T B4'!$A$156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B4'!$C$163:$AG$163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98-40CA-A381-E639187D9EE2}"/>
            </c:ext>
          </c:extLst>
        </c:ser>
        <c:ser>
          <c:idx val="4"/>
          <c:order val="4"/>
          <c:tx>
            <c:strRef>
              <c:f>'TCO 55T B4'!$A$122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B4'!$C$125:$AG$125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98-40CA-A381-E639187D9EE2}"/>
            </c:ext>
          </c:extLst>
        </c:ser>
        <c:ser>
          <c:idx val="5"/>
          <c:order val="5"/>
          <c:tx>
            <c:strRef>
              <c:f>'TCO 55T B4'!$A$139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B4'!$C$142:$AG$142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98-40CA-A381-E639187D9EE2}"/>
            </c:ext>
          </c:extLst>
        </c:ser>
        <c:ser>
          <c:idx val="6"/>
          <c:order val="6"/>
          <c:tx>
            <c:strRef>
              <c:f>'TCO 55T B4'!$A$183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B4'!$C$190:$AG$190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98-40CA-A381-E639187D9EE2}"/>
            </c:ext>
          </c:extLst>
        </c:ser>
        <c:ser>
          <c:idx val="7"/>
          <c:order val="7"/>
          <c:tx>
            <c:strRef>
              <c:f>'TCO 55T B4'!$A$105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55T B4'!$C$106:$AG$106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55T B4'!$C$108:$AG$108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98-40CA-A381-E639187D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 H2  INR/kg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0-02B2-46FC-A700-06E3155514D7}"/>
            </c:ext>
          </c:extLst>
        </c:ser>
        <c:ser>
          <c:idx val="1"/>
          <c:order val="1"/>
          <c:tx>
            <c:v>Yellow H2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02B2-46FC-A700-06E3155514D7}"/>
            </c:ext>
          </c:extLst>
        </c:ser>
        <c:ser>
          <c:idx val="2"/>
          <c:order val="2"/>
          <c:tx>
            <c:v>Grey H2 INR/kg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02B2-46FC-A700-06E31555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30256"/>
        <c:axId val="1375940128"/>
      </c:lineChart>
      <c:catAx>
        <c:axId val="137653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40128"/>
        <c:crosses val="autoZero"/>
        <c:auto val="1"/>
        <c:lblAlgn val="ctr"/>
        <c:lblOffset val="100"/>
        <c:noMultiLvlLbl val="0"/>
      </c:catAx>
      <c:valAx>
        <c:axId val="13759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28T B5'!$A$205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B5'!$C$204:$AB$204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B5'!$C$205:$AB$205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E-487E-BA63-2548AE30446B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28T B5'!$C$204:$AB$204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E-487E-BA63-2548AE30446B}"/>
            </c:ext>
          </c:extLst>
        </c:ser>
        <c:ser>
          <c:idx val="4"/>
          <c:order val="2"/>
          <c:tx>
            <c:strRef>
              <c:f>'TCO 28T B5'!$A$209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28T B5'!$C$204:$AB$204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B5'!$C$209:$AB$209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E-487E-BA63-2548AE30446B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78E-487E-BA63-2548AE30446B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778E-487E-BA63-2548AE304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28T B5'!$A$221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B5'!$C$204:$AB$204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B5'!$C$221:$AB$221</c:f>
              <c:numCache>
                <c:formatCode>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7E-4F12-8684-84508B4AEDAF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28T B5'!$C$204:$AB$204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7E-4F12-8684-84508B4AEDAF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DE7E-4F12-8684-84508B4AEDAF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E7E-4F12-8684-84508B4A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B5'!$A$205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B5'!$C$205:$AG$205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7-4245-9CE8-55CDD451EC6A}"/>
            </c:ext>
          </c:extLst>
        </c:ser>
        <c:ser>
          <c:idx val="4"/>
          <c:order val="1"/>
          <c:tx>
            <c:strRef>
              <c:f>'TCO 28T B5'!$A$209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F7-4245-9CE8-55CDD451EC6A}"/>
              </c:ext>
            </c:extLst>
          </c:dPt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B5'!$C$209:$AG$209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F7-4245-9CE8-55CDD451EC6A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31F7-4245-9CE8-55CDD451EC6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31F7-4245-9CE8-55CDD451EC6A}"/>
            </c:ext>
          </c:extLst>
        </c:ser>
        <c:ser>
          <c:idx val="2"/>
          <c:order val="5"/>
          <c:tx>
            <c:strRef>
              <c:f>'TCO 28T B5'!$A$208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B5'!$C$208:$AG$208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7-4245-9CE8-55CDD451EC6A}"/>
            </c:ext>
          </c:extLst>
        </c:ser>
        <c:ser>
          <c:idx val="6"/>
          <c:order val="6"/>
          <c:tx>
            <c:strRef>
              <c:f>'TCO 28T B5'!$A$210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B5'!$C$210:$AG$210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7-4245-9CE8-55CDD451EC6A}"/>
            </c:ext>
          </c:extLst>
        </c:ser>
        <c:ser>
          <c:idx val="7"/>
          <c:order val="7"/>
          <c:tx>
            <c:strRef>
              <c:f>'TCO 28T B5'!$A$121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B5'!$C$207:$AG$207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1F7-4245-9CE8-55CDD451EC6A}"/>
            </c:ext>
          </c:extLst>
        </c:ser>
        <c:ser>
          <c:idx val="8"/>
          <c:order val="8"/>
          <c:tx>
            <c:strRef>
              <c:f>'TCO 28T B5'!$A$104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'TCO 28T B5'!$C$204:$AG$204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B5'!$C$206:$AG$206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F7-4245-9CE8-55CDD451E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'TCO 28T B5'!$A$211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'TCO 28T B5'!$C$204:$AG$204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'TCO 28T B5'!$C$211:$AB$211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31F7-4245-9CE8-55CDD451EC6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B5'!$B$214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'TCO 28T B5'!$C$213:$AB$213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B5'!$C$214:$AB$214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B-4B2D-BFA9-817DED13BAF1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D51B-4B2D-BFA9-817DED13BAF1}"/>
            </c:ext>
          </c:extLst>
        </c:ser>
        <c:ser>
          <c:idx val="3"/>
          <c:order val="2"/>
          <c:tx>
            <c:strRef>
              <c:f>'TCO 28T B5'!$B$216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'TCO 28T B5'!$C$213:$AB$213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28T B5'!$C$216:$AB$216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1B-4B2D-BFA9-817DED13BAF1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51B-4B2D-BFA9-817DED13BAF1}"/>
            </c:ext>
          </c:extLst>
        </c:ser>
        <c:ser>
          <c:idx val="0"/>
          <c:order val="4"/>
          <c:tx>
            <c:strRef>
              <c:f>'TCO 28T B5'!$A$218</c:f>
              <c:strCache>
                <c:ptCount val="1"/>
                <c:pt idx="0">
                  <c:v>Diesel - 10%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</c:v>
              </c:pt>
              <c:pt idx="1">
                <c:v>2025</c:v>
              </c:pt>
              <c:pt idx="2">
                <c:v>2026</c:v>
              </c:pt>
              <c:pt idx="3">
                <c:v>2027</c:v>
              </c:pt>
              <c:pt idx="4">
                <c:v>2028</c:v>
              </c:pt>
              <c:pt idx="5">
                <c:v>2029</c:v>
              </c:pt>
              <c:pt idx="6">
                <c:v>2030</c:v>
              </c:pt>
              <c:pt idx="7">
                <c:v>2031</c:v>
              </c:pt>
              <c:pt idx="8">
                <c:v>2032</c:v>
              </c:pt>
              <c:pt idx="9">
                <c:v>2033</c:v>
              </c:pt>
              <c:pt idx="10">
                <c:v>2034</c:v>
              </c:pt>
              <c:pt idx="11">
                <c:v>2035</c:v>
              </c:pt>
              <c:pt idx="12">
                <c:v>2036</c:v>
              </c:pt>
              <c:pt idx="13">
                <c:v>2037</c:v>
              </c:pt>
              <c:pt idx="14">
                <c:v>2038</c:v>
              </c:pt>
              <c:pt idx="15">
                <c:v>2039</c:v>
              </c:pt>
              <c:pt idx="16">
                <c:v>2040</c:v>
              </c:pt>
              <c:pt idx="17">
                <c:v>2041</c:v>
              </c:pt>
              <c:pt idx="18">
                <c:v>2042</c:v>
              </c:pt>
              <c:pt idx="19">
                <c:v>2043</c:v>
              </c:pt>
              <c:pt idx="20">
                <c:v>2044</c:v>
              </c:pt>
              <c:pt idx="21">
                <c:v>2045</c:v>
              </c:pt>
              <c:pt idx="22">
                <c:v>2046</c:v>
              </c:pt>
              <c:pt idx="23">
                <c:v>2047</c:v>
              </c:pt>
              <c:pt idx="24">
                <c:v>2048</c:v>
              </c:pt>
              <c:pt idx="25">
                <c:v>2049</c:v>
              </c:pt>
              <c:pt idx="26">
                <c:v>2050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'TCO 28T B5'!$C$218:$AB$218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1B-4B2D-BFA9-817DED13B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28T B5'!$A$205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28T B5'!$C$204:$I$204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28T B5'!$C$205:$I$205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C-4C05-9BBA-E22F42E4D29C}"/>
            </c:ext>
          </c:extLst>
        </c:ser>
        <c:ser>
          <c:idx val="4"/>
          <c:order val="1"/>
          <c:tx>
            <c:strRef>
              <c:f>'TCO 28T B5'!$A$209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28T B5'!$C$204:$I$204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28T B5'!$C$209:$I$209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C-4C05-9BBA-E22F42E4D29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FDEC-4C05-9BBA-E22F42E4D29C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FDEC-4C05-9BBA-E22F42E4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28T B5'!$A$85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B5'!$E$86:$AG$86</c:f>
              <c:numCache>
                <c:formatCode>_ [$₹-4009]\ * #,##0_ ;_ [$₹-4009]\ * \-#,##0_ ;_ [$₹-4009]\ * "-"??_ ;_ @_ 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B-4D73-92A8-6E9CADB9C788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16EB-4D73-92A8-6E9CADB9C788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16EB-4D73-92A8-6E9CADB9C788}"/>
            </c:ext>
          </c:extLst>
        </c:ser>
        <c:ser>
          <c:idx val="3"/>
          <c:order val="3"/>
          <c:tx>
            <c:strRef>
              <c:f>'TCO 28T B5'!$A$155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B5'!$C$162:$AG$162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EB-4D73-92A8-6E9CADB9C788}"/>
            </c:ext>
          </c:extLst>
        </c:ser>
        <c:ser>
          <c:idx val="4"/>
          <c:order val="4"/>
          <c:tx>
            <c:strRef>
              <c:f>'TCO 28T B5'!$A$121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B5'!$C$124:$AG$124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EB-4D73-92A8-6E9CADB9C788}"/>
            </c:ext>
          </c:extLst>
        </c:ser>
        <c:ser>
          <c:idx val="5"/>
          <c:order val="5"/>
          <c:tx>
            <c:strRef>
              <c:f>'TCO 28T B5'!$A$138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B5'!$C$141:$AG$141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EB-4D73-92A8-6E9CADB9C788}"/>
            </c:ext>
          </c:extLst>
        </c:ser>
        <c:ser>
          <c:idx val="6"/>
          <c:order val="6"/>
          <c:tx>
            <c:strRef>
              <c:f>'TCO 28T B5'!$A$182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B5'!$C$189:$AG$189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EB-4D73-92A8-6E9CADB9C788}"/>
            </c:ext>
          </c:extLst>
        </c:ser>
        <c:ser>
          <c:idx val="7"/>
          <c:order val="7"/>
          <c:tx>
            <c:strRef>
              <c:f>'TCO 28T B5'!$A$104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28T B5'!$C$105:$AG$105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28T B5'!$C$107:$AG$107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EB-4D73-92A8-6E9CADB9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 H2  INR/kg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0-4DC2-44A4-82DE-AC3DEC962DAB}"/>
            </c:ext>
          </c:extLst>
        </c:ser>
        <c:ser>
          <c:idx val="1"/>
          <c:order val="1"/>
          <c:tx>
            <c:v>Yellow H2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4DC2-44A4-82DE-AC3DEC962DAB}"/>
            </c:ext>
          </c:extLst>
        </c:ser>
        <c:ser>
          <c:idx val="2"/>
          <c:order val="2"/>
          <c:tx>
            <c:v>Grey H2 INR/kg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4DC2-44A4-82DE-AC3DEC962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30256"/>
        <c:axId val="1375940128"/>
      </c:lineChart>
      <c:catAx>
        <c:axId val="137653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40128"/>
        <c:crosses val="autoZero"/>
        <c:auto val="1"/>
        <c:lblAlgn val="ctr"/>
        <c:lblOffset val="100"/>
        <c:noMultiLvlLbl val="0"/>
      </c:catAx>
      <c:valAx>
        <c:axId val="13759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40T B6'!$A$205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40T B6'!$C$204:$AB$204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40T B6'!$C$205:$AB$205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7-4BD4-8035-D00313AA1ECC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40T B6'!$C$204:$AB$204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7-4BD4-8035-D00313AA1ECC}"/>
            </c:ext>
          </c:extLst>
        </c:ser>
        <c:ser>
          <c:idx val="4"/>
          <c:order val="2"/>
          <c:tx>
            <c:strRef>
              <c:f>'TCO 40T B6'!$A$209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40T B6'!$C$204:$AB$204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40T B6'!$C$209:$AB$209</c:f>
              <c:numCache>
                <c:formatCode>_ [$₹-4009]\ * #,##0.00_ ;_ [$₹-4009]\ * \-#,##0.00_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7-4BD4-8035-D00313AA1ECC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3B7-4BD4-8035-D00313AA1ECC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3B7-4BD4-8035-D00313AA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'TCO 40T B6'!$A$221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40T B6'!$C$204:$AB$204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40T B6'!$C$221:$AB$221</c:f>
              <c:numCache>
                <c:formatCode>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1-4DDD-BE83-952A2AB16824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'TCO 40T B6'!$C$204:$AB$204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1-4DDD-BE83-952A2AB16824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1621-4DDD-BE83-952A2AB16824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1621-4DDD-BE83-952A2AB1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40T B6'!$A$205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B6'!$C$205:$AG$205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F-4B42-B62F-C102E30CF17C}"/>
            </c:ext>
          </c:extLst>
        </c:ser>
        <c:ser>
          <c:idx val="4"/>
          <c:order val="1"/>
          <c:tx>
            <c:strRef>
              <c:f>'TCO 40T B6'!$A$209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99F-4B42-B62F-C102E30CF17C}"/>
              </c:ext>
            </c:extLst>
          </c:dPt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B6'!$C$209:$AG$209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F-4B42-B62F-C102E30CF17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599F-4B42-B62F-C102E30CF17C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599F-4B42-B62F-C102E30CF17C}"/>
            </c:ext>
          </c:extLst>
        </c:ser>
        <c:ser>
          <c:idx val="2"/>
          <c:order val="5"/>
          <c:tx>
            <c:strRef>
              <c:f>'TCO 40T B6'!$A$208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B6'!$C$208:$AG$208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9F-4B42-B62F-C102E30CF17C}"/>
            </c:ext>
          </c:extLst>
        </c:ser>
        <c:ser>
          <c:idx val="6"/>
          <c:order val="6"/>
          <c:tx>
            <c:strRef>
              <c:f>'TCO 40T B6'!$A$210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B6'!$C$210:$AG$210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9F-4B42-B62F-C102E30CF17C}"/>
            </c:ext>
          </c:extLst>
        </c:ser>
        <c:ser>
          <c:idx val="7"/>
          <c:order val="7"/>
          <c:tx>
            <c:strRef>
              <c:f>'TCO 40T B6'!$A$121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B6'!$C$207:$AG$207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99F-4B42-B62F-C102E30CF17C}"/>
            </c:ext>
          </c:extLst>
        </c:ser>
        <c:ser>
          <c:idx val="8"/>
          <c:order val="8"/>
          <c:tx>
            <c:strRef>
              <c:f>'TCO 40T B6'!$A$104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'TCO 40T B6'!$C$204:$AG$204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B6'!$C$206:$AG$206</c:f>
              <c:numCache>
                <c:formatCode>_ [$₹-4009]\ * #,##0.00_ ;_ [$₹-4009]\ * \-#,##0.00_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9F-4B42-B62F-C102E30C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'TCO 40T B6'!$A$211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'TCO 40T B6'!$C$204:$AG$204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'TCO 40T B6'!$C$211:$AB$211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599F-4B42-B62F-C102E30CF17C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40T B6'!$B$214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'TCO 40T B6'!$C$213:$AB$213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40T B6'!$C$214:$AB$214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5C-4644-A396-110B95BB021F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755C-4644-A396-110B95BB021F}"/>
            </c:ext>
          </c:extLst>
        </c:ser>
        <c:ser>
          <c:idx val="3"/>
          <c:order val="2"/>
          <c:tx>
            <c:strRef>
              <c:f>'TCO 40T B6'!$B$216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'TCO 40T B6'!$C$213:$AB$213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'TCO 40T B6'!$C$216:$AB$216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5C-4644-A396-110B95BB021F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755C-4644-A396-110B95BB021F}"/>
            </c:ext>
          </c:extLst>
        </c:ser>
        <c:ser>
          <c:idx val="0"/>
          <c:order val="4"/>
          <c:tx>
            <c:strRef>
              <c:f>'TCO 40T B6'!$A$218</c:f>
              <c:strCache>
                <c:ptCount val="1"/>
                <c:pt idx="0">
                  <c:v>Diesel - 10%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Lit>
              <c:ptCount val="27"/>
              <c:pt idx="0">
                <c:v>2024</c:v>
              </c:pt>
              <c:pt idx="1">
                <c:v>2025</c:v>
              </c:pt>
              <c:pt idx="2">
                <c:v>2026</c:v>
              </c:pt>
              <c:pt idx="3">
                <c:v>2027</c:v>
              </c:pt>
              <c:pt idx="4">
                <c:v>2028</c:v>
              </c:pt>
              <c:pt idx="5">
                <c:v>2029</c:v>
              </c:pt>
              <c:pt idx="6">
                <c:v>2030</c:v>
              </c:pt>
              <c:pt idx="7">
                <c:v>2031</c:v>
              </c:pt>
              <c:pt idx="8">
                <c:v>2032</c:v>
              </c:pt>
              <c:pt idx="9">
                <c:v>2033</c:v>
              </c:pt>
              <c:pt idx="10">
                <c:v>2034</c:v>
              </c:pt>
              <c:pt idx="11">
                <c:v>2035</c:v>
              </c:pt>
              <c:pt idx="12">
                <c:v>2036</c:v>
              </c:pt>
              <c:pt idx="13">
                <c:v>2037</c:v>
              </c:pt>
              <c:pt idx="14">
                <c:v>2038</c:v>
              </c:pt>
              <c:pt idx="15">
                <c:v>2039</c:v>
              </c:pt>
              <c:pt idx="16">
                <c:v>2040</c:v>
              </c:pt>
              <c:pt idx="17">
                <c:v>2041</c:v>
              </c:pt>
              <c:pt idx="18">
                <c:v>2042</c:v>
              </c:pt>
              <c:pt idx="19">
                <c:v>2043</c:v>
              </c:pt>
              <c:pt idx="20">
                <c:v>2044</c:v>
              </c:pt>
              <c:pt idx="21">
                <c:v>2045</c:v>
              </c:pt>
              <c:pt idx="22">
                <c:v>2046</c:v>
              </c:pt>
              <c:pt idx="23">
                <c:v>2047</c:v>
              </c:pt>
              <c:pt idx="24">
                <c:v>2048</c:v>
              </c:pt>
              <c:pt idx="25">
                <c:v>2049</c:v>
              </c:pt>
              <c:pt idx="26">
                <c:v>2050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'TCO 40T B6'!$C$218:$AB$218</c:f>
              <c:numCache>
                <c:formatCode>_ [$₹-4009]\ * #,##0_ ;_ [$₹-4009]\ * \-#,##0_ ;_ [$₹-4009]\ * "-"??_ ;_ @_ 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5C-4644-A396-110B95BB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'TCO 40T B6'!$A$205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'TCO 40T B6'!$C$204:$I$204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40T B6'!$C$205:$I$205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D-425C-9F93-B4211FC865A5}"/>
            </c:ext>
          </c:extLst>
        </c:ser>
        <c:ser>
          <c:idx val="4"/>
          <c:order val="1"/>
          <c:tx>
            <c:strRef>
              <c:f>'TCO 40T B6'!$A$209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'TCO 40T B6'!$C$204:$I$204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'TCO 40T B6'!$C$209:$I$209</c:f>
              <c:numCache>
                <c:formatCode>_ [$₹-4009]\ * #,##0.00_ ;_ [$₹-4009]\ * \-#,##0.00_ ;_ [$₹-4009]\ * "-"??_ ;_ @_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D-425C-9F93-B4211FC865A5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DD8D-425C-9F93-B4211FC865A5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10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DD8D-425C-9F93-B4211FC8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'TCO 40T B6'!$A$85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B6'!$E$86:$AG$86</c:f>
              <c:numCache>
                <c:formatCode>_ [$₹-4009]\ * #,##0_ ;_ [$₹-4009]\ * \-#,##0_ ;_ [$₹-4009]\ * "-"??_ ;_ @_ 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A08-8803-CBB0C32BA0F7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925C-4A08-8803-CBB0C32BA0F7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925C-4A08-8803-CBB0C32BA0F7}"/>
            </c:ext>
          </c:extLst>
        </c:ser>
        <c:ser>
          <c:idx val="3"/>
          <c:order val="3"/>
          <c:tx>
            <c:strRef>
              <c:f>'TCO 40T B6'!$A$155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B6'!$C$162:$AG$162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5C-4A08-8803-CBB0C32BA0F7}"/>
            </c:ext>
          </c:extLst>
        </c:ser>
        <c:ser>
          <c:idx val="4"/>
          <c:order val="4"/>
          <c:tx>
            <c:strRef>
              <c:f>'TCO 40T B6'!$A$121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B6'!$C$124:$AG$124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5C-4A08-8803-CBB0C32BA0F7}"/>
            </c:ext>
          </c:extLst>
        </c:ser>
        <c:ser>
          <c:idx val="5"/>
          <c:order val="5"/>
          <c:tx>
            <c:strRef>
              <c:f>'TCO 40T B6'!$A$138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B6'!$C$141:$AG$141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5C-4A08-8803-CBB0C32BA0F7}"/>
            </c:ext>
          </c:extLst>
        </c:ser>
        <c:ser>
          <c:idx val="6"/>
          <c:order val="6"/>
          <c:tx>
            <c:strRef>
              <c:f>'TCO 40T B6'!$A$182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B6'!$C$189:$AG$189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5C-4A08-8803-CBB0C32BA0F7}"/>
            </c:ext>
          </c:extLst>
        </c:ser>
        <c:ser>
          <c:idx val="7"/>
          <c:order val="7"/>
          <c:tx>
            <c:strRef>
              <c:f>'TCO 40T B6'!$A$104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'TCO 40T B6'!$C$105:$AG$105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'TCO 40T B6'!$C$107:$AG$107</c:f>
              <c:numCache>
                <c:formatCode>_ [$₹-4009]\ * #,##0_ ;_ [$₹-4009]\ * \-#,##0_ ;_ [$₹-4009]\ * "-"??_ ;_ @_ 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5C-4A08-8803-CBB0C32BA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Green H2  INR/kg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0-3B6F-476B-A320-06C9343080D9}"/>
            </c:ext>
          </c:extLst>
        </c:ser>
        <c:ser>
          <c:idx val="1"/>
          <c:order val="1"/>
          <c:tx>
            <c:v>Yellow H2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B6F-476B-A320-06C9343080D9}"/>
            </c:ext>
          </c:extLst>
        </c:ser>
        <c:ser>
          <c:idx val="2"/>
          <c:order val="2"/>
          <c:tx>
            <c:v>Grey H2 INR/kg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B6F-476B-A320-06C93430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30256"/>
        <c:axId val="1375940128"/>
      </c:lineChart>
      <c:catAx>
        <c:axId val="137653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40128"/>
        <c:crosses val="autoZero"/>
        <c:auto val="1"/>
        <c:lblAlgn val="ctr"/>
        <c:lblOffset val="100"/>
        <c:noMultiLvlLbl val="0"/>
      </c:catAx>
      <c:valAx>
        <c:axId val="13759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'B13 Non POL Tankers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'B13 Non POL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'B13 Non POL Tankers 28T'!$C$165:$AB$165</c:f>
              <c:numCache>
                <c:formatCode>_ [$₹-4009]\ * #,##0.00_ ;_ [$₹-4009]\ * \-#,##0.00_ ;_ [$₹-4009]\ * "-"??_ ;_ @_ </c:formatCode>
                <c:ptCount val="26"/>
                <c:pt idx="0">
                  <c:v>41.427447209915805</c:v>
                </c:pt>
                <c:pt idx="1">
                  <c:v>44.210293914003906</c:v>
                </c:pt>
                <c:pt idx="2">
                  <c:v>45.294561076091213</c:v>
                </c:pt>
                <c:pt idx="3">
                  <c:v>46.411335797702478</c:v>
                </c:pt>
                <c:pt idx="4">
                  <c:v>47.561035990320406</c:v>
                </c:pt>
                <c:pt idx="5">
                  <c:v>49.457988472272156</c:v>
                </c:pt>
                <c:pt idx="6">
                  <c:v>50.696965475845452</c:v>
                </c:pt>
                <c:pt idx="7">
                  <c:v>51.971450143105415</c:v>
                </c:pt>
                <c:pt idx="8">
                  <c:v>53.282271875937433</c:v>
                </c:pt>
                <c:pt idx="9">
                  <c:v>54.641029299165012</c:v>
                </c:pt>
                <c:pt idx="10">
                  <c:v>56.037470982569616</c:v>
                </c:pt>
                <c:pt idx="11">
                  <c:v>58.339282063741145</c:v>
                </c:pt>
                <c:pt idx="12">
                  <c:v>59.850489938348687</c:v>
                </c:pt>
                <c:pt idx="13">
                  <c:v>61.402479962227154</c:v>
                </c:pt>
                <c:pt idx="14">
                  <c:v>63.007321818479177</c:v>
                </c:pt>
                <c:pt idx="15">
                  <c:v>64.654686989945887</c:v>
                </c:pt>
                <c:pt idx="16">
                  <c:v>66.356682361438814</c:v>
                </c:pt>
                <c:pt idx="17">
                  <c:v>68.114129036895065</c:v>
                </c:pt>
                <c:pt idx="18">
                  <c:v>69.928062657012561</c:v>
                </c:pt>
                <c:pt idx="19">
                  <c:v>71.799539858153992</c:v>
                </c:pt>
                <c:pt idx="20">
                  <c:v>73.7294447580298</c:v>
                </c:pt>
                <c:pt idx="21">
                  <c:v>76.88397726230518</c:v>
                </c:pt>
                <c:pt idx="22">
                  <c:v>78.969210166908908</c:v>
                </c:pt>
                <c:pt idx="23">
                  <c:v>81.117291809241607</c:v>
                </c:pt>
                <c:pt idx="24">
                  <c:v>83.340538386004596</c:v>
                </c:pt>
                <c:pt idx="25">
                  <c:v>85.629069767545673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C-4F18-90A9-C22A88765CAD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'B13 Non POL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C-4F18-90A9-C22A88765CAD}"/>
            </c:ext>
          </c:extLst>
        </c:ser>
        <c:ser>
          <c:idx val="4"/>
          <c:order val="2"/>
          <c:tx>
            <c:strRef>
              <c:f>'B13 Non POL Tankers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'B13 Non POL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'B13 Non POL Tankers 28T'!$C$168:$AB$168</c:f>
              <c:numCache>
                <c:formatCode>_ [$₹-4009]\ * #,##0.00_ ;_ [$₹-4009]\ * \-#,##0.00_ ;_ [$₹-4009]\ * "-"??_ ;_ @_ </c:formatCode>
                <c:ptCount val="26"/>
                <c:pt idx="0">
                  <c:v>52.148165550241181</c:v>
                </c:pt>
                <c:pt idx="1">
                  <c:v>52.540073787739402</c:v>
                </c:pt>
                <c:pt idx="2">
                  <c:v>52.875755351700093</c:v>
                </c:pt>
                <c:pt idx="3">
                  <c:v>52.756196274493185</c:v>
                </c:pt>
                <c:pt idx="4">
                  <c:v>52.580886289608983</c:v>
                </c:pt>
                <c:pt idx="5">
                  <c:v>53.135006815199809</c:v>
                </c:pt>
                <c:pt idx="6">
                  <c:v>51.57171605063543</c:v>
                </c:pt>
                <c:pt idx="7">
                  <c:v>51.870194933100329</c:v>
                </c:pt>
                <c:pt idx="8">
                  <c:v>52.012779161722321</c:v>
                </c:pt>
                <c:pt idx="9">
                  <c:v>52.271524903784439</c:v>
                </c:pt>
                <c:pt idx="10">
                  <c:v>52.645518554585152</c:v>
                </c:pt>
                <c:pt idx="11">
                  <c:v>51.932511681288872</c:v>
                </c:pt>
                <c:pt idx="12">
                  <c:v>52.580742533218732</c:v>
                </c:pt>
                <c:pt idx="13">
                  <c:v>53.247653116909945</c:v>
                </c:pt>
                <c:pt idx="14">
                  <c:v>54.000915124284546</c:v>
                </c:pt>
                <c:pt idx="15">
                  <c:v>54.84704648373198</c:v>
                </c:pt>
                <c:pt idx="16">
                  <c:v>55.62432447641833</c:v>
                </c:pt>
                <c:pt idx="17">
                  <c:v>56.795414023946329</c:v>
                </c:pt>
                <c:pt idx="18">
                  <c:v>57.991694503457346</c:v>
                </c:pt>
                <c:pt idx="19">
                  <c:v>59.23924827183582</c:v>
                </c:pt>
                <c:pt idx="20">
                  <c:v>60.537340515621686</c:v>
                </c:pt>
                <c:pt idx="21">
                  <c:v>60.364403802558208</c:v>
                </c:pt>
                <c:pt idx="22">
                  <c:v>61.750862897098919</c:v>
                </c:pt>
                <c:pt idx="23">
                  <c:v>63.192857181178702</c:v>
                </c:pt>
                <c:pt idx="24">
                  <c:v>64.703213943803348</c:v>
                </c:pt>
                <c:pt idx="25">
                  <c:v>66.279298831324269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C-4F18-90A9-C22A88765CAD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EEC-4F18-90A9-C22A88765CAD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6EEC-4F18-90A9-C22A88765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'B13 Non POL Tankers 28T'!$A$192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'B13 Non POL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'B13 Non POL Tankers 28T'!$C$192:$AB$192</c:f>
              <c:numCache>
                <c:formatCode>0%</c:formatCode>
                <c:ptCount val="26"/>
                <c:pt idx="0">
                  <c:v>0.79441811179346855</c:v>
                </c:pt>
                <c:pt idx="1">
                  <c:v>0.84145854253293206</c:v>
                </c:pt>
                <c:pt idx="2">
                  <c:v>0.85662248746740366</c:v>
                </c:pt>
                <c:pt idx="3">
                  <c:v>0.87973241202269259</c:v>
                </c:pt>
                <c:pt idx="4">
                  <c:v>0.904530892240198</c:v>
                </c:pt>
                <c:pt idx="5">
                  <c:v>0.93079857210301886</c:v>
                </c:pt>
                <c:pt idx="6">
                  <c:v>0.98303817204897526</c:v>
                </c:pt>
                <c:pt idx="7">
                  <c:v>1.0019520884804014</c:v>
                </c:pt>
                <c:pt idx="8">
                  <c:v>1.0244073232516167</c:v>
                </c:pt>
                <c:pt idx="9">
                  <c:v>1.0453306919922862</c:v>
                </c:pt>
                <c:pt idx="10">
                  <c:v>1.0644300316743494</c:v>
                </c:pt>
                <c:pt idx="11">
                  <c:v>1.1233672351872905</c:v>
                </c:pt>
                <c:pt idx="12">
                  <c:v>1.1382587436937996</c:v>
                </c:pt>
                <c:pt idx="13">
                  <c:v>1.1531490379005542</c:v>
                </c:pt>
                <c:pt idx="14">
                  <c:v>1.1667824827313786</c:v>
                </c:pt>
                <c:pt idx="15">
                  <c:v>1.1788180245790068</c:v>
                </c:pt>
                <c:pt idx="16">
                  <c:v>1.1929436085029745</c:v>
                </c:pt>
                <c:pt idx="17">
                  <c:v>1.1992892420535308</c:v>
                </c:pt>
                <c:pt idx="18">
                  <c:v>1.2058289252583159</c:v>
                </c:pt>
                <c:pt idx="19">
                  <c:v>1.2120265187816321</c:v>
                </c:pt>
                <c:pt idx="20">
                  <c:v>1.2179168118395272</c:v>
                </c:pt>
                <c:pt idx="21">
                  <c:v>1.2736641533606414</c:v>
                </c:pt>
                <c:pt idx="22">
                  <c:v>1.2788357354374544</c:v>
                </c:pt>
                <c:pt idx="23">
                  <c:v>1.2836465294910182</c:v>
                </c:pt>
                <c:pt idx="24">
                  <c:v>1.2880432563734519</c:v>
                </c:pt>
                <c:pt idx="25">
                  <c:v>1.2919429034013332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E-4899-AF10-B03D344EF9BC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'B13 Non POL Tankers 28T'!$C$164:$AB$164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E-4899-AF10-B03D344EF9BC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950E-4899-AF10-B03D344EF9BC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950E-4899-AF10-B03D344EF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'B13 Non POL Tankers 28T'!$A$165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28T'!$C$165:$AG$165</c:f>
              <c:numCache>
                <c:formatCode>_ [$₹-4009]\ * #,##0.00_ ;_ [$₹-4009]\ * \-#,##0.00_ ;_ [$₹-4009]\ * "-"??_ ;_ @_ </c:formatCode>
                <c:ptCount val="31"/>
                <c:pt idx="0">
                  <c:v>41.427447209915805</c:v>
                </c:pt>
                <c:pt idx="1">
                  <c:v>44.210293914003906</c:v>
                </c:pt>
                <c:pt idx="2">
                  <c:v>45.294561076091213</c:v>
                </c:pt>
                <c:pt idx="3">
                  <c:v>46.411335797702478</c:v>
                </c:pt>
                <c:pt idx="4">
                  <c:v>47.561035990320406</c:v>
                </c:pt>
                <c:pt idx="5">
                  <c:v>49.457988472272156</c:v>
                </c:pt>
                <c:pt idx="6">
                  <c:v>50.696965475845452</c:v>
                </c:pt>
                <c:pt idx="7">
                  <c:v>51.971450143105415</c:v>
                </c:pt>
                <c:pt idx="8">
                  <c:v>53.282271875937433</c:v>
                </c:pt>
                <c:pt idx="9">
                  <c:v>54.641029299165012</c:v>
                </c:pt>
                <c:pt idx="10">
                  <c:v>56.037470982569616</c:v>
                </c:pt>
                <c:pt idx="11">
                  <c:v>58.339282063741145</c:v>
                </c:pt>
                <c:pt idx="12">
                  <c:v>59.850489938348687</c:v>
                </c:pt>
                <c:pt idx="13">
                  <c:v>61.402479962227154</c:v>
                </c:pt>
                <c:pt idx="14">
                  <c:v>63.007321818479177</c:v>
                </c:pt>
                <c:pt idx="15">
                  <c:v>64.654686989945887</c:v>
                </c:pt>
                <c:pt idx="16">
                  <c:v>66.356682361438814</c:v>
                </c:pt>
                <c:pt idx="17">
                  <c:v>68.114129036895065</c:v>
                </c:pt>
                <c:pt idx="18">
                  <c:v>69.928062657012561</c:v>
                </c:pt>
                <c:pt idx="19">
                  <c:v>71.799539858153992</c:v>
                </c:pt>
                <c:pt idx="20">
                  <c:v>73.7294447580298</c:v>
                </c:pt>
                <c:pt idx="21">
                  <c:v>76.88397726230518</c:v>
                </c:pt>
                <c:pt idx="22">
                  <c:v>78.969210166908908</c:v>
                </c:pt>
                <c:pt idx="23">
                  <c:v>81.117291809241607</c:v>
                </c:pt>
                <c:pt idx="24">
                  <c:v>83.340538386004596</c:v>
                </c:pt>
                <c:pt idx="25">
                  <c:v>85.629069767545673</c:v>
                </c:pt>
                <c:pt idx="26">
                  <c:v>87.995254869632959</c:v>
                </c:pt>
                <c:pt idx="27">
                  <c:v>90.429268171259793</c:v>
                </c:pt>
                <c:pt idx="28">
                  <c:v>92.943745288429568</c:v>
                </c:pt>
                <c:pt idx="29">
                  <c:v>95.540030415388657</c:v>
                </c:pt>
                <c:pt idx="30">
                  <c:v>98.219498641897403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6-4B70-B97B-566472B3DF84}"/>
            </c:ext>
          </c:extLst>
        </c:ser>
        <c:ser>
          <c:idx val="4"/>
          <c:order val="1"/>
          <c:tx>
            <c:strRef>
              <c:f>'B13 Non POL Tankers 28T'!$A$168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1F6-4B70-B97B-566472B3DF84}"/>
              </c:ext>
            </c:extLst>
          </c:dPt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28T'!$C$168:$AG$168</c:f>
              <c:numCache>
                <c:formatCode>_ [$₹-4009]\ * #,##0.00_ ;_ [$₹-4009]\ * \-#,##0.00_ ;_ [$₹-4009]\ * "-"??_ ;_ @_ </c:formatCode>
                <c:ptCount val="31"/>
                <c:pt idx="0">
                  <c:v>52.148165550241181</c:v>
                </c:pt>
                <c:pt idx="1">
                  <c:v>52.540073787739402</c:v>
                </c:pt>
                <c:pt idx="2">
                  <c:v>52.875755351700093</c:v>
                </c:pt>
                <c:pt idx="3">
                  <c:v>52.756196274493185</c:v>
                </c:pt>
                <c:pt idx="4">
                  <c:v>52.580886289608983</c:v>
                </c:pt>
                <c:pt idx="5">
                  <c:v>53.135006815199809</c:v>
                </c:pt>
                <c:pt idx="6">
                  <c:v>51.57171605063543</c:v>
                </c:pt>
                <c:pt idx="7">
                  <c:v>51.870194933100329</c:v>
                </c:pt>
                <c:pt idx="8">
                  <c:v>52.012779161722321</c:v>
                </c:pt>
                <c:pt idx="9">
                  <c:v>52.271524903784439</c:v>
                </c:pt>
                <c:pt idx="10">
                  <c:v>52.645518554585152</c:v>
                </c:pt>
                <c:pt idx="11">
                  <c:v>51.932511681288872</c:v>
                </c:pt>
                <c:pt idx="12">
                  <c:v>52.580742533218732</c:v>
                </c:pt>
                <c:pt idx="13">
                  <c:v>53.247653116909945</c:v>
                </c:pt>
                <c:pt idx="14">
                  <c:v>54.000915124284546</c:v>
                </c:pt>
                <c:pt idx="15">
                  <c:v>54.84704648373198</c:v>
                </c:pt>
                <c:pt idx="16">
                  <c:v>55.62432447641833</c:v>
                </c:pt>
                <c:pt idx="17">
                  <c:v>56.795414023946329</c:v>
                </c:pt>
                <c:pt idx="18">
                  <c:v>57.991694503457346</c:v>
                </c:pt>
                <c:pt idx="19">
                  <c:v>59.23924827183582</c:v>
                </c:pt>
                <c:pt idx="20">
                  <c:v>60.537340515621686</c:v>
                </c:pt>
                <c:pt idx="21">
                  <c:v>60.364403802558208</c:v>
                </c:pt>
                <c:pt idx="22">
                  <c:v>61.750862897098919</c:v>
                </c:pt>
                <c:pt idx="23">
                  <c:v>63.192857181178702</c:v>
                </c:pt>
                <c:pt idx="24">
                  <c:v>64.703213943803348</c:v>
                </c:pt>
                <c:pt idx="25">
                  <c:v>66.279298831324269</c:v>
                </c:pt>
                <c:pt idx="26">
                  <c:v>68.23083837752273</c:v>
                </c:pt>
                <c:pt idx="27">
                  <c:v>70.300459341033573</c:v>
                </c:pt>
                <c:pt idx="28">
                  <c:v>72.444190299388524</c:v>
                </c:pt>
                <c:pt idx="29">
                  <c:v>74.677920883166138</c:v>
                </c:pt>
                <c:pt idx="30">
                  <c:v>76.99093376659998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F6-4B70-B97B-566472B3DF84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11F6-4B70-B97B-566472B3DF84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11F6-4B70-B97B-566472B3DF84}"/>
            </c:ext>
          </c:extLst>
        </c:ser>
        <c:ser>
          <c:idx val="2"/>
          <c:order val="5"/>
          <c:tx>
            <c:strRef>
              <c:f>'B13 Non POL Tankers 28T'!$A$169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28T'!$C$169:$AG$169</c:f>
              <c:numCache>
                <c:formatCode>_ [$₹-4009]\ * #,##0.00_ ;_ [$₹-4009]\ * \-#,##0.00_ ;_ [$₹-4009]\ * "-"??_ ;_ @_ </c:formatCode>
                <c:ptCount val="31"/>
                <c:pt idx="0">
                  <c:v>78.874951305057635</c:v>
                </c:pt>
                <c:pt idx="1">
                  <c:v>78.917537334042294</c:v>
                </c:pt>
                <c:pt idx="2">
                  <c:v>79.041566090003656</c:v>
                </c:pt>
                <c:pt idx="3">
                  <c:v>79.248503519078568</c:v>
                </c:pt>
                <c:pt idx="4">
                  <c:v>79.533096695021769</c:v>
                </c:pt>
                <c:pt idx="5">
                  <c:v>80.800948173505901</c:v>
                </c:pt>
                <c:pt idx="6">
                  <c:v>78.614455917088762</c:v>
                </c:pt>
                <c:pt idx="7">
                  <c:v>77.848572097444432</c:v>
                </c:pt>
                <c:pt idx="8">
                  <c:v>77.169814258387206</c:v>
                </c:pt>
                <c:pt idx="9">
                  <c:v>76.583166703065288</c:v>
                </c:pt>
                <c:pt idx="10">
                  <c:v>76.080525090760744</c:v>
                </c:pt>
                <c:pt idx="11">
                  <c:v>74.639635041907397</c:v>
                </c:pt>
                <c:pt idx="12">
                  <c:v>74.289675196498024</c:v>
                </c:pt>
                <c:pt idx="13">
                  <c:v>74.016500104461869</c:v>
                </c:pt>
                <c:pt idx="14">
                  <c:v>73.830052761276477</c:v>
                </c:pt>
                <c:pt idx="15">
                  <c:v>73.722336596459058</c:v>
                </c:pt>
                <c:pt idx="16">
                  <c:v>72.310634155623021</c:v>
                </c:pt>
                <c:pt idx="17">
                  <c:v>72.669400481601684</c:v>
                </c:pt>
                <c:pt idx="18">
                  <c:v>73.107640902650076</c:v>
                </c:pt>
                <c:pt idx="19">
                  <c:v>73.624467109688382</c:v>
                </c:pt>
                <c:pt idx="20">
                  <c:v>74.219074091042046</c:v>
                </c:pt>
                <c:pt idx="21">
                  <c:v>74.239864808581572</c:v>
                </c:pt>
                <c:pt idx="22">
                  <c:v>74.971866839120239</c:v>
                </c:pt>
                <c:pt idx="23">
                  <c:v>75.781257964409292</c:v>
                </c:pt>
                <c:pt idx="24">
                  <c:v>76.676634228981115</c:v>
                </c:pt>
                <c:pt idx="25">
                  <c:v>77.648486848022628</c:v>
                </c:pt>
                <c:pt idx="26">
                  <c:v>78.539215510124478</c:v>
                </c:pt>
                <c:pt idx="27">
                  <c:v>80.390871368077001</c:v>
                </c:pt>
                <c:pt idx="28">
                  <c:v>82.336379108716713</c:v>
                </c:pt>
                <c:pt idx="29">
                  <c:v>84.378034217770818</c:v>
                </c:pt>
                <c:pt idx="30">
                  <c:v>86.516181581359035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F6-4B70-B97B-566472B3DF84}"/>
            </c:ext>
          </c:extLst>
        </c:ser>
        <c:ser>
          <c:idx val="6"/>
          <c:order val="6"/>
          <c:tx>
            <c:strRef>
              <c:f>'B13 Non POL Tankers 28T'!$A$170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28T'!$C$170:$AG$170</c:f>
              <c:numCache>
                <c:formatCode>_ [$₹-4009]\ * #,##0.00_ ;_ [$₹-4009]\ * \-#,##0.00_ ;_ [$₹-4009]\ * "-"??_ ;_ @_ </c:formatCode>
                <c:ptCount val="31"/>
                <c:pt idx="0">
                  <c:v>86.620579134309637</c:v>
                </c:pt>
                <c:pt idx="1">
                  <c:v>86.101364397160808</c:v>
                </c:pt>
                <c:pt idx="2">
                  <c:v>85.668921393216976</c:v>
                </c:pt>
                <c:pt idx="3">
                  <c:v>85.322571943954244</c:v>
                </c:pt>
                <c:pt idx="4">
                  <c:v>85.06418281487457</c:v>
                </c:pt>
                <c:pt idx="5">
                  <c:v>85.390297050809423</c:v>
                </c:pt>
                <c:pt idx="6">
                  <c:v>83.456405106322649</c:v>
                </c:pt>
                <c:pt idx="7">
                  <c:v>82.625810065654861</c:v>
                </c:pt>
                <c:pt idx="8">
                  <c:v>81.874974045345397</c:v>
                </c:pt>
                <c:pt idx="9">
                  <c:v>81.213751864704591</c:v>
                </c:pt>
                <c:pt idx="10">
                  <c:v>80.632343946103816</c:v>
                </c:pt>
                <c:pt idx="11">
                  <c:v>78.461259907960525</c:v>
                </c:pt>
                <c:pt idx="12">
                  <c:v>78.044207603659089</c:v>
                </c:pt>
                <c:pt idx="13">
                  <c:v>77.713329160944198</c:v>
                </c:pt>
                <c:pt idx="14">
                  <c:v>77.465355445451678</c:v>
                </c:pt>
                <c:pt idx="15">
                  <c:v>77.301755517584169</c:v>
                </c:pt>
                <c:pt idx="16">
                  <c:v>75.991083637585234</c:v>
                </c:pt>
                <c:pt idx="17">
                  <c:v>76.411058133073112</c:v>
                </c:pt>
                <c:pt idx="18">
                  <c:v>76.913828192455227</c:v>
                </c:pt>
                <c:pt idx="19">
                  <c:v>77.487579591397747</c:v>
                </c:pt>
                <c:pt idx="20">
                  <c:v>78.131670301524323</c:v>
                </c:pt>
                <c:pt idx="21">
                  <c:v>76.704346098528632</c:v>
                </c:pt>
                <c:pt idx="22">
                  <c:v>77.473097612297394</c:v>
                </c:pt>
                <c:pt idx="23">
                  <c:v>78.309500526018041</c:v>
                </c:pt>
                <c:pt idx="24">
                  <c:v>79.226432359266752</c:v>
                </c:pt>
                <c:pt idx="25">
                  <c:v>80.223532277002377</c:v>
                </c:pt>
                <c:pt idx="26">
                  <c:v>81.039467316912479</c:v>
                </c:pt>
                <c:pt idx="27">
                  <c:v>82.933118167706454</c:v>
                </c:pt>
                <c:pt idx="28">
                  <c:v>84.909310889155236</c:v>
                </c:pt>
                <c:pt idx="29">
                  <c:v>86.981494200171198</c:v>
                </c:pt>
                <c:pt idx="30">
                  <c:v>89.138765352639069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F6-4B70-B97B-566472B3DF84}"/>
            </c:ext>
          </c:extLst>
        </c:ser>
        <c:ser>
          <c:idx val="7"/>
          <c:order val="7"/>
          <c:tx>
            <c:strRef>
              <c:f>'B13 Non POL Tankers 28T'!$A$96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28T'!$C$167:$AG$167</c:f>
              <c:numCache>
                <c:formatCode>_ [$₹-4009]\ * #,##0.00_ ;_ [$₹-4009]\ * \-#,##0.00_ ;_ [$₹-4009]\ * "-"??_ ;_ @_ </c:formatCode>
                <c:ptCount val="31"/>
                <c:pt idx="0">
                  <c:v>41.079896749959829</c:v>
                </c:pt>
                <c:pt idx="1">
                  <c:v>42.369525247180967</c:v>
                </c:pt>
                <c:pt idx="2">
                  <c:v>43.595454494328955</c:v>
                </c:pt>
                <c:pt idx="3">
                  <c:v>44.863435704342422</c:v>
                </c:pt>
                <c:pt idx="4">
                  <c:v>46.172362724282749</c:v>
                </c:pt>
                <c:pt idx="5">
                  <c:v>48.2683030223847</c:v>
                </c:pt>
                <c:pt idx="6">
                  <c:v>49.687579616584998</c:v>
                </c:pt>
                <c:pt idx="7">
                  <c:v>51.150228075883838</c:v>
                </c:pt>
                <c:pt idx="8">
                  <c:v>52.660838111258599</c:v>
                </c:pt>
                <c:pt idx="9">
                  <c:v>54.229549772025052</c:v>
                </c:pt>
                <c:pt idx="10">
                  <c:v>55.848037166292059</c:v>
                </c:pt>
                <c:pt idx="11">
                  <c:v>58.48491377580109</c:v>
                </c:pt>
                <c:pt idx="12">
                  <c:v>60.244097199283431</c:v>
                </c:pt>
                <c:pt idx="13">
                  <c:v>62.054783631686135</c:v>
                </c:pt>
                <c:pt idx="14">
                  <c:v>63.931158156683026</c:v>
                </c:pt>
                <c:pt idx="15">
                  <c:v>65.865218981418408</c:v>
                </c:pt>
                <c:pt idx="16">
                  <c:v>67.867179211205922</c:v>
                </c:pt>
                <c:pt idx="17">
                  <c:v>69.940222547816859</c:v>
                </c:pt>
                <c:pt idx="18">
                  <c:v>72.08352793175338</c:v>
                </c:pt>
                <c:pt idx="19">
                  <c:v>74.30238060719735</c:v>
                </c:pt>
                <c:pt idx="20">
                  <c:v>76.594019917351901</c:v>
                </c:pt>
                <c:pt idx="21">
                  <c:v>80.242228993926759</c:v>
                </c:pt>
                <c:pt idx="22">
                  <c:v>82.727744278432084</c:v>
                </c:pt>
                <c:pt idx="23">
                  <c:v>85.293136158353221</c:v>
                </c:pt>
                <c:pt idx="24">
                  <c:v>87.95098144248027</c:v>
                </c:pt>
                <c:pt idx="25">
                  <c:v>90.696045695934885</c:v>
                </c:pt>
                <c:pt idx="26">
                  <c:v>93.541006712172404</c:v>
                </c:pt>
                <c:pt idx="27">
                  <c:v>96.472011850053136</c:v>
                </c:pt>
                <c:pt idx="28">
                  <c:v>99.508389035730175</c:v>
                </c:pt>
                <c:pt idx="29">
                  <c:v>102.64750860682396</c:v>
                </c:pt>
                <c:pt idx="30">
                  <c:v>105.8955224606899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1F6-4B70-B97B-566472B3DF84}"/>
            </c:ext>
          </c:extLst>
        </c:ser>
        <c:ser>
          <c:idx val="8"/>
          <c:order val="8"/>
          <c:tx>
            <c:strRef>
              <c:f>'B13 Non POL Tankers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28T'!$C$166:$AG$166</c:f>
              <c:numCache>
                <c:formatCode>_ [$₹-4009]\ * #,##0.00_ ;_ [$₹-4009]\ * \-#,##0.00_ ;_ [$₹-4009]\ * "-"??_ ;_ @_ </c:formatCode>
                <c:ptCount val="31"/>
                <c:pt idx="0">
                  <c:v>40.928471854375822</c:v>
                </c:pt>
                <c:pt idx="1">
                  <c:v>42.515194124412901</c:v>
                </c:pt>
                <c:pt idx="2">
                  <c:v>43.765690666132144</c:v>
                </c:pt>
                <c:pt idx="3">
                  <c:v>45.0607835061044</c:v>
                </c:pt>
                <c:pt idx="4">
                  <c:v>46.397523712125988</c:v>
                </c:pt>
                <c:pt idx="5">
                  <c:v>48.523863012053909</c:v>
                </c:pt>
                <c:pt idx="6">
                  <c:v>49.972419676031876</c:v>
                </c:pt>
                <c:pt idx="7">
                  <c:v>51.466978027364014</c:v>
                </c:pt>
                <c:pt idx="8">
                  <c:v>53.010287562368596</c:v>
                </c:pt>
                <c:pt idx="9">
                  <c:v>54.614375231527873</c:v>
                </c:pt>
                <c:pt idx="10">
                  <c:v>56.267213115948259</c:v>
                </c:pt>
                <c:pt idx="11">
                  <c:v>58.893388476311621</c:v>
                </c:pt>
                <c:pt idx="12">
                  <c:v>60.689150116269985</c:v>
                </c:pt>
                <c:pt idx="13">
                  <c:v>62.541374022958891</c:v>
                </c:pt>
                <c:pt idx="14">
                  <c:v>64.458206911908647</c:v>
                </c:pt>
                <c:pt idx="15">
                  <c:v>66.435719161441128</c:v>
                </c:pt>
                <c:pt idx="16">
                  <c:v>68.482131067305048</c:v>
                </c:pt>
                <c:pt idx="17">
                  <c:v>70.600656338810083</c:v>
                </c:pt>
                <c:pt idx="18">
                  <c:v>72.792526767320254</c:v>
                </c:pt>
                <c:pt idx="19">
                  <c:v>75.05901554582023</c:v>
                </c:pt>
                <c:pt idx="20">
                  <c:v>77.403460636852515</c:v>
                </c:pt>
                <c:pt idx="21">
                  <c:v>81.063930576901171</c:v>
                </c:pt>
                <c:pt idx="22">
                  <c:v>83.603535997852333</c:v>
                </c:pt>
                <c:pt idx="23">
                  <c:v>86.226428870382691</c:v>
                </c:pt>
                <c:pt idx="24">
                  <c:v>88.94740358202553</c:v>
                </c:pt>
                <c:pt idx="25">
                  <c:v>91.752541017530206</c:v>
                </c:pt>
                <c:pt idx="26">
                  <c:v>94.661100143151558</c:v>
                </c:pt>
                <c:pt idx="27">
                  <c:v>97.659268645372222</c:v>
                </c:pt>
                <c:pt idx="28">
                  <c:v>100.76423531454027</c:v>
                </c:pt>
                <c:pt idx="29">
                  <c:v>103.97559394510671</c:v>
                </c:pt>
                <c:pt idx="30">
                  <c:v>107.29517915499662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F6-4B70-B97B-566472B3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'B13 Non POL Tankers 28T'!$A$171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'B13 Non POL Tankers 28T'!$C$164:$AG$164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'B13 Non POL Tankers 28T'!$C$171:$AB$171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37.284702488924225</c:v>
                      </c:pt>
                      <c:pt idx="1">
                        <c:v>39.789264522603517</c:v>
                      </c:pt>
                      <c:pt idx="2">
                        <c:v>40.765104968482092</c:v>
                      </c:pt>
                      <c:pt idx="3">
                        <c:v>41.77020221793223</c:v>
                      </c:pt>
                      <c:pt idx="4">
                        <c:v>42.804932391288368</c:v>
                      </c:pt>
                      <c:pt idx="5">
                        <c:v>44.51218962504494</c:v>
                      </c:pt>
                      <c:pt idx="6">
                        <c:v>45.627268928260911</c:v>
                      </c:pt>
                      <c:pt idx="7">
                        <c:v>46.774305128794872</c:v>
                      </c:pt>
                      <c:pt idx="8">
                        <c:v>47.954044688343693</c:v>
                      </c:pt>
                      <c:pt idx="9">
                        <c:v>49.176926369248513</c:v>
                      </c:pt>
                      <c:pt idx="10">
                        <c:v>50.433723884312656</c:v>
                      </c:pt>
                      <c:pt idx="11">
                        <c:v>52.505353857367034</c:v>
                      </c:pt>
                      <c:pt idx="12">
                        <c:v>53.865440944513821</c:v>
                      </c:pt>
                      <c:pt idx="13">
                        <c:v>55.262231966004443</c:v>
                      </c:pt>
                      <c:pt idx="14">
                        <c:v>56.706589636631257</c:v>
                      </c:pt>
                      <c:pt idx="15">
                        <c:v>58.189218290951302</c:v>
                      </c:pt>
                      <c:pt idx="16">
                        <c:v>59.721014125294936</c:v>
                      </c:pt>
                      <c:pt idx="17">
                        <c:v>61.302716133205557</c:v>
                      </c:pt>
                      <c:pt idx="18">
                        <c:v>62.935256391311306</c:v>
                      </c:pt>
                      <c:pt idx="19">
                        <c:v>64.61958587233859</c:v>
                      </c:pt>
                      <c:pt idx="20">
                        <c:v>66.356500282226818</c:v>
                      </c:pt>
                      <c:pt idx="21">
                        <c:v>69.195579536074661</c:v>
                      </c:pt>
                      <c:pt idx="22">
                        <c:v>71.072289150218026</c:v>
                      </c:pt>
                      <c:pt idx="23">
                        <c:v>73.005562628317449</c:v>
                      </c:pt>
                      <c:pt idx="24">
                        <c:v>75.006484547404142</c:v>
                      </c:pt>
                      <c:pt idx="25">
                        <c:v>77.066162790791111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11F6-4B70-B97B-566472B3DF84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'B13 Non POL Tankers 28T'!$B$174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28T'!$C$174:$AG$174</c:f>
              <c:numCache>
                <c:formatCode>_ [$₹-4009]\ * #,##0.00_ ;_ [$₹-4009]\ * \-#,##0.00_ ;_ [$₹-4009]\ * "-"??_ ;_ @_ </c:formatCode>
                <c:ptCount val="31"/>
                <c:pt idx="0">
                  <c:v>2.2393214708062597</c:v>
                </c:pt>
                <c:pt idx="1">
                  <c:v>2.3897456169731841</c:v>
                </c:pt>
                <c:pt idx="2">
                  <c:v>2.4483546527616875</c:v>
                </c:pt>
                <c:pt idx="3">
                  <c:v>2.5087208539298635</c:v>
                </c:pt>
                <c:pt idx="4">
                  <c:v>2.5708668102875896</c:v>
                </c:pt>
                <c:pt idx="5">
                  <c:v>2.6734047822849814</c:v>
                </c:pt>
                <c:pt idx="6">
                  <c:v>2.7403765122078623</c:v>
                </c:pt>
                <c:pt idx="7">
                  <c:v>2.8092675753029952</c:v>
                </c:pt>
                <c:pt idx="8">
                  <c:v>2.880122804104726</c:v>
                </c:pt>
                <c:pt idx="9">
                  <c:v>2.9535691513062168</c:v>
                </c:pt>
                <c:pt idx="10">
                  <c:v>3.0290524855443035</c:v>
                </c:pt>
                <c:pt idx="11">
                  <c:v>3.1534747061481703</c:v>
                </c:pt>
                <c:pt idx="12">
                  <c:v>3.2351616182891183</c:v>
                </c:pt>
                <c:pt idx="13">
                  <c:v>3.3190529709311978</c:v>
                </c:pt>
                <c:pt idx="14">
                  <c:v>3.4058011793772525</c:v>
                </c:pt>
                <c:pt idx="15">
                  <c:v>3.4948479454024803</c:v>
                </c:pt>
                <c:pt idx="16">
                  <c:v>3.5868476952129087</c:v>
                </c:pt>
                <c:pt idx="17">
                  <c:v>3.6818448128051386</c:v>
                </c:pt>
                <c:pt idx="18">
                  <c:v>3.7798952787574356</c:v>
                </c:pt>
                <c:pt idx="19">
                  <c:v>3.8810562085488645</c:v>
                </c:pt>
                <c:pt idx="20">
                  <c:v>3.9853753923259347</c:v>
                </c:pt>
                <c:pt idx="21">
                  <c:v>4.1558906628273071</c:v>
                </c:pt>
                <c:pt idx="22">
                  <c:v>4.2686059549680486</c:v>
                </c:pt>
                <c:pt idx="23">
                  <c:v>4.3847184761752214</c:v>
                </c:pt>
                <c:pt idx="24">
                  <c:v>4.5048939668110597</c:v>
                </c:pt>
                <c:pt idx="25">
                  <c:v>4.6285983658132794</c:v>
                </c:pt>
                <c:pt idx="26">
                  <c:v>4.756500263223403</c:v>
                </c:pt>
                <c:pt idx="27">
                  <c:v>4.8880685497978265</c:v>
                </c:pt>
                <c:pt idx="28">
                  <c:v>5.0239862318070037</c:v>
                </c:pt>
                <c:pt idx="29">
                  <c:v>5.1643259683993863</c:v>
                </c:pt>
                <c:pt idx="30">
                  <c:v>5.3091620887512114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E9A-9344-F81E65AA4A70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4D7F-4E9A-9344-F81E65AA4A70}"/>
            </c:ext>
          </c:extLst>
        </c:ser>
        <c:ser>
          <c:idx val="3"/>
          <c:order val="2"/>
          <c:tx>
            <c:strRef>
              <c:f>'B13 Non POL Tankers 28T'!$B$177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28T'!$C$177:$AG$177</c:f>
              <c:numCache>
                <c:formatCode>_ [$₹-4009]\ * #,##0.00_ ;_ [$₹-4009]\ * \-#,##0.00_ ;_ [$₹-4009]\ * "-"??_ ;_ @_ </c:formatCode>
                <c:ptCount val="31"/>
                <c:pt idx="0">
                  <c:v>3.1604948818327987</c:v>
                </c:pt>
                <c:pt idx="1">
                  <c:v>3.1842468962266306</c:v>
                </c:pt>
                <c:pt idx="2">
                  <c:v>3.2045912334363695</c:v>
                </c:pt>
                <c:pt idx="3">
                  <c:v>3.1973452287571629</c:v>
                </c:pt>
                <c:pt idx="4">
                  <c:v>3.1867203811884233</c:v>
                </c:pt>
                <c:pt idx="5">
                  <c:v>3.2203034433454429</c:v>
                </c:pt>
                <c:pt idx="6">
                  <c:v>3.1255585485233595</c:v>
                </c:pt>
                <c:pt idx="7">
                  <c:v>3.1436481777636565</c:v>
                </c:pt>
                <c:pt idx="8">
                  <c:v>3.1522896461649892</c:v>
                </c:pt>
                <c:pt idx="9">
                  <c:v>3.1679712062899661</c:v>
                </c:pt>
                <c:pt idx="10">
                  <c:v>3.1906374881566757</c:v>
                </c:pt>
                <c:pt idx="11">
                  <c:v>3.147424950381144</c:v>
                </c:pt>
                <c:pt idx="12">
                  <c:v>3.1867116686799233</c:v>
                </c:pt>
                <c:pt idx="13">
                  <c:v>3.2271304919339361</c:v>
                </c:pt>
                <c:pt idx="14">
                  <c:v>3.2727827348051242</c:v>
                </c:pt>
                <c:pt idx="15">
                  <c:v>3.3240634232564834</c:v>
                </c:pt>
                <c:pt idx="16">
                  <c:v>3.3711711803889899</c:v>
                </c:pt>
                <c:pt idx="17">
                  <c:v>3.4421463044815956</c:v>
                </c:pt>
                <c:pt idx="18">
                  <c:v>3.5146481517246877</c:v>
                </c:pt>
                <c:pt idx="19">
                  <c:v>3.5902574710203528</c:v>
                </c:pt>
                <c:pt idx="20">
                  <c:v>3.6689297282194961</c:v>
                </c:pt>
                <c:pt idx="21">
                  <c:v>3.6584487153065584</c:v>
                </c:pt>
                <c:pt idx="22">
                  <c:v>3.7424765392181163</c:v>
                </c:pt>
                <c:pt idx="23">
                  <c:v>3.8298701321926489</c:v>
                </c:pt>
                <c:pt idx="24">
                  <c:v>3.921406905685052</c:v>
                </c:pt>
                <c:pt idx="25">
                  <c:v>4.016927201898441</c:v>
                </c:pt>
                <c:pt idx="26">
                  <c:v>4.1352023259104689</c:v>
                </c:pt>
                <c:pt idx="27">
                  <c:v>4.2606338994565798</c:v>
                </c:pt>
                <c:pt idx="28">
                  <c:v>4.3905569878417285</c:v>
                </c:pt>
                <c:pt idx="29">
                  <c:v>4.5259345989797657</c:v>
                </c:pt>
                <c:pt idx="30">
                  <c:v>4.6661171979757565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E9A-9344-F81E65AA4A70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4D7F-4E9A-9344-F81E65AA4A70}"/>
            </c:ext>
          </c:extLst>
        </c:ser>
        <c:ser>
          <c:idx val="2"/>
          <c:order val="5"/>
          <c:tx>
            <c:strRef>
              <c:f>'B13 Non POL Tankers 28T'!$B$175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28T'!$C$175:$AG$175</c:f>
              <c:numCache>
                <c:formatCode>_ [$₹-4009]\ * #,##0.00_ ;_ [$₹-4009]\ * \-#,##0.00_ ;_ [$₹-4009]\ * "-"??_ ;_ @_ </c:formatCode>
                <c:ptCount val="31"/>
                <c:pt idx="0">
                  <c:v>4.2635108813544669</c:v>
                </c:pt>
                <c:pt idx="1">
                  <c:v>4.2658128288671513</c:v>
                </c:pt>
                <c:pt idx="2">
                  <c:v>4.2725170859461432</c:v>
                </c:pt>
                <c:pt idx="3">
                  <c:v>4.2837028929231655</c:v>
                </c:pt>
                <c:pt idx="4">
                  <c:v>4.2990863078390147</c:v>
                </c:pt>
                <c:pt idx="5">
                  <c:v>4.3676188201895085</c:v>
                </c:pt>
                <c:pt idx="6">
                  <c:v>4.2494300495723651</c:v>
                </c:pt>
                <c:pt idx="7">
                  <c:v>4.2080309241861853</c:v>
                </c:pt>
                <c:pt idx="8">
                  <c:v>4.1713413112641735</c:v>
                </c:pt>
                <c:pt idx="9">
                  <c:v>4.1396306325981245</c:v>
                </c:pt>
                <c:pt idx="10">
                  <c:v>4.1124608157167968</c:v>
                </c:pt>
                <c:pt idx="11">
                  <c:v>4.0345748671301296</c:v>
                </c:pt>
                <c:pt idx="12">
                  <c:v>4.0156581187296227</c:v>
                </c:pt>
                <c:pt idx="13">
                  <c:v>4.0008918975384793</c:v>
                </c:pt>
                <c:pt idx="14">
                  <c:v>3.9908136627717012</c:v>
                </c:pt>
                <c:pt idx="15">
                  <c:v>3.9849911673761653</c:v>
                </c:pt>
                <c:pt idx="16">
                  <c:v>3.9086829273309744</c:v>
                </c:pt>
                <c:pt idx="17">
                  <c:v>3.9280757017081989</c:v>
                </c:pt>
                <c:pt idx="18">
                  <c:v>3.95176437311622</c:v>
                </c:pt>
                <c:pt idx="19">
                  <c:v>3.9797009248480202</c:v>
                </c:pt>
                <c:pt idx="20">
                  <c:v>4.0118418427590292</c:v>
                </c:pt>
                <c:pt idx="21">
                  <c:v>4.0129656653287338</c:v>
                </c:pt>
                <c:pt idx="22">
                  <c:v>4.0525333426551482</c:v>
                </c:pt>
                <c:pt idx="23">
                  <c:v>4.0962842142923943</c:v>
                </c:pt>
                <c:pt idx="24">
                  <c:v>4.1446829312962761</c:v>
                </c:pt>
                <c:pt idx="25">
                  <c:v>4.1972155052985203</c:v>
                </c:pt>
                <c:pt idx="26">
                  <c:v>4.2453630005472691</c:v>
                </c:pt>
                <c:pt idx="27">
                  <c:v>4.3454525063825402</c:v>
                </c:pt>
                <c:pt idx="28">
                  <c:v>4.4506150869576606</c:v>
                </c:pt>
                <c:pt idx="29">
                  <c:v>4.5609748225822058</c:v>
                </c:pt>
                <c:pt idx="30">
                  <c:v>4.6765503557491375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F-4E9A-9344-F81E65AA4A70}"/>
            </c:ext>
          </c:extLst>
        </c:ser>
        <c:ser>
          <c:idx val="6"/>
          <c:order val="6"/>
          <c:tx>
            <c:strRef>
              <c:f>'B13 Non POL Tankers 28T'!$A$176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28T'!$C$176:$AG$176</c:f>
              <c:numCache>
                <c:formatCode>_ [$₹-4009]\ * #,##0.00_ ;_ [$₹-4009]\ * \-#,##0.00_ ;_ [$₹-4009]\ * "-"??_ ;_ @_ </c:formatCode>
                <c:ptCount val="31"/>
                <c:pt idx="0">
                  <c:v>2.2205349594572881</c:v>
                </c:pt>
                <c:pt idx="1">
                  <c:v>2.2902446079557279</c:v>
                </c:pt>
                <c:pt idx="2">
                  <c:v>2.3565110537475111</c:v>
                </c:pt>
                <c:pt idx="3">
                  <c:v>2.4250505786131038</c:v>
                </c:pt>
                <c:pt idx="4">
                  <c:v>2.49580339050177</c:v>
                </c:pt>
                <c:pt idx="5">
                  <c:v>2.6090974606694428</c:v>
                </c:pt>
                <c:pt idx="6">
                  <c:v>2.68581511441</c:v>
                </c:pt>
                <c:pt idx="7">
                  <c:v>2.7648771932910186</c:v>
                </c:pt>
                <c:pt idx="8">
                  <c:v>2.846531789797762</c:v>
                </c:pt>
                <c:pt idx="9">
                  <c:v>2.9313270147040571</c:v>
                </c:pt>
                <c:pt idx="10">
                  <c:v>3.0188128197995709</c:v>
                </c:pt>
                <c:pt idx="11">
                  <c:v>3.1613466905838425</c:v>
                </c:pt>
                <c:pt idx="12">
                  <c:v>3.2564376864477529</c:v>
                </c:pt>
                <c:pt idx="13">
                  <c:v>3.3543126287397911</c:v>
                </c:pt>
                <c:pt idx="14">
                  <c:v>3.4557382787396227</c:v>
                </c:pt>
                <c:pt idx="15">
                  <c:v>3.5602821071036974</c:v>
                </c:pt>
                <c:pt idx="16">
                  <c:v>3.6684961735786987</c:v>
                </c:pt>
                <c:pt idx="17">
                  <c:v>3.7805525701522624</c:v>
                </c:pt>
                <c:pt idx="18">
                  <c:v>3.8964069152299126</c:v>
                </c:pt>
                <c:pt idx="19">
                  <c:v>4.0163448976863432</c:v>
                </c:pt>
                <c:pt idx="20">
                  <c:v>4.1402172928298322</c:v>
                </c:pt>
                <c:pt idx="21">
                  <c:v>4.3374177834555008</c:v>
                </c:pt>
                <c:pt idx="22">
                  <c:v>4.4717699609963288</c:v>
                </c:pt>
                <c:pt idx="23">
                  <c:v>4.6104397923434171</c:v>
                </c:pt>
                <c:pt idx="24">
                  <c:v>4.7541071049989334</c:v>
                </c:pt>
                <c:pt idx="25">
                  <c:v>4.9024889565370202</c:v>
                </c:pt>
                <c:pt idx="26">
                  <c:v>5.0562706330904001</c:v>
                </c:pt>
                <c:pt idx="27">
                  <c:v>5.2147033432461161</c:v>
                </c:pt>
                <c:pt idx="28">
                  <c:v>5.3788318397691981</c:v>
                </c:pt>
                <c:pt idx="29">
                  <c:v>5.5485139787472413</c:v>
                </c:pt>
                <c:pt idx="30">
                  <c:v>5.7240822951724271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F-4E9A-9344-F81E65AA4A70}"/>
            </c:ext>
          </c:extLst>
        </c:ser>
        <c:ser>
          <c:idx val="7"/>
          <c:order val="7"/>
          <c:tx>
            <c:strRef>
              <c:f>'B13 Non POL Tankers 28T'!$A$178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28T'!$C$178:$AG$178</c:f>
              <c:numCache>
                <c:formatCode>_ [$₹-4009]\ * #,##0.00_ ;_ [$₹-4009]\ * \-#,##0.00_ ;_ [$₹-4009]\ * "-"??_ ;_ @_ </c:formatCode>
                <c:ptCount val="31"/>
                <c:pt idx="0">
                  <c:v>4.6821934667194398</c:v>
                </c:pt>
                <c:pt idx="1">
                  <c:v>4.6541278052519353</c:v>
                </c:pt>
                <c:pt idx="2">
                  <c:v>4.630752507741458</c:v>
                </c:pt>
                <c:pt idx="3">
                  <c:v>4.6120309158894184</c:v>
                </c:pt>
                <c:pt idx="4">
                  <c:v>4.598063935939166</c:v>
                </c:pt>
                <c:pt idx="5">
                  <c:v>4.6156917324761846</c:v>
                </c:pt>
                <c:pt idx="6">
                  <c:v>4.5111570327741974</c:v>
                </c:pt>
                <c:pt idx="7">
                  <c:v>4.4662600035489115</c:v>
                </c:pt>
                <c:pt idx="8">
                  <c:v>4.4256742727213725</c:v>
                </c:pt>
                <c:pt idx="9">
                  <c:v>4.3899325332272747</c:v>
                </c:pt>
                <c:pt idx="10">
                  <c:v>4.3585050781677737</c:v>
                </c:pt>
                <c:pt idx="11">
                  <c:v>4.2411491842140832</c:v>
                </c:pt>
                <c:pt idx="12">
                  <c:v>4.2186058164140041</c:v>
                </c:pt>
                <c:pt idx="13">
                  <c:v>4.2007204951861734</c:v>
                </c:pt>
                <c:pt idx="14">
                  <c:v>4.1873165105649557</c:v>
                </c:pt>
                <c:pt idx="15">
                  <c:v>4.1784732712207653</c:v>
                </c:pt>
                <c:pt idx="16">
                  <c:v>4.1076261425721752</c:v>
                </c:pt>
                <c:pt idx="17">
                  <c:v>4.1303274666526004</c:v>
                </c:pt>
                <c:pt idx="18">
                  <c:v>4.157504226619201</c:v>
                </c:pt>
                <c:pt idx="19">
                  <c:v>4.1885178157512293</c:v>
                </c:pt>
                <c:pt idx="20">
                  <c:v>4.223333529812126</c:v>
                </c:pt>
                <c:pt idx="21">
                  <c:v>4.1461808701907366</c:v>
                </c:pt>
                <c:pt idx="22">
                  <c:v>4.1877350060701293</c:v>
                </c:pt>
                <c:pt idx="23">
                  <c:v>4.2329459743793532</c:v>
                </c:pt>
                <c:pt idx="24">
                  <c:v>4.2825098572576623</c:v>
                </c:pt>
                <c:pt idx="25">
                  <c:v>4.3364071501082364</c:v>
                </c:pt>
                <c:pt idx="26">
                  <c:v>4.380511746860134</c:v>
                </c:pt>
                <c:pt idx="27">
                  <c:v>4.4828712523084571</c:v>
                </c:pt>
                <c:pt idx="28">
                  <c:v>4.589692480494878</c:v>
                </c:pt>
                <c:pt idx="29">
                  <c:v>4.7017023891984433</c:v>
                </c:pt>
                <c:pt idx="30">
                  <c:v>4.8183116406831932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F-4E9A-9344-F81E65AA4A70}"/>
            </c:ext>
          </c:extLst>
        </c:ser>
        <c:ser>
          <c:idx val="8"/>
          <c:order val="8"/>
          <c:tx>
            <c:strRef>
              <c:f>'B13 Non POL Tankers 28T'!$A$179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'B13 Non POL Tankers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28T'!$C$179:$AG$179</c:f>
              <c:numCache>
                <c:formatCode>_ [$₹-4009]\ * #,##0.00_ ;_ [$₹-4009]\ * \-#,##0.00_ ;_ [$₹-4009]\ * "-"??_ ;_ @_ </c:formatCode>
                <c:ptCount val="31"/>
                <c:pt idx="0">
                  <c:v>4.9216238144494113</c:v>
                </c:pt>
                <c:pt idx="1">
                  <c:v>4.8921229771114092</c:v>
                </c:pt>
                <c:pt idx="2">
                  <c:v>4.867552351887328</c:v>
                </c:pt>
                <c:pt idx="3">
                  <c:v>4.8478734059064914</c:v>
                </c:pt>
                <c:pt idx="4">
                  <c:v>4.8331922053906</c:v>
                </c:pt>
                <c:pt idx="5">
                  <c:v>4.8517214233414441</c:v>
                </c:pt>
                <c:pt idx="6">
                  <c:v>4.7418411992228782</c:v>
                </c:pt>
                <c:pt idx="7">
                  <c:v>4.6946482991849354</c:v>
                </c:pt>
                <c:pt idx="8">
                  <c:v>4.6519871616673516</c:v>
                </c:pt>
                <c:pt idx="9">
                  <c:v>4.6144177195854885</c:v>
                </c:pt>
                <c:pt idx="10">
                  <c:v>4.5813831787558987</c:v>
                </c:pt>
                <c:pt idx="11">
                  <c:v>4.4580261311341207</c:v>
                </c:pt>
                <c:pt idx="12">
                  <c:v>4.4343299774806297</c:v>
                </c:pt>
                <c:pt idx="13">
                  <c:v>4.4155300659627388</c:v>
                </c:pt>
                <c:pt idx="14">
                  <c:v>4.4014406503097545</c:v>
                </c:pt>
                <c:pt idx="15">
                  <c:v>4.3921451998627363</c:v>
                </c:pt>
                <c:pt idx="16">
                  <c:v>4.3176752066809794</c:v>
                </c:pt>
                <c:pt idx="17">
                  <c:v>4.3415373939246082</c:v>
                </c:pt>
                <c:pt idx="18">
                  <c:v>4.3701038745713197</c:v>
                </c:pt>
                <c:pt idx="19">
                  <c:v>4.4027033858748723</c:v>
                </c:pt>
                <c:pt idx="20">
                  <c:v>4.439299448950246</c:v>
                </c:pt>
                <c:pt idx="21">
                  <c:v>4.3582014828709452</c:v>
                </c:pt>
                <c:pt idx="22">
                  <c:v>4.4018805461532606</c:v>
                </c:pt>
                <c:pt idx="23">
                  <c:v>4.4494034389782975</c:v>
                </c:pt>
                <c:pt idx="24">
                  <c:v>4.5015018385947023</c:v>
                </c:pt>
                <c:pt idx="25">
                  <c:v>4.5581552430114982</c:v>
                </c:pt>
                <c:pt idx="26">
                  <c:v>4.6045151884609359</c:v>
                </c:pt>
                <c:pt idx="27">
                  <c:v>4.7121089868015034</c:v>
                </c:pt>
                <c:pt idx="28">
                  <c:v>4.824392664156548</c:v>
                </c:pt>
                <c:pt idx="29">
                  <c:v>4.9421303522824545</c:v>
                </c:pt>
                <c:pt idx="30">
                  <c:v>5.0647025768544927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F-4E9A-9344-F81E65AA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'B13 Non POL Tankers 28T'!$A$174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'B13 Non POL Tankers 28T'!$C$173:$AG$173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'B13 Non POL Tankers 28T'!$C$174:$AG$174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2.2393214708062597</c:v>
                      </c:pt>
                      <c:pt idx="1">
                        <c:v>2.3897456169731841</c:v>
                      </c:pt>
                      <c:pt idx="2">
                        <c:v>2.4483546527616875</c:v>
                      </c:pt>
                      <c:pt idx="3">
                        <c:v>2.5087208539298635</c:v>
                      </c:pt>
                      <c:pt idx="4">
                        <c:v>2.5708668102875896</c:v>
                      </c:pt>
                      <c:pt idx="5">
                        <c:v>2.6734047822849814</c:v>
                      </c:pt>
                      <c:pt idx="6">
                        <c:v>2.7403765122078623</c:v>
                      </c:pt>
                      <c:pt idx="7">
                        <c:v>2.8092675753029952</c:v>
                      </c:pt>
                      <c:pt idx="8">
                        <c:v>2.880122804104726</c:v>
                      </c:pt>
                      <c:pt idx="9">
                        <c:v>2.9535691513062168</c:v>
                      </c:pt>
                      <c:pt idx="10">
                        <c:v>3.0290524855443035</c:v>
                      </c:pt>
                      <c:pt idx="11">
                        <c:v>3.1534747061481703</c:v>
                      </c:pt>
                      <c:pt idx="12">
                        <c:v>3.2351616182891183</c:v>
                      </c:pt>
                      <c:pt idx="13">
                        <c:v>3.3190529709311978</c:v>
                      </c:pt>
                      <c:pt idx="14">
                        <c:v>3.4058011793772525</c:v>
                      </c:pt>
                      <c:pt idx="15">
                        <c:v>3.4948479454024803</c:v>
                      </c:pt>
                      <c:pt idx="16">
                        <c:v>3.5868476952129087</c:v>
                      </c:pt>
                      <c:pt idx="17">
                        <c:v>3.6818448128051386</c:v>
                      </c:pt>
                      <c:pt idx="18">
                        <c:v>3.7798952787574356</c:v>
                      </c:pt>
                      <c:pt idx="19">
                        <c:v>3.8810562085488645</c:v>
                      </c:pt>
                      <c:pt idx="20">
                        <c:v>3.9853753923259347</c:v>
                      </c:pt>
                      <c:pt idx="21">
                        <c:v>4.1558906628273071</c:v>
                      </c:pt>
                      <c:pt idx="22">
                        <c:v>4.2686059549680486</c:v>
                      </c:pt>
                      <c:pt idx="23">
                        <c:v>4.3847184761752214</c:v>
                      </c:pt>
                      <c:pt idx="24">
                        <c:v>4.5048939668110597</c:v>
                      </c:pt>
                      <c:pt idx="25">
                        <c:v>4.6285983658132794</c:v>
                      </c:pt>
                      <c:pt idx="26">
                        <c:v>4.756500263223403</c:v>
                      </c:pt>
                      <c:pt idx="27">
                        <c:v>4.8880685497978265</c:v>
                      </c:pt>
                      <c:pt idx="28">
                        <c:v>5.0239862318070037</c:v>
                      </c:pt>
                      <c:pt idx="29">
                        <c:v>5.1643259683993863</c:v>
                      </c:pt>
                      <c:pt idx="30">
                        <c:v>5.3091620887512114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D7F-4E9A-9344-F81E65AA4A70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'B13 Non POL Tankers 28T'!$A$62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28T'!$E$63:$AG$63</c:f>
              <c:numCache>
                <c:formatCode>_ [$₹-4009]\ * #,##0_ ;_ [$₹-4009]\ * \-#,##0_ ;_ [$₹-4009]\ * "-"??_ ;_ @_ </c:formatCode>
                <c:ptCount val="29"/>
                <c:pt idx="0">
                  <c:v>3819200</c:v>
                </c:pt>
                <c:pt idx="1">
                  <c:v>3933800</c:v>
                </c:pt>
                <c:pt idx="2">
                  <c:v>4051800</c:v>
                </c:pt>
                <c:pt idx="3">
                  <c:v>4573400</c:v>
                </c:pt>
                <c:pt idx="4">
                  <c:v>4710600</c:v>
                </c:pt>
                <c:pt idx="5">
                  <c:v>4851900</c:v>
                </c:pt>
                <c:pt idx="6">
                  <c:v>4997500</c:v>
                </c:pt>
                <c:pt idx="7">
                  <c:v>5147400</c:v>
                </c:pt>
                <c:pt idx="8">
                  <c:v>5301800</c:v>
                </c:pt>
                <c:pt idx="9">
                  <c:v>5460900</c:v>
                </c:pt>
                <c:pt idx="10">
                  <c:v>5624700</c:v>
                </c:pt>
                <c:pt idx="11">
                  <c:v>5793400</c:v>
                </c:pt>
                <c:pt idx="12">
                  <c:v>5967200</c:v>
                </c:pt>
                <c:pt idx="13">
                  <c:v>6146200</c:v>
                </c:pt>
                <c:pt idx="14">
                  <c:v>6330600</c:v>
                </c:pt>
                <c:pt idx="15">
                  <c:v>6520500</c:v>
                </c:pt>
                <c:pt idx="16">
                  <c:v>6716100</c:v>
                </c:pt>
                <c:pt idx="17">
                  <c:v>6917600</c:v>
                </c:pt>
                <c:pt idx="18">
                  <c:v>7125100</c:v>
                </c:pt>
                <c:pt idx="19">
                  <c:v>7338900</c:v>
                </c:pt>
                <c:pt idx="20">
                  <c:v>7559100</c:v>
                </c:pt>
                <c:pt idx="21">
                  <c:v>7785900</c:v>
                </c:pt>
                <c:pt idx="22">
                  <c:v>8019500</c:v>
                </c:pt>
                <c:pt idx="23">
                  <c:v>8260100</c:v>
                </c:pt>
                <c:pt idx="24">
                  <c:v>8507900</c:v>
                </c:pt>
                <c:pt idx="25">
                  <c:v>8763100</c:v>
                </c:pt>
                <c:pt idx="26">
                  <c:v>9026000</c:v>
                </c:pt>
                <c:pt idx="27">
                  <c:v>9296800</c:v>
                </c:pt>
                <c:pt idx="28">
                  <c:v>9575700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5-496C-9ED1-77E6B8B0C65D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3995-496C-9ED1-77E6B8B0C65D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3995-496C-9ED1-77E6B8B0C65D}"/>
            </c:ext>
          </c:extLst>
        </c:ser>
        <c:ser>
          <c:idx val="3"/>
          <c:order val="3"/>
          <c:tx>
            <c:strRef>
              <c:f>'B13 Non POL Tankers 28T'!$A$130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28T'!$C$132:$AG$132</c:f>
              <c:numCache>
                <c:formatCode>_ [$₹-4009]\ * #,##0_ ;_ [$₹-4009]\ * \-#,##0_ ;_ [$₹-4009]\ * "-"??_ ;_ @_ </c:formatCode>
                <c:ptCount val="31"/>
                <c:pt idx="0">
                  <c:v>8763000</c:v>
                </c:pt>
                <c:pt idx="1">
                  <c:v>8718000</c:v>
                </c:pt>
                <c:pt idx="2">
                  <c:v>8680000</c:v>
                </c:pt>
                <c:pt idx="3">
                  <c:v>8470000</c:v>
                </c:pt>
                <c:pt idx="4">
                  <c:v>8275000</c:v>
                </c:pt>
                <c:pt idx="5">
                  <c:v>8295000</c:v>
                </c:pt>
                <c:pt idx="6">
                  <c:v>8150000</c:v>
                </c:pt>
                <c:pt idx="7">
                  <c:v>8190000</c:v>
                </c:pt>
                <c:pt idx="8">
                  <c:v>8235000</c:v>
                </c:pt>
                <c:pt idx="9">
                  <c:v>8286000</c:v>
                </c:pt>
                <c:pt idx="10">
                  <c:v>8343000</c:v>
                </c:pt>
                <c:pt idx="11">
                  <c:v>8407000</c:v>
                </c:pt>
                <c:pt idx="12">
                  <c:v>8476000</c:v>
                </c:pt>
                <c:pt idx="13">
                  <c:v>8552000</c:v>
                </c:pt>
                <c:pt idx="14">
                  <c:v>8635000</c:v>
                </c:pt>
                <c:pt idx="15">
                  <c:v>8724000</c:v>
                </c:pt>
                <c:pt idx="16">
                  <c:v>8740000</c:v>
                </c:pt>
                <c:pt idx="17">
                  <c:v>8903000</c:v>
                </c:pt>
                <c:pt idx="18">
                  <c:v>9072000</c:v>
                </c:pt>
                <c:pt idx="19">
                  <c:v>9247000</c:v>
                </c:pt>
                <c:pt idx="20">
                  <c:v>9427000</c:v>
                </c:pt>
                <c:pt idx="21">
                  <c:v>9614000</c:v>
                </c:pt>
                <c:pt idx="22">
                  <c:v>9807000</c:v>
                </c:pt>
                <c:pt idx="23">
                  <c:v>10007000</c:v>
                </c:pt>
                <c:pt idx="24">
                  <c:v>10214000</c:v>
                </c:pt>
                <c:pt idx="25">
                  <c:v>10427000</c:v>
                </c:pt>
                <c:pt idx="26">
                  <c:v>10688000</c:v>
                </c:pt>
                <c:pt idx="27">
                  <c:v>10956000</c:v>
                </c:pt>
                <c:pt idx="28">
                  <c:v>11232000</c:v>
                </c:pt>
                <c:pt idx="29">
                  <c:v>11516000</c:v>
                </c:pt>
                <c:pt idx="30">
                  <c:v>11807000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95-496C-9ED1-77E6B8B0C65D}"/>
            </c:ext>
          </c:extLst>
        </c:ser>
        <c:ser>
          <c:idx val="4"/>
          <c:order val="4"/>
          <c:tx>
            <c:strRef>
              <c:f>'B13 Non POL Tankers 28T'!$A$96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28T'!$C$98:$AG$98</c:f>
              <c:numCache>
                <c:formatCode>_ [$₹-4009]\ * #,##0_ ;_ [$₹-4009]\ * \-#,##0_ ;_ [$₹-4009]\ * "-"??_ ;_ @_ </c:formatCode>
                <c:ptCount val="31"/>
                <c:pt idx="0">
                  <c:v>4180000</c:v>
                </c:pt>
                <c:pt idx="1">
                  <c:v>4294000</c:v>
                </c:pt>
                <c:pt idx="2">
                  <c:v>4411000</c:v>
                </c:pt>
                <c:pt idx="3">
                  <c:v>4532000</c:v>
                </c:pt>
                <c:pt idx="4">
                  <c:v>4656000</c:v>
                </c:pt>
                <c:pt idx="5">
                  <c:v>5183000</c:v>
                </c:pt>
                <c:pt idx="6">
                  <c:v>5327000</c:v>
                </c:pt>
                <c:pt idx="7">
                  <c:v>5474000</c:v>
                </c:pt>
                <c:pt idx="8">
                  <c:v>5626000</c:v>
                </c:pt>
                <c:pt idx="9">
                  <c:v>5782000</c:v>
                </c:pt>
                <c:pt idx="10">
                  <c:v>5943000</c:v>
                </c:pt>
                <c:pt idx="11">
                  <c:v>6108000</c:v>
                </c:pt>
                <c:pt idx="12">
                  <c:v>6279000</c:v>
                </c:pt>
                <c:pt idx="13">
                  <c:v>6454000</c:v>
                </c:pt>
                <c:pt idx="14">
                  <c:v>6634000</c:v>
                </c:pt>
                <c:pt idx="15">
                  <c:v>6820000</c:v>
                </c:pt>
                <c:pt idx="16">
                  <c:v>7011000</c:v>
                </c:pt>
                <c:pt idx="17">
                  <c:v>7208000</c:v>
                </c:pt>
                <c:pt idx="18">
                  <c:v>7410000</c:v>
                </c:pt>
                <c:pt idx="19">
                  <c:v>7619000</c:v>
                </c:pt>
                <c:pt idx="20">
                  <c:v>7833000</c:v>
                </c:pt>
                <c:pt idx="21">
                  <c:v>8054000</c:v>
                </c:pt>
                <c:pt idx="22">
                  <c:v>8282000</c:v>
                </c:pt>
                <c:pt idx="23">
                  <c:v>8516000</c:v>
                </c:pt>
                <c:pt idx="24">
                  <c:v>8756000</c:v>
                </c:pt>
                <c:pt idx="25">
                  <c:v>9004000</c:v>
                </c:pt>
                <c:pt idx="26">
                  <c:v>9260000</c:v>
                </c:pt>
                <c:pt idx="27">
                  <c:v>9522000</c:v>
                </c:pt>
                <c:pt idx="28">
                  <c:v>9793000</c:v>
                </c:pt>
                <c:pt idx="29">
                  <c:v>10071000</c:v>
                </c:pt>
                <c:pt idx="30">
                  <c:v>10358000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95-496C-9ED1-77E6B8B0C65D}"/>
            </c:ext>
          </c:extLst>
        </c:ser>
        <c:ser>
          <c:idx val="5"/>
          <c:order val="5"/>
          <c:tx>
            <c:strRef>
              <c:f>'B13 Non POL Tankers 28T'!$A$113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28T'!$C$115:$AG$115</c:f>
              <c:numCache>
                <c:formatCode>_ [$₹-4009]\ * #,##0_ ;_ [$₹-4009]\ * \-#,##0_ ;_ [$₹-4009]\ * "-"??_ ;_ @_ </c:formatCode>
                <c:ptCount val="31"/>
                <c:pt idx="0">
                  <c:v>5179000</c:v>
                </c:pt>
                <c:pt idx="1">
                  <c:v>5208000</c:v>
                </c:pt>
                <c:pt idx="2">
                  <c:v>5244000</c:v>
                </c:pt>
                <c:pt idx="3">
                  <c:v>5288000</c:v>
                </c:pt>
                <c:pt idx="4">
                  <c:v>5338000</c:v>
                </c:pt>
                <c:pt idx="5">
                  <c:v>5795000</c:v>
                </c:pt>
                <c:pt idx="6">
                  <c:v>5884000</c:v>
                </c:pt>
                <c:pt idx="7">
                  <c:v>5978000</c:v>
                </c:pt>
                <c:pt idx="8">
                  <c:v>6079000</c:v>
                </c:pt>
                <c:pt idx="9">
                  <c:v>6185000</c:v>
                </c:pt>
                <c:pt idx="10">
                  <c:v>6298000</c:v>
                </c:pt>
                <c:pt idx="11">
                  <c:v>6417000</c:v>
                </c:pt>
                <c:pt idx="12">
                  <c:v>6543000</c:v>
                </c:pt>
                <c:pt idx="13">
                  <c:v>6675000</c:v>
                </c:pt>
                <c:pt idx="14">
                  <c:v>6813000</c:v>
                </c:pt>
                <c:pt idx="15">
                  <c:v>6959000</c:v>
                </c:pt>
                <c:pt idx="16">
                  <c:v>7151000</c:v>
                </c:pt>
                <c:pt idx="17">
                  <c:v>7349000</c:v>
                </c:pt>
                <c:pt idx="18">
                  <c:v>7553000</c:v>
                </c:pt>
                <c:pt idx="19">
                  <c:v>7763000</c:v>
                </c:pt>
                <c:pt idx="20">
                  <c:v>7979000</c:v>
                </c:pt>
                <c:pt idx="21">
                  <c:v>8201000</c:v>
                </c:pt>
                <c:pt idx="22">
                  <c:v>8430000</c:v>
                </c:pt>
                <c:pt idx="23">
                  <c:v>8666000</c:v>
                </c:pt>
                <c:pt idx="24">
                  <c:v>8908000</c:v>
                </c:pt>
                <c:pt idx="25">
                  <c:v>9157000</c:v>
                </c:pt>
                <c:pt idx="26">
                  <c:v>9414000</c:v>
                </c:pt>
                <c:pt idx="27">
                  <c:v>9679000</c:v>
                </c:pt>
                <c:pt idx="28">
                  <c:v>9951000</c:v>
                </c:pt>
                <c:pt idx="29">
                  <c:v>10231000</c:v>
                </c:pt>
                <c:pt idx="30">
                  <c:v>10519000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95-496C-9ED1-77E6B8B0C65D}"/>
            </c:ext>
          </c:extLst>
        </c:ser>
        <c:ser>
          <c:idx val="6"/>
          <c:order val="6"/>
          <c:tx>
            <c:strRef>
              <c:f>'B13 Non POL Tankers 28T'!$A$147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28T'!$C$149:$AG$149</c:f>
              <c:numCache>
                <c:formatCode>_ [$₹-4009]\ * #,##0_ ;_ [$₹-4009]\ * \-#,##0_ ;_ [$₹-4009]\ * "-"??_ ;_ @_ </c:formatCode>
                <c:ptCount val="31"/>
                <c:pt idx="0">
                  <c:v>11491000</c:v>
                </c:pt>
                <c:pt idx="1">
                  <c:v>11294000</c:v>
                </c:pt>
                <c:pt idx="2">
                  <c:v>11110000</c:v>
                </c:pt>
                <c:pt idx="3">
                  <c:v>10939000</c:v>
                </c:pt>
                <c:pt idx="4">
                  <c:v>10782000</c:v>
                </c:pt>
                <c:pt idx="5">
                  <c:v>10838000</c:v>
                </c:pt>
                <c:pt idx="6">
                  <c:v>10763000</c:v>
                </c:pt>
                <c:pt idx="7">
                  <c:v>10705000</c:v>
                </c:pt>
                <c:pt idx="8">
                  <c:v>10656000</c:v>
                </c:pt>
                <c:pt idx="9">
                  <c:v>10616000</c:v>
                </c:pt>
                <c:pt idx="10">
                  <c:v>10586000</c:v>
                </c:pt>
                <c:pt idx="11">
                  <c:v>10565000</c:v>
                </c:pt>
                <c:pt idx="12">
                  <c:v>10553000</c:v>
                </c:pt>
                <c:pt idx="13">
                  <c:v>10551000</c:v>
                </c:pt>
                <c:pt idx="14">
                  <c:v>10558000</c:v>
                </c:pt>
                <c:pt idx="15">
                  <c:v>10575000</c:v>
                </c:pt>
                <c:pt idx="16">
                  <c:v>10540000</c:v>
                </c:pt>
                <c:pt idx="17">
                  <c:v>10679000</c:v>
                </c:pt>
                <c:pt idx="18">
                  <c:v>10825000</c:v>
                </c:pt>
                <c:pt idx="19">
                  <c:v>10978000</c:v>
                </c:pt>
                <c:pt idx="20">
                  <c:v>11138000</c:v>
                </c:pt>
                <c:pt idx="21">
                  <c:v>11146000</c:v>
                </c:pt>
                <c:pt idx="22">
                  <c:v>11321000</c:v>
                </c:pt>
                <c:pt idx="23">
                  <c:v>11503000</c:v>
                </c:pt>
                <c:pt idx="24">
                  <c:v>11693000</c:v>
                </c:pt>
                <c:pt idx="25">
                  <c:v>11891000</c:v>
                </c:pt>
                <c:pt idx="26">
                  <c:v>12011000</c:v>
                </c:pt>
                <c:pt idx="27">
                  <c:v>12293000</c:v>
                </c:pt>
                <c:pt idx="28">
                  <c:v>12582000</c:v>
                </c:pt>
                <c:pt idx="29">
                  <c:v>12879000</c:v>
                </c:pt>
                <c:pt idx="30">
                  <c:v>13184000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95-496C-9ED1-77E6B8B0C65D}"/>
            </c:ext>
          </c:extLst>
        </c:ser>
        <c:ser>
          <c:idx val="7"/>
          <c:order val="7"/>
          <c:tx>
            <c:strRef>
              <c:f>'B13 Non POL Tankers 28T'!$A$79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'B13 Non POL Tankers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'B13 Non POL Tankers 28T'!$C$81:$AG$81</c:f>
              <c:numCache>
                <c:formatCode>_ [$₹-4009]\ * #,##0_ ;_ [$₹-4009]\ * \-#,##0_ ;_ [$₹-4009]\ * "-"??_ ;_ @_ </c:formatCode>
                <c:ptCount val="31"/>
                <c:pt idx="0">
                  <c:v>3850000</c:v>
                </c:pt>
                <c:pt idx="1">
                  <c:v>3966000</c:v>
                </c:pt>
                <c:pt idx="2">
                  <c:v>4084000</c:v>
                </c:pt>
                <c:pt idx="3">
                  <c:v>4207000</c:v>
                </c:pt>
                <c:pt idx="4">
                  <c:v>4333000</c:v>
                </c:pt>
                <c:pt idx="5">
                  <c:v>4863000</c:v>
                </c:pt>
                <c:pt idx="6">
                  <c:v>5009000</c:v>
                </c:pt>
                <c:pt idx="7">
                  <c:v>5159000</c:v>
                </c:pt>
                <c:pt idx="8">
                  <c:v>5314000</c:v>
                </c:pt>
                <c:pt idx="9">
                  <c:v>5474000</c:v>
                </c:pt>
                <c:pt idx="10">
                  <c:v>5638000</c:v>
                </c:pt>
                <c:pt idx="11">
                  <c:v>5807000</c:v>
                </c:pt>
                <c:pt idx="12">
                  <c:v>5981000</c:v>
                </c:pt>
                <c:pt idx="13">
                  <c:v>6161000</c:v>
                </c:pt>
                <c:pt idx="14">
                  <c:v>6345000</c:v>
                </c:pt>
                <c:pt idx="15">
                  <c:v>6536000</c:v>
                </c:pt>
                <c:pt idx="16">
                  <c:v>6732000</c:v>
                </c:pt>
                <c:pt idx="17">
                  <c:v>6934000</c:v>
                </c:pt>
                <c:pt idx="18">
                  <c:v>7142000</c:v>
                </c:pt>
                <c:pt idx="19">
                  <c:v>7356000</c:v>
                </c:pt>
                <c:pt idx="20">
                  <c:v>7577000</c:v>
                </c:pt>
                <c:pt idx="21">
                  <c:v>7804000</c:v>
                </c:pt>
                <c:pt idx="22">
                  <c:v>8038000</c:v>
                </c:pt>
                <c:pt idx="23">
                  <c:v>8279000</c:v>
                </c:pt>
                <c:pt idx="24">
                  <c:v>8528000</c:v>
                </c:pt>
                <c:pt idx="25">
                  <c:v>8783000</c:v>
                </c:pt>
                <c:pt idx="26">
                  <c:v>9047000</c:v>
                </c:pt>
                <c:pt idx="27">
                  <c:v>9318000</c:v>
                </c:pt>
                <c:pt idx="28">
                  <c:v>9598000</c:v>
                </c:pt>
                <c:pt idx="29">
                  <c:v>9886000</c:v>
                </c:pt>
                <c:pt idx="30">
                  <c:v>10182000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95-496C-9ED1-77E6B8B0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'B14 LPG Tankers 40T'!$A$165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'B14 LPG Tankers 40T'!$C$164:$AB$164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'B14 LPG Tankers 40T'!$C$165:$AB$165</c:f>
              <c:numCache>
                <c:formatCode>_ [$₹-4009]\ * #,##0.00_ ;_ [$₹-4009]\ * \-#,##0.00_ ;_ [$₹-4009]\ * "-"??_ ;_ @_ </c:formatCode>
                <c:ptCount val="26"/>
                <c:pt idx="0">
                  <c:v>60.271456499917136</c:v>
                </c:pt>
                <c:pt idx="1">
                  <c:v>64.145979363851154</c:v>
                </c:pt>
                <c:pt idx="2">
                  <c:v>65.807610754031487</c:v>
                </c:pt>
                <c:pt idx="3">
                  <c:v>67.516165464353236</c:v>
                </c:pt>
                <c:pt idx="4">
                  <c:v>69.28910527081996</c:v>
                </c:pt>
                <c:pt idx="5">
                  <c:v>72.180883576708908</c:v>
                </c:pt>
                <c:pt idx="6">
                  <c:v>74.100754610238354</c:v>
                </c:pt>
                <c:pt idx="7">
                  <c:v>76.071899418646098</c:v>
                </c:pt>
                <c:pt idx="8">
                  <c:v>78.112115744222294</c:v>
                </c:pt>
                <c:pt idx="9">
                  <c:v>80.205619006557896</c:v>
                </c:pt>
                <c:pt idx="10">
                  <c:v>82.370244763925882</c:v>
                </c:pt>
                <c:pt idx="11">
                  <c:v>86.138134180965594</c:v>
                </c:pt>
                <c:pt idx="12">
                  <c:v>88.494252854155363</c:v>
                </c:pt>
                <c:pt idx="13">
                  <c:v>90.926236203735996</c:v>
                </c:pt>
                <c:pt idx="14">
                  <c:v>93.435093154710586</c:v>
                </c:pt>
                <c:pt idx="15">
                  <c:v>96.022438207302301</c:v>
                </c:pt>
                <c:pt idx="16">
                  <c:v>98.689326686059758</c:v>
                </c:pt>
                <c:pt idx="17">
                  <c:v>101.45379639206188</c:v>
                </c:pt>
                <c:pt idx="18">
                  <c:v>104.30057707229355</c:v>
                </c:pt>
                <c:pt idx="19">
                  <c:v>107.24775797421647</c:v>
                </c:pt>
                <c:pt idx="20">
                  <c:v>110.28041348675973</c:v>
                </c:pt>
                <c:pt idx="21">
                  <c:v>115.47384898310777</c:v>
                </c:pt>
                <c:pt idx="22">
                  <c:v>118.77638073363492</c:v>
                </c:pt>
                <c:pt idx="23">
                  <c:v>122.18743217194078</c:v>
                </c:pt>
                <c:pt idx="24">
                  <c:v>125.70861885449776</c:v>
                </c:pt>
                <c:pt idx="25">
                  <c:v>129.3585704356116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1-49EF-91E0-8B5481BD85B9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'B14 LPG Tankers 40T'!$C$164:$AB$164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1-49EF-91E0-8B5481BD85B9}"/>
            </c:ext>
          </c:extLst>
        </c:ser>
        <c:ser>
          <c:idx val="4"/>
          <c:order val="2"/>
          <c:tx>
            <c:strRef>
              <c:f>'B14 LPG Tankers 40T'!$A$168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'B14 LPG Tankers 40T'!$C$164:$AB$164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'B14 LPG Tankers 40T'!$C$168:$AB$168</c:f>
              <c:numCache>
                <c:formatCode>_ [$₹-4009]\ * #,##0.00_ ;_ [$₹-4009]\ * \-#,##0.00_ ;_ [$₹-4009]\ * "-"??_ ;_ @_ </c:formatCode>
                <c:ptCount val="26"/>
                <c:pt idx="0">
                  <c:v>78.760076234903067</c:v>
                </c:pt>
                <c:pt idx="1">
                  <c:v>79.44652383762427</c:v>
                </c:pt>
                <c:pt idx="2">
                  <c:v>80.078695668723</c:v>
                </c:pt>
                <c:pt idx="3">
                  <c:v>79.967766761097025</c:v>
                </c:pt>
                <c:pt idx="4">
                  <c:v>79.825637429087024</c:v>
                </c:pt>
                <c:pt idx="5">
                  <c:v>80.718736292602884</c:v>
                </c:pt>
                <c:pt idx="6">
                  <c:v>78.965162683641083</c:v>
                </c:pt>
                <c:pt idx="7">
                  <c:v>79.663532899477985</c:v>
                </c:pt>
                <c:pt idx="8">
                  <c:v>80.191198832944707</c:v>
                </c:pt>
                <c:pt idx="9">
                  <c:v>80.87272143517562</c:v>
                </c:pt>
                <c:pt idx="10">
                  <c:v>81.720272196820702</c:v>
                </c:pt>
                <c:pt idx="11">
                  <c:v>80.520961930085676</c:v>
                </c:pt>
                <c:pt idx="12">
                  <c:v>81.73558584177772</c:v>
                </c:pt>
                <c:pt idx="13">
                  <c:v>82.98829280492663</c:v>
                </c:pt>
                <c:pt idx="14">
                  <c:v>84.373076870352094</c:v>
                </c:pt>
                <c:pt idx="15">
                  <c:v>85.886936162569668</c:v>
                </c:pt>
                <c:pt idx="16">
                  <c:v>87.261214688040852</c:v>
                </c:pt>
                <c:pt idx="17">
                  <c:v>89.287090559786137</c:v>
                </c:pt>
                <c:pt idx="18">
                  <c:v>91.361767145927288</c:v>
                </c:pt>
                <c:pt idx="19">
                  <c:v>93.529567013895374</c:v>
                </c:pt>
                <c:pt idx="20">
                  <c:v>95.77559114929096</c:v>
                </c:pt>
                <c:pt idx="21">
                  <c:v>95.437567078448865</c:v>
                </c:pt>
                <c:pt idx="22">
                  <c:v>97.83949505519395</c:v>
                </c:pt>
                <c:pt idx="23">
                  <c:v>100.33990981111026</c:v>
                </c:pt>
                <c:pt idx="24">
                  <c:v>102.95757524828495</c:v>
                </c:pt>
                <c:pt idx="25">
                  <c:v>105.67515194794615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1-49EF-91E0-8B5481BD85B9}"/>
            </c:ext>
          </c:extLst>
        </c:ser>
        <c:ser>
          <c:idx val="3"/>
          <c:order val="3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14F1-49EF-91E0-8B5481BD85B9}"/>
            </c:ext>
          </c:extLst>
        </c:ser>
        <c:ser>
          <c:idx val="5"/>
          <c:order val="4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Lit>
              <c:formatCode>General</c:formatCode>
              <c:ptCount val="2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14F1-49EF-91E0-8B5481BD8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'B14 LPG Tankers 40T'!$A$192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'B14 LPG Tankers 40T'!$C$164:$AB$164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'B14 LPG Tankers 40T'!$C$192:$AB$192</c:f>
              <c:numCache>
                <c:formatCode>0%</c:formatCode>
                <c:ptCount val="26"/>
                <c:pt idx="0">
                  <c:v>0.76525391265692333</c:v>
                </c:pt>
                <c:pt idx="1">
                  <c:v>0.80741077476158762</c:v>
                </c:pt>
                <c:pt idx="2">
                  <c:v>0.82178674620613867</c:v>
                </c:pt>
                <c:pt idx="3">
                  <c:v>0.84429224672557335</c:v>
                </c:pt>
                <c:pt idx="4">
                  <c:v>0.86800566212042873</c:v>
                </c:pt>
                <c:pt idx="5">
                  <c:v>0.89422712609195798</c:v>
                </c:pt>
                <c:pt idx="6">
                  <c:v>0.93839804911323932</c:v>
                </c:pt>
                <c:pt idx="7">
                  <c:v>0.9549149610855957</c:v>
                </c:pt>
                <c:pt idx="8">
                  <c:v>0.9740734255257415</c:v>
                </c:pt>
                <c:pt idx="9">
                  <c:v>0.991751205885257</c:v>
                </c:pt>
                <c:pt idx="10">
                  <c:v>1.0079536270454379</c:v>
                </c:pt>
                <c:pt idx="11">
                  <c:v>1.0697603719110704</c:v>
                </c:pt>
                <c:pt idx="12">
                  <c:v>1.0826894056336851</c:v>
                </c:pt>
                <c:pt idx="13">
                  <c:v>1.0956513639516408</c:v>
                </c:pt>
                <c:pt idx="14">
                  <c:v>1.1074041225056093</c:v>
                </c:pt>
                <c:pt idx="15">
                  <c:v>1.1180098219541539</c:v>
                </c:pt>
                <c:pt idx="16">
                  <c:v>1.1309643928161492</c:v>
                </c:pt>
                <c:pt idx="17">
                  <c:v>1.136265004895965</c:v>
                </c:pt>
                <c:pt idx="18">
                  <c:v>1.1416217125671375</c:v>
                </c:pt>
                <c:pt idx="19">
                  <c:v>1.1466722385048893</c:v>
                </c:pt>
                <c:pt idx="20">
                  <c:v>1.1514459181448358</c:v>
                </c:pt>
                <c:pt idx="21">
                  <c:v>1.2099412476450626</c:v>
                </c:pt>
                <c:pt idx="22">
                  <c:v>1.2139921681589823</c:v>
                </c:pt>
                <c:pt idx="23">
                  <c:v>1.2177351205712508</c:v>
                </c:pt>
                <c:pt idx="24">
                  <c:v>1.2209749360486399</c:v>
                </c:pt>
                <c:pt idx="25">
                  <c:v>1.2241153010059689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2-4CEC-9E68-43CFCA9B2522}"/>
            </c:ext>
          </c:extLst>
        </c:ser>
        <c:ser>
          <c:idx val="2"/>
          <c:order val="1"/>
          <c:tx>
            <c:strRef>
              <c:f>'[2]pManifold_TCO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'B14 LPG Tankers 40T'!$C$164:$AB$164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'[2]pManifold_TCO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2-4CEC-9E68-43CFCA9B2522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BF22-4CEC-9E68-43CFCA9B2522}"/>
            </c:ext>
          </c:extLst>
        </c:ser>
        <c:ser>
          <c:idx val="4"/>
          <c:order val="3"/>
          <c:tx>
            <c:v>FCEV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Lit>
              <c:formatCode>General</c:formatCode>
              <c:ptCount val="29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  <c:pt idx="7">
                <c:v>2029</c:v>
              </c:pt>
              <c:pt idx="8">
                <c:v>2030</c:v>
              </c:pt>
              <c:pt idx="9">
                <c:v>2031</c:v>
              </c:pt>
              <c:pt idx="10">
                <c:v>2032</c:v>
              </c:pt>
              <c:pt idx="11">
                <c:v>2033</c:v>
              </c:pt>
              <c:pt idx="12">
                <c:v>2034</c:v>
              </c:pt>
              <c:pt idx="13">
                <c:v>2035</c:v>
              </c:pt>
              <c:pt idx="14">
                <c:v>2036</c:v>
              </c:pt>
              <c:pt idx="15">
                <c:v>2037</c:v>
              </c:pt>
              <c:pt idx="16">
                <c:v>2038</c:v>
              </c:pt>
              <c:pt idx="17">
                <c:v>2039</c:v>
              </c:pt>
              <c:pt idx="18">
                <c:v>2040</c:v>
              </c:pt>
              <c:pt idx="19">
                <c:v>2041</c:v>
              </c:pt>
              <c:pt idx="20">
                <c:v>2042</c:v>
              </c:pt>
              <c:pt idx="21">
                <c:v>2043</c:v>
              </c:pt>
              <c:pt idx="22">
                <c:v>2044</c:v>
              </c:pt>
              <c:pt idx="23">
                <c:v>2045</c:v>
              </c:pt>
              <c:pt idx="24">
                <c:v>2046</c:v>
              </c:pt>
              <c:pt idx="25">
                <c:v>2047</c:v>
              </c:pt>
              <c:pt idx="26">
                <c:v>2048</c:v>
              </c:pt>
              <c:pt idx="27">
                <c:v>2049</c:v>
              </c:pt>
              <c:pt idx="28">
                <c:v>2050</c:v>
              </c:pt>
            </c:numLit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F22-4CEC-9E68-43CFCA9B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</c:lineChart>
      <c:catAx>
        <c:axId val="51219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ax val="2.200000000000000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'B14 LPG Tankers 40T'!$A$165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40T'!$C$165:$AG$165</c:f>
              <c:numCache>
                <c:formatCode>_ [$₹-4009]\ * #,##0.00_ ;_ [$₹-4009]\ * \-#,##0.00_ ;_ [$₹-4009]\ * "-"??_ ;_ @_ </c:formatCode>
                <c:ptCount val="31"/>
                <c:pt idx="0">
                  <c:v>60.271456499917136</c:v>
                </c:pt>
                <c:pt idx="1">
                  <c:v>64.145979363851154</c:v>
                </c:pt>
                <c:pt idx="2">
                  <c:v>65.807610754031487</c:v>
                </c:pt>
                <c:pt idx="3">
                  <c:v>67.516165464353236</c:v>
                </c:pt>
                <c:pt idx="4">
                  <c:v>69.28910527081996</c:v>
                </c:pt>
                <c:pt idx="5">
                  <c:v>72.180883576708908</c:v>
                </c:pt>
                <c:pt idx="6">
                  <c:v>74.100754610238354</c:v>
                </c:pt>
                <c:pt idx="7">
                  <c:v>76.071899418646098</c:v>
                </c:pt>
                <c:pt idx="8">
                  <c:v>78.112115744222294</c:v>
                </c:pt>
                <c:pt idx="9">
                  <c:v>80.205619006557896</c:v>
                </c:pt>
                <c:pt idx="10">
                  <c:v>82.370244763925882</c:v>
                </c:pt>
                <c:pt idx="11">
                  <c:v>86.138134180965594</c:v>
                </c:pt>
                <c:pt idx="12">
                  <c:v>88.494252854155363</c:v>
                </c:pt>
                <c:pt idx="13">
                  <c:v>90.926236203735996</c:v>
                </c:pt>
                <c:pt idx="14">
                  <c:v>93.435093154710586</c:v>
                </c:pt>
                <c:pt idx="15">
                  <c:v>96.022438207302301</c:v>
                </c:pt>
                <c:pt idx="16">
                  <c:v>98.689326686059758</c:v>
                </c:pt>
                <c:pt idx="17">
                  <c:v>101.45379639206188</c:v>
                </c:pt>
                <c:pt idx="18">
                  <c:v>104.30057707229355</c:v>
                </c:pt>
                <c:pt idx="19">
                  <c:v>107.24775797421647</c:v>
                </c:pt>
                <c:pt idx="20">
                  <c:v>110.28041348675973</c:v>
                </c:pt>
                <c:pt idx="21">
                  <c:v>115.47384898310777</c:v>
                </c:pt>
                <c:pt idx="22">
                  <c:v>118.77638073363492</c:v>
                </c:pt>
                <c:pt idx="23">
                  <c:v>122.18743217194078</c:v>
                </c:pt>
                <c:pt idx="24">
                  <c:v>125.70861885449776</c:v>
                </c:pt>
                <c:pt idx="25">
                  <c:v>129.3585704356116</c:v>
                </c:pt>
                <c:pt idx="26">
                  <c:v>133.1223014227574</c:v>
                </c:pt>
                <c:pt idx="27">
                  <c:v>137.01819423033672</c:v>
                </c:pt>
                <c:pt idx="28">
                  <c:v>141.04831561150942</c:v>
                </c:pt>
                <c:pt idx="29">
                  <c:v>145.21476941071037</c:v>
                </c:pt>
                <c:pt idx="30">
                  <c:v>149.51969789399743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8-4A9A-91DD-E67C4FF1876D}"/>
            </c:ext>
          </c:extLst>
        </c:ser>
        <c:ser>
          <c:idx val="4"/>
          <c:order val="1"/>
          <c:tx>
            <c:strRef>
              <c:f>'B14 LPG Tankers 40T'!$A$168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4"/>
            <c:marker>
              <c:symbol val="circle"/>
              <c:size val="4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78-4A9A-91DD-E67C4FF1876D}"/>
              </c:ext>
            </c:extLst>
          </c:dPt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40T'!$C$168:$AG$168</c:f>
              <c:numCache>
                <c:formatCode>_ [$₹-4009]\ * #,##0.00_ ;_ [$₹-4009]\ * \-#,##0.00_ ;_ [$₹-4009]\ * "-"??_ ;_ @_ </c:formatCode>
                <c:ptCount val="31"/>
                <c:pt idx="0">
                  <c:v>78.760076234903067</c:v>
                </c:pt>
                <c:pt idx="1">
                  <c:v>79.44652383762427</c:v>
                </c:pt>
                <c:pt idx="2">
                  <c:v>80.078695668723</c:v>
                </c:pt>
                <c:pt idx="3">
                  <c:v>79.967766761097025</c:v>
                </c:pt>
                <c:pt idx="4">
                  <c:v>79.825637429087024</c:v>
                </c:pt>
                <c:pt idx="5">
                  <c:v>80.718736292602884</c:v>
                </c:pt>
                <c:pt idx="6">
                  <c:v>78.965162683641083</c:v>
                </c:pt>
                <c:pt idx="7">
                  <c:v>79.663532899477985</c:v>
                </c:pt>
                <c:pt idx="8">
                  <c:v>80.191198832944707</c:v>
                </c:pt>
                <c:pt idx="9">
                  <c:v>80.87272143517562</c:v>
                </c:pt>
                <c:pt idx="10">
                  <c:v>81.720272196820702</c:v>
                </c:pt>
                <c:pt idx="11">
                  <c:v>80.520961930085676</c:v>
                </c:pt>
                <c:pt idx="12">
                  <c:v>81.73558584177772</c:v>
                </c:pt>
                <c:pt idx="13">
                  <c:v>82.98829280492663</c:v>
                </c:pt>
                <c:pt idx="14">
                  <c:v>84.373076870352094</c:v>
                </c:pt>
                <c:pt idx="15">
                  <c:v>85.886936162569668</c:v>
                </c:pt>
                <c:pt idx="16">
                  <c:v>87.261214688040852</c:v>
                </c:pt>
                <c:pt idx="17">
                  <c:v>89.287090559786137</c:v>
                </c:pt>
                <c:pt idx="18">
                  <c:v>91.361767145927288</c:v>
                </c:pt>
                <c:pt idx="19">
                  <c:v>93.529567013895374</c:v>
                </c:pt>
                <c:pt idx="20">
                  <c:v>95.77559114929096</c:v>
                </c:pt>
                <c:pt idx="21">
                  <c:v>95.437567078448865</c:v>
                </c:pt>
                <c:pt idx="22">
                  <c:v>97.83949505519395</c:v>
                </c:pt>
                <c:pt idx="23">
                  <c:v>100.33990981111026</c:v>
                </c:pt>
                <c:pt idx="24">
                  <c:v>102.95757524828495</c:v>
                </c:pt>
                <c:pt idx="25">
                  <c:v>105.67515194794615</c:v>
                </c:pt>
                <c:pt idx="26">
                  <c:v>108.92543551594906</c:v>
                </c:pt>
                <c:pt idx="27">
                  <c:v>112.35233467208154</c:v>
                </c:pt>
                <c:pt idx="28">
                  <c:v>115.9072244814019</c:v>
                </c:pt>
                <c:pt idx="29">
                  <c:v>119.60646024162658</c:v>
                </c:pt>
                <c:pt idx="30">
                  <c:v>123.44541824812573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8-4A9A-91DD-E67C4FF1876D}"/>
            </c:ext>
          </c:extLst>
        </c:ser>
        <c:ser>
          <c:idx val="3"/>
          <c:order val="2"/>
          <c:tx>
            <c:v>H2-ICE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BC78-4A9A-91DD-E67C4FF1876D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'B2 - TCO ML 28T'!$C$164:$AG$164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4-BC78-4A9A-91DD-E67C4FF1876D}"/>
            </c:ext>
          </c:extLst>
        </c:ser>
        <c:ser>
          <c:idx val="2"/>
          <c:order val="5"/>
          <c:tx>
            <c:strRef>
              <c:f>'B14 LPG Tankers 40T'!$A$169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40T'!$C$169:$AG$169</c:f>
              <c:numCache>
                <c:formatCode>_ [$₹-4009]\ * #,##0.00_ ;_ [$₹-4009]\ * \-#,##0.00_ ;_ [$₹-4009]\ * "-"??_ ;_ @_ </c:formatCode>
                <c:ptCount val="31"/>
                <c:pt idx="0">
                  <c:v>110.53570361638874</c:v>
                </c:pt>
                <c:pt idx="1">
                  <c:v>110.8168361211743</c:v>
                </c:pt>
                <c:pt idx="2">
                  <c:v>111.2122339007996</c:v>
                </c:pt>
                <c:pt idx="3">
                  <c:v>111.72083306267209</c:v>
                </c:pt>
                <c:pt idx="4">
                  <c:v>112.35492519673306</c:v>
                </c:pt>
                <c:pt idx="5">
                  <c:v>114.45634892640302</c:v>
                </c:pt>
                <c:pt idx="6">
                  <c:v>111.9042391067178</c:v>
                </c:pt>
                <c:pt idx="7">
                  <c:v>111.2137238207642</c:v>
                </c:pt>
                <c:pt idx="8">
                  <c:v>110.66138018745824</c:v>
                </c:pt>
                <c:pt idx="9">
                  <c:v>110.22162940899723</c:v>
                </c:pt>
                <c:pt idx="10">
                  <c:v>109.91251679582433</c:v>
                </c:pt>
                <c:pt idx="11">
                  <c:v>107.97357609566684</c:v>
                </c:pt>
                <c:pt idx="12">
                  <c:v>107.88665345303826</c:v>
                </c:pt>
                <c:pt idx="13">
                  <c:v>107.92335273858906</c:v>
                </c:pt>
                <c:pt idx="14">
                  <c:v>108.08210715804076</c:v>
                </c:pt>
                <c:pt idx="15">
                  <c:v>108.36460471039884</c:v>
                </c:pt>
                <c:pt idx="16">
                  <c:v>106.97606183586473</c:v>
                </c:pt>
                <c:pt idx="17">
                  <c:v>107.91801875208598</c:v>
                </c:pt>
                <c:pt idx="18">
                  <c:v>108.9755283643383</c:v>
                </c:pt>
                <c:pt idx="19">
                  <c:v>110.16089486519552</c:v>
                </c:pt>
                <c:pt idx="20">
                  <c:v>111.4531958371751</c:v>
                </c:pt>
                <c:pt idx="21">
                  <c:v>111.74612510283524</c:v>
                </c:pt>
                <c:pt idx="22">
                  <c:v>113.26039881227575</c:v>
                </c:pt>
                <c:pt idx="23">
                  <c:v>114.90395730615236</c:v>
                </c:pt>
                <c:pt idx="24">
                  <c:v>116.67306212117569</c:v>
                </c:pt>
                <c:pt idx="25">
                  <c:v>118.58376787761941</c:v>
                </c:pt>
                <c:pt idx="26">
                  <c:v>120.39947215276486</c:v>
                </c:pt>
                <c:pt idx="27">
                  <c:v>123.5117340152898</c:v>
                </c:pt>
                <c:pt idx="28">
                  <c:v>126.77356692962951</c:v>
                </c:pt>
                <c:pt idx="29">
                  <c:v>130.19131875198477</c:v>
                </c:pt>
                <c:pt idx="30">
                  <c:v>133.76536165362307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78-4A9A-91DD-E67C4FF1876D}"/>
            </c:ext>
          </c:extLst>
        </c:ser>
        <c:ser>
          <c:idx val="6"/>
          <c:order val="6"/>
          <c:tx>
            <c:strRef>
              <c:f>'B14 LPG Tankers 40T'!$A$170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40T'!$C$170:$AG$170</c:f>
              <c:numCache>
                <c:formatCode>_ [$₹-4009]\ * #,##0.00_ ;_ [$₹-4009]\ * \-#,##0.00_ ;_ [$₹-4009]\ * "-"??_ ;_ @_ </c:formatCode>
                <c:ptCount val="31"/>
                <c:pt idx="0">
                  <c:v>124.82878625861187</c:v>
                </c:pt>
                <c:pt idx="1">
                  <c:v>124.30063871742813</c:v>
                </c:pt>
                <c:pt idx="2">
                  <c:v>123.89433712120555</c:v>
                </c:pt>
                <c:pt idx="3">
                  <c:v>123.61649356965771</c:v>
                </c:pt>
                <c:pt idx="4">
                  <c:v>123.47920648820092</c:v>
                </c:pt>
                <c:pt idx="5">
                  <c:v>124.21074102881093</c:v>
                </c:pt>
                <c:pt idx="6">
                  <c:v>121.94007263861714</c:v>
                </c:pt>
                <c:pt idx="7">
                  <c:v>121.13700336787421</c:v>
                </c:pt>
                <c:pt idx="8">
                  <c:v>120.44469900354078</c:v>
                </c:pt>
                <c:pt idx="9">
                  <c:v>119.88568463591457</c:v>
                </c:pt>
                <c:pt idx="10">
                  <c:v>119.45466825312414</c:v>
                </c:pt>
                <c:pt idx="11">
                  <c:v>116.40774990667694</c:v>
                </c:pt>
                <c:pt idx="12">
                  <c:v>116.22439714721321</c:v>
                </c:pt>
                <c:pt idx="13">
                  <c:v>116.16605370303425</c:v>
                </c:pt>
                <c:pt idx="14">
                  <c:v>116.24466847135807</c:v>
                </c:pt>
                <c:pt idx="15">
                  <c:v>116.44595297802755</c:v>
                </c:pt>
                <c:pt idx="16">
                  <c:v>115.14511635605768</c:v>
                </c:pt>
                <c:pt idx="17">
                  <c:v>116.21454316904139</c:v>
                </c:pt>
                <c:pt idx="18">
                  <c:v>117.3983705793619</c:v>
                </c:pt>
                <c:pt idx="19">
                  <c:v>118.70621436616699</c:v>
                </c:pt>
                <c:pt idx="20">
                  <c:v>120.11355812820349</c:v>
                </c:pt>
                <c:pt idx="21">
                  <c:v>118.13824233373725</c:v>
                </c:pt>
                <c:pt idx="22">
                  <c:v>119.75548411173692</c:v>
                </c:pt>
                <c:pt idx="23">
                  <c:v>121.49173100342458</c:v>
                </c:pt>
                <c:pt idx="24">
                  <c:v>123.35984565773235</c:v>
                </c:pt>
                <c:pt idx="25">
                  <c:v>125.34924049467934</c:v>
                </c:pt>
                <c:pt idx="26">
                  <c:v>127.09590458667897</c:v>
                </c:pt>
                <c:pt idx="27">
                  <c:v>130.34491486717761</c:v>
                </c:pt>
                <c:pt idx="28">
                  <c:v>133.7313026181929</c:v>
                </c:pt>
                <c:pt idx="29">
                  <c:v>137.27849100400817</c:v>
                </c:pt>
                <c:pt idx="30">
                  <c:v>140.97009536718826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78-4A9A-91DD-E67C4FF1876D}"/>
            </c:ext>
          </c:extLst>
        </c:ser>
        <c:ser>
          <c:idx val="7"/>
          <c:order val="7"/>
          <c:tx>
            <c:strRef>
              <c:f>'B14 LPG Tankers 40T'!$A$96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40T'!$C$167:$AG$167</c:f>
              <c:numCache>
                <c:formatCode>_ [$₹-4009]\ * #,##0.00_ ;_ [$₹-4009]\ * \-#,##0.00_ ;_ [$₹-4009]\ * "-"??_ ;_ @_ </c:formatCode>
                <c:ptCount val="31"/>
                <c:pt idx="0">
                  <c:v>61.483761941235365</c:v>
                </c:pt>
                <c:pt idx="1">
                  <c:v>63.417847469149407</c:v>
                </c:pt>
                <c:pt idx="2">
                  <c:v>65.277640247256016</c:v>
                </c:pt>
                <c:pt idx="3">
                  <c:v>67.195094088579751</c:v>
                </c:pt>
                <c:pt idx="4">
                  <c:v>69.187831805354804</c:v>
                </c:pt>
                <c:pt idx="5">
                  <c:v>72.358102337081263</c:v>
                </c:pt>
                <c:pt idx="6">
                  <c:v>74.524070093786207</c:v>
                </c:pt>
                <c:pt idx="7">
                  <c:v>76.751718025663777</c:v>
                </c:pt>
                <c:pt idx="8">
                  <c:v>79.06439198588464</c:v>
                </c:pt>
                <c:pt idx="9">
                  <c:v>81.443756270869031</c:v>
                </c:pt>
                <c:pt idx="10">
                  <c:v>83.91043561864754</c:v>
                </c:pt>
                <c:pt idx="11">
                  <c:v>88.301170542218387</c:v>
                </c:pt>
                <c:pt idx="12">
                  <c:v>90.989345967099311</c:v>
                </c:pt>
                <c:pt idx="13">
                  <c:v>93.773025514273215</c:v>
                </c:pt>
                <c:pt idx="14">
                  <c:v>96.650502628728503</c:v>
                </c:pt>
                <c:pt idx="15">
                  <c:v>99.623147989271246</c:v>
                </c:pt>
                <c:pt idx="16">
                  <c:v>102.69541102526001</c:v>
                </c:pt>
                <c:pt idx="17">
                  <c:v>105.88238940911862</c:v>
                </c:pt>
                <c:pt idx="18">
                  <c:v>109.17196233964617</c:v>
                </c:pt>
                <c:pt idx="19">
                  <c:v>112.58236014637785</c:v>
                </c:pt>
                <c:pt idx="20">
                  <c:v>116.09853227813574</c:v>
                </c:pt>
                <c:pt idx="21">
                  <c:v>122.13875344786616</c:v>
                </c:pt>
                <c:pt idx="22">
                  <c:v>125.97290770593629</c:v>
                </c:pt>
                <c:pt idx="23">
                  <c:v>129.942893038954</c:v>
                </c:pt>
                <c:pt idx="24">
                  <c:v>134.04401201306362</c:v>
                </c:pt>
                <c:pt idx="25">
                  <c:v>138.30138001673481</c:v>
                </c:pt>
                <c:pt idx="26">
                  <c:v>142.70030134273838</c:v>
                </c:pt>
                <c:pt idx="27">
                  <c:v>147.25620908139445</c:v>
                </c:pt>
                <c:pt idx="28">
                  <c:v>151.9777514549329</c:v>
                </c:pt>
                <c:pt idx="29">
                  <c:v>156.86383480061662</c:v>
                </c:pt>
                <c:pt idx="30">
                  <c:v>161.91998107977227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C78-4A9A-91DD-E67C4FF1876D}"/>
            </c:ext>
          </c:extLst>
        </c:ser>
        <c:ser>
          <c:idx val="8"/>
          <c:order val="8"/>
          <c:tx>
            <c:strRef>
              <c:f>'B14 LPG Tankers 40T'!$A$79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40T'!$C$164:$AG$164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40T'!$C$166:$AG$166</c:f>
              <c:numCache>
                <c:formatCode>_ [$₹-4009]\ * #,##0.00_ ;_ [$₹-4009]\ * \-#,##0.00_ ;_ [$₹-4009]\ * "-"??_ ;_ @_ </c:formatCode>
                <c:ptCount val="31"/>
                <c:pt idx="0">
                  <c:v>59.411165147960737</c:v>
                </c:pt>
                <c:pt idx="1">
                  <c:v>61.708868523452196</c:v>
                </c:pt>
                <c:pt idx="2">
                  <c:v>63.581421245822433</c:v>
                </c:pt>
                <c:pt idx="3">
                  <c:v>65.512996016530423</c:v>
                </c:pt>
                <c:pt idx="4">
                  <c:v>67.521591855693003</c:v>
                </c:pt>
                <c:pt idx="5">
                  <c:v>70.709845196929265</c:v>
                </c:pt>
                <c:pt idx="6">
                  <c:v>72.893524749801017</c:v>
                </c:pt>
                <c:pt idx="7">
                  <c:v>75.142825511408006</c:v>
                </c:pt>
                <c:pt idx="8">
                  <c:v>77.475957305440971</c:v>
                </c:pt>
                <c:pt idx="9">
                  <c:v>79.87784646534395</c:v>
                </c:pt>
                <c:pt idx="10">
                  <c:v>82.366804143883954</c:v>
                </c:pt>
                <c:pt idx="11">
                  <c:v>86.557833970923454</c:v>
                </c:pt>
                <c:pt idx="12">
                  <c:v>89.274475815687865</c:v>
                </c:pt>
                <c:pt idx="13">
                  <c:v>92.084897797892651</c:v>
                </c:pt>
                <c:pt idx="14">
                  <c:v>94.991011469702343</c:v>
                </c:pt>
                <c:pt idx="15">
                  <c:v>97.994790258228917</c:v>
                </c:pt>
                <c:pt idx="16">
                  <c:v>101.09827150894019</c:v>
                </c:pt>
                <c:pt idx="17">
                  <c:v>104.3202252645837</c:v>
                </c:pt>
                <c:pt idx="18">
                  <c:v>107.64615644866079</c:v>
                </c:pt>
                <c:pt idx="19">
                  <c:v>111.09497378923518</c:v>
                </c:pt>
                <c:pt idx="20">
                  <c:v>114.65232548561343</c:v>
                </c:pt>
                <c:pt idx="21">
                  <c:v>120.50541659121816</c:v>
                </c:pt>
                <c:pt idx="22">
                  <c:v>124.38546274032572</c:v>
                </c:pt>
                <c:pt idx="23">
                  <c:v>128.40006720310592</c:v>
                </c:pt>
                <c:pt idx="24">
                  <c:v>132.55191955530162</c:v>
                </c:pt>
                <c:pt idx="25">
                  <c:v>136.86046350513973</c:v>
                </c:pt>
                <c:pt idx="26">
                  <c:v>141.31189979510225</c:v>
                </c:pt>
                <c:pt idx="27">
                  <c:v>145.92585586859568</c:v>
                </c:pt>
                <c:pt idx="28">
                  <c:v>150.70538897158042</c:v>
                </c:pt>
                <c:pt idx="29">
                  <c:v>155.65365602600684</c:v>
                </c:pt>
                <c:pt idx="30">
                  <c:v>160.77391694536524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78-4A9A-91DD-E67C4FF18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'B14 LPG Tankers 40T'!$A$171</c15:sqref>
                        </c15:formulaRef>
                      </c:ext>
                    </c:extLst>
                    <c:strCache>
                      <c:ptCount val="1"/>
                      <c:pt idx="0">
                        <c:v>Diesel - 10%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'B14 LPG Tankers 40T'!$C$164:$AG$164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'B14 LPG Tankers 40T'!$C$171:$AB$171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26"/>
                      <c:pt idx="0">
                        <c:v>54.244310849925427</c:v>
                      </c:pt>
                      <c:pt idx="1">
                        <c:v>57.73138142746604</c:v>
                      </c:pt>
                      <c:pt idx="2">
                        <c:v>59.226849678628341</c:v>
                      </c:pt>
                      <c:pt idx="3">
                        <c:v>60.764548917917914</c:v>
                      </c:pt>
                      <c:pt idx="4">
                        <c:v>62.360194743737964</c:v>
                      </c:pt>
                      <c:pt idx="5">
                        <c:v>64.962795219038014</c:v>
                      </c:pt>
                      <c:pt idx="6">
                        <c:v>66.690679149214517</c:v>
                      </c:pt>
                      <c:pt idx="7">
                        <c:v>68.464709476781493</c:v>
                      </c:pt>
                      <c:pt idx="8">
                        <c:v>70.300904169800063</c:v>
                      </c:pt>
                      <c:pt idx="9">
                        <c:v>72.185057105902104</c:v>
                      </c:pt>
                      <c:pt idx="10">
                        <c:v>74.133220287533291</c:v>
                      </c:pt>
                      <c:pt idx="11">
                        <c:v>77.524320762869039</c:v>
                      </c:pt>
                      <c:pt idx="12">
                        <c:v>79.644827568739828</c:v>
                      </c:pt>
                      <c:pt idx="13">
                        <c:v>81.833612583362395</c:v>
                      </c:pt>
                      <c:pt idx="14">
                        <c:v>84.091583839239533</c:v>
                      </c:pt>
                      <c:pt idx="15">
                        <c:v>86.420194386572078</c:v>
                      </c:pt>
                      <c:pt idx="16">
                        <c:v>88.820394017453779</c:v>
                      </c:pt>
                      <c:pt idx="17">
                        <c:v>91.308416752855692</c:v>
                      </c:pt>
                      <c:pt idx="18">
                        <c:v>93.870519365064197</c:v>
                      </c:pt>
                      <c:pt idx="19">
                        <c:v>96.522982176794827</c:v>
                      </c:pt>
                      <c:pt idx="20">
                        <c:v>99.252372138083757</c:v>
                      </c:pt>
                      <c:pt idx="21">
                        <c:v>103.92646408479699</c:v>
                      </c:pt>
                      <c:pt idx="22">
                        <c:v>106.89874266027144</c:v>
                      </c:pt>
                      <c:pt idx="23">
                        <c:v>109.96868895474671</c:v>
                      </c:pt>
                      <c:pt idx="24">
                        <c:v>113.13775696904798</c:v>
                      </c:pt>
                      <c:pt idx="25">
                        <c:v>116.42271339205044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BC78-4A9A-91DD-E67C4FF1876D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TCO per tonne-km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'B14 LPG Tankers 40T'!$B$174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rgbClr val="A6A6A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>
                  <a:lumMod val="75000"/>
                </a:schemeClr>
              </a:solidFill>
              <a:ln w="9525">
                <a:solidFill>
                  <a:srgbClr val="A6A6A6"/>
                </a:solidFill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40T'!$C$174:$AG$174</c:f>
              <c:numCache>
                <c:formatCode>_ [$₹-4009]\ * #,##0.00_ ;_ [$₹-4009]\ * \-#,##0.00_ ;_ [$₹-4009]\ * "-"??_ ;_ @_ </c:formatCode>
                <c:ptCount val="31"/>
                <c:pt idx="0">
                  <c:v>2.9400710487764457</c:v>
                </c:pt>
                <c:pt idx="1">
                  <c:v>3.1290721640902999</c:v>
                </c:pt>
                <c:pt idx="2">
                  <c:v>3.2101273538551944</c:v>
                </c:pt>
                <c:pt idx="3">
                  <c:v>3.2934714860660113</c:v>
                </c:pt>
                <c:pt idx="4">
                  <c:v>3.3799563546741442</c:v>
                </c:pt>
                <c:pt idx="5">
                  <c:v>3.521018711058971</c:v>
                </c:pt>
                <c:pt idx="6">
                  <c:v>3.614670956596993</c:v>
                </c:pt>
                <c:pt idx="7">
                  <c:v>3.7108243618851757</c:v>
                </c:pt>
                <c:pt idx="8">
                  <c:v>3.8103471094742583</c:v>
                </c:pt>
                <c:pt idx="9">
                  <c:v>3.9124692198320927</c:v>
                </c:pt>
                <c:pt idx="10">
                  <c:v>4.0180607201915066</c:v>
                </c:pt>
                <c:pt idx="11">
                  <c:v>4.2018602039495416</c:v>
                </c:pt>
                <c:pt idx="12">
                  <c:v>4.3167928221539205</c:v>
                </c:pt>
                <c:pt idx="13">
                  <c:v>4.4354261562798047</c:v>
                </c:pt>
                <c:pt idx="14">
                  <c:v>4.5578094221810037</c:v>
                </c:pt>
                <c:pt idx="15">
                  <c:v>4.6840213759659655</c:v>
                </c:pt>
                <c:pt idx="16">
                  <c:v>4.8141134968809638</c:v>
                </c:pt>
                <c:pt idx="17">
                  <c:v>4.9489656776615547</c:v>
                </c:pt>
                <c:pt idx="18">
                  <c:v>5.0878330279167585</c:v>
                </c:pt>
                <c:pt idx="19">
                  <c:v>5.2315979499617784</c:v>
                </c:pt>
                <c:pt idx="20">
                  <c:v>5.3795323652077913</c:v>
                </c:pt>
                <c:pt idx="21">
                  <c:v>5.6328706821028174</c:v>
                </c:pt>
                <c:pt idx="22">
                  <c:v>5.7939697918846305</c:v>
                </c:pt>
                <c:pt idx="23">
                  <c:v>5.9603625449727211</c:v>
                </c:pt>
                <c:pt idx="24">
                  <c:v>6.1321277489998911</c:v>
                </c:pt>
                <c:pt idx="25">
                  <c:v>6.3101741675908096</c:v>
                </c:pt>
                <c:pt idx="26">
                  <c:v>6.4937708011101165</c:v>
                </c:pt>
                <c:pt idx="27">
                  <c:v>6.6838143526993523</c:v>
                </c:pt>
                <c:pt idx="28">
                  <c:v>6.8804056395858257</c:v>
                </c:pt>
                <c:pt idx="29">
                  <c:v>7.0836472883273354</c:v>
                </c:pt>
                <c:pt idx="30">
                  <c:v>7.2936437997071915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0-47E8-9787-81C7856E082A}"/>
            </c:ext>
          </c:extLst>
        </c:ser>
        <c:ser>
          <c:idx val="4"/>
          <c:order val="1"/>
          <c:tx>
            <c:v>H2-ICE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rgbClr val="3CB1F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9440-47E8-9787-81C7856E082A}"/>
            </c:ext>
          </c:extLst>
        </c:ser>
        <c:ser>
          <c:idx val="3"/>
          <c:order val="2"/>
          <c:tx>
            <c:strRef>
              <c:f>'B14 LPG Tankers 40T'!$B$177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8575">
                <a:solidFill>
                  <a:schemeClr val="accent4"/>
                </a:solidFill>
                <a:prstDash val="sysDot"/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40T'!$C$177:$AG$177</c:f>
              <c:numCache>
                <c:formatCode>_ [$₹-4009]\ * #,##0.00_ ;_ [$₹-4009]\ * \-#,##0.00_ ;_ [$₹-4009]\ * "-"??_ ;_ @_ </c:formatCode>
                <c:ptCount val="31"/>
                <c:pt idx="0">
                  <c:v>4.3513854273427111</c:v>
                </c:pt>
                <c:pt idx="1">
                  <c:v>4.38931070926101</c:v>
                </c:pt>
                <c:pt idx="2">
                  <c:v>4.4242373297637014</c:v>
                </c:pt>
                <c:pt idx="3">
                  <c:v>4.4181086608340898</c:v>
                </c:pt>
                <c:pt idx="4">
                  <c:v>4.4102562115517694</c:v>
                </c:pt>
                <c:pt idx="5">
                  <c:v>4.459598690199055</c:v>
                </c:pt>
                <c:pt idx="6">
                  <c:v>4.3627161703669106</c:v>
                </c:pt>
                <c:pt idx="7">
                  <c:v>4.4013001601921538</c:v>
                </c:pt>
                <c:pt idx="8">
                  <c:v>4.4304529741958403</c:v>
                </c:pt>
                <c:pt idx="9">
                  <c:v>4.4681061566395366</c:v>
                </c:pt>
                <c:pt idx="10">
                  <c:v>4.5149321655702046</c:v>
                </c:pt>
                <c:pt idx="11">
                  <c:v>4.4486719298389872</c:v>
                </c:pt>
                <c:pt idx="12">
                  <c:v>4.5157782233026369</c:v>
                </c:pt>
                <c:pt idx="13">
                  <c:v>4.5849885527583769</c:v>
                </c:pt>
                <c:pt idx="14">
                  <c:v>4.6614959596879606</c:v>
                </c:pt>
                <c:pt idx="15">
                  <c:v>4.7451345946171086</c:v>
                </c:pt>
                <c:pt idx="16">
                  <c:v>4.8210615849746326</c:v>
                </c:pt>
                <c:pt idx="17">
                  <c:v>4.9329884287174659</c:v>
                </c:pt>
                <c:pt idx="18">
                  <c:v>5.0476114445263693</c:v>
                </c:pt>
                <c:pt idx="19">
                  <c:v>5.1673793930328928</c:v>
                </c:pt>
                <c:pt idx="20">
                  <c:v>5.2914691242702192</c:v>
                </c:pt>
                <c:pt idx="21">
                  <c:v>5.2727937612402691</c:v>
                </c:pt>
                <c:pt idx="22">
                  <c:v>5.4054969643753568</c:v>
                </c:pt>
                <c:pt idx="23">
                  <c:v>5.5436414260281914</c:v>
                </c:pt>
                <c:pt idx="24">
                  <c:v>5.688263825872097</c:v>
                </c:pt>
                <c:pt idx="25">
                  <c:v>5.8384061849693998</c:v>
                </c:pt>
                <c:pt idx="26">
                  <c:v>6.017979862759617</c:v>
                </c:pt>
                <c:pt idx="27">
                  <c:v>6.2073113078498094</c:v>
                </c:pt>
                <c:pt idx="28">
                  <c:v>6.403714059745961</c:v>
                </c:pt>
                <c:pt idx="29">
                  <c:v>6.6080917260567169</c:v>
                </c:pt>
                <c:pt idx="30">
                  <c:v>6.8201888534876094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0-47E8-9787-81C7856E082A}"/>
            </c:ext>
          </c:extLst>
        </c:ser>
        <c:ser>
          <c:idx val="5"/>
          <c:order val="3"/>
          <c:tx>
            <c:v>FCEV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rgbClr val="296FC0"/>
                </a:solidFill>
              </a:ln>
              <a:effectLst/>
            </c:spPr>
          </c:marker>
          <c:cat>
            <c:numRef>
              <c:f>'B2 - TCO ML 28T'!$C$173:$AG$173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9440-47E8-9787-81C7856E082A}"/>
            </c:ext>
          </c:extLst>
        </c:ser>
        <c:ser>
          <c:idx val="2"/>
          <c:order val="5"/>
          <c:tx>
            <c:strRef>
              <c:f>'B14 LPG Tankers 40T'!$B$175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40T'!$C$175:$AG$175</c:f>
              <c:numCache>
                <c:formatCode>_ [$₹-4009]\ * #,##0.00_ ;_ [$₹-4009]\ * \-#,##0.00_ ;_ [$₹-4009]\ * "-"??_ ;_ @_ </c:formatCode>
                <c:ptCount val="31"/>
                <c:pt idx="0">
                  <c:v>5.3919855422628657</c:v>
                </c:pt>
                <c:pt idx="1">
                  <c:v>5.4056993229841126</c:v>
                </c:pt>
                <c:pt idx="2">
                  <c:v>5.4249870195512004</c:v>
                </c:pt>
                <c:pt idx="3">
                  <c:v>5.449796734764492</c:v>
                </c:pt>
                <c:pt idx="4">
                  <c:v>5.4807280583772231</c:v>
                </c:pt>
                <c:pt idx="5">
                  <c:v>5.5832365329952696</c:v>
                </c:pt>
                <c:pt idx="6">
                  <c:v>5.4587433710594047</c:v>
                </c:pt>
                <c:pt idx="7">
                  <c:v>5.4250596985738628</c:v>
                </c:pt>
                <c:pt idx="8">
                  <c:v>5.3981161067052801</c:v>
                </c:pt>
                <c:pt idx="9">
                  <c:v>5.3766648492193765</c:v>
                </c:pt>
                <c:pt idx="10">
                  <c:v>5.361586185162162</c:v>
                </c:pt>
                <c:pt idx="11">
                  <c:v>5.2670037119837483</c:v>
                </c:pt>
                <c:pt idx="12">
                  <c:v>5.2627635830750368</c:v>
                </c:pt>
                <c:pt idx="13">
                  <c:v>5.2645537921262955</c:v>
                </c:pt>
                <c:pt idx="14">
                  <c:v>5.2722979101483292</c:v>
                </c:pt>
                <c:pt idx="15">
                  <c:v>5.2860782785560403</c:v>
                </c:pt>
                <c:pt idx="16">
                  <c:v>5.2183444797982794</c:v>
                </c:pt>
                <c:pt idx="17">
                  <c:v>5.2642935976627303</c:v>
                </c:pt>
                <c:pt idx="18">
                  <c:v>5.3158794324067467</c:v>
                </c:pt>
                <c:pt idx="19">
                  <c:v>5.3737021885461225</c:v>
                </c:pt>
                <c:pt idx="20">
                  <c:v>5.4367412603500052</c:v>
                </c:pt>
                <c:pt idx="21">
                  <c:v>5.4510304928212312</c:v>
                </c:pt>
                <c:pt idx="22">
                  <c:v>5.5248975030378418</c:v>
                </c:pt>
                <c:pt idx="23">
                  <c:v>5.6050710881049932</c:v>
                </c:pt>
                <c:pt idx="24">
                  <c:v>5.6913688839597896</c:v>
                </c:pt>
                <c:pt idx="25">
                  <c:v>5.7845740428107026</c:v>
                </c:pt>
                <c:pt idx="26">
                  <c:v>5.8731449830617004</c:v>
                </c:pt>
                <c:pt idx="27">
                  <c:v>6.0249626348921854</c:v>
                </c:pt>
                <c:pt idx="28">
                  <c:v>6.1840764355916837</c:v>
                </c:pt>
                <c:pt idx="29">
                  <c:v>6.3507960366821843</c:v>
                </c:pt>
                <c:pt idx="30">
                  <c:v>6.5251395928596629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40-47E8-9787-81C7856E082A}"/>
            </c:ext>
          </c:extLst>
        </c:ser>
        <c:ser>
          <c:idx val="6"/>
          <c:order val="6"/>
          <c:tx>
            <c:strRef>
              <c:f>'B14 LPG Tankers 40T'!$A$176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40T'!$C$176:$AG$176</c:f>
              <c:numCache>
                <c:formatCode>_ [$₹-4009]\ * #,##0.00_ ;_ [$₹-4009]\ * \-#,##0.00_ ;_ [$₹-4009]\ * "-"??_ ;_ @_ </c:formatCode>
                <c:ptCount val="31"/>
                <c:pt idx="0">
                  <c:v>2.9992078995724567</c:v>
                </c:pt>
                <c:pt idx="1">
                  <c:v>3.093553535080459</c:v>
                </c:pt>
                <c:pt idx="2">
                  <c:v>3.1842751340124886</c:v>
                </c:pt>
                <c:pt idx="3">
                  <c:v>3.2778094677355978</c:v>
                </c:pt>
                <c:pt idx="4">
                  <c:v>3.3750161856270635</c:v>
                </c:pt>
                <c:pt idx="5">
                  <c:v>3.5296635286381104</c:v>
                </c:pt>
                <c:pt idx="6">
                  <c:v>3.6353204923798148</c:v>
                </c:pt>
                <c:pt idx="7">
                  <c:v>3.7439862451543306</c:v>
                </c:pt>
                <c:pt idx="8">
                  <c:v>3.8567996090675436</c:v>
                </c:pt>
                <c:pt idx="9">
                  <c:v>3.9728661595545867</c:v>
                </c:pt>
                <c:pt idx="10">
                  <c:v>4.0931919813974407</c:v>
                </c:pt>
                <c:pt idx="11">
                  <c:v>4.3073741727911408</c:v>
                </c:pt>
                <c:pt idx="12">
                  <c:v>4.4385046813219171</c:v>
                </c:pt>
                <c:pt idx="13">
                  <c:v>4.574293927525523</c:v>
                </c:pt>
                <c:pt idx="14">
                  <c:v>4.7146586648160245</c:v>
                </c:pt>
                <c:pt idx="15">
                  <c:v>4.8596657555742073</c:v>
                </c:pt>
                <c:pt idx="16">
                  <c:v>5.0095322451346345</c:v>
                </c:pt>
                <c:pt idx="17">
                  <c:v>5.1649946053228595</c:v>
                </c:pt>
                <c:pt idx="18">
                  <c:v>5.3254615775437157</c:v>
                </c:pt>
                <c:pt idx="19">
                  <c:v>5.4918224461647727</c:v>
                </c:pt>
                <c:pt idx="20">
                  <c:v>5.6633430379578407</c:v>
                </c:pt>
                <c:pt idx="21">
                  <c:v>5.9579879730666425</c:v>
                </c:pt>
                <c:pt idx="22">
                  <c:v>6.1450198880944535</c:v>
                </c:pt>
                <c:pt idx="23">
                  <c:v>6.3386777092172686</c:v>
                </c:pt>
                <c:pt idx="24">
                  <c:v>6.5387322933201766</c:v>
                </c:pt>
                <c:pt idx="25">
                  <c:v>6.7464087813041376</c:v>
                </c:pt>
                <c:pt idx="26">
                  <c:v>6.9609903094018728</c:v>
                </c:pt>
                <c:pt idx="27">
                  <c:v>7.1832297112875345</c:v>
                </c:pt>
                <c:pt idx="28">
                  <c:v>7.413548851460142</c:v>
                </c:pt>
                <c:pt idx="29">
                  <c:v>7.6518943805178843</c:v>
                </c:pt>
                <c:pt idx="30">
                  <c:v>7.8985356624279159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40-47E8-9787-81C7856E082A}"/>
            </c:ext>
          </c:extLst>
        </c:ser>
        <c:ser>
          <c:idx val="7"/>
          <c:order val="7"/>
          <c:tx>
            <c:strRef>
              <c:f>'B14 LPG Tankers 40T'!$A$178</c:f>
              <c:strCache>
                <c:ptCount val="1"/>
                <c:pt idx="0">
                  <c:v>H2 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40T'!$C$178:$AG$178</c:f>
              <c:numCache>
                <c:formatCode>_ [$₹-4009]\ * #,##0.00_ ;_ [$₹-4009]\ * \-#,##0.00_ ;_ [$₹-4009]\ * "-"??_ ;_ @_ </c:formatCode>
                <c:ptCount val="31"/>
                <c:pt idx="0">
                  <c:v>6.0892090857859449</c:v>
                </c:pt>
                <c:pt idx="1">
                  <c:v>6.0634457910940558</c:v>
                </c:pt>
                <c:pt idx="2">
                  <c:v>6.0436262010344173</c:v>
                </c:pt>
                <c:pt idx="3">
                  <c:v>6.0300728570564734</c:v>
                </c:pt>
                <c:pt idx="4">
                  <c:v>6.0233759262537028</c:v>
                </c:pt>
                <c:pt idx="5">
                  <c:v>6.0590605379907769</c:v>
                </c:pt>
                <c:pt idx="6">
                  <c:v>5.9482962262740067</c:v>
                </c:pt>
                <c:pt idx="7">
                  <c:v>5.9091221155060589</c:v>
                </c:pt>
                <c:pt idx="8">
                  <c:v>5.8753511709044277</c:v>
                </c:pt>
                <c:pt idx="9">
                  <c:v>5.848082177361686</c:v>
                </c:pt>
                <c:pt idx="10">
                  <c:v>5.8270569879572749</c:v>
                </c:pt>
                <c:pt idx="11">
                  <c:v>5.6784268247159488</c:v>
                </c:pt>
                <c:pt idx="12">
                  <c:v>5.6694827876689367</c:v>
                </c:pt>
                <c:pt idx="13">
                  <c:v>5.6666367660016714</c:v>
                </c:pt>
                <c:pt idx="14">
                  <c:v>5.670471632749174</c:v>
                </c:pt>
                <c:pt idx="15">
                  <c:v>5.6802903891720762</c:v>
                </c:pt>
                <c:pt idx="16">
                  <c:v>5.6168349441979366</c:v>
                </c:pt>
                <c:pt idx="17">
                  <c:v>5.6690021058068973</c:v>
                </c:pt>
                <c:pt idx="18">
                  <c:v>5.7267497843591162</c:v>
                </c:pt>
                <c:pt idx="19">
                  <c:v>5.7905470422520482</c:v>
                </c:pt>
                <c:pt idx="20">
                  <c:v>5.8591979574733415</c:v>
                </c:pt>
                <c:pt idx="21">
                  <c:v>5.762841089450597</c:v>
                </c:pt>
                <c:pt idx="22">
                  <c:v>5.8417309322798499</c:v>
                </c:pt>
                <c:pt idx="23">
                  <c:v>5.926425902606077</c:v>
                </c:pt>
                <c:pt idx="24">
                  <c:v>6.0175534467186509</c:v>
                </c:pt>
                <c:pt idx="25">
                  <c:v>6.1145970973014308</c:v>
                </c:pt>
                <c:pt idx="26">
                  <c:v>6.1998002237404375</c:v>
                </c:pt>
                <c:pt idx="27">
                  <c:v>6.3582885301062246</c:v>
                </c:pt>
                <c:pt idx="28">
                  <c:v>6.5234781764972141</c:v>
                </c:pt>
                <c:pt idx="29">
                  <c:v>6.6965117562930816</c:v>
                </c:pt>
                <c:pt idx="30">
                  <c:v>6.8765900179116226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40-47E8-9787-81C7856E082A}"/>
            </c:ext>
          </c:extLst>
        </c:ser>
        <c:ser>
          <c:idx val="8"/>
          <c:order val="8"/>
          <c:tx>
            <c:strRef>
              <c:f>'B14 LPG Tankers 40T'!$A$179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'B14 LPG Tankers 40T'!$C$173:$AG$173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40T'!$C$179:$AG$179</c:f>
              <c:numCache>
                <c:formatCode>_ [$₹-4009]\ * #,##0.00_ ;_ [$₹-4009]\ * \-#,##0.00_ ;_ [$₹-4009]\ * "-"??_ ;_ @_ </c:formatCode>
                <c:ptCount val="31"/>
                <c:pt idx="0">
                  <c:v>6.3688156254393808</c:v>
                </c:pt>
                <c:pt idx="1">
                  <c:v>6.3418693223177618</c:v>
                </c:pt>
                <c:pt idx="2">
                  <c:v>6.3211396490410996</c:v>
                </c:pt>
                <c:pt idx="3">
                  <c:v>6.3069639576355971</c:v>
                </c:pt>
                <c:pt idx="4">
                  <c:v>6.2999595147041285</c:v>
                </c:pt>
                <c:pt idx="5">
                  <c:v>6.3372827055515781</c:v>
                </c:pt>
                <c:pt idx="6">
                  <c:v>6.2214322774804662</c:v>
                </c:pt>
                <c:pt idx="7">
                  <c:v>6.1804593555037863</c:v>
                </c:pt>
                <c:pt idx="8">
                  <c:v>6.145137704262285</c:v>
                </c:pt>
                <c:pt idx="9">
                  <c:v>6.1166165630568656</c:v>
                </c:pt>
                <c:pt idx="10">
                  <c:v>6.0946259312818434</c:v>
                </c:pt>
                <c:pt idx="11">
                  <c:v>5.9391709136059667</c:v>
                </c:pt>
                <c:pt idx="12">
                  <c:v>5.9298161809802652</c:v>
                </c:pt>
                <c:pt idx="13">
                  <c:v>5.9268394746446047</c:v>
                </c:pt>
                <c:pt idx="14">
                  <c:v>5.9308504322121456</c:v>
                </c:pt>
                <c:pt idx="15">
                  <c:v>5.9411200498993644</c:v>
                </c:pt>
                <c:pt idx="16">
                  <c:v>5.8747508344927395</c:v>
                </c:pt>
                <c:pt idx="17">
                  <c:v>5.9293134269919072</c:v>
                </c:pt>
                <c:pt idx="18">
                  <c:v>5.9897127846613216</c:v>
                </c:pt>
                <c:pt idx="19">
                  <c:v>6.0564395084779079</c:v>
                </c:pt>
                <c:pt idx="20">
                  <c:v>6.1282427616430351</c:v>
                </c:pt>
                <c:pt idx="21">
                  <c:v>6.0274613435580227</c:v>
                </c:pt>
                <c:pt idx="22">
                  <c:v>6.1099736791702508</c:v>
                </c:pt>
                <c:pt idx="23">
                  <c:v>6.1985577042563555</c:v>
                </c:pt>
                <c:pt idx="24">
                  <c:v>6.293869676414916</c:v>
                </c:pt>
                <c:pt idx="25">
                  <c:v>6.3953694129938441</c:v>
                </c:pt>
                <c:pt idx="26">
                  <c:v>6.484484927891784</c:v>
                </c:pt>
                <c:pt idx="27">
                  <c:v>6.6502507585294701</c:v>
                </c:pt>
                <c:pt idx="28">
                  <c:v>6.8230256437853525</c:v>
                </c:pt>
                <c:pt idx="29">
                  <c:v>7.0040046430616414</c:v>
                </c:pt>
                <c:pt idx="30">
                  <c:v>7.1923518044483812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40-47E8-9787-81C7856E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96047"/>
        <c:axId val="742823055"/>
        <c:extLst>
          <c:ext xmlns:c15="http://schemas.microsoft.com/office/drawing/2012/chart" uri="{02D57815-91ED-43cb-92C2-25804820EDAC}">
            <c15:filteredLineSeries>
              <c15:ser>
                <c:idx val="0"/>
                <c:order val="4"/>
                <c:tx>
                  <c:strRef>
                    <c:extLst>
                      <c:ext uri="{02D57815-91ED-43cb-92C2-25804820EDAC}">
                        <c15:formulaRef>
                          <c15:sqref>'B14 LPG Tankers 40T'!$A$174</c15:sqref>
                        </c15:formulaRef>
                      </c:ext>
                    </c:extLst>
                    <c:strCache>
                      <c:ptCount val="1"/>
                      <c:pt idx="0">
                        <c:v>Diesel  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'B14 LPG Tankers 40T'!$C$173:$AG$173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'B14 LPG Tankers 40T'!$C$174:$AG$174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31"/>
                      <c:pt idx="0">
                        <c:v>2.9400710487764457</c:v>
                      </c:pt>
                      <c:pt idx="1">
                        <c:v>3.1290721640902999</c:v>
                      </c:pt>
                      <c:pt idx="2">
                        <c:v>3.2101273538551944</c:v>
                      </c:pt>
                      <c:pt idx="3">
                        <c:v>3.2934714860660113</c:v>
                      </c:pt>
                      <c:pt idx="4">
                        <c:v>3.3799563546741442</c:v>
                      </c:pt>
                      <c:pt idx="5">
                        <c:v>3.521018711058971</c:v>
                      </c:pt>
                      <c:pt idx="6">
                        <c:v>3.614670956596993</c:v>
                      </c:pt>
                      <c:pt idx="7">
                        <c:v>3.7108243618851757</c:v>
                      </c:pt>
                      <c:pt idx="8">
                        <c:v>3.8103471094742583</c:v>
                      </c:pt>
                      <c:pt idx="9">
                        <c:v>3.9124692198320927</c:v>
                      </c:pt>
                      <c:pt idx="10">
                        <c:v>4.0180607201915066</c:v>
                      </c:pt>
                      <c:pt idx="11">
                        <c:v>4.2018602039495416</c:v>
                      </c:pt>
                      <c:pt idx="12">
                        <c:v>4.3167928221539205</c:v>
                      </c:pt>
                      <c:pt idx="13">
                        <c:v>4.4354261562798047</c:v>
                      </c:pt>
                      <c:pt idx="14">
                        <c:v>4.5578094221810037</c:v>
                      </c:pt>
                      <c:pt idx="15">
                        <c:v>4.6840213759659655</c:v>
                      </c:pt>
                      <c:pt idx="16">
                        <c:v>4.8141134968809638</c:v>
                      </c:pt>
                      <c:pt idx="17">
                        <c:v>4.9489656776615547</c:v>
                      </c:pt>
                      <c:pt idx="18">
                        <c:v>5.0878330279167585</c:v>
                      </c:pt>
                      <c:pt idx="19">
                        <c:v>5.2315979499617784</c:v>
                      </c:pt>
                      <c:pt idx="20">
                        <c:v>5.3795323652077913</c:v>
                      </c:pt>
                      <c:pt idx="21">
                        <c:v>5.6328706821028174</c:v>
                      </c:pt>
                      <c:pt idx="22">
                        <c:v>5.7939697918846305</c:v>
                      </c:pt>
                      <c:pt idx="23">
                        <c:v>5.9603625449727211</c:v>
                      </c:pt>
                      <c:pt idx="24">
                        <c:v>6.1321277489998911</c:v>
                      </c:pt>
                      <c:pt idx="25">
                        <c:v>6.3101741675908096</c:v>
                      </c:pt>
                      <c:pt idx="26">
                        <c:v>6.4937708011101165</c:v>
                      </c:pt>
                      <c:pt idx="27">
                        <c:v>6.6838143526993523</c:v>
                      </c:pt>
                      <c:pt idx="28">
                        <c:v>6.8804056395858257</c:v>
                      </c:pt>
                      <c:pt idx="29">
                        <c:v>7.0836472883273354</c:v>
                      </c:pt>
                      <c:pt idx="30">
                        <c:v>7.2936437997071915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9440-47E8-9787-81C7856E082A}"/>
                  </c:ext>
                </c:extLst>
              </c15:ser>
            </c15:filteredLineSeries>
          </c:ext>
        </c:extLst>
      </c:lineChart>
      <c:catAx>
        <c:axId val="51219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823055"/>
        <c:crosses val="autoZero"/>
        <c:auto val="1"/>
        <c:lblAlgn val="ctr"/>
        <c:lblOffset val="100"/>
        <c:noMultiLvlLbl val="0"/>
      </c:catAx>
      <c:valAx>
        <c:axId val="7428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TCO/tonne-km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₹-4009]* #,##0.0_);_([$₹-4009]* \(#,##0.0\);_([$₹-4009]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9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</a:t>
            </a:r>
            <a:r>
              <a:rPr lang="en-US" baseline="0"/>
              <a:t> Truck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'B14 LPG Tankers 40T'!$A$62</c:f>
              <c:strCache>
                <c:ptCount val="1"/>
                <c:pt idx="0">
                  <c:v>Diesel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40T'!$E$63:$AG$63</c:f>
              <c:numCache>
                <c:formatCode>_ [$₹-4009]\ * #,##0_ ;_ [$₹-4009]\ * \-#,##0_ ;_ [$₹-4009]\ * "-"??_ ;_ @_ </c:formatCode>
                <c:ptCount val="29"/>
                <c:pt idx="0">
                  <c:v>4561900</c:v>
                </c:pt>
                <c:pt idx="1">
                  <c:v>4698800</c:v>
                </c:pt>
                <c:pt idx="2">
                  <c:v>4839800</c:v>
                </c:pt>
                <c:pt idx="3">
                  <c:v>5385000</c:v>
                </c:pt>
                <c:pt idx="4">
                  <c:v>5546600</c:v>
                </c:pt>
                <c:pt idx="5">
                  <c:v>5713000</c:v>
                </c:pt>
                <c:pt idx="6">
                  <c:v>5884400</c:v>
                </c:pt>
                <c:pt idx="7">
                  <c:v>6060900</c:v>
                </c:pt>
                <c:pt idx="8">
                  <c:v>6242700</c:v>
                </c:pt>
                <c:pt idx="9">
                  <c:v>6430000</c:v>
                </c:pt>
                <c:pt idx="10">
                  <c:v>6622900</c:v>
                </c:pt>
                <c:pt idx="11">
                  <c:v>6821600</c:v>
                </c:pt>
                <c:pt idx="12">
                  <c:v>7026200</c:v>
                </c:pt>
                <c:pt idx="13">
                  <c:v>7237000</c:v>
                </c:pt>
                <c:pt idx="14">
                  <c:v>7454100</c:v>
                </c:pt>
                <c:pt idx="15">
                  <c:v>7677700</c:v>
                </c:pt>
                <c:pt idx="16">
                  <c:v>7908000</c:v>
                </c:pt>
                <c:pt idx="17">
                  <c:v>8145200</c:v>
                </c:pt>
                <c:pt idx="18">
                  <c:v>8389600</c:v>
                </c:pt>
                <c:pt idx="19">
                  <c:v>8641300</c:v>
                </c:pt>
                <c:pt idx="20">
                  <c:v>8900500</c:v>
                </c:pt>
                <c:pt idx="21">
                  <c:v>9167500</c:v>
                </c:pt>
                <c:pt idx="22">
                  <c:v>9442500</c:v>
                </c:pt>
                <c:pt idx="23">
                  <c:v>9725800</c:v>
                </c:pt>
                <c:pt idx="24">
                  <c:v>10017600</c:v>
                </c:pt>
                <c:pt idx="25">
                  <c:v>10318100</c:v>
                </c:pt>
                <c:pt idx="26">
                  <c:v>10627600</c:v>
                </c:pt>
                <c:pt idx="27">
                  <c:v>10946400</c:v>
                </c:pt>
                <c:pt idx="28">
                  <c:v>11274800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5-43D9-934D-815BA1B2A1F5}"/>
            </c:ext>
          </c:extLst>
        </c:ser>
        <c:ser>
          <c:idx val="1"/>
          <c:order val="1"/>
          <c:tx>
            <c:v>H2-ICE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1-E105-43D9-934D-815BA1B2A1F5}"/>
            </c:ext>
          </c:extLst>
        </c:ser>
        <c:ser>
          <c:idx val="2"/>
          <c:order val="2"/>
          <c:tx>
            <c:v>FCEV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'B2 - TCO ML 28T'!$C$80:$AG$80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E105-43D9-934D-815BA1B2A1F5}"/>
            </c:ext>
          </c:extLst>
        </c:ser>
        <c:ser>
          <c:idx val="3"/>
          <c:order val="3"/>
          <c:tx>
            <c:strRef>
              <c:f>'B14 LPG Tankers 40T'!$A$130</c:f>
              <c:strCache>
                <c:ptCount val="1"/>
                <c:pt idx="0">
                  <c:v>BET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40T'!$C$132:$AG$132</c:f>
              <c:numCache>
                <c:formatCode>_ [$₹-4009]\ * #,##0_ ;_ [$₹-4009]\ * \-#,##0_ ;_ [$₹-4009]\ * "-"??_ ;_ @_ </c:formatCode>
                <c:ptCount val="31"/>
                <c:pt idx="0">
                  <c:v>10205000</c:v>
                </c:pt>
                <c:pt idx="1">
                  <c:v>10170000</c:v>
                </c:pt>
                <c:pt idx="2">
                  <c:v>10143000</c:v>
                </c:pt>
                <c:pt idx="3">
                  <c:v>9921000</c:v>
                </c:pt>
                <c:pt idx="4">
                  <c:v>9715000</c:v>
                </c:pt>
                <c:pt idx="5">
                  <c:v>9726000</c:v>
                </c:pt>
                <c:pt idx="6">
                  <c:v>9568000</c:v>
                </c:pt>
                <c:pt idx="7">
                  <c:v>9618000</c:v>
                </c:pt>
                <c:pt idx="8">
                  <c:v>9675000</c:v>
                </c:pt>
                <c:pt idx="9">
                  <c:v>9739000</c:v>
                </c:pt>
                <c:pt idx="10">
                  <c:v>9810000</c:v>
                </c:pt>
                <c:pt idx="11">
                  <c:v>9888000</c:v>
                </c:pt>
                <c:pt idx="12">
                  <c:v>9974000</c:v>
                </c:pt>
                <c:pt idx="13">
                  <c:v>10068000</c:v>
                </c:pt>
                <c:pt idx="14">
                  <c:v>10169000</c:v>
                </c:pt>
                <c:pt idx="15">
                  <c:v>10278000</c:v>
                </c:pt>
                <c:pt idx="16">
                  <c:v>10305000</c:v>
                </c:pt>
                <c:pt idx="17">
                  <c:v>10497000</c:v>
                </c:pt>
                <c:pt idx="18">
                  <c:v>10696000</c:v>
                </c:pt>
                <c:pt idx="19">
                  <c:v>10902000</c:v>
                </c:pt>
                <c:pt idx="20">
                  <c:v>11115000</c:v>
                </c:pt>
                <c:pt idx="21">
                  <c:v>11336000</c:v>
                </c:pt>
                <c:pt idx="22">
                  <c:v>11564000</c:v>
                </c:pt>
                <c:pt idx="23">
                  <c:v>11800000</c:v>
                </c:pt>
                <c:pt idx="24">
                  <c:v>12044000</c:v>
                </c:pt>
                <c:pt idx="25">
                  <c:v>12296000</c:v>
                </c:pt>
                <c:pt idx="26">
                  <c:v>12605000</c:v>
                </c:pt>
                <c:pt idx="27">
                  <c:v>12922000</c:v>
                </c:pt>
                <c:pt idx="28">
                  <c:v>13249000</c:v>
                </c:pt>
                <c:pt idx="29">
                  <c:v>13584000</c:v>
                </c:pt>
                <c:pt idx="30">
                  <c:v>13930000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5-43D9-934D-815BA1B2A1F5}"/>
            </c:ext>
          </c:extLst>
        </c:ser>
        <c:ser>
          <c:idx val="4"/>
          <c:order val="4"/>
          <c:tx>
            <c:strRef>
              <c:f>'B14 LPG Tankers 40T'!$A$96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40T'!$C$98:$AG$98</c:f>
              <c:numCache>
                <c:formatCode>_ [$₹-4009]\ * #,##0_ ;_ [$₹-4009]\ * \-#,##0_ ;_ [$₹-4009]\ * "-"??_ ;_ @_ </c:formatCode>
                <c:ptCount val="31"/>
                <c:pt idx="0">
                  <c:v>5457000</c:v>
                </c:pt>
                <c:pt idx="1">
                  <c:v>5597000</c:v>
                </c:pt>
                <c:pt idx="2">
                  <c:v>5742000</c:v>
                </c:pt>
                <c:pt idx="3">
                  <c:v>5891000</c:v>
                </c:pt>
                <c:pt idx="4">
                  <c:v>6044000</c:v>
                </c:pt>
                <c:pt idx="5">
                  <c:v>6601000</c:v>
                </c:pt>
                <c:pt idx="6">
                  <c:v>6775000</c:v>
                </c:pt>
                <c:pt idx="7">
                  <c:v>6953000</c:v>
                </c:pt>
                <c:pt idx="8">
                  <c:v>7137000</c:v>
                </c:pt>
                <c:pt idx="9">
                  <c:v>7326000</c:v>
                </c:pt>
                <c:pt idx="10">
                  <c:v>7521000</c:v>
                </c:pt>
                <c:pt idx="11">
                  <c:v>7721000</c:v>
                </c:pt>
                <c:pt idx="12">
                  <c:v>7926000</c:v>
                </c:pt>
                <c:pt idx="13">
                  <c:v>8138000</c:v>
                </c:pt>
                <c:pt idx="14">
                  <c:v>8356000</c:v>
                </c:pt>
                <c:pt idx="15">
                  <c:v>8580000</c:v>
                </c:pt>
                <c:pt idx="16">
                  <c:v>8811000</c:v>
                </c:pt>
                <c:pt idx="17">
                  <c:v>9048000</c:v>
                </c:pt>
                <c:pt idx="18">
                  <c:v>9292000</c:v>
                </c:pt>
                <c:pt idx="19">
                  <c:v>9543000</c:v>
                </c:pt>
                <c:pt idx="20">
                  <c:v>9801000</c:v>
                </c:pt>
                <c:pt idx="21">
                  <c:v>10067000</c:v>
                </c:pt>
                <c:pt idx="22">
                  <c:v>10340000</c:v>
                </c:pt>
                <c:pt idx="23">
                  <c:v>10622000</c:v>
                </c:pt>
                <c:pt idx="24">
                  <c:v>10911000</c:v>
                </c:pt>
                <c:pt idx="25">
                  <c:v>11209000</c:v>
                </c:pt>
                <c:pt idx="26">
                  <c:v>11516000</c:v>
                </c:pt>
                <c:pt idx="27">
                  <c:v>11831000</c:v>
                </c:pt>
                <c:pt idx="28">
                  <c:v>12156000</c:v>
                </c:pt>
                <c:pt idx="29">
                  <c:v>12490000</c:v>
                </c:pt>
                <c:pt idx="30">
                  <c:v>12834000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05-43D9-934D-815BA1B2A1F5}"/>
            </c:ext>
          </c:extLst>
        </c:ser>
        <c:ser>
          <c:idx val="5"/>
          <c:order val="5"/>
          <c:tx>
            <c:strRef>
              <c:f>'B14 LPG Tankers 40T'!$A$113</c:f>
              <c:strCache>
                <c:ptCount val="1"/>
                <c:pt idx="0">
                  <c:v>H2-ICE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40T'!$C$115:$AG$115</c:f>
              <c:numCache>
                <c:formatCode>_ [$₹-4009]\ * #,##0_ ;_ [$₹-4009]\ * \-#,##0_ ;_ [$₹-4009]\ * "-"??_ ;_ @_ </c:formatCode>
                <c:ptCount val="31"/>
                <c:pt idx="0">
                  <c:v>5879000</c:v>
                </c:pt>
                <c:pt idx="1">
                  <c:v>5929000</c:v>
                </c:pt>
                <c:pt idx="2">
                  <c:v>5987000</c:v>
                </c:pt>
                <c:pt idx="3">
                  <c:v>6053000</c:v>
                </c:pt>
                <c:pt idx="4">
                  <c:v>6126000</c:v>
                </c:pt>
                <c:pt idx="5">
                  <c:v>6607000</c:v>
                </c:pt>
                <c:pt idx="6">
                  <c:v>6720000</c:v>
                </c:pt>
                <c:pt idx="7">
                  <c:v>6839000</c:v>
                </c:pt>
                <c:pt idx="8">
                  <c:v>6966000</c:v>
                </c:pt>
                <c:pt idx="9">
                  <c:v>7099000</c:v>
                </c:pt>
                <c:pt idx="10">
                  <c:v>7239000</c:v>
                </c:pt>
                <c:pt idx="11">
                  <c:v>7386000</c:v>
                </c:pt>
                <c:pt idx="12">
                  <c:v>7541000</c:v>
                </c:pt>
                <c:pt idx="13">
                  <c:v>7703000</c:v>
                </c:pt>
                <c:pt idx="14">
                  <c:v>7872000</c:v>
                </c:pt>
                <c:pt idx="15">
                  <c:v>8049000</c:v>
                </c:pt>
                <c:pt idx="16">
                  <c:v>8275000</c:v>
                </c:pt>
                <c:pt idx="17">
                  <c:v>8506000</c:v>
                </c:pt>
                <c:pt idx="18">
                  <c:v>8745000</c:v>
                </c:pt>
                <c:pt idx="19">
                  <c:v>8991000</c:v>
                </c:pt>
                <c:pt idx="20">
                  <c:v>9243000</c:v>
                </c:pt>
                <c:pt idx="21">
                  <c:v>9504000</c:v>
                </c:pt>
                <c:pt idx="22">
                  <c:v>9771000</c:v>
                </c:pt>
                <c:pt idx="23">
                  <c:v>10047000</c:v>
                </c:pt>
                <c:pt idx="24">
                  <c:v>10331000</c:v>
                </c:pt>
                <c:pt idx="25">
                  <c:v>10623000</c:v>
                </c:pt>
                <c:pt idx="26">
                  <c:v>10924000</c:v>
                </c:pt>
                <c:pt idx="27">
                  <c:v>11234000</c:v>
                </c:pt>
                <c:pt idx="28">
                  <c:v>11552000</c:v>
                </c:pt>
                <c:pt idx="29">
                  <c:v>11880000</c:v>
                </c:pt>
                <c:pt idx="30">
                  <c:v>12218000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05-43D9-934D-815BA1B2A1F5}"/>
            </c:ext>
          </c:extLst>
        </c:ser>
        <c:ser>
          <c:idx val="6"/>
          <c:order val="6"/>
          <c:tx>
            <c:strRef>
              <c:f>'B14 LPG Tankers 40T'!$A$147</c:f>
              <c:strCache>
                <c:ptCount val="1"/>
                <c:pt idx="0">
                  <c:v>FCET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40T'!$C$149:$AG$149</c:f>
              <c:numCache>
                <c:formatCode>_ [$₹-4009]\ * #,##0_ ;_ [$₹-4009]\ * \-#,##0_ ;_ [$₹-4009]\ * "-"??_ ;_ @_ </c:formatCode>
                <c:ptCount val="31"/>
                <c:pt idx="0">
                  <c:v>12191000</c:v>
                </c:pt>
                <c:pt idx="1">
                  <c:v>12015000</c:v>
                </c:pt>
                <c:pt idx="2">
                  <c:v>11852000</c:v>
                </c:pt>
                <c:pt idx="3">
                  <c:v>11704000</c:v>
                </c:pt>
                <c:pt idx="4">
                  <c:v>11570000</c:v>
                </c:pt>
                <c:pt idx="5">
                  <c:v>11649000</c:v>
                </c:pt>
                <c:pt idx="6">
                  <c:v>11599000</c:v>
                </c:pt>
                <c:pt idx="7">
                  <c:v>11566000</c:v>
                </c:pt>
                <c:pt idx="8">
                  <c:v>11542000</c:v>
                </c:pt>
                <c:pt idx="9">
                  <c:v>11529000</c:v>
                </c:pt>
                <c:pt idx="10">
                  <c:v>11526000</c:v>
                </c:pt>
                <c:pt idx="11">
                  <c:v>11534000</c:v>
                </c:pt>
                <c:pt idx="12">
                  <c:v>11551000</c:v>
                </c:pt>
                <c:pt idx="13">
                  <c:v>11579000</c:v>
                </c:pt>
                <c:pt idx="14">
                  <c:v>11617000</c:v>
                </c:pt>
                <c:pt idx="15">
                  <c:v>11666000</c:v>
                </c:pt>
                <c:pt idx="16">
                  <c:v>11663000</c:v>
                </c:pt>
                <c:pt idx="17">
                  <c:v>11837000</c:v>
                </c:pt>
                <c:pt idx="18">
                  <c:v>12017000</c:v>
                </c:pt>
                <c:pt idx="19">
                  <c:v>12206000</c:v>
                </c:pt>
                <c:pt idx="20">
                  <c:v>12402000</c:v>
                </c:pt>
                <c:pt idx="21">
                  <c:v>12448000</c:v>
                </c:pt>
                <c:pt idx="22">
                  <c:v>12662000</c:v>
                </c:pt>
                <c:pt idx="23">
                  <c:v>12885000</c:v>
                </c:pt>
                <c:pt idx="24">
                  <c:v>13116000</c:v>
                </c:pt>
                <c:pt idx="25">
                  <c:v>13357000</c:v>
                </c:pt>
                <c:pt idx="26">
                  <c:v>13521000</c:v>
                </c:pt>
                <c:pt idx="27">
                  <c:v>13848000</c:v>
                </c:pt>
                <c:pt idx="28">
                  <c:v>14183000</c:v>
                </c:pt>
                <c:pt idx="29">
                  <c:v>14528000</c:v>
                </c:pt>
                <c:pt idx="30">
                  <c:v>14883000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05-43D9-934D-815BA1B2A1F5}"/>
            </c:ext>
          </c:extLst>
        </c:ser>
        <c:ser>
          <c:idx val="7"/>
          <c:order val="7"/>
          <c:tx>
            <c:strRef>
              <c:f>'B14 LPG Tankers 40T'!$A$79</c:f>
              <c:strCache>
                <c:ptCount val="1"/>
                <c:pt idx="0">
                  <c:v>CNG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'B14 LPG Tankers 40T'!$C$80:$AG$80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'B14 LPG Tankers 40T'!$C$81:$AG$81</c:f>
              <c:numCache>
                <c:formatCode>_ [$₹-4009]\ * #,##0_ ;_ [$₹-4009]\ * \-#,##0_ ;_ [$₹-4009]\ * "-"??_ ;_ @_ </c:formatCode>
                <c:ptCount val="31"/>
                <c:pt idx="0">
                  <c:v>4550000</c:v>
                </c:pt>
                <c:pt idx="1">
                  <c:v>4686500</c:v>
                </c:pt>
                <c:pt idx="2">
                  <c:v>4827095</c:v>
                </c:pt>
                <c:pt idx="3">
                  <c:v>4971907.8500000006</c:v>
                </c:pt>
                <c:pt idx="4">
                  <c:v>5121065.085500001</c:v>
                </c:pt>
                <c:pt idx="5">
                  <c:v>5674697.0380650014</c:v>
                </c:pt>
                <c:pt idx="6">
                  <c:v>5844937.949206952</c:v>
                </c:pt>
                <c:pt idx="7">
                  <c:v>6020286.0876831608</c:v>
                </c:pt>
                <c:pt idx="8">
                  <c:v>6200894.6703136554</c:v>
                </c:pt>
                <c:pt idx="9">
                  <c:v>6386921.5104230652</c:v>
                </c:pt>
                <c:pt idx="10">
                  <c:v>6578529.1557357572</c:v>
                </c:pt>
                <c:pt idx="11">
                  <c:v>6775885.0304078301</c:v>
                </c:pt>
                <c:pt idx="12">
                  <c:v>6979161.5813200651</c:v>
                </c:pt>
                <c:pt idx="13">
                  <c:v>7188536.4287596671</c:v>
                </c:pt>
                <c:pt idx="14">
                  <c:v>7404192.5216224575</c:v>
                </c:pt>
                <c:pt idx="15">
                  <c:v>7626318.2972711315</c:v>
                </c:pt>
                <c:pt idx="16">
                  <c:v>7855107.8461892661</c:v>
                </c:pt>
                <c:pt idx="17">
                  <c:v>8090761.0815749438</c:v>
                </c:pt>
                <c:pt idx="18">
                  <c:v>8333483.9140221924</c:v>
                </c:pt>
                <c:pt idx="19">
                  <c:v>8583488.4314428587</c:v>
                </c:pt>
                <c:pt idx="20">
                  <c:v>8840993.0843861438</c:v>
                </c:pt>
                <c:pt idx="21">
                  <c:v>9106222.8769177292</c:v>
                </c:pt>
                <c:pt idx="22">
                  <c:v>9379409.5632252619</c:v>
                </c:pt>
                <c:pt idx="23">
                  <c:v>9660791.8501220196</c:v>
                </c:pt>
                <c:pt idx="24">
                  <c:v>9950615.6056256797</c:v>
                </c:pt>
                <c:pt idx="25">
                  <c:v>10249134.073794451</c:v>
                </c:pt>
                <c:pt idx="26">
                  <c:v>10556608.096008284</c:v>
                </c:pt>
                <c:pt idx="27">
                  <c:v>10873306.338888533</c:v>
                </c:pt>
                <c:pt idx="28">
                  <c:v>11199505.529055189</c:v>
                </c:pt>
                <c:pt idx="29">
                  <c:v>11535490.694926845</c:v>
                </c:pt>
                <c:pt idx="30">
                  <c:v>11881555.415774651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05-43D9-934D-815BA1B2A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733808"/>
        <c:axId val="1891168095"/>
      </c:lineChart>
      <c:catAx>
        <c:axId val="14267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168095"/>
        <c:crosses val="autoZero"/>
        <c:auto val="1"/>
        <c:lblAlgn val="ctr"/>
        <c:lblOffset val="100"/>
        <c:noMultiLvlLbl val="0"/>
      </c:catAx>
      <c:valAx>
        <c:axId val="18911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73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BA9-42E6-AF26-4A7E75CFF4D5}"/>
            </c:ext>
          </c:extLst>
        </c:ser>
        <c:ser>
          <c:idx val="1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BA9-42E6-AF26-4A7E75CFF4D5}"/>
            </c:ext>
          </c:extLst>
        </c:ser>
        <c:ser>
          <c:idx val="2"/>
          <c:order val="2"/>
          <c:spPr>
            <a:solidFill>
              <a:schemeClr val="accent3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BA9-42E6-AF26-4A7E75CFF4D5}"/>
            </c:ext>
          </c:extLst>
        </c:ser>
        <c:ser>
          <c:idx val="3"/>
          <c:order val="3"/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BA9-42E6-AF26-4A7E75CFF4D5}"/>
            </c:ext>
          </c:extLst>
        </c:ser>
        <c:ser>
          <c:idx val="4"/>
          <c:order val="4"/>
          <c:spPr>
            <a:solidFill>
              <a:schemeClr val="accent5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BA9-42E6-AF26-4A7E75CFF4D5}"/>
            </c:ext>
          </c:extLst>
        </c:ser>
        <c:ser>
          <c:idx val="5"/>
          <c:order val="5"/>
          <c:spPr>
            <a:solidFill>
              <a:schemeClr val="accent6"/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BA9-42E6-AF26-4A7E75CFF4D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'Output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'Output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BA9-42E6-AF26-4A7E75CF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08944"/>
        <c:axId val="479233584"/>
      </c:areaChart>
      <c:catAx>
        <c:axId val="47930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33584"/>
        <c:crosses val="autoZero"/>
        <c:auto val="1"/>
        <c:lblAlgn val="ctr"/>
        <c:lblOffset val="100"/>
        <c:noMultiLvlLbl val="0"/>
      </c:catAx>
      <c:valAx>
        <c:axId val="47923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30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Truck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'Output Summary'!$C$2</c:f>
              <c:strCache>
                <c:ptCount val="1"/>
                <c:pt idx="0">
                  <c:v>Diesel Stock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'Output Summary'!$A$29:$A$59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'Output Summary'!$C$29:$C$59</c:f>
              <c:numCache>
                <c:formatCode>#,##0</c:formatCode>
                <c:ptCount val="31"/>
                <c:pt idx="0">
                  <c:v>5302669.0284109609</c:v>
                </c:pt>
                <c:pt idx="1">
                  <c:v>5376100.706646435</c:v>
                </c:pt>
                <c:pt idx="2">
                  <c:v>5447400.4205710832</c:v>
                </c:pt>
                <c:pt idx="3">
                  <c:v>5515103.5396574968</c:v>
                </c:pt>
                <c:pt idx="4">
                  <c:v>5600826.7891513947</c:v>
                </c:pt>
                <c:pt idx="5">
                  <c:v>5664543.719008334</c:v>
                </c:pt>
                <c:pt idx="6">
                  <c:v>5723812.2896539103</c:v>
                </c:pt>
                <c:pt idx="7">
                  <c:v>5871247.2869635122</c:v>
                </c:pt>
                <c:pt idx="8">
                  <c:v>6043473.4986998783</c:v>
                </c:pt>
                <c:pt idx="9">
                  <c:v>6258731.4336894304</c:v>
                </c:pt>
                <c:pt idx="10">
                  <c:v>6455316.845368674</c:v>
                </c:pt>
                <c:pt idx="11">
                  <c:v>6613670.6729320632</c:v>
                </c:pt>
                <c:pt idx="12">
                  <c:v>6565013.4752417672</c:v>
                </c:pt>
                <c:pt idx="13">
                  <c:v>6468977.7971945973</c:v>
                </c:pt>
                <c:pt idx="14">
                  <c:v>6324526.4039301183</c:v>
                </c:pt>
                <c:pt idx="15">
                  <c:v>6218446.7361738645</c:v>
                </c:pt>
                <c:pt idx="16">
                  <c:v>6182529.4130798392</c:v>
                </c:pt>
                <c:pt idx="17">
                  <c:v>6224298.1765632667</c:v>
                </c:pt>
                <c:pt idx="18">
                  <c:v>6174047.7530947328</c:v>
                </c:pt>
                <c:pt idx="19">
                  <c:v>6028865.6556020603</c:v>
                </c:pt>
                <c:pt idx="20">
                  <c:v>5889100.1080024894</c:v>
                </c:pt>
                <c:pt idx="21">
                  <c:v>5745202.1904062759</c:v>
                </c:pt>
                <c:pt idx="22">
                  <c:v>5564314.5639532739</c:v>
                </c:pt>
                <c:pt idx="23">
                  <c:v>5381957.330153916</c:v>
                </c:pt>
                <c:pt idx="24">
                  <c:v>5198905.823150631</c:v>
                </c:pt>
                <c:pt idx="25">
                  <c:v>4999349.9102836754</c:v>
                </c:pt>
                <c:pt idx="26">
                  <c:v>4815771.205301147</c:v>
                </c:pt>
                <c:pt idx="27">
                  <c:v>4649642.6204652293</c:v>
                </c:pt>
                <c:pt idx="28">
                  <c:v>4480879.5899797734</c:v>
                </c:pt>
                <c:pt idx="29">
                  <c:v>4322725.4892957518</c:v>
                </c:pt>
                <c:pt idx="30">
                  <c:v>4184689.7825602307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F6D-92BD-CF0CD0CE7672}"/>
            </c:ext>
          </c:extLst>
        </c:ser>
        <c:ser>
          <c:idx val="1"/>
          <c:order val="1"/>
          <c:tx>
            <c:strRef>
              <c:f>'Output Summary'!$E$2</c:f>
              <c:strCache>
                <c:ptCount val="1"/>
                <c:pt idx="0">
                  <c:v>BET Stock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'Output Summary'!$E$29:$E$59</c:f>
              <c:numCache>
                <c:formatCode>#,##0</c:formatCode>
                <c:ptCount val="31"/>
                <c:pt idx="0">
                  <c:v>149.00000000000006</c:v>
                </c:pt>
                <c:pt idx="1">
                  <c:v>557.14205125370881</c:v>
                </c:pt>
                <c:pt idx="2">
                  <c:v>1467.1954099890563</c:v>
                </c:pt>
                <c:pt idx="3">
                  <c:v>3313.445044790029</c:v>
                </c:pt>
                <c:pt idx="4">
                  <c:v>7027.8099357310957</c:v>
                </c:pt>
                <c:pt idx="5">
                  <c:v>13561.199594305779</c:v>
                </c:pt>
                <c:pt idx="6">
                  <c:v>24275.099594305779</c:v>
                </c:pt>
                <c:pt idx="7">
                  <c:v>47473.896279127781</c:v>
                </c:pt>
                <c:pt idx="8">
                  <c:v>83245.061207875842</c:v>
                </c:pt>
                <c:pt idx="9">
                  <c:v>138730.08565070113</c:v>
                </c:pt>
                <c:pt idx="10">
                  <c:v>223173.97469203302</c:v>
                </c:pt>
                <c:pt idx="11">
                  <c:v>343880.21473521926</c:v>
                </c:pt>
                <c:pt idx="12">
                  <c:v>507010.22347432398</c:v>
                </c:pt>
                <c:pt idx="13">
                  <c:v>717974.98301765777</c:v>
                </c:pt>
                <c:pt idx="14">
                  <c:v>981950.58028829098</c:v>
                </c:pt>
                <c:pt idx="15">
                  <c:v>1301160.2299512387</c:v>
                </c:pt>
                <c:pt idx="16">
                  <c:v>1676542.8274583507</c:v>
                </c:pt>
                <c:pt idx="17">
                  <c:v>2104792.1816335386</c:v>
                </c:pt>
                <c:pt idx="18">
                  <c:v>2578341.8235343797</c:v>
                </c:pt>
                <c:pt idx="19">
                  <c:v>3087664.7609460629</c:v>
                </c:pt>
                <c:pt idx="20">
                  <c:v>3621912.3641026267</c:v>
                </c:pt>
                <c:pt idx="21">
                  <c:v>4184003.549182463</c:v>
                </c:pt>
                <c:pt idx="22">
                  <c:v>4774636.752380006</c:v>
                </c:pt>
                <c:pt idx="23">
                  <c:v>5374168.4189648721</c:v>
                </c:pt>
                <c:pt idx="24">
                  <c:v>5991500.6592261698</c:v>
                </c:pt>
                <c:pt idx="25">
                  <c:v>6645023.9417546391</c:v>
                </c:pt>
                <c:pt idx="26">
                  <c:v>7305568.7120964704</c:v>
                </c:pt>
                <c:pt idx="27">
                  <c:v>7966990.8950256277</c:v>
                </c:pt>
                <c:pt idx="28">
                  <c:v>8623972.0343453567</c:v>
                </c:pt>
                <c:pt idx="29">
                  <c:v>9271934.3490625098</c:v>
                </c:pt>
                <c:pt idx="30">
                  <c:v>9906472.1751190592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C-4F6D-92BD-CF0CD0CE7672}"/>
            </c:ext>
          </c:extLst>
        </c:ser>
        <c:ser>
          <c:idx val="2"/>
          <c:order val="2"/>
          <c:tx>
            <c:strRef>
              <c:f>'Output Summary'!$G$2</c:f>
              <c:strCache>
                <c:ptCount val="1"/>
                <c:pt idx="0">
                  <c:v>H2ICE Stock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'Output Summary'!$G$29:$G$59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31.155000000000008</c:v>
                </c:pt>
                <c:pt idx="4">
                  <c:v>91.320251595160983</c:v>
                </c:pt>
                <c:pt idx="5">
                  <c:v>195.1766578860408</c:v>
                </c:pt>
                <c:pt idx="6">
                  <c:v>365.35061563812604</c:v>
                </c:pt>
                <c:pt idx="7">
                  <c:v>654.40076439361928</c:v>
                </c:pt>
                <c:pt idx="8">
                  <c:v>1111.5117124039789</c:v>
                </c:pt>
                <c:pt idx="9">
                  <c:v>1790.1577931333159</c:v>
                </c:pt>
                <c:pt idx="10">
                  <c:v>2785.1143571854282</c:v>
                </c:pt>
                <c:pt idx="11">
                  <c:v>4189.0174803086202</c:v>
                </c:pt>
                <c:pt idx="12">
                  <c:v>6108.2942812079173</c:v>
                </c:pt>
                <c:pt idx="13">
                  <c:v>8671.5500177968024</c:v>
                </c:pt>
                <c:pt idx="14">
                  <c:v>12040.461562663</c:v>
                </c:pt>
                <c:pt idx="15">
                  <c:v>16380.448336089459</c:v>
                </c:pt>
                <c:pt idx="16">
                  <c:v>21886.891726287184</c:v>
                </c:pt>
                <c:pt idx="17">
                  <c:v>28741.716771102867</c:v>
                </c:pt>
                <c:pt idx="18">
                  <c:v>37105.284345682121</c:v>
                </c:pt>
                <c:pt idx="19">
                  <c:v>47113.94267262167</c:v>
                </c:pt>
                <c:pt idx="20">
                  <c:v>58959.305741368022</c:v>
                </c:pt>
                <c:pt idx="21">
                  <c:v>72782.443797790431</c:v>
                </c:pt>
                <c:pt idx="22">
                  <c:v>88747.69691111047</c:v>
                </c:pt>
                <c:pt idx="23">
                  <c:v>106595.48562341213</c:v>
                </c:pt>
                <c:pt idx="24">
                  <c:v>126611.8580576528</c:v>
                </c:pt>
                <c:pt idx="25">
                  <c:v>149673.12507443395</c:v>
                </c:pt>
                <c:pt idx="26">
                  <c:v>175314.86851038184</c:v>
                </c:pt>
                <c:pt idx="27">
                  <c:v>215579.2738808172</c:v>
                </c:pt>
                <c:pt idx="28">
                  <c:v>263568.00537574623</c:v>
                </c:pt>
                <c:pt idx="29">
                  <c:v>319659.3301306513</c:v>
                </c:pt>
                <c:pt idx="30">
                  <c:v>384198.99098551314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7C-4F6D-92BD-CF0CD0CE7672}"/>
            </c:ext>
          </c:extLst>
        </c:ser>
        <c:ser>
          <c:idx val="3"/>
          <c:order val="3"/>
          <c:tx>
            <c:strRef>
              <c:f>'Output Summary'!$I$2</c:f>
              <c:strCache>
                <c:ptCount val="1"/>
                <c:pt idx="0">
                  <c:v>FCET Stock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'Output Summary'!$I$29:$I$59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34.995000000000005</c:v>
                </c:pt>
                <c:pt idx="6">
                  <c:v>102.45311297466364</c:v>
                </c:pt>
                <c:pt idx="7">
                  <c:v>234.38567367572799</c:v>
                </c:pt>
                <c:pt idx="8">
                  <c:v>470.1275232422928</c:v>
                </c:pt>
                <c:pt idx="9">
                  <c:v>859.07653450528892</c:v>
                </c:pt>
                <c:pt idx="10">
                  <c:v>1483.6301926680478</c:v>
                </c:pt>
                <c:pt idx="11">
                  <c:v>2436.6077326804416</c:v>
                </c:pt>
                <c:pt idx="12">
                  <c:v>3829.8193743515326</c:v>
                </c:pt>
                <c:pt idx="13">
                  <c:v>5800.2860114704745</c:v>
                </c:pt>
                <c:pt idx="14">
                  <c:v>8519.6418369506628</c:v>
                </c:pt>
                <c:pt idx="15">
                  <c:v>12170.878607521629</c:v>
                </c:pt>
                <c:pt idx="16">
                  <c:v>16968.120755044023</c:v>
                </c:pt>
                <c:pt idx="17">
                  <c:v>23117.726021618088</c:v>
                </c:pt>
                <c:pt idx="18">
                  <c:v>30806.5140506147</c:v>
                </c:pt>
                <c:pt idx="19">
                  <c:v>40224.905781747497</c:v>
                </c:pt>
                <c:pt idx="20">
                  <c:v>51580.333571012714</c:v>
                </c:pt>
                <c:pt idx="21">
                  <c:v>65008.707569774684</c:v>
                </c:pt>
                <c:pt idx="22">
                  <c:v>80708.206284015774</c:v>
                </c:pt>
                <c:pt idx="23">
                  <c:v>98449.271515933171</c:v>
                </c:pt>
                <c:pt idx="24">
                  <c:v>118520.25452191416</c:v>
                </c:pt>
                <c:pt idx="25">
                  <c:v>141791.1290193086</c:v>
                </c:pt>
                <c:pt idx="26">
                  <c:v>167803.27536114585</c:v>
                </c:pt>
                <c:pt idx="27">
                  <c:v>197626.93436929112</c:v>
                </c:pt>
                <c:pt idx="28">
                  <c:v>237206.32056159369</c:v>
                </c:pt>
                <c:pt idx="29">
                  <c:v>287084.58183213166</c:v>
                </c:pt>
                <c:pt idx="30">
                  <c:v>347773.2302797407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7C-4F6D-92BD-CF0CD0CE7672}"/>
            </c:ext>
          </c:extLst>
        </c:ser>
        <c:ser>
          <c:idx val="4"/>
          <c:order val="4"/>
          <c:tx>
            <c:strRef>
              <c:f>'Output Summary'!$O$2</c:f>
              <c:strCache>
                <c:ptCount val="1"/>
                <c:pt idx="0">
                  <c:v>Total Truck Stock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'Output Summary'!$O$29:$O$59</c:f>
              <c:numCache>
                <c:formatCode>#,##0</c:formatCode>
                <c:ptCount val="31"/>
                <c:pt idx="0">
                  <c:v>5315061.0284109609</c:v>
                </c:pt>
                <c:pt idx="1">
                  <c:v>5402689.3101567309</c:v>
                </c:pt>
                <c:pt idx="2">
                  <c:v>5488938.5310395397</c:v>
                </c:pt>
                <c:pt idx="3">
                  <c:v>5572787.9128236528</c:v>
                </c:pt>
                <c:pt idx="4">
                  <c:v>5677894.0128236525</c:v>
                </c:pt>
                <c:pt idx="5">
                  <c:v>5764332.1128236521</c:v>
                </c:pt>
                <c:pt idx="6">
                  <c:v>5850957.2628236525</c:v>
                </c:pt>
                <c:pt idx="7">
                  <c:v>6040150.5628236523</c:v>
                </c:pt>
                <c:pt idx="8">
                  <c:v>6268260.3128236523</c:v>
                </c:pt>
                <c:pt idx="9">
                  <c:v>6560310.7628236525</c:v>
                </c:pt>
                <c:pt idx="10">
                  <c:v>6864502.8128236523</c:v>
                </c:pt>
                <c:pt idx="11">
                  <c:v>7168686.4128236519</c:v>
                </c:pt>
                <c:pt idx="12">
                  <c:v>7310461.9128236519</c:v>
                </c:pt>
                <c:pt idx="13">
                  <c:v>7455280.1628236519</c:v>
                </c:pt>
                <c:pt idx="14">
                  <c:v>7607903.0628236523</c:v>
                </c:pt>
                <c:pt idx="15">
                  <c:v>7857833.2628236525</c:v>
                </c:pt>
                <c:pt idx="16">
                  <c:v>8226184.3628236521</c:v>
                </c:pt>
                <c:pt idx="17">
                  <c:v>8728280.3628236521</c:v>
                </c:pt>
                <c:pt idx="18">
                  <c:v>9188349.3628236521</c:v>
                </c:pt>
                <c:pt idx="19">
                  <c:v>9594145.9959914833</c:v>
                </c:pt>
                <c:pt idx="20">
                  <c:v>10034317.828702047</c:v>
                </c:pt>
                <c:pt idx="21">
                  <c:v>10500987.828702047</c:v>
                </c:pt>
                <c:pt idx="22">
                  <c:v>10962357.85027758</c:v>
                </c:pt>
                <c:pt idx="23">
                  <c:v>11431587.85027758</c:v>
                </c:pt>
                <c:pt idx="24">
                  <c:v>11919737.85027758</c:v>
                </c:pt>
                <c:pt idx="25">
                  <c:v>12432597.85027758</c:v>
                </c:pt>
                <c:pt idx="26">
                  <c:v>12970537.85027758</c:v>
                </c:pt>
                <c:pt idx="27">
                  <c:v>13536367.85027758</c:v>
                </c:pt>
                <c:pt idx="28">
                  <c:v>14100887.85027758</c:v>
                </c:pt>
                <c:pt idx="29">
                  <c:v>14674957.85027758</c:v>
                </c:pt>
                <c:pt idx="30">
                  <c:v>15269677.85027758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7C-4F6D-92BD-CF0CD0CE7672}"/>
            </c:ext>
          </c:extLst>
        </c:ser>
        <c:ser>
          <c:idx val="5"/>
          <c:order val="5"/>
          <c:tx>
            <c:strRef>
              <c:f>'Output Summary'!$R$2</c:f>
              <c:strCache>
                <c:ptCount val="1"/>
                <c:pt idx="0">
                  <c:v>Total ZET Stock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'Output Summary'!$R$29:$R$59</c:f>
              <c:numCache>
                <c:formatCode>#,##0</c:formatCode>
                <c:ptCount val="31"/>
                <c:pt idx="0">
                  <c:v>149.00000000000006</c:v>
                </c:pt>
                <c:pt idx="1">
                  <c:v>557.14205125370881</c:v>
                </c:pt>
                <c:pt idx="2">
                  <c:v>1467.1954099890563</c:v>
                </c:pt>
                <c:pt idx="3">
                  <c:v>3344.6000447900292</c:v>
                </c:pt>
                <c:pt idx="4">
                  <c:v>7119.1301873262564</c:v>
                </c:pt>
                <c:pt idx="5">
                  <c:v>13791.371252191821</c:v>
                </c:pt>
                <c:pt idx="6">
                  <c:v>24742.90332291857</c:v>
                </c:pt>
                <c:pt idx="7">
                  <c:v>48362.682717197131</c:v>
                </c:pt>
                <c:pt idx="8">
                  <c:v>84826.700443522117</c:v>
                </c:pt>
                <c:pt idx="9">
                  <c:v>141379.31997833974</c:v>
                </c:pt>
                <c:pt idx="10">
                  <c:v>227442.71924188652</c:v>
                </c:pt>
                <c:pt idx="11">
                  <c:v>350505.8399482083</c:v>
                </c:pt>
                <c:pt idx="12">
                  <c:v>516948.33712988341</c:v>
                </c:pt>
                <c:pt idx="13">
                  <c:v>732446.81904692505</c:v>
                </c:pt>
                <c:pt idx="14">
                  <c:v>1002510.6836879046</c:v>
                </c:pt>
                <c:pt idx="15">
                  <c:v>1329711.5568948498</c:v>
                </c:pt>
                <c:pt idx="16">
                  <c:v>1715397.8399396818</c:v>
                </c:pt>
                <c:pt idx="17">
                  <c:v>2156651.6244262597</c:v>
                </c:pt>
                <c:pt idx="18">
                  <c:v>2646253.6219306765</c:v>
                </c:pt>
                <c:pt idx="19">
                  <c:v>3175003.6094004316</c:v>
                </c:pt>
                <c:pt idx="20">
                  <c:v>3732452.0034150071</c:v>
                </c:pt>
                <c:pt idx="21">
                  <c:v>4321794.7005500272</c:v>
                </c:pt>
                <c:pt idx="22">
                  <c:v>4944092.655575132</c:v>
                </c:pt>
                <c:pt idx="23">
                  <c:v>5579213.1761042168</c:v>
                </c:pt>
                <c:pt idx="24">
                  <c:v>6236632.7718057362</c:v>
                </c:pt>
                <c:pt idx="25">
                  <c:v>6936488.1958483821</c:v>
                </c:pt>
                <c:pt idx="26">
                  <c:v>7648686.8559679985</c:v>
                </c:pt>
                <c:pt idx="27">
                  <c:v>8380197.1032757359</c:v>
                </c:pt>
                <c:pt idx="28">
                  <c:v>9124746.3602826968</c:v>
                </c:pt>
                <c:pt idx="29">
                  <c:v>9878678.2610252928</c:v>
                </c:pt>
                <c:pt idx="30">
                  <c:v>10638444.396384312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7C-4F6D-92BD-CF0CD0CE7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14655"/>
        <c:axId val="160413215"/>
      </c:lineChart>
      <c:catAx>
        <c:axId val="16041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3215"/>
        <c:crosses val="autoZero"/>
        <c:auto val="1"/>
        <c:lblAlgn val="ctr"/>
        <c:lblOffset val="100"/>
        <c:noMultiLvlLbl val="0"/>
      </c:catAx>
      <c:valAx>
        <c:axId val="1604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0.xml"/><Relationship Id="rId7" Type="http://schemas.openxmlformats.org/officeDocument/2006/relationships/chart" Target="../charts/chart94.xml"/><Relationship Id="rId2" Type="http://schemas.openxmlformats.org/officeDocument/2006/relationships/chart" Target="../charts/chart89.xml"/><Relationship Id="rId1" Type="http://schemas.openxmlformats.org/officeDocument/2006/relationships/chart" Target="../charts/chart88.xml"/><Relationship Id="rId6" Type="http://schemas.openxmlformats.org/officeDocument/2006/relationships/chart" Target="../charts/chart93.xml"/><Relationship Id="rId5" Type="http://schemas.openxmlformats.org/officeDocument/2006/relationships/chart" Target="../charts/chart92.xml"/><Relationship Id="rId4" Type="http://schemas.openxmlformats.org/officeDocument/2006/relationships/chart" Target="../charts/chart91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7.xml"/><Relationship Id="rId7" Type="http://schemas.openxmlformats.org/officeDocument/2006/relationships/chart" Target="../charts/chart101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6" Type="http://schemas.openxmlformats.org/officeDocument/2006/relationships/chart" Target="../charts/chart100.xml"/><Relationship Id="rId5" Type="http://schemas.openxmlformats.org/officeDocument/2006/relationships/chart" Target="../charts/chart99.xml"/><Relationship Id="rId4" Type="http://schemas.openxmlformats.org/officeDocument/2006/relationships/chart" Target="../charts/chart9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4.xml"/><Relationship Id="rId7" Type="http://schemas.openxmlformats.org/officeDocument/2006/relationships/chart" Target="../charts/chart108.xml"/><Relationship Id="rId2" Type="http://schemas.openxmlformats.org/officeDocument/2006/relationships/chart" Target="../charts/chart103.xml"/><Relationship Id="rId1" Type="http://schemas.openxmlformats.org/officeDocument/2006/relationships/chart" Target="../charts/chart102.xml"/><Relationship Id="rId6" Type="http://schemas.openxmlformats.org/officeDocument/2006/relationships/chart" Target="../charts/chart107.xml"/><Relationship Id="rId5" Type="http://schemas.openxmlformats.org/officeDocument/2006/relationships/chart" Target="../charts/chart106.xml"/><Relationship Id="rId4" Type="http://schemas.openxmlformats.org/officeDocument/2006/relationships/chart" Target="../charts/chart105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7.xml"/><Relationship Id="rId1" Type="http://schemas.openxmlformats.org/officeDocument/2006/relationships/chart" Target="../charts/chart1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331470</xdr:colOff>
      <xdr:row>4</xdr:row>
      <xdr:rowOff>0</xdr:rowOff>
    </xdr:from>
    <xdr:to>
      <xdr:col>27</xdr:col>
      <xdr:colOff>525780</xdr:colOff>
      <xdr:row>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C0449-0300-47CC-B97F-DAFE1A8F9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11</xdr:row>
      <xdr:rowOff>0</xdr:rowOff>
    </xdr:from>
    <xdr:to>
      <xdr:col>27</xdr:col>
      <xdr:colOff>194310</xdr:colOff>
      <xdr:row>18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4FD1AC-C5B1-4EDF-AA81-81B7950CD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430530</xdr:colOff>
      <xdr:row>14</xdr:row>
      <xdr:rowOff>179070</xdr:rowOff>
    </xdr:from>
    <xdr:to>
      <xdr:col>24</xdr:col>
      <xdr:colOff>430530</xdr:colOff>
      <xdr:row>16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B5C7FB-CFB9-4DF8-859C-28BFA3AAD033}"/>
            </a:ext>
          </a:extLst>
        </xdr:cNvPr>
        <xdr:cNvSpPr txBox="1"/>
      </xdr:nvSpPr>
      <xdr:spPr>
        <a:xfrm>
          <a:off x="15941040" y="8896350"/>
          <a:ext cx="12801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Scenario 1</a:t>
          </a:r>
        </a:p>
      </xdr:txBody>
    </xdr:sp>
    <xdr:clientData/>
  </xdr:twoCellAnchor>
  <xdr:twoCellAnchor>
    <xdr:from>
      <xdr:col>18</xdr:col>
      <xdr:colOff>0</xdr:colOff>
      <xdr:row>21</xdr:row>
      <xdr:rowOff>0</xdr:rowOff>
    </xdr:from>
    <xdr:to>
      <xdr:col>27</xdr:col>
      <xdr:colOff>194310</xdr:colOff>
      <xdr:row>37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B808D-BBA9-4301-92FC-475402CF1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563880</xdr:colOff>
      <xdr:row>27</xdr:row>
      <xdr:rowOff>110490</xdr:rowOff>
    </xdr:from>
    <xdr:to>
      <xdr:col>25</xdr:col>
      <xdr:colOff>563880</xdr:colOff>
      <xdr:row>28</xdr:row>
      <xdr:rowOff>148590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218D3E-6F72-4E30-9F8E-858C09B97220}"/>
            </a:ext>
          </a:extLst>
        </xdr:cNvPr>
        <xdr:cNvSpPr txBox="1"/>
      </xdr:nvSpPr>
      <xdr:spPr>
        <a:xfrm>
          <a:off x="16714470" y="11403330"/>
          <a:ext cx="12801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Scenario 4</a:t>
          </a:r>
        </a:p>
      </xdr:txBody>
    </xdr:sp>
    <xdr:clientData/>
  </xdr:twoCellAnchor>
  <xdr:twoCellAnchor>
    <xdr:from>
      <xdr:col>24</xdr:col>
      <xdr:colOff>476250</xdr:colOff>
      <xdr:row>33</xdr:row>
      <xdr:rowOff>0</xdr:rowOff>
    </xdr:from>
    <xdr:to>
      <xdr:col>26</xdr:col>
      <xdr:colOff>476250</xdr:colOff>
      <xdr:row>34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BD2FD2-2E5E-4893-8EFF-F0082EAA349D}"/>
            </a:ext>
          </a:extLst>
        </xdr:cNvPr>
        <xdr:cNvSpPr txBox="1"/>
      </xdr:nvSpPr>
      <xdr:spPr>
        <a:xfrm>
          <a:off x="17266920" y="12481560"/>
          <a:ext cx="128016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Scenario 1</a:t>
          </a:r>
        </a:p>
      </xdr:txBody>
    </xdr:sp>
    <xdr:clientData/>
  </xdr:twoCellAnchor>
  <xdr:twoCellAnchor>
    <xdr:from>
      <xdr:col>2</xdr:col>
      <xdr:colOff>1398270</xdr:colOff>
      <xdr:row>11</xdr:row>
      <xdr:rowOff>67531</xdr:rowOff>
    </xdr:from>
    <xdr:to>
      <xdr:col>14</xdr:col>
      <xdr:colOff>608907</xdr:colOff>
      <xdr:row>28</xdr:row>
      <xdr:rowOff>183929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A23B49-C3BA-4CE7-A44A-70D51B939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0.30028</cdr:x>
      <cdr:y>0.12139</cdr:y>
    </cdr:from>
    <cdr:to>
      <cdr:x>0.73065</cdr:x>
      <cdr:y>0.19216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DE42AE49-37BB-49B9-BD8A-79DBF2888A3F}"/>
            </a:ext>
          </a:extLst>
        </cdr:cNvPr>
        <cdr:cNvSpPr txBox="1"/>
      </cdr:nvSpPr>
      <cdr:spPr>
        <a:xfrm xmlns:a="http://schemas.openxmlformats.org/drawingml/2006/main">
          <a:off x="1788160" y="405130"/>
          <a:ext cx="2562860" cy="2362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600" b="1"/>
            <a:t>ZET</a:t>
          </a:r>
          <a:r>
            <a:rPr lang="en-IN" sz="1600" b="1" baseline="0"/>
            <a:t> Sales (Cumulative)</a:t>
          </a:r>
          <a:endParaRPr lang="en-IN" sz="16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43215</xdr:colOff>
      <xdr:row>144</xdr:row>
      <xdr:rowOff>73792</xdr:rowOff>
    </xdr:from>
    <xdr:to>
      <xdr:col>27</xdr:col>
      <xdr:colOff>478340</xdr:colOff>
      <xdr:row>162</xdr:row>
      <xdr:rowOff>73793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C16F3-329A-4C22-9398-3A233D711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40041</xdr:colOff>
      <xdr:row>162</xdr:row>
      <xdr:rowOff>86493</xdr:rowOff>
    </xdr:from>
    <xdr:to>
      <xdr:col>27</xdr:col>
      <xdr:colOff>475166</xdr:colOff>
      <xdr:row>180</xdr:row>
      <xdr:rowOff>99192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E48B4-ABB9-46D9-ABEE-C5309D453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41753</xdr:colOff>
      <xdr:row>180</xdr:row>
      <xdr:rowOff>122094</xdr:rowOff>
    </xdr:from>
    <xdr:to>
      <xdr:col>27</xdr:col>
      <xdr:colOff>476878</xdr:colOff>
      <xdr:row>198</xdr:row>
      <xdr:rowOff>134794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BD6252-F401-4016-AB5F-2215298B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413666</xdr:colOff>
      <xdr:row>108</xdr:row>
      <xdr:rowOff>81643</xdr:rowOff>
    </xdr:from>
    <xdr:to>
      <xdr:col>20</xdr:col>
      <xdr:colOff>326572</xdr:colOff>
      <xdr:row>133</xdr:row>
      <xdr:rowOff>10886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C47A3D-036E-3521-E2A2-D0F613901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0.98362</cdr:x>
      <cdr:y>0.14135</cdr:y>
    </cdr:from>
    <cdr:to>
      <cdr:x>0.98362</cdr:x>
      <cdr:y>0.47675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B90EBA07-7C62-07CA-91AD-F96FA3A77C1A}"/>
            </a:ext>
          </a:extLst>
        </cdr:cNvPr>
        <cdr:cNvCxnSpPr/>
      </cdr:nvCxnSpPr>
      <cdr:spPr>
        <a:xfrm xmlns:a="http://schemas.openxmlformats.org/drawingml/2006/main" flipV="1">
          <a:off x="8139330" y="470328"/>
          <a:ext cx="0" cy="11160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0.97083</cdr:x>
      <cdr:y>0.29013</cdr:y>
    </cdr:from>
    <cdr:to>
      <cdr:x>0.99821</cdr:x>
      <cdr:y>0.33716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019705F-618E-03DD-38E4-31693D71C276}"/>
            </a:ext>
          </a:extLst>
        </cdr:cNvPr>
        <cdr:cNvSpPr txBox="1"/>
      </cdr:nvSpPr>
      <cdr:spPr>
        <a:xfrm xmlns:a="http://schemas.openxmlformats.org/drawingml/2006/main">
          <a:off x="8033494" y="965363"/>
          <a:ext cx="226537" cy="156518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0" rIns="0" bIns="0" rtlCol="0" anchor="ctr" anchorCtr="0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00" b="1"/>
            <a:t>44%</a:t>
          </a:r>
        </a:p>
      </cdr:txBody>
    </cdr:sp>
  </cdr:relSizeAnchor>
  <cdr:relSizeAnchor xmlns:cdr="http://schemas.openxmlformats.org/drawingml/2006/chartDrawing">
    <cdr:from>
      <cdr:x>0.06165</cdr:x>
      <cdr:y>0.14318</cdr:y>
    </cdr:from>
    <cdr:to>
      <cdr:x>0.06165</cdr:x>
      <cdr:y>0.33651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07EDE55F-1B0B-13DE-87BA-EC88AC0FA2C5}"/>
            </a:ext>
          </a:extLst>
        </cdr:cNvPr>
        <cdr:cNvCxnSpPr/>
      </cdr:nvCxnSpPr>
      <cdr:spPr>
        <a:xfrm xmlns:a="http://schemas.openxmlformats.org/drawingml/2006/main" flipV="1">
          <a:off x="509820" y="479911"/>
          <a:ext cx="0" cy="6480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0.06511</cdr:x>
      <cdr:y>0.22582</cdr:y>
    </cdr:from>
    <cdr:to>
      <cdr:x>0.09249</cdr:x>
      <cdr:y>0.27286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B57A6EE-68AA-BAE1-09D4-94BBFFB3B476}"/>
            </a:ext>
          </a:extLst>
        </cdr:cNvPr>
        <cdr:cNvSpPr txBox="1"/>
      </cdr:nvSpPr>
      <cdr:spPr>
        <a:xfrm xmlns:a="http://schemas.openxmlformats.org/drawingml/2006/main">
          <a:off x="538777" y="751395"/>
          <a:ext cx="226537" cy="15651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0" rIns="0" bIns="0" rtlCol="0" anchor="ctr" anchorCtr="0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000" b="1"/>
            <a:t>26%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837044</xdr:colOff>
      <xdr:row>9</xdr:row>
      <xdr:rowOff>111989</xdr:rowOff>
    </xdr:from>
    <xdr:to>
      <xdr:col>33</xdr:col>
      <xdr:colOff>351367</xdr:colOff>
      <xdr:row>39</xdr:row>
      <xdr:rowOff>69272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5EC891-99B0-84E7-5541-AE714E1FA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43</xdr:row>
      <xdr:rowOff>0</xdr:rowOff>
    </xdr:from>
    <xdr:to>
      <xdr:col>33</xdr:col>
      <xdr:colOff>495300</xdr:colOff>
      <xdr:row>72</xdr:row>
      <xdr:rowOff>137758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C5571-ED29-4493-AAB1-76E65EA4B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226588</xdr:colOff>
      <xdr:row>35</xdr:row>
      <xdr:rowOff>54280</xdr:rowOff>
    </xdr:from>
    <xdr:to>
      <xdr:col>6</xdr:col>
      <xdr:colOff>645951</xdr:colOff>
      <xdr:row>55</xdr:row>
      <xdr:rowOff>52606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72A117-9D08-03C4-2372-E1F1D0A9F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69666</xdr:colOff>
      <xdr:row>85</xdr:row>
      <xdr:rowOff>148657</xdr:rowOff>
    </xdr:from>
    <xdr:to>
      <xdr:col>25</xdr:col>
      <xdr:colOff>118858</xdr:colOff>
      <xdr:row>116</xdr:row>
      <xdr:rowOff>147977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918A3-F5EA-C17F-F67A-E187FCADD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283370</xdr:colOff>
      <xdr:row>85</xdr:row>
      <xdr:rowOff>159543</xdr:rowOff>
    </xdr:from>
    <xdr:to>
      <xdr:col>39</xdr:col>
      <xdr:colOff>171180</xdr:colOff>
      <xdr:row>116</xdr:row>
      <xdr:rowOff>161244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0C11F4-4564-4CD8-8EF2-6EE4401DE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0.88429</cdr:x>
      <cdr:y>0.23766</cdr:y>
    </cdr:from>
    <cdr:to>
      <cdr:x>0.96059</cdr:x>
      <cdr:y>0.40067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4EB3AA-7543-D128-7F3A-15B7D971D572}"/>
            </a:ext>
          </a:extLst>
        </cdr:cNvPr>
        <cdr:cNvSpPr txBox="1"/>
      </cdr:nvSpPr>
      <cdr:spPr>
        <a:xfrm xmlns:a="http://schemas.openxmlformats.org/drawingml/2006/main">
          <a:off x="10597345" y="133315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0.92838</cdr:x>
      <cdr:y>0.21445</cdr:y>
    </cdr:from>
    <cdr:to>
      <cdr:x>0.95686</cdr:x>
      <cdr:y>0.41543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92F358C-B1E6-2FFE-A02B-FAC1AC400804}"/>
            </a:ext>
          </a:extLst>
        </cdr:cNvPr>
        <cdr:cNvSpPr txBox="1"/>
      </cdr:nvSpPr>
      <cdr:spPr>
        <a:xfrm xmlns:a="http://schemas.openxmlformats.org/drawingml/2006/main" rot="16048435">
          <a:off x="10732666" y="1596062"/>
          <a:ext cx="1127440" cy="3412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0.9416</cdr:x>
      <cdr:y>0.20697</cdr:y>
    </cdr:from>
    <cdr:to>
      <cdr:x>0.96187</cdr:x>
      <cdr:y>0.40988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D880478-2B14-8E4D-FE93-432EBB85B4CD}"/>
            </a:ext>
          </a:extLst>
        </cdr:cNvPr>
        <cdr:cNvSpPr txBox="1"/>
      </cdr:nvSpPr>
      <cdr:spPr>
        <a:xfrm xmlns:a="http://schemas.openxmlformats.org/drawingml/2006/main">
          <a:off x="11284134" y="1161031"/>
          <a:ext cx="242888" cy="11382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233227</xdr:colOff>
      <xdr:row>225</xdr:row>
      <xdr:rowOff>136074</xdr:rowOff>
    </xdr:from>
    <xdr:to>
      <xdr:col>17</xdr:col>
      <xdr:colOff>1061357</xdr:colOff>
      <xdr:row>250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8FB08-4E5B-41C7-806B-F98E5004A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869225</xdr:colOff>
      <xdr:row>164</xdr:row>
      <xdr:rowOff>81643</xdr:rowOff>
    </xdr:from>
    <xdr:to>
      <xdr:col>28</xdr:col>
      <xdr:colOff>942432</xdr:colOff>
      <xdr:row>188</xdr:row>
      <xdr:rowOff>140157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A766CA-9F62-4CEE-A086-4AAC5B13D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70483</xdr:colOff>
      <xdr:row>164</xdr:row>
      <xdr:rowOff>75927</xdr:rowOff>
    </xdr:from>
    <xdr:to>
      <xdr:col>21</xdr:col>
      <xdr:colOff>876300</xdr:colOff>
      <xdr:row>189</xdr:row>
      <xdr:rowOff>89808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7CD879-85AE-35B9-0C08-7F719F946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195942</xdr:colOff>
      <xdr:row>196</xdr:row>
      <xdr:rowOff>163286</xdr:rowOff>
    </xdr:from>
    <xdr:to>
      <xdr:col>20</xdr:col>
      <xdr:colOff>1001759</xdr:colOff>
      <xdr:row>221</xdr:row>
      <xdr:rowOff>177167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51A26-0AFF-4887-8E10-F67CAA72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217</xdr:row>
      <xdr:rowOff>0</xdr:rowOff>
    </xdr:from>
    <xdr:to>
      <xdr:col>27</xdr:col>
      <xdr:colOff>534215</xdr:colOff>
      <xdr:row>241</xdr:row>
      <xdr:rowOff>130628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759500-1D98-41D4-9402-480FE8941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838200</xdr:colOff>
      <xdr:row>200</xdr:row>
      <xdr:rowOff>108857</xdr:rowOff>
    </xdr:from>
    <xdr:to>
      <xdr:col>11</xdr:col>
      <xdr:colOff>97971</xdr:colOff>
      <xdr:row>225</xdr:row>
      <xdr:rowOff>54428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C5BE49-65ED-F817-C632-521362B1E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114300</xdr:colOff>
      <xdr:row>235</xdr:row>
      <xdr:rowOff>-1</xdr:rowOff>
    </xdr:from>
    <xdr:to>
      <xdr:col>6</xdr:col>
      <xdr:colOff>827313</xdr:colOff>
      <xdr:row>249</xdr:row>
      <xdr:rowOff>152399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1A2999-A5EE-7FDC-FC34-8E7F7B12A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38C0A-F74A-4CF6-827E-70D9E0440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731B0-81E4-4317-8CEC-83D790B84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CFD49D-9E0A-4B92-8F46-6C869588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0B67E5-2BC7-4B18-B8E4-3405130F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954087</xdr:colOff>
      <xdr:row>26</xdr:row>
      <xdr:rowOff>118110</xdr:rowOff>
    </xdr:from>
    <xdr:to>
      <xdr:col>17</xdr:col>
      <xdr:colOff>152399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BE0612-5429-4E69-B2C0-50415C62A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92E6B-F3B7-4ACB-8A90-75CBB8C2A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EB239D-0244-4B7B-BAD3-6CAFDD03D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776604-EF58-4100-8885-92E3D06E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99C352-A5B8-4AE3-8C28-9FAE76C2E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954087</xdr:colOff>
      <xdr:row>26</xdr:row>
      <xdr:rowOff>118110</xdr:rowOff>
    </xdr:from>
    <xdr:to>
      <xdr:col>17</xdr:col>
      <xdr:colOff>152399</xdr:colOff>
      <xdr:row>38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48C90F-25FA-447D-B3F8-553DB2471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85879-2A88-4BB0-BBD5-8D8E520A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09AEF-495E-4C71-98F1-4A355A97D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377F45-6E93-4108-9C0C-04FD6B58B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0F910F-EB79-4CF0-83B5-1C4EE3DAB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954087</xdr:colOff>
      <xdr:row>26</xdr:row>
      <xdr:rowOff>118110</xdr:rowOff>
    </xdr:from>
    <xdr:to>
      <xdr:col>17</xdr:col>
      <xdr:colOff>152399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D3E5D7-4329-480D-88AB-4022DB2E5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3D327-3404-4B2B-81F0-9BB7235BD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7E5F3-3488-47A4-98A0-CE5915CB4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583EB9-B59A-4B88-9B00-4EA5BE54A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7A75B2-4FA8-46FB-9DF1-425028067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954087</xdr:colOff>
      <xdr:row>26</xdr:row>
      <xdr:rowOff>118110</xdr:rowOff>
    </xdr:from>
    <xdr:to>
      <xdr:col>17</xdr:col>
      <xdr:colOff>152399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D0B4CC-C2EA-4EAB-8775-82DEBD0C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CC8AE-E5EA-4722-BEB6-7EE566B15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AD1F5-F373-454C-848A-3CE8590B6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B35ED-646D-447D-A3B7-319DB9142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D600E4-AD23-42E7-ABF0-EF3030C97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954087</xdr:colOff>
      <xdr:row>26</xdr:row>
      <xdr:rowOff>118110</xdr:rowOff>
    </xdr:from>
    <xdr:to>
      <xdr:col>17</xdr:col>
      <xdr:colOff>152399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6CBEEA-5F4C-4EA6-906B-E0A965F6C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BBF2D-6D0A-4E8E-AAA7-E83DEA45D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D6525-39C1-472F-A804-D6A0E77C2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E240A-0B9D-404A-9CF8-3A91F79A2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BCEFD3-5F2B-4FFD-AB54-C29E64B1D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34</xdr:row>
      <xdr:rowOff>53180</xdr:rowOff>
    </xdr:from>
    <xdr:to>
      <xdr:col>16</xdr:col>
      <xdr:colOff>1047749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015099-6455-4C59-AA6B-6C5A64D4C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20A21-811D-4400-BC1F-C6979F6A0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72D159-D448-4B07-AF4F-50B9C1CA6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C9A8CE-028C-4589-B810-07E820A13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51F44-FA69-42BB-B1AA-80AFDAE7F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33</xdr:row>
      <xdr:rowOff>53180</xdr:rowOff>
    </xdr:from>
    <xdr:to>
      <xdr:col>16</xdr:col>
      <xdr:colOff>1047749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2A82E1-33BD-4C41-AF61-5829BA540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B546AE-BB20-4E44-A60B-F9721B0B6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1A2C0-96D6-4FF4-A806-909DCED47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164783-7FBF-4113-9C2A-B2B5B2847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988B17-2BA8-4A27-8851-F91406D87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25</xdr:row>
      <xdr:rowOff>190500</xdr:rowOff>
    </xdr:from>
    <xdr:to>
      <xdr:col>17</xdr:col>
      <xdr:colOff>3809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8AD8ED-3A13-495C-B907-A28F450AB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743A3-AA02-46CA-A4C7-95A4EE9FB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E8940-4189-4177-BEEA-7F34230FD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6EC085-126A-4EDD-8287-98C54C3D1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3CA79D-6043-469B-AEC7-81AC40980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33</xdr:row>
      <xdr:rowOff>53180</xdr:rowOff>
    </xdr:from>
    <xdr:to>
      <xdr:col>16</xdr:col>
      <xdr:colOff>1047749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EADF93-676D-4F1B-BEAA-ED1BE5F62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92637-D8C1-4227-96C2-ECD8C5B5E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A6C0C-AE49-4B41-A364-FDEEFA6A6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B5C6F0-FEBF-4B9C-A989-E9485F141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8C1D0A-1D0F-49E1-B20A-541450A67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32</xdr:row>
      <xdr:rowOff>53180</xdr:rowOff>
    </xdr:from>
    <xdr:to>
      <xdr:col>16</xdr:col>
      <xdr:colOff>1047749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D2302C-698E-4BCD-A51C-E2D652081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710E9-4BAA-4843-ADCF-6065358F2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DA32F-273A-47A7-B17C-5987C5EBA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68A1D-8190-43F6-BED9-E3AC2116D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E10B00-2B67-4436-A592-FB95B881C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801687</xdr:colOff>
      <xdr:row>31</xdr:row>
      <xdr:rowOff>53180</xdr:rowOff>
    </xdr:from>
    <xdr:to>
      <xdr:col>16</xdr:col>
      <xdr:colOff>1047749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B31BAC-B971-40B0-9D2A-27FDD8AD9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4AE30-365E-44FB-BFAB-D4AB00B7A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54BEE-AFCD-4727-A7BD-C4FBC1B71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8C3EBB-4779-4929-ACDF-1283D7C09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C39809-5765-4BDD-9D25-E9A4C5369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900747</xdr:colOff>
      <xdr:row>26</xdr:row>
      <xdr:rowOff>45560</xdr:rowOff>
    </xdr:from>
    <xdr:to>
      <xdr:col>17</xdr:col>
      <xdr:colOff>102869</xdr:colOff>
      <xdr:row>36</xdr:row>
      <xdr:rowOff>335280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C4C950-DF01-4B6B-A734-A4E6E07CF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237</xdr:row>
      <xdr:rowOff>140782</xdr:rowOff>
    </xdr:from>
    <xdr:to>
      <xdr:col>56</xdr:col>
      <xdr:colOff>3165</xdr:colOff>
      <xdr:row>254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A72F69-E5EF-4BA1-9EA8-FE28ED65B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224</xdr:row>
      <xdr:rowOff>152145</xdr:rowOff>
    </xdr:from>
    <xdr:to>
      <xdr:col>46</xdr:col>
      <xdr:colOff>116893</xdr:colOff>
      <xdr:row>238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B6401-9670-4297-9875-F5F97CBB8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11</xdr:row>
      <xdr:rowOff>85318</xdr:rowOff>
    </xdr:from>
    <xdr:to>
      <xdr:col>10</xdr:col>
      <xdr:colOff>460374</xdr:colOff>
      <xdr:row>28</xdr:row>
      <xdr:rowOff>126803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07A9CC-321E-4601-9523-4AA6AF4A6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11</xdr:row>
      <xdr:rowOff>85318</xdr:rowOff>
    </xdr:from>
    <xdr:to>
      <xdr:col>17</xdr:col>
      <xdr:colOff>57150</xdr:colOff>
      <xdr:row>28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0F5EDE-A40F-400F-B89F-6691F2B2A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29</xdr:col>
      <xdr:colOff>352651</xdr:colOff>
      <xdr:row>33</xdr:row>
      <xdr:rowOff>41486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17EA31-0C4E-4CC8-A058-B861AA5BE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801686</xdr:colOff>
      <xdr:row>70</xdr:row>
      <xdr:rowOff>85725</xdr:rowOff>
    </xdr:from>
    <xdr:to>
      <xdr:col>17</xdr:col>
      <xdr:colOff>330199</xdr:colOff>
      <xdr:row>82</xdr:row>
      <xdr:rowOff>9922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84834F-C3DB-4D50-9E7F-18CFB010B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46</xdr:row>
      <xdr:rowOff>0</xdr:rowOff>
    </xdr:from>
    <xdr:to>
      <xdr:col>44</xdr:col>
      <xdr:colOff>523875</xdr:colOff>
      <xdr:row>60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D90FA4-474E-4DCF-B375-C9E341AF6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237</xdr:row>
      <xdr:rowOff>140782</xdr:rowOff>
    </xdr:from>
    <xdr:to>
      <xdr:col>56</xdr:col>
      <xdr:colOff>3165</xdr:colOff>
      <xdr:row>254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86463-0A9F-4707-B4A9-D9412E15F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224</xdr:row>
      <xdr:rowOff>152145</xdr:rowOff>
    </xdr:from>
    <xdr:to>
      <xdr:col>46</xdr:col>
      <xdr:colOff>116893</xdr:colOff>
      <xdr:row>238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66AB6-39D6-4553-AEDD-DBBC793AC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11</xdr:row>
      <xdr:rowOff>85318</xdr:rowOff>
    </xdr:from>
    <xdr:to>
      <xdr:col>10</xdr:col>
      <xdr:colOff>460374</xdr:colOff>
      <xdr:row>28</xdr:row>
      <xdr:rowOff>126803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E5574-2157-4097-AAC2-E8441829D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11</xdr:row>
      <xdr:rowOff>85318</xdr:rowOff>
    </xdr:from>
    <xdr:to>
      <xdr:col>17</xdr:col>
      <xdr:colOff>57150</xdr:colOff>
      <xdr:row>28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66284B-C074-4DEE-9339-76D34CCD6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29</xdr:col>
      <xdr:colOff>352651</xdr:colOff>
      <xdr:row>33</xdr:row>
      <xdr:rowOff>41486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561136-AB06-4B19-8DEA-060EA098F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801687</xdr:colOff>
      <xdr:row>71</xdr:row>
      <xdr:rowOff>53180</xdr:rowOff>
    </xdr:from>
    <xdr:to>
      <xdr:col>16</xdr:col>
      <xdr:colOff>1047749</xdr:colOff>
      <xdr:row>82</xdr:row>
      <xdr:rowOff>9922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DA4A07-A503-486D-ACEC-874E74AF7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46</xdr:row>
      <xdr:rowOff>0</xdr:rowOff>
    </xdr:from>
    <xdr:to>
      <xdr:col>44</xdr:col>
      <xdr:colOff>523875</xdr:colOff>
      <xdr:row>60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B014E2-8C87-45B7-AF45-7B0EA4AE3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238</xdr:row>
      <xdr:rowOff>140782</xdr:rowOff>
    </xdr:from>
    <xdr:to>
      <xdr:col>56</xdr:col>
      <xdr:colOff>3165</xdr:colOff>
      <xdr:row>255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02ABB-986B-4B01-AB2B-89594B46C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225</xdr:row>
      <xdr:rowOff>152145</xdr:rowOff>
    </xdr:from>
    <xdr:to>
      <xdr:col>46</xdr:col>
      <xdr:colOff>116893</xdr:colOff>
      <xdr:row>239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311FE-5F98-4804-9518-9C8E30838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11</xdr:row>
      <xdr:rowOff>85318</xdr:rowOff>
    </xdr:from>
    <xdr:to>
      <xdr:col>10</xdr:col>
      <xdr:colOff>460374</xdr:colOff>
      <xdr:row>28</xdr:row>
      <xdr:rowOff>126803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471C15-81DF-47F7-BE9E-959017A5B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11</xdr:row>
      <xdr:rowOff>85318</xdr:rowOff>
    </xdr:from>
    <xdr:to>
      <xdr:col>17</xdr:col>
      <xdr:colOff>57150</xdr:colOff>
      <xdr:row>28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5091A0-6C06-4160-BCBA-CFD8ECADE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29</xdr:col>
      <xdr:colOff>352651</xdr:colOff>
      <xdr:row>33</xdr:row>
      <xdr:rowOff>41486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3FBA57-F9B3-4966-8142-DF7FDD99B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801687</xdr:colOff>
      <xdr:row>72</xdr:row>
      <xdr:rowOff>53180</xdr:rowOff>
    </xdr:from>
    <xdr:to>
      <xdr:col>16</xdr:col>
      <xdr:colOff>1047749</xdr:colOff>
      <xdr:row>83</xdr:row>
      <xdr:rowOff>9922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C527C4-908F-45E0-9316-A1BB7E449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47</xdr:row>
      <xdr:rowOff>0</xdr:rowOff>
    </xdr:from>
    <xdr:to>
      <xdr:col>44</xdr:col>
      <xdr:colOff>523875</xdr:colOff>
      <xdr:row>61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3A2DFD-1FBA-4C31-AB3B-CB426327B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237</xdr:row>
      <xdr:rowOff>140782</xdr:rowOff>
    </xdr:from>
    <xdr:to>
      <xdr:col>56</xdr:col>
      <xdr:colOff>3165</xdr:colOff>
      <xdr:row>254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07FE0-FAB0-444B-B80C-11F2BAE6A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224</xdr:row>
      <xdr:rowOff>152145</xdr:rowOff>
    </xdr:from>
    <xdr:to>
      <xdr:col>46</xdr:col>
      <xdr:colOff>116893</xdr:colOff>
      <xdr:row>238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CC7F60-6B73-486E-A3DA-162C6609E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11</xdr:row>
      <xdr:rowOff>85318</xdr:rowOff>
    </xdr:from>
    <xdr:to>
      <xdr:col>10</xdr:col>
      <xdr:colOff>460374</xdr:colOff>
      <xdr:row>28</xdr:row>
      <xdr:rowOff>126803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371DC-A46B-462B-9DC3-0AF38F16D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11</xdr:row>
      <xdr:rowOff>85318</xdr:rowOff>
    </xdr:from>
    <xdr:to>
      <xdr:col>17</xdr:col>
      <xdr:colOff>57150</xdr:colOff>
      <xdr:row>28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735AA8-3396-47AE-A6E0-DC8F979C2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29</xdr:col>
      <xdr:colOff>352651</xdr:colOff>
      <xdr:row>33</xdr:row>
      <xdr:rowOff>41486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5A15E8-4463-4F92-A542-1EBA3478D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801687</xdr:colOff>
      <xdr:row>71</xdr:row>
      <xdr:rowOff>53180</xdr:rowOff>
    </xdr:from>
    <xdr:to>
      <xdr:col>16</xdr:col>
      <xdr:colOff>1047749</xdr:colOff>
      <xdr:row>82</xdr:row>
      <xdr:rowOff>9922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88BC3-B012-4C19-86EE-6AF772C3A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46</xdr:row>
      <xdr:rowOff>0</xdr:rowOff>
    </xdr:from>
    <xdr:to>
      <xdr:col>44</xdr:col>
      <xdr:colOff>523875</xdr:colOff>
      <xdr:row>60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6F3D83-5C66-4FCE-B0E8-A9CE6D9FA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237</xdr:row>
      <xdr:rowOff>140782</xdr:rowOff>
    </xdr:from>
    <xdr:to>
      <xdr:col>56</xdr:col>
      <xdr:colOff>3165</xdr:colOff>
      <xdr:row>254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F3FD9-E3A4-490E-929B-029FA124E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224</xdr:row>
      <xdr:rowOff>152145</xdr:rowOff>
    </xdr:from>
    <xdr:to>
      <xdr:col>46</xdr:col>
      <xdr:colOff>116893</xdr:colOff>
      <xdr:row>238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0B2C6-01D4-4854-A5C9-3E095FE99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11</xdr:row>
      <xdr:rowOff>85318</xdr:rowOff>
    </xdr:from>
    <xdr:to>
      <xdr:col>10</xdr:col>
      <xdr:colOff>460374</xdr:colOff>
      <xdr:row>28</xdr:row>
      <xdr:rowOff>126803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F662A3-2DAB-4F49-AA27-8AAA6A320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11</xdr:row>
      <xdr:rowOff>85318</xdr:rowOff>
    </xdr:from>
    <xdr:to>
      <xdr:col>17</xdr:col>
      <xdr:colOff>57150</xdr:colOff>
      <xdr:row>28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5BB2D7-ECBE-4DF9-A42C-6E79957A8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16</xdr:row>
      <xdr:rowOff>0</xdr:rowOff>
    </xdr:from>
    <xdr:to>
      <xdr:col>29</xdr:col>
      <xdr:colOff>352651</xdr:colOff>
      <xdr:row>33</xdr:row>
      <xdr:rowOff>41486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503E90-55E6-40F7-9698-B5B9F98F6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801687</xdr:colOff>
      <xdr:row>71</xdr:row>
      <xdr:rowOff>53180</xdr:rowOff>
    </xdr:from>
    <xdr:to>
      <xdr:col>16</xdr:col>
      <xdr:colOff>1047749</xdr:colOff>
      <xdr:row>82</xdr:row>
      <xdr:rowOff>9922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B8C163-D4E1-403F-BD57-944DB889D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46</xdr:row>
      <xdr:rowOff>0</xdr:rowOff>
    </xdr:from>
    <xdr:to>
      <xdr:col>44</xdr:col>
      <xdr:colOff>523875</xdr:colOff>
      <xdr:row>60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ADC1F1-0DEF-4D20-AF2B-7CC74745A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87414-DD94-4C1E-B482-DB5365AC2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A9AF3-1F54-42AF-A6DC-34D80EB79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84F7F-EA5E-4BFD-8AF3-BF7A10A21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1E6450-1800-4FFE-8E4F-22D940AC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900747</xdr:colOff>
      <xdr:row>26</xdr:row>
      <xdr:rowOff>45560</xdr:rowOff>
    </xdr:from>
    <xdr:to>
      <xdr:col>17</xdr:col>
      <xdr:colOff>102869</xdr:colOff>
      <xdr:row>37</xdr:row>
      <xdr:rowOff>335280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9976A3-1995-44B2-A393-5A312C9B9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483053</xdr:colOff>
      <xdr:row>208</xdr:row>
      <xdr:rowOff>140782</xdr:rowOff>
    </xdr:from>
    <xdr:to>
      <xdr:col>56</xdr:col>
      <xdr:colOff>3165</xdr:colOff>
      <xdr:row>225</xdr:row>
      <xdr:rowOff>98810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DBC2B-E783-485C-8CDE-DECF7D454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602953</xdr:colOff>
      <xdr:row>195</xdr:row>
      <xdr:rowOff>152145</xdr:rowOff>
    </xdr:from>
    <xdr:to>
      <xdr:col>46</xdr:col>
      <xdr:colOff>116893</xdr:colOff>
      <xdr:row>209</xdr:row>
      <xdr:rowOff>110172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4FD37D-A360-4041-B949-BEFBA55A4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119243</xdr:colOff>
      <xdr:row>8</xdr:row>
      <xdr:rowOff>85318</xdr:rowOff>
    </xdr:from>
    <xdr:to>
      <xdr:col>10</xdr:col>
      <xdr:colOff>460374</xdr:colOff>
      <xdr:row>29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A7C9F5-1459-436A-9768-FF7E26B33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612612</xdr:colOff>
      <xdr:row>8</xdr:row>
      <xdr:rowOff>85318</xdr:rowOff>
    </xdr:from>
    <xdr:to>
      <xdr:col>17</xdr:col>
      <xdr:colOff>57150</xdr:colOff>
      <xdr:row>24</xdr:row>
      <xdr:rowOff>126803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614574-F6A0-454F-9C09-C0EDCDB55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900747</xdr:colOff>
      <xdr:row>26</xdr:row>
      <xdr:rowOff>45560</xdr:rowOff>
    </xdr:from>
    <xdr:to>
      <xdr:col>17</xdr:col>
      <xdr:colOff>102869</xdr:colOff>
      <xdr:row>37</xdr:row>
      <xdr:rowOff>335280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8DF344-6CCE-4EEF-B791-674CB0F3B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0.08206</cdr:x>
      <cdr:y>0.59572</cdr:y>
    </cdr:from>
    <cdr:to>
      <cdr:x>0.97646</cdr:x>
      <cdr:y>0.59785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29555215-89A8-49FE-986D-112AFBD63D07}"/>
            </a:ext>
          </a:extLst>
        </cdr:cNvPr>
        <cdr:cNvCxnSpPr/>
      </cdr:nvCxnSpPr>
      <cdr:spPr>
        <a:xfrm xmlns:a="http://schemas.openxmlformats.org/drawingml/2006/main" flipV="1">
          <a:off x="461368" y="1827070"/>
          <a:ext cx="5028606" cy="653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92D050"/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0.42731</cdr:x>
      <cdr:y>0.56377</cdr:y>
    </cdr:from>
    <cdr:to>
      <cdr:x>0.64512</cdr:x>
      <cdr:y>0.62553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9CF9C61-32E7-C9F2-563B-DAB298BBAF11}"/>
            </a:ext>
          </a:extLst>
        </cdr:cNvPr>
        <cdr:cNvSpPr txBox="1"/>
      </cdr:nvSpPr>
      <cdr:spPr>
        <a:xfrm xmlns:a="http://schemas.openxmlformats.org/drawingml/2006/main">
          <a:off x="2402475" y="1729080"/>
          <a:ext cx="1224598" cy="18941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BEV Breakeven</a:t>
          </a:r>
        </a:p>
      </cdr:txBody>
    </cdr:sp>
  </cdr:relSizeAnchor>
  <cdr:relSizeAnchor xmlns:cdr="http://schemas.openxmlformats.org/drawingml/2006/chartDrawing">
    <cdr:from>
      <cdr:x>0.38363</cdr:x>
      <cdr:y>0.56885</cdr:y>
    </cdr:from>
    <cdr:to>
      <cdr:x>0.41375</cdr:x>
      <cdr:y>0.61996</cdr:y>
    </cdr:to>
    <cdr:sp macro="" textlink="">
      <cdr:nvSpPr>
        <cdr:cNvPr id="5" name="Arrow: Chevron 4">
          <a:extLst xmlns:a="http://schemas.openxmlformats.org/drawingml/2006/main">
            <a:ext uri="{FF2B5EF4-FFF2-40B4-BE49-F238E27FC236}">
              <a16:creationId xmlns:a16="http://schemas.microsoft.com/office/drawing/2014/main" id="{2502BC6E-A31A-90F2-693A-815124BD3496}"/>
            </a:ext>
          </a:extLst>
        </cdr:cNvPr>
        <cdr:cNvSpPr/>
      </cdr:nvSpPr>
      <cdr:spPr>
        <a:xfrm xmlns:a="http://schemas.openxmlformats.org/drawingml/2006/main">
          <a:off x="2156892" y="1744660"/>
          <a:ext cx="16934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0.65319</cdr:x>
      <cdr:y>0.56885</cdr:y>
    </cdr:from>
    <cdr:to>
      <cdr:x>0.684</cdr:x>
      <cdr:y>0.61996</cdr:y>
    </cdr:to>
    <cdr:sp macro="" textlink="">
      <cdr:nvSpPr>
        <cdr:cNvPr id="8" name="Arrow: Chevron 7">
          <a:extLst xmlns:a="http://schemas.openxmlformats.org/drawingml/2006/main">
            <a:ext uri="{FF2B5EF4-FFF2-40B4-BE49-F238E27FC236}">
              <a16:creationId xmlns:a16="http://schemas.microsoft.com/office/drawing/2014/main" id="{DF3DFB70-4067-F0E0-3B85-D348A482E3D3}"/>
            </a:ext>
          </a:extLst>
        </cdr:cNvPr>
        <cdr:cNvSpPr/>
      </cdr:nvSpPr>
      <cdr:spPr>
        <a:xfrm xmlns:a="http://schemas.openxmlformats.org/drawingml/2006/main" flipH="1">
          <a:off x="3672445" y="1744660"/>
          <a:ext cx="173224" cy="156754"/>
        </a:xfrm>
        <a:prstGeom xmlns:a="http://schemas.openxmlformats.org/drawingml/2006/main" prst="chevron">
          <a:avLst/>
        </a:prstGeom>
        <a:solidFill xmlns:a="http://schemas.openxmlformats.org/drawingml/2006/main">
          <a:schemeClr val="accent6">
            <a:lumMod val="60000"/>
            <a:lumOff val="40000"/>
            <a:alpha val="50000"/>
          </a:schemeClr>
        </a:solidFill>
      </cdr:spPr>
      <cdr:style>
        <a:lnRef xmlns:a="http://schemas.openxmlformats.org/drawingml/2006/main" idx="1">
          <a:schemeClr val="accent3"/>
        </a:lnRef>
        <a:fillRef xmlns:a="http://schemas.openxmlformats.org/drawingml/2006/main" idx="2">
          <a:schemeClr val="accent3"/>
        </a:fillRef>
        <a:effectRef xmlns:a="http://schemas.openxmlformats.org/drawingml/2006/main" idx="1">
          <a:schemeClr val="accent3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0.41368</cdr:x>
      <cdr:y>0.23755</cdr:y>
    </cdr:from>
    <cdr:to>
      <cdr:x>0.73348</cdr:x>
      <cdr:y>0.38526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D093CCE3-47AF-FD69-858A-299689E09C8E}"/>
            </a:ext>
          </a:extLst>
        </cdr:cNvPr>
        <cdr:cNvSpPr txBox="1"/>
      </cdr:nvSpPr>
      <cdr:spPr>
        <a:xfrm xmlns:a="http://schemas.openxmlformats.org/drawingml/2006/main">
          <a:off x="2325826" y="728571"/>
          <a:ext cx="1798019" cy="45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000" b="1">
              <a:solidFill>
                <a:srgbClr val="0070C0"/>
              </a:solidFill>
            </a:rPr>
            <a:t>Ratio of &lt;1 implies vehicle</a:t>
          </a:r>
          <a:r>
            <a:rPr lang="en-IN" sz="1000" b="1" baseline="0">
              <a:solidFill>
                <a:srgbClr val="0070C0"/>
              </a:solidFill>
            </a:rPr>
            <a:t> </a:t>
          </a:r>
        </a:p>
        <a:p xmlns:a="http://schemas.openxmlformats.org/drawingml/2006/main">
          <a:pPr algn="ctr"/>
          <a:r>
            <a:rPr lang="en-IN" sz="1000" b="1" baseline="0">
              <a:solidFill>
                <a:srgbClr val="0070C0"/>
              </a:solidFill>
            </a:rPr>
            <a:t>outcompetes BEV on TCO</a:t>
          </a:r>
          <a:endParaRPr lang="en-IN" sz="1000" b="1">
            <a:solidFill>
              <a:srgbClr val="0070C0"/>
            </a:solidFill>
          </a:endParaRPr>
        </a:p>
      </cdr:txBody>
    </cdr:sp>
  </cdr:relSizeAnchor>
  <cdr:relSizeAnchor xmlns:cdr="http://schemas.openxmlformats.org/drawingml/2006/chartDrawing">
    <cdr:from>
      <cdr:x>0.64823</cdr:x>
      <cdr:y>0.04605</cdr:y>
    </cdr:from>
    <cdr:to>
      <cdr:x>0.64823</cdr:x>
      <cdr:y>0.77898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B579A324-F719-2A28-49C1-5DF5971D8359}"/>
            </a:ext>
          </a:extLst>
        </cdr:cNvPr>
        <cdr:cNvCxnSpPr/>
      </cdr:nvCxnSpPr>
      <cdr:spPr>
        <a:xfrm xmlns:a="http://schemas.openxmlformats.org/drawingml/2006/main" flipV="1">
          <a:off x="364456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0.49508</cdr:x>
      <cdr:y>0.04605</cdr:y>
    </cdr:from>
    <cdr:to>
      <cdr:x>0.49508</cdr:x>
      <cdr:y>0.77898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8CF8C8E2-9551-1E7F-46C4-A81E047738F6}"/>
            </a:ext>
          </a:extLst>
        </cdr:cNvPr>
        <cdr:cNvCxnSpPr/>
      </cdr:nvCxnSpPr>
      <cdr:spPr>
        <a:xfrm xmlns:a="http://schemas.openxmlformats.org/drawingml/2006/main" flipV="1">
          <a:off x="2783502" y="141225"/>
          <a:ext cx="0" cy="22479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bg1">
              <a:lumMod val="65000"/>
            </a:schemeClr>
          </a:solidFill>
          <a:prstDash val="dash"/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577270</xdr:colOff>
      <xdr:row>179</xdr:row>
      <xdr:rowOff>122094</xdr:rowOff>
    </xdr:from>
    <xdr:to>
      <xdr:col>29</xdr:col>
      <xdr:colOff>271561</xdr:colOff>
      <xdr:row>197</xdr:row>
      <xdr:rowOff>134794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B1170-A2BA-4B08-ADED-5AD6FDC48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150811</xdr:colOff>
      <xdr:row>65</xdr:row>
      <xdr:rowOff>70910</xdr:rowOff>
    </xdr:from>
    <xdr:to>
      <xdr:col>21</xdr:col>
      <xdr:colOff>166687</xdr:colOff>
      <xdr:row>92</xdr:row>
      <xdr:rowOff>115358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B167-46A7-48A4-A46E-0A1840B08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f49e363900a72a80/Desktop/IITM/Powertrain%20Roadmap/Fuel%20&amp;%20Powertrain%20Roadmap%20Project%20-%20Shared%20Folder/Powertrain%20Roadmap%20Final%20Report/Revised%20Report/Power%20Train%20Choice%20Model%20Modified%20v1.xlsx" TargetMode="External"/><Relationship Id="rId2" Type="http://schemas.openxmlformats.org/officeDocument/2006/relationships/externalLinkPath" Target="https://d.docs.live.net/f49e363900a72a80/Desktop/IITM/Powertrain%20Roadmap/Fuel%20%5e0%20Powertrain%20Roadmap%20Project%20-%20Shared%20Folder/Powertrain%20Roadmap%20Final%20Report/Revised%20Report/Power%20Train%20Choice%20Model%20Modified%20v1.xlsx" TargetMode="External"/><Relationship Id="rId1" Type="http://schemas.openxmlformats.org/officeDocument/2006/relationships/externalLinkPath" Target="/f49e363900a72a80/Desktop/IITM/Powertrain%20Roadmap/Fuel%20&amp;%20Powertrain%20Roadmap%20Project%20-%20Shared%20Folder/Powertrain%20Roadmap%20Final%20Report/Revised%20Report/Power%20Train%20Choice%20Model%20Modified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enarios"/>
      <sheetName val="Buckets"/>
      <sheetName val="AnnualSalesSummary Revised"/>
      <sheetName val="Changing with year"/>
      <sheetName val="No change with year"/>
      <sheetName val="Parameter Values"/>
      <sheetName val="Input Sheet"/>
      <sheetName val="Estimation SS - 2045"/>
      <sheetName val="Estimation 100% ZET - 2055"/>
      <sheetName val="PTTM"/>
      <sheetName val="Results"/>
      <sheetName val="Emissions "/>
      <sheetName val="Energy Requirementsfinal"/>
      <sheetName val="B1 - TCO ML 19T"/>
      <sheetName val="B2 - TCO ML 28T"/>
      <sheetName val="B3 - TCO ML 48T "/>
      <sheetName val="B4 - TCO PL&amp;FMCG 19T "/>
      <sheetName val="B5 - TCO PL&amp;FMCG 28T "/>
      <sheetName val="B6 Perishables 15T"/>
      <sheetName val="B7 C&amp;M 28Tip"/>
      <sheetName val="B8 C&amp;M 35Tip"/>
      <sheetName val="B9 Cement 48T Rigid "/>
      <sheetName val="B10 Cement 55 Tractor "/>
      <sheetName val="B11 S&amp;M 55Tractor"/>
      <sheetName val="B12 POL&amp;CNG Tankers 28T"/>
      <sheetName val="TCO 19T B2"/>
      <sheetName val="TCO 28T B3"/>
      <sheetName val="TCO 55T B4"/>
      <sheetName val="TCO 28T B5"/>
      <sheetName val="TCO 40T B6"/>
      <sheetName val="B13 Non POL Tankers 28T"/>
      <sheetName val="Estimation SS - 2035"/>
      <sheetName val="B14 LPG Tankers 40T"/>
      <sheetName val="PTTM 2045 SS (2)"/>
      <sheetName val="Segment Wise Split "/>
      <sheetName val="Output Summary"/>
      <sheetName val="Segmentwise Sales "/>
      <sheetName val="Applicationwise Sales"/>
      <sheetName val="Segmentwise Stock"/>
      <sheetName val="Applicationwise Stock"/>
      <sheetName val="Diesel Only Emissions"/>
    </sheetNames>
    <sheetDataSet>
      <sheetData sheetId="0" refreshError="1"/>
      <sheetData sheetId="1" refreshError="1"/>
      <sheetData sheetId="2" refreshError="1"/>
      <sheetData sheetId="3">
        <row r="30">
          <cell r="AK30">
            <v>0.01</v>
          </cell>
        </row>
        <row r="33">
          <cell r="AK33">
            <v>0.01</v>
          </cell>
        </row>
        <row r="137">
          <cell r="C137">
            <v>11491400</v>
          </cell>
        </row>
        <row r="147">
          <cell r="AI147">
            <v>0.04</v>
          </cell>
          <cell r="AJ147">
            <v>0.04</v>
          </cell>
          <cell r="AK147">
            <v>0.04</v>
          </cell>
        </row>
        <row r="163">
          <cell r="AI163">
            <v>0.04</v>
          </cell>
          <cell r="AJ163">
            <v>0.04</v>
          </cell>
          <cell r="AK163">
            <v>0.04</v>
          </cell>
        </row>
        <row r="173">
          <cell r="AK173">
            <v>0.04</v>
          </cell>
        </row>
        <row r="179">
          <cell r="AI179">
            <v>0.01</v>
          </cell>
          <cell r="AJ179">
            <v>2.5000000000000001E-2</v>
          </cell>
        </row>
        <row r="195">
          <cell r="AI195">
            <v>-5.0000000000000001E-3</v>
          </cell>
          <cell r="AJ195">
            <v>0.02</v>
          </cell>
          <cell r="AK195">
            <v>0.03</v>
          </cell>
        </row>
        <row r="212">
          <cell r="AI212">
            <v>0.01</v>
          </cell>
          <cell r="AJ212">
            <v>0.01</v>
          </cell>
          <cell r="AK212">
            <v>0.01</v>
          </cell>
        </row>
        <row r="234">
          <cell r="AH234">
            <v>4.4999999999999998E-2</v>
          </cell>
          <cell r="AI234">
            <v>4.4999999999999998E-2</v>
          </cell>
          <cell r="AJ234">
            <v>4.4999999999999998E-2</v>
          </cell>
          <cell r="AK234">
            <v>4.4999999999999998E-2</v>
          </cell>
        </row>
        <row r="245">
          <cell r="AH245">
            <v>4.4999999999999998E-2</v>
          </cell>
          <cell r="AI245">
            <v>4.4999999999999998E-2</v>
          </cell>
          <cell r="AJ245">
            <v>4.4999999999999998E-2</v>
          </cell>
          <cell r="AK245">
            <v>4.4999999999999998E-2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2" totalsRowShown="0" headerRowDxfId="103" dataDxfId="101" headerRowBorderDxfId="102" tableBorderDxfId="100" totalsRowBorderDxfId="99">
  <autoFilter ref="A1:N32" xr:uid="{00000000-0009-0000-0100-000001000000}"/>
  <tableColumns count="14">
    <tableColumn id="1" xr3:uid="{00000000-0010-0000-0000-000001000000}" name="Year" dataDxfId="98"/>
    <tableColumn id="2" xr3:uid="{00000000-0010-0000-0000-000002000000}" name="Grand Total Sales" dataDxfId="97" dataCellStyle="Comma"/>
    <tableColumn id="3" xr3:uid="{00000000-0010-0000-0000-000003000000}" name="BET Share (%)" dataDxfId="96">
      <calculatedColumnFormula>IF(A2&lt;$S$2,0,IF(A2&lt;=$U$2,$T$2*EXP(-$W$2*EXP(-$X$2*(A2-$S$2))),IF(A2&lt;=2045,0.05+($Y$2-0.05)*(1-COS(PI()*(A2-$U$2)/(2045-$U$2)))/2,IF(A2&lt;=2050,$Y$2+($AB$2-$Y$2)*(A2-2045)/5,$AB$2+($AA$2-$AB$2)*(A2-2050)/5))))</calculatedColumnFormula>
    </tableColumn>
    <tableColumn id="4" xr3:uid="{00000000-0010-0000-0000-000004000000}" name="BET Units " dataDxfId="95">
      <calculatedColumnFormula>C2*B2</calculatedColumnFormula>
    </tableColumn>
    <tableColumn id="5" xr3:uid="{00000000-0010-0000-0000-000005000000}" name="H2 ICE Share (%)" dataDxfId="94">
      <calculatedColumnFormula>IF(A2&lt;$S$3,0,IF(A2&lt;=$U$3,$T$3*EXP(-$W$3*EXP(-$X$3*(A2-$S$3))),IF(A2&lt;=2045,0.05+($Y$3-0.05)*(1-COS(PI()*(A2-$U$3)/(2045-$U$3)))/2,IF(A2&lt;=2050,$Y$3+($AB$3-$Y$3)*(A2-2045)/5,$AB$3+($AA$3-$AB$3)*(A2-2050)/5))))</calculatedColumnFormula>
    </tableColumn>
    <tableColumn id="6" xr3:uid="{00000000-0010-0000-0000-000006000000}" name="H2 ICE Units" dataDxfId="93">
      <calculatedColumnFormula>E2*B2</calculatedColumnFormula>
    </tableColumn>
    <tableColumn id="7" xr3:uid="{00000000-0010-0000-0000-000007000000}" name="H2 FCET Share (%)" dataDxfId="92">
      <calculatedColumnFormula>IF(A2&lt;$S$4,0,IF(A2&lt;=$U$4,$T$4*EXP(-$W$4*EXP(-$X$4*(A2-$S$4))),IF(A2&lt;=2045,0.05+($Y$4-0.05)*(1-COS(PI()*(A2-$U$4)/(2045-$U$4)))/2,IF(A2&lt;=2050,$Y$4+($AB$4-$Y$4)*(A2-2045)/5,$AB$4+($AA$4-$AB$4)*(A2-2050)/5))))</calculatedColumnFormula>
    </tableColumn>
    <tableColumn id="8" xr3:uid="{00000000-0010-0000-0000-000008000000}" name="H2 FCET Units" dataDxfId="91">
      <calculatedColumnFormula>G2*B2</calculatedColumnFormula>
    </tableColumn>
    <tableColumn id="13" xr3:uid="{00000000-0010-0000-0000-00000D000000}" name="LNG Units" dataDxfId="90">
      <calculatedColumnFormula>Table1[[#This Row],[LNG Share %]]*Table1[[#This Row],[Grand Total Sales]]</calculatedColumnFormula>
    </tableColumn>
    <tableColumn id="9" xr3:uid="{00000000-0010-0000-0000-000009000000}" name="LNG Share %" dataDxfId="89">
      <calculatedColumnFormula>IF(A2&lt;$S$7,0,IF(A2&lt;=2045,$X$7+($Y$7-$X$7)*(((A2-$S$7)/($U$7-$S$7))^($T$7-1)*EXP(($T$7-1)/$T$7*(1-((A2-$S$7)/($U$7-$S$7))^$T$7)))/(((2045-$S$7)/($U$7-$S$7))^($T$7-1)*EXP(($T$7-1)/$T$7*(1-((2045-$S$7)/($U$7-$S$7))^$T$7))),IF(A2&lt;=2050,$Y$7+($AB$7-$Y$7)*(A2-2045)/5,$AB$7*(1+COS(PI()*(A2-2050)/5))/2)))</calculatedColumnFormula>
    </tableColumn>
    <tableColumn id="11" xr3:uid="{00000000-0010-0000-0000-00000B000000}" name="CNG Units" dataDxfId="88" dataCellStyle="Comma">
      <calculatedColumnFormula>Table1[[#This Row],[CNG Share %]]*Table1[[#This Row],[Grand Total Sales]]</calculatedColumnFormula>
    </tableColumn>
    <tableColumn id="12" xr3:uid="{00000000-0010-0000-0000-00000C000000}" name="CNG Share %" dataDxfId="87">
      <calculatedColumnFormula>IF(A2&lt;$S$8,0,IF(A2&lt;=2045,$X$8+($Y$8-$X$8)*(((A2-$S$8)/($U$8-$S$8))^($T$8-1)*EXP(($T$8-1)/$T$8*(1-((A2-$S$8)/($U$8-$S$8))^$T$8)))/(((2045-$S$8)/($U$8-$S$8))^($T$8-1)*EXP(($T$8-1)/$T$8*(1-((2045-$S$8)/($U$8-$S$8))^$T$8))),IF(A2&lt;=2050,$Y$8+($AB$8-$Y$8)*(A2-2045)/5,$AB$8*(1+COS(PI()*(A2-2050)/5))/2)))</calculatedColumnFormula>
    </tableColumn>
    <tableColumn id="14" xr3:uid="{00000000-0010-0000-0000-00000E000000}" name="Diesel" dataDxfId="86">
      <calculatedColumnFormula>Table1[[#This Row],[Grand Total Sales]]-(Table1[[#This Row],[BET Units ]]+Table1[[#This Row],[H2 ICE Units]]+Table1[[#This Row],[H2 FCET Units]]+Table1[[#This Row],[LNG Units]]+Table1[[#This Row],[CNG Units]])</calculatedColumnFormula>
    </tableColumn>
    <tableColumn id="15" xr3:uid="{00000000-0010-0000-0000-00000F000000}" name="Diesel Share%" dataDxfId="85">
      <calculatedColumnFormula>Table1[[#This Row],[Diesel]]/Table1[[#This Row],[Grand Total Sales]]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1:N32" totalsRowShown="0" headerRowDxfId="84" dataDxfId="82" headerRowBorderDxfId="83" tableBorderDxfId="81" totalsRowBorderDxfId="80">
  <autoFilter ref="A1:N32" xr:uid="{00000000-0009-0000-0100-000003000000}"/>
  <tableColumns count="14">
    <tableColumn id="1" xr3:uid="{00000000-0010-0000-0100-000001000000}" name="Year" dataDxfId="79"/>
    <tableColumn id="2" xr3:uid="{00000000-0010-0000-0100-000002000000}" name="Grand Total Sales" dataDxfId="78" dataCellStyle="Comma"/>
    <tableColumn id="3" xr3:uid="{00000000-0010-0000-0100-000003000000}" name="BET Share (%)" dataDxfId="77">
      <calculatedColumnFormula>IF(A2&lt;$R$2, 0,
  (
    ($Z$2 * EXP(-$V$2*EXP(-$W$2*(A2-$R$2))) / EXP(-$V$2*EXP(-$W$2*(2055-$R$2))))
    +
    (
      (
        $X$2 -
        ($Z$2 * EXP(-$V$2*EXP(-$W$2*(2045-$R$2))) / EXP(-$V$2*EXP(-$W$2*(2055-$R$2))))
      )
      / ((2045-$R$2)*10)
    ) * (A2-$R$2) * (2055-A2) * IF(A2&gt;2055, 0, 1)
  )
)</calculatedColumnFormula>
    </tableColumn>
    <tableColumn id="4" xr3:uid="{00000000-0010-0000-0100-000004000000}" name="BET Units BAU" dataDxfId="76">
      <calculatedColumnFormula>C2*B2</calculatedColumnFormula>
    </tableColumn>
    <tableColumn id="5" xr3:uid="{00000000-0010-0000-0100-000005000000}" name="H2 ICE Share (%)" dataDxfId="75">
      <calculatedColumnFormula>IF(A2&lt;$R$3, 0,
  (
    ($Z$3 * EXP(-$V$3*EXP(-$W$3*(A2-$R$3))) / EXP(-$V$3*EXP(-$W$3*(2055-$R$3))))
    +
    (
      (
        $X$3 -
        ($Z$3 * EXP(-$V$3*EXP(-$W$3*(2045-$R$3))) / EXP(-$V$3*EXP(-$W$3*(2055-$R$3))))
      )
      / MAX(1, (2045-$R$3)*10)
    ) * (A2-$R$3) * (2055-A2) * IF(A2&gt;2055, 0, 1)
  )
)</calculatedColumnFormula>
    </tableColumn>
    <tableColumn id="6" xr3:uid="{00000000-0010-0000-0100-000006000000}" name="H2 ICE Units" dataDxfId="74">
      <calculatedColumnFormula>E2*B2</calculatedColumnFormula>
    </tableColumn>
    <tableColumn id="7" xr3:uid="{00000000-0010-0000-0100-000007000000}" name="H2 FCET Share (%)" dataDxfId="73">
      <calculatedColumnFormula>IF(A2&lt;$R$4, 0,
  $Z$4 * (EXP(-$V$4*EXP(-$W$4*(A2-$R$4))) / MAX(0.000000001, EXP(-$V$4*EXP(-$W$4*(2055-$R$4))))) * (
    ($X$4 * MAX(0.000000001, EXP(-$V$4*EXP(-$W$4*(2055-$R$4))))) /
    ($Z$4 * MAX(0.000000001, EXP(-$V$4*EXP(-$W$4*(2045-$R$4)))))
  ) ^ ((2055-A2)/10)
)</calculatedColumnFormula>
    </tableColumn>
    <tableColumn id="8" xr3:uid="{00000000-0010-0000-0100-000008000000}" name="H2 FCET Units" dataDxfId="72">
      <calculatedColumnFormula>G2*B2</calculatedColumnFormula>
    </tableColumn>
    <tableColumn id="13" xr3:uid="{00000000-0010-0000-0100-00000D000000}" name="LNG Units" dataDxfId="71">
      <calculatedColumnFormula>Table14[[#This Row],[LNG Share %]]*Table14[[#This Row],[Grand Total Sales]]</calculatedColumnFormula>
    </tableColumn>
    <tableColumn id="9" xr3:uid="{00000000-0010-0000-0100-000009000000}" name="LNG Share %" dataDxfId="70">
      <calculatedColumnFormula>IF(A2&lt;$R$7, 0,
  (
    ($U$7 / (((2045-$R$7)/($T$7-$R$7))^($S$7-1) * EXP((($S$7-1)/$S$7 * (1 - ((2045-$R$7)/($T$7-$R$7))^$S$7)))))
    *
    (
      (((A2-$R$7)/($T$7-$R$7))^($S$7-1) * EXP((($S$7-1)/$S$7 * (1 - ((A2-$R$7)/($T$7-$R$7))^$S$7))))
      -
      (((2025-$R$7)/($T$7-$R$7))^($S$7-1) * EXP((($S$7-1)/$S$7 * (1 - ((2025-$R$7)/($T$7-$R$7))^$S$7)))) * MAX(0, 1 - ((A2-2025)/20)^2)
    )
    +
    ($V$7/VLOOKUP(2025, A:B, 2, FALSE)) * MAX(0, 1 - ((A2-2025)/20)^2)
  )
  * MAX(0, MIN(1, (2055-A2)/10))
)</calculatedColumnFormula>
    </tableColumn>
    <tableColumn id="11" xr3:uid="{00000000-0010-0000-0100-00000B000000}" name="CNG Units" dataDxfId="69" dataCellStyle="Comma">
      <calculatedColumnFormula>Table14[[#This Row],[CNG Share %]]*Table14[[#This Row],[Grand Total Sales]]</calculatedColumnFormula>
    </tableColumn>
    <tableColumn id="12" xr3:uid="{00000000-0010-0000-0100-00000C000000}" name="CNG Share %" dataDxfId="68">
      <calculatedColumnFormula>IF(A2&lt;$R$8, 0,
  (
    ($U$8 / (((2045-$R$8)/($T$8-$R$8))^($S$8-1) * EXP((($S$8-1)/$S$8 * (1 - ((2045-$R$8)/($T$8-$R$8))^$S$8)))))
    *
    (((A2-$R$8)/($T$8-$R$8))^($S$8-1) * EXP((($S$8-1)/$S$8 * (1 - ((A2-$R$8)/($T$8-$R$8))^$S$8))))
    +
    (
      ($V$8/VLOOKUP(2025, A:B, 2, FALSE))
      -
      ($U$8 / (((2045-$R$8)/($T$8-$R$8))^($S$8-1) * EXP((($S$8-1)/$S$8 * (1 - ((2045-$R$8)/($T$8-$R$8))^$S$8)))))
      *
      (((2025-$R$8)/($T$8-$R$8))^($S$8-1) * EXP((($S$8-1)/$S$8 * (1 - ((2025-$R$8)/($T$8-$R$8))^$S$8))))
    )
    * MAX(0, 1 - ((A2-2025)/20)^2)
  )
  * MAX(0, MIN(1, (2055-A2)/10))
)</calculatedColumnFormula>
    </tableColumn>
    <tableColumn id="14" xr3:uid="{00000000-0010-0000-0100-00000E000000}" name="Diesel" dataDxfId="67">
      <calculatedColumnFormula>Table14[[#This Row],[Grand Total Sales]]-(Table14[[#This Row],[BET Units BAU]]+Table14[[#This Row],[H2 ICE Units]]+Table14[[#This Row],[H2 FCET Units]]+Table14[[#This Row],[LNG Units]]+Table14[[#This Row],[CNG Units]])</calculatedColumnFormula>
    </tableColumn>
    <tableColumn id="15" xr3:uid="{00000000-0010-0000-0100-00000F000000}" name="Diesel Share%" dataDxfId="66">
      <calculatedColumnFormula>Table14[[#This Row],[Diesel]]/Table14[[#This Row],[Grand Total Sales]]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N32" totalsRowShown="0" headerRowDxfId="65" dataDxfId="63" headerRowBorderDxfId="64" tableBorderDxfId="62" totalsRowBorderDxfId="61">
  <autoFilter ref="A1:N32" xr:uid="{00000000-0009-0000-0100-000002000000}"/>
  <tableColumns count="14">
    <tableColumn id="1" xr3:uid="{00000000-0010-0000-0200-000001000000}" name="Year" dataDxfId="60"/>
    <tableColumn id="2" xr3:uid="{00000000-0010-0000-0200-000002000000}" name="Grand Total Sales" dataDxfId="59" dataCellStyle="Comma"/>
    <tableColumn id="3" xr3:uid="{00000000-0010-0000-0200-000003000000}" name="BET Share (%)" dataDxfId="58">
      <calculatedColumnFormula>$S$2 * EXP(-$V$2 * EXP(-$W$2 * (A2- $R$2)))</calculatedColumnFormula>
    </tableColumn>
    <tableColumn id="4" xr3:uid="{00000000-0010-0000-0200-000004000000}" name="BET Units BAU" dataDxfId="57">
      <calculatedColumnFormula>C2*B2</calculatedColumnFormula>
    </tableColumn>
    <tableColumn id="5" xr3:uid="{00000000-0010-0000-0200-000005000000}" name="H2 ICE Share (%)" dataDxfId="56">
      <calculatedColumnFormula>IF(A2 &lt;$R$3, 0, $S$3 * EXP(-$V$3 * EXP(-$W$3 * (A2 -$R$3))))</calculatedColumnFormula>
    </tableColumn>
    <tableColumn id="6" xr3:uid="{00000000-0010-0000-0200-000006000000}" name="H2 ICE Units" dataDxfId="55">
      <calculatedColumnFormula>E2*B2</calculatedColumnFormula>
    </tableColumn>
    <tableColumn id="7" xr3:uid="{00000000-0010-0000-0200-000007000000}" name="H2 FCET Share (%)" dataDxfId="54">
      <calculatedColumnFormula>IF(A2 &lt; $R$4, 0, $S$4 * EXP(-$V$4* EXP(-$W$4 * (A2 - $R$4))))</calculatedColumnFormula>
    </tableColumn>
    <tableColumn id="8" xr3:uid="{00000000-0010-0000-0200-000008000000}" name="H2 FCET Units" dataDxfId="53">
      <calculatedColumnFormula>G2*B2</calculatedColumnFormula>
    </tableColumn>
    <tableColumn id="13" xr3:uid="{00000000-0010-0000-0200-00000D000000}" name="LNG Units" dataDxfId="52">
      <calculatedColumnFormula>Table13[[#This Row],[LNG Share %]]*Table13[[#This Row],[Grand Total Sales]]</calculatedColumnFormula>
    </tableColumn>
    <tableColumn id="9" xr3:uid="{00000000-0010-0000-0200-000009000000}" name="LNG Share %" dataDxfId="51">
      <calculatedColumnFormula>IF(A2&lt;$R$7, 0,
  (
    ($U$7 / (((2045-$R$7)/($T$7-$R$7))^($S$7-1) * EXP((($S$7-1)/$S$7 * (1 - ((2045-$R$7)/($T$7-$R$7))^$S$7)))))
    *
    (
      (((A2-$R$7)/($T$7-$R$7))^($S$7-1) * EXP((($S$7-1)/$S$7 * (1 - ((A2-$R$7)/($T$7-$R$7))^$S$7))))
      -
      (((2025-$R$7)/($T$7-$R$7))^($S$7-1) * EXP((($S$7-1)/$S$7 * (1 - ((2025-$R$7)/($T$7-$R$7))^$S$7)))) * MAX(0, 1 - ((A2-2025)/20)^2)
    )
    +
    ($V$7/VLOOKUP(2025, A:B, 2, FALSE)) * MAX(0, 1 - ((A2-2025)/20)^2)
  )
  * MAX(0, MIN(1, (2055-A2)/10))
)</calculatedColumnFormula>
    </tableColumn>
    <tableColumn id="11" xr3:uid="{00000000-0010-0000-0200-00000B000000}" name="CNG Units" dataDxfId="50" dataCellStyle="Comma">
      <calculatedColumnFormula>Table13[[#This Row],[CNG Share %]]*Table13[[#This Row],[Grand Total Sales]]</calculatedColumnFormula>
    </tableColumn>
    <tableColumn id="12" xr3:uid="{00000000-0010-0000-0200-00000C000000}" name="CNG Share %" dataDxfId="49">
      <calculatedColumnFormula>IF(A2&lt;$R$8, 0,
  (
    ($U$8 / (((2045-$R$8)/($T$8-$R$8))^($S$8-1) * EXP((($S$8-1)/$S$8 * (1 - ((2045-$R$8)/($T$8-$R$8))^$S$8)))))
    *
    (((A2-$R$8)/($T$8-$R$8))^($S$8-1) * EXP((($S$8-1)/$S$8 * (1 - ((A2-$R$8)/($T$8-$R$8))^$S$8))))
    +
    (
      ($V$8/VLOOKUP(2025, A:B, 2, FALSE))
      -
      ($U$8 / (((2045-$R$8)/($T$8-$R$8))^($S$8-1) * EXP((($S$8-1)/$S$8 * (1 - ((2045-$R$8)/($T$8-$R$8))^$S$8)))))
      *
      (((2025-$R$8)/($T$8-$R$8))^($S$8-1) * EXP((($S$8-1)/$S$8 * (1 - ((2025-$R$8)/($T$8-$R$8))^$S$8))))
    )
    * MAX(0, 1 - ((A2-2025)/20)^2)
  )
  * MAX(0, MIN(1, (2055-A2)/10))
)</calculatedColumnFormula>
    </tableColumn>
    <tableColumn id="14" xr3:uid="{00000000-0010-0000-0200-00000E000000}" name="Diesel" dataDxfId="48">
      <calculatedColumnFormula>Table13[[#This Row],[Grand Total Sales]]-(Table13[[#This Row],[BET Units BAU]]+Table13[[#This Row],[H2 ICE Units]]+Table13[[#This Row],[H2 FCET Units]]+Table13[[#This Row],[LNG Units]]+Table13[[#This Row],[CNG Units]])</calculatedColumnFormula>
    </tableColumn>
    <tableColumn id="15" xr3:uid="{00000000-0010-0000-0200-00000F000000}" name="Diesel Share%" dataDxfId="47">
      <calculatedColumnFormula>Table13[[#This Row],[Diesel]]/Table13[[#This Row],[Grand Total Sales]]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B67071-6902-4B1E-A431-2EFC4D70AC3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aac24f9-b51e-4524-b0fe-f56fcae7428f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h2accelerate.eu/wp-content/uploads/2025/10/Hydrogen-ICEs-paper-V8.pdf" TargetMode="External"/><Relationship Id="rId2" Type="http://schemas.openxmlformats.org/officeDocument/2006/relationships/hyperlink" Target="https://te-cdn.ams3.cdn.digitaloceanspaces.com/files/202109_TE_LNG_trucks_a_dead_end_bridge_final.pdf" TargetMode="External"/><Relationship Id="rId1" Type="http://schemas.openxmlformats.org/officeDocument/2006/relationships/hyperlink" Target="https://www.niti.gov.in/sites/default/files/2024-02/LNG%20in%20M%26HCV%20segment_07022024_updated_0.pdf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s://www.google.com/search?q=https://theicct.org/publication/lca-ghg-emissions-hdv-india-dec22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hyperlink" Target="https://www.engineeringtoolbox.com/fuels-higher-calorific-values-d_169.html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AF38-6223-4232-B273-E35F59E7EB90}">
  <sheetPr>
    <tabColor rgb="FFFFFF00"/>
  </sheetPr>
  <dimension ref="A3:X58"/>
  <sheetViews>
    <sheetView workbookViewId="0">
      <pane xSplit="3" ySplit="3" topLeftCell="D4" activePane="bottomRight" state="frozen"/>
      <selection activeCell="D15" sqref="D15"/>
      <selection pane="topRight" activeCell="D15" sqref="D15"/>
      <selection pane="bottomLeft" activeCell="D15" sqref="D15"/>
      <selection pane="bottomRight" activeCell="D18" sqref="D18"/>
    </sheetView>
  </sheetViews>
  <sheetFormatPr defaultColWidth="8.88671875" defaultRowHeight="15.6"/>
  <cols>
    <col min="1" max="1" width="8.88671875" style="394"/>
    <col min="2" max="2" width="40.5546875" style="621" bestFit="1" customWidth="1"/>
    <col min="3" max="3" width="21.109375" style="625" customWidth="1"/>
    <col min="4" max="4" width="12.33203125" style="458" bestFit="1" customWidth="1"/>
    <col min="5" max="5" width="12.88671875" style="458" bestFit="1" customWidth="1"/>
    <col min="6" max="30" width="9.5546875" style="458" customWidth="1"/>
    <col min="31" max="16384" width="8.88671875" style="458"/>
  </cols>
  <sheetData>
    <row r="3" spans="1:17" s="21" customFormat="1" ht="46.8">
      <c r="B3" s="621"/>
      <c r="C3" s="627"/>
      <c r="D3" s="531" t="s">
        <v>781</v>
      </c>
      <c r="E3" s="531" t="s">
        <v>780</v>
      </c>
      <c r="F3" s="531" t="s">
        <v>782</v>
      </c>
      <c r="G3" s="531" t="s">
        <v>779</v>
      </c>
      <c r="H3" s="531" t="s">
        <v>783</v>
      </c>
      <c r="I3" s="531" t="s">
        <v>784</v>
      </c>
      <c r="J3" s="531" t="s">
        <v>785</v>
      </c>
      <c r="K3" s="531" t="s">
        <v>786</v>
      </c>
      <c r="L3" s="542" t="s">
        <v>787</v>
      </c>
      <c r="M3" s="542" t="s">
        <v>788</v>
      </c>
      <c r="N3" s="542" t="s">
        <v>788</v>
      </c>
      <c r="O3" s="542" t="s">
        <v>789</v>
      </c>
      <c r="P3" s="531" t="s">
        <v>790</v>
      </c>
      <c r="Q3" s="531" t="s">
        <v>791</v>
      </c>
    </row>
    <row r="4" spans="1:17" ht="15.6" customHeight="1">
      <c r="A4" s="818">
        <v>1</v>
      </c>
      <c r="B4" s="800" t="s">
        <v>792</v>
      </c>
      <c r="C4" s="627" t="s">
        <v>178</v>
      </c>
      <c r="D4" s="568">
        <v>5.2</v>
      </c>
      <c r="E4" s="568">
        <v>4.5</v>
      </c>
      <c r="F4" s="568">
        <v>2.9</v>
      </c>
      <c r="G4" s="568">
        <v>5</v>
      </c>
      <c r="H4" s="568">
        <v>4.5</v>
      </c>
      <c r="I4" s="568">
        <v>6</v>
      </c>
      <c r="J4" s="568">
        <v>3.8</v>
      </c>
      <c r="K4" s="568">
        <v>3</v>
      </c>
      <c r="L4" s="581">
        <v>2.9</v>
      </c>
      <c r="M4" s="581">
        <v>2.6</v>
      </c>
      <c r="N4" s="581">
        <v>2.6</v>
      </c>
      <c r="O4" s="581">
        <v>4.7</v>
      </c>
      <c r="P4" s="568">
        <v>4.7</v>
      </c>
      <c r="Q4" s="568">
        <v>3.6</v>
      </c>
    </row>
    <row r="5" spans="1:17">
      <c r="A5" s="818"/>
      <c r="B5" s="800"/>
      <c r="C5" s="627" t="s">
        <v>179</v>
      </c>
      <c r="D5" s="568">
        <v>5.4</v>
      </c>
      <c r="E5" s="568">
        <v>4.8</v>
      </c>
      <c r="F5" s="568">
        <v>3.1</v>
      </c>
      <c r="G5" s="568">
        <v>5.4</v>
      </c>
      <c r="H5" s="568">
        <v>4.8</v>
      </c>
      <c r="I5" s="568">
        <v>6.3</v>
      </c>
      <c r="J5" s="568">
        <v>4</v>
      </c>
      <c r="K5" s="568">
        <v>3.2</v>
      </c>
      <c r="L5" s="581">
        <v>3.1</v>
      </c>
      <c r="M5" s="581">
        <v>2.8</v>
      </c>
      <c r="N5" s="581">
        <v>2.7</v>
      </c>
      <c r="O5" s="581">
        <v>4.9000000000000004</v>
      </c>
      <c r="P5" s="568">
        <v>4.9000000000000004</v>
      </c>
      <c r="Q5" s="568">
        <v>3.8</v>
      </c>
    </row>
    <row r="6" spans="1:17">
      <c r="A6" s="818"/>
      <c r="B6" s="800"/>
      <c r="C6" s="627" t="s">
        <v>180</v>
      </c>
      <c r="D6" s="568">
        <f t="shared" ref="D6:Q6" si="0">(D4+D5)/2</f>
        <v>5.3000000000000007</v>
      </c>
      <c r="E6" s="568">
        <f t="shared" si="0"/>
        <v>4.6500000000000004</v>
      </c>
      <c r="F6" s="581">
        <f t="shared" si="0"/>
        <v>3</v>
      </c>
      <c r="G6" s="568">
        <f t="shared" si="0"/>
        <v>5.2</v>
      </c>
      <c r="H6" s="568">
        <f t="shared" si="0"/>
        <v>4.6500000000000004</v>
      </c>
      <c r="I6" s="568">
        <f t="shared" si="0"/>
        <v>6.15</v>
      </c>
      <c r="J6" s="568">
        <f t="shared" si="0"/>
        <v>3.9</v>
      </c>
      <c r="K6" s="568">
        <f t="shared" si="0"/>
        <v>3.1</v>
      </c>
      <c r="L6" s="581">
        <f t="shared" si="0"/>
        <v>3</v>
      </c>
      <c r="M6" s="581">
        <f t="shared" si="0"/>
        <v>2.7</v>
      </c>
      <c r="N6" s="581">
        <f t="shared" si="0"/>
        <v>2.6500000000000004</v>
      </c>
      <c r="O6" s="581">
        <f t="shared" si="0"/>
        <v>4.8000000000000007</v>
      </c>
      <c r="P6" s="568">
        <f t="shared" si="0"/>
        <v>4.8000000000000007</v>
      </c>
      <c r="Q6" s="568">
        <f t="shared" si="0"/>
        <v>3.7</v>
      </c>
    </row>
    <row r="7" spans="1:17">
      <c r="A7" s="818"/>
      <c r="B7" s="800"/>
      <c r="C7" s="627" t="s">
        <v>181</v>
      </c>
      <c r="D7" s="568">
        <f t="shared" ref="D7:Q7" si="1">D4*3</f>
        <v>15.600000000000001</v>
      </c>
      <c r="E7" s="568">
        <f t="shared" si="1"/>
        <v>13.5</v>
      </c>
      <c r="F7" s="568">
        <f t="shared" si="1"/>
        <v>8.6999999999999993</v>
      </c>
      <c r="G7" s="568">
        <f t="shared" si="1"/>
        <v>15</v>
      </c>
      <c r="H7" s="568">
        <f t="shared" si="1"/>
        <v>13.5</v>
      </c>
      <c r="I7" s="568">
        <f t="shared" si="1"/>
        <v>18</v>
      </c>
      <c r="J7" s="568">
        <f t="shared" si="1"/>
        <v>11.399999999999999</v>
      </c>
      <c r="K7" s="568">
        <f t="shared" si="1"/>
        <v>9</v>
      </c>
      <c r="L7" s="581">
        <f t="shared" si="1"/>
        <v>8.6999999999999993</v>
      </c>
      <c r="M7" s="581">
        <f t="shared" si="1"/>
        <v>7.8000000000000007</v>
      </c>
      <c r="N7" s="581">
        <f t="shared" si="1"/>
        <v>7.8000000000000007</v>
      </c>
      <c r="O7" s="581">
        <f t="shared" si="1"/>
        <v>14.100000000000001</v>
      </c>
      <c r="P7" s="568">
        <f t="shared" si="1"/>
        <v>14.100000000000001</v>
      </c>
      <c r="Q7" s="568">
        <f t="shared" si="1"/>
        <v>10.8</v>
      </c>
    </row>
    <row r="8" spans="1:17">
      <c r="A8" s="818"/>
      <c r="B8" s="800"/>
      <c r="C8" s="627" t="s">
        <v>182</v>
      </c>
      <c r="D8" s="568">
        <v>0.95</v>
      </c>
      <c r="E8" s="568">
        <v>1.2</v>
      </c>
      <c r="F8" s="568">
        <v>1.35</v>
      </c>
      <c r="G8" s="568">
        <v>0.9</v>
      </c>
      <c r="H8" s="568">
        <v>1.1499999999999999</v>
      </c>
      <c r="I8" s="568">
        <v>0.85</v>
      </c>
      <c r="J8" s="568">
        <v>1.3</v>
      </c>
      <c r="K8" s="568">
        <v>1.4</v>
      </c>
      <c r="L8" s="581">
        <v>1.4</v>
      </c>
      <c r="M8" s="581">
        <v>1.45</v>
      </c>
      <c r="N8" s="581">
        <v>1.4</v>
      </c>
      <c r="O8" s="581">
        <v>1.05</v>
      </c>
      <c r="P8" s="568">
        <v>1.05</v>
      </c>
      <c r="Q8" s="568">
        <v>1.25</v>
      </c>
    </row>
    <row r="9" spans="1:17">
      <c r="A9" s="818"/>
      <c r="B9" s="800"/>
      <c r="C9" s="627" t="s">
        <v>183</v>
      </c>
      <c r="D9" s="568">
        <f t="shared" ref="D9:Q9" si="2">D4*4</f>
        <v>20.8</v>
      </c>
      <c r="E9" s="568">
        <f t="shared" si="2"/>
        <v>18</v>
      </c>
      <c r="F9" s="568">
        <f t="shared" si="2"/>
        <v>11.6</v>
      </c>
      <c r="G9" s="568">
        <f t="shared" si="2"/>
        <v>20</v>
      </c>
      <c r="H9" s="568">
        <f t="shared" si="2"/>
        <v>18</v>
      </c>
      <c r="I9" s="568">
        <f t="shared" si="2"/>
        <v>24</v>
      </c>
      <c r="J9" s="568">
        <f t="shared" si="2"/>
        <v>15.2</v>
      </c>
      <c r="K9" s="568">
        <f t="shared" si="2"/>
        <v>12</v>
      </c>
      <c r="L9" s="581">
        <f t="shared" si="2"/>
        <v>11.6</v>
      </c>
      <c r="M9" s="581">
        <f t="shared" si="2"/>
        <v>10.4</v>
      </c>
      <c r="N9" s="581">
        <f t="shared" si="2"/>
        <v>10.4</v>
      </c>
      <c r="O9" s="581">
        <f t="shared" si="2"/>
        <v>18.8</v>
      </c>
      <c r="P9" s="568">
        <f t="shared" si="2"/>
        <v>18.8</v>
      </c>
      <c r="Q9" s="568">
        <f t="shared" si="2"/>
        <v>14.4</v>
      </c>
    </row>
    <row r="10" spans="1:17">
      <c r="A10" s="804">
        <v>2</v>
      </c>
      <c r="B10" s="800" t="s">
        <v>793</v>
      </c>
      <c r="C10" s="639" t="s">
        <v>169</v>
      </c>
      <c r="D10" s="612">
        <v>18500</v>
      </c>
      <c r="E10" s="612">
        <v>28000</v>
      </c>
      <c r="F10" s="612">
        <v>47500</v>
      </c>
      <c r="G10" s="612">
        <v>18500</v>
      </c>
      <c r="H10" s="612">
        <v>28000</v>
      </c>
      <c r="I10" s="612">
        <v>16000</v>
      </c>
      <c r="J10" s="612">
        <v>28000</v>
      </c>
      <c r="K10" s="612">
        <v>35000</v>
      </c>
      <c r="L10" s="612">
        <v>47500</v>
      </c>
      <c r="M10" s="612">
        <v>55000</v>
      </c>
      <c r="N10" s="612">
        <v>55000</v>
      </c>
      <c r="O10" s="612">
        <v>28000</v>
      </c>
      <c r="P10" s="612">
        <v>28000</v>
      </c>
      <c r="Q10" s="612">
        <v>39500</v>
      </c>
    </row>
    <row r="11" spans="1:17">
      <c r="A11" s="804"/>
      <c r="B11" s="800"/>
      <c r="C11" s="622" t="s">
        <v>795</v>
      </c>
      <c r="D11" s="612">
        <v>8000</v>
      </c>
      <c r="E11" s="612">
        <v>9000</v>
      </c>
      <c r="F11" s="612">
        <v>12500</v>
      </c>
      <c r="G11" s="612">
        <v>8000</v>
      </c>
      <c r="H11" s="612">
        <v>9500</v>
      </c>
      <c r="I11" s="612">
        <v>6500</v>
      </c>
      <c r="J11" s="612">
        <v>13500</v>
      </c>
      <c r="K11" s="612">
        <v>15000</v>
      </c>
      <c r="L11" s="612">
        <v>12500</v>
      </c>
      <c r="M11" s="612">
        <v>15500</v>
      </c>
      <c r="N11" s="612">
        <v>15000</v>
      </c>
      <c r="O11" s="612">
        <v>9500</v>
      </c>
      <c r="P11" s="612">
        <v>9500</v>
      </c>
      <c r="Q11" s="612">
        <v>19000</v>
      </c>
    </row>
    <row r="12" spans="1:17">
      <c r="A12" s="804">
        <v>3</v>
      </c>
      <c r="B12" s="819" t="s">
        <v>797</v>
      </c>
      <c r="C12" s="627" t="s">
        <v>178</v>
      </c>
      <c r="D12" s="613">
        <v>2.8</v>
      </c>
      <c r="E12" s="613">
        <v>4.2</v>
      </c>
      <c r="F12" s="613">
        <v>7.7</v>
      </c>
      <c r="G12" s="613">
        <v>2.8</v>
      </c>
      <c r="H12" s="613">
        <v>4.2</v>
      </c>
      <c r="I12" s="613">
        <v>3.1</v>
      </c>
      <c r="J12" s="613">
        <v>8.6</v>
      </c>
      <c r="K12" s="613">
        <v>10.9</v>
      </c>
      <c r="L12" s="613">
        <v>7.7</v>
      </c>
      <c r="M12" s="613">
        <v>6.5</v>
      </c>
      <c r="N12" s="613">
        <v>8.3000000000000007</v>
      </c>
      <c r="O12" s="613">
        <v>3.5</v>
      </c>
      <c r="P12" s="613">
        <v>3.5</v>
      </c>
      <c r="Q12" s="613">
        <v>4.3</v>
      </c>
    </row>
    <row r="13" spans="1:17">
      <c r="A13" s="804"/>
      <c r="B13" s="819"/>
      <c r="C13" s="627" t="s">
        <v>796</v>
      </c>
      <c r="D13" s="613">
        <v>3.3</v>
      </c>
      <c r="E13" s="613">
        <v>4.7</v>
      </c>
      <c r="F13" s="613">
        <v>8.1999999999999993</v>
      </c>
      <c r="G13" s="613">
        <v>3.3</v>
      </c>
      <c r="H13" s="613">
        <v>4.7</v>
      </c>
      <c r="I13" s="613">
        <v>3.6</v>
      </c>
      <c r="J13" s="613">
        <v>9.1</v>
      </c>
      <c r="K13" s="613">
        <v>11.4</v>
      </c>
      <c r="L13" s="613">
        <v>8.1999999999999993</v>
      </c>
      <c r="M13" s="613">
        <v>7</v>
      </c>
      <c r="N13" s="613">
        <v>8.8000000000000007</v>
      </c>
      <c r="O13" s="613">
        <v>4</v>
      </c>
      <c r="P13" s="613">
        <v>4</v>
      </c>
      <c r="Q13" s="613">
        <v>4.8</v>
      </c>
    </row>
    <row r="14" spans="1:17">
      <c r="A14" s="804"/>
      <c r="B14" s="819"/>
      <c r="C14" s="627" t="s">
        <v>182</v>
      </c>
      <c r="D14" s="613">
        <v>3.2223831631897055</v>
      </c>
      <c r="E14" s="613">
        <v>4.0777952225314174</v>
      </c>
      <c r="F14" s="613">
        <v>5.0710530198449497</v>
      </c>
      <c r="G14" s="613">
        <v>3.4223831631897057</v>
      </c>
      <c r="H14" s="613">
        <v>3.8229789539871328</v>
      </c>
      <c r="I14" s="613">
        <v>2.9981448468707352</v>
      </c>
      <c r="J14" s="613">
        <v>5.1684913083795685</v>
      </c>
      <c r="K14" s="613">
        <v>5.672791791023104</v>
      </c>
      <c r="L14" s="613">
        <v>4.9389098771081112</v>
      </c>
      <c r="M14" s="613">
        <v>4.5635747447845594</v>
      </c>
      <c r="N14" s="613">
        <v>4.9840215878826282</v>
      </c>
      <c r="O14" s="613">
        <v>3.9351253058523623</v>
      </c>
      <c r="P14" s="613">
        <v>3.954966575693633</v>
      </c>
      <c r="Q14" s="613">
        <v>4.637348720119026</v>
      </c>
    </row>
    <row r="15" spans="1:17">
      <c r="A15" s="804"/>
      <c r="B15" s="819"/>
      <c r="C15" s="627" t="s">
        <v>183</v>
      </c>
      <c r="D15" s="613">
        <v>3.8648341071163972</v>
      </c>
      <c r="E15" s="613">
        <v>4.12</v>
      </c>
      <c r="F15" s="613">
        <v>5.4782857142857146</v>
      </c>
      <c r="G15" s="613">
        <v>4.0966666666666667</v>
      </c>
      <c r="H15" s="613">
        <v>3.9366666666666665</v>
      </c>
      <c r="I15" s="613">
        <v>3.605</v>
      </c>
      <c r="J15" s="613">
        <v>6.1212</v>
      </c>
      <c r="K15" s="613">
        <v>6.2379999999999987</v>
      </c>
      <c r="L15" s="613">
        <v>5.4421428571428567</v>
      </c>
      <c r="M15" s="613">
        <v>5.4476190476190478</v>
      </c>
      <c r="N15" s="613">
        <v>5.6785714285714288</v>
      </c>
      <c r="O15" s="613">
        <v>4.7702</v>
      </c>
      <c r="P15" s="613">
        <v>4.3702000000000005</v>
      </c>
      <c r="Q15" s="613">
        <v>5.642500000000001</v>
      </c>
    </row>
    <row r="16" spans="1:17">
      <c r="A16" s="804">
        <v>4</v>
      </c>
      <c r="B16" s="819" t="s">
        <v>798</v>
      </c>
      <c r="C16" s="627" t="s">
        <v>178</v>
      </c>
      <c r="D16" s="613">
        <v>9.081513028077115</v>
      </c>
      <c r="E16" s="613">
        <v>13.622269542115674</v>
      </c>
      <c r="F16" s="613">
        <v>24.974160827212074</v>
      </c>
      <c r="G16" s="613">
        <v>9.081513028077115</v>
      </c>
      <c r="H16" s="613">
        <v>13.622269542115674</v>
      </c>
      <c r="I16" s="613">
        <v>10.054532281085377</v>
      </c>
      <c r="J16" s="613">
        <v>27.893218586236863</v>
      </c>
      <c r="K16" s="613">
        <v>35.3530328593002</v>
      </c>
      <c r="L16" s="613">
        <v>24.974160827212074</v>
      </c>
      <c r="M16" s="613">
        <v>21.082083815179026</v>
      </c>
      <c r="N16" s="613">
        <v>26.920199333228595</v>
      </c>
      <c r="O16" s="613">
        <v>11.3518912850964</v>
      </c>
      <c r="P16" s="613">
        <v>11.3518912850964</v>
      </c>
      <c r="Q16" s="613">
        <v>13.946609293118431</v>
      </c>
    </row>
    <row r="17" spans="1:17">
      <c r="A17" s="804"/>
      <c r="B17" s="819"/>
      <c r="C17" s="627" t="s">
        <v>796</v>
      </c>
      <c r="D17" s="613">
        <v>10.703211783090884</v>
      </c>
      <c r="E17" s="613">
        <v>15.243968297129447</v>
      </c>
      <c r="F17" s="613">
        <v>26.595859582225842</v>
      </c>
      <c r="G17" s="613">
        <v>10.703211783090884</v>
      </c>
      <c r="H17" s="613">
        <v>15.243968297129447</v>
      </c>
      <c r="I17" s="613">
        <v>11.676231036099155</v>
      </c>
      <c r="J17" s="613">
        <v>29.514917341250626</v>
      </c>
      <c r="K17" s="613">
        <v>36.974731614313967</v>
      </c>
      <c r="L17" s="613">
        <v>26.595859582225842</v>
      </c>
      <c r="M17" s="613">
        <v>22.7037825701928</v>
      </c>
      <c r="N17" s="613">
        <v>28.541898088242366</v>
      </c>
      <c r="O17" s="613">
        <v>12.973590040110167</v>
      </c>
      <c r="P17" s="613">
        <v>12.973590040110167</v>
      </c>
      <c r="Q17" s="613">
        <v>15.568308048132199</v>
      </c>
    </row>
    <row r="18" spans="1:17">
      <c r="A18" s="804"/>
      <c r="B18" s="819"/>
      <c r="C18" s="627" t="s">
        <v>182</v>
      </c>
      <c r="D18" s="613">
        <v>8.828150973277749</v>
      </c>
      <c r="E18" s="613">
        <v>13.407945360424065</v>
      </c>
      <c r="F18" s="613">
        <v>24.893201512293725</v>
      </c>
      <c r="G18" s="613">
        <v>8.9650097475182537</v>
      </c>
      <c r="H18" s="613">
        <v>13.233576149576514</v>
      </c>
      <c r="I18" s="613">
        <v>9.6477253207401681</v>
      </c>
      <c r="J18" s="613">
        <v>21.596309095779375</v>
      </c>
      <c r="K18" s="613">
        <v>28.854897741907656</v>
      </c>
      <c r="L18" s="613">
        <v>24.802776769597468</v>
      </c>
      <c r="M18" s="613">
        <v>21.473333261547182</v>
      </c>
      <c r="N18" s="613">
        <v>27.59915797749521</v>
      </c>
      <c r="O18" s="613">
        <v>11.313096632042592</v>
      </c>
      <c r="P18" s="613">
        <v>11.326673891391849</v>
      </c>
      <c r="Q18" s="613">
        <v>14.661499496888462</v>
      </c>
    </row>
    <row r="19" spans="1:17">
      <c r="A19" s="804"/>
      <c r="B19" s="819"/>
      <c r="C19" s="627" t="s">
        <v>183</v>
      </c>
      <c r="D19" s="613">
        <v>9.2677762167550615</v>
      </c>
      <c r="E19" s="613">
        <v>13.436825830981281</v>
      </c>
      <c r="F19" s="613">
        <v>25.171868349252833</v>
      </c>
      <c r="G19" s="613">
        <v>9.4264178164005035</v>
      </c>
      <c r="H19" s="613">
        <v>13.311371954594151</v>
      </c>
      <c r="I19" s="613">
        <v>10.062992582734191</v>
      </c>
      <c r="J19" s="613">
        <v>22.248241814496616</v>
      </c>
      <c r="K19" s="613">
        <v>29.241666255263901</v>
      </c>
      <c r="L19" s="613">
        <v>25.147136013622223</v>
      </c>
      <c r="M19" s="613">
        <v>22.078279359848331</v>
      </c>
      <c r="N19" s="613">
        <v>28.074434176723248</v>
      </c>
      <c r="O19" s="613">
        <v>11.884533127244142</v>
      </c>
      <c r="P19" s="613">
        <v>11.610815578763132</v>
      </c>
      <c r="Q19" s="613">
        <v>15.349318357342389</v>
      </c>
    </row>
    <row r="20" spans="1:17" ht="31.2">
      <c r="A20" s="453">
        <v>5</v>
      </c>
      <c r="B20" s="659" t="s">
        <v>769</v>
      </c>
      <c r="C20" s="622"/>
      <c r="D20" s="618">
        <v>0.05</v>
      </c>
      <c r="E20" s="516"/>
      <c r="F20" s="516"/>
    </row>
    <row r="21" spans="1:17">
      <c r="A21" s="820">
        <v>6</v>
      </c>
      <c r="B21" s="659" t="s">
        <v>770</v>
      </c>
      <c r="C21" s="622"/>
      <c r="D21" s="640">
        <v>3000</v>
      </c>
      <c r="E21" s="516"/>
      <c r="F21" s="516"/>
    </row>
    <row r="22" spans="1:17">
      <c r="A22" s="821"/>
      <c r="B22" s="659" t="s">
        <v>771</v>
      </c>
      <c r="C22" s="622"/>
      <c r="D22" s="640">
        <v>25000</v>
      </c>
      <c r="E22" s="516"/>
      <c r="F22" s="516"/>
    </row>
    <row r="23" spans="1:17">
      <c r="A23" s="820">
        <v>7</v>
      </c>
      <c r="B23" s="659" t="s">
        <v>772</v>
      </c>
      <c r="C23" s="622"/>
      <c r="D23" s="516">
        <v>8</v>
      </c>
      <c r="E23" s="799" t="s">
        <v>776</v>
      </c>
      <c r="F23" s="799"/>
    </row>
    <row r="24" spans="1:17">
      <c r="A24" s="821"/>
      <c r="B24" s="659" t="s">
        <v>773</v>
      </c>
      <c r="C24" s="622"/>
      <c r="D24" s="516">
        <v>4</v>
      </c>
      <c r="E24" s="799"/>
      <c r="F24" s="799"/>
    </row>
    <row r="25" spans="1:17" ht="15.6" customHeight="1">
      <c r="A25" s="804">
        <v>8</v>
      </c>
      <c r="B25" s="800" t="s">
        <v>774</v>
      </c>
      <c r="C25" s="623" t="s">
        <v>215</v>
      </c>
      <c r="D25" s="641">
        <v>0.12</v>
      </c>
    </row>
    <row r="26" spans="1:17">
      <c r="A26" s="804"/>
      <c r="B26" s="800"/>
      <c r="C26" s="623" t="s">
        <v>777</v>
      </c>
      <c r="D26" s="640">
        <v>7</v>
      </c>
    </row>
    <row r="27" spans="1:17">
      <c r="A27" s="453">
        <v>9</v>
      </c>
      <c r="B27" s="660" t="s">
        <v>775</v>
      </c>
      <c r="C27" s="624"/>
      <c r="D27" s="618">
        <v>0.02</v>
      </c>
    </row>
    <row r="28" spans="1:17">
      <c r="A28" s="804">
        <v>10</v>
      </c>
      <c r="B28" s="801" t="s">
        <v>809</v>
      </c>
      <c r="C28" s="622" t="s">
        <v>803</v>
      </c>
      <c r="D28" s="619">
        <v>480</v>
      </c>
      <c r="E28" s="619">
        <v>960</v>
      </c>
      <c r="F28" s="591"/>
      <c r="G28" s="591"/>
      <c r="H28" s="591"/>
      <c r="I28" s="591"/>
    </row>
    <row r="29" spans="1:17">
      <c r="A29" s="804"/>
      <c r="B29" s="801"/>
      <c r="C29" s="622" t="s">
        <v>804</v>
      </c>
      <c r="D29" s="802">
        <v>0.2</v>
      </c>
      <c r="E29" s="802"/>
      <c r="F29" s="591"/>
      <c r="G29" s="591"/>
      <c r="H29" s="591"/>
      <c r="I29" s="591"/>
    </row>
    <row r="30" spans="1:17">
      <c r="A30" s="804"/>
      <c r="B30" s="801"/>
      <c r="C30" s="622" t="s">
        <v>805</v>
      </c>
      <c r="D30" s="620">
        <f>D28*D29</f>
        <v>96</v>
      </c>
      <c r="E30" s="620">
        <f>E28*D29</f>
        <v>192</v>
      </c>
      <c r="F30" s="591"/>
      <c r="G30" s="591"/>
      <c r="H30" s="591"/>
      <c r="I30" s="591"/>
    </row>
    <row r="31" spans="1:17">
      <c r="A31" s="804"/>
      <c r="B31" s="801"/>
      <c r="C31" s="622" t="s">
        <v>806</v>
      </c>
      <c r="D31" s="620">
        <v>150000</v>
      </c>
      <c r="E31" s="620">
        <v>250000</v>
      </c>
      <c r="F31" s="591"/>
      <c r="G31" s="591"/>
      <c r="H31" s="591"/>
      <c r="I31" s="591"/>
    </row>
    <row r="32" spans="1:17">
      <c r="A32" s="804">
        <v>11</v>
      </c>
      <c r="B32" s="801" t="s">
        <v>810</v>
      </c>
      <c r="C32" s="622" t="s">
        <v>803</v>
      </c>
      <c r="D32" s="619">
        <v>450</v>
      </c>
      <c r="E32" s="619">
        <v>990</v>
      </c>
      <c r="F32" s="591"/>
      <c r="G32" s="591"/>
      <c r="H32" s="591"/>
      <c r="I32" s="591"/>
    </row>
    <row r="33" spans="1:24">
      <c r="A33" s="804"/>
      <c r="B33" s="801"/>
      <c r="C33" s="622" t="s">
        <v>807</v>
      </c>
      <c r="D33" s="802">
        <v>0.35</v>
      </c>
      <c r="E33" s="802"/>
      <c r="F33" s="591"/>
      <c r="G33" s="591"/>
      <c r="H33" s="591"/>
      <c r="I33" s="591"/>
    </row>
    <row r="34" spans="1:24">
      <c r="A34" s="804"/>
      <c r="B34" s="801"/>
      <c r="C34" s="622" t="s">
        <v>805</v>
      </c>
      <c r="D34" s="620">
        <f>D32*D33</f>
        <v>157.5</v>
      </c>
      <c r="E34" s="620">
        <f>E32*D33</f>
        <v>346.5</v>
      </c>
      <c r="F34" s="591"/>
      <c r="G34" s="591"/>
      <c r="H34" s="591"/>
      <c r="I34" s="591"/>
    </row>
    <row r="35" spans="1:24">
      <c r="A35" s="804">
        <v>12</v>
      </c>
      <c r="B35" s="801" t="s">
        <v>811</v>
      </c>
      <c r="C35" s="622" t="s">
        <v>803</v>
      </c>
      <c r="D35" s="619">
        <v>1200</v>
      </c>
      <c r="E35" s="619">
        <v>2400</v>
      </c>
      <c r="F35" s="591"/>
      <c r="G35" s="591"/>
      <c r="H35" s="591"/>
      <c r="I35" s="591"/>
    </row>
    <row r="36" spans="1:24">
      <c r="A36" s="804"/>
      <c r="B36" s="801"/>
      <c r="C36" s="622" t="s">
        <v>808</v>
      </c>
      <c r="D36" s="802">
        <v>23.5</v>
      </c>
      <c r="E36" s="802"/>
      <c r="F36" s="591"/>
      <c r="G36" s="591"/>
      <c r="H36" s="591"/>
      <c r="I36" s="591"/>
    </row>
    <row r="37" spans="1:24">
      <c r="A37" s="804"/>
      <c r="B37" s="801"/>
      <c r="C37" s="622" t="s">
        <v>805</v>
      </c>
      <c r="D37" s="620">
        <f>D35*D36/1000</f>
        <v>28.2</v>
      </c>
      <c r="E37" s="620">
        <f>E35*D36/1000</f>
        <v>56.4</v>
      </c>
      <c r="F37" s="591"/>
      <c r="G37" s="591"/>
      <c r="H37" s="591"/>
      <c r="I37" s="591"/>
    </row>
    <row r="38" spans="1:24">
      <c r="B38" s="661"/>
      <c r="D38" s="445" t="s">
        <v>178</v>
      </c>
      <c r="E38" s="445" t="s">
        <v>179</v>
      </c>
      <c r="F38" s="445" t="s">
        <v>180</v>
      </c>
      <c r="G38" s="22" t="s">
        <v>182</v>
      </c>
      <c r="H38" s="22" t="s">
        <v>181</v>
      </c>
      <c r="I38" s="445" t="s">
        <v>183</v>
      </c>
    </row>
    <row r="39" spans="1:24">
      <c r="A39" s="453">
        <v>13</v>
      </c>
      <c r="B39" s="659" t="s">
        <v>460</v>
      </c>
      <c r="C39" s="803" t="s">
        <v>691</v>
      </c>
      <c r="D39" s="609">
        <v>1</v>
      </c>
      <c r="E39" s="610">
        <v>0.95</v>
      </c>
      <c r="F39" s="610">
        <v>0.95</v>
      </c>
      <c r="G39" s="610">
        <v>1.1499999999999999</v>
      </c>
      <c r="H39" s="610">
        <v>0.95</v>
      </c>
      <c r="I39" s="610">
        <v>1.1499999999999999</v>
      </c>
    </row>
    <row r="40" spans="1:24">
      <c r="A40" s="453">
        <v>14</v>
      </c>
      <c r="B40" s="659" t="s">
        <v>461</v>
      </c>
      <c r="C40" s="803"/>
      <c r="D40" s="609">
        <v>1</v>
      </c>
      <c r="E40" s="610">
        <v>1.05</v>
      </c>
      <c r="F40" s="610">
        <v>1.1000000000000001</v>
      </c>
      <c r="G40" s="610">
        <v>1.2</v>
      </c>
      <c r="H40" s="609">
        <v>1</v>
      </c>
      <c r="I40" s="609">
        <v>1</v>
      </c>
    </row>
    <row r="41" spans="1:24" s="603" customFormat="1">
      <c r="A41" s="804">
        <v>15</v>
      </c>
      <c r="B41" s="808" t="s">
        <v>778</v>
      </c>
      <c r="C41" s="811" t="s">
        <v>4</v>
      </c>
      <c r="D41" s="812" t="s">
        <v>462</v>
      </c>
      <c r="E41" s="813"/>
      <c r="F41" s="813"/>
      <c r="G41" s="813"/>
      <c r="H41" s="813"/>
      <c r="I41" s="814"/>
      <c r="J41" s="812" t="s">
        <v>463</v>
      </c>
      <c r="K41" s="813"/>
      <c r="L41" s="813"/>
      <c r="M41" s="813"/>
      <c r="N41" s="813"/>
      <c r="O41" s="814"/>
      <c r="P41" s="812" t="s">
        <v>464</v>
      </c>
      <c r="Q41" s="813"/>
      <c r="R41" s="813"/>
      <c r="S41" s="813"/>
      <c r="T41" s="813"/>
      <c r="U41" s="814"/>
      <c r="V41" s="812" t="s">
        <v>669</v>
      </c>
      <c r="W41" s="813"/>
      <c r="X41" s="814"/>
    </row>
    <row r="42" spans="1:24" s="394" customFormat="1">
      <c r="A42" s="804"/>
      <c r="B42" s="809"/>
      <c r="C42" s="811"/>
      <c r="D42" s="453" t="s">
        <v>178</v>
      </c>
      <c r="E42" s="453" t="s">
        <v>179</v>
      </c>
      <c r="F42" s="453" t="s">
        <v>180</v>
      </c>
      <c r="G42" s="453" t="s">
        <v>182</v>
      </c>
      <c r="H42" s="453" t="s">
        <v>181</v>
      </c>
      <c r="I42" s="453" t="s">
        <v>183</v>
      </c>
      <c r="J42" s="453" t="s">
        <v>178</v>
      </c>
      <c r="K42" s="453" t="s">
        <v>179</v>
      </c>
      <c r="L42" s="506" t="s">
        <v>180</v>
      </c>
      <c r="M42" s="506" t="s">
        <v>182</v>
      </c>
      <c r="N42" s="506" t="s">
        <v>181</v>
      </c>
      <c r="O42" s="506" t="s">
        <v>183</v>
      </c>
      <c r="P42" s="453" t="s">
        <v>178</v>
      </c>
      <c r="Q42" s="453" t="s">
        <v>179</v>
      </c>
      <c r="R42" s="453" t="s">
        <v>180</v>
      </c>
      <c r="S42" s="453" t="s">
        <v>182</v>
      </c>
      <c r="T42" s="453" t="s">
        <v>181</v>
      </c>
      <c r="U42" s="453" t="s">
        <v>183</v>
      </c>
      <c r="V42" s="453" t="s">
        <v>182</v>
      </c>
      <c r="W42" s="453" t="s">
        <v>181</v>
      </c>
      <c r="X42" s="453" t="s">
        <v>183</v>
      </c>
    </row>
    <row r="43" spans="1:24">
      <c r="A43" s="804"/>
      <c r="B43" s="809"/>
      <c r="C43" s="626" t="s">
        <v>19</v>
      </c>
      <c r="D43" s="805">
        <v>2025</v>
      </c>
      <c r="E43" s="805">
        <v>2025</v>
      </c>
      <c r="F43" s="805">
        <v>2027</v>
      </c>
      <c r="G43" s="805">
        <v>2026</v>
      </c>
      <c r="H43" s="805">
        <v>2028</v>
      </c>
      <c r="I43" s="805">
        <v>2030</v>
      </c>
      <c r="J43" s="805">
        <v>2025</v>
      </c>
      <c r="K43" s="506">
        <v>2027</v>
      </c>
      <c r="L43" s="506"/>
      <c r="M43" s="506">
        <v>2027</v>
      </c>
      <c r="N43" s="805">
        <v>2036</v>
      </c>
      <c r="O43" s="805">
        <v>2040</v>
      </c>
      <c r="P43" s="805">
        <v>2025</v>
      </c>
      <c r="Q43" s="805">
        <v>2030</v>
      </c>
      <c r="R43" s="805">
        <v>2033</v>
      </c>
      <c r="S43" s="815">
        <v>2035</v>
      </c>
      <c r="T43" s="815">
        <v>2042</v>
      </c>
      <c r="U43" s="815">
        <v>2045</v>
      </c>
      <c r="V43" s="805">
        <v>2038</v>
      </c>
      <c r="W43" s="805">
        <v>2050</v>
      </c>
      <c r="X43" s="805">
        <v>2050</v>
      </c>
    </row>
    <row r="44" spans="1:24">
      <c r="A44" s="804"/>
      <c r="B44" s="809"/>
      <c r="C44" s="626" t="s">
        <v>9</v>
      </c>
      <c r="D44" s="806"/>
      <c r="E44" s="806"/>
      <c r="F44" s="806"/>
      <c r="G44" s="806"/>
      <c r="H44" s="806">
        <v>2027</v>
      </c>
      <c r="I44" s="806">
        <v>2028</v>
      </c>
      <c r="J44" s="806"/>
      <c r="K44" s="506">
        <v>2027</v>
      </c>
      <c r="L44" s="506"/>
      <c r="M44" s="506">
        <v>2027</v>
      </c>
      <c r="N44" s="806"/>
      <c r="O44" s="806"/>
      <c r="P44" s="806"/>
      <c r="Q44" s="806"/>
      <c r="R44" s="806"/>
      <c r="S44" s="816"/>
      <c r="T44" s="816"/>
      <c r="U44" s="816"/>
      <c r="V44" s="806"/>
      <c r="W44" s="806"/>
      <c r="X44" s="806"/>
    </row>
    <row r="45" spans="1:24">
      <c r="A45" s="804"/>
      <c r="B45" s="809"/>
      <c r="C45" s="626" t="s">
        <v>11</v>
      </c>
      <c r="D45" s="806"/>
      <c r="E45" s="806"/>
      <c r="F45" s="806"/>
      <c r="G45" s="806"/>
      <c r="H45" s="806">
        <v>2028</v>
      </c>
      <c r="I45" s="806">
        <v>2029</v>
      </c>
      <c r="J45" s="806"/>
      <c r="K45" s="506">
        <v>2027</v>
      </c>
      <c r="L45" s="506"/>
      <c r="M45" s="506">
        <v>2028</v>
      </c>
      <c r="N45" s="806"/>
      <c r="O45" s="806"/>
      <c r="P45" s="806"/>
      <c r="Q45" s="806"/>
      <c r="R45" s="806"/>
      <c r="S45" s="816"/>
      <c r="T45" s="816"/>
      <c r="U45" s="816"/>
      <c r="V45" s="806"/>
      <c r="W45" s="806"/>
      <c r="X45" s="806"/>
    </row>
    <row r="46" spans="1:24">
      <c r="A46" s="804"/>
      <c r="B46" s="809"/>
      <c r="C46" s="626" t="s">
        <v>80</v>
      </c>
      <c r="D46" s="806"/>
      <c r="E46" s="806"/>
      <c r="F46" s="806"/>
      <c r="G46" s="806"/>
      <c r="H46" s="806">
        <v>2028</v>
      </c>
      <c r="I46" s="806">
        <v>2029</v>
      </c>
      <c r="J46" s="806"/>
      <c r="K46" s="506">
        <v>2028</v>
      </c>
      <c r="L46" s="506"/>
      <c r="M46" s="506">
        <v>2028</v>
      </c>
      <c r="N46" s="806"/>
      <c r="O46" s="806"/>
      <c r="P46" s="806"/>
      <c r="Q46" s="806"/>
      <c r="R46" s="806"/>
      <c r="S46" s="816"/>
      <c r="T46" s="816"/>
      <c r="U46" s="816"/>
      <c r="V46" s="806"/>
      <c r="W46" s="806"/>
      <c r="X46" s="806"/>
    </row>
    <row r="47" spans="1:24">
      <c r="A47" s="804"/>
      <c r="B47" s="809"/>
      <c r="C47" s="626" t="s">
        <v>13</v>
      </c>
      <c r="D47" s="806"/>
      <c r="E47" s="806"/>
      <c r="F47" s="806"/>
      <c r="G47" s="806"/>
      <c r="H47" s="806">
        <v>2028</v>
      </c>
      <c r="I47" s="806">
        <v>2029</v>
      </c>
      <c r="J47" s="806"/>
      <c r="K47" s="506">
        <v>2028</v>
      </c>
      <c r="L47" s="506"/>
      <c r="M47" s="506">
        <v>2028</v>
      </c>
      <c r="N47" s="806"/>
      <c r="O47" s="806"/>
      <c r="P47" s="806"/>
      <c r="Q47" s="806"/>
      <c r="R47" s="806"/>
      <c r="S47" s="816"/>
      <c r="T47" s="816"/>
      <c r="U47" s="816"/>
      <c r="V47" s="806"/>
      <c r="W47" s="806"/>
      <c r="X47" s="806"/>
    </row>
    <row r="48" spans="1:24">
      <c r="A48" s="804"/>
      <c r="B48" s="809"/>
      <c r="C48" s="626" t="s">
        <v>81</v>
      </c>
      <c r="D48" s="806"/>
      <c r="E48" s="806"/>
      <c r="F48" s="806"/>
      <c r="G48" s="806"/>
      <c r="H48" s="806">
        <v>2028</v>
      </c>
      <c r="I48" s="806">
        <v>2029</v>
      </c>
      <c r="J48" s="806"/>
      <c r="K48" s="506">
        <v>2027</v>
      </c>
      <c r="L48" s="506"/>
      <c r="M48" s="506">
        <v>2028</v>
      </c>
      <c r="N48" s="806"/>
      <c r="O48" s="806"/>
      <c r="P48" s="806"/>
      <c r="Q48" s="806"/>
      <c r="R48" s="806"/>
      <c r="S48" s="816"/>
      <c r="T48" s="816"/>
      <c r="U48" s="816"/>
      <c r="V48" s="806"/>
      <c r="W48" s="806"/>
      <c r="X48" s="806"/>
    </row>
    <row r="49" spans="1:24">
      <c r="A49" s="804"/>
      <c r="B49" s="809"/>
      <c r="C49" s="626" t="s">
        <v>82</v>
      </c>
      <c r="D49" s="806"/>
      <c r="E49" s="806"/>
      <c r="F49" s="806"/>
      <c r="G49" s="806"/>
      <c r="H49" s="806">
        <v>2028</v>
      </c>
      <c r="I49" s="806">
        <v>2029</v>
      </c>
      <c r="J49" s="806"/>
      <c r="K49" s="506">
        <v>2028</v>
      </c>
      <c r="L49" s="506"/>
      <c r="M49" s="506">
        <v>2028</v>
      </c>
      <c r="N49" s="806"/>
      <c r="O49" s="806"/>
      <c r="P49" s="806"/>
      <c r="Q49" s="806"/>
      <c r="R49" s="806"/>
      <c r="S49" s="816"/>
      <c r="T49" s="816"/>
      <c r="U49" s="816"/>
      <c r="V49" s="806"/>
      <c r="W49" s="806"/>
      <c r="X49" s="806"/>
    </row>
    <row r="50" spans="1:24">
      <c r="A50" s="804"/>
      <c r="B50" s="809"/>
      <c r="C50" s="626" t="s">
        <v>37</v>
      </c>
      <c r="D50" s="806"/>
      <c r="E50" s="806"/>
      <c r="F50" s="806"/>
      <c r="G50" s="806"/>
      <c r="H50" s="806">
        <v>2028</v>
      </c>
      <c r="I50" s="806">
        <v>2029</v>
      </c>
      <c r="J50" s="806"/>
      <c r="K50" s="506"/>
      <c r="L50" s="506">
        <v>2028</v>
      </c>
      <c r="M50" s="506">
        <v>2028</v>
      </c>
      <c r="N50" s="806"/>
      <c r="O50" s="806"/>
      <c r="P50" s="806"/>
      <c r="Q50" s="806"/>
      <c r="R50" s="806"/>
      <c r="S50" s="816"/>
      <c r="T50" s="816"/>
      <c r="U50" s="816"/>
      <c r="V50" s="806"/>
      <c r="W50" s="806"/>
      <c r="X50" s="806"/>
    </row>
    <row r="51" spans="1:24">
      <c r="A51" s="804"/>
      <c r="B51" s="810"/>
      <c r="C51" s="626" t="s">
        <v>28</v>
      </c>
      <c r="D51" s="807"/>
      <c r="E51" s="807"/>
      <c r="F51" s="807"/>
      <c r="G51" s="807"/>
      <c r="H51" s="807">
        <v>2027</v>
      </c>
      <c r="I51" s="807">
        <v>2029</v>
      </c>
      <c r="J51" s="807"/>
      <c r="K51" s="506"/>
      <c r="L51" s="506">
        <v>2028</v>
      </c>
      <c r="M51" s="506">
        <v>2027</v>
      </c>
      <c r="N51" s="807"/>
      <c r="O51" s="807"/>
      <c r="P51" s="807"/>
      <c r="Q51" s="807"/>
      <c r="R51" s="807"/>
      <c r="S51" s="817"/>
      <c r="T51" s="817"/>
      <c r="U51" s="817"/>
      <c r="V51" s="807"/>
      <c r="W51" s="807"/>
      <c r="X51" s="807"/>
    </row>
    <row r="53" spans="1:24">
      <c r="D53" s="608"/>
    </row>
    <row r="54" spans="1:24">
      <c r="D54" s="608"/>
    </row>
    <row r="55" spans="1:24">
      <c r="D55" s="608"/>
    </row>
    <row r="56" spans="1:24">
      <c r="D56" s="608"/>
    </row>
    <row r="57" spans="1:24">
      <c r="D57" s="608"/>
    </row>
    <row r="58" spans="1:24">
      <c r="D58" s="608"/>
    </row>
  </sheetData>
  <mergeCells count="48">
    <mergeCell ref="A21:A22"/>
    <mergeCell ref="A23:A24"/>
    <mergeCell ref="A28:A31"/>
    <mergeCell ref="A32:A34"/>
    <mergeCell ref="A35:A37"/>
    <mergeCell ref="A25:A26"/>
    <mergeCell ref="B4:B9"/>
    <mergeCell ref="A4:A9"/>
    <mergeCell ref="A10:A11"/>
    <mergeCell ref="A12:A15"/>
    <mergeCell ref="A16:A19"/>
    <mergeCell ref="B10:B11"/>
    <mergeCell ref="B12:B15"/>
    <mergeCell ref="B16:B19"/>
    <mergeCell ref="W43:W51"/>
    <mergeCell ref="X43:X51"/>
    <mergeCell ref="B41:B51"/>
    <mergeCell ref="C41:C42"/>
    <mergeCell ref="D41:I41"/>
    <mergeCell ref="J41:O41"/>
    <mergeCell ref="P41:U41"/>
    <mergeCell ref="T43:T51"/>
    <mergeCell ref="U43:U51"/>
    <mergeCell ref="P43:P51"/>
    <mergeCell ref="Q43:Q51"/>
    <mergeCell ref="R43:R51"/>
    <mergeCell ref="S43:S51"/>
    <mergeCell ref="V41:X41"/>
    <mergeCell ref="D43:D51"/>
    <mergeCell ref="E43:E51"/>
    <mergeCell ref="B35:B37"/>
    <mergeCell ref="D36:E36"/>
    <mergeCell ref="C39:C40"/>
    <mergeCell ref="A41:A51"/>
    <mergeCell ref="V43:V51"/>
    <mergeCell ref="J43:J51"/>
    <mergeCell ref="N43:N51"/>
    <mergeCell ref="O43:O51"/>
    <mergeCell ref="G43:G51"/>
    <mergeCell ref="H43:H51"/>
    <mergeCell ref="I43:I51"/>
    <mergeCell ref="F43:F51"/>
    <mergeCell ref="E23:F24"/>
    <mergeCell ref="B25:B26"/>
    <mergeCell ref="B28:B31"/>
    <mergeCell ref="D29:E29"/>
    <mergeCell ref="B32:B34"/>
    <mergeCell ref="D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52B6-AB62-40B7-9752-40DEF25814DC}">
  <sheetPr>
    <tabColor rgb="FFFFFF00"/>
  </sheetPr>
  <dimension ref="A2:P111"/>
  <sheetViews>
    <sheetView workbookViewId="0">
      <pane xSplit="3" ySplit="3" topLeftCell="D4" activePane="bottomRight" state="frozen"/>
      <selection activeCell="D18" sqref="D18"/>
      <selection pane="topRight" activeCell="D18" sqref="D18"/>
      <selection pane="bottomLeft" activeCell="D18" sqref="D18"/>
      <selection pane="bottomRight" activeCell="D8" sqref="D8"/>
    </sheetView>
  </sheetViews>
  <sheetFormatPr defaultColWidth="8.88671875" defaultRowHeight="15.6"/>
  <cols>
    <col min="1" max="1" width="5.109375" style="394" customWidth="1"/>
    <col min="2" max="2" width="36.44140625" style="478" customWidth="1"/>
    <col min="3" max="3" width="17.6640625" style="458" customWidth="1"/>
    <col min="4" max="4" width="12.33203125" style="458" bestFit="1" customWidth="1"/>
    <col min="5" max="5" width="12.88671875" style="458" bestFit="1" customWidth="1"/>
    <col min="6" max="10" width="8.33203125" style="458" customWidth="1"/>
    <col min="11" max="11" width="9.88671875" style="458" customWidth="1"/>
    <col min="12" max="12" width="10.21875" style="458" customWidth="1"/>
    <col min="13" max="16" width="9.44140625" style="458" customWidth="1"/>
    <col min="17" max="30" width="9.5546875" style="458" customWidth="1"/>
    <col min="31" max="16384" width="8.88671875" style="458"/>
  </cols>
  <sheetData>
    <row r="2" spans="1:16" ht="31.2" customHeight="1">
      <c r="A2" s="818" t="s">
        <v>1</v>
      </c>
      <c r="B2" s="818" t="s">
        <v>446</v>
      </c>
      <c r="C2" s="822"/>
      <c r="D2" s="822" t="s">
        <v>731</v>
      </c>
      <c r="E2" s="818" t="s">
        <v>732</v>
      </c>
      <c r="F2" s="812" t="s">
        <v>733</v>
      </c>
      <c r="G2" s="813"/>
      <c r="H2" s="813"/>
      <c r="I2" s="813"/>
      <c r="J2" s="813"/>
      <c r="K2" s="814"/>
      <c r="L2" s="804" t="s">
        <v>851</v>
      </c>
      <c r="M2" s="818" t="s">
        <v>734</v>
      </c>
      <c r="N2" s="818"/>
      <c r="O2" s="818"/>
      <c r="P2" s="818"/>
    </row>
    <row r="3" spans="1:16" s="21" customFormat="1">
      <c r="A3" s="818"/>
      <c r="B3" s="818"/>
      <c r="C3" s="823"/>
      <c r="D3" s="824"/>
      <c r="E3" s="822"/>
      <c r="F3" s="514" t="s">
        <v>677</v>
      </c>
      <c r="G3" s="514" t="s">
        <v>676</v>
      </c>
      <c r="H3" s="514" t="s">
        <v>735</v>
      </c>
      <c r="I3" s="514" t="s">
        <v>736</v>
      </c>
      <c r="J3" s="514" t="s">
        <v>737</v>
      </c>
      <c r="K3" s="514" t="s">
        <v>738</v>
      </c>
      <c r="L3" s="804"/>
      <c r="M3" s="818"/>
      <c r="N3" s="818"/>
      <c r="O3" s="818"/>
      <c r="P3" s="818"/>
    </row>
    <row r="4" spans="1:16">
      <c r="A4" s="453">
        <v>1</v>
      </c>
      <c r="B4" s="642" t="s">
        <v>65</v>
      </c>
      <c r="C4" s="662"/>
      <c r="D4" s="515">
        <f>'Changing with year'!C3</f>
        <v>88.926296108571407</v>
      </c>
      <c r="E4" s="607">
        <f>'Changing with year'!AG3</f>
        <v>175.80862433944324</v>
      </c>
      <c r="F4" s="826" t="s">
        <v>739</v>
      </c>
      <c r="G4" s="827"/>
      <c r="H4" s="827"/>
      <c r="I4" s="827"/>
      <c r="J4" s="827"/>
      <c r="K4" s="828"/>
      <c r="L4" s="630">
        <f>_xlfn.RRI(30,D4,E4)</f>
        <v>2.2979660902913368E-2</v>
      </c>
      <c r="M4" s="825"/>
      <c r="N4" s="825"/>
      <c r="O4" s="825"/>
      <c r="P4" s="825"/>
    </row>
    <row r="5" spans="1:16">
      <c r="A5" s="453">
        <v>2</v>
      </c>
      <c r="B5" s="606" t="s">
        <v>66</v>
      </c>
      <c r="C5" s="662"/>
      <c r="D5" s="515">
        <f>'Changing with year'!C4</f>
        <v>55</v>
      </c>
      <c r="E5" s="607">
        <f>'Changing with year'!AG4</f>
        <v>115.36621684949826</v>
      </c>
      <c r="F5" s="518">
        <f>'Changing with year'!AH4</f>
        <v>2.5000000000000001E-2</v>
      </c>
      <c r="G5" s="518">
        <f>'Changing with year'!AI4</f>
        <v>2.5000000000000001E-2</v>
      </c>
      <c r="H5" s="518">
        <f>'Changing with year'!AI4</f>
        <v>2.5000000000000001E-2</v>
      </c>
      <c r="I5" s="518">
        <f>'Changing with year'!AJ4</f>
        <v>2.5000000000000001E-2</v>
      </c>
      <c r="J5" s="518">
        <f>'Changing with year'!AJ4</f>
        <v>2.5000000000000001E-2</v>
      </c>
      <c r="K5" s="518">
        <f>'Changing with year'!AK4</f>
        <v>2.5000000000000001E-2</v>
      </c>
      <c r="L5" s="516"/>
      <c r="M5" s="825"/>
      <c r="N5" s="825"/>
      <c r="O5" s="825"/>
      <c r="P5" s="825"/>
    </row>
    <row r="6" spans="1:16">
      <c r="A6" s="453">
        <v>3</v>
      </c>
      <c r="B6" s="606" t="s">
        <v>67</v>
      </c>
      <c r="C6" s="662"/>
      <c r="D6" s="515">
        <f>'Changing with year'!C5</f>
        <v>87</v>
      </c>
      <c r="E6" s="607">
        <f>'Changing with year'!AG5</f>
        <v>215.62574379985821</v>
      </c>
      <c r="F6" s="518">
        <f>'Changing with year'!AH5</f>
        <v>0.03</v>
      </c>
      <c r="G6" s="518">
        <f>'Changing with year'!AI5</f>
        <v>0.03</v>
      </c>
      <c r="H6" s="518">
        <f>'Changing with year'!AI5</f>
        <v>0.03</v>
      </c>
      <c r="I6" s="518">
        <f>'Changing with year'!AJ5</f>
        <v>0.03</v>
      </c>
      <c r="J6" s="518">
        <f>'Changing with year'!AJ5</f>
        <v>0.03</v>
      </c>
      <c r="K6" s="518">
        <f>'Changing with year'!AK5</f>
        <v>0.03</v>
      </c>
      <c r="L6" s="516"/>
      <c r="M6" s="825"/>
      <c r="N6" s="825"/>
      <c r="O6" s="825"/>
      <c r="P6" s="825"/>
    </row>
    <row r="7" spans="1:16">
      <c r="A7" s="453">
        <v>4</v>
      </c>
      <c r="B7" s="606" t="s">
        <v>68</v>
      </c>
      <c r="C7" s="662"/>
      <c r="D7" s="515">
        <f>'Changing with year'!C6</f>
        <v>83</v>
      </c>
      <c r="E7" s="607">
        <f>'Changing with year'!AG6</f>
        <v>202.6646335168067</v>
      </c>
      <c r="F7" s="518">
        <f>'Changing with year'!AH6</f>
        <v>0.03</v>
      </c>
      <c r="G7" s="518">
        <f>'Changing with year'!AI6</f>
        <v>0.03</v>
      </c>
      <c r="H7" s="518">
        <f>'Changing with year'!AI6</f>
        <v>0.03</v>
      </c>
      <c r="I7" s="518">
        <f>'Changing with year'!AJ6</f>
        <v>0.03</v>
      </c>
      <c r="J7" s="518">
        <f>'Changing with year'!AJ6</f>
        <v>0.03</v>
      </c>
      <c r="K7" s="518">
        <f>'Changing with year'!AK6</f>
        <v>0.03</v>
      </c>
      <c r="L7" s="518"/>
      <c r="M7" s="825"/>
      <c r="N7" s="825"/>
      <c r="O7" s="825"/>
      <c r="P7" s="825"/>
    </row>
    <row r="8" spans="1:16">
      <c r="A8" s="820">
        <v>5</v>
      </c>
      <c r="B8" s="849" t="s">
        <v>914</v>
      </c>
      <c r="C8" s="516" t="s">
        <v>911</v>
      </c>
      <c r="D8" s="515" t="e">
        <f>'Changing with year'!#REF!</f>
        <v>#REF!</v>
      </c>
      <c r="E8" s="515" t="e">
        <f>'Changing with year'!#REF!</f>
        <v>#REF!</v>
      </c>
      <c r="F8" s="518" t="e">
        <f>'Changing with year'!#REF!</f>
        <v>#REF!</v>
      </c>
      <c r="G8" s="518" t="e">
        <f>'Changing with year'!#REF!</f>
        <v>#REF!</v>
      </c>
      <c r="H8" s="518" t="e">
        <f>'Changing with year'!#REF!</f>
        <v>#REF!</v>
      </c>
      <c r="I8" s="518" t="e">
        <f>'Changing with year'!#REF!</f>
        <v>#REF!</v>
      </c>
      <c r="J8" s="518" t="e">
        <f>'Changing with year'!#REF!</f>
        <v>#REF!</v>
      </c>
      <c r="K8" s="518" t="e">
        <f>'Changing with year'!#REF!</f>
        <v>#REF!</v>
      </c>
      <c r="L8" s="630" t="e">
        <f t="shared" ref="L8:L10" si="0">_xlfn.RRI(30,D8,E8)</f>
        <v>#REF!</v>
      </c>
      <c r="M8" s="649"/>
      <c r="N8" s="649"/>
      <c r="O8" s="649"/>
      <c r="P8" s="649"/>
    </row>
    <row r="9" spans="1:16">
      <c r="A9" s="829"/>
      <c r="B9" s="850"/>
      <c r="C9" s="516" t="s">
        <v>912</v>
      </c>
      <c r="D9" s="515" t="e">
        <f>'Changing with year'!#REF!</f>
        <v>#REF!</v>
      </c>
      <c r="E9" s="515" t="e">
        <f>'Changing with year'!#REF!</f>
        <v>#REF!</v>
      </c>
      <c r="F9" s="518" t="e">
        <f>'Changing with year'!#REF!</f>
        <v>#REF!</v>
      </c>
      <c r="G9" s="518" t="e">
        <f>'Changing with year'!#REF!</f>
        <v>#REF!</v>
      </c>
      <c r="H9" s="518" t="e">
        <f>'Changing with year'!#REF!</f>
        <v>#REF!</v>
      </c>
      <c r="I9" s="518" t="e">
        <f>'Changing with year'!#REF!</f>
        <v>#REF!</v>
      </c>
      <c r="J9" s="518" t="e">
        <f>'Changing with year'!#REF!</f>
        <v>#REF!</v>
      </c>
      <c r="K9" s="518" t="e">
        <f>'Changing with year'!#REF!</f>
        <v>#REF!</v>
      </c>
      <c r="L9" s="630" t="e">
        <f t="shared" si="0"/>
        <v>#REF!</v>
      </c>
      <c r="M9" s="825"/>
      <c r="N9" s="825"/>
      <c r="O9" s="825"/>
      <c r="P9" s="825"/>
    </row>
    <row r="10" spans="1:16">
      <c r="A10" s="829"/>
      <c r="B10" s="850"/>
      <c r="C10" s="516" t="s">
        <v>913</v>
      </c>
      <c r="D10" s="515" t="e">
        <f>'Changing with year'!#REF!</f>
        <v>#REF!</v>
      </c>
      <c r="E10" s="515" t="e">
        <f>'Changing with year'!#REF!</f>
        <v>#REF!</v>
      </c>
      <c r="F10" s="518" t="e">
        <f>'Changing with year'!#REF!</f>
        <v>#REF!</v>
      </c>
      <c r="G10" s="518" t="e">
        <f>'Changing with year'!#REF!</f>
        <v>#REF!</v>
      </c>
      <c r="H10" s="518" t="e">
        <f>'Changing with year'!#REF!</f>
        <v>#REF!</v>
      </c>
      <c r="I10" s="518" t="e">
        <f>'Changing with year'!#REF!</f>
        <v>#REF!</v>
      </c>
      <c r="J10" s="518" t="e">
        <f>'Changing with year'!#REF!</f>
        <v>#REF!</v>
      </c>
      <c r="K10" s="518" t="e">
        <f>'Changing with year'!#REF!</f>
        <v>#REF!</v>
      </c>
      <c r="L10" s="630" t="e">
        <f t="shared" si="0"/>
        <v>#REF!</v>
      </c>
      <c r="M10" s="649"/>
      <c r="N10" s="649"/>
      <c r="O10" s="649"/>
      <c r="P10" s="649"/>
    </row>
    <row r="11" spans="1:16">
      <c r="A11" s="821"/>
      <c r="B11" s="851"/>
      <c r="C11" s="664" t="s">
        <v>38</v>
      </c>
      <c r="D11" s="665">
        <f>'Changing with year'!C18</f>
        <v>11.929847794463697</v>
      </c>
      <c r="E11" s="665">
        <f>'Changing with year'!AG18</f>
        <v>10.603821995841201</v>
      </c>
      <c r="F11" s="666"/>
      <c r="G11" s="666"/>
      <c r="H11" s="666"/>
      <c r="I11" s="666"/>
      <c r="J11" s="666"/>
      <c r="K11" s="666"/>
      <c r="L11" s="667">
        <f>_xlfn.RRI(30,D11,E11)</f>
        <v>-3.9199294740859258E-3</v>
      </c>
      <c r="M11" s="649"/>
      <c r="N11" s="649"/>
      <c r="O11" s="649"/>
      <c r="P11" s="649"/>
    </row>
    <row r="12" spans="1:16">
      <c r="A12" s="820">
        <v>6</v>
      </c>
      <c r="B12" s="852" t="s">
        <v>69</v>
      </c>
      <c r="C12" s="516" t="s">
        <v>918</v>
      </c>
      <c r="D12" s="607" t="e">
        <f>'Changing with year'!#REF!</f>
        <v>#REF!</v>
      </c>
      <c r="E12" s="607" t="e">
        <f>'Changing with year'!#REF!</f>
        <v>#REF!</v>
      </c>
      <c r="F12" s="613" t="e">
        <f>'Changing with year'!#REF!</f>
        <v>#REF!</v>
      </c>
      <c r="G12" s="613" t="e">
        <f>'Changing with year'!#REF!</f>
        <v>#REF!</v>
      </c>
      <c r="H12" s="613" t="e">
        <f>'Changing with year'!#REF!</f>
        <v>#REF!</v>
      </c>
      <c r="I12" s="613" t="e">
        <f>'Changing with year'!#REF!</f>
        <v>#REF!</v>
      </c>
      <c r="J12" s="613" t="e">
        <f>'Changing with year'!#REF!</f>
        <v>#REF!</v>
      </c>
      <c r="K12" s="613" t="e">
        <f>'Changing with year'!#REF!</f>
        <v>#REF!</v>
      </c>
      <c r="L12" s="630" t="e">
        <f t="shared" ref="L12:L14" si="1">_xlfn.RRI(30,D12,E12)</f>
        <v>#REF!</v>
      </c>
      <c r="M12" s="649"/>
      <c r="N12" s="649"/>
      <c r="O12" s="649"/>
      <c r="P12" s="649"/>
    </row>
    <row r="13" spans="1:16">
      <c r="A13" s="829"/>
      <c r="B13" s="852"/>
      <c r="C13" s="516" t="s">
        <v>917</v>
      </c>
      <c r="D13" s="607">
        <f>'Changing with year'!C9</f>
        <v>115</v>
      </c>
      <c r="E13" s="607">
        <f>'Changing with year'!AG9</f>
        <v>30.417458305071015</v>
      </c>
      <c r="F13" s="518">
        <f>'Changing with year'!AH9</f>
        <v>-0.03</v>
      </c>
      <c r="G13" s="518">
        <f>'Changing with year'!AI9</f>
        <v>-0.04</v>
      </c>
      <c r="H13" s="518">
        <f>'Changing with year'!AI9</f>
        <v>-0.04</v>
      </c>
      <c r="I13" s="518">
        <f>'Changing with year'!AJ9</f>
        <v>-0.05</v>
      </c>
      <c r="J13" s="518">
        <f>'Changing with year'!AJ9</f>
        <v>-0.05</v>
      </c>
      <c r="K13" s="518">
        <f>'Changing with year'!AK9</f>
        <v>-0.05</v>
      </c>
      <c r="L13" s="630">
        <f t="shared" si="1"/>
        <v>-4.3362276256899368E-2</v>
      </c>
      <c r="M13" s="649"/>
      <c r="N13" s="649"/>
      <c r="O13" s="649"/>
      <c r="P13" s="649"/>
    </row>
    <row r="14" spans="1:16">
      <c r="A14" s="829"/>
      <c r="B14" s="852"/>
      <c r="C14" s="516" t="s">
        <v>916</v>
      </c>
      <c r="D14" s="607">
        <f>'Changing with year'!C10</f>
        <v>140</v>
      </c>
      <c r="E14" s="607">
        <f>'Changing with year'!AG10</f>
        <v>33.348541073976342</v>
      </c>
      <c r="F14" s="518">
        <f>'Changing with year'!AH10</f>
        <v>-0.03</v>
      </c>
      <c r="G14" s="518">
        <f>'Changing with year'!AI10</f>
        <v>-0.05</v>
      </c>
      <c r="H14" s="518">
        <f>'Changing with year'!AI10</f>
        <v>-0.05</v>
      </c>
      <c r="I14" s="518">
        <f>'Changing with year'!AJ10</f>
        <v>-0.05</v>
      </c>
      <c r="J14" s="518">
        <f>'Changing with year'!AJ10</f>
        <v>-0.05</v>
      </c>
      <c r="K14" s="518">
        <f>'Changing with year'!AK10</f>
        <v>-0.05</v>
      </c>
      <c r="L14" s="630">
        <f t="shared" si="1"/>
        <v>-4.669553576935237E-2</v>
      </c>
      <c r="M14" s="825"/>
      <c r="N14" s="825"/>
      <c r="O14" s="825"/>
      <c r="P14" s="825"/>
    </row>
    <row r="15" spans="1:16">
      <c r="A15" s="821"/>
      <c r="B15" s="852"/>
      <c r="C15" s="516" t="s">
        <v>38</v>
      </c>
      <c r="D15" s="668">
        <f>'Changing with year'!C11</f>
        <v>546.5</v>
      </c>
      <c r="E15" s="669">
        <f>'Changing with year'!AG11</f>
        <v>270.53187916737176</v>
      </c>
      <c r="F15" s="666">
        <f>'Changing with year'!AH11</f>
        <v>0</v>
      </c>
      <c r="G15" s="666">
        <f>'Changing with year'!AI11</f>
        <v>0</v>
      </c>
      <c r="H15" s="666">
        <f>'Changing with year'!AI11</f>
        <v>0</v>
      </c>
      <c r="I15" s="666">
        <f>'Changing with year'!AJ11</f>
        <v>0</v>
      </c>
      <c r="J15" s="666">
        <f>'Changing with year'!AJ11</f>
        <v>0</v>
      </c>
      <c r="K15" s="666">
        <f>'Changing with year'!AK11</f>
        <v>0</v>
      </c>
      <c r="L15" s="667">
        <f>_xlfn.RRI(30,D15,E15)</f>
        <v>-2.3165605548868484E-2</v>
      </c>
      <c r="M15" s="649"/>
      <c r="N15" s="649"/>
      <c r="O15" s="649"/>
      <c r="P15" s="649"/>
    </row>
    <row r="16" spans="1:16">
      <c r="A16" s="453">
        <v>7</v>
      </c>
      <c r="B16" s="658" t="s">
        <v>915</v>
      </c>
      <c r="C16" s="662"/>
      <c r="D16" s="515">
        <f>'Changing with year'!C12</f>
        <v>250</v>
      </c>
      <c r="E16" s="607">
        <f>'Changing with year'!AG12</f>
        <v>452.84039602583869</v>
      </c>
      <c r="F16" s="518">
        <f>'Changing with year'!AH12</f>
        <v>0.02</v>
      </c>
      <c r="G16" s="518">
        <f>'Changing with year'!AI12</f>
        <v>0.02</v>
      </c>
      <c r="H16" s="518">
        <f>'Changing with year'!AI12</f>
        <v>0.02</v>
      </c>
      <c r="I16" s="518">
        <f>'Changing with year'!AJ12</f>
        <v>0.02</v>
      </c>
      <c r="J16" s="518">
        <f>'Changing with year'!AJ12</f>
        <v>0.02</v>
      </c>
      <c r="K16" s="518">
        <f>'Changing with year'!AK12</f>
        <v>0.02</v>
      </c>
      <c r="L16" s="516"/>
      <c r="M16" s="825"/>
      <c r="N16" s="825"/>
      <c r="O16" s="825"/>
      <c r="P16" s="825"/>
    </row>
    <row r="17" spans="1:16" ht="31.2">
      <c r="A17" s="453">
        <v>8</v>
      </c>
      <c r="B17" s="642" t="s">
        <v>72</v>
      </c>
      <c r="C17" s="516"/>
      <c r="D17" s="517">
        <f>'Changing with year'!C14</f>
        <v>175</v>
      </c>
      <c r="E17" s="517">
        <f>'Changing with year'!AG14</f>
        <v>70.138952840653474</v>
      </c>
      <c r="F17" s="518">
        <f>'Changing with year'!AH14</f>
        <v>-0.04</v>
      </c>
      <c r="G17" s="518">
        <f>'Changing with year'!AI14</f>
        <v>-0.03</v>
      </c>
      <c r="H17" s="518">
        <f>'Changing with year'!AI14</f>
        <v>-0.03</v>
      </c>
      <c r="I17" s="518">
        <f>'Changing with year'!AJ14</f>
        <v>-0.03</v>
      </c>
      <c r="J17" s="518">
        <f>'Changing with year'!AJ14</f>
        <v>-0.03</v>
      </c>
      <c r="K17" s="518">
        <f>'Changing with year'!AK14</f>
        <v>-0.02</v>
      </c>
      <c r="L17" s="630">
        <f t="shared" ref="L17" si="2">_xlfn.RRI(30,D17,E17)</f>
        <v>-3.0017182891524441E-2</v>
      </c>
      <c r="M17" s="825"/>
      <c r="N17" s="825"/>
      <c r="O17" s="825"/>
      <c r="P17" s="825"/>
    </row>
    <row r="18" spans="1:16">
      <c r="A18" s="453">
        <v>9</v>
      </c>
      <c r="B18" s="642" t="s">
        <v>74</v>
      </c>
      <c r="C18" s="662"/>
      <c r="D18" s="519">
        <f>'Changing with year'!C19</f>
        <v>9900</v>
      </c>
      <c r="E18" s="519">
        <f>'Changing with year'!AG19</f>
        <v>6773.627640627341</v>
      </c>
      <c r="F18" s="518">
        <f>'Changing with year'!AH19</f>
        <v>-1.4999999999999999E-2</v>
      </c>
      <c r="G18" s="518">
        <f>'Changing with year'!AI19</f>
        <v>-2.5000000000000001E-2</v>
      </c>
      <c r="H18" s="518">
        <f>'Changing with year'!AI19</f>
        <v>-2.5000000000000001E-2</v>
      </c>
      <c r="I18" s="518">
        <f>'Changing with year'!AJ19</f>
        <v>-0.01</v>
      </c>
      <c r="J18" s="518">
        <f>'Changing with year'!AJ19</f>
        <v>-0.01</v>
      </c>
      <c r="K18" s="518">
        <f>'Changing with year'!AK19</f>
        <v>0.01</v>
      </c>
      <c r="L18" s="630">
        <f>_xlfn.RRI(30,D18,E18)</f>
        <v>-1.2570258354506425E-2</v>
      </c>
      <c r="M18" s="825"/>
      <c r="N18" s="825"/>
      <c r="O18" s="825"/>
      <c r="P18" s="825"/>
    </row>
    <row r="19" spans="1:16">
      <c r="A19" s="453">
        <v>10</v>
      </c>
      <c r="B19" s="642" t="s">
        <v>75</v>
      </c>
      <c r="C19" s="662"/>
      <c r="D19" s="519">
        <f>'Changing with year'!C20</f>
        <v>36000</v>
      </c>
      <c r="E19" s="519">
        <f>'Changing with year'!AG20</f>
        <v>19576.99998985367</v>
      </c>
      <c r="F19" s="518">
        <f>'Changing with year'!AH20</f>
        <v>-0.03</v>
      </c>
      <c r="G19" s="518">
        <f>'Changing with year'!AI20</f>
        <v>-0.03</v>
      </c>
      <c r="H19" s="518">
        <f>'Changing with year'!AI20</f>
        <v>-0.03</v>
      </c>
      <c r="I19" s="518">
        <f>'Changing with year'!AJ20</f>
        <v>-0.02</v>
      </c>
      <c r="J19" s="518">
        <f>'Changing with year'!AJ20</f>
        <v>-0.02</v>
      </c>
      <c r="K19" s="518">
        <f>'Changing with year'!AK20</f>
        <v>0.01</v>
      </c>
      <c r="L19" s="630">
        <f>_xlfn.RRI(30,D19,E19)</f>
        <v>-2.0100683674980746E-2</v>
      </c>
      <c r="M19" s="825"/>
      <c r="N19" s="825"/>
      <c r="O19" s="825"/>
      <c r="P19" s="825"/>
    </row>
    <row r="20" spans="1:16">
      <c r="A20" s="453">
        <v>11</v>
      </c>
      <c r="B20" s="606" t="s">
        <v>76</v>
      </c>
      <c r="C20" s="662"/>
      <c r="D20" s="519">
        <f>'Changing with year'!C21</f>
        <v>3050</v>
      </c>
      <c r="E20" s="519">
        <f>'Changing with year'!AG21</f>
        <v>4110.9391917653629</v>
      </c>
      <c r="F20" s="518">
        <f>'Changing with year'!AH21</f>
        <v>0.01</v>
      </c>
      <c r="G20" s="518">
        <f>'Changing with year'!AI21</f>
        <v>0.01</v>
      </c>
      <c r="H20" s="518">
        <f>'Changing with year'!AI21</f>
        <v>0.01</v>
      </c>
      <c r="I20" s="518">
        <f>'Changing with year'!AJ21</f>
        <v>0.01</v>
      </c>
      <c r="J20" s="518">
        <f>'Changing with year'!AJ21</f>
        <v>0.01</v>
      </c>
      <c r="K20" s="518">
        <f>'Changing with year'!AK21</f>
        <v>0.01</v>
      </c>
      <c r="L20" s="516"/>
      <c r="M20" s="825"/>
      <c r="N20" s="825"/>
      <c r="O20" s="825"/>
      <c r="P20" s="825"/>
    </row>
    <row r="21" spans="1:16">
      <c r="A21" s="453">
        <v>12</v>
      </c>
      <c r="B21" s="606" t="s">
        <v>77</v>
      </c>
      <c r="C21" s="662"/>
      <c r="D21" s="519">
        <f>'Changing with year'!C22</f>
        <v>100000</v>
      </c>
      <c r="E21" s="519">
        <f>'Changing with year'!AG22</f>
        <v>134784.89153329062</v>
      </c>
      <c r="F21" s="518">
        <f>'Changing with year'!AH22</f>
        <v>0.01</v>
      </c>
      <c r="G21" s="518">
        <f>'Changing with year'!AI22</f>
        <v>0.01</v>
      </c>
      <c r="H21" s="518">
        <f>'Changing with year'!AI22</f>
        <v>0.01</v>
      </c>
      <c r="I21" s="518">
        <f>'Changing with year'!AJ22</f>
        <v>0.01</v>
      </c>
      <c r="J21" s="518">
        <f>'Changing with year'!AJ22</f>
        <v>0.01</v>
      </c>
      <c r="K21" s="518">
        <f>'Changing with year'!AK22</f>
        <v>0.01</v>
      </c>
      <c r="L21" s="516"/>
      <c r="M21" s="825"/>
      <c r="N21" s="825"/>
      <c r="O21" s="825"/>
      <c r="P21" s="825"/>
    </row>
    <row r="22" spans="1:16">
      <c r="A22" s="453">
        <v>13</v>
      </c>
      <c r="B22" s="642" t="s">
        <v>78</v>
      </c>
      <c r="C22" s="662"/>
      <c r="D22" s="519">
        <f>'Changing with year'!C23</f>
        <v>56000</v>
      </c>
      <c r="E22" s="519">
        <f>'Changing with year'!AG23</f>
        <v>33445.599935837374</v>
      </c>
      <c r="F22" s="518">
        <f>'Changing with year'!AH23</f>
        <v>-0.05</v>
      </c>
      <c r="G22" s="518">
        <f>'Changing with year'!AI23</f>
        <v>-0.04</v>
      </c>
      <c r="H22" s="518">
        <f>'Changing with year'!AI23</f>
        <v>-0.04</v>
      </c>
      <c r="I22" s="518">
        <f>'Changing with year'!AJ23</f>
        <v>0.01</v>
      </c>
      <c r="J22" s="518">
        <f>'Changing with year'!AJ23</f>
        <v>0.01</v>
      </c>
      <c r="K22" s="518">
        <f>'Changing with year'!AK23</f>
        <v>0.01</v>
      </c>
      <c r="L22" s="630">
        <f>_xlfn.RRI(30,D22,E22)</f>
        <v>-1.7034295920899445E-2</v>
      </c>
      <c r="M22" s="825"/>
      <c r="N22" s="825"/>
      <c r="O22" s="825"/>
      <c r="P22" s="825"/>
    </row>
    <row r="23" spans="1:16" hidden="1">
      <c r="A23" s="820">
        <v>14</v>
      </c>
      <c r="B23" s="830" t="s">
        <v>740</v>
      </c>
      <c r="C23" s="662" t="s">
        <v>19</v>
      </c>
      <c r="D23" s="520">
        <f>'Changing with year'!C26</f>
        <v>525000</v>
      </c>
      <c r="E23" s="519">
        <f>'Changing with year'!AG26</f>
        <v>950964.83165426098</v>
      </c>
      <c r="F23" s="518">
        <f>'Changing with year'!AH26</f>
        <v>0.02</v>
      </c>
      <c r="G23" s="518">
        <f>'Changing with year'!AI26</f>
        <v>0.02</v>
      </c>
      <c r="H23" s="518">
        <f>'Changing with year'!AI26</f>
        <v>0.02</v>
      </c>
      <c r="I23" s="518">
        <f>'Changing with year'!AJ26</f>
        <v>0.02</v>
      </c>
      <c r="J23" s="518">
        <f>'Changing with year'!AJ26</f>
        <v>0.02</v>
      </c>
      <c r="K23" s="518">
        <f>'Changing with year'!AK26</f>
        <v>0.02</v>
      </c>
      <c r="L23" s="516"/>
      <c r="M23" s="831" t="s">
        <v>801</v>
      </c>
      <c r="N23" s="832"/>
      <c r="O23" s="832"/>
      <c r="P23" s="833"/>
    </row>
    <row r="24" spans="1:16" hidden="1">
      <c r="A24" s="829"/>
      <c r="B24" s="830"/>
      <c r="C24" s="662" t="s">
        <v>9</v>
      </c>
      <c r="D24" s="520">
        <f>'Changing with year'!C27</f>
        <v>625000</v>
      </c>
      <c r="E24" s="519">
        <f>'Changing with year'!AG27</f>
        <v>1132100.9900645961</v>
      </c>
      <c r="F24" s="518">
        <f>'Changing with year'!AH27</f>
        <v>0.02</v>
      </c>
      <c r="G24" s="518">
        <f>'Changing with year'!AI27</f>
        <v>0.02</v>
      </c>
      <c r="H24" s="518">
        <f>'Changing with year'!AI27</f>
        <v>0.02</v>
      </c>
      <c r="I24" s="518">
        <f>'Changing with year'!AJ27</f>
        <v>0.02</v>
      </c>
      <c r="J24" s="518">
        <f>'Changing with year'!AJ27</f>
        <v>0.02</v>
      </c>
      <c r="K24" s="518">
        <f>'Changing with year'!AK27</f>
        <v>0.02</v>
      </c>
      <c r="L24" s="516"/>
      <c r="M24" s="834"/>
      <c r="N24" s="835"/>
      <c r="O24" s="835"/>
      <c r="P24" s="836"/>
    </row>
    <row r="25" spans="1:16">
      <c r="A25" s="829"/>
      <c r="B25" s="830"/>
      <c r="C25" s="662" t="s">
        <v>800</v>
      </c>
      <c r="D25" s="520">
        <f>'Changing with year'!C28</f>
        <v>650000</v>
      </c>
      <c r="E25" s="519">
        <f>'Changing with year'!AG28</f>
        <v>1177385.0296671807</v>
      </c>
      <c r="F25" s="518">
        <f>'Changing with year'!AH28</f>
        <v>0.02</v>
      </c>
      <c r="G25" s="518">
        <f>'Changing with year'!AI28</f>
        <v>0.02</v>
      </c>
      <c r="H25" s="518">
        <f>'Changing with year'!AI28</f>
        <v>0.02</v>
      </c>
      <c r="I25" s="518">
        <f>'Changing with year'!AJ28</f>
        <v>0.02</v>
      </c>
      <c r="J25" s="518">
        <f>'Changing with year'!AJ28</f>
        <v>0.02</v>
      </c>
      <c r="K25" s="518">
        <f>'Changing with year'!AK28</f>
        <v>0.02</v>
      </c>
      <c r="L25" s="516"/>
      <c r="M25" s="834"/>
      <c r="N25" s="835"/>
      <c r="O25" s="835"/>
      <c r="P25" s="836"/>
    </row>
    <row r="26" spans="1:16" hidden="1">
      <c r="A26" s="829"/>
      <c r="B26" s="830"/>
      <c r="C26" s="662" t="s">
        <v>13</v>
      </c>
      <c r="D26" s="520">
        <f>'Changing with year'!C30</f>
        <v>750000</v>
      </c>
      <c r="E26" s="519">
        <f>'Changing with year'!AG30</f>
        <v>1358521.1880775157</v>
      </c>
      <c r="F26" s="518">
        <f>'Changing with year'!AH30</f>
        <v>0.02</v>
      </c>
      <c r="G26" s="518">
        <f>'Changing with year'!AI30</f>
        <v>0.02</v>
      </c>
      <c r="H26" s="518">
        <f>'Changing with year'!AI30</f>
        <v>0.02</v>
      </c>
      <c r="I26" s="518">
        <f>'Changing with year'!AJ30</f>
        <v>0.02</v>
      </c>
      <c r="J26" s="518">
        <f>'Changing with year'!AJ30</f>
        <v>0.02</v>
      </c>
      <c r="K26" s="518">
        <f>'Changing with year'!AK30</f>
        <v>0.02</v>
      </c>
      <c r="L26" s="516"/>
      <c r="M26" s="834"/>
      <c r="N26" s="835"/>
      <c r="O26" s="835"/>
      <c r="P26" s="836"/>
    </row>
    <row r="27" spans="1:16" hidden="1">
      <c r="A27" s="829"/>
      <c r="B27" s="830"/>
      <c r="C27" s="662" t="s">
        <v>81</v>
      </c>
      <c r="D27" s="520">
        <f>'Changing with year'!C31</f>
        <v>650000</v>
      </c>
      <c r="E27" s="519">
        <f>'Changing with year'!AG31</f>
        <v>1177385.0296671807</v>
      </c>
      <c r="F27" s="518">
        <f>'Changing with year'!AH31</f>
        <v>0.02</v>
      </c>
      <c r="G27" s="518">
        <f>'Changing with year'!AI31</f>
        <v>0.02</v>
      </c>
      <c r="H27" s="518">
        <f>'Changing with year'!AI31</f>
        <v>0.02</v>
      </c>
      <c r="I27" s="518">
        <f>'Changing with year'!AJ31</f>
        <v>0.02</v>
      </c>
      <c r="J27" s="518">
        <f>'Changing with year'!AJ31</f>
        <v>0.02</v>
      </c>
      <c r="K27" s="518">
        <f>'Changing with year'!AK31</f>
        <v>0.02</v>
      </c>
      <c r="L27" s="516"/>
      <c r="M27" s="834"/>
      <c r="N27" s="835"/>
      <c r="O27" s="835"/>
      <c r="P27" s="836"/>
    </row>
    <row r="28" spans="1:16" hidden="1">
      <c r="A28" s="829"/>
      <c r="B28" s="830"/>
      <c r="C28" s="662" t="s">
        <v>82</v>
      </c>
      <c r="D28" s="520">
        <f>'Changing with year'!C32</f>
        <v>750000</v>
      </c>
      <c r="E28" s="519">
        <f>'Changing with year'!AG32</f>
        <v>1358521.1880775157</v>
      </c>
      <c r="F28" s="518">
        <f>'Changing with year'!AH32</f>
        <v>0.02</v>
      </c>
      <c r="G28" s="518">
        <f>'Changing with year'!AI32</f>
        <v>0.02</v>
      </c>
      <c r="H28" s="518">
        <f>'Changing with year'!AI32</f>
        <v>0.02</v>
      </c>
      <c r="I28" s="518">
        <f>'Changing with year'!AJ32</f>
        <v>0.02</v>
      </c>
      <c r="J28" s="518">
        <f>'Changing with year'!AJ32</f>
        <v>0.02</v>
      </c>
      <c r="K28" s="518">
        <f>'Changing with year'!AK32</f>
        <v>0.02</v>
      </c>
      <c r="L28" s="516"/>
      <c r="M28" s="834"/>
      <c r="N28" s="835"/>
      <c r="O28" s="835"/>
      <c r="P28" s="836"/>
    </row>
    <row r="29" spans="1:16" hidden="1">
      <c r="A29" s="829"/>
      <c r="B29" s="830"/>
      <c r="C29" s="662" t="s">
        <v>37</v>
      </c>
      <c r="D29" s="520">
        <f>'Changing with year'!C33</f>
        <v>650000</v>
      </c>
      <c r="E29" s="519">
        <f>'Changing with year'!AG33</f>
        <v>1177385.0296671807</v>
      </c>
      <c r="F29" s="518">
        <f>'Changing with year'!AH33</f>
        <v>0.02</v>
      </c>
      <c r="G29" s="518">
        <f>'Changing with year'!AI33</f>
        <v>0.02</v>
      </c>
      <c r="H29" s="518">
        <f>'Changing with year'!AI33</f>
        <v>0.02</v>
      </c>
      <c r="I29" s="518">
        <f>'Changing with year'!AJ33</f>
        <v>0.02</v>
      </c>
      <c r="J29" s="518">
        <f>'Changing with year'!AJ33</f>
        <v>0.02</v>
      </c>
      <c r="K29" s="518">
        <f>'Changing with year'!AK33</f>
        <v>0.02</v>
      </c>
      <c r="L29" s="516"/>
      <c r="M29" s="834"/>
      <c r="N29" s="835"/>
      <c r="O29" s="835"/>
      <c r="P29" s="836"/>
    </row>
    <row r="30" spans="1:16">
      <c r="A30" s="821"/>
      <c r="B30" s="830"/>
      <c r="C30" s="662" t="s">
        <v>28</v>
      </c>
      <c r="D30" s="520">
        <f>'Changing with year'!C34</f>
        <v>750000</v>
      </c>
      <c r="E30" s="519">
        <f>'Changing with year'!AG34</f>
        <v>1358521.1880775157</v>
      </c>
      <c r="F30" s="518">
        <f>'Changing with year'!AH34</f>
        <v>0.02</v>
      </c>
      <c r="G30" s="518">
        <f>'Changing with year'!AI34</f>
        <v>0.02</v>
      </c>
      <c r="H30" s="518">
        <f>'Changing with year'!AI34</f>
        <v>0.02</v>
      </c>
      <c r="I30" s="518">
        <f>'Changing with year'!AJ34</f>
        <v>0.02</v>
      </c>
      <c r="J30" s="518">
        <f>'Changing with year'!AJ34</f>
        <v>0.02</v>
      </c>
      <c r="K30" s="518">
        <f>'Changing with year'!AK34</f>
        <v>0.02</v>
      </c>
      <c r="L30" s="516"/>
      <c r="M30" s="837"/>
      <c r="N30" s="838"/>
      <c r="O30" s="838"/>
      <c r="P30" s="839"/>
    </row>
    <row r="31" spans="1:16" ht="31.2">
      <c r="A31" s="820">
        <v>15</v>
      </c>
      <c r="B31" s="830" t="s">
        <v>741</v>
      </c>
      <c r="C31" s="663" t="s">
        <v>799</v>
      </c>
      <c r="D31" s="520">
        <f>'Changing with year'!C37</f>
        <v>1400000</v>
      </c>
      <c r="E31" s="519">
        <f>'Changing with year'!AG37</f>
        <v>1198551.6485409332</v>
      </c>
      <c r="F31" s="518">
        <f>'Changing with year'!AH37</f>
        <v>-0.04</v>
      </c>
      <c r="G31" s="518">
        <f>'Changing with year'!AI37</f>
        <v>-0.01</v>
      </c>
      <c r="H31" s="518">
        <f>'Changing with year'!AI37</f>
        <v>-0.01</v>
      </c>
      <c r="I31" s="518">
        <f>'Changing with year'!AJ37</f>
        <v>0.01</v>
      </c>
      <c r="J31" s="518">
        <f>'Changing with year'!AJ37</f>
        <v>0.01</v>
      </c>
      <c r="K31" s="518">
        <f>'[1]Changing with year'!AK30</f>
        <v>0.01</v>
      </c>
      <c r="L31" s="630">
        <f>_xlfn.RRI(30,D31,E31)</f>
        <v>-5.1652263821526656E-3</v>
      </c>
      <c r="M31" s="825"/>
      <c r="N31" s="825"/>
      <c r="O31" s="825"/>
      <c r="P31" s="825"/>
    </row>
    <row r="32" spans="1:16" ht="46.8">
      <c r="A32" s="829"/>
      <c r="B32" s="830"/>
      <c r="C32" s="663" t="s">
        <v>852</v>
      </c>
      <c r="D32" s="520">
        <f>'Changing with year'!C40</f>
        <v>1700000</v>
      </c>
      <c r="E32" s="519">
        <f>'Changing with year'!AG40</f>
        <v>1455384.1446568468</v>
      </c>
      <c r="F32" s="518">
        <f>'Changing with year'!AH40</f>
        <v>-0.04</v>
      </c>
      <c r="G32" s="518">
        <f>'Changing with year'!AI40</f>
        <v>-0.01</v>
      </c>
      <c r="H32" s="518">
        <f>'Changing with year'!AI40</f>
        <v>-0.01</v>
      </c>
      <c r="I32" s="518">
        <f>'Changing with year'!AJ40</f>
        <v>0.01</v>
      </c>
      <c r="J32" s="518">
        <f>'Changing with year'!AJ40</f>
        <v>0.01</v>
      </c>
      <c r="K32" s="518">
        <f>'[1]Changing with year'!AK33</f>
        <v>0.01</v>
      </c>
      <c r="L32" s="630">
        <f>_xlfn.RRI(30,D32,E32)</f>
        <v>-5.1652263821526656E-3</v>
      </c>
      <c r="M32" s="825"/>
      <c r="N32" s="825"/>
      <c r="O32" s="825"/>
      <c r="P32" s="825"/>
    </row>
    <row r="33" spans="1:16" hidden="1">
      <c r="A33" s="820">
        <v>16</v>
      </c>
      <c r="B33" s="830" t="s">
        <v>742</v>
      </c>
      <c r="C33" s="662" t="s">
        <v>19</v>
      </c>
      <c r="D33" s="520">
        <f>'Changing with year'!C81</f>
        <v>2000000</v>
      </c>
      <c r="E33" s="519">
        <f>'Changing with year'!AG81</f>
        <v>5692200</v>
      </c>
      <c r="F33" s="518">
        <f>'Changing with year'!AH81</f>
        <v>0.03</v>
      </c>
      <c r="G33" s="518">
        <f>'Changing with year'!AI81</f>
        <v>0.03</v>
      </c>
      <c r="H33" s="518">
        <f>'Changing with year'!AI81</f>
        <v>0.03</v>
      </c>
      <c r="I33" s="518">
        <f>'Changing with year'!AJ81</f>
        <v>0.03</v>
      </c>
      <c r="J33" s="518">
        <f>'Changing with year'!AJ81</f>
        <v>0.03</v>
      </c>
      <c r="K33" s="518">
        <f>'Changing with year'!AK81</f>
        <v>0.03</v>
      </c>
      <c r="L33" s="516"/>
      <c r="M33" s="831" t="s">
        <v>801</v>
      </c>
      <c r="N33" s="832"/>
      <c r="O33" s="832"/>
      <c r="P33" s="833"/>
    </row>
    <row r="34" spans="1:16" ht="15.6" hidden="1" customHeight="1">
      <c r="A34" s="829"/>
      <c r="B34" s="830"/>
      <c r="C34" s="662" t="s">
        <v>9</v>
      </c>
      <c r="D34" s="520">
        <f>'Changing with year'!C82</f>
        <v>2750000</v>
      </c>
      <c r="E34" s="519">
        <f>'Changing with year'!AG82</f>
        <v>7513000</v>
      </c>
      <c r="F34" s="518">
        <f>'Changing with year'!AH82</f>
        <v>0.03</v>
      </c>
      <c r="G34" s="518">
        <f>'Changing with year'!AI82</f>
        <v>0.03</v>
      </c>
      <c r="H34" s="518">
        <f>'Changing with year'!AI82</f>
        <v>0.03</v>
      </c>
      <c r="I34" s="518">
        <f>'Changing with year'!AJ82</f>
        <v>0.03</v>
      </c>
      <c r="J34" s="518">
        <f>'Changing with year'!AJ82</f>
        <v>0.03</v>
      </c>
      <c r="K34" s="518">
        <f>'Changing with year'!AK82</f>
        <v>0.03</v>
      </c>
      <c r="L34" s="516"/>
      <c r="M34" s="834"/>
      <c r="N34" s="835"/>
      <c r="O34" s="835"/>
      <c r="P34" s="836"/>
    </row>
    <row r="35" spans="1:16">
      <c r="A35" s="829"/>
      <c r="B35" s="830"/>
      <c r="C35" s="662" t="s">
        <v>11</v>
      </c>
      <c r="D35" s="520">
        <f>'Changing with year'!C83</f>
        <v>3600000</v>
      </c>
      <c r="E35" s="519">
        <f>'Changing with year'!AG83</f>
        <v>9575700</v>
      </c>
      <c r="F35" s="518">
        <f>'Changing with year'!AH83</f>
        <v>0.03</v>
      </c>
      <c r="G35" s="518">
        <f>'Changing with year'!AI83</f>
        <v>0.03</v>
      </c>
      <c r="H35" s="518">
        <f>'Changing with year'!AI83</f>
        <v>0.03</v>
      </c>
      <c r="I35" s="518">
        <f>'Changing with year'!AJ83</f>
        <v>0.03</v>
      </c>
      <c r="J35" s="518">
        <f>'Changing with year'!AJ83</f>
        <v>0.03</v>
      </c>
      <c r="K35" s="518">
        <f>'Changing with year'!AK83</f>
        <v>0.03</v>
      </c>
      <c r="L35" s="516"/>
      <c r="M35" s="834"/>
      <c r="N35" s="835"/>
      <c r="O35" s="835"/>
      <c r="P35" s="836"/>
    </row>
    <row r="36" spans="1:16" hidden="1">
      <c r="A36" s="829"/>
      <c r="B36" s="830"/>
      <c r="C36" s="662" t="s">
        <v>80</v>
      </c>
      <c r="D36" s="520">
        <f>'Changing with year'!C84</f>
        <v>4000000</v>
      </c>
      <c r="E36" s="519">
        <f>'Changing with year'!AG84</f>
        <v>10546400</v>
      </c>
      <c r="F36" s="518">
        <f>'Changing with year'!AH84</f>
        <v>0.03</v>
      </c>
      <c r="G36" s="518">
        <f>'Changing with year'!AI84</f>
        <v>0.03</v>
      </c>
      <c r="H36" s="518">
        <f>'Changing with year'!AI84</f>
        <v>0.03</v>
      </c>
      <c r="I36" s="518">
        <f>'Changing with year'!AJ84</f>
        <v>0.03</v>
      </c>
      <c r="J36" s="518">
        <f>'Changing with year'!AJ84</f>
        <v>0.03</v>
      </c>
      <c r="K36" s="518">
        <f>'Changing with year'!AK84</f>
        <v>0.03</v>
      </c>
      <c r="L36" s="516"/>
      <c r="M36" s="834"/>
      <c r="N36" s="835"/>
      <c r="O36" s="835"/>
      <c r="P36" s="836"/>
    </row>
    <row r="37" spans="1:16" hidden="1">
      <c r="A37" s="829"/>
      <c r="B37" s="830"/>
      <c r="C37" s="662" t="s">
        <v>13</v>
      </c>
      <c r="D37" s="520">
        <f>'Changing with year'!C85</f>
        <v>4700000</v>
      </c>
      <c r="E37" s="519">
        <f>'Changing with year'!AG85</f>
        <v>12245900</v>
      </c>
      <c r="F37" s="518">
        <f>'Changing with year'!AH85</f>
        <v>0.03</v>
      </c>
      <c r="G37" s="518">
        <f>'Changing with year'!AI85</f>
        <v>0.03</v>
      </c>
      <c r="H37" s="518">
        <f>'Changing with year'!AI85</f>
        <v>0.03</v>
      </c>
      <c r="I37" s="518">
        <f>'Changing with year'!AJ85</f>
        <v>0.03</v>
      </c>
      <c r="J37" s="518">
        <f>'Changing with year'!AJ85</f>
        <v>0.03</v>
      </c>
      <c r="K37" s="518">
        <f>'Changing with year'!AK85</f>
        <v>0.03</v>
      </c>
      <c r="L37" s="516"/>
      <c r="M37" s="834"/>
      <c r="N37" s="835"/>
      <c r="O37" s="835"/>
      <c r="P37" s="836"/>
    </row>
    <row r="38" spans="1:16" hidden="1">
      <c r="A38" s="829"/>
      <c r="B38" s="830"/>
      <c r="C38" s="662" t="s">
        <v>81</v>
      </c>
      <c r="D38" s="520">
        <f>'Changing with year'!C86</f>
        <v>4200000</v>
      </c>
      <c r="E38" s="519">
        <f>'Changing with year'!AG86</f>
        <v>11032100</v>
      </c>
      <c r="F38" s="518">
        <f>'Changing with year'!AH86</f>
        <v>0.03</v>
      </c>
      <c r="G38" s="518">
        <f>'Changing with year'!AI86</f>
        <v>0.03</v>
      </c>
      <c r="H38" s="518">
        <f>'Changing with year'!AI86</f>
        <v>0.03</v>
      </c>
      <c r="I38" s="518">
        <f>'Changing with year'!AJ86</f>
        <v>0.03</v>
      </c>
      <c r="J38" s="518">
        <f>'Changing with year'!AJ86</f>
        <v>0.03</v>
      </c>
      <c r="K38" s="518">
        <f>'Changing with year'!AK86</f>
        <v>0.03</v>
      </c>
      <c r="L38" s="516"/>
      <c r="M38" s="834"/>
      <c r="N38" s="835"/>
      <c r="O38" s="835"/>
      <c r="P38" s="836"/>
    </row>
    <row r="39" spans="1:16" hidden="1">
      <c r="A39" s="829"/>
      <c r="B39" s="830"/>
      <c r="C39" s="662" t="s">
        <v>82</v>
      </c>
      <c r="D39" s="520">
        <f>'Changing with year'!C87</f>
        <v>4800000</v>
      </c>
      <c r="E39" s="519">
        <f>'Changing with year'!AG87</f>
        <v>12488800</v>
      </c>
      <c r="F39" s="518">
        <f>'Changing with year'!AH87</f>
        <v>0.03</v>
      </c>
      <c r="G39" s="518">
        <f>'Changing with year'!AI87</f>
        <v>0.03</v>
      </c>
      <c r="H39" s="518">
        <f>'Changing with year'!AI87</f>
        <v>0.03</v>
      </c>
      <c r="I39" s="518">
        <f>'Changing with year'!AJ87</f>
        <v>0.03</v>
      </c>
      <c r="J39" s="518">
        <f>'Changing with year'!AJ87</f>
        <v>0.03</v>
      </c>
      <c r="K39" s="518">
        <f>'Changing with year'!AK87</f>
        <v>0.03</v>
      </c>
      <c r="L39" s="516"/>
      <c r="M39" s="834"/>
      <c r="N39" s="835"/>
      <c r="O39" s="835"/>
      <c r="P39" s="836"/>
    </row>
    <row r="40" spans="1:16" hidden="1">
      <c r="A40" s="829"/>
      <c r="B40" s="830"/>
      <c r="C40" s="662" t="s">
        <v>37</v>
      </c>
      <c r="D40" s="520">
        <f>'Changing with year'!C88</f>
        <v>4300000</v>
      </c>
      <c r="E40" s="519">
        <f>'Changing with year'!AG88</f>
        <v>11274800</v>
      </c>
      <c r="F40" s="518">
        <f>'Changing with year'!AH88</f>
        <v>0.03</v>
      </c>
      <c r="G40" s="518">
        <f>'Changing with year'!AI88</f>
        <v>0.03</v>
      </c>
      <c r="H40" s="518">
        <f>'Changing with year'!AI88</f>
        <v>0.03</v>
      </c>
      <c r="I40" s="518">
        <f>'Changing with year'!AJ88</f>
        <v>0.03</v>
      </c>
      <c r="J40" s="518">
        <f>'Changing with year'!AJ88</f>
        <v>0.03</v>
      </c>
      <c r="K40" s="518">
        <f>'Changing with year'!AK88</f>
        <v>0.03</v>
      </c>
      <c r="L40" s="516"/>
      <c r="M40" s="834"/>
      <c r="N40" s="835"/>
      <c r="O40" s="835"/>
      <c r="P40" s="836"/>
    </row>
    <row r="41" spans="1:16">
      <c r="A41" s="821"/>
      <c r="B41" s="830"/>
      <c r="C41" s="662" t="s">
        <v>28</v>
      </c>
      <c r="D41" s="520">
        <f>'Changing with year'!C89</f>
        <v>5000000</v>
      </c>
      <c r="E41" s="519">
        <f>'Changing with year'!AG89</f>
        <v>12973700</v>
      </c>
      <c r="F41" s="518">
        <f>'Changing with year'!AH89</f>
        <v>0.03</v>
      </c>
      <c r="G41" s="518">
        <f>'Changing with year'!AI89</f>
        <v>0.03</v>
      </c>
      <c r="H41" s="518">
        <f>'Changing with year'!AI89</f>
        <v>0.03</v>
      </c>
      <c r="I41" s="518">
        <f>'Changing with year'!AJ89</f>
        <v>0.03</v>
      </c>
      <c r="J41" s="518">
        <f>'Changing with year'!AJ89</f>
        <v>0.03</v>
      </c>
      <c r="K41" s="518">
        <f>'Changing with year'!AK89</f>
        <v>0.03</v>
      </c>
      <c r="L41" s="516"/>
      <c r="M41" s="837"/>
      <c r="N41" s="838"/>
      <c r="O41" s="838"/>
      <c r="P41" s="839"/>
    </row>
    <row r="42" spans="1:16" ht="31.5" customHeight="1">
      <c r="A42" s="453">
        <v>17</v>
      </c>
      <c r="B42" s="479" t="s">
        <v>743</v>
      </c>
      <c r="C42" s="662" t="s">
        <v>11</v>
      </c>
      <c r="D42" s="520">
        <f>'Changing with year'!C94</f>
        <v>3850000</v>
      </c>
      <c r="E42" s="519">
        <f>'Changing with year'!AG94</f>
        <v>10182471.685941892</v>
      </c>
      <c r="F42" s="518">
        <f>'Changing with year'!AH94</f>
        <v>0.03</v>
      </c>
      <c r="G42" s="518">
        <f>'Changing with year'!AI94</f>
        <v>0.03</v>
      </c>
      <c r="H42" s="518">
        <f>'Changing with year'!AI94</f>
        <v>0.03</v>
      </c>
      <c r="I42" s="518">
        <f>'Changing with year'!AJ94</f>
        <v>0.03</v>
      </c>
      <c r="J42" s="518">
        <f>'Changing with year'!AJ94</f>
        <v>0.03</v>
      </c>
      <c r="K42" s="518">
        <f>'Changing with year'!AK94</f>
        <v>0.03</v>
      </c>
      <c r="L42" s="516"/>
      <c r="M42" s="825" t="s">
        <v>869</v>
      </c>
      <c r="N42" s="825"/>
      <c r="O42" s="825"/>
      <c r="P42" s="825"/>
    </row>
    <row r="43" spans="1:16">
      <c r="A43" s="453">
        <v>18</v>
      </c>
      <c r="B43" s="479" t="s">
        <v>744</v>
      </c>
      <c r="C43" s="662" t="s">
        <v>28</v>
      </c>
      <c r="D43" s="520">
        <f>'Changing with year'!C113</f>
        <v>6156825</v>
      </c>
      <c r="E43" s="519">
        <f>'Changing with year'!AG113</f>
        <v>14532925.321479989</v>
      </c>
      <c r="F43" s="843" t="s">
        <v>745</v>
      </c>
      <c r="G43" s="844"/>
      <c r="H43" s="844"/>
      <c r="I43" s="844"/>
      <c r="J43" s="844"/>
      <c r="K43" s="845"/>
      <c r="L43" s="516"/>
      <c r="M43" s="825"/>
      <c r="N43" s="825"/>
      <c r="O43" s="825"/>
      <c r="P43" s="825"/>
    </row>
    <row r="44" spans="1:16">
      <c r="A44" s="453">
        <v>19</v>
      </c>
      <c r="B44" s="479" t="s">
        <v>746</v>
      </c>
      <c r="C44" s="662" t="s">
        <v>11</v>
      </c>
      <c r="D44" s="520">
        <f>'Changing with year'!C119</f>
        <v>5179200</v>
      </c>
      <c r="E44" s="519">
        <f>'Changing with year'!AG119</f>
        <v>10518865.918190613</v>
      </c>
      <c r="F44" s="843" t="s">
        <v>747</v>
      </c>
      <c r="G44" s="844"/>
      <c r="H44" s="844"/>
      <c r="I44" s="844"/>
      <c r="J44" s="844"/>
      <c r="K44" s="845"/>
      <c r="L44" s="516"/>
      <c r="M44" s="825"/>
      <c r="N44" s="825"/>
      <c r="O44" s="825"/>
      <c r="P44" s="825"/>
    </row>
    <row r="45" spans="1:16">
      <c r="A45" s="453">
        <v>20</v>
      </c>
      <c r="B45" s="479" t="s">
        <v>748</v>
      </c>
      <c r="C45" s="662" t="s">
        <v>749</v>
      </c>
      <c r="D45" s="840" t="s">
        <v>750</v>
      </c>
      <c r="E45" s="841"/>
      <c r="F45" s="842"/>
      <c r="G45" s="518">
        <f>'Changing with year'!I128</f>
        <v>0.3</v>
      </c>
      <c r="H45" s="518">
        <f>'Changing with year'!N128</f>
        <v>0.3</v>
      </c>
      <c r="I45" s="518">
        <f>'Changing with year'!S128</f>
        <v>0.25</v>
      </c>
      <c r="J45" s="518">
        <f>'Changing with year'!X128</f>
        <v>0.25</v>
      </c>
      <c r="K45" s="518">
        <f>'Changing with year'!AC128</f>
        <v>0.25</v>
      </c>
      <c r="L45" s="516"/>
      <c r="M45" s="825" t="s">
        <v>802</v>
      </c>
      <c r="N45" s="825"/>
      <c r="O45" s="825"/>
      <c r="P45" s="825"/>
    </row>
    <row r="46" spans="1:16" ht="31.5" customHeight="1">
      <c r="A46" s="453">
        <v>21</v>
      </c>
      <c r="B46" s="479" t="s">
        <v>751</v>
      </c>
      <c r="C46" s="662" t="s">
        <v>11</v>
      </c>
      <c r="D46" s="520">
        <f>'Changing with year'!C131</f>
        <v>8762500</v>
      </c>
      <c r="E46" s="519">
        <f>'Changing with year'!AG131</f>
        <v>11807263.168705029</v>
      </c>
      <c r="F46" s="846" t="s">
        <v>752</v>
      </c>
      <c r="G46" s="847"/>
      <c r="H46" s="847"/>
      <c r="I46" s="847"/>
      <c r="J46" s="847"/>
      <c r="K46" s="848"/>
      <c r="L46" s="516"/>
      <c r="M46" s="825"/>
      <c r="N46" s="825"/>
      <c r="O46" s="825"/>
      <c r="P46" s="825"/>
    </row>
    <row r="47" spans="1:16">
      <c r="A47" s="453">
        <v>22</v>
      </c>
      <c r="B47" s="479" t="s">
        <v>753</v>
      </c>
      <c r="C47" s="662"/>
      <c r="D47" s="518">
        <f>'Changing with year'!C141</f>
        <v>0.4</v>
      </c>
      <c r="E47" s="519"/>
      <c r="F47" s="518">
        <f>'Changing with year'!D141</f>
        <v>0.4</v>
      </c>
      <c r="G47" s="518">
        <f>'Changing with year'!I141</f>
        <v>0.4</v>
      </c>
      <c r="H47" s="518">
        <f>'Changing with year'!N141</f>
        <v>0.4</v>
      </c>
      <c r="I47" s="518">
        <f>'Changing with year'!S141</f>
        <v>0.35</v>
      </c>
      <c r="J47" s="518">
        <f>'Changing with year'!X141</f>
        <v>0.3</v>
      </c>
      <c r="K47" s="518">
        <f>'Changing with year'!AC141</f>
        <v>0.25</v>
      </c>
      <c r="L47" s="516"/>
      <c r="M47" s="825"/>
      <c r="N47" s="825"/>
      <c r="O47" s="825"/>
      <c r="P47" s="825"/>
    </row>
    <row r="48" spans="1:16" ht="31.2" customHeight="1">
      <c r="A48" s="453">
        <v>23</v>
      </c>
      <c r="B48" s="479" t="s">
        <v>754</v>
      </c>
      <c r="C48" s="662" t="s">
        <v>11</v>
      </c>
      <c r="D48" s="520">
        <f>'[1]Changing with year'!C137</f>
        <v>11491400</v>
      </c>
      <c r="E48" s="519">
        <f>'Changing with year'!AG144</f>
        <v>13184062.86673986</v>
      </c>
      <c r="F48" s="846" t="s">
        <v>755</v>
      </c>
      <c r="G48" s="847"/>
      <c r="H48" s="847"/>
      <c r="I48" s="847"/>
      <c r="J48" s="847"/>
      <c r="K48" s="848"/>
      <c r="L48" s="516"/>
      <c r="M48" s="825"/>
      <c r="N48" s="825"/>
      <c r="O48" s="825"/>
      <c r="P48" s="825"/>
    </row>
    <row r="49" spans="1:16">
      <c r="A49" s="453">
        <v>24</v>
      </c>
      <c r="B49" s="479" t="s">
        <v>756</v>
      </c>
      <c r="C49" s="662" t="s">
        <v>757</v>
      </c>
      <c r="D49" s="417">
        <f>'Changing with year'!C154</f>
        <v>4.2</v>
      </c>
      <c r="E49" s="417">
        <f>'Changing with year'!AG154</f>
        <v>13.622269542115674</v>
      </c>
      <c r="F49" s="518">
        <f>'Changing with year'!AH154</f>
        <v>0.04</v>
      </c>
      <c r="G49" s="518">
        <f>'Changing with year'!AI154</f>
        <v>0.04</v>
      </c>
      <c r="H49" s="518">
        <f>'[1]Changing with year'!AI147</f>
        <v>0.04</v>
      </c>
      <c r="I49" s="518">
        <f>'[1]Changing with year'!AJ147</f>
        <v>0.04</v>
      </c>
      <c r="J49" s="518">
        <f>'[1]Changing with year'!AJ147</f>
        <v>0.04</v>
      </c>
      <c r="K49" s="518">
        <f>'[1]Changing with year'!AK147</f>
        <v>0.04</v>
      </c>
      <c r="L49" s="516"/>
      <c r="M49" s="825"/>
      <c r="N49" s="825"/>
      <c r="O49" s="825"/>
      <c r="P49" s="825"/>
    </row>
    <row r="50" spans="1:16" ht="31.2">
      <c r="A50" s="453">
        <v>25</v>
      </c>
      <c r="B50" s="479" t="s">
        <v>758</v>
      </c>
      <c r="C50" s="662" t="s">
        <v>757</v>
      </c>
      <c r="D50" s="417">
        <f>'Changing with year'!C186</f>
        <v>4.7</v>
      </c>
      <c r="E50" s="417">
        <f>'Changing with year'!AG186</f>
        <v>15.243968297129447</v>
      </c>
      <c r="F50" s="518">
        <f>'Changing with year'!AH186</f>
        <v>0.04</v>
      </c>
      <c r="G50" s="518">
        <f>'[1]Changing with year'!AI163</f>
        <v>0.04</v>
      </c>
      <c r="H50" s="518">
        <f>'[1]Changing with year'!AI163</f>
        <v>0.04</v>
      </c>
      <c r="I50" s="518">
        <f>'[1]Changing with year'!AJ163</f>
        <v>0.04</v>
      </c>
      <c r="J50" s="518">
        <f>'[1]Changing with year'!AJ163</f>
        <v>0.04</v>
      </c>
      <c r="K50" s="518">
        <f>'[1]Changing with year'!AK163</f>
        <v>0.04</v>
      </c>
      <c r="L50" s="516"/>
      <c r="M50" s="825"/>
      <c r="N50" s="825"/>
      <c r="O50" s="825"/>
      <c r="P50" s="825"/>
    </row>
    <row r="51" spans="1:16" ht="31.2">
      <c r="A51" s="453">
        <v>26</v>
      </c>
      <c r="B51" s="479" t="s">
        <v>759</v>
      </c>
      <c r="C51" s="516" t="s">
        <v>757</v>
      </c>
      <c r="D51" s="417">
        <f>'Changing with year'!C218</f>
        <v>7.1777952225314179</v>
      </c>
      <c r="E51" s="417">
        <f>'Changing with year'!AG218</f>
        <v>13.407945360424065</v>
      </c>
      <c r="F51" s="518">
        <f>'Changing with year'!AH218</f>
        <v>0</v>
      </c>
      <c r="G51" s="518">
        <f>'[1]Changing with year'!AI179</f>
        <v>0.01</v>
      </c>
      <c r="H51" s="518">
        <f>'[1]Changing with year'!AI179</f>
        <v>0.01</v>
      </c>
      <c r="I51" s="518">
        <f>'[1]Changing with year'!AJ179</f>
        <v>2.5000000000000001E-2</v>
      </c>
      <c r="J51" s="518">
        <f>'[1]Changing with year'!AJ179</f>
        <v>2.5000000000000001E-2</v>
      </c>
      <c r="K51" s="518">
        <f>'[1]Changing with year'!AK173</f>
        <v>0.04</v>
      </c>
      <c r="L51" s="643">
        <f>_xlfn.RRI(30,D51,E51)</f>
        <v>2.1046934041714094E-2</v>
      </c>
      <c r="M51" s="825"/>
      <c r="N51" s="825"/>
      <c r="O51" s="825"/>
      <c r="P51" s="825"/>
    </row>
    <row r="52" spans="1:16" ht="31.2" customHeight="1">
      <c r="A52" s="453">
        <v>27</v>
      </c>
      <c r="B52" s="479" t="s">
        <v>760</v>
      </c>
      <c r="C52" s="516" t="s">
        <v>757</v>
      </c>
      <c r="D52" s="417">
        <f>'Changing with year'!C218</f>
        <v>7.1777952225314179</v>
      </c>
      <c r="E52" s="417">
        <f>'Changing with year'!AG218</f>
        <v>13.407945360424065</v>
      </c>
      <c r="F52" s="518">
        <f>'Changing with year'!AH218</f>
        <v>0</v>
      </c>
      <c r="G52" s="518">
        <f>'[1]Changing with year'!AI195</f>
        <v>-5.0000000000000001E-3</v>
      </c>
      <c r="H52" s="518">
        <f>'[1]Changing with year'!AI195</f>
        <v>-5.0000000000000001E-3</v>
      </c>
      <c r="I52" s="518">
        <f>'[1]Changing with year'!AJ195</f>
        <v>0.02</v>
      </c>
      <c r="J52" s="518">
        <f>'[1]Changing with year'!AJ195</f>
        <v>0.02</v>
      </c>
      <c r="K52" s="518">
        <f>'[1]Changing with year'!AK195</f>
        <v>0.03</v>
      </c>
      <c r="L52" s="643">
        <f>_xlfn.RRI(30,D52,E52)</f>
        <v>2.1046934041714094E-2</v>
      </c>
      <c r="M52" s="825"/>
      <c r="N52" s="825"/>
      <c r="O52" s="825"/>
      <c r="P52" s="825"/>
    </row>
    <row r="53" spans="1:16">
      <c r="A53" s="453">
        <v>28</v>
      </c>
      <c r="B53" s="479" t="s">
        <v>761</v>
      </c>
      <c r="C53" s="516" t="s">
        <v>11</v>
      </c>
      <c r="D53" s="417">
        <f>'Changing with year'!C235</f>
        <v>5.2182857142857149</v>
      </c>
      <c r="E53" s="417">
        <f>'Changing with year'!AG235</f>
        <v>3.5708409324694008</v>
      </c>
      <c r="F53" s="518">
        <f>'Changing with year'!AH235</f>
        <v>-2.5000000000000001E-2</v>
      </c>
      <c r="G53" s="518">
        <f>'[1]Changing with year'!AI212</f>
        <v>0.01</v>
      </c>
      <c r="H53" s="518">
        <f>'[1]Changing with year'!AI212</f>
        <v>0.01</v>
      </c>
      <c r="I53" s="518">
        <f>'[1]Changing with year'!AJ212</f>
        <v>0.01</v>
      </c>
      <c r="J53" s="518">
        <f>'[1]Changing with year'!AJ212</f>
        <v>0.01</v>
      </c>
      <c r="K53" s="518">
        <f>'[1]Changing with year'!AK212</f>
        <v>0.01</v>
      </c>
      <c r="L53" s="516"/>
      <c r="M53" s="825"/>
      <c r="N53" s="825"/>
      <c r="O53" s="825"/>
      <c r="P53" s="825"/>
    </row>
    <row r="54" spans="1:16" ht="31.2">
      <c r="A54" s="453">
        <v>29</v>
      </c>
      <c r="B54" s="479" t="s">
        <v>762</v>
      </c>
      <c r="C54" s="662" t="s">
        <v>11</v>
      </c>
      <c r="D54" s="520">
        <f>'Changing with year'!C257</f>
        <v>11.842142857142857</v>
      </c>
      <c r="E54" s="519">
        <f>'Changing with year'!AG257</f>
        <v>25.147136013622223</v>
      </c>
      <c r="F54" s="518">
        <f>'[1]Changing with year'!AH234</f>
        <v>4.4999999999999998E-2</v>
      </c>
      <c r="G54" s="518">
        <f>'[1]Changing with year'!AI234</f>
        <v>4.4999999999999998E-2</v>
      </c>
      <c r="H54" s="518">
        <f>'[1]Changing with year'!AI234</f>
        <v>4.4999999999999998E-2</v>
      </c>
      <c r="I54" s="518">
        <f>'[1]Changing with year'!AJ234</f>
        <v>4.4999999999999998E-2</v>
      </c>
      <c r="J54" s="518">
        <f>'[1]Changing with year'!AJ234</f>
        <v>4.4999999999999998E-2</v>
      </c>
      <c r="K54" s="518">
        <f>'[1]Changing with year'!AK234</f>
        <v>4.4999999999999998E-2</v>
      </c>
      <c r="L54" s="516"/>
      <c r="M54" s="825"/>
      <c r="N54" s="825"/>
      <c r="O54" s="825"/>
      <c r="P54" s="825"/>
    </row>
    <row r="55" spans="1:16" ht="31.2">
      <c r="A55" s="453">
        <v>30</v>
      </c>
      <c r="B55" s="479" t="s">
        <v>763</v>
      </c>
      <c r="C55" s="662" t="s">
        <v>11</v>
      </c>
      <c r="D55" s="520">
        <f>'Changing with year'!C268</f>
        <v>8.5</v>
      </c>
      <c r="E55" s="519">
        <f>'Changing with year'!AG268</f>
        <v>11.456715780329704</v>
      </c>
      <c r="F55" s="518">
        <f>'[1]Changing with year'!AH245</f>
        <v>4.4999999999999998E-2</v>
      </c>
      <c r="G55" s="518">
        <f>'[1]Changing with year'!AI245</f>
        <v>4.4999999999999998E-2</v>
      </c>
      <c r="H55" s="518">
        <f>'[1]Changing with year'!AI245</f>
        <v>4.4999999999999998E-2</v>
      </c>
      <c r="I55" s="518">
        <f>'[1]Changing with year'!AJ245</f>
        <v>4.4999999999999998E-2</v>
      </c>
      <c r="J55" s="518">
        <f>'[1]Changing with year'!AJ245</f>
        <v>4.4999999999999998E-2</v>
      </c>
      <c r="K55" s="518">
        <f>'[1]Changing with year'!AK245</f>
        <v>4.4999999999999998E-2</v>
      </c>
      <c r="L55" s="516"/>
      <c r="M55" s="825"/>
      <c r="N55" s="825"/>
      <c r="O55" s="825"/>
      <c r="P55" s="825"/>
    </row>
    <row r="57" spans="1:16" hidden="1">
      <c r="B57" s="853" t="s">
        <v>816</v>
      </c>
      <c r="C57" s="458" t="s">
        <v>307</v>
      </c>
      <c r="D57" s="608">
        <f>'B1 - TCO ML 19T'!C165</f>
        <v>33.521745325043042</v>
      </c>
      <c r="E57" s="608">
        <f>'B1 - TCO ML 19T'!AG165</f>
        <v>78.262656899619898</v>
      </c>
    </row>
    <row r="58" spans="1:16" hidden="1">
      <c r="B58" s="853"/>
      <c r="C58" s="458" t="s">
        <v>179</v>
      </c>
      <c r="D58" s="608">
        <f>'B1 - TCO ML 19T'!C166</f>
        <v>33.072847161282027</v>
      </c>
      <c r="E58" s="608">
        <f>'B1 - TCO ML 19T'!AG166</f>
        <v>86.495081696180407</v>
      </c>
    </row>
    <row r="59" spans="1:16" hidden="1">
      <c r="B59" s="853"/>
      <c r="C59" s="458" t="s">
        <v>180</v>
      </c>
      <c r="D59" s="608">
        <f>'B1 - TCO ML 19T'!C167</f>
        <v>33.134496966772872</v>
      </c>
      <c r="E59" s="608">
        <f>'B1 - TCO ML 19T'!AG167</f>
        <v>85.122287977255212</v>
      </c>
    </row>
    <row r="60" spans="1:16" hidden="1">
      <c r="B60" s="853"/>
      <c r="C60" s="458" t="s">
        <v>182</v>
      </c>
      <c r="D60" s="608">
        <f>'B1 - TCO ML 19T'!C168</f>
        <v>40.041670801625386</v>
      </c>
      <c r="E60" s="608">
        <f>'B1 - TCO ML 19T'!AG168</f>
        <v>57.817387735891536</v>
      </c>
      <c r="F60" s="458">
        <v>2037</v>
      </c>
      <c r="G60" s="458">
        <v>2043</v>
      </c>
    </row>
    <row r="61" spans="1:16" hidden="1">
      <c r="B61" s="853"/>
      <c r="C61" s="458" t="s">
        <v>327</v>
      </c>
      <c r="D61" s="608">
        <f>'B1 - TCO ML 19T'!C169</f>
        <v>66.706791998703494</v>
      </c>
      <c r="E61" s="608">
        <f>'B1 - TCO ML 19T'!AG169</f>
        <v>67.895606869747283</v>
      </c>
    </row>
    <row r="62" spans="1:16" hidden="1">
      <c r="B62" s="853"/>
      <c r="C62" s="458" t="s">
        <v>331</v>
      </c>
      <c r="D62" s="608">
        <f>'B1 - TCO ML 19T'!C170</f>
        <v>72.215837278901645</v>
      </c>
      <c r="E62" s="608">
        <f>'B1 - TCO ML 19T'!AG170</f>
        <v>69.073503468993977</v>
      </c>
    </row>
    <row r="63" spans="1:16" hidden="1">
      <c r="B63" s="853"/>
      <c r="C63" s="458" t="s">
        <v>334</v>
      </c>
      <c r="D63" s="608">
        <f>'B1 - TCO ML 19T'!C171</f>
        <v>30.169570792538739</v>
      </c>
      <c r="E63" s="608">
        <f>'B1 - TCO ML 19T'!AG171</f>
        <v>70.436391209657913</v>
      </c>
    </row>
    <row r="64" spans="1:16" hidden="1"/>
    <row r="65" spans="2:7" hidden="1">
      <c r="B65" s="853" t="s">
        <v>815</v>
      </c>
      <c r="C65" s="458" t="s">
        <v>307</v>
      </c>
      <c r="D65" s="608">
        <f>'B3 - TCO ML 48T '!C165</f>
        <v>61.165655464528228</v>
      </c>
      <c r="E65" s="608">
        <f>'B3 - TCO ML 48T '!AG165</f>
        <v>142.78594100484034</v>
      </c>
    </row>
    <row r="66" spans="2:7" hidden="1">
      <c r="B66" s="853"/>
      <c r="C66" s="458" t="s">
        <v>179</v>
      </c>
      <c r="D66" s="608">
        <f>'B3 - TCO ML 48T '!C166</f>
        <v>58.833206008639664</v>
      </c>
      <c r="E66" s="608">
        <f>'B3 - TCO ML 48T '!AG166</f>
        <v>153.30301675564368</v>
      </c>
    </row>
    <row r="67" spans="2:7" hidden="1">
      <c r="B67" s="853"/>
      <c r="C67" s="458" t="s">
        <v>180</v>
      </c>
      <c r="D67" s="608">
        <f>'B3 - TCO ML 48T '!C167</f>
        <v>58.969565501210852</v>
      </c>
      <c r="E67" s="608">
        <f>'B3 - TCO ML 48T '!AG167</f>
        <v>151.63267533543168</v>
      </c>
    </row>
    <row r="68" spans="2:7" hidden="1">
      <c r="B68" s="853"/>
      <c r="C68" s="458" t="s">
        <v>182</v>
      </c>
      <c r="D68" s="608">
        <f>'B3 - TCO ML 48T '!C168</f>
        <v>66.266420190547265</v>
      </c>
      <c r="E68" s="608">
        <f>'B3 - TCO ML 48T '!AG168</f>
        <v>101.27897059263022</v>
      </c>
      <c r="F68" s="458">
        <v>2034</v>
      </c>
      <c r="G68" s="458">
        <v>2038</v>
      </c>
    </row>
    <row r="69" spans="2:7" hidden="1">
      <c r="B69" s="853"/>
      <c r="C69" s="458" t="s">
        <v>327</v>
      </c>
      <c r="D69" s="608">
        <f>'B3 - TCO ML 48T '!C169</f>
        <v>117.92751840613673</v>
      </c>
      <c r="E69" s="608">
        <f>'B3 - TCO ML 48T '!AG169</f>
        <v>121.79400948439472</v>
      </c>
    </row>
    <row r="70" spans="2:7" hidden="1">
      <c r="B70" s="853"/>
      <c r="C70" s="458" t="s">
        <v>331</v>
      </c>
      <c r="D70" s="608">
        <f>'B3 - TCO ML 48T '!C170</f>
        <v>121.54816827428125</v>
      </c>
      <c r="E70" s="608">
        <f>'B3 - TCO ML 48T '!AG170</f>
        <v>121.65823980935129</v>
      </c>
    </row>
    <row r="71" spans="2:7" hidden="1">
      <c r="B71" s="853"/>
      <c r="C71" s="458" t="s">
        <v>334</v>
      </c>
      <c r="D71" s="608">
        <f>'B3 - TCO ML 48T '!C171</f>
        <v>55.04908991807541</v>
      </c>
      <c r="E71" s="608">
        <f>'B3 - TCO ML 48T '!AG171</f>
        <v>128.5073469043563</v>
      </c>
    </row>
    <row r="72" spans="2:7" hidden="1"/>
    <row r="73" spans="2:7" hidden="1">
      <c r="B73" s="853" t="s">
        <v>814</v>
      </c>
      <c r="C73" s="458" t="s">
        <v>307</v>
      </c>
      <c r="D73" s="608">
        <f>'B5 - TCO PL&amp;FMCG 28T '!C165</f>
        <v>41.090720490681278</v>
      </c>
      <c r="E73" s="608">
        <f>'B5 - TCO PL&amp;FMCG 28T '!AG165</f>
        <v>95.740370727566244</v>
      </c>
    </row>
    <row r="74" spans="2:7" hidden="1">
      <c r="B74" s="853"/>
      <c r="C74" s="458" t="s">
        <v>179</v>
      </c>
      <c r="D74" s="608">
        <f>'B5 - TCO PL&amp;FMCG 28T '!C166</f>
        <v>39.969474844632913</v>
      </c>
      <c r="E74" s="608">
        <f>'B5 - TCO PL&amp;FMCG 28T '!AG166</f>
        <v>103.66876805513888</v>
      </c>
    </row>
    <row r="75" spans="2:7" hidden="1">
      <c r="B75" s="853"/>
      <c r="C75" s="458" t="s">
        <v>180</v>
      </c>
      <c r="D75" s="608">
        <f>'B5 - TCO PL&amp;FMCG 28T '!C167</f>
        <v>40.206320768335701</v>
      </c>
      <c r="E75" s="608">
        <f>'B5 - TCO PL&amp;FMCG 28T '!AG167</f>
        <v>102.65036232854067</v>
      </c>
    </row>
    <row r="76" spans="2:7" hidden="1">
      <c r="B76" s="853"/>
      <c r="C76" s="458" t="s">
        <v>182</v>
      </c>
      <c r="D76" s="608">
        <f>'B5 - TCO PL&amp;FMCG 28T '!C168</f>
        <v>49.448019576254268</v>
      </c>
      <c r="E76" s="608">
        <f>'B5 - TCO PL&amp;FMCG 28T '!AG168</f>
        <v>72.442334162328009</v>
      </c>
      <c r="F76" s="458">
        <v>2038</v>
      </c>
      <c r="G76" s="458">
        <v>2044</v>
      </c>
    </row>
    <row r="77" spans="2:7" hidden="1">
      <c r="B77" s="853"/>
      <c r="C77" s="458" t="s">
        <v>327</v>
      </c>
      <c r="D77" s="608">
        <f>'B5 - TCO PL&amp;FMCG 28T '!C169</f>
        <v>79.06505989369461</v>
      </c>
      <c r="E77" s="608">
        <f>'B5 - TCO PL&amp;FMCG 28T '!AG169</f>
        <v>83.202618164878473</v>
      </c>
    </row>
    <row r="78" spans="2:7" hidden="1">
      <c r="B78" s="853"/>
      <c r="C78" s="458" t="s">
        <v>331</v>
      </c>
      <c r="D78" s="608">
        <f>'B5 - TCO PL&amp;FMCG 28T '!C170</f>
        <v>82.763932966534639</v>
      </c>
      <c r="E78" s="608">
        <f>'B5 - TCO PL&amp;FMCG 28T '!AG170</f>
        <v>83.315987053994107</v>
      </c>
    </row>
    <row r="79" spans="2:7" hidden="1">
      <c r="B79" s="853"/>
      <c r="C79" s="458" t="s">
        <v>334</v>
      </c>
      <c r="D79" s="608">
        <f>'B5 - TCO PL&amp;FMCG 28T '!C171</f>
        <v>36.981648441613153</v>
      </c>
      <c r="E79" s="608">
        <f>'B5 - TCO PL&amp;FMCG 28T '!AG171</f>
        <v>86.16633365480962</v>
      </c>
    </row>
    <row r="80" spans="2:7" hidden="1"/>
    <row r="81" spans="2:7" hidden="1">
      <c r="B81" s="853" t="s">
        <v>817</v>
      </c>
      <c r="C81" s="458" t="s">
        <v>307</v>
      </c>
      <c r="D81" s="608">
        <f>'B6 Perishables 15T'!C165</f>
        <v>29.688487806927938</v>
      </c>
      <c r="E81" s="608">
        <f>'B6 Perishables 15T'!AG165</f>
        <v>68.99842053181861</v>
      </c>
    </row>
    <row r="82" spans="2:7" hidden="1">
      <c r="B82" s="853"/>
      <c r="C82" s="458" t="s">
        <v>179</v>
      </c>
      <c r="D82" s="608">
        <f>'B6 Perishables 15T'!C166</f>
        <v>29.047288006328493</v>
      </c>
      <c r="E82" s="608">
        <f>'B6 Perishables 15T'!AG166</f>
        <v>75.517628653862559</v>
      </c>
    </row>
    <row r="83" spans="2:7" hidden="1">
      <c r="B83" s="853"/>
      <c r="C83" s="458" t="s">
        <v>180</v>
      </c>
      <c r="D83" s="608">
        <f>'B6 Perishables 15T'!C167</f>
        <v>29.334585328848547</v>
      </c>
      <c r="E83" s="608">
        <f>'B6 Perishables 15T'!AG167</f>
        <v>74.928354894589631</v>
      </c>
    </row>
    <row r="84" spans="2:7" hidden="1">
      <c r="B84" s="853"/>
      <c r="C84" s="458" t="s">
        <v>182</v>
      </c>
      <c r="D84" s="608">
        <f>'B6 Perishables 15T'!C168</f>
        <v>35.955395317786568</v>
      </c>
      <c r="E84" s="608">
        <f>'B6 Perishables 15T'!AG168</f>
        <v>51.913905669862842</v>
      </c>
      <c r="F84" s="458">
        <v>2038</v>
      </c>
      <c r="G84" s="458">
        <v>2044</v>
      </c>
    </row>
    <row r="85" spans="2:7" hidden="1">
      <c r="B85" s="853"/>
      <c r="C85" s="458" t="s">
        <v>327</v>
      </c>
      <c r="D85" s="608">
        <f>'B6 Perishables 15T'!C169</f>
        <v>58.383174568497076</v>
      </c>
      <c r="E85" s="608">
        <f>'B6 Perishables 15T'!AG169</f>
        <v>60.374348625833328</v>
      </c>
    </row>
    <row r="86" spans="2:7" hidden="1">
      <c r="B86" s="853"/>
      <c r="C86" s="458" t="s">
        <v>331</v>
      </c>
      <c r="D86" s="608">
        <f>'B6 Perishables 15T'!C170</f>
        <v>63.766812737521796</v>
      </c>
      <c r="E86" s="608">
        <f>'B6 Perishables 15T'!AG170</f>
        <v>61.374332083770895</v>
      </c>
    </row>
    <row r="87" spans="2:7" hidden="1">
      <c r="B87" s="853"/>
      <c r="C87" s="458" t="s">
        <v>334</v>
      </c>
      <c r="D87" s="608">
        <f>'B6 Perishables 15T'!C171</f>
        <v>26.719639026235146</v>
      </c>
      <c r="E87" s="608">
        <f>'B6 Perishables 15T'!AG171</f>
        <v>62.098578478636753</v>
      </c>
    </row>
    <row r="88" spans="2:7" hidden="1"/>
    <row r="89" spans="2:7" hidden="1">
      <c r="B89" s="853" t="s">
        <v>818</v>
      </c>
      <c r="C89" s="458" t="s">
        <v>307</v>
      </c>
      <c r="D89" s="608">
        <f>'B7 C&amp;M 28Tip'!C165</f>
        <v>61.604723384563741</v>
      </c>
      <c r="E89" s="608">
        <f>'B7 C&amp;M 28Tip'!AG165</f>
        <v>148.62267071053688</v>
      </c>
    </row>
    <row r="90" spans="2:7" hidden="1">
      <c r="B90" s="853"/>
      <c r="C90" s="458" t="s">
        <v>179</v>
      </c>
      <c r="D90" s="608">
        <f>'B7 C&amp;M 28Tip'!C166</f>
        <v>60.932520138878246</v>
      </c>
      <c r="E90" s="608">
        <f>'B7 C&amp;M 28Tip'!AG166</f>
        <v>162.45191154038756</v>
      </c>
    </row>
    <row r="91" spans="2:7" hidden="1">
      <c r="B91" s="853"/>
      <c r="C91" s="458" t="s">
        <v>180</v>
      </c>
      <c r="D91" s="608">
        <f>'B7 C&amp;M 28Tip'!C167</f>
        <v>61.463427649526928</v>
      </c>
      <c r="E91" s="608">
        <f>'B7 C&amp;M 28Tip'!AG167</f>
        <v>158.13178992497464</v>
      </c>
    </row>
    <row r="92" spans="2:7" hidden="1">
      <c r="B92" s="853"/>
      <c r="C92" s="458" t="s">
        <v>182</v>
      </c>
      <c r="D92" s="608">
        <f>'B7 C&amp;M 28Tip'!C168</f>
        <v>76.014743264316806</v>
      </c>
      <c r="E92" s="608">
        <f>'B7 C&amp;M 28Tip'!AG168</f>
        <v>118.28964655896924</v>
      </c>
      <c r="F92" s="458">
        <v>2038</v>
      </c>
      <c r="G92" s="458">
        <v>2045</v>
      </c>
    </row>
    <row r="93" spans="2:7" hidden="1">
      <c r="B93" s="853"/>
      <c r="C93" s="458" t="s">
        <v>327</v>
      </c>
      <c r="D93" s="608">
        <f>'B7 C&amp;M 28Tip'!C169</f>
        <v>107.72318918255017</v>
      </c>
      <c r="E93" s="608">
        <f>'B7 C&amp;M 28Tip'!AG169</f>
        <v>134.02574677036958</v>
      </c>
    </row>
    <row r="94" spans="2:7" hidden="1">
      <c r="B94" s="853"/>
      <c r="C94" s="458" t="s">
        <v>331</v>
      </c>
      <c r="D94" s="608">
        <f>'B7 C&amp;M 28Tip'!C170</f>
        <v>119.28231877726527</v>
      </c>
      <c r="E94" s="608">
        <f>'B7 C&amp;M 28Tip'!AG170</f>
        <v>133.32746868652063</v>
      </c>
    </row>
    <row r="95" spans="2:7" hidden="1">
      <c r="B95" s="853"/>
      <c r="C95" s="458" t="s">
        <v>334</v>
      </c>
      <c r="D95" s="608">
        <f>'B7 C&amp;M 28Tip'!C171</f>
        <v>55.444251046107368</v>
      </c>
      <c r="E95" s="608">
        <f>'B7 C&amp;M 28Tip'!AG171</f>
        <v>133.7604036394832</v>
      </c>
    </row>
    <row r="96" spans="2:7" hidden="1"/>
    <row r="97" spans="2:7" hidden="1">
      <c r="B97" s="853" t="s">
        <v>819</v>
      </c>
      <c r="C97" s="458" t="s">
        <v>307</v>
      </c>
      <c r="D97" s="608">
        <f>'B10 Cement 55 Tractor '!C165</f>
        <v>64.079056687579651</v>
      </c>
      <c r="E97" s="608">
        <f>'B10 Cement 55 Tractor '!AG165</f>
        <v>147.44098881524917</v>
      </c>
    </row>
    <row r="98" spans="2:7" hidden="1">
      <c r="B98" s="853"/>
      <c r="C98" s="458" t="s">
        <v>179</v>
      </c>
      <c r="D98" s="608">
        <f>'B10 Cement 55 Tractor '!C166</f>
        <v>61.125762955523953</v>
      </c>
      <c r="E98" s="608">
        <f>'B10 Cement 55 Tractor '!AG166</f>
        <v>158.23573607763336</v>
      </c>
    </row>
    <row r="99" spans="2:7" hidden="1">
      <c r="B99" s="853"/>
      <c r="C99" s="458" t="s">
        <v>180</v>
      </c>
      <c r="D99" s="608">
        <f>'B10 Cement 55 Tractor '!C167</f>
        <v>62.26334034340482</v>
      </c>
      <c r="E99" s="608">
        <f>'B10 Cement 55 Tractor '!AG167</f>
        <v>158.08116060672106</v>
      </c>
    </row>
    <row r="100" spans="2:7" hidden="1">
      <c r="B100" s="853"/>
      <c r="C100" s="458" t="s">
        <v>182</v>
      </c>
      <c r="D100" s="608">
        <f>'B10 Cement 55 Tractor '!C168</f>
        <v>65.158997992512312</v>
      </c>
      <c r="E100" s="608">
        <f>'B10 Cement 55 Tractor '!AG168</f>
        <v>99.453567036374494</v>
      </c>
      <c r="F100" s="458">
        <v>2031</v>
      </c>
      <c r="G100" s="458">
        <v>2036</v>
      </c>
    </row>
    <row r="101" spans="2:7" hidden="1">
      <c r="B101" s="853"/>
      <c r="C101" s="458" t="s">
        <v>327</v>
      </c>
      <c r="D101" s="608">
        <f>'B10 Cement 55 Tractor '!C169</f>
        <v>126.88133477707242</v>
      </c>
      <c r="E101" s="608">
        <f>'B10 Cement 55 Tractor '!AG169</f>
        <v>123.69490689541121</v>
      </c>
    </row>
    <row r="102" spans="2:7" hidden="1">
      <c r="B102" s="853"/>
      <c r="C102" s="458" t="s">
        <v>331</v>
      </c>
      <c r="D102" s="608">
        <f>'B10 Cement 55 Tractor '!C170</f>
        <v>128.43860040876376</v>
      </c>
      <c r="E102" s="608">
        <f>'B10 Cement 55 Tractor '!AG170</f>
        <v>123.32249297504754</v>
      </c>
    </row>
    <row r="103" spans="2:7" hidden="1">
      <c r="B103" s="853"/>
      <c r="C103" s="458" t="s">
        <v>334</v>
      </c>
      <c r="D103" s="608">
        <f>'B10 Cement 55 Tractor '!C171</f>
        <v>57.671151018821689</v>
      </c>
      <c r="E103" s="608">
        <f>'B10 Cement 55 Tractor '!AG171</f>
        <v>132.69688993372426</v>
      </c>
    </row>
    <row r="104" spans="2:7" hidden="1"/>
    <row r="105" spans="2:7" hidden="1">
      <c r="B105" s="853" t="s">
        <v>820</v>
      </c>
      <c r="C105" s="458" t="s">
        <v>307</v>
      </c>
      <c r="D105" s="608">
        <f>'B14 LPG Tankers 40T'!C165</f>
        <v>60.271456499917136</v>
      </c>
      <c r="E105" s="608">
        <f>'B14 LPG Tankers 40T'!AG165</f>
        <v>149.51969789399743</v>
      </c>
    </row>
    <row r="106" spans="2:7" hidden="1">
      <c r="B106" s="853"/>
      <c r="C106" s="458" t="s">
        <v>179</v>
      </c>
      <c r="D106" s="608">
        <f>'B14 LPG Tankers 40T'!C166</f>
        <v>59.411165147960737</v>
      </c>
      <c r="E106" s="608">
        <f>'B14 LPG Tankers 40T'!AG166</f>
        <v>160.77391694536524</v>
      </c>
    </row>
    <row r="107" spans="2:7" hidden="1">
      <c r="B107" s="853"/>
      <c r="C107" s="458" t="s">
        <v>180</v>
      </c>
      <c r="D107" s="608">
        <f>'B14 LPG Tankers 40T'!C167</f>
        <v>61.483761941235365</v>
      </c>
      <c r="E107" s="608">
        <f>'B14 LPG Tankers 40T'!AG167</f>
        <v>161.91998107977227</v>
      </c>
    </row>
    <row r="108" spans="2:7" hidden="1">
      <c r="B108" s="853"/>
      <c r="C108" s="458" t="s">
        <v>182</v>
      </c>
      <c r="D108" s="608">
        <f>'B14 LPG Tankers 40T'!C168</f>
        <v>78.760076234903067</v>
      </c>
      <c r="E108" s="608">
        <f>'B14 LPG Tankers 40T'!AG168</f>
        <v>123.44541824812573</v>
      </c>
      <c r="F108" s="458">
        <v>2040</v>
      </c>
      <c r="G108" s="458">
        <v>2046</v>
      </c>
    </row>
    <row r="109" spans="2:7" hidden="1">
      <c r="B109" s="853"/>
      <c r="C109" s="458" t="s">
        <v>327</v>
      </c>
      <c r="D109" s="608">
        <f>'B14 LPG Tankers 40T'!C169</f>
        <v>110.53570361638874</v>
      </c>
      <c r="E109" s="608">
        <f>'B14 LPG Tankers 40T'!AG169</f>
        <v>133.76536165362307</v>
      </c>
    </row>
    <row r="110" spans="2:7" hidden="1">
      <c r="B110" s="853"/>
      <c r="C110" s="458" t="s">
        <v>331</v>
      </c>
      <c r="D110" s="608">
        <f>'B14 LPG Tankers 40T'!C170</f>
        <v>124.82878625861187</v>
      </c>
      <c r="E110" s="608">
        <f>'B14 LPG Tankers 40T'!AG170</f>
        <v>140.97009536718826</v>
      </c>
    </row>
    <row r="111" spans="2:7" hidden="1">
      <c r="B111" s="853"/>
      <c r="C111" s="458" t="s">
        <v>334</v>
      </c>
      <c r="D111" s="608">
        <f>'B14 LPG Tankers 40T'!C171</f>
        <v>54.244310849925427</v>
      </c>
      <c r="E111" s="608">
        <f>'B14 LPG Tankers 40T'!AG171</f>
        <v>134.56772810459771</v>
      </c>
    </row>
  </sheetData>
  <mergeCells count="62">
    <mergeCell ref="B8:B11"/>
    <mergeCell ref="A8:A11"/>
    <mergeCell ref="B12:B15"/>
    <mergeCell ref="A12:A15"/>
    <mergeCell ref="B105:B111"/>
    <mergeCell ref="B57:B63"/>
    <mergeCell ref="B65:B71"/>
    <mergeCell ref="B73:B79"/>
    <mergeCell ref="B81:B87"/>
    <mergeCell ref="B89:B95"/>
    <mergeCell ref="B97:B103"/>
    <mergeCell ref="M55:P55"/>
    <mergeCell ref="F46:K46"/>
    <mergeCell ref="M46:P46"/>
    <mergeCell ref="M47:P47"/>
    <mergeCell ref="F48:K48"/>
    <mergeCell ref="M48:P48"/>
    <mergeCell ref="M49:P49"/>
    <mergeCell ref="M50:P50"/>
    <mergeCell ref="M51:P51"/>
    <mergeCell ref="M52:P52"/>
    <mergeCell ref="M53:P53"/>
    <mergeCell ref="M54:P54"/>
    <mergeCell ref="D45:F45"/>
    <mergeCell ref="M45:P45"/>
    <mergeCell ref="A31:A32"/>
    <mergeCell ref="B31:B32"/>
    <mergeCell ref="M31:P31"/>
    <mergeCell ref="M32:P32"/>
    <mergeCell ref="A33:A41"/>
    <mergeCell ref="B33:B41"/>
    <mergeCell ref="M33:P41"/>
    <mergeCell ref="M42:P42"/>
    <mergeCell ref="F43:K43"/>
    <mergeCell ref="M43:P43"/>
    <mergeCell ref="F44:K44"/>
    <mergeCell ref="M44:P44"/>
    <mergeCell ref="M19:P19"/>
    <mergeCell ref="M20:P20"/>
    <mergeCell ref="M21:P21"/>
    <mergeCell ref="M22:P22"/>
    <mergeCell ref="A23:A30"/>
    <mergeCell ref="B23:B30"/>
    <mergeCell ref="M23:P30"/>
    <mergeCell ref="M18:P18"/>
    <mergeCell ref="M2:P3"/>
    <mergeCell ref="F4:K4"/>
    <mergeCell ref="M4:P4"/>
    <mergeCell ref="M5:P5"/>
    <mergeCell ref="M6:P6"/>
    <mergeCell ref="F2:K2"/>
    <mergeCell ref="M7:P7"/>
    <mergeCell ref="M14:P14"/>
    <mergeCell ref="M16:P16"/>
    <mergeCell ref="M17:P17"/>
    <mergeCell ref="M9:P9"/>
    <mergeCell ref="L2:L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0264-B565-47E8-B35A-BF0CF3C4F103}">
  <sheetPr>
    <tabColor rgb="FFFFFF00"/>
  </sheetPr>
  <dimension ref="A1:AN60"/>
  <sheetViews>
    <sheetView zoomScale="110" zoomScaleNormal="110" workbookViewId="0">
      <pane xSplit="3" ySplit="5" topLeftCell="AB30" activePane="bottomRight" state="frozen"/>
      <selection activeCell="D18" sqref="D18"/>
      <selection pane="topRight" activeCell="D18" sqref="D18"/>
      <selection pane="bottomLeft" activeCell="D18" sqref="D18"/>
      <selection pane="bottomRight" activeCell="AG35" sqref="AG35"/>
    </sheetView>
  </sheetViews>
  <sheetFormatPr defaultColWidth="8.88671875" defaultRowHeight="15.6"/>
  <cols>
    <col min="1" max="1" width="5.109375" style="394" customWidth="1"/>
    <col min="2" max="2" width="17.6640625" style="478" customWidth="1"/>
    <col min="3" max="3" width="10.88671875" style="458" customWidth="1"/>
    <col min="4" max="8" width="9.5546875" style="458" hidden="1" customWidth="1"/>
    <col min="9" max="9" width="2" style="458" hidden="1" customWidth="1"/>
    <col min="10" max="14" width="9.44140625" style="458" hidden="1" customWidth="1"/>
    <col min="15" max="15" width="2" style="458" hidden="1" customWidth="1"/>
    <col min="16" max="20" width="9.44140625" style="458" hidden="1" customWidth="1"/>
    <col min="21" max="21" width="2" style="458" hidden="1" customWidth="1"/>
    <col min="22" max="26" width="9.44140625" style="458" hidden="1" customWidth="1"/>
    <col min="27" max="27" width="2" style="458" hidden="1" customWidth="1"/>
    <col min="28" max="33" width="9.44140625" style="458" customWidth="1"/>
    <col min="34" max="55" width="9.5546875" style="458" customWidth="1"/>
    <col min="56" max="16384" width="8.88671875" style="458"/>
  </cols>
  <sheetData>
    <row r="1" spans="1:40" ht="21">
      <c r="A1" s="860" t="s">
        <v>833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634"/>
      <c r="AE1" s="634"/>
      <c r="AF1" s="634"/>
      <c r="AG1" s="634"/>
    </row>
    <row r="2" spans="1:40">
      <c r="A2" s="822" t="s">
        <v>1</v>
      </c>
      <c r="B2" s="822" t="s">
        <v>446</v>
      </c>
      <c r="C2" s="822" t="s">
        <v>516</v>
      </c>
      <c r="D2" s="857" t="s">
        <v>822</v>
      </c>
      <c r="E2" s="858"/>
      <c r="F2" s="858"/>
      <c r="G2" s="858"/>
      <c r="H2" s="859"/>
      <c r="I2" s="635"/>
      <c r="J2" s="864" t="s">
        <v>821</v>
      </c>
      <c r="K2" s="865"/>
      <c r="L2" s="865"/>
      <c r="M2" s="865"/>
      <c r="N2" s="866"/>
      <c r="O2" s="805"/>
      <c r="P2" s="864" t="s">
        <v>897</v>
      </c>
      <c r="Q2" s="865"/>
      <c r="R2" s="865"/>
      <c r="S2" s="865"/>
      <c r="T2" s="866"/>
      <c r="U2" s="805"/>
      <c r="V2" s="864" t="s">
        <v>904</v>
      </c>
      <c r="W2" s="865"/>
      <c r="X2" s="865"/>
      <c r="Y2" s="865"/>
      <c r="Z2" s="866"/>
      <c r="AA2" s="805"/>
      <c r="AB2" s="861" t="s">
        <v>919</v>
      </c>
      <c r="AC2" s="862"/>
      <c r="AD2" s="862"/>
      <c r="AE2" s="862"/>
      <c r="AF2" s="863"/>
      <c r="AG2" s="629"/>
    </row>
    <row r="3" spans="1:40">
      <c r="A3" s="824"/>
      <c r="B3" s="824"/>
      <c r="C3" s="824"/>
      <c r="D3" s="857" t="s">
        <v>822</v>
      </c>
      <c r="E3" s="858"/>
      <c r="F3" s="858"/>
      <c r="G3" s="858"/>
      <c r="H3" s="859"/>
      <c r="I3" s="635"/>
      <c r="J3" s="864" t="s">
        <v>821</v>
      </c>
      <c r="K3" s="865"/>
      <c r="L3" s="865"/>
      <c r="M3" s="865"/>
      <c r="N3" s="866"/>
      <c r="O3" s="806"/>
      <c r="P3" s="864" t="s">
        <v>897</v>
      </c>
      <c r="Q3" s="865"/>
      <c r="R3" s="865"/>
      <c r="S3" s="865"/>
      <c r="T3" s="866"/>
      <c r="U3" s="806"/>
      <c r="V3" s="864" t="s">
        <v>904</v>
      </c>
      <c r="W3" s="865"/>
      <c r="X3" s="865"/>
      <c r="Y3" s="865"/>
      <c r="Z3" s="866"/>
      <c r="AA3" s="806"/>
      <c r="AB3" s="867">
        <v>2025</v>
      </c>
      <c r="AC3" s="867"/>
      <c r="AD3" s="867">
        <v>2055</v>
      </c>
      <c r="AE3" s="867"/>
      <c r="AF3" s="867"/>
      <c r="AG3" s="867"/>
    </row>
    <row r="4" spans="1:40" ht="18.3" customHeight="1">
      <c r="A4" s="824"/>
      <c r="B4" s="824"/>
      <c r="C4" s="824"/>
      <c r="D4" s="822" t="s">
        <v>824</v>
      </c>
      <c r="E4" s="822" t="s">
        <v>823</v>
      </c>
      <c r="F4" s="822" t="s">
        <v>825</v>
      </c>
      <c r="G4" s="822" t="s">
        <v>823</v>
      </c>
      <c r="H4" s="822" t="s">
        <v>834</v>
      </c>
      <c r="I4" s="636"/>
      <c r="J4" s="822" t="s">
        <v>824</v>
      </c>
      <c r="K4" s="822" t="s">
        <v>823</v>
      </c>
      <c r="L4" s="822" t="s">
        <v>825</v>
      </c>
      <c r="M4" s="822" t="s">
        <v>823</v>
      </c>
      <c r="N4" s="822" t="s">
        <v>834</v>
      </c>
      <c r="O4" s="806"/>
      <c r="P4" s="822" t="s">
        <v>824</v>
      </c>
      <c r="Q4" s="822" t="s">
        <v>823</v>
      </c>
      <c r="R4" s="822" t="s">
        <v>825</v>
      </c>
      <c r="S4" s="822" t="s">
        <v>823</v>
      </c>
      <c r="T4" s="822" t="s">
        <v>834</v>
      </c>
      <c r="U4" s="806"/>
      <c r="V4" s="822" t="s">
        <v>824</v>
      </c>
      <c r="W4" s="822" t="s">
        <v>823</v>
      </c>
      <c r="X4" s="822" t="s">
        <v>825</v>
      </c>
      <c r="Y4" s="822" t="s">
        <v>823</v>
      </c>
      <c r="Z4" s="822" t="s">
        <v>834</v>
      </c>
      <c r="AA4" s="806"/>
      <c r="AB4" s="822" t="s">
        <v>824</v>
      </c>
      <c r="AC4" s="822" t="s">
        <v>823</v>
      </c>
      <c r="AD4" s="822" t="s">
        <v>825</v>
      </c>
      <c r="AE4" s="822" t="s">
        <v>823</v>
      </c>
      <c r="AF4" s="822" t="s">
        <v>1070</v>
      </c>
      <c r="AG4" s="822" t="s">
        <v>1071</v>
      </c>
      <c r="AH4" s="614"/>
      <c r="AI4" s="614"/>
      <c r="AJ4" s="615"/>
      <c r="AK4" s="818" t="s">
        <v>734</v>
      </c>
      <c r="AL4" s="818"/>
      <c r="AM4" s="818"/>
      <c r="AN4" s="818"/>
    </row>
    <row r="5" spans="1:40" s="394" customFormat="1" ht="18.3" customHeight="1">
      <c r="A5" s="823"/>
      <c r="B5" s="823"/>
      <c r="C5" s="823"/>
      <c r="D5" s="823"/>
      <c r="E5" s="823"/>
      <c r="F5" s="823"/>
      <c r="G5" s="823"/>
      <c r="H5" s="823"/>
      <c r="I5" s="636"/>
      <c r="J5" s="823"/>
      <c r="K5" s="823"/>
      <c r="L5" s="823"/>
      <c r="M5" s="823"/>
      <c r="N5" s="823"/>
      <c r="O5" s="806"/>
      <c r="P5" s="823"/>
      <c r="Q5" s="823"/>
      <c r="R5" s="823"/>
      <c r="S5" s="823"/>
      <c r="T5" s="823"/>
      <c r="U5" s="806"/>
      <c r="V5" s="823"/>
      <c r="W5" s="823"/>
      <c r="X5" s="823"/>
      <c r="Y5" s="823"/>
      <c r="Z5" s="823"/>
      <c r="AA5" s="806"/>
      <c r="AB5" s="823"/>
      <c r="AC5" s="823"/>
      <c r="AD5" s="823"/>
      <c r="AE5" s="823"/>
      <c r="AF5" s="823"/>
      <c r="AG5" s="823"/>
    </row>
    <row r="6" spans="1:40">
      <c r="A6" s="820" t="s">
        <v>7</v>
      </c>
      <c r="B6" s="822" t="s">
        <v>826</v>
      </c>
      <c r="C6" s="611" t="s">
        <v>307</v>
      </c>
      <c r="D6" s="613">
        <f>'B1 - TCO ML 19T'!C165</f>
        <v>33.521745325043042</v>
      </c>
      <c r="E6" s="613">
        <f>D6-D$6</f>
        <v>0</v>
      </c>
      <c r="F6" s="613">
        <f>'B1 - TCO ML 19T'!AG165</f>
        <v>78.262656899619898</v>
      </c>
      <c r="G6" s="613">
        <f>F6-F$6</f>
        <v>0</v>
      </c>
      <c r="H6" s="616"/>
      <c r="I6" s="636"/>
      <c r="J6" s="617">
        <v>33.521745325043042</v>
      </c>
      <c r="K6" s="613">
        <f>J6-J$6</f>
        <v>0</v>
      </c>
      <c r="L6" s="613">
        <v>75.454311271019847</v>
      </c>
      <c r="M6" s="613">
        <f>L6-L$6</f>
        <v>0</v>
      </c>
      <c r="N6" s="613"/>
      <c r="O6" s="806"/>
      <c r="P6" s="617">
        <v>33.521745325043042</v>
      </c>
      <c r="Q6" s="613">
        <f t="shared" ref="Q6:Q11" si="0">P6-P$6</f>
        <v>0</v>
      </c>
      <c r="R6" s="613">
        <v>75.454311271019847</v>
      </c>
      <c r="S6" s="613">
        <f t="shared" ref="S6:S11" si="1">R6-R$6</f>
        <v>0</v>
      </c>
      <c r="T6" s="613"/>
      <c r="U6" s="806"/>
      <c r="V6" s="617">
        <v>33.521745325043042</v>
      </c>
      <c r="W6" s="613">
        <f t="shared" ref="W6:W11" si="2">V6-V$6</f>
        <v>0</v>
      </c>
      <c r="X6" s="613">
        <v>75.454311271019847</v>
      </c>
      <c r="Y6" s="613">
        <f t="shared" ref="Y6:Y11" si="3">X6-X$6</f>
        <v>0</v>
      </c>
      <c r="Z6" s="613"/>
      <c r="AA6" s="806"/>
      <c r="AB6" s="617">
        <f>'B1 - TCO ML 19T'!C165</f>
        <v>33.521745325043042</v>
      </c>
      <c r="AC6" s="613">
        <f t="shared" ref="AC6:AC11" si="4">AB6-AB$6</f>
        <v>0</v>
      </c>
      <c r="AD6" s="613">
        <f>'B1 - TCO ML 19T'!AG165</f>
        <v>78.262656899619898</v>
      </c>
      <c r="AE6" s="613">
        <f t="shared" ref="AE6:AE11" si="5">AD6-AD$6</f>
        <v>0</v>
      </c>
      <c r="AF6" s="613"/>
      <c r="AG6" s="613"/>
    </row>
    <row r="7" spans="1:40">
      <c r="A7" s="829"/>
      <c r="B7" s="824"/>
      <c r="C7" s="611" t="s">
        <v>179</v>
      </c>
      <c r="D7" s="613">
        <f>'B1 - TCO ML 19T'!C166</f>
        <v>33.072847161282027</v>
      </c>
      <c r="E7" s="613">
        <f>D7-D$6</f>
        <v>-0.44889816376101521</v>
      </c>
      <c r="F7" s="613">
        <f>'B1 - TCO ML 19T'!AG166</f>
        <v>86.495081696180407</v>
      </c>
      <c r="G7" s="613">
        <f>F7-F$6</f>
        <v>8.2324247965605082</v>
      </c>
      <c r="H7" s="616"/>
      <c r="I7" s="636"/>
      <c r="J7" s="617">
        <v>33.072847161282027</v>
      </c>
      <c r="K7" s="613">
        <f>J7-J$6</f>
        <v>-0.44889816376101521</v>
      </c>
      <c r="L7" s="613">
        <v>80.358532729561361</v>
      </c>
      <c r="M7" s="613">
        <f>L7-L$6</f>
        <v>4.9042214585415138</v>
      </c>
      <c r="N7" s="613"/>
      <c r="O7" s="806"/>
      <c r="P7" s="617">
        <v>33.072847161282027</v>
      </c>
      <c r="Q7" s="613">
        <f t="shared" si="0"/>
        <v>-0.44889816376101521</v>
      </c>
      <c r="R7" s="613">
        <v>80.358532729561361</v>
      </c>
      <c r="S7" s="613">
        <f t="shared" si="1"/>
        <v>4.9042214585415138</v>
      </c>
      <c r="T7" s="613"/>
      <c r="U7" s="806"/>
      <c r="V7" s="617">
        <v>33.072847161282027</v>
      </c>
      <c r="W7" s="613">
        <f t="shared" si="2"/>
        <v>-0.44889816376101521</v>
      </c>
      <c r="X7" s="613">
        <v>80.358532729561361</v>
      </c>
      <c r="Y7" s="613">
        <f t="shared" si="3"/>
        <v>4.9042214585415138</v>
      </c>
      <c r="Z7" s="613"/>
      <c r="AA7" s="806"/>
      <c r="AB7" s="617">
        <f>'B1 - TCO ML 19T'!C166</f>
        <v>33.072847161282027</v>
      </c>
      <c r="AC7" s="613">
        <f t="shared" si="4"/>
        <v>-0.44889816376101521</v>
      </c>
      <c r="AD7" s="613">
        <f>'B1 - TCO ML 19T'!AG166</f>
        <v>86.495081696180407</v>
      </c>
      <c r="AE7" s="613">
        <f t="shared" si="5"/>
        <v>8.2324247965605082</v>
      </c>
      <c r="AF7" s="613"/>
      <c r="AG7" s="613"/>
    </row>
    <row r="8" spans="1:40">
      <c r="A8" s="829"/>
      <c r="B8" s="824"/>
      <c r="C8" s="611" t="s">
        <v>180</v>
      </c>
      <c r="D8" s="613">
        <f>'B1 - TCO ML 19T'!C167</f>
        <v>33.134496966772872</v>
      </c>
      <c r="E8" s="613">
        <f>D8-D$6</f>
        <v>-0.38724835827017046</v>
      </c>
      <c r="F8" s="613">
        <f>'B1 - TCO ML 19T'!AG167</f>
        <v>85.122287977255212</v>
      </c>
      <c r="G8" s="613">
        <f>F8-F$6</f>
        <v>6.8596310776353135</v>
      </c>
      <c r="H8" s="616"/>
      <c r="I8" s="636"/>
      <c r="J8" s="617">
        <v>33.134496966772872</v>
      </c>
      <c r="K8" s="613">
        <f>J8-J$6</f>
        <v>-0.38724835827017046</v>
      </c>
      <c r="L8" s="613">
        <v>79.732377703100781</v>
      </c>
      <c r="M8" s="613">
        <f>L8-L$6</f>
        <v>4.2780664320809336</v>
      </c>
      <c r="N8" s="613"/>
      <c r="O8" s="806"/>
      <c r="P8" s="617">
        <v>33.134496966772872</v>
      </c>
      <c r="Q8" s="613">
        <f t="shared" si="0"/>
        <v>-0.38724835827017046</v>
      </c>
      <c r="R8" s="613">
        <v>79.732377703100781</v>
      </c>
      <c r="S8" s="613">
        <f t="shared" si="1"/>
        <v>4.2780664320809336</v>
      </c>
      <c r="T8" s="613"/>
      <c r="U8" s="806"/>
      <c r="V8" s="617">
        <v>33.134496966772872</v>
      </c>
      <c r="W8" s="613">
        <f t="shared" si="2"/>
        <v>-0.38724835827017046</v>
      </c>
      <c r="X8" s="613">
        <v>79.732377703100781</v>
      </c>
      <c r="Y8" s="613">
        <f t="shared" si="3"/>
        <v>4.2780664320809336</v>
      </c>
      <c r="Z8" s="613"/>
      <c r="AA8" s="806"/>
      <c r="AB8" s="617">
        <f>'B1 - TCO ML 19T'!C167</f>
        <v>33.134496966772872</v>
      </c>
      <c r="AC8" s="613">
        <f t="shared" si="4"/>
        <v>-0.38724835827017046</v>
      </c>
      <c r="AD8" s="613">
        <f>'B1 - TCO ML 19T'!AG167</f>
        <v>85.122287977255212</v>
      </c>
      <c r="AE8" s="613">
        <f t="shared" si="5"/>
        <v>6.8596310776353135</v>
      </c>
      <c r="AF8" s="613"/>
      <c r="AG8" s="613"/>
    </row>
    <row r="9" spans="1:40">
      <c r="A9" s="829"/>
      <c r="B9" s="824"/>
      <c r="C9" s="611" t="s">
        <v>182</v>
      </c>
      <c r="D9" s="613">
        <f>'B1 - TCO ML 19T'!C168</f>
        <v>40.041670801625386</v>
      </c>
      <c r="E9" s="613">
        <f t="shared" ref="E9:G11" si="6">D9-D$6</f>
        <v>6.519925476582344</v>
      </c>
      <c r="F9" s="613">
        <f>'B1 - TCO ML 19T'!AG168</f>
        <v>57.817387735891536</v>
      </c>
      <c r="G9" s="613">
        <f t="shared" si="6"/>
        <v>-20.445269163728362</v>
      </c>
      <c r="H9" s="616">
        <f t="shared" ref="H9:H11" si="7">F9-F$9</f>
        <v>0</v>
      </c>
      <c r="I9" s="636"/>
      <c r="J9" s="617">
        <v>45.808315396884879</v>
      </c>
      <c r="K9" s="613">
        <f t="shared" ref="K9:K11" si="8">J9-J$6</f>
        <v>12.286570071841837</v>
      </c>
      <c r="L9" s="613">
        <v>58.600350846020952</v>
      </c>
      <c r="M9" s="613">
        <f t="shared" ref="M9:M11" si="9">L9-L$6</f>
        <v>-16.853960424998895</v>
      </c>
      <c r="N9" s="613">
        <f t="shared" ref="N9:N11" si="10">L9-L$9</f>
        <v>0</v>
      </c>
      <c r="O9" s="806"/>
      <c r="P9" s="617">
        <v>45.808315396884879</v>
      </c>
      <c r="Q9" s="613">
        <f t="shared" si="0"/>
        <v>12.286570071841837</v>
      </c>
      <c r="R9" s="613">
        <v>58.600350846020952</v>
      </c>
      <c r="S9" s="613">
        <f t="shared" si="1"/>
        <v>-16.853960424998895</v>
      </c>
      <c r="T9" s="613">
        <f>R9-R$9</f>
        <v>0</v>
      </c>
      <c r="U9" s="806"/>
      <c r="V9" s="617">
        <v>45.808315396884879</v>
      </c>
      <c r="W9" s="613">
        <f t="shared" si="2"/>
        <v>12.286570071841837</v>
      </c>
      <c r="X9" s="613">
        <v>62.228801090420568</v>
      </c>
      <c r="Y9" s="613">
        <f t="shared" si="3"/>
        <v>-13.225510180599279</v>
      </c>
      <c r="Z9" s="613">
        <f>X9-X$9</f>
        <v>0</v>
      </c>
      <c r="AA9" s="806"/>
      <c r="AB9" s="617">
        <f>'B1 - TCO ML 19T'!C168</f>
        <v>40.041670801625386</v>
      </c>
      <c r="AC9" s="613">
        <f t="shared" si="4"/>
        <v>6.519925476582344</v>
      </c>
      <c r="AD9" s="613">
        <f>'B1 - TCO ML 19T'!AG168</f>
        <v>57.817387735891536</v>
      </c>
      <c r="AE9" s="613">
        <f t="shared" si="5"/>
        <v>-20.445269163728362</v>
      </c>
      <c r="AF9" s="613"/>
      <c r="AG9" s="613"/>
    </row>
    <row r="10" spans="1:40">
      <c r="A10" s="829"/>
      <c r="B10" s="824"/>
      <c r="C10" s="611" t="s">
        <v>327</v>
      </c>
      <c r="D10" s="613">
        <f>'B1 - TCO ML 19T'!C169</f>
        <v>66.706791998703494</v>
      </c>
      <c r="E10" s="613">
        <f t="shared" si="6"/>
        <v>33.185046673660452</v>
      </c>
      <c r="F10" s="613">
        <f>'B1 - TCO ML 19T'!AG169</f>
        <v>67.895606869747283</v>
      </c>
      <c r="G10" s="613">
        <f t="shared" si="6"/>
        <v>-10.367050029872615</v>
      </c>
      <c r="H10" s="616">
        <f t="shared" si="7"/>
        <v>10.078219133855747</v>
      </c>
      <c r="I10" s="636"/>
      <c r="J10" s="617">
        <v>70.136279178190676</v>
      </c>
      <c r="K10" s="613">
        <f t="shared" si="8"/>
        <v>36.614533853147634</v>
      </c>
      <c r="L10" s="613">
        <v>64.460772031034324</v>
      </c>
      <c r="M10" s="613">
        <f t="shared" si="9"/>
        <v>-10.993539239985523</v>
      </c>
      <c r="N10" s="613">
        <f t="shared" si="10"/>
        <v>5.8604211850133723</v>
      </c>
      <c r="O10" s="806"/>
      <c r="P10" s="617">
        <v>70.136279178190676</v>
      </c>
      <c r="Q10" s="613">
        <f t="shared" si="0"/>
        <v>36.614533853147634</v>
      </c>
      <c r="R10" s="613">
        <v>61.2678838161195</v>
      </c>
      <c r="S10" s="613">
        <f t="shared" si="1"/>
        <v>-14.186427454900347</v>
      </c>
      <c r="T10" s="613">
        <f>R10-R$9</f>
        <v>2.6675329700985486</v>
      </c>
      <c r="U10" s="806"/>
      <c r="V10" s="617">
        <v>70.136279178190676</v>
      </c>
      <c r="W10" s="613">
        <f t="shared" si="2"/>
        <v>36.614533853147634</v>
      </c>
      <c r="X10" s="613">
        <v>68.207775200388667</v>
      </c>
      <c r="Y10" s="613">
        <f t="shared" si="3"/>
        <v>-7.2465360706311799</v>
      </c>
      <c r="Z10" s="613">
        <f>X10-X$9</f>
        <v>5.9789741099680995</v>
      </c>
      <c r="AA10" s="806"/>
      <c r="AB10" s="617">
        <f>'B1 - TCO ML 19T'!C169</f>
        <v>66.706791998703494</v>
      </c>
      <c r="AC10" s="613">
        <f t="shared" si="4"/>
        <v>33.185046673660452</v>
      </c>
      <c r="AD10" s="613">
        <f>'B1 - TCO ML 19T'!AG169</f>
        <v>67.895606869747283</v>
      </c>
      <c r="AE10" s="613">
        <f t="shared" si="5"/>
        <v>-10.367050029872615</v>
      </c>
      <c r="AF10" s="613">
        <f>AD10-AD$9</f>
        <v>10.078219133855747</v>
      </c>
      <c r="AG10" s="756">
        <f>AF10/AD9</f>
        <v>0.17431121550999182</v>
      </c>
    </row>
    <row r="11" spans="1:40">
      <c r="A11" s="829"/>
      <c r="B11" s="824"/>
      <c r="C11" s="611" t="s">
        <v>331</v>
      </c>
      <c r="D11" s="613">
        <f>'B1 - TCO ML 19T'!C170</f>
        <v>72.215837278901645</v>
      </c>
      <c r="E11" s="613">
        <f t="shared" si="6"/>
        <v>38.694091953858603</v>
      </c>
      <c r="F11" s="613">
        <f>'B1 - TCO ML 19T'!AG170</f>
        <v>69.073503468993977</v>
      </c>
      <c r="G11" s="613">
        <f t="shared" si="6"/>
        <v>-9.1891534306259217</v>
      </c>
      <c r="H11" s="616">
        <f t="shared" si="7"/>
        <v>11.25611573310244</v>
      </c>
      <c r="I11" s="636"/>
      <c r="J11" s="617">
        <v>74.787952663517032</v>
      </c>
      <c r="K11" s="613">
        <f t="shared" si="8"/>
        <v>41.26620733847399</v>
      </c>
      <c r="L11" s="613">
        <v>66.497377339959257</v>
      </c>
      <c r="M11" s="613">
        <f t="shared" si="9"/>
        <v>-8.9569339310605898</v>
      </c>
      <c r="N11" s="613">
        <f t="shared" si="10"/>
        <v>7.8970264939383057</v>
      </c>
      <c r="O11" s="806"/>
      <c r="P11" s="617">
        <v>74.787952663517032</v>
      </c>
      <c r="Q11" s="613">
        <f t="shared" si="0"/>
        <v>41.26620733847399</v>
      </c>
      <c r="R11" s="613">
        <v>64.102711178773149</v>
      </c>
      <c r="S11" s="613">
        <f t="shared" si="1"/>
        <v>-11.351600092246699</v>
      </c>
      <c r="T11" s="613">
        <f>R11-R$9</f>
        <v>5.5023603327521968</v>
      </c>
      <c r="U11" s="806"/>
      <c r="V11" s="617">
        <v>74.787952663517032</v>
      </c>
      <c r="W11" s="613">
        <f t="shared" si="2"/>
        <v>41.26620733847399</v>
      </c>
      <c r="X11" s="613">
        <v>69.307629716975015</v>
      </c>
      <c r="Y11" s="613">
        <f t="shared" si="3"/>
        <v>-6.1466815540448323</v>
      </c>
      <c r="Z11" s="613">
        <f>X11-X$9</f>
        <v>7.0788286265544471</v>
      </c>
      <c r="AA11" s="806"/>
      <c r="AB11" s="617">
        <f>'B1 - TCO ML 19T'!C170</f>
        <v>72.215837278901645</v>
      </c>
      <c r="AC11" s="613">
        <f t="shared" si="4"/>
        <v>38.694091953858603</v>
      </c>
      <c r="AD11" s="613">
        <f>'B1 - TCO ML 19T'!AG170</f>
        <v>69.073503468993977</v>
      </c>
      <c r="AE11" s="613">
        <f t="shared" si="5"/>
        <v>-9.1891534306259217</v>
      </c>
      <c r="AF11" s="613">
        <f>AD11-AD$9</f>
        <v>11.25611573310244</v>
      </c>
      <c r="AG11" s="756">
        <f>AF11/AD9</f>
        <v>0.19468392076999591</v>
      </c>
    </row>
    <row r="12" spans="1:40">
      <c r="A12" s="821"/>
      <c r="B12" s="823"/>
      <c r="C12" s="611" t="s">
        <v>334</v>
      </c>
      <c r="D12" s="613">
        <f>'B1 - TCO ML 19T'!C171</f>
        <v>30.169570792538739</v>
      </c>
      <c r="E12" s="613"/>
      <c r="F12" s="613">
        <f>'B1 - TCO ML 19T'!AG171</f>
        <v>70.436391209657913</v>
      </c>
      <c r="G12" s="613"/>
      <c r="H12" s="616"/>
      <c r="I12" s="636"/>
      <c r="J12" s="617">
        <v>30.169570792538739</v>
      </c>
      <c r="K12" s="613"/>
      <c r="L12" s="613">
        <v>67.90888014391787</v>
      </c>
      <c r="M12" s="613"/>
      <c r="N12" s="613"/>
      <c r="O12" s="806"/>
      <c r="P12" s="617">
        <v>30.169570792538739</v>
      </c>
      <c r="Q12" s="613"/>
      <c r="R12" s="613">
        <v>67.90888014391787</v>
      </c>
      <c r="S12" s="613"/>
      <c r="T12" s="613"/>
      <c r="U12" s="806"/>
      <c r="V12" s="617">
        <v>30.169570792538739</v>
      </c>
      <c r="W12" s="613"/>
      <c r="X12" s="613">
        <v>67.90888014391787</v>
      </c>
      <c r="Y12" s="613"/>
      <c r="Z12" s="613"/>
      <c r="AA12" s="806"/>
      <c r="AB12" s="617">
        <f>'B1 - TCO ML 19T'!C171</f>
        <v>30.169570792538739</v>
      </c>
      <c r="AC12" s="613"/>
      <c r="AD12" s="613">
        <f>'B1 - TCO ML 19T'!AG171</f>
        <v>70.436391209657913</v>
      </c>
      <c r="AE12" s="613"/>
      <c r="AF12" s="613"/>
      <c r="AG12" s="613"/>
    </row>
    <row r="13" spans="1:40">
      <c r="A13" s="812"/>
      <c r="B13" s="813"/>
      <c r="C13" s="813"/>
      <c r="D13" s="813"/>
      <c r="E13" s="813"/>
      <c r="F13" s="813"/>
      <c r="G13" s="813"/>
      <c r="H13" s="814"/>
      <c r="I13" s="636"/>
      <c r="J13" s="854"/>
      <c r="K13" s="855"/>
      <c r="L13" s="855"/>
      <c r="M13" s="855"/>
      <c r="N13" s="856"/>
      <c r="O13" s="806"/>
      <c r="P13" s="854"/>
      <c r="Q13" s="855"/>
      <c r="R13" s="855"/>
      <c r="S13" s="855"/>
      <c r="T13" s="856"/>
      <c r="U13" s="806"/>
      <c r="V13" s="854"/>
      <c r="W13" s="855"/>
      <c r="X13" s="855"/>
      <c r="Y13" s="855"/>
      <c r="Z13" s="856"/>
      <c r="AA13" s="806"/>
      <c r="AB13" s="854"/>
      <c r="AC13" s="855"/>
      <c r="AD13" s="855"/>
      <c r="AE13" s="855"/>
      <c r="AF13" s="856"/>
      <c r="AG13" s="629"/>
    </row>
    <row r="14" spans="1:40">
      <c r="A14" s="820" t="s">
        <v>12</v>
      </c>
      <c r="B14" s="822" t="s">
        <v>827</v>
      </c>
      <c r="C14" s="611" t="s">
        <v>307</v>
      </c>
      <c r="D14" s="613">
        <v>61.165655464528228</v>
      </c>
      <c r="E14" s="613">
        <f t="shared" ref="E14:E19" si="11">D14-D$14</f>
        <v>0</v>
      </c>
      <c r="F14" s="613">
        <v>137.75028677424714</v>
      </c>
      <c r="G14" s="613">
        <f t="shared" ref="G14:G19" si="12">F14-F$14</f>
        <v>0</v>
      </c>
      <c r="H14" s="616"/>
      <c r="I14" s="636"/>
      <c r="J14" s="617">
        <v>61.165655464528228</v>
      </c>
      <c r="K14" s="613"/>
      <c r="L14" s="613">
        <v>137.75028677424714</v>
      </c>
      <c r="M14" s="613"/>
      <c r="N14" s="613"/>
      <c r="O14" s="806"/>
      <c r="P14" s="617">
        <v>61.165655464528228</v>
      </c>
      <c r="Q14" s="613"/>
      <c r="R14" s="617">
        <v>137.75028677424714</v>
      </c>
      <c r="S14" s="613"/>
      <c r="T14" s="613"/>
      <c r="U14" s="806"/>
      <c r="V14" s="617">
        <v>61.165655464528228</v>
      </c>
      <c r="W14" s="613"/>
      <c r="X14" s="617">
        <v>137.75028677424714</v>
      </c>
      <c r="Y14" s="613"/>
      <c r="Z14" s="613"/>
      <c r="AA14" s="806"/>
      <c r="AB14" s="617">
        <f>'B3 - TCO ML 48T '!C165</f>
        <v>61.165655464528228</v>
      </c>
      <c r="AC14" s="613"/>
      <c r="AD14" s="617">
        <f>'B3 - TCO ML 48T '!AG165</f>
        <v>142.78594100484034</v>
      </c>
      <c r="AE14" s="613"/>
      <c r="AF14" s="613"/>
      <c r="AG14" s="613"/>
    </row>
    <row r="15" spans="1:40">
      <c r="A15" s="829"/>
      <c r="B15" s="824"/>
      <c r="C15" s="611" t="s">
        <v>179</v>
      </c>
      <c r="D15" s="613">
        <v>58.833206008639664</v>
      </c>
      <c r="E15" s="613">
        <f t="shared" si="11"/>
        <v>-2.3324494558885647</v>
      </c>
      <c r="F15" s="613">
        <v>142.61354436217826</v>
      </c>
      <c r="G15" s="613">
        <f t="shared" si="12"/>
        <v>4.8632575879311162</v>
      </c>
      <c r="H15" s="616"/>
      <c r="I15" s="636"/>
      <c r="J15" s="617">
        <v>58.833206008639664</v>
      </c>
      <c r="K15" s="613">
        <f>J15-J$14</f>
        <v>-2.3324494558885647</v>
      </c>
      <c r="L15" s="613">
        <v>142.61354436217826</v>
      </c>
      <c r="M15" s="613">
        <f>L15-L$14</f>
        <v>4.8632575879311162</v>
      </c>
      <c r="N15" s="613"/>
      <c r="O15" s="806"/>
      <c r="P15" s="617">
        <v>58.833206008639664</v>
      </c>
      <c r="Q15" s="613">
        <f>P15-P$14</f>
        <v>-2.3324494558885647</v>
      </c>
      <c r="R15" s="617">
        <v>142.61354436217826</v>
      </c>
      <c r="S15" s="613">
        <f>R15-R$14</f>
        <v>4.8632575879311162</v>
      </c>
      <c r="T15" s="613"/>
      <c r="U15" s="806"/>
      <c r="V15" s="617">
        <v>58.833206008639664</v>
      </c>
      <c r="W15" s="613">
        <f>V15-V$14</f>
        <v>-2.3324494558885647</v>
      </c>
      <c r="X15" s="617">
        <v>142.61354436217826</v>
      </c>
      <c r="Y15" s="613">
        <f>X15-X$14</f>
        <v>4.8632575879311162</v>
      </c>
      <c r="Z15" s="613"/>
      <c r="AA15" s="806"/>
      <c r="AB15" s="617">
        <f>'B3 - TCO ML 48T '!C166</f>
        <v>58.833206008639664</v>
      </c>
      <c r="AC15" s="613">
        <f>AB15-AB$14</f>
        <v>-2.3324494558885647</v>
      </c>
      <c r="AD15" s="617">
        <f>'B3 - TCO ML 48T '!AG166</f>
        <v>153.30301675564368</v>
      </c>
      <c r="AE15" s="613">
        <f>AD15-AD$14</f>
        <v>10.517075750803343</v>
      </c>
      <c r="AF15" s="613"/>
      <c r="AG15" s="613"/>
    </row>
    <row r="16" spans="1:40">
      <c r="A16" s="829"/>
      <c r="B16" s="824"/>
      <c r="C16" s="611" t="s">
        <v>180</v>
      </c>
      <c r="D16" s="613">
        <v>58.969565501210852</v>
      </c>
      <c r="E16" s="613">
        <f t="shared" si="11"/>
        <v>-2.1960899633173767</v>
      </c>
      <c r="F16" s="613">
        <v>142.11050051775888</v>
      </c>
      <c r="G16" s="613">
        <f t="shared" si="12"/>
        <v>4.3602137435117356</v>
      </c>
      <c r="H16" s="616"/>
      <c r="I16" s="636"/>
      <c r="J16" s="617">
        <v>58.969565501210852</v>
      </c>
      <c r="K16" s="613">
        <f>J16-J$14</f>
        <v>-2.1960899633173767</v>
      </c>
      <c r="L16" s="613">
        <v>142.11050051775888</v>
      </c>
      <c r="M16" s="613">
        <f>L16-L$14</f>
        <v>4.3602137435117356</v>
      </c>
      <c r="N16" s="613"/>
      <c r="O16" s="806"/>
      <c r="P16" s="617">
        <v>58.969565501210852</v>
      </c>
      <c r="Q16" s="613">
        <f>P16-P$14</f>
        <v>-2.1960899633173767</v>
      </c>
      <c r="R16" s="617">
        <v>142.11050051775888</v>
      </c>
      <c r="S16" s="613">
        <f>R16-R$14</f>
        <v>4.3602137435117356</v>
      </c>
      <c r="T16" s="613"/>
      <c r="U16" s="806"/>
      <c r="V16" s="617">
        <v>58.969565501210852</v>
      </c>
      <c r="W16" s="613">
        <f>V16-V$14</f>
        <v>-2.1960899633173767</v>
      </c>
      <c r="X16" s="617">
        <v>142.11050051775888</v>
      </c>
      <c r="Y16" s="613">
        <f>X16-X$14</f>
        <v>4.3602137435117356</v>
      </c>
      <c r="Z16" s="613"/>
      <c r="AA16" s="806"/>
      <c r="AB16" s="617">
        <f>'B3 - TCO ML 48T '!C167</f>
        <v>58.969565501210852</v>
      </c>
      <c r="AC16" s="613">
        <f>AB16-AB$14</f>
        <v>-2.1960899633173767</v>
      </c>
      <c r="AD16" s="617">
        <f>'B3 - TCO ML 48T '!AG167</f>
        <v>151.63267533543168</v>
      </c>
      <c r="AE16" s="613">
        <f>AD16-AD$14</f>
        <v>8.846734330591346</v>
      </c>
      <c r="AF16" s="613"/>
      <c r="AG16" s="613"/>
    </row>
    <row r="17" spans="1:33">
      <c r="A17" s="829"/>
      <c r="B17" s="824"/>
      <c r="C17" s="611" t="s">
        <v>182</v>
      </c>
      <c r="D17" s="613">
        <v>74.461125668021268</v>
      </c>
      <c r="E17" s="613">
        <f t="shared" si="11"/>
        <v>13.295470203493039</v>
      </c>
      <c r="F17" s="613">
        <v>102.39160238070885</v>
      </c>
      <c r="G17" s="613">
        <f t="shared" si="12"/>
        <v>-35.358684393538297</v>
      </c>
      <c r="H17" s="616">
        <f>F17-F$17</f>
        <v>0</v>
      </c>
      <c r="I17" s="636"/>
      <c r="J17" s="617">
        <v>74.461125668021268</v>
      </c>
      <c r="K17" s="613">
        <f>J17-J$14</f>
        <v>13.295470203493039</v>
      </c>
      <c r="L17" s="613">
        <v>102.39160238070885</v>
      </c>
      <c r="M17" s="613">
        <f>L17-L$14</f>
        <v>-35.358684393538297</v>
      </c>
      <c r="N17" s="613">
        <f>L17-L$17</f>
        <v>0</v>
      </c>
      <c r="O17" s="806"/>
      <c r="P17" s="617">
        <v>74.461125668021268</v>
      </c>
      <c r="Q17" s="613">
        <f>P17-P$14</f>
        <v>13.295470203493039</v>
      </c>
      <c r="R17" s="617">
        <v>102.39160238070885</v>
      </c>
      <c r="S17" s="613">
        <f>R17-R$14</f>
        <v>-35.358684393538297</v>
      </c>
      <c r="T17" s="613">
        <f>R17-R$17</f>
        <v>0</v>
      </c>
      <c r="U17" s="806"/>
      <c r="V17" s="617">
        <v>74.461125668021268</v>
      </c>
      <c r="W17" s="613">
        <f>V17-V$14</f>
        <v>13.295470203493039</v>
      </c>
      <c r="X17" s="617">
        <v>107.54782114906619</v>
      </c>
      <c r="Y17" s="613">
        <f>X17-X$14</f>
        <v>-30.202465625180949</v>
      </c>
      <c r="Z17" s="613">
        <f>X17-X$17</f>
        <v>0</v>
      </c>
      <c r="AA17" s="806"/>
      <c r="AB17" s="617">
        <f>'B3 - TCO ML 48T '!C168</f>
        <v>66.266420190547265</v>
      </c>
      <c r="AC17" s="613">
        <f>AB17-AB$14</f>
        <v>5.1007647260190367</v>
      </c>
      <c r="AD17" s="617">
        <f>'B3 - TCO ML 48T '!AG168</f>
        <v>101.27897059263022</v>
      </c>
      <c r="AE17" s="613">
        <f>AD17-AD$14</f>
        <v>-41.506970412210123</v>
      </c>
      <c r="AF17" s="613"/>
      <c r="AG17" s="613"/>
    </row>
    <row r="18" spans="1:33">
      <c r="A18" s="829"/>
      <c r="B18" s="824"/>
      <c r="C18" s="611" t="s">
        <v>327</v>
      </c>
      <c r="D18" s="613">
        <v>124.07694369349305</v>
      </c>
      <c r="E18" s="613">
        <f t="shared" si="11"/>
        <v>62.911288228964821</v>
      </c>
      <c r="F18" s="613">
        <v>131.67055346110814</v>
      </c>
      <c r="G18" s="613">
        <f t="shared" si="12"/>
        <v>-6.0797333131390019</v>
      </c>
      <c r="H18" s="616">
        <f t="shared" ref="H18:H19" si="13">F18-F$17</f>
        <v>29.278951080399295</v>
      </c>
      <c r="I18" s="636"/>
      <c r="J18" s="617">
        <v>124.07694369349305</v>
      </c>
      <c r="K18" s="613">
        <f>J18-J$14</f>
        <v>62.911288228964821</v>
      </c>
      <c r="L18" s="613">
        <v>115.63499529084045</v>
      </c>
      <c r="M18" s="613">
        <f>L18-L$14</f>
        <v>-22.115291483406693</v>
      </c>
      <c r="N18" s="613">
        <f t="shared" ref="N18:N19" si="14">L18-L$17</f>
        <v>13.243392910131604</v>
      </c>
      <c r="O18" s="806"/>
      <c r="P18" s="617">
        <v>124.07694369349305</v>
      </c>
      <c r="Q18" s="613">
        <f>P18-P$14</f>
        <v>62.911288228964821</v>
      </c>
      <c r="R18" s="617">
        <v>109.90981642271733</v>
      </c>
      <c r="S18" s="613">
        <f>R18-R$14</f>
        <v>-27.840470351529817</v>
      </c>
      <c r="T18" s="613">
        <f>R18-R$17</f>
        <v>7.5182140420084806</v>
      </c>
      <c r="U18" s="806"/>
      <c r="V18" s="617">
        <v>124.07694369349305</v>
      </c>
      <c r="W18" s="613">
        <f>V18-V$14</f>
        <v>62.911288228964821</v>
      </c>
      <c r="X18" s="617">
        <v>122.35375959451029</v>
      </c>
      <c r="Y18" s="613">
        <f>X18-X$14</f>
        <v>-15.39652717973685</v>
      </c>
      <c r="Z18" s="613">
        <f>X18-X$17</f>
        <v>14.805938445444099</v>
      </c>
      <c r="AA18" s="806"/>
      <c r="AB18" s="617">
        <f>'B3 - TCO ML 48T '!C169</f>
        <v>117.92751840613673</v>
      </c>
      <c r="AC18" s="613">
        <f>AB18-AB$14</f>
        <v>56.761862941608499</v>
      </c>
      <c r="AD18" s="617">
        <f>'B3 - TCO ML 48T '!AG169</f>
        <v>121.79400948439472</v>
      </c>
      <c r="AE18" s="613">
        <f>AD18-AD$14</f>
        <v>-20.991931520445618</v>
      </c>
      <c r="AF18" s="613">
        <f>AD18-AD$17</f>
        <v>20.515038891764505</v>
      </c>
      <c r="AG18" s="756">
        <f>AF18/AD17</f>
        <v>0.20255970979682653</v>
      </c>
    </row>
    <row r="19" spans="1:33">
      <c r="A19" s="829"/>
      <c r="B19" s="824"/>
      <c r="C19" s="611" t="s">
        <v>331</v>
      </c>
      <c r="D19" s="613">
        <v>126.16023723979849</v>
      </c>
      <c r="E19" s="613">
        <f t="shared" si="11"/>
        <v>64.994581775270262</v>
      </c>
      <c r="F19" s="613">
        <v>129.06564779188636</v>
      </c>
      <c r="G19" s="613">
        <f t="shared" si="12"/>
        <v>-8.6846389823607808</v>
      </c>
      <c r="H19" s="616">
        <f t="shared" si="13"/>
        <v>26.674045411177516</v>
      </c>
      <c r="I19" s="636"/>
      <c r="J19" s="617">
        <v>126.16023723979849</v>
      </c>
      <c r="K19" s="613">
        <f>J19-J$14</f>
        <v>64.994581775270262</v>
      </c>
      <c r="L19" s="613">
        <v>117.03897916418558</v>
      </c>
      <c r="M19" s="613">
        <f>L19-L$14</f>
        <v>-20.711307610061567</v>
      </c>
      <c r="N19" s="613">
        <f t="shared" si="14"/>
        <v>14.64737678347673</v>
      </c>
      <c r="O19" s="806"/>
      <c r="P19" s="617">
        <v>126.16023723979849</v>
      </c>
      <c r="Q19" s="613">
        <f>P19-P$14</f>
        <v>64.994581775270262</v>
      </c>
      <c r="R19" s="617">
        <v>112.74509501309325</v>
      </c>
      <c r="S19" s="613">
        <f>R19-R$14</f>
        <v>-25.005191761153895</v>
      </c>
      <c r="T19" s="613">
        <f>R19-R$17</f>
        <v>10.353492632384402</v>
      </c>
      <c r="U19" s="806"/>
      <c r="V19" s="617">
        <v>126.16023723979849</v>
      </c>
      <c r="W19" s="613">
        <f>V19-V$14</f>
        <v>64.994581775270262</v>
      </c>
      <c r="X19" s="617">
        <v>122.07805239193797</v>
      </c>
      <c r="Y19" s="613">
        <f>X19-X$14</f>
        <v>-15.672234382309171</v>
      </c>
      <c r="Z19" s="613">
        <f>X19-X$17</f>
        <v>14.530231242871778</v>
      </c>
      <c r="AA19" s="806"/>
      <c r="AB19" s="617">
        <f>'B3 - TCO ML 48T '!C170</f>
        <v>121.54816827428125</v>
      </c>
      <c r="AC19" s="613">
        <f>AB19-AB$14</f>
        <v>60.382512809753024</v>
      </c>
      <c r="AD19" s="617">
        <f>'B3 - TCO ML 48T '!AG170</f>
        <v>121.65823980935129</v>
      </c>
      <c r="AE19" s="613">
        <f>AD19-AD$14</f>
        <v>-21.127701195489053</v>
      </c>
      <c r="AF19" s="613">
        <f>AD19-AD$17</f>
        <v>20.37926921672107</v>
      </c>
      <c r="AG19" s="756">
        <f>AF19/AD17</f>
        <v>0.20121915830574222</v>
      </c>
    </row>
    <row r="20" spans="1:33">
      <c r="A20" s="821"/>
      <c r="B20" s="823"/>
      <c r="C20" s="611" t="s">
        <v>334</v>
      </c>
      <c r="D20" s="613">
        <v>55.04908991807541</v>
      </c>
      <c r="E20" s="613"/>
      <c r="F20" s="613">
        <v>123.97525809682243</v>
      </c>
      <c r="G20" s="613"/>
      <c r="H20" s="616"/>
      <c r="I20" s="636"/>
      <c r="J20" s="617">
        <v>55.04908991807541</v>
      </c>
      <c r="K20" s="613"/>
      <c r="L20" s="613">
        <v>123.97525809682243</v>
      </c>
      <c r="M20" s="613"/>
      <c r="N20" s="613"/>
      <c r="O20" s="806"/>
      <c r="P20" s="617">
        <v>55.04908991807541</v>
      </c>
      <c r="Q20" s="613"/>
      <c r="R20" s="617">
        <v>123.97525809682243</v>
      </c>
      <c r="S20" s="613"/>
      <c r="T20" s="613"/>
      <c r="U20" s="806"/>
      <c r="V20" s="617">
        <v>55.04908991807541</v>
      </c>
      <c r="W20" s="613"/>
      <c r="X20" s="617">
        <v>123.97525809682243</v>
      </c>
      <c r="Y20" s="613"/>
      <c r="Z20" s="613"/>
      <c r="AA20" s="806"/>
      <c r="AB20" s="617">
        <f>'B3 - TCO ML 48T '!C171</f>
        <v>55.04908991807541</v>
      </c>
      <c r="AC20" s="613"/>
      <c r="AD20" s="617">
        <f>'B3 - TCO ML 48T '!AG171</f>
        <v>128.5073469043563</v>
      </c>
      <c r="AE20" s="613"/>
      <c r="AF20" s="613"/>
      <c r="AG20" s="613"/>
    </row>
    <row r="21" spans="1:33">
      <c r="A21" s="812"/>
      <c r="B21" s="813"/>
      <c r="C21" s="813"/>
      <c r="D21" s="813"/>
      <c r="E21" s="813"/>
      <c r="F21" s="813"/>
      <c r="G21" s="813"/>
      <c r="H21" s="814"/>
      <c r="I21" s="636"/>
      <c r="J21" s="854"/>
      <c r="K21" s="855"/>
      <c r="L21" s="855"/>
      <c r="M21" s="855"/>
      <c r="N21" s="856"/>
      <c r="O21" s="806"/>
      <c r="P21" s="854"/>
      <c r="Q21" s="855"/>
      <c r="R21" s="855"/>
      <c r="S21" s="855"/>
      <c r="T21" s="856"/>
      <c r="U21" s="806"/>
      <c r="V21" s="854"/>
      <c r="W21" s="855"/>
      <c r="X21" s="855"/>
      <c r="Y21" s="855"/>
      <c r="Z21" s="856"/>
      <c r="AA21" s="806"/>
      <c r="AB21" s="854"/>
      <c r="AC21" s="855"/>
      <c r="AD21" s="855"/>
      <c r="AE21" s="855"/>
      <c r="AF21" s="856"/>
      <c r="AG21" s="629"/>
    </row>
    <row r="22" spans="1:33">
      <c r="A22" s="820" t="s">
        <v>16</v>
      </c>
      <c r="B22" s="822" t="s">
        <v>828</v>
      </c>
      <c r="C22" s="516" t="s">
        <v>307</v>
      </c>
      <c r="D22" s="613">
        <v>41.090720490681278</v>
      </c>
      <c r="E22" s="613"/>
      <c r="F22" s="613">
        <v>92.495171334517309</v>
      </c>
      <c r="G22" s="613"/>
      <c r="H22" s="616"/>
      <c r="I22" s="636"/>
      <c r="J22" s="617">
        <v>41.090720490681278</v>
      </c>
      <c r="K22" s="613"/>
      <c r="L22" s="613">
        <v>92.495171334517309</v>
      </c>
      <c r="M22" s="613"/>
      <c r="N22" s="613"/>
      <c r="O22" s="806"/>
      <c r="P22" s="617">
        <v>41.090720490681278</v>
      </c>
      <c r="Q22" s="613"/>
      <c r="R22" s="617">
        <v>92.495171334517309</v>
      </c>
      <c r="S22" s="613"/>
      <c r="T22" s="613"/>
      <c r="U22" s="806"/>
      <c r="V22" s="617">
        <v>41.090720490681278</v>
      </c>
      <c r="W22" s="613"/>
      <c r="X22" s="617">
        <v>92.495171334517309</v>
      </c>
      <c r="Y22" s="613"/>
      <c r="Z22" s="613"/>
      <c r="AA22" s="806"/>
      <c r="AB22" s="617">
        <f>'B5 - TCO PL&amp;FMCG 28T '!C165</f>
        <v>41.090720490681278</v>
      </c>
      <c r="AC22" s="613"/>
      <c r="AD22" s="617">
        <f>'B5 - TCO PL&amp;FMCG 28T '!AG165</f>
        <v>95.740370727566244</v>
      </c>
      <c r="AE22" s="613"/>
      <c r="AF22" s="613"/>
      <c r="AG22" s="613"/>
    </row>
    <row r="23" spans="1:33">
      <c r="A23" s="829"/>
      <c r="B23" s="824"/>
      <c r="C23" s="516" t="s">
        <v>179</v>
      </c>
      <c r="D23" s="613">
        <v>39.969474844632913</v>
      </c>
      <c r="E23" s="613">
        <f>D23-D$22</f>
        <v>-1.1212456460483651</v>
      </c>
      <c r="F23" s="613">
        <v>96.765150467692479</v>
      </c>
      <c r="G23" s="613">
        <f>F23-F$22</f>
        <v>4.2699791331751697</v>
      </c>
      <c r="H23" s="616"/>
      <c r="I23" s="636"/>
      <c r="J23" s="617">
        <v>39.969474844632913</v>
      </c>
      <c r="K23" s="613">
        <f>J23-J$22</f>
        <v>-1.1212456460483651</v>
      </c>
      <c r="L23" s="613">
        <v>96.765150467692479</v>
      </c>
      <c r="M23" s="613">
        <f>L23-L$22</f>
        <v>4.2699791331751697</v>
      </c>
      <c r="N23" s="613"/>
      <c r="O23" s="806"/>
      <c r="P23" s="617">
        <v>39.969474844632913</v>
      </c>
      <c r="Q23" s="613">
        <f>P23-P$22</f>
        <v>-1.1212456460483651</v>
      </c>
      <c r="R23" s="617">
        <v>96.765150467692479</v>
      </c>
      <c r="S23" s="613">
        <f>R23-R$22</f>
        <v>4.2699791331751697</v>
      </c>
      <c r="T23" s="613"/>
      <c r="U23" s="806"/>
      <c r="V23" s="617">
        <v>39.969474844632913</v>
      </c>
      <c r="W23" s="613">
        <f>V23-V$22</f>
        <v>-1.1212456460483651</v>
      </c>
      <c r="X23" s="617">
        <v>96.765150467692479</v>
      </c>
      <c r="Y23" s="613">
        <f>X23-X$22</f>
        <v>4.2699791331751697</v>
      </c>
      <c r="Z23" s="613"/>
      <c r="AA23" s="806"/>
      <c r="AB23" s="617">
        <f>'B5 - TCO PL&amp;FMCG 28T '!C166</f>
        <v>39.969474844632913</v>
      </c>
      <c r="AC23" s="613">
        <f>AB23-AB$22</f>
        <v>-1.1212456460483651</v>
      </c>
      <c r="AD23" s="617">
        <f>'B5 - TCO PL&amp;FMCG 28T '!AG166</f>
        <v>103.66876805513888</v>
      </c>
      <c r="AE23" s="613">
        <f>AD23-AD$22</f>
        <v>7.9283973275726396</v>
      </c>
      <c r="AF23" s="613"/>
      <c r="AG23" s="613"/>
    </row>
    <row r="24" spans="1:33">
      <c r="A24" s="829"/>
      <c r="B24" s="824"/>
      <c r="C24" s="516" t="s">
        <v>180</v>
      </c>
      <c r="D24" s="613">
        <v>40.206320768335701</v>
      </c>
      <c r="E24" s="613">
        <f>D24-D$22</f>
        <v>-0.88439972234557729</v>
      </c>
      <c r="F24" s="613">
        <v>96.507023736493693</v>
      </c>
      <c r="G24" s="613">
        <f>F24-F$22</f>
        <v>4.0118524019763839</v>
      </c>
      <c r="H24" s="616"/>
      <c r="I24" s="636"/>
      <c r="J24" s="617">
        <v>40.206320768335701</v>
      </c>
      <c r="K24" s="613">
        <f>J24-J$22</f>
        <v>-0.88439972234557729</v>
      </c>
      <c r="L24" s="613">
        <v>96.507023736493693</v>
      </c>
      <c r="M24" s="613">
        <f>L24-L$22</f>
        <v>4.0118524019763839</v>
      </c>
      <c r="N24" s="613"/>
      <c r="O24" s="806"/>
      <c r="P24" s="617">
        <v>40.206320768335701</v>
      </c>
      <c r="Q24" s="613">
        <f>P24-P$22</f>
        <v>-0.88439972234557729</v>
      </c>
      <c r="R24" s="617">
        <v>96.507023736493693</v>
      </c>
      <c r="S24" s="613">
        <f>R24-R$22</f>
        <v>4.0118524019763839</v>
      </c>
      <c r="T24" s="613"/>
      <c r="U24" s="806"/>
      <c r="V24" s="617">
        <v>40.206320768335701</v>
      </c>
      <c r="W24" s="613">
        <f>V24-V$22</f>
        <v>-0.88439972234557729</v>
      </c>
      <c r="X24" s="617">
        <v>96.507023736493693</v>
      </c>
      <c r="Y24" s="613">
        <f>X24-X$22</f>
        <v>4.0118524019763839</v>
      </c>
      <c r="Z24" s="613"/>
      <c r="AA24" s="806"/>
      <c r="AB24" s="617">
        <f>'B5 - TCO PL&amp;FMCG 28T '!C167</f>
        <v>40.206320768335701</v>
      </c>
      <c r="AC24" s="613">
        <f>AB24-AB$22</f>
        <v>-0.88439972234557729</v>
      </c>
      <c r="AD24" s="617">
        <f>'B5 - TCO PL&amp;FMCG 28T '!AG167</f>
        <v>102.65036232854067</v>
      </c>
      <c r="AE24" s="613">
        <f>AD24-AD$22</f>
        <v>6.909991600974422</v>
      </c>
      <c r="AF24" s="613"/>
      <c r="AG24" s="613"/>
    </row>
    <row r="25" spans="1:33">
      <c r="A25" s="829"/>
      <c r="B25" s="824"/>
      <c r="C25" s="516" t="s">
        <v>182</v>
      </c>
      <c r="D25" s="613">
        <v>56.428694612621008</v>
      </c>
      <c r="E25" s="613">
        <f>D25-D$22</f>
        <v>15.33797412193973</v>
      </c>
      <c r="F25" s="613">
        <v>73.390131611432039</v>
      </c>
      <c r="G25" s="613">
        <f>F25-F$22</f>
        <v>-19.10503972308527</v>
      </c>
      <c r="H25" s="616">
        <f>F25-F$25</f>
        <v>0</v>
      </c>
      <c r="I25" s="636"/>
      <c r="J25" s="617">
        <v>56.428694612621008</v>
      </c>
      <c r="K25" s="613">
        <f t="shared" ref="K25:K27" si="15">J25-J$22</f>
        <v>15.33797412193973</v>
      </c>
      <c r="L25" s="613">
        <v>73.390131611432039</v>
      </c>
      <c r="M25" s="613">
        <f t="shared" ref="M25:M27" si="16">L25-L$22</f>
        <v>-19.10503972308527</v>
      </c>
      <c r="N25" s="613">
        <f>L25-L$25</f>
        <v>0</v>
      </c>
      <c r="O25" s="806"/>
      <c r="P25" s="617">
        <v>56.428694612621008</v>
      </c>
      <c r="Q25" s="613">
        <f>P25-P$22</f>
        <v>15.33797412193973</v>
      </c>
      <c r="R25" s="617">
        <v>73.390131611432039</v>
      </c>
      <c r="S25" s="613">
        <f>R25-R$22</f>
        <v>-19.10503972308527</v>
      </c>
      <c r="T25" s="613">
        <f>R25-R$25</f>
        <v>0</v>
      </c>
      <c r="U25" s="806"/>
      <c r="V25" s="617">
        <v>56.428694612621008</v>
      </c>
      <c r="W25" s="613">
        <f>V25-V$22</f>
        <v>15.33797412193973</v>
      </c>
      <c r="X25" s="617">
        <v>77.782466117810529</v>
      </c>
      <c r="Y25" s="613">
        <f>X25-X$22</f>
        <v>-14.71270521670678</v>
      </c>
      <c r="Z25" s="613">
        <f>X25-X$25</f>
        <v>0</v>
      </c>
      <c r="AA25" s="806"/>
      <c r="AB25" s="617">
        <f>'B5 - TCO PL&amp;FMCG 28T '!C168</f>
        <v>49.448019576254268</v>
      </c>
      <c r="AC25" s="613">
        <f>AB25-AB$22</f>
        <v>8.3572990855729898</v>
      </c>
      <c r="AD25" s="617">
        <f>'B5 - TCO PL&amp;FMCG 28T '!AG168</f>
        <v>72.442334162328009</v>
      </c>
      <c r="AE25" s="613">
        <f>AD25-AD$22</f>
        <v>-23.298036565238235</v>
      </c>
      <c r="AF25" s="613"/>
      <c r="AG25" s="613"/>
    </row>
    <row r="26" spans="1:33">
      <c r="A26" s="829"/>
      <c r="B26" s="824"/>
      <c r="C26" s="516" t="s">
        <v>327</v>
      </c>
      <c r="D26" s="613">
        <v>83.028022856657572</v>
      </c>
      <c r="E26" s="613">
        <f>D26-D$22</f>
        <v>41.937302365976294</v>
      </c>
      <c r="F26" s="613">
        <v>89.567502060982676</v>
      </c>
      <c r="G26" s="613">
        <f>F26-F$22</f>
        <v>-2.927669273534633</v>
      </c>
      <c r="H26" s="616">
        <f t="shared" ref="H26:H27" si="17">F26-F$25</f>
        <v>16.177370449550637</v>
      </c>
      <c r="I26" s="636"/>
      <c r="J26" s="617">
        <v>83.028022856657572</v>
      </c>
      <c r="K26" s="613">
        <f t="shared" si="15"/>
        <v>41.937302365976294</v>
      </c>
      <c r="L26" s="613">
        <v>79.233475684587944</v>
      </c>
      <c r="M26" s="613">
        <f t="shared" si="16"/>
        <v>-13.261695649929365</v>
      </c>
      <c r="N26" s="613">
        <f t="shared" ref="N26:N27" si="18">L26-L$25</f>
        <v>5.8433440731559045</v>
      </c>
      <c r="O26" s="806"/>
      <c r="P26" s="617">
        <v>83.028022856657572</v>
      </c>
      <c r="Q26" s="613">
        <f>P26-P$22</f>
        <v>41.937302365976294</v>
      </c>
      <c r="R26" s="617">
        <v>75.543915969575266</v>
      </c>
      <c r="S26" s="613">
        <f>R26-R$22</f>
        <v>-16.951255364942043</v>
      </c>
      <c r="T26" s="613">
        <f>R26-R$25</f>
        <v>2.153784358143227</v>
      </c>
      <c r="U26" s="806"/>
      <c r="V26" s="617">
        <v>83.028022856657572</v>
      </c>
      <c r="W26" s="613">
        <f>V26-V$22</f>
        <v>41.937302365976294</v>
      </c>
      <c r="X26" s="617">
        <v>83.563346013619622</v>
      </c>
      <c r="Y26" s="613">
        <f>X26-X$22</f>
        <v>-8.931825320897687</v>
      </c>
      <c r="Z26" s="613">
        <f>X26-X$25</f>
        <v>5.7808798958090932</v>
      </c>
      <c r="AA26" s="806"/>
      <c r="AB26" s="617">
        <f>'B5 - TCO PL&amp;FMCG 28T '!C169</f>
        <v>79.06505989369461</v>
      </c>
      <c r="AC26" s="613">
        <f>AB26-AB$22</f>
        <v>37.974339403013332</v>
      </c>
      <c r="AD26" s="617">
        <f>'B5 - TCO PL&amp;FMCG 28T '!AG169</f>
        <v>83.202618164878473</v>
      </c>
      <c r="AE26" s="613">
        <f>AD26-AD$22</f>
        <v>-12.537752562687771</v>
      </c>
      <c r="AF26" s="613">
        <f>AD26-AD$25</f>
        <v>10.760284002550463</v>
      </c>
      <c r="AG26" s="756">
        <f>AF26/AD25</f>
        <v>0.14853585444167128</v>
      </c>
    </row>
    <row r="27" spans="1:33">
      <c r="A27" s="829"/>
      <c r="B27" s="824"/>
      <c r="C27" s="516" t="s">
        <v>331</v>
      </c>
      <c r="D27" s="613">
        <v>85.73615518875684</v>
      </c>
      <c r="E27" s="613">
        <f>D27-D$22</f>
        <v>44.645434698075562</v>
      </c>
      <c r="F27" s="613">
        <v>88.089649976072266</v>
      </c>
      <c r="G27" s="613">
        <f>F27-F$22</f>
        <v>-4.4055213584450428</v>
      </c>
      <c r="H27" s="616">
        <f t="shared" si="17"/>
        <v>14.699518364640227</v>
      </c>
      <c r="I27" s="636"/>
      <c r="J27" s="617">
        <v>85.73615518875684</v>
      </c>
      <c r="K27" s="613">
        <f t="shared" si="15"/>
        <v>44.645434698075562</v>
      </c>
      <c r="L27" s="613">
        <v>80.339130193776199</v>
      </c>
      <c r="M27" s="613">
        <f t="shared" si="16"/>
        <v>-12.15604114074111</v>
      </c>
      <c r="N27" s="613">
        <f t="shared" si="18"/>
        <v>6.94899858234416</v>
      </c>
      <c r="O27" s="806"/>
      <c r="P27" s="617">
        <v>85.73615518875684</v>
      </c>
      <c r="Q27" s="613">
        <f>P27-P$22</f>
        <v>44.645434698075562</v>
      </c>
      <c r="R27" s="617">
        <v>77.571960407516698</v>
      </c>
      <c r="S27" s="613">
        <f>R27-R$22</f>
        <v>-14.923210927000611</v>
      </c>
      <c r="T27" s="613">
        <f>R27-R$25</f>
        <v>4.181828796084659</v>
      </c>
      <c r="U27" s="806"/>
      <c r="V27" s="617">
        <v>85.73615518875684</v>
      </c>
      <c r="W27" s="613">
        <f>V27-V$22</f>
        <v>44.645434698075562</v>
      </c>
      <c r="X27" s="617">
        <v>83.586532940549958</v>
      </c>
      <c r="Y27" s="613">
        <f>X27-X$22</f>
        <v>-8.908638393967351</v>
      </c>
      <c r="Z27" s="613">
        <f>X27-X$25</f>
        <v>5.8040668227394292</v>
      </c>
      <c r="AA27" s="806"/>
      <c r="AB27" s="617">
        <f>'B5 - TCO PL&amp;FMCG 28T '!C170</f>
        <v>82.763932966534639</v>
      </c>
      <c r="AC27" s="613">
        <f>AB27-AB$22</f>
        <v>41.673212475853362</v>
      </c>
      <c r="AD27" s="617">
        <f>'B5 - TCO PL&amp;FMCG 28T '!AG170</f>
        <v>83.315987053994107</v>
      </c>
      <c r="AE27" s="613">
        <f>AD27-AD$22</f>
        <v>-12.424383673572137</v>
      </c>
      <c r="AF27" s="613">
        <f>AD27-AD$25</f>
        <v>10.873652891666097</v>
      </c>
      <c r="AG27" s="756">
        <f>AF27/AD25</f>
        <v>0.15010080800682832</v>
      </c>
    </row>
    <row r="28" spans="1:33">
      <c r="A28" s="821"/>
      <c r="B28" s="823"/>
      <c r="C28" s="516" t="s">
        <v>334</v>
      </c>
      <c r="D28" s="613">
        <v>36.981648441613153</v>
      </c>
      <c r="E28" s="613"/>
      <c r="F28" s="613">
        <v>83.245654201065577</v>
      </c>
      <c r="G28" s="613"/>
      <c r="H28" s="616"/>
      <c r="I28" s="636"/>
      <c r="J28" s="617">
        <v>36.981648441613153</v>
      </c>
      <c r="K28" s="613"/>
      <c r="L28" s="613">
        <v>83.245654201065577</v>
      </c>
      <c r="M28" s="613"/>
      <c r="N28" s="613"/>
      <c r="O28" s="806"/>
      <c r="P28" s="617">
        <v>36.981648441613153</v>
      </c>
      <c r="Q28" s="613"/>
      <c r="R28" s="617">
        <v>83.245654201065577</v>
      </c>
      <c r="S28" s="613"/>
      <c r="T28" s="613"/>
      <c r="U28" s="806"/>
      <c r="V28" s="617">
        <v>36.981648441613153</v>
      </c>
      <c r="W28" s="613"/>
      <c r="X28" s="617">
        <v>83.245654201065577</v>
      </c>
      <c r="Y28" s="613"/>
      <c r="Z28" s="613"/>
      <c r="AA28" s="806"/>
      <c r="AB28" s="617">
        <f>'B5 - TCO PL&amp;FMCG 28T '!C171</f>
        <v>36.981648441613153</v>
      </c>
      <c r="AC28" s="613"/>
      <c r="AD28" s="617">
        <f>'B5 - TCO PL&amp;FMCG 28T '!AG171</f>
        <v>86.16633365480962</v>
      </c>
      <c r="AE28" s="613"/>
      <c r="AF28" s="613"/>
      <c r="AG28" s="613"/>
    </row>
    <row r="29" spans="1:33">
      <c r="A29" s="812"/>
      <c r="B29" s="813"/>
      <c r="C29" s="813"/>
      <c r="D29" s="813"/>
      <c r="E29" s="813"/>
      <c r="F29" s="813"/>
      <c r="G29" s="813"/>
      <c r="H29" s="814"/>
      <c r="I29" s="636"/>
      <c r="J29" s="854"/>
      <c r="K29" s="855"/>
      <c r="L29" s="855"/>
      <c r="M29" s="855"/>
      <c r="N29" s="856"/>
      <c r="O29" s="806"/>
      <c r="P29" s="854"/>
      <c r="Q29" s="855"/>
      <c r="R29" s="855"/>
      <c r="S29" s="855"/>
      <c r="T29" s="856"/>
      <c r="U29" s="806"/>
      <c r="V29" s="854"/>
      <c r="W29" s="855"/>
      <c r="X29" s="855"/>
      <c r="Y29" s="855"/>
      <c r="Z29" s="856"/>
      <c r="AA29" s="806"/>
      <c r="AB29" s="854"/>
      <c r="AC29" s="855"/>
      <c r="AD29" s="855"/>
      <c r="AE29" s="855"/>
      <c r="AF29" s="856"/>
      <c r="AG29" s="629"/>
    </row>
    <row r="30" spans="1:33">
      <c r="A30" s="820" t="s">
        <v>17</v>
      </c>
      <c r="B30" s="822" t="s">
        <v>829</v>
      </c>
      <c r="C30" s="516" t="s">
        <v>307</v>
      </c>
      <c r="D30" s="613">
        <v>29.688487806927938</v>
      </c>
      <c r="E30" s="613"/>
      <c r="F30" s="613">
        <v>66.564520987031898</v>
      </c>
      <c r="G30" s="613"/>
      <c r="H30" s="616"/>
      <c r="I30" s="636"/>
      <c r="J30" s="617">
        <v>29.688487806927938</v>
      </c>
      <c r="K30" s="613"/>
      <c r="L30" s="613">
        <v>66.564520987031898</v>
      </c>
      <c r="M30" s="613"/>
      <c r="N30" s="613"/>
      <c r="O30" s="806"/>
      <c r="P30" s="617">
        <v>29.688487806927938</v>
      </c>
      <c r="Q30" s="613"/>
      <c r="R30" s="617">
        <v>66.564520987031898</v>
      </c>
      <c r="S30" s="613"/>
      <c r="T30" s="613"/>
      <c r="U30" s="806"/>
      <c r="V30" s="617">
        <v>29.688487806927938</v>
      </c>
      <c r="W30" s="613"/>
      <c r="X30" s="617">
        <v>66.564520987031898</v>
      </c>
      <c r="Y30" s="613"/>
      <c r="Z30" s="613"/>
      <c r="AA30" s="806"/>
      <c r="AB30" s="617">
        <f>'B6 Perishables 15T'!C165</f>
        <v>29.688487806927938</v>
      </c>
      <c r="AC30" s="613"/>
      <c r="AD30" s="617">
        <f>'B6 Perishables 15T'!AG165</f>
        <v>68.99842053181861</v>
      </c>
      <c r="AE30" s="613"/>
      <c r="AF30" s="613"/>
      <c r="AG30" s="613"/>
    </row>
    <row r="31" spans="1:33">
      <c r="A31" s="829"/>
      <c r="B31" s="824"/>
      <c r="C31" s="516" t="s">
        <v>179</v>
      </c>
      <c r="D31" s="613">
        <v>29.047288006328493</v>
      </c>
      <c r="E31" s="613">
        <f>D31-D$30</f>
        <v>-0.64119980059944481</v>
      </c>
      <c r="F31" s="613">
        <v>70.257729539617671</v>
      </c>
      <c r="G31" s="613">
        <f>F31-F$30</f>
        <v>3.693208552585773</v>
      </c>
      <c r="H31" s="616"/>
      <c r="I31" s="636"/>
      <c r="J31" s="617">
        <v>29.047288006328493</v>
      </c>
      <c r="K31" s="613">
        <f>J31-J$30</f>
        <v>-0.64119980059944481</v>
      </c>
      <c r="L31" s="613">
        <v>70.257729539617671</v>
      </c>
      <c r="M31" s="613">
        <f>L31-L$30</f>
        <v>3.693208552585773</v>
      </c>
      <c r="N31" s="613"/>
      <c r="O31" s="806"/>
      <c r="P31" s="617">
        <v>29.047288006328493</v>
      </c>
      <c r="Q31" s="613">
        <f>P31-P$30</f>
        <v>-0.64119980059944481</v>
      </c>
      <c r="R31" s="617">
        <v>70.257729539617671</v>
      </c>
      <c r="S31" s="613">
        <f>R31-R$30</f>
        <v>3.693208552585773</v>
      </c>
      <c r="T31" s="613"/>
      <c r="U31" s="806"/>
      <c r="V31" s="617">
        <v>29.047288006328493</v>
      </c>
      <c r="W31" s="613">
        <f>V31-V$30</f>
        <v>-0.64119980059944481</v>
      </c>
      <c r="X31" s="617">
        <v>70.257729539617671</v>
      </c>
      <c r="Y31" s="613">
        <f>X31-X$30</f>
        <v>3.693208552585773</v>
      </c>
      <c r="Z31" s="613"/>
      <c r="AA31" s="806"/>
      <c r="AB31" s="617">
        <f>'B6 Perishables 15T'!C166</f>
        <v>29.047288006328493</v>
      </c>
      <c r="AC31" s="613">
        <f>AB31-AB$30</f>
        <v>-0.64119980059944481</v>
      </c>
      <c r="AD31" s="617">
        <f>'B6 Perishables 15T'!AG166</f>
        <v>75.517628653862559</v>
      </c>
      <c r="AE31" s="613">
        <f>AD31-AD$30</f>
        <v>6.5192081220439491</v>
      </c>
      <c r="AF31" s="613"/>
      <c r="AG31" s="613"/>
    </row>
    <row r="32" spans="1:33">
      <c r="A32" s="829"/>
      <c r="B32" s="824"/>
      <c r="C32" s="516" t="s">
        <v>180</v>
      </c>
      <c r="D32" s="613">
        <v>29.334585328848547</v>
      </c>
      <c r="E32" s="613">
        <f>D32-D$30</f>
        <v>-0.3539024780793909</v>
      </c>
      <c r="F32" s="613">
        <v>70.283391568895567</v>
      </c>
      <c r="G32" s="613">
        <f>F32-F$30</f>
        <v>3.7188705818636691</v>
      </c>
      <c r="H32" s="616"/>
      <c r="I32" s="636"/>
      <c r="J32" s="617">
        <v>29.334585328848547</v>
      </c>
      <c r="K32" s="613">
        <f>J32-J$30</f>
        <v>-0.3539024780793909</v>
      </c>
      <c r="L32" s="613">
        <v>70.283391568895567</v>
      </c>
      <c r="M32" s="613">
        <f>L32-L$30</f>
        <v>3.7188705818636691</v>
      </c>
      <c r="N32" s="613"/>
      <c r="O32" s="806"/>
      <c r="P32" s="617">
        <v>29.334585328848547</v>
      </c>
      <c r="Q32" s="613">
        <f>P32-P$30</f>
        <v>-0.3539024780793909</v>
      </c>
      <c r="R32" s="617">
        <v>70.283391568895567</v>
      </c>
      <c r="S32" s="613">
        <f>R32-R$30</f>
        <v>3.7188705818636691</v>
      </c>
      <c r="T32" s="613"/>
      <c r="U32" s="806"/>
      <c r="V32" s="617">
        <v>29.334585328848547</v>
      </c>
      <c r="W32" s="613">
        <f>V32-V$30</f>
        <v>-0.3539024780793909</v>
      </c>
      <c r="X32" s="617">
        <v>70.283391568895567</v>
      </c>
      <c r="Y32" s="613">
        <f>X32-X$30</f>
        <v>3.7188705818636691</v>
      </c>
      <c r="Z32" s="613"/>
      <c r="AA32" s="806"/>
      <c r="AB32" s="617">
        <f>'B6 Perishables 15T'!C167</f>
        <v>29.334585328848547</v>
      </c>
      <c r="AC32" s="613">
        <f>AB32-AB$30</f>
        <v>-0.3539024780793909</v>
      </c>
      <c r="AD32" s="617">
        <f>'B6 Perishables 15T'!AG167</f>
        <v>74.928354894589631</v>
      </c>
      <c r="AE32" s="613">
        <f>AD32-AD$30</f>
        <v>5.9299343627710215</v>
      </c>
      <c r="AF32" s="613"/>
      <c r="AG32" s="613"/>
    </row>
    <row r="33" spans="1:33">
      <c r="A33" s="829"/>
      <c r="B33" s="824"/>
      <c r="C33" s="516" t="s">
        <v>182</v>
      </c>
      <c r="D33" s="613">
        <v>41.115024692492426</v>
      </c>
      <c r="E33" s="613">
        <f>D33-D$30</f>
        <v>11.426536885564488</v>
      </c>
      <c r="F33" s="613">
        <v>52.61445161050495</v>
      </c>
      <c r="G33" s="613">
        <f>F33-F$30</f>
        <v>-13.950069376526947</v>
      </c>
      <c r="H33" s="616">
        <f>F33-F$33</f>
        <v>0</v>
      </c>
      <c r="I33" s="636"/>
      <c r="J33" s="617">
        <v>41.115024692492426</v>
      </c>
      <c r="K33" s="613">
        <f t="shared" ref="K33:K35" si="19">J33-J$30</f>
        <v>11.426536885564488</v>
      </c>
      <c r="L33" s="613">
        <v>52.61445161050495</v>
      </c>
      <c r="M33" s="613">
        <f t="shared" ref="M33:M35" si="20">L33-L$30</f>
        <v>-13.950069376526947</v>
      </c>
      <c r="N33" s="613">
        <f>L33-L$33</f>
        <v>0</v>
      </c>
      <c r="O33" s="806"/>
      <c r="P33" s="617">
        <v>41.115024692492426</v>
      </c>
      <c r="Q33" s="613">
        <f>P33-P$30</f>
        <v>11.426536885564488</v>
      </c>
      <c r="R33" s="617">
        <v>54.630321979355926</v>
      </c>
      <c r="S33" s="613">
        <f>R33-R$30</f>
        <v>-11.934199007675971</v>
      </c>
      <c r="T33" s="613">
        <f>R33-R$33</f>
        <v>0</v>
      </c>
      <c r="U33" s="806"/>
      <c r="V33" s="617">
        <v>41.115024692492426</v>
      </c>
      <c r="W33" s="613">
        <f>V33-V$30</f>
        <v>11.426536885564488</v>
      </c>
      <c r="X33" s="617">
        <v>55.86095972391513</v>
      </c>
      <c r="Y33" s="613">
        <f>X33-X$30</f>
        <v>-10.703561263116768</v>
      </c>
      <c r="Z33" s="613">
        <f>X33-X$33</f>
        <v>0</v>
      </c>
      <c r="AA33" s="806"/>
      <c r="AB33" s="617">
        <f>'B6 Perishables 15T'!C169</f>
        <v>58.383174568497076</v>
      </c>
      <c r="AC33" s="613">
        <f>AB33-AB$30</f>
        <v>28.694686761569137</v>
      </c>
      <c r="AD33" s="617">
        <f>'B6 Perishables 15T'!AG168</f>
        <v>51.913905669862842</v>
      </c>
      <c r="AE33" s="613">
        <f>AD33-AD31</f>
        <v>-23.603722983999717</v>
      </c>
      <c r="AF33" s="613"/>
      <c r="AG33" s="613"/>
    </row>
    <row r="34" spans="1:33">
      <c r="A34" s="829"/>
      <c r="B34" s="824"/>
      <c r="C34" s="516" t="s">
        <v>327</v>
      </c>
      <c r="D34" s="613">
        <v>61.355396790719297</v>
      </c>
      <c r="E34" s="613">
        <f>D34-D$30</f>
        <v>31.666908983791359</v>
      </c>
      <c r="F34" s="613">
        <v>65.14801154791148</v>
      </c>
      <c r="G34" s="613">
        <f>F34-F$30</f>
        <v>-1.4165094391204178</v>
      </c>
      <c r="H34" s="616">
        <f t="shared" ref="H34:H35" si="21">F34-F$33</f>
        <v>12.53355993740653</v>
      </c>
      <c r="I34" s="636"/>
      <c r="J34" s="617">
        <v>61.355396790719297</v>
      </c>
      <c r="K34" s="613">
        <f t="shared" si="19"/>
        <v>31.666908983791359</v>
      </c>
      <c r="L34" s="613">
        <v>57.397491765615428</v>
      </c>
      <c r="M34" s="613">
        <f t="shared" si="20"/>
        <v>-9.1670292214164704</v>
      </c>
      <c r="N34" s="613">
        <f t="shared" ref="N34:N35" si="22">L34-L$33</f>
        <v>4.7830401551104771</v>
      </c>
      <c r="O34" s="806"/>
      <c r="P34" s="617">
        <v>61.633174568497076</v>
      </c>
      <c r="Q34" s="613">
        <f>P34-P$30</f>
        <v>31.944686761569137</v>
      </c>
      <c r="R34" s="617">
        <v>52.61445161050495</v>
      </c>
      <c r="S34" s="613">
        <f>R34-R$30</f>
        <v>-13.950069376526947</v>
      </c>
      <c r="T34" s="613">
        <f>R34-R$33</f>
        <v>-2.015870368850976</v>
      </c>
      <c r="U34" s="806"/>
      <c r="V34" s="617">
        <v>61.355396790719297</v>
      </c>
      <c r="W34" s="613">
        <f>V34-V$30</f>
        <v>31.666908983791359</v>
      </c>
      <c r="X34" s="617">
        <v>60.644894512389193</v>
      </c>
      <c r="Y34" s="613">
        <f>X34-X$30</f>
        <v>-5.9196264746427047</v>
      </c>
      <c r="Z34" s="613">
        <f>X34-X$33</f>
        <v>4.7839347884740633</v>
      </c>
      <c r="AA34" s="806"/>
      <c r="AB34" s="617">
        <f>'B6 Perishables 15T'!C168</f>
        <v>35.955395317786568</v>
      </c>
      <c r="AC34" s="613">
        <f>AB34-AB$30</f>
        <v>6.2669075108586298</v>
      </c>
      <c r="AD34" s="617">
        <f>'B6 Perishables 15T'!AG169</f>
        <v>60.374348625833328</v>
      </c>
      <c r="AE34" s="613">
        <f>AD34-AD30</f>
        <v>-8.6240719059852822</v>
      </c>
      <c r="AF34" s="613">
        <f>AD34-AD$33</f>
        <v>8.4604429559704855</v>
      </c>
      <c r="AG34" s="756">
        <f>AF34/AD33</f>
        <v>0.16297065009466158</v>
      </c>
    </row>
    <row r="35" spans="1:33">
      <c r="A35" s="829"/>
      <c r="B35" s="824"/>
      <c r="C35" s="516" t="s">
        <v>331</v>
      </c>
      <c r="D35" s="613">
        <v>65.995979404188475</v>
      </c>
      <c r="E35" s="613">
        <f>D35-D$30</f>
        <v>36.307491597260537</v>
      </c>
      <c r="F35" s="613">
        <v>64.954579275329507</v>
      </c>
      <c r="G35" s="613">
        <f>F35-F$30</f>
        <v>-1.6099417117023904</v>
      </c>
      <c r="H35" s="616">
        <f t="shared" si="21"/>
        <v>12.340127664824557</v>
      </c>
      <c r="I35" s="636"/>
      <c r="J35" s="617">
        <v>65.995979404188475</v>
      </c>
      <c r="K35" s="613">
        <f t="shared" si="19"/>
        <v>36.307491597260537</v>
      </c>
      <c r="L35" s="613">
        <v>59.141689438607472</v>
      </c>
      <c r="M35" s="613">
        <f t="shared" si="20"/>
        <v>-7.4228315484244263</v>
      </c>
      <c r="N35" s="613">
        <f t="shared" si="22"/>
        <v>6.5272378281025212</v>
      </c>
      <c r="O35" s="806"/>
      <c r="P35" s="617">
        <v>65.995979404188475</v>
      </c>
      <c r="Q35" s="613">
        <f>P35-P$30</f>
        <v>36.307491597260537</v>
      </c>
      <c r="R35" s="617">
        <v>57.066312098912846</v>
      </c>
      <c r="S35" s="613">
        <f>R35-R$30</f>
        <v>-9.4982088881190521</v>
      </c>
      <c r="T35" s="613">
        <f>R35-R$33</f>
        <v>2.4359901195569194</v>
      </c>
      <c r="U35" s="806"/>
      <c r="V35" s="617">
        <v>65.995979404188475</v>
      </c>
      <c r="W35" s="613">
        <f>V35-V$30</f>
        <v>36.307491597260537</v>
      </c>
      <c r="X35" s="617">
        <v>61.577241498687798</v>
      </c>
      <c r="Y35" s="613">
        <f>X35-X$30</f>
        <v>-4.9872794883441003</v>
      </c>
      <c r="Z35" s="613">
        <f>X35-X$33</f>
        <v>5.7162817747726677</v>
      </c>
      <c r="AA35" s="806"/>
      <c r="AB35" s="617">
        <f>'B6 Perishables 15T'!C170</f>
        <v>63.766812737521796</v>
      </c>
      <c r="AC35" s="613">
        <f>AB35-AB$30</f>
        <v>34.078324930593858</v>
      </c>
      <c r="AD35" s="617">
        <f>'B6 Perishables 15T'!AG170</f>
        <v>61.374332083770895</v>
      </c>
      <c r="AE35" s="613">
        <f>AD35-AD$30</f>
        <v>-7.6240884480477149</v>
      </c>
      <c r="AF35" s="613">
        <f>AD35-AD$33</f>
        <v>9.4604264139080527</v>
      </c>
      <c r="AG35" s="756">
        <f>AF35/AD33</f>
        <v>0.18223299310342655</v>
      </c>
    </row>
    <row r="36" spans="1:33">
      <c r="A36" s="821"/>
      <c r="B36" s="823"/>
      <c r="C36" s="516" t="s">
        <v>334</v>
      </c>
      <c r="D36" s="613">
        <v>26.719639026235146</v>
      </c>
      <c r="E36" s="613"/>
      <c r="F36" s="613">
        <v>59.908068888328707</v>
      </c>
      <c r="G36" s="613"/>
      <c r="H36" s="616"/>
      <c r="I36" s="636"/>
      <c r="J36" s="617">
        <v>26.719639026235146</v>
      </c>
      <c r="K36" s="613"/>
      <c r="L36" s="613">
        <v>59.908068888328707</v>
      </c>
      <c r="M36" s="613"/>
      <c r="N36" s="613"/>
      <c r="O36" s="806"/>
      <c r="P36" s="617">
        <v>26.719639026235146</v>
      </c>
      <c r="Q36" s="613"/>
      <c r="R36" s="617">
        <v>59.908068888328707</v>
      </c>
      <c r="S36" s="613"/>
      <c r="T36" s="613"/>
      <c r="U36" s="806"/>
      <c r="V36" s="617">
        <v>26.719639026235146</v>
      </c>
      <c r="W36" s="613"/>
      <c r="X36" s="617">
        <v>59.908068888328707</v>
      </c>
      <c r="Y36" s="613"/>
      <c r="Z36" s="613"/>
      <c r="AA36" s="806"/>
      <c r="AB36" s="617">
        <f>'B6 Perishables 15T'!C171</f>
        <v>26.719639026235146</v>
      </c>
      <c r="AC36" s="613"/>
      <c r="AD36" s="617">
        <f>'B6 Perishables 15T'!AG171</f>
        <v>62.098578478636753</v>
      </c>
      <c r="AE36" s="613"/>
      <c r="AF36" s="613"/>
      <c r="AG36" s="613"/>
    </row>
    <row r="37" spans="1:33">
      <c r="A37" s="812"/>
      <c r="B37" s="813"/>
      <c r="C37" s="813"/>
      <c r="D37" s="813"/>
      <c r="E37" s="813"/>
      <c r="F37" s="813"/>
      <c r="G37" s="813"/>
      <c r="H37" s="814"/>
      <c r="I37" s="636"/>
      <c r="J37" s="854"/>
      <c r="K37" s="855"/>
      <c r="L37" s="855"/>
      <c r="M37" s="855"/>
      <c r="N37" s="856"/>
      <c r="O37" s="806"/>
      <c r="P37" s="854"/>
      <c r="Q37" s="855"/>
      <c r="R37" s="855"/>
      <c r="S37" s="855"/>
      <c r="T37" s="856"/>
      <c r="U37" s="806"/>
      <c r="V37" s="854"/>
      <c r="W37" s="855"/>
      <c r="X37" s="855"/>
      <c r="Y37" s="855"/>
      <c r="Z37" s="856"/>
      <c r="AA37" s="806"/>
      <c r="AB37" s="854"/>
      <c r="AC37" s="855"/>
      <c r="AD37" s="855"/>
      <c r="AE37" s="855"/>
      <c r="AF37" s="856"/>
      <c r="AG37" s="629"/>
    </row>
    <row r="38" spans="1:33">
      <c r="A38" s="820" t="s">
        <v>20</v>
      </c>
      <c r="B38" s="822" t="s">
        <v>830</v>
      </c>
      <c r="C38" s="516" t="s">
        <v>307</v>
      </c>
      <c r="D38" s="613">
        <v>61.604723384563741</v>
      </c>
      <c r="E38" s="613"/>
      <c r="F38" s="613">
        <v>144.77967142929472</v>
      </c>
      <c r="G38" s="613"/>
      <c r="H38" s="616"/>
      <c r="I38" s="636"/>
      <c r="J38" s="617">
        <v>61.604723384563741</v>
      </c>
      <c r="K38" s="613"/>
      <c r="L38" s="613">
        <v>144.77967142929472</v>
      </c>
      <c r="M38" s="613"/>
      <c r="N38" s="613"/>
      <c r="O38" s="806"/>
      <c r="P38" s="617">
        <v>61.604723384563741</v>
      </c>
      <c r="Q38" s="613"/>
      <c r="R38" s="617">
        <v>144.77967142929472</v>
      </c>
      <c r="S38" s="613"/>
      <c r="T38" s="613"/>
      <c r="U38" s="806"/>
      <c r="V38" s="617">
        <v>61.604723384563741</v>
      </c>
      <c r="W38" s="613"/>
      <c r="X38" s="617">
        <v>144.77967142929472</v>
      </c>
      <c r="Y38" s="613"/>
      <c r="Z38" s="613"/>
      <c r="AA38" s="806"/>
      <c r="AB38" s="617">
        <f>'B7 C&amp;M 28Tip'!C165</f>
        <v>61.604723384563741</v>
      </c>
      <c r="AC38" s="613"/>
      <c r="AD38" s="617">
        <f>'B7 C&amp;M 28Tip'!AG165</f>
        <v>148.62267071053688</v>
      </c>
      <c r="AE38" s="613"/>
      <c r="AF38" s="613"/>
      <c r="AG38" s="613"/>
    </row>
    <row r="39" spans="1:33">
      <c r="A39" s="829"/>
      <c r="B39" s="824"/>
      <c r="C39" s="516" t="s">
        <v>179</v>
      </c>
      <c r="D39" s="613">
        <v>60.932520138878246</v>
      </c>
      <c r="E39" s="613">
        <f>D39-D$38</f>
        <v>-0.67220324568549472</v>
      </c>
      <c r="F39" s="613">
        <v>154.16757043545186</v>
      </c>
      <c r="G39" s="613">
        <f>F39-F$38</f>
        <v>9.3878990061571415</v>
      </c>
      <c r="H39" s="616"/>
      <c r="I39" s="636"/>
      <c r="J39" s="617">
        <v>60.932520138878246</v>
      </c>
      <c r="K39" s="613">
        <f>J39-J$38</f>
        <v>-0.67220324568549472</v>
      </c>
      <c r="L39" s="613">
        <v>154.16757043545186</v>
      </c>
      <c r="M39" s="613">
        <f>L39-L$38</f>
        <v>9.3878990061571415</v>
      </c>
      <c r="N39" s="613"/>
      <c r="O39" s="806"/>
      <c r="P39" s="617">
        <v>60.932520138878246</v>
      </c>
      <c r="Q39" s="613">
        <f>P39-P$38</f>
        <v>-0.67220324568549472</v>
      </c>
      <c r="R39" s="617">
        <v>154.16757043545186</v>
      </c>
      <c r="S39" s="613">
        <f>R39-R$38</f>
        <v>9.3878990061571415</v>
      </c>
      <c r="T39" s="613"/>
      <c r="U39" s="806"/>
      <c r="V39" s="617">
        <v>60.932520138878246</v>
      </c>
      <c r="W39" s="613">
        <f>V39-V$38</f>
        <v>-0.67220324568549472</v>
      </c>
      <c r="X39" s="617">
        <v>154.16757043545186</v>
      </c>
      <c r="Y39" s="613">
        <f>X39-X$38</f>
        <v>9.3878990061571415</v>
      </c>
      <c r="Z39" s="613"/>
      <c r="AA39" s="806"/>
      <c r="AB39" s="617">
        <f>'B7 C&amp;M 28Tip'!C166</f>
        <v>60.932520138878246</v>
      </c>
      <c r="AC39" s="613">
        <f>AB39-AB$38</f>
        <v>-0.67220324568549472</v>
      </c>
      <c r="AD39" s="617">
        <f>'B7 C&amp;M 28Tip'!AG166</f>
        <v>162.45191154038756</v>
      </c>
      <c r="AE39" s="613">
        <f>AD39-AD$38</f>
        <v>13.829240829850676</v>
      </c>
      <c r="AF39" s="613"/>
      <c r="AG39" s="613"/>
    </row>
    <row r="40" spans="1:33">
      <c r="A40" s="829"/>
      <c r="B40" s="824"/>
      <c r="C40" s="516" t="s">
        <v>180</v>
      </c>
      <c r="D40" s="613">
        <v>61.463427649526928</v>
      </c>
      <c r="E40" s="613">
        <f t="shared" ref="E40:G43" si="23">D40-D$38</f>
        <v>-0.14129573503681314</v>
      </c>
      <c r="F40" s="613">
        <v>150.80704006522632</v>
      </c>
      <c r="G40" s="613">
        <f t="shared" si="23"/>
        <v>6.0273686359315946</v>
      </c>
      <c r="H40" s="616"/>
      <c r="I40" s="636"/>
      <c r="J40" s="617">
        <v>61.463427649526928</v>
      </c>
      <c r="K40" s="613">
        <f t="shared" ref="K40:K43" si="24">J40-J$38</f>
        <v>-0.14129573503681314</v>
      </c>
      <c r="L40" s="613">
        <v>150.80704006522632</v>
      </c>
      <c r="M40" s="613">
        <f t="shared" ref="M40:M43" si="25">L40-L$38</f>
        <v>6.0273686359315946</v>
      </c>
      <c r="N40" s="613"/>
      <c r="O40" s="806"/>
      <c r="P40" s="617">
        <v>61.463427649526928</v>
      </c>
      <c r="Q40" s="613">
        <f>P40-P$38</f>
        <v>-0.14129573503681314</v>
      </c>
      <c r="R40" s="617">
        <v>150.80704006522632</v>
      </c>
      <c r="S40" s="613">
        <f>R40-R$38</f>
        <v>6.0273686359315946</v>
      </c>
      <c r="T40" s="613"/>
      <c r="U40" s="806"/>
      <c r="V40" s="617">
        <v>61.463427649526928</v>
      </c>
      <c r="W40" s="613">
        <f>V40-V$38</f>
        <v>-0.14129573503681314</v>
      </c>
      <c r="X40" s="617">
        <v>150.80704006522632</v>
      </c>
      <c r="Y40" s="613">
        <f>X40-X$38</f>
        <v>6.0273686359315946</v>
      </c>
      <c r="Z40" s="613"/>
      <c r="AA40" s="806"/>
      <c r="AB40" s="617">
        <f>'B7 C&amp;M 28Tip'!C167</f>
        <v>61.463427649526928</v>
      </c>
      <c r="AC40" s="613">
        <f>AB40-AB$38</f>
        <v>-0.14129573503681314</v>
      </c>
      <c r="AD40" s="617">
        <f>'B7 C&amp;M 28Tip'!AG167</f>
        <v>158.13178992497464</v>
      </c>
      <c r="AE40" s="613">
        <f>AD40-AD$38</f>
        <v>9.5091192144377601</v>
      </c>
      <c r="AF40" s="613"/>
      <c r="AG40" s="613"/>
    </row>
    <row r="41" spans="1:33">
      <c r="A41" s="829"/>
      <c r="B41" s="824"/>
      <c r="C41" s="516" t="s">
        <v>182</v>
      </c>
      <c r="D41" s="613">
        <v>83.905941131513998</v>
      </c>
      <c r="E41" s="613">
        <f t="shared" si="23"/>
        <v>22.301217746950257</v>
      </c>
      <c r="F41" s="613">
        <v>119.36106976230423</v>
      </c>
      <c r="G41" s="613">
        <f t="shared" si="23"/>
        <v>-25.418601666990497</v>
      </c>
      <c r="H41" s="616">
        <f>F41-F$41</f>
        <v>0</v>
      </c>
      <c r="I41" s="636"/>
      <c r="J41" s="617">
        <v>83.905941131513998</v>
      </c>
      <c r="K41" s="613">
        <f t="shared" si="24"/>
        <v>22.301217746950257</v>
      </c>
      <c r="L41" s="613">
        <v>119.36106976230423</v>
      </c>
      <c r="M41" s="613">
        <f t="shared" si="25"/>
        <v>-25.418601666990497</v>
      </c>
      <c r="N41" s="613">
        <f>L41-L$41</f>
        <v>0</v>
      </c>
      <c r="O41" s="806"/>
      <c r="P41" s="617">
        <v>83.905941131513998</v>
      </c>
      <c r="Q41" s="613">
        <f>P41-P$38</f>
        <v>22.301217746950257</v>
      </c>
      <c r="R41" s="617">
        <v>119.36106976230423</v>
      </c>
      <c r="S41" s="613">
        <f>R41-R$38</f>
        <v>-25.418601666990497</v>
      </c>
      <c r="T41" s="613">
        <f>R41-R$41</f>
        <v>0</v>
      </c>
      <c r="U41" s="806"/>
      <c r="V41" s="617">
        <v>83.905941131513998</v>
      </c>
      <c r="W41" s="613">
        <f>V41-V$38</f>
        <v>22.301217746950257</v>
      </c>
      <c r="X41" s="617">
        <v>123.77636258305279</v>
      </c>
      <c r="Y41" s="613">
        <f>X41-X$38</f>
        <v>-21.003308846241936</v>
      </c>
      <c r="Z41" s="613">
        <f>X41-X$41</f>
        <v>0</v>
      </c>
      <c r="AA41" s="806"/>
      <c r="AB41" s="617">
        <f>'B7 C&amp;M 28Tip'!C168</f>
        <v>76.014743264316806</v>
      </c>
      <c r="AC41" s="613">
        <f>AB41-AB$38</f>
        <v>14.410019879753065</v>
      </c>
      <c r="AD41" s="617">
        <f>'B7 C&amp;M 28Tip'!AG168</f>
        <v>118.28964655896924</v>
      </c>
      <c r="AE41" s="613">
        <f>AD41-AD$38</f>
        <v>-30.333024151567642</v>
      </c>
      <c r="AF41" s="613"/>
      <c r="AG41" s="613"/>
    </row>
    <row r="42" spans="1:33">
      <c r="A42" s="829"/>
      <c r="B42" s="824"/>
      <c r="C42" s="516" t="s">
        <v>327</v>
      </c>
      <c r="D42" s="613">
        <v>112.4161716386905</v>
      </c>
      <c r="E42" s="613">
        <f t="shared" si="23"/>
        <v>50.811448254126759</v>
      </c>
      <c r="F42" s="613">
        <v>141.56310927891403</v>
      </c>
      <c r="G42" s="613">
        <f t="shared" si="23"/>
        <v>-3.216562150380696</v>
      </c>
      <c r="H42" s="616">
        <f t="shared" ref="H42:H43" si="26">F42-F$41</f>
        <v>22.202039516609801</v>
      </c>
      <c r="I42" s="636"/>
      <c r="J42" s="617">
        <v>112.4161716386905</v>
      </c>
      <c r="K42" s="613">
        <f t="shared" si="24"/>
        <v>50.811448254126759</v>
      </c>
      <c r="L42" s="613">
        <v>129.32544646476234</v>
      </c>
      <c r="M42" s="613">
        <f t="shared" si="25"/>
        <v>-15.454224964532386</v>
      </c>
      <c r="N42" s="613">
        <f t="shared" ref="N42:N43" si="27">L42-L$41</f>
        <v>9.9643767024581109</v>
      </c>
      <c r="O42" s="806"/>
      <c r="P42" s="617">
        <v>112.4161716386905</v>
      </c>
      <c r="Q42" s="613">
        <f>P42-P$38</f>
        <v>50.811448254126759</v>
      </c>
      <c r="R42" s="617">
        <v>124.95623101277366</v>
      </c>
      <c r="S42" s="613">
        <f>R42-R$38</f>
        <v>-19.823440416521066</v>
      </c>
      <c r="T42" s="613">
        <f>R42-R$41</f>
        <v>5.595161250469431</v>
      </c>
      <c r="U42" s="806"/>
      <c r="V42" s="617">
        <v>112.4161716386905</v>
      </c>
      <c r="W42" s="613">
        <f>V42-V$38</f>
        <v>50.811448254126759</v>
      </c>
      <c r="X42" s="617">
        <v>134.45292448598408</v>
      </c>
      <c r="Y42" s="613">
        <f>X42-X$38</f>
        <v>-10.326746943310638</v>
      </c>
      <c r="Z42" s="613">
        <f>X42-X$41</f>
        <v>10.676561902931297</v>
      </c>
      <c r="AA42" s="806"/>
      <c r="AB42" s="617">
        <f>'B7 C&amp;M 28Tip'!C169</f>
        <v>107.72318918255017</v>
      </c>
      <c r="AC42" s="613">
        <f>AB42-AB$38</f>
        <v>46.118465797986431</v>
      </c>
      <c r="AD42" s="617">
        <f>'B7 C&amp;M 28Tip'!AG169</f>
        <v>134.02574677036958</v>
      </c>
      <c r="AE42" s="613">
        <f>AD42-AD$38</f>
        <v>-14.596923940167301</v>
      </c>
      <c r="AF42" s="613">
        <f>AD42-AD$41</f>
        <v>15.736100211400341</v>
      </c>
      <c r="AG42" s="756">
        <f>AF42/AD41</f>
        <v>0.13303024118476547</v>
      </c>
    </row>
    <row r="43" spans="1:33">
      <c r="A43" s="829"/>
      <c r="B43" s="824"/>
      <c r="C43" s="516" t="s">
        <v>331</v>
      </c>
      <c r="D43" s="613">
        <v>122.80205561937055</v>
      </c>
      <c r="E43" s="613">
        <f t="shared" si="23"/>
        <v>61.197332234806808</v>
      </c>
      <c r="F43" s="613">
        <v>138.98049056792897</v>
      </c>
      <c r="G43" s="613">
        <f t="shared" si="23"/>
        <v>-5.7991808613657554</v>
      </c>
      <c r="H43" s="616">
        <f t="shared" si="26"/>
        <v>19.619420805624742</v>
      </c>
      <c r="I43" s="636"/>
      <c r="J43" s="617">
        <v>122.80205561937055</v>
      </c>
      <c r="K43" s="613">
        <f t="shared" si="24"/>
        <v>61.197332234806808</v>
      </c>
      <c r="L43" s="613">
        <v>129.80224345731523</v>
      </c>
      <c r="M43" s="613">
        <f t="shared" si="25"/>
        <v>-14.977427971979495</v>
      </c>
      <c r="N43" s="613">
        <f t="shared" si="27"/>
        <v>10.441173695011003</v>
      </c>
      <c r="O43" s="806"/>
      <c r="P43" s="617">
        <v>122.80205561937055</v>
      </c>
      <c r="Q43" s="613">
        <f>P43-P$38</f>
        <v>61.197332234806808</v>
      </c>
      <c r="R43" s="617">
        <v>126.52533186832369</v>
      </c>
      <c r="S43" s="613">
        <f>R43-R$38</f>
        <v>-18.254339560971033</v>
      </c>
      <c r="T43" s="613">
        <f>R43-R$41</f>
        <v>7.1642621060194642</v>
      </c>
      <c r="U43" s="806"/>
      <c r="V43" s="617">
        <v>122.80205561937055</v>
      </c>
      <c r="W43" s="613">
        <f>V43-V$38</f>
        <v>61.197332234806808</v>
      </c>
      <c r="X43" s="617">
        <v>133.64785197323152</v>
      </c>
      <c r="Y43" s="613">
        <f>X43-X$38</f>
        <v>-11.131819456063198</v>
      </c>
      <c r="Z43" s="613">
        <f>X43-X$41</f>
        <v>9.8714893901787377</v>
      </c>
      <c r="AA43" s="806"/>
      <c r="AB43" s="617">
        <f>'B7 C&amp;M 28Tip'!C170</f>
        <v>119.28231877726527</v>
      </c>
      <c r="AC43" s="613">
        <f>AB43-AB$38</f>
        <v>57.677595392701534</v>
      </c>
      <c r="AD43" s="617">
        <f>'B7 C&amp;M 28Tip'!AG170</f>
        <v>133.32746868652063</v>
      </c>
      <c r="AE43" s="613">
        <f>AD43-AD$38</f>
        <v>-15.295202024016248</v>
      </c>
      <c r="AF43" s="613">
        <f>AD43-AD$41</f>
        <v>15.037822127551394</v>
      </c>
      <c r="AG43" s="756">
        <f>AF43/AD41</f>
        <v>0.12712712029327777</v>
      </c>
    </row>
    <row r="44" spans="1:33">
      <c r="A44" s="821"/>
      <c r="B44" s="823"/>
      <c r="C44" s="516" t="s">
        <v>334</v>
      </c>
      <c r="D44" s="613">
        <v>55.444251046107368</v>
      </c>
      <c r="E44" s="613"/>
      <c r="F44" s="613">
        <v>130.30170428636526</v>
      </c>
      <c r="G44" s="613"/>
      <c r="H44" s="616"/>
      <c r="I44" s="636"/>
      <c r="J44" s="617">
        <v>55.444251046107368</v>
      </c>
      <c r="K44" s="613"/>
      <c r="L44" s="613">
        <v>130.30170428636526</v>
      </c>
      <c r="M44" s="613"/>
      <c r="N44" s="613"/>
      <c r="O44" s="806"/>
      <c r="P44" s="617">
        <v>55.444251046107368</v>
      </c>
      <c r="Q44" s="613"/>
      <c r="R44" s="617">
        <v>130.30170428636526</v>
      </c>
      <c r="S44" s="613"/>
      <c r="T44" s="613"/>
      <c r="U44" s="806"/>
      <c r="V44" s="617">
        <v>55.444251046107368</v>
      </c>
      <c r="W44" s="613"/>
      <c r="X44" s="617">
        <v>130.30170428636526</v>
      </c>
      <c r="Y44" s="613"/>
      <c r="Z44" s="613"/>
      <c r="AA44" s="806"/>
      <c r="AB44" s="617">
        <f>'B7 C&amp;M 28Tip'!C171</f>
        <v>55.444251046107368</v>
      </c>
      <c r="AC44" s="613"/>
      <c r="AD44" s="617">
        <f>'B7 C&amp;M 28Tip'!AG171</f>
        <v>133.7604036394832</v>
      </c>
      <c r="AE44" s="613"/>
      <c r="AF44" s="613"/>
      <c r="AG44" s="613"/>
    </row>
    <row r="45" spans="1:33">
      <c r="A45" s="812"/>
      <c r="B45" s="813"/>
      <c r="C45" s="813"/>
      <c r="D45" s="813"/>
      <c r="E45" s="813"/>
      <c r="F45" s="813"/>
      <c r="G45" s="813"/>
      <c r="H45" s="814"/>
      <c r="I45" s="636"/>
      <c r="J45" s="854"/>
      <c r="K45" s="855"/>
      <c r="L45" s="855"/>
      <c r="M45" s="855"/>
      <c r="N45" s="856"/>
      <c r="O45" s="806"/>
      <c r="P45" s="854"/>
      <c r="Q45" s="855"/>
      <c r="R45" s="855"/>
      <c r="S45" s="855"/>
      <c r="T45" s="856"/>
      <c r="U45" s="806"/>
      <c r="V45" s="854"/>
      <c r="W45" s="855"/>
      <c r="X45" s="855"/>
      <c r="Y45" s="855"/>
      <c r="Z45" s="856"/>
      <c r="AA45" s="806"/>
      <c r="AB45" s="854"/>
      <c r="AC45" s="855"/>
      <c r="AD45" s="855"/>
      <c r="AE45" s="855"/>
      <c r="AF45" s="856"/>
      <c r="AG45" s="629"/>
    </row>
    <row r="46" spans="1:33">
      <c r="A46" s="820" t="s">
        <v>27</v>
      </c>
      <c r="B46" s="822" t="s">
        <v>831</v>
      </c>
      <c r="C46" s="516" t="s">
        <v>307</v>
      </c>
      <c r="D46" s="613">
        <v>64.079056687579651</v>
      </c>
      <c r="E46" s="613"/>
      <c r="F46" s="613">
        <v>141.82429755804907</v>
      </c>
      <c r="G46" s="613"/>
      <c r="H46" s="616"/>
      <c r="I46" s="636"/>
      <c r="J46" s="617">
        <v>64.079056687579651</v>
      </c>
      <c r="K46" s="613"/>
      <c r="L46" s="613">
        <v>141.82429755804907</v>
      </c>
      <c r="M46" s="613"/>
      <c r="N46" s="613"/>
      <c r="O46" s="806"/>
      <c r="P46" s="617">
        <v>64.079056687579651</v>
      </c>
      <c r="Q46" s="613"/>
      <c r="R46" s="617">
        <v>141.82429755804907</v>
      </c>
      <c r="S46" s="613"/>
      <c r="T46" s="613"/>
      <c r="U46" s="806"/>
      <c r="V46" s="617">
        <v>64.079056687579651</v>
      </c>
      <c r="W46" s="613"/>
      <c r="X46" s="617">
        <v>141.82429755804907</v>
      </c>
      <c r="Y46" s="613"/>
      <c r="Z46" s="613"/>
      <c r="AA46" s="806"/>
      <c r="AB46" s="617">
        <f>'B10 Cement 55 Tractor '!C165</f>
        <v>64.079056687579651</v>
      </c>
      <c r="AC46" s="613"/>
      <c r="AD46" s="617">
        <f>'B10 Cement 55 Tractor '!AG165</f>
        <v>147.44098881524917</v>
      </c>
      <c r="AE46" s="613"/>
      <c r="AF46" s="613"/>
      <c r="AG46" s="613"/>
    </row>
    <row r="47" spans="1:33">
      <c r="A47" s="829"/>
      <c r="B47" s="824"/>
      <c r="C47" s="516" t="s">
        <v>179</v>
      </c>
      <c r="D47" s="613">
        <v>61.125762955523953</v>
      </c>
      <c r="E47" s="613">
        <f>D47-D$46</f>
        <v>-2.9532937320556982</v>
      </c>
      <c r="F47" s="613">
        <v>146.40096307058238</v>
      </c>
      <c r="G47" s="613">
        <f>F47-F$46</f>
        <v>4.5766655125333102</v>
      </c>
      <c r="H47" s="616"/>
      <c r="I47" s="636"/>
      <c r="J47" s="617">
        <v>61.125762955523953</v>
      </c>
      <c r="K47" s="613">
        <f>J47-J$46</f>
        <v>-2.9532937320556982</v>
      </c>
      <c r="L47" s="613">
        <v>146.40096307058238</v>
      </c>
      <c r="M47" s="613">
        <f>L47-L$46</f>
        <v>4.5766655125333102</v>
      </c>
      <c r="N47" s="613"/>
      <c r="O47" s="806"/>
      <c r="P47" s="617">
        <v>61.125762955523953</v>
      </c>
      <c r="Q47" s="613">
        <f>P47-P$46</f>
        <v>-2.9532937320556982</v>
      </c>
      <c r="R47" s="617">
        <v>146.40096307058238</v>
      </c>
      <c r="S47" s="613">
        <f>R47-R$46</f>
        <v>4.5766655125333102</v>
      </c>
      <c r="T47" s="613"/>
      <c r="U47" s="806"/>
      <c r="V47" s="617">
        <v>61.125762955523953</v>
      </c>
      <c r="W47" s="613">
        <f>V47-V$46</f>
        <v>-2.9532937320556982</v>
      </c>
      <c r="X47" s="617">
        <v>146.40096307058238</v>
      </c>
      <c r="Y47" s="613">
        <f>X47-X$46</f>
        <v>4.5766655125333102</v>
      </c>
      <c r="Z47" s="613"/>
      <c r="AA47" s="806"/>
      <c r="AB47" s="617">
        <f>'B10 Cement 55 Tractor '!C166</f>
        <v>61.125762955523953</v>
      </c>
      <c r="AC47" s="613">
        <f>AB47-AB$46</f>
        <v>-2.9532937320556982</v>
      </c>
      <c r="AD47" s="617">
        <f>'B10 Cement 55 Tractor '!AG166</f>
        <v>158.23573607763336</v>
      </c>
      <c r="AE47" s="613">
        <f>AD47-AD$46</f>
        <v>10.794747262384192</v>
      </c>
      <c r="AF47" s="613"/>
      <c r="AG47" s="613"/>
    </row>
    <row r="48" spans="1:33">
      <c r="A48" s="829"/>
      <c r="B48" s="824"/>
      <c r="C48" s="516" t="s">
        <v>180</v>
      </c>
      <c r="D48" s="613">
        <v>62.26334034340482</v>
      </c>
      <c r="E48" s="613">
        <f t="shared" ref="E48:G51" si="28">D48-D$46</f>
        <v>-1.815716344174831</v>
      </c>
      <c r="F48" s="613">
        <v>147.50096636486236</v>
      </c>
      <c r="G48" s="613">
        <f t="shared" si="28"/>
        <v>5.6766688068132964</v>
      </c>
      <c r="H48" s="616"/>
      <c r="I48" s="636"/>
      <c r="J48" s="617">
        <v>62.26334034340482</v>
      </c>
      <c r="K48" s="613">
        <f t="shared" ref="K48:K51" si="29">J48-J$46</f>
        <v>-1.815716344174831</v>
      </c>
      <c r="L48" s="613">
        <v>147.50096636486236</v>
      </c>
      <c r="M48" s="613">
        <f t="shared" ref="M48:M51" si="30">L48-L$46</f>
        <v>5.6766688068132964</v>
      </c>
      <c r="N48" s="613"/>
      <c r="O48" s="806"/>
      <c r="P48" s="617">
        <v>62.26334034340482</v>
      </c>
      <c r="Q48" s="613">
        <f>P48-P$46</f>
        <v>-1.815716344174831</v>
      </c>
      <c r="R48" s="617">
        <v>147.50096636486236</v>
      </c>
      <c r="S48" s="613">
        <f>R48-R$46</f>
        <v>5.6766688068132964</v>
      </c>
      <c r="T48" s="613"/>
      <c r="U48" s="806"/>
      <c r="V48" s="617">
        <v>62.26334034340482</v>
      </c>
      <c r="W48" s="613">
        <f>V48-V$46</f>
        <v>-1.815716344174831</v>
      </c>
      <c r="X48" s="617">
        <v>147.50096636486236</v>
      </c>
      <c r="Y48" s="613">
        <f>X48-X$46</f>
        <v>5.6766688068132964</v>
      </c>
      <c r="Z48" s="613"/>
      <c r="AA48" s="806"/>
      <c r="AB48" s="617">
        <f>'B10 Cement 55 Tractor '!C167</f>
        <v>62.26334034340482</v>
      </c>
      <c r="AC48" s="613">
        <f>AB48-AB$46</f>
        <v>-1.815716344174831</v>
      </c>
      <c r="AD48" s="617">
        <f>'B10 Cement 55 Tractor '!AG167</f>
        <v>158.08116060672106</v>
      </c>
      <c r="AE48" s="613">
        <f>AD48-AD$46</f>
        <v>10.640171791471886</v>
      </c>
      <c r="AF48" s="613"/>
      <c r="AG48" s="613"/>
    </row>
    <row r="49" spans="1:33">
      <c r="A49" s="829"/>
      <c r="B49" s="824"/>
      <c r="C49" s="516" t="s">
        <v>182</v>
      </c>
      <c r="D49" s="613">
        <v>73.960718690539963</v>
      </c>
      <c r="E49" s="613">
        <f t="shared" si="28"/>
        <v>9.8816620029603115</v>
      </c>
      <c r="F49" s="613">
        <v>100.64861599394044</v>
      </c>
      <c r="G49" s="613">
        <f t="shared" si="28"/>
        <v>-41.175681564108629</v>
      </c>
      <c r="H49" s="616">
        <f>F49-F$49</f>
        <v>0</v>
      </c>
      <c r="I49" s="636"/>
      <c r="J49" s="617">
        <v>73.960718690539963</v>
      </c>
      <c r="K49" s="613">
        <f t="shared" si="29"/>
        <v>9.8816620029603115</v>
      </c>
      <c r="L49" s="613">
        <v>100.64861599394044</v>
      </c>
      <c r="M49" s="613">
        <f t="shared" si="30"/>
        <v>-41.175681564108629</v>
      </c>
      <c r="N49" s="613">
        <f>L49-L$49</f>
        <v>0</v>
      </c>
      <c r="O49" s="806"/>
      <c r="P49" s="617">
        <v>73.960718690539963</v>
      </c>
      <c r="Q49" s="613">
        <f>P49-P$46</f>
        <v>9.8816620029603115</v>
      </c>
      <c r="R49" s="617">
        <v>100.64861599394044</v>
      </c>
      <c r="S49" s="613">
        <f>R49-R$46</f>
        <v>-41.175681564108629</v>
      </c>
      <c r="T49" s="613">
        <f>R49-R$49</f>
        <v>0</v>
      </c>
      <c r="U49" s="806"/>
      <c r="V49" s="617">
        <v>73.960718690539963</v>
      </c>
      <c r="W49" s="613">
        <f>V49-V$46</f>
        <v>9.8816620029603115</v>
      </c>
      <c r="X49" s="617">
        <v>106.18677689328722</v>
      </c>
      <c r="Y49" s="613">
        <f>X49-X$46</f>
        <v>-35.637520664761851</v>
      </c>
      <c r="Z49" s="613">
        <f>X49-X$49</f>
        <v>0</v>
      </c>
      <c r="AA49" s="806"/>
      <c r="AB49" s="617">
        <f>'B10 Cement 55 Tractor '!C168</f>
        <v>65.158997992512312</v>
      </c>
      <c r="AC49" s="613">
        <f>AB49-AB$46</f>
        <v>1.0799413049326603</v>
      </c>
      <c r="AD49" s="617">
        <f>'B10 Cement 55 Tractor '!AG168</f>
        <v>99.453567036374494</v>
      </c>
      <c r="AE49" s="613">
        <f>AD49-AD$46</f>
        <v>-47.987421778874676</v>
      </c>
      <c r="AF49" s="613"/>
      <c r="AG49" s="613"/>
    </row>
    <row r="50" spans="1:33">
      <c r="A50" s="829"/>
      <c r="B50" s="824"/>
      <c r="C50" s="516" t="s">
        <v>327</v>
      </c>
      <c r="D50" s="613">
        <v>133.74030913604676</v>
      </c>
      <c r="E50" s="613">
        <f t="shared" si="28"/>
        <v>69.66125244846711</v>
      </c>
      <c r="F50" s="613">
        <v>134.71105210020696</v>
      </c>
      <c r="G50" s="613">
        <f t="shared" si="28"/>
        <v>-7.1132454578421118</v>
      </c>
      <c r="H50" s="616">
        <f t="shared" ref="H50:H51" si="31">F50-F$49</f>
        <v>34.062436106266517</v>
      </c>
      <c r="I50" s="636"/>
      <c r="J50" s="617">
        <v>133.74030913604676</v>
      </c>
      <c r="K50" s="613">
        <f t="shared" si="29"/>
        <v>69.66125244846711</v>
      </c>
      <c r="L50" s="613">
        <v>116.8252372179853</v>
      </c>
      <c r="M50" s="613">
        <f t="shared" si="30"/>
        <v>-24.999060340063764</v>
      </c>
      <c r="N50" s="613">
        <f t="shared" ref="N50:N51" si="32">L50-L$49</f>
        <v>16.176621224044865</v>
      </c>
      <c r="O50" s="806"/>
      <c r="P50" s="617">
        <v>133.74030913604676</v>
      </c>
      <c r="Q50" s="613">
        <f>P50-P$46</f>
        <v>69.66125244846711</v>
      </c>
      <c r="R50" s="617">
        <v>110.43946078815569</v>
      </c>
      <c r="S50" s="613">
        <f>R50-R$46</f>
        <v>-31.384836769893383</v>
      </c>
      <c r="T50" s="613">
        <f>R50-R$49</f>
        <v>9.7908447942152463</v>
      </c>
      <c r="U50" s="806"/>
      <c r="V50" s="617">
        <v>133.74030913604676</v>
      </c>
      <c r="W50" s="613">
        <f>V50-V$46</f>
        <v>69.66125244846711</v>
      </c>
      <c r="X50" s="617">
        <v>124.31924355669398</v>
      </c>
      <c r="Y50" s="613">
        <f>X50-X$46</f>
        <v>-17.505054001355091</v>
      </c>
      <c r="Z50" s="613">
        <f>X50-X$49</f>
        <v>18.13246666340676</v>
      </c>
      <c r="AA50" s="806"/>
      <c r="AB50" s="617">
        <f>'B10 Cement 55 Tractor '!C169</f>
        <v>126.88133477707242</v>
      </c>
      <c r="AC50" s="613">
        <f>AB50-AB$46</f>
        <v>62.802278089492773</v>
      </c>
      <c r="AD50" s="617">
        <f>'B10 Cement 55 Tractor '!AG169</f>
        <v>123.69490689541121</v>
      </c>
      <c r="AE50" s="613">
        <f>AD50-AD$46</f>
        <v>-23.746081919837962</v>
      </c>
      <c r="AF50" s="613">
        <f>AD50-AD$49</f>
        <v>24.241339859036714</v>
      </c>
      <c r="AG50" s="756">
        <f>AF50/AD49</f>
        <v>0.24374530327474933</v>
      </c>
    </row>
    <row r="51" spans="1:33">
      <c r="A51" s="829"/>
      <c r="B51" s="824"/>
      <c r="C51" s="516" t="s">
        <v>331</v>
      </c>
      <c r="D51" s="613">
        <v>133.58283117799454</v>
      </c>
      <c r="E51" s="613">
        <f t="shared" si="28"/>
        <v>69.503774490414884</v>
      </c>
      <c r="F51" s="613">
        <v>131.58460187864435</v>
      </c>
      <c r="G51" s="613">
        <f t="shared" si="28"/>
        <v>-10.239695679404718</v>
      </c>
      <c r="H51" s="616">
        <f t="shared" si="31"/>
        <v>30.935985884703911</v>
      </c>
      <c r="I51" s="636"/>
      <c r="J51" s="617">
        <v>133.58283117799454</v>
      </c>
      <c r="K51" s="613">
        <f t="shared" si="29"/>
        <v>69.503774490414884</v>
      </c>
      <c r="L51" s="613">
        <v>118.17024071697807</v>
      </c>
      <c r="M51" s="613">
        <f t="shared" si="30"/>
        <v>-23.654056841070997</v>
      </c>
      <c r="N51" s="613">
        <f t="shared" si="32"/>
        <v>17.521624723037633</v>
      </c>
      <c r="O51" s="806"/>
      <c r="P51" s="617">
        <v>133.58283117799454</v>
      </c>
      <c r="Q51" s="613">
        <f>P51-P$46</f>
        <v>69.503774490414884</v>
      </c>
      <c r="R51" s="617">
        <v>113.38090839460585</v>
      </c>
      <c r="S51" s="613">
        <f>R51-R$46</f>
        <v>-28.443389163443214</v>
      </c>
      <c r="T51" s="613">
        <f>R51-R$49</f>
        <v>12.732292400665415</v>
      </c>
      <c r="U51" s="806"/>
      <c r="V51" s="617">
        <v>133.58283117799454</v>
      </c>
      <c r="W51" s="613">
        <f>V51-V$46</f>
        <v>69.503774490414884</v>
      </c>
      <c r="X51" s="617">
        <v>123.79074547100959</v>
      </c>
      <c r="Y51" s="613">
        <f>X51-X$46</f>
        <v>-18.033552087039482</v>
      </c>
      <c r="Z51" s="613">
        <f>X51-X$49</f>
        <v>17.60396857772237</v>
      </c>
      <c r="AA51" s="806"/>
      <c r="AB51" s="617">
        <f>'B10 Cement 55 Tractor '!C170</f>
        <v>128.43860040876376</v>
      </c>
      <c r="AC51" s="613">
        <f>AB51-AB$46</f>
        <v>64.35954372118411</v>
      </c>
      <c r="AD51" s="617">
        <f>'B10 Cement 55 Tractor '!AG170</f>
        <v>123.32249297504754</v>
      </c>
      <c r="AE51" s="613">
        <f>AD51-AD$46</f>
        <v>-24.118495840201632</v>
      </c>
      <c r="AF51" s="613">
        <f>AD51-AD$49</f>
        <v>23.868925938673044</v>
      </c>
      <c r="AG51" s="756">
        <f>AF51/AD49</f>
        <v>0.24000070233723381</v>
      </c>
    </row>
    <row r="52" spans="1:33">
      <c r="A52" s="821"/>
      <c r="B52" s="823"/>
      <c r="C52" s="516" t="s">
        <v>334</v>
      </c>
      <c r="D52" s="613">
        <v>57.671151018821689</v>
      </c>
      <c r="E52" s="613"/>
      <c r="F52" s="613">
        <v>127.64186780224416</v>
      </c>
      <c r="G52" s="613"/>
      <c r="H52" s="616"/>
      <c r="I52" s="636"/>
      <c r="J52" s="617">
        <v>57.671151018821689</v>
      </c>
      <c r="K52" s="613"/>
      <c r="L52" s="613">
        <v>127.64186780224416</v>
      </c>
      <c r="M52" s="613"/>
      <c r="N52" s="613"/>
      <c r="O52" s="806"/>
      <c r="P52" s="617">
        <v>57.671151018821689</v>
      </c>
      <c r="Q52" s="613"/>
      <c r="R52" s="617">
        <v>127.64186780224416</v>
      </c>
      <c r="S52" s="613"/>
      <c r="T52" s="613"/>
      <c r="U52" s="806"/>
      <c r="V52" s="617">
        <v>57.671151018821689</v>
      </c>
      <c r="W52" s="613"/>
      <c r="X52" s="617">
        <v>127.64186780224416</v>
      </c>
      <c r="Y52" s="613"/>
      <c r="Z52" s="613"/>
      <c r="AA52" s="806"/>
      <c r="AB52" s="617">
        <f>'B10 Cement 55 Tractor '!C171</f>
        <v>57.671151018821689</v>
      </c>
      <c r="AC52" s="613"/>
      <c r="AD52" s="617">
        <f>'B10 Cement 55 Tractor '!AG171</f>
        <v>132.69688993372426</v>
      </c>
      <c r="AE52" s="613"/>
      <c r="AF52" s="613"/>
      <c r="AG52" s="613"/>
    </row>
    <row r="53" spans="1:33">
      <c r="A53" s="812"/>
      <c r="B53" s="813"/>
      <c r="C53" s="813"/>
      <c r="D53" s="813"/>
      <c r="E53" s="813"/>
      <c r="F53" s="813"/>
      <c r="G53" s="813"/>
      <c r="H53" s="814"/>
      <c r="I53" s="636"/>
      <c r="J53" s="854"/>
      <c r="K53" s="855"/>
      <c r="L53" s="855"/>
      <c r="M53" s="855"/>
      <c r="N53" s="856"/>
      <c r="O53" s="806"/>
      <c r="P53" s="854"/>
      <c r="Q53" s="855"/>
      <c r="R53" s="855"/>
      <c r="S53" s="855"/>
      <c r="T53" s="856"/>
      <c r="U53" s="806"/>
      <c r="V53" s="854"/>
      <c r="W53" s="855"/>
      <c r="X53" s="855"/>
      <c r="Y53" s="855"/>
      <c r="Z53" s="856"/>
      <c r="AA53" s="806"/>
      <c r="AB53" s="854"/>
      <c r="AC53" s="855"/>
      <c r="AD53" s="855"/>
      <c r="AE53" s="855"/>
      <c r="AF53" s="856"/>
      <c r="AG53" s="629"/>
    </row>
    <row r="54" spans="1:33">
      <c r="A54" s="820" t="s">
        <v>35</v>
      </c>
      <c r="B54" s="822" t="s">
        <v>832</v>
      </c>
      <c r="C54" s="516" t="s">
        <v>307</v>
      </c>
      <c r="D54" s="613">
        <v>60.271456499917136</v>
      </c>
      <c r="E54" s="613"/>
      <c r="F54" s="613">
        <v>145.46319865268626</v>
      </c>
      <c r="G54" s="613"/>
      <c r="H54" s="616"/>
      <c r="I54" s="636"/>
      <c r="J54" s="617">
        <v>60.271456499917136</v>
      </c>
      <c r="K54" s="613"/>
      <c r="L54" s="613">
        <v>145.46319865268626</v>
      </c>
      <c r="M54" s="613"/>
      <c r="N54" s="613"/>
      <c r="O54" s="806"/>
      <c r="P54" s="617">
        <v>60.271456499917136</v>
      </c>
      <c r="Q54" s="613"/>
      <c r="R54" s="617">
        <v>145.46319865268626</v>
      </c>
      <c r="S54" s="613"/>
      <c r="T54" s="613"/>
      <c r="U54" s="806"/>
      <c r="V54" s="617">
        <v>60.271456499917136</v>
      </c>
      <c r="W54" s="613"/>
      <c r="X54" s="617">
        <v>145.46319865268626</v>
      </c>
      <c r="Y54" s="613"/>
      <c r="Z54" s="613"/>
      <c r="AA54" s="806"/>
      <c r="AB54" s="617">
        <f>'B14 LPG Tankers 40T'!C165</f>
        <v>60.271456499917136</v>
      </c>
      <c r="AC54" s="613"/>
      <c r="AD54" s="617">
        <f>'B14 LPG Tankers 40T'!AG165</f>
        <v>149.51969789399743</v>
      </c>
      <c r="AE54" s="613"/>
      <c r="AF54" s="613"/>
      <c r="AG54" s="613"/>
    </row>
    <row r="55" spans="1:33">
      <c r="A55" s="829"/>
      <c r="B55" s="824"/>
      <c r="C55" s="516" t="s">
        <v>179</v>
      </c>
      <c r="D55" s="613">
        <v>59.411165147960737</v>
      </c>
      <c r="E55" s="613">
        <f>D55-D$54</f>
        <v>-0.86029135195639839</v>
      </c>
      <c r="F55" s="613">
        <v>152.05355788753818</v>
      </c>
      <c r="G55" s="613">
        <f>F55-F$54</f>
        <v>6.5903592348519169</v>
      </c>
      <c r="H55" s="616"/>
      <c r="I55" s="636"/>
      <c r="J55" s="617">
        <v>59.411165147960737</v>
      </c>
      <c r="K55" s="613">
        <f>J55-J$54</f>
        <v>-0.86029135195639839</v>
      </c>
      <c r="L55" s="613">
        <v>152.05355788753818</v>
      </c>
      <c r="M55" s="613">
        <f>L55-L$54</f>
        <v>6.5903592348519169</v>
      </c>
      <c r="N55" s="613"/>
      <c r="O55" s="806"/>
      <c r="P55" s="617">
        <v>59.411165147960737</v>
      </c>
      <c r="Q55" s="613">
        <f>P55-P$54</f>
        <v>-0.86029135195639839</v>
      </c>
      <c r="R55" s="617">
        <v>152.05355788753818</v>
      </c>
      <c r="S55" s="613">
        <f>R55-R$54</f>
        <v>6.5903592348519169</v>
      </c>
      <c r="T55" s="613"/>
      <c r="U55" s="806"/>
      <c r="V55" s="617">
        <v>59.411165147960737</v>
      </c>
      <c r="W55" s="613">
        <f>V55-V$54</f>
        <v>-0.86029135195639839</v>
      </c>
      <c r="X55" s="617">
        <v>152.05355788753818</v>
      </c>
      <c r="Y55" s="613">
        <f>X55-X$54</f>
        <v>6.5903592348519169</v>
      </c>
      <c r="Z55" s="613"/>
      <c r="AA55" s="806"/>
      <c r="AB55" s="617">
        <f>'B14 LPG Tankers 40T'!C166</f>
        <v>59.411165147960737</v>
      </c>
      <c r="AC55" s="613">
        <f>AB55-AB$54</f>
        <v>-0.86029135195639839</v>
      </c>
      <c r="AD55" s="617">
        <f>'B14 LPG Tankers 40T'!AG166</f>
        <v>160.77391694536524</v>
      </c>
      <c r="AE55" s="613">
        <f>AD55-AD$54</f>
        <v>11.254219051367812</v>
      </c>
      <c r="AF55" s="613"/>
      <c r="AG55" s="613"/>
    </row>
    <row r="56" spans="1:33">
      <c r="A56" s="829"/>
      <c r="B56" s="824"/>
      <c r="C56" s="516" t="s">
        <v>180</v>
      </c>
      <c r="D56" s="613">
        <v>61.483761941235365</v>
      </c>
      <c r="E56" s="613">
        <f t="shared" ref="E56:G59" si="33">D56-D$54</f>
        <v>1.2123054413182288</v>
      </c>
      <c r="F56" s="613">
        <v>154.19929879517269</v>
      </c>
      <c r="G56" s="613">
        <f t="shared" si="33"/>
        <v>8.7361001424864355</v>
      </c>
      <c r="H56" s="616"/>
      <c r="I56" s="636"/>
      <c r="J56" s="617">
        <v>61.483761941235365</v>
      </c>
      <c r="K56" s="613">
        <f t="shared" ref="K56:K59" si="34">J56-J$54</f>
        <v>1.2123054413182288</v>
      </c>
      <c r="L56" s="613">
        <v>154.19929879517269</v>
      </c>
      <c r="M56" s="613">
        <f t="shared" ref="M56:M59" si="35">L56-L$54</f>
        <v>8.7361001424864355</v>
      </c>
      <c r="N56" s="613"/>
      <c r="O56" s="806"/>
      <c r="P56" s="617">
        <v>61.483761941235365</v>
      </c>
      <c r="Q56" s="613">
        <f>P56-P$54</f>
        <v>1.2123054413182288</v>
      </c>
      <c r="R56" s="617">
        <v>154.19929879517269</v>
      </c>
      <c r="S56" s="613">
        <f>R56-R$54</f>
        <v>8.7361001424864355</v>
      </c>
      <c r="T56" s="613"/>
      <c r="U56" s="806"/>
      <c r="V56" s="617">
        <v>61.483761941235365</v>
      </c>
      <c r="W56" s="613">
        <f>V56-V$54</f>
        <v>1.2123054413182288</v>
      </c>
      <c r="X56" s="617">
        <v>154.19929879517269</v>
      </c>
      <c r="Y56" s="613">
        <f>X56-X$54</f>
        <v>8.7361001424864355</v>
      </c>
      <c r="Z56" s="613"/>
      <c r="AA56" s="806"/>
      <c r="AB56" s="617">
        <f>'B14 LPG Tankers 40T'!C167</f>
        <v>61.483761941235365</v>
      </c>
      <c r="AC56" s="613">
        <f>AB56-AB$54</f>
        <v>1.2123054413182288</v>
      </c>
      <c r="AD56" s="617">
        <f>'B14 LPG Tankers 40T'!AG167</f>
        <v>161.91998107977227</v>
      </c>
      <c r="AE56" s="613">
        <f>AD56-AD$54</f>
        <v>12.400283185774839</v>
      </c>
      <c r="AF56" s="613"/>
      <c r="AG56" s="613"/>
    </row>
    <row r="57" spans="1:33">
      <c r="A57" s="829"/>
      <c r="B57" s="824"/>
      <c r="C57" s="516" t="s">
        <v>182</v>
      </c>
      <c r="D57" s="613">
        <v>86.34776649182345</v>
      </c>
      <c r="E57" s="613">
        <f t="shared" si="33"/>
        <v>26.076309991906314</v>
      </c>
      <c r="F57" s="613">
        <v>124.47563286671705</v>
      </c>
      <c r="G57" s="613">
        <f t="shared" si="33"/>
        <v>-20.98756578596921</v>
      </c>
      <c r="H57" s="616">
        <f>F57-F$57</f>
        <v>0</v>
      </c>
      <c r="I57" s="636"/>
      <c r="J57" s="617">
        <v>86.34776649182345</v>
      </c>
      <c r="K57" s="613">
        <f t="shared" si="34"/>
        <v>26.076309991906314</v>
      </c>
      <c r="L57" s="613">
        <v>124.47563286671705</v>
      </c>
      <c r="M57" s="613">
        <f t="shared" si="35"/>
        <v>-20.98756578596921</v>
      </c>
      <c r="N57" s="613">
        <f>L57-L$57</f>
        <v>0</v>
      </c>
      <c r="O57" s="806"/>
      <c r="P57" s="617">
        <v>86.34776649182345</v>
      </c>
      <c r="Q57" s="613">
        <f>P57-P$54</f>
        <v>26.076309991906314</v>
      </c>
      <c r="R57" s="617">
        <v>124.47563286671705</v>
      </c>
      <c r="S57" s="613">
        <f>R57-R$54</f>
        <v>-20.98756578596921</v>
      </c>
      <c r="T57" s="613">
        <f>R57-R$57</f>
        <v>0</v>
      </c>
      <c r="U57" s="806"/>
      <c r="V57" s="617">
        <v>86.34776649182345</v>
      </c>
      <c r="W57" s="613">
        <f>V57-V$54</f>
        <v>26.076309991906314</v>
      </c>
      <c r="X57" s="617">
        <v>129.24990950408497</v>
      </c>
      <c r="Y57" s="613">
        <f>X57-X$54</f>
        <v>-16.213289148601291</v>
      </c>
      <c r="Z57" s="613">
        <f>X57-X$57</f>
        <v>0</v>
      </c>
      <c r="AA57" s="806"/>
      <c r="AB57" s="617">
        <f>'B14 LPG Tankers 40T'!C168</f>
        <v>78.760076234903067</v>
      </c>
      <c r="AC57" s="613">
        <f>AB57-AB$54</f>
        <v>18.488619734985932</v>
      </c>
      <c r="AD57" s="617">
        <f>'B14 LPG Tankers 40T'!AG169</f>
        <v>133.76536165362307</v>
      </c>
      <c r="AE57" s="613">
        <f t="shared" ref="AE57:AE59" si="36">AD57-AD$54</f>
        <v>-15.754336240374357</v>
      </c>
      <c r="AF57" s="613"/>
      <c r="AG57" s="613"/>
    </row>
    <row r="58" spans="1:33">
      <c r="A58" s="829"/>
      <c r="B58" s="824"/>
      <c r="C58" s="516" t="s">
        <v>327</v>
      </c>
      <c r="D58" s="613">
        <v>115.48940732009244</v>
      </c>
      <c r="E58" s="613">
        <f t="shared" si="33"/>
        <v>55.217950820175304</v>
      </c>
      <c r="F58" s="613">
        <v>141.72146652375332</v>
      </c>
      <c r="G58" s="613">
        <f t="shared" si="33"/>
        <v>-3.7417321289329379</v>
      </c>
      <c r="H58" s="616">
        <f t="shared" ref="H58:H59" si="37">F58-F$57</f>
        <v>17.245833657036272</v>
      </c>
      <c r="I58" s="636"/>
      <c r="J58" s="617">
        <v>115.48940732009244</v>
      </c>
      <c r="K58" s="613">
        <f t="shared" si="34"/>
        <v>55.217950820175304</v>
      </c>
      <c r="L58" s="613">
        <v>128.8039335532599</v>
      </c>
      <c r="M58" s="613">
        <f t="shared" si="35"/>
        <v>-16.659265099426364</v>
      </c>
      <c r="N58" s="613">
        <f t="shared" ref="N58:N59" si="38">L58-L$57</f>
        <v>4.3283006865428462</v>
      </c>
      <c r="O58" s="806"/>
      <c r="P58" s="617">
        <v>115.48940732009244</v>
      </c>
      <c r="Q58" s="613">
        <f>P58-P$54</f>
        <v>55.217950820175304</v>
      </c>
      <c r="R58" s="617">
        <v>124.19198390949407</v>
      </c>
      <c r="S58" s="613">
        <f>R58-R$54</f>
        <v>-21.271214743192189</v>
      </c>
      <c r="T58" s="613">
        <f>R58-R$57</f>
        <v>-0.28364895722297945</v>
      </c>
      <c r="U58" s="806"/>
      <c r="V58" s="617">
        <v>115.48940732009244</v>
      </c>
      <c r="W58" s="613">
        <f>V58-V$54</f>
        <v>55.217950820175304</v>
      </c>
      <c r="X58" s="617">
        <v>134.21627146454952</v>
      </c>
      <c r="Y58" s="613">
        <f>X58-X$54</f>
        <v>-11.246927188136738</v>
      </c>
      <c r="Z58" s="613">
        <f>X58-X$57</f>
        <v>4.9663619604645532</v>
      </c>
      <c r="AA58" s="806"/>
      <c r="AB58" s="617">
        <f>'B14 LPG Tankers 40T'!C169</f>
        <v>110.53570361638874</v>
      </c>
      <c r="AC58" s="613">
        <f>AB58-AB$54</f>
        <v>50.264247116471608</v>
      </c>
      <c r="AD58" s="617">
        <f>'B14 LPG Tankers 40T'!AG168</f>
        <v>123.44541824812573</v>
      </c>
      <c r="AE58" s="613">
        <f t="shared" si="36"/>
        <v>-26.074279645871698</v>
      </c>
      <c r="AF58" s="613">
        <f t="shared" ref="AF58:AF59" si="39">AD59-AD$58</f>
        <v>17.524677119062531</v>
      </c>
      <c r="AG58" s="756">
        <f>AF58/AD57</f>
        <v>0.13101057629882967</v>
      </c>
    </row>
    <row r="59" spans="1:33">
      <c r="A59" s="829"/>
      <c r="B59" s="824"/>
      <c r="C59" s="516" t="s">
        <v>331</v>
      </c>
      <c r="D59" s="613">
        <v>128.54406403638967</v>
      </c>
      <c r="E59" s="613">
        <f t="shared" si="33"/>
        <v>68.272607536472535</v>
      </c>
      <c r="F59" s="613">
        <v>146.93717401978594</v>
      </c>
      <c r="G59" s="613">
        <f t="shared" si="33"/>
        <v>1.4739753670996834</v>
      </c>
      <c r="H59" s="616">
        <f t="shared" si="37"/>
        <v>22.461541153068893</v>
      </c>
      <c r="I59" s="636"/>
      <c r="J59" s="617">
        <v>128.54406403638967</v>
      </c>
      <c r="K59" s="613">
        <f t="shared" si="34"/>
        <v>68.272607536472535</v>
      </c>
      <c r="L59" s="613">
        <v>137.2490242919159</v>
      </c>
      <c r="M59" s="613">
        <f t="shared" si="35"/>
        <v>-8.2141743607703575</v>
      </c>
      <c r="N59" s="613">
        <f t="shared" si="38"/>
        <v>12.773391425198852</v>
      </c>
      <c r="O59" s="806"/>
      <c r="P59" s="617">
        <v>128.54406403638967</v>
      </c>
      <c r="Q59" s="613">
        <f>P59-P$54</f>
        <v>68.272607536472535</v>
      </c>
      <c r="R59" s="617">
        <v>133.79006205909153</v>
      </c>
      <c r="S59" s="613">
        <f>R59-R$54</f>
        <v>-11.673136593594734</v>
      </c>
      <c r="T59" s="613">
        <f>R59-R$57</f>
        <v>9.314429192374476</v>
      </c>
      <c r="U59" s="806"/>
      <c r="V59" s="617">
        <v>128.54406403638967</v>
      </c>
      <c r="W59" s="613">
        <f>V59-V$54</f>
        <v>68.272607536472535</v>
      </c>
      <c r="X59" s="617">
        <v>141.30827772538308</v>
      </c>
      <c r="Y59" s="613">
        <f>X59-X$54</f>
        <v>-4.1549209273031806</v>
      </c>
      <c r="Z59" s="613">
        <f>X59-X$57</f>
        <v>12.05836822129811</v>
      </c>
      <c r="AA59" s="806"/>
      <c r="AB59" s="617">
        <f>'B14 LPG Tankers 40T'!C170</f>
        <v>124.82878625861187</v>
      </c>
      <c r="AC59" s="613">
        <f>AB59-AB$54</f>
        <v>64.557329758694735</v>
      </c>
      <c r="AD59" s="617">
        <f>'B14 LPG Tankers 40T'!AG170</f>
        <v>140.97009536718826</v>
      </c>
      <c r="AE59" s="613">
        <f t="shared" si="36"/>
        <v>-8.5496025268091671</v>
      </c>
      <c r="AF59" s="613">
        <f t="shared" si="39"/>
        <v>11.122309856471972</v>
      </c>
      <c r="AG59" s="756">
        <f>AF59/AD57</f>
        <v>8.3147907043921346E-2</v>
      </c>
    </row>
    <row r="60" spans="1:33">
      <c r="A60" s="821"/>
      <c r="B60" s="823"/>
      <c r="C60" s="516" t="s">
        <v>334</v>
      </c>
      <c r="D60" s="613">
        <v>54.244310849925427</v>
      </c>
      <c r="E60" s="613"/>
      <c r="F60" s="613">
        <v>130.91687878741763</v>
      </c>
      <c r="G60" s="613"/>
      <c r="H60" s="616"/>
      <c r="I60" s="637"/>
      <c r="J60" s="617">
        <v>54.244310849925427</v>
      </c>
      <c r="K60" s="613"/>
      <c r="L60" s="613">
        <v>130.91687878741763</v>
      </c>
      <c r="M60" s="613"/>
      <c r="N60" s="613"/>
      <c r="O60" s="807"/>
      <c r="P60" s="617">
        <v>54.244310849925427</v>
      </c>
      <c r="Q60" s="613"/>
      <c r="R60" s="617">
        <v>130.91687878741763</v>
      </c>
      <c r="S60" s="613"/>
      <c r="T60" s="613"/>
      <c r="U60" s="807"/>
      <c r="V60" s="617">
        <v>54.244310849925427</v>
      </c>
      <c r="W60" s="613"/>
      <c r="X60" s="617">
        <v>130.91687878741763</v>
      </c>
      <c r="Y60" s="613"/>
      <c r="Z60" s="613"/>
      <c r="AA60" s="807"/>
      <c r="AB60" s="617">
        <f>'B14 LPG Tankers 40T'!C171</f>
        <v>54.244310849925427</v>
      </c>
      <c r="AC60" s="613"/>
      <c r="AD60" s="617">
        <f>'B14 LPG Tankers 40T'!AG171</f>
        <v>134.56772810459771</v>
      </c>
      <c r="AE60" s="613"/>
      <c r="AF60" s="613"/>
      <c r="AG60" s="613"/>
    </row>
  </sheetData>
  <mergeCells count="89">
    <mergeCell ref="AG4:AG5"/>
    <mergeCell ref="AB3:AC3"/>
    <mergeCell ref="AD3:AG3"/>
    <mergeCell ref="D3:H3"/>
    <mergeCell ref="J3:N3"/>
    <mergeCell ref="P3:T3"/>
    <mergeCell ref="V3:Z3"/>
    <mergeCell ref="U2:U60"/>
    <mergeCell ref="D4:D5"/>
    <mergeCell ref="L4:L5"/>
    <mergeCell ref="M4:M5"/>
    <mergeCell ref="N4:N5"/>
    <mergeCell ref="J2:N2"/>
    <mergeCell ref="P13:T13"/>
    <mergeCell ref="P21:T21"/>
    <mergeCell ref="P29:T29"/>
    <mergeCell ref="V53:Z53"/>
    <mergeCell ref="V13:Z13"/>
    <mergeCell ref="V21:Z21"/>
    <mergeCell ref="V29:Z29"/>
    <mergeCell ref="V37:Z37"/>
    <mergeCell ref="V45:Z45"/>
    <mergeCell ref="V2:Z2"/>
    <mergeCell ref="V4:V5"/>
    <mergeCell ref="W4:W5"/>
    <mergeCell ref="X4:X5"/>
    <mergeCell ref="Y4:Y5"/>
    <mergeCell ref="Z4:Z5"/>
    <mergeCell ref="P53:T53"/>
    <mergeCell ref="A54:A60"/>
    <mergeCell ref="B54:B60"/>
    <mergeCell ref="A37:H37"/>
    <mergeCell ref="J37:N37"/>
    <mergeCell ref="A38:A44"/>
    <mergeCell ref="B38:B44"/>
    <mergeCell ref="A45:H45"/>
    <mergeCell ref="J45:N45"/>
    <mergeCell ref="A46:A52"/>
    <mergeCell ref="B46:B52"/>
    <mergeCell ref="A53:H53"/>
    <mergeCell ref="J53:N53"/>
    <mergeCell ref="P37:T37"/>
    <mergeCell ref="P45:T45"/>
    <mergeCell ref="AK4:AN4"/>
    <mergeCell ref="A6:A12"/>
    <mergeCell ref="B6:B12"/>
    <mergeCell ref="E4:E5"/>
    <mergeCell ref="F4:F5"/>
    <mergeCell ref="G4:G5"/>
    <mergeCell ref="H4:H5"/>
    <mergeCell ref="J4:J5"/>
    <mergeCell ref="K4:K5"/>
    <mergeCell ref="O2:O60"/>
    <mergeCell ref="P2:T2"/>
    <mergeCell ref="P4:P5"/>
    <mergeCell ref="Q4:Q5"/>
    <mergeCell ref="R4:R5"/>
    <mergeCell ref="S4:S5"/>
    <mergeCell ref="T4:T5"/>
    <mergeCell ref="AB21:AF21"/>
    <mergeCell ref="AB45:AF45"/>
    <mergeCell ref="A30:A36"/>
    <mergeCell ref="B30:B36"/>
    <mergeCell ref="A13:H13"/>
    <mergeCell ref="J13:N13"/>
    <mergeCell ref="A14:A20"/>
    <mergeCell ref="B14:B20"/>
    <mergeCell ref="A21:H21"/>
    <mergeCell ref="J21:N21"/>
    <mergeCell ref="A22:A28"/>
    <mergeCell ref="B22:B28"/>
    <mergeCell ref="A29:H29"/>
    <mergeCell ref="J29:N29"/>
    <mergeCell ref="AB53:AF53"/>
    <mergeCell ref="D2:H2"/>
    <mergeCell ref="AB29:AF29"/>
    <mergeCell ref="AB37:AF37"/>
    <mergeCell ref="A1:N1"/>
    <mergeCell ref="C2:C5"/>
    <mergeCell ref="B2:B5"/>
    <mergeCell ref="A2:A5"/>
    <mergeCell ref="AB2:AF2"/>
    <mergeCell ref="AB4:AB5"/>
    <mergeCell ref="AC4:AC5"/>
    <mergeCell ref="AD4:AD5"/>
    <mergeCell ref="AE4:AE5"/>
    <mergeCell ref="AF4:AF5"/>
    <mergeCell ref="AA2:AA60"/>
    <mergeCell ref="AB13:AF13"/>
  </mergeCells>
  <conditionalFormatting sqref="G6:H11 AE6:AG11 AE15:AG20 AF23:AG28 AF31:AG36 AF39:AG44 AF47:AG52 AF55:AG59">
    <cfRule type="cellIs" dxfId="46" priority="48" operator="lessThan">
      <formula>0</formula>
    </cfRule>
    <cfRule type="cellIs" dxfId="45" priority="47" operator="greaterThan">
      <formula>0</formula>
    </cfRule>
  </conditionalFormatting>
  <conditionalFormatting sqref="G15:H20">
    <cfRule type="cellIs" dxfId="44" priority="46" operator="lessThan">
      <formula>0</formula>
    </cfRule>
    <cfRule type="cellIs" dxfId="43" priority="45" operator="greaterThan">
      <formula>0</formula>
    </cfRule>
  </conditionalFormatting>
  <conditionalFormatting sqref="H23:H27">
    <cfRule type="cellIs" dxfId="42" priority="43" operator="greaterThan">
      <formula>0</formula>
    </cfRule>
    <cfRule type="cellIs" dxfId="41" priority="44" operator="lessThan">
      <formula>0</formula>
    </cfRule>
  </conditionalFormatting>
  <conditionalFormatting sqref="H31:H35">
    <cfRule type="cellIs" dxfId="40" priority="41" operator="greaterThan">
      <formula>0</formula>
    </cfRule>
    <cfRule type="cellIs" dxfId="39" priority="42" operator="lessThan">
      <formula>0</formula>
    </cfRule>
  </conditionalFormatting>
  <conditionalFormatting sqref="H39:H43">
    <cfRule type="cellIs" dxfId="38" priority="40" operator="lessThan">
      <formula>0</formula>
    </cfRule>
    <cfRule type="cellIs" dxfId="37" priority="39" operator="greaterThan">
      <formula>0</formula>
    </cfRule>
  </conditionalFormatting>
  <conditionalFormatting sqref="H47:H51">
    <cfRule type="cellIs" dxfId="36" priority="38" operator="lessThan">
      <formula>0</formula>
    </cfRule>
    <cfRule type="cellIs" dxfId="35" priority="37" operator="greaterThan">
      <formula>0</formula>
    </cfRule>
  </conditionalFormatting>
  <conditionalFormatting sqref="H55:H59">
    <cfRule type="cellIs" dxfId="34" priority="35" operator="greaterThan">
      <formula>0</formula>
    </cfRule>
    <cfRule type="cellIs" dxfId="33" priority="36" operator="lessThan">
      <formula>0</formula>
    </cfRule>
  </conditionalFormatting>
  <conditionalFormatting sqref="K6:K11">
    <cfRule type="cellIs" dxfId="32" priority="56" operator="lessThan">
      <formula>0</formula>
    </cfRule>
    <cfRule type="cellIs" dxfId="31" priority="55" operator="greaterThan">
      <formula>0</formula>
    </cfRule>
  </conditionalFormatting>
  <conditionalFormatting sqref="K15:K20 K22:K28 K30:K36 K38:K44 K46:K52 K54:K59">
    <cfRule type="cellIs" dxfId="30" priority="53" operator="greaterThan">
      <formula>0</formula>
    </cfRule>
    <cfRule type="cellIs" dxfId="29" priority="54" operator="lessThan">
      <formula>0</formula>
    </cfRule>
  </conditionalFormatting>
  <conditionalFormatting sqref="M22:M28 M30:M36 M38:M44 M46:M52 M54:M59">
    <cfRule type="cellIs" dxfId="28" priority="49" operator="greaterThan">
      <formula>0</formula>
    </cfRule>
    <cfRule type="cellIs" dxfId="27" priority="50" operator="lessThan">
      <formula>0</formula>
    </cfRule>
  </conditionalFormatting>
  <conditionalFormatting sqref="M6:O11 Y6:AA11 G14 M15:O20 Y15:AA20 G22:G27 N23:O28 Z23:AA28 G28:H28 G30:G35 N31:O36 Z31:AA36 G36:H36 G38:G43 N39:O44 Z39:AA44 G44:H44 G46:G51 N47:O52 Z47:AA52 G52:H52 G54:G59 N55:O59 Z55:AA59">
    <cfRule type="cellIs" dxfId="26" priority="57" operator="greaterThan">
      <formula>0</formula>
    </cfRule>
    <cfRule type="cellIs" dxfId="25" priority="58" operator="lessThan">
      <formula>0</formula>
    </cfRule>
  </conditionalFormatting>
  <conditionalFormatting sqref="Q6:Q11">
    <cfRule type="cellIs" dxfId="24" priority="11" operator="greaterThan">
      <formula>0</formula>
    </cfRule>
    <cfRule type="cellIs" dxfId="23" priority="12" operator="lessThan">
      <formula>0</formula>
    </cfRule>
  </conditionalFormatting>
  <conditionalFormatting sqref="Q15:Q20 Q22:Q28 Q30:Q36 Q38:Q44 Q46:Q52 Q54:Q59">
    <cfRule type="cellIs" dxfId="22" priority="10" operator="lessThan">
      <formula>0</formula>
    </cfRule>
    <cfRule type="cellIs" dxfId="21" priority="9" operator="greaterThan">
      <formula>0</formula>
    </cfRule>
  </conditionalFormatting>
  <conditionalFormatting sqref="S22:S28 S30:S36 S38:S44 S46:S52 S54:S59">
    <cfRule type="cellIs" dxfId="20" priority="7" operator="greaterThan">
      <formula>0</formula>
    </cfRule>
    <cfRule type="cellIs" dxfId="19" priority="8" operator="lessThan">
      <formula>0</formula>
    </cfRule>
  </conditionalFormatting>
  <conditionalFormatting sqref="S6:U11 E6:E12 E14:E20 S15:U20 E22:E28 T23:U28 E30:E36 T31:U36 E38:E44 T39:U44 E46:E52 T47:U52 E54:E60 T55:U59">
    <cfRule type="cellIs" dxfId="18" priority="61" operator="greaterThan">
      <formula>0</formula>
    </cfRule>
    <cfRule type="cellIs" dxfId="17" priority="62" operator="lessThan">
      <formula>0</formula>
    </cfRule>
  </conditionalFormatting>
  <conditionalFormatting sqref="W6:W11">
    <cfRule type="cellIs" dxfId="16" priority="5" operator="greaterThan">
      <formula>0</formula>
    </cfRule>
    <cfRule type="cellIs" dxfId="15" priority="6" operator="lessThan">
      <formula>0</formula>
    </cfRule>
  </conditionalFormatting>
  <conditionalFormatting sqref="W15:W20 W22:W28 W30:W36 W38:W44 W46:W52 W54:W59">
    <cfRule type="cellIs" dxfId="14" priority="3" operator="greaterThan">
      <formula>0</formula>
    </cfRule>
    <cfRule type="cellIs" dxfId="13" priority="4" operator="lessThan">
      <formula>0</formula>
    </cfRule>
  </conditionalFormatting>
  <conditionalFormatting sqref="Y22:Y28 Y30:Y36 Y38:Y44 Y46:Y52 Y54:Y59">
    <cfRule type="cellIs" dxfId="12" priority="2" operator="lessThan">
      <formula>0</formula>
    </cfRule>
    <cfRule type="cellIs" dxfId="11" priority="1" operator="greaterThan">
      <formula>0</formula>
    </cfRule>
  </conditionalFormatting>
  <conditionalFormatting sqref="AC6:AC11">
    <cfRule type="cellIs" dxfId="10" priority="17" operator="greaterThan">
      <formula>0</formula>
    </cfRule>
    <cfRule type="cellIs" dxfId="9" priority="18" operator="lessThan">
      <formula>0</formula>
    </cfRule>
  </conditionalFormatting>
  <conditionalFormatting sqref="AC15:AC20 AC22:AC28 AC30:AC36 AC38:AC44 AC46:AC52 AC54:AC59">
    <cfRule type="cellIs" dxfId="8" priority="16" operator="lessThan">
      <formula>0</formula>
    </cfRule>
    <cfRule type="cellIs" dxfId="7" priority="15" operator="greaterThan">
      <formula>0</formula>
    </cfRule>
  </conditionalFormatting>
  <conditionalFormatting sqref="AE22:AE28 AE30:AE36 AE38:AE44 AE46:AE52 AE54:AE59">
    <cfRule type="cellIs" dxfId="6" priority="14" operator="lessThan">
      <formula>0</formula>
    </cfRule>
    <cfRule type="cellIs" dxfId="5" priority="13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4FBC-2F91-4AAF-9923-48B9F30D34C5}">
  <sheetPr>
    <tabColor rgb="FFFFFF00"/>
  </sheetPr>
  <dimension ref="A3:Q9"/>
  <sheetViews>
    <sheetView topLeftCell="A3" zoomScale="110" zoomScaleNormal="110" workbookViewId="0">
      <pane xSplit="3" ySplit="2" topLeftCell="D5" activePane="bottomRight" state="frozen"/>
      <selection activeCell="A3" sqref="A3"/>
      <selection pane="topRight" activeCell="D3" sqref="D3"/>
      <selection pane="bottomLeft" activeCell="A5" sqref="A5"/>
      <selection pane="bottomRight" activeCell="D5" sqref="D5"/>
    </sheetView>
  </sheetViews>
  <sheetFormatPr defaultColWidth="8.77734375" defaultRowHeight="15.6"/>
  <cols>
    <col min="1" max="1" width="11.21875" style="57" customWidth="1"/>
    <col min="2" max="2" width="18.88671875" style="57" customWidth="1"/>
    <col min="3" max="3" width="19.44140625" style="57" customWidth="1"/>
    <col min="4" max="12" width="8.77734375" style="57"/>
    <col min="13" max="13" width="1.77734375" style="57" customWidth="1"/>
    <col min="14" max="14" width="10.77734375" style="57" customWidth="1"/>
    <col min="15" max="15" width="10.5546875" style="57" customWidth="1"/>
    <col min="16" max="16384" width="8.77734375" style="57"/>
  </cols>
  <sheetData>
    <row r="3" spans="1:17" s="21" customFormat="1" ht="46.8">
      <c r="B3" s="445"/>
      <c r="C3" s="445" t="s">
        <v>705</v>
      </c>
      <c r="D3" s="869" t="s">
        <v>706</v>
      </c>
      <c r="E3" s="869"/>
      <c r="F3" s="869"/>
      <c r="G3" s="869"/>
      <c r="H3" s="869"/>
      <c r="I3" s="869"/>
      <c r="J3" s="869" t="s">
        <v>707</v>
      </c>
      <c r="K3" s="869"/>
      <c r="L3" s="869"/>
      <c r="M3" s="445"/>
      <c r="N3" s="504" t="s">
        <v>708</v>
      </c>
      <c r="O3" s="504" t="s">
        <v>709</v>
      </c>
      <c r="P3" s="504" t="s">
        <v>710</v>
      </c>
      <c r="Q3" s="504" t="s">
        <v>711</v>
      </c>
    </row>
    <row r="4" spans="1:17" s="394" customFormat="1">
      <c r="B4" s="453"/>
      <c r="C4" s="453"/>
      <c r="D4" s="445" t="s">
        <v>178</v>
      </c>
      <c r="E4" s="445" t="s">
        <v>179</v>
      </c>
      <c r="F4" s="445" t="s">
        <v>180</v>
      </c>
      <c r="G4" s="445" t="s">
        <v>182</v>
      </c>
      <c r="H4" s="445" t="s">
        <v>181</v>
      </c>
      <c r="I4" s="445" t="s">
        <v>183</v>
      </c>
      <c r="J4" s="445" t="s">
        <v>182</v>
      </c>
      <c r="K4" s="445" t="s">
        <v>181</v>
      </c>
      <c r="L4" s="445" t="s">
        <v>183</v>
      </c>
      <c r="M4" s="453"/>
      <c r="N4" s="506" t="s">
        <v>712</v>
      </c>
      <c r="O4" s="506" t="s">
        <v>713</v>
      </c>
      <c r="P4" s="506" t="s">
        <v>714</v>
      </c>
      <c r="Q4" s="506" t="s">
        <v>715</v>
      </c>
    </row>
    <row r="5" spans="1:17">
      <c r="A5" s="868"/>
      <c r="B5" s="638"/>
      <c r="C5" s="638"/>
      <c r="D5" s="628">
        <f>'Estimation SS2045'!R174</f>
        <v>9.6140251661246998E-2</v>
      </c>
      <c r="E5" s="628">
        <f>'Estimation SS2045'!S174</f>
        <v>4.9059804891842217E-2</v>
      </c>
      <c r="F5" s="628">
        <f>'Estimation SS2045'!T174</f>
        <v>4.8070125830623495E-3</v>
      </c>
      <c r="G5" s="628">
        <f>'Estimation SS2045'!U174</f>
        <v>0.76063904990810127</v>
      </c>
      <c r="H5" s="628">
        <f>'Estimation SS2045'!V174</f>
        <v>4.9342570337904706E-2</v>
      </c>
      <c r="I5" s="628">
        <f>'Estimation SS2045'!W174</f>
        <v>4.0152693340873742E-2</v>
      </c>
      <c r="J5" s="628">
        <f>'Estimation 100% ZET 2055'!O161</f>
        <v>0.87248713217441975</v>
      </c>
      <c r="K5" s="628">
        <f>'Estimation 100% ZET 2055'!P161</f>
        <v>6.594153636981645E-2</v>
      </c>
      <c r="L5" s="628">
        <f>'Estimation 100% ZET 2055'!Q161</f>
        <v>6.1571331455763816E-2</v>
      </c>
      <c r="M5" s="59"/>
      <c r="N5" s="508">
        <f ca="1">'Emissions '!K118</f>
        <v>4622.0331988096459</v>
      </c>
      <c r="O5" s="508">
        <f ca="1">'Energy Requirementsfinal'!E198</f>
        <v>2570.387798541587</v>
      </c>
      <c r="P5" s="508">
        <f>'Energy Requirementsfinal'!M197</f>
        <v>13.205754723410015</v>
      </c>
      <c r="Q5" s="508">
        <f ca="1">'Energy Requirementsfinal'!J197</f>
        <v>903.35203123184283</v>
      </c>
    </row>
    <row r="6" spans="1:17">
      <c r="A6" s="868"/>
      <c r="B6" s="638"/>
      <c r="C6" s="638"/>
      <c r="D6" s="507">
        <f>'Estimation SS2045'!R175</f>
        <v>68000</v>
      </c>
      <c r="E6" s="507">
        <f>'Estimation SS2045'!S175</f>
        <v>34700</v>
      </c>
      <c r="F6" s="507">
        <f>'Estimation SS2045'!T175</f>
        <v>3400</v>
      </c>
      <c r="G6" s="507">
        <f>'Estimation SS2045'!U175</f>
        <v>538000</v>
      </c>
      <c r="H6" s="507">
        <f>'Estimation SS2045'!V175</f>
        <v>34900</v>
      </c>
      <c r="I6" s="507">
        <f>'Estimation SS2045'!W175</f>
        <v>28400</v>
      </c>
      <c r="J6" s="507">
        <f>'Estimation 100% ZET 2055'!O162</f>
        <v>898400</v>
      </c>
      <c r="K6" s="507">
        <f>'Estimation 100% ZET 2055'!P162</f>
        <v>67900</v>
      </c>
      <c r="L6" s="507">
        <f>'Estimation 100% ZET 2055'!Q162</f>
        <v>63400</v>
      </c>
      <c r="M6" s="59"/>
      <c r="N6" s="509"/>
      <c r="O6" s="509"/>
      <c r="P6" s="509"/>
      <c r="Q6" s="509"/>
    </row>
    <row r="7" spans="1:17"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spans="1:17">
      <c r="B8" s="59"/>
      <c r="C8" s="59"/>
      <c r="D8" s="511"/>
      <c r="E8" s="511"/>
      <c r="F8" s="511"/>
      <c r="G8" s="511"/>
      <c r="H8" s="511"/>
      <c r="I8" s="511"/>
      <c r="J8" s="511"/>
      <c r="K8" s="511"/>
      <c r="L8" s="511"/>
      <c r="M8" s="59"/>
      <c r="N8" s="510"/>
      <c r="O8" s="510"/>
      <c r="P8" s="510"/>
      <c r="Q8" s="510"/>
    </row>
    <row r="9" spans="1:17">
      <c r="B9" s="59"/>
      <c r="C9" s="59"/>
      <c r="D9" s="512"/>
      <c r="E9" s="512"/>
      <c r="F9" s="512"/>
      <c r="G9" s="512"/>
      <c r="H9" s="512"/>
      <c r="I9" s="512"/>
      <c r="J9" s="512"/>
      <c r="K9" s="512"/>
      <c r="L9" s="512"/>
      <c r="M9" s="59"/>
      <c r="N9" s="510"/>
      <c r="O9" s="510"/>
      <c r="P9" s="510"/>
      <c r="Q9" s="510"/>
    </row>
  </sheetData>
  <mergeCells count="3">
    <mergeCell ref="A5:A6"/>
    <mergeCell ref="D3:I3"/>
    <mergeCell ref="J3:L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43C2-065D-4EEA-B739-B54D9317C471}">
  <sheetPr>
    <tabColor rgb="FFFFFF00"/>
  </sheetPr>
  <dimension ref="A3:G48"/>
  <sheetViews>
    <sheetView topLeftCell="A24" workbookViewId="0">
      <selection activeCell="A49" sqref="A49"/>
    </sheetView>
  </sheetViews>
  <sheetFormatPr defaultColWidth="8.88671875" defaultRowHeight="15.6"/>
  <cols>
    <col min="1" max="1" width="8.88671875" style="458"/>
    <col min="2" max="2" width="21.5546875" style="21" customWidth="1"/>
    <col min="3" max="4" width="11.5546875" style="645" customWidth="1"/>
    <col min="5" max="5" width="21.77734375" style="645" customWidth="1"/>
    <col min="6" max="6" width="18.88671875" style="645" customWidth="1"/>
    <col min="7" max="7" width="17.6640625" style="629" customWidth="1"/>
    <col min="8" max="16384" width="8.88671875" style="458"/>
  </cols>
  <sheetData>
    <row r="3" spans="1:7" s="394" customFormat="1">
      <c r="A3" s="453"/>
      <c r="B3" s="445" t="s">
        <v>674</v>
      </c>
      <c r="C3" s="812" t="s">
        <v>873</v>
      </c>
      <c r="D3" s="814"/>
      <c r="E3" s="453" t="s">
        <v>874</v>
      </c>
      <c r="F3" s="453" t="s">
        <v>878</v>
      </c>
      <c r="G3" s="453" t="s">
        <v>879</v>
      </c>
    </row>
    <row r="4" spans="1:7">
      <c r="A4" s="818">
        <v>1</v>
      </c>
      <c r="B4" s="818" t="s">
        <v>887</v>
      </c>
      <c r="C4" s="802" t="s">
        <v>870</v>
      </c>
      <c r="D4" s="644" t="s">
        <v>41</v>
      </c>
      <c r="E4" s="644" t="s">
        <v>875</v>
      </c>
      <c r="F4" s="644" t="s">
        <v>876</v>
      </c>
      <c r="G4" s="506"/>
    </row>
    <row r="5" spans="1:7">
      <c r="A5" s="818"/>
      <c r="B5" s="818"/>
      <c r="C5" s="802"/>
      <c r="D5" s="644" t="s">
        <v>870</v>
      </c>
      <c r="E5" s="644" t="s">
        <v>881</v>
      </c>
      <c r="F5" s="644" t="s">
        <v>880</v>
      </c>
      <c r="G5" s="506"/>
    </row>
    <row r="6" spans="1:7" ht="93.6">
      <c r="A6" s="818"/>
      <c r="B6" s="818"/>
      <c r="C6" s="802" t="s">
        <v>882</v>
      </c>
      <c r="D6" s="644" t="s">
        <v>871</v>
      </c>
      <c r="E6" s="644" t="s">
        <v>875</v>
      </c>
      <c r="F6" s="646" t="s">
        <v>877</v>
      </c>
      <c r="G6" s="506"/>
    </row>
    <row r="7" spans="1:7">
      <c r="A7" s="818"/>
      <c r="B7" s="818"/>
      <c r="C7" s="802"/>
      <c r="D7" s="644" t="s">
        <v>872</v>
      </c>
      <c r="E7" s="644" t="s">
        <v>881</v>
      </c>
      <c r="F7" s="644" t="s">
        <v>883</v>
      </c>
      <c r="G7" s="506"/>
    </row>
    <row r="8" spans="1:7">
      <c r="A8" s="818">
        <v>2</v>
      </c>
      <c r="B8" s="818" t="s">
        <v>884</v>
      </c>
      <c r="C8" s="802" t="s">
        <v>870</v>
      </c>
      <c r="D8" s="644" t="s">
        <v>41</v>
      </c>
      <c r="E8" s="644" t="s">
        <v>875</v>
      </c>
      <c r="F8" s="644" t="s">
        <v>876</v>
      </c>
      <c r="G8" s="506"/>
    </row>
    <row r="9" spans="1:7">
      <c r="A9" s="818"/>
      <c r="B9" s="818"/>
      <c r="C9" s="802"/>
      <c r="D9" s="644" t="s">
        <v>870</v>
      </c>
      <c r="E9" s="644" t="s">
        <v>881</v>
      </c>
      <c r="F9" s="644" t="s">
        <v>880</v>
      </c>
      <c r="G9" s="506"/>
    </row>
    <row r="10" spans="1:7" ht="93.6">
      <c r="A10" s="818"/>
      <c r="B10" s="818"/>
      <c r="C10" s="802" t="s">
        <v>882</v>
      </c>
      <c r="D10" s="644" t="s">
        <v>871</v>
      </c>
      <c r="E10" s="644" t="s">
        <v>875</v>
      </c>
      <c r="F10" s="646" t="s">
        <v>877</v>
      </c>
      <c r="G10" s="506"/>
    </row>
    <row r="11" spans="1:7">
      <c r="A11" s="818"/>
      <c r="B11" s="818"/>
      <c r="C11" s="802"/>
      <c r="D11" s="644" t="s">
        <v>872</v>
      </c>
      <c r="E11" s="644" t="s">
        <v>881</v>
      </c>
      <c r="F11" s="644" t="s">
        <v>883</v>
      </c>
      <c r="G11" s="506"/>
    </row>
    <row r="12" spans="1:7">
      <c r="A12" s="818">
        <v>3</v>
      </c>
      <c r="B12" s="818" t="s">
        <v>885</v>
      </c>
      <c r="C12" s="802" t="s">
        <v>870</v>
      </c>
      <c r="D12" s="644" t="s">
        <v>41</v>
      </c>
      <c r="E12" s="644" t="s">
        <v>875</v>
      </c>
      <c r="F12" s="644" t="s">
        <v>876</v>
      </c>
      <c r="G12" s="506"/>
    </row>
    <row r="13" spans="1:7">
      <c r="A13" s="818"/>
      <c r="B13" s="818"/>
      <c r="C13" s="802"/>
      <c r="D13" s="644" t="s">
        <v>870</v>
      </c>
      <c r="E13" s="644" t="s">
        <v>881</v>
      </c>
      <c r="F13" s="644" t="s">
        <v>880</v>
      </c>
      <c r="G13" s="506"/>
    </row>
    <row r="14" spans="1:7" ht="93.6">
      <c r="A14" s="818"/>
      <c r="B14" s="818"/>
      <c r="C14" s="802" t="s">
        <v>882</v>
      </c>
      <c r="D14" s="644" t="s">
        <v>871</v>
      </c>
      <c r="E14" s="644" t="s">
        <v>875</v>
      </c>
      <c r="F14" s="646" t="s">
        <v>877</v>
      </c>
      <c r="G14" s="506"/>
    </row>
    <row r="15" spans="1:7">
      <c r="A15" s="818"/>
      <c r="B15" s="818"/>
      <c r="C15" s="802"/>
      <c r="D15" s="644" t="s">
        <v>872</v>
      </c>
      <c r="E15" s="644" t="s">
        <v>881</v>
      </c>
      <c r="F15" s="644" t="s">
        <v>883</v>
      </c>
      <c r="G15" s="506"/>
    </row>
    <row r="16" spans="1:7" ht="15.6" customHeight="1">
      <c r="A16" s="818">
        <v>4</v>
      </c>
      <c r="B16" s="818" t="s">
        <v>886</v>
      </c>
      <c r="C16" s="802" t="s">
        <v>870</v>
      </c>
      <c r="D16" s="644" t="s">
        <v>41</v>
      </c>
      <c r="E16" s="644" t="s">
        <v>875</v>
      </c>
      <c r="F16" s="644" t="s">
        <v>876</v>
      </c>
      <c r="G16" s="506"/>
    </row>
    <row r="17" spans="1:7">
      <c r="A17" s="818"/>
      <c r="B17" s="818"/>
      <c r="C17" s="802"/>
      <c r="D17" s="644" t="s">
        <v>870</v>
      </c>
      <c r="E17" s="644" t="s">
        <v>881</v>
      </c>
      <c r="F17" s="644" t="s">
        <v>880</v>
      </c>
      <c r="G17" s="506"/>
    </row>
    <row r="18" spans="1:7" ht="93.6">
      <c r="A18" s="818"/>
      <c r="B18" s="818"/>
      <c r="C18" s="802" t="s">
        <v>882</v>
      </c>
      <c r="D18" s="644" t="s">
        <v>871</v>
      </c>
      <c r="E18" s="644" t="s">
        <v>875</v>
      </c>
      <c r="F18" s="646" t="s">
        <v>877</v>
      </c>
      <c r="G18" s="506"/>
    </row>
    <row r="19" spans="1:7">
      <c r="A19" s="818"/>
      <c r="B19" s="818"/>
      <c r="C19" s="802"/>
      <c r="D19" s="644" t="s">
        <v>872</v>
      </c>
      <c r="E19" s="644" t="s">
        <v>881</v>
      </c>
      <c r="F19" s="644" t="s">
        <v>883</v>
      </c>
      <c r="G19" s="506"/>
    </row>
    <row r="20" spans="1:7">
      <c r="A20" s="818">
        <v>5</v>
      </c>
      <c r="B20" s="818" t="s">
        <v>888</v>
      </c>
      <c r="C20" s="802" t="s">
        <v>870</v>
      </c>
      <c r="D20" s="644" t="s">
        <v>41</v>
      </c>
      <c r="E20" s="644" t="s">
        <v>875</v>
      </c>
      <c r="F20" s="644" t="s">
        <v>876</v>
      </c>
      <c r="G20" s="506"/>
    </row>
    <row r="21" spans="1:7">
      <c r="A21" s="818"/>
      <c r="B21" s="818"/>
      <c r="C21" s="802"/>
      <c r="D21" s="644" t="s">
        <v>870</v>
      </c>
      <c r="E21" s="644" t="s">
        <v>881</v>
      </c>
      <c r="F21" s="644" t="s">
        <v>880</v>
      </c>
      <c r="G21" s="506"/>
    </row>
    <row r="22" spans="1:7" ht="93.6">
      <c r="A22" s="818"/>
      <c r="B22" s="818"/>
      <c r="C22" s="802" t="s">
        <v>882</v>
      </c>
      <c r="D22" s="644" t="s">
        <v>871</v>
      </c>
      <c r="E22" s="644" t="s">
        <v>875</v>
      </c>
      <c r="F22" s="646" t="s">
        <v>877</v>
      </c>
      <c r="G22" s="506"/>
    </row>
    <row r="23" spans="1:7">
      <c r="A23" s="818"/>
      <c r="B23" s="818"/>
      <c r="C23" s="802"/>
      <c r="D23" s="644" t="s">
        <v>872</v>
      </c>
      <c r="E23" s="644" t="s">
        <v>881</v>
      </c>
      <c r="F23" s="644" t="s">
        <v>883</v>
      </c>
      <c r="G23" s="506"/>
    </row>
    <row r="24" spans="1:7">
      <c r="A24" s="818">
        <v>6</v>
      </c>
      <c r="B24" s="818" t="s">
        <v>889</v>
      </c>
      <c r="C24" s="802" t="s">
        <v>870</v>
      </c>
      <c r="D24" s="644" t="s">
        <v>41</v>
      </c>
      <c r="E24" s="644" t="s">
        <v>875</v>
      </c>
      <c r="F24" s="644" t="s">
        <v>876</v>
      </c>
      <c r="G24" s="506"/>
    </row>
    <row r="25" spans="1:7">
      <c r="A25" s="818"/>
      <c r="B25" s="818"/>
      <c r="C25" s="802"/>
      <c r="D25" s="644" t="s">
        <v>870</v>
      </c>
      <c r="E25" s="644" t="s">
        <v>881</v>
      </c>
      <c r="F25" s="644" t="s">
        <v>880</v>
      </c>
      <c r="G25" s="506"/>
    </row>
    <row r="26" spans="1:7" ht="93.6">
      <c r="A26" s="818"/>
      <c r="B26" s="818"/>
      <c r="C26" s="802" t="s">
        <v>882</v>
      </c>
      <c r="D26" s="644" t="s">
        <v>871</v>
      </c>
      <c r="E26" s="644" t="s">
        <v>875</v>
      </c>
      <c r="F26" s="646" t="s">
        <v>877</v>
      </c>
      <c r="G26" s="506"/>
    </row>
    <row r="27" spans="1:7">
      <c r="A27" s="818"/>
      <c r="B27" s="818"/>
      <c r="C27" s="802"/>
      <c r="D27" s="644" t="s">
        <v>872</v>
      </c>
      <c r="E27" s="644" t="s">
        <v>881</v>
      </c>
      <c r="F27" s="644" t="s">
        <v>883</v>
      </c>
      <c r="G27" s="506"/>
    </row>
    <row r="28" spans="1:7">
      <c r="A28" s="822">
        <v>7</v>
      </c>
      <c r="B28" s="822" t="s">
        <v>910</v>
      </c>
      <c r="C28" s="506"/>
      <c r="D28" s="644" t="s">
        <v>156</v>
      </c>
      <c r="E28" s="644" t="s">
        <v>875</v>
      </c>
      <c r="F28" s="644" t="s">
        <v>907</v>
      </c>
      <c r="G28" s="506"/>
    </row>
    <row r="29" spans="1:7" ht="15.6" customHeight="1">
      <c r="A29" s="824"/>
      <c r="B29" s="824"/>
      <c r="C29" s="802" t="s">
        <v>909</v>
      </c>
      <c r="D29" s="644" t="s">
        <v>41</v>
      </c>
      <c r="E29" s="644" t="s">
        <v>875</v>
      </c>
      <c r="F29" s="644" t="s">
        <v>876</v>
      </c>
      <c r="G29" s="506"/>
    </row>
    <row r="30" spans="1:7">
      <c r="A30" s="824"/>
      <c r="B30" s="824"/>
      <c r="C30" s="802"/>
      <c r="D30" s="644" t="s">
        <v>870</v>
      </c>
      <c r="E30" s="644" t="s">
        <v>881</v>
      </c>
      <c r="F30" s="644"/>
      <c r="G30" s="506"/>
    </row>
    <row r="31" spans="1:7" ht="93.6">
      <c r="A31" s="824"/>
      <c r="B31" s="824"/>
      <c r="C31" s="802" t="s">
        <v>882</v>
      </c>
      <c r="D31" s="644" t="s">
        <v>871</v>
      </c>
      <c r="E31" s="644" t="s">
        <v>875</v>
      </c>
      <c r="F31" s="646" t="s">
        <v>877</v>
      </c>
      <c r="G31" s="506"/>
    </row>
    <row r="32" spans="1:7">
      <c r="A32" s="823"/>
      <c r="B32" s="823"/>
      <c r="C32" s="802"/>
      <c r="D32" s="644" t="s">
        <v>872</v>
      </c>
      <c r="E32" s="644" t="s">
        <v>881</v>
      </c>
      <c r="F32" s="644" t="s">
        <v>883</v>
      </c>
      <c r="G32" s="506"/>
    </row>
    <row r="33" spans="1:7">
      <c r="A33" s="822">
        <v>8</v>
      </c>
      <c r="B33" s="822" t="s">
        <v>906</v>
      </c>
      <c r="C33" s="506"/>
      <c r="D33" s="644" t="s">
        <v>156</v>
      </c>
      <c r="E33" s="644" t="s">
        <v>875</v>
      </c>
      <c r="F33" s="644" t="s">
        <v>907</v>
      </c>
      <c r="G33" s="506"/>
    </row>
    <row r="34" spans="1:7" ht="15.6" customHeight="1">
      <c r="A34" s="824"/>
      <c r="B34" s="824"/>
      <c r="C34" s="802" t="s">
        <v>909</v>
      </c>
      <c r="D34" s="644" t="s">
        <v>41</v>
      </c>
      <c r="E34" s="644" t="s">
        <v>875</v>
      </c>
      <c r="F34" s="644" t="s">
        <v>876</v>
      </c>
      <c r="G34" s="506"/>
    </row>
    <row r="35" spans="1:7">
      <c r="A35" s="824"/>
      <c r="B35" s="824"/>
      <c r="C35" s="802"/>
      <c r="D35" s="644" t="s">
        <v>870</v>
      </c>
      <c r="E35" s="644" t="s">
        <v>881</v>
      </c>
      <c r="F35" s="644"/>
      <c r="G35" s="506"/>
    </row>
    <row r="36" spans="1:7" ht="93.6">
      <c r="A36" s="824"/>
      <c r="B36" s="824"/>
      <c r="C36" s="802" t="s">
        <v>882</v>
      </c>
      <c r="D36" s="644" t="s">
        <v>871</v>
      </c>
      <c r="E36" s="644" t="s">
        <v>875</v>
      </c>
      <c r="F36" s="646" t="s">
        <v>877</v>
      </c>
      <c r="G36" s="506"/>
    </row>
    <row r="37" spans="1:7">
      <c r="A37" s="823"/>
      <c r="B37" s="823"/>
      <c r="C37" s="802"/>
      <c r="D37" s="644" t="s">
        <v>872</v>
      </c>
      <c r="E37" s="644" t="s">
        <v>881</v>
      </c>
      <c r="F37" s="644" t="s">
        <v>883</v>
      </c>
      <c r="G37" s="506"/>
    </row>
    <row r="38" spans="1:7">
      <c r="A38" s="822">
        <v>9</v>
      </c>
      <c r="B38" s="822" t="s">
        <v>908</v>
      </c>
      <c r="C38" s="506"/>
      <c r="D38" s="644" t="s">
        <v>156</v>
      </c>
      <c r="E38" s="644" t="s">
        <v>875</v>
      </c>
      <c r="F38" s="644" t="s">
        <v>907</v>
      </c>
      <c r="G38" s="506"/>
    </row>
    <row r="39" spans="1:7" ht="15.6" customHeight="1">
      <c r="A39" s="824"/>
      <c r="B39" s="824"/>
      <c r="C39" s="802" t="s">
        <v>909</v>
      </c>
      <c r="D39" s="644" t="s">
        <v>41</v>
      </c>
      <c r="E39" s="644" t="s">
        <v>875</v>
      </c>
      <c r="F39" s="644" t="s">
        <v>876</v>
      </c>
      <c r="G39" s="506"/>
    </row>
    <row r="40" spans="1:7">
      <c r="A40" s="824"/>
      <c r="B40" s="824"/>
      <c r="C40" s="802"/>
      <c r="D40" s="644" t="s">
        <v>870</v>
      </c>
      <c r="E40" s="644" t="s">
        <v>881</v>
      </c>
      <c r="F40" s="644"/>
      <c r="G40" s="506"/>
    </row>
    <row r="41" spans="1:7" ht="93.6">
      <c r="A41" s="824"/>
      <c r="B41" s="824"/>
      <c r="C41" s="802" t="s">
        <v>882</v>
      </c>
      <c r="D41" s="644" t="s">
        <v>871</v>
      </c>
      <c r="E41" s="644" t="s">
        <v>875</v>
      </c>
      <c r="F41" s="646" t="s">
        <v>877</v>
      </c>
      <c r="G41" s="506"/>
    </row>
    <row r="42" spans="1:7">
      <c r="A42" s="823"/>
      <c r="B42" s="823"/>
      <c r="C42" s="802"/>
      <c r="D42" s="644" t="s">
        <v>872</v>
      </c>
      <c r="E42" s="644" t="s">
        <v>881</v>
      </c>
      <c r="F42" s="644" t="s">
        <v>883</v>
      </c>
      <c r="G42" s="506"/>
    </row>
    <row r="43" spans="1:7" ht="30.3" customHeight="1">
      <c r="A43" s="445">
        <v>10</v>
      </c>
      <c r="B43" s="445" t="s">
        <v>905</v>
      </c>
      <c r="C43" s="506" t="s">
        <v>870</v>
      </c>
      <c r="D43" s="644"/>
      <c r="E43" s="644" t="s">
        <v>881</v>
      </c>
      <c r="F43" s="644" t="s">
        <v>890</v>
      </c>
      <c r="G43" s="506">
        <v>3000</v>
      </c>
    </row>
    <row r="44" spans="1:7" ht="30.3" customHeight="1">
      <c r="A44" s="445">
        <v>11</v>
      </c>
      <c r="B44" s="445" t="s">
        <v>891</v>
      </c>
      <c r="C44" s="506" t="s">
        <v>870</v>
      </c>
      <c r="D44" s="644"/>
      <c r="E44" s="644" t="s">
        <v>881</v>
      </c>
      <c r="F44" s="644" t="s">
        <v>892</v>
      </c>
      <c r="G44" s="506">
        <v>25000</v>
      </c>
    </row>
    <row r="45" spans="1:7">
      <c r="A45" s="822">
        <v>12</v>
      </c>
      <c r="B45" s="822" t="s">
        <v>893</v>
      </c>
      <c r="C45" s="506" t="s">
        <v>894</v>
      </c>
      <c r="D45" s="644" t="s">
        <v>198</v>
      </c>
      <c r="E45" s="644" t="s">
        <v>881</v>
      </c>
      <c r="F45" s="644"/>
      <c r="G45" s="647">
        <v>0.12</v>
      </c>
    </row>
    <row r="46" spans="1:7">
      <c r="A46" s="823"/>
      <c r="B46" s="823"/>
      <c r="C46" s="506" t="s">
        <v>217</v>
      </c>
      <c r="D46" s="644" t="s">
        <v>218</v>
      </c>
      <c r="E46" s="644" t="s">
        <v>881</v>
      </c>
      <c r="F46" s="644"/>
      <c r="G46" s="648" t="s">
        <v>895</v>
      </c>
    </row>
    <row r="47" spans="1:7">
      <c r="A47" s="822">
        <v>13</v>
      </c>
      <c r="B47" s="822" t="s">
        <v>896</v>
      </c>
      <c r="C47" s="506" t="s">
        <v>894</v>
      </c>
      <c r="D47" s="644" t="s">
        <v>198</v>
      </c>
      <c r="E47" s="644" t="s">
        <v>881</v>
      </c>
      <c r="F47" s="644"/>
      <c r="G47" s="647">
        <v>0.12</v>
      </c>
    </row>
    <row r="48" spans="1:7">
      <c r="A48" s="823"/>
      <c r="B48" s="823"/>
      <c r="C48" s="506" t="s">
        <v>217</v>
      </c>
      <c r="D48" s="644" t="s">
        <v>218</v>
      </c>
      <c r="E48" s="644" t="s">
        <v>881</v>
      </c>
      <c r="F48" s="644"/>
      <c r="G48" s="648" t="s">
        <v>895</v>
      </c>
    </row>
  </sheetData>
  <mergeCells count="41">
    <mergeCell ref="C29:C30"/>
    <mergeCell ref="C31:C32"/>
    <mergeCell ref="C39:C40"/>
    <mergeCell ref="C41:C42"/>
    <mergeCell ref="B38:B42"/>
    <mergeCell ref="A38:A42"/>
    <mergeCell ref="A33:A37"/>
    <mergeCell ref="B33:B37"/>
    <mergeCell ref="C34:C35"/>
    <mergeCell ref="C36:C37"/>
    <mergeCell ref="A28:A32"/>
    <mergeCell ref="B28:B32"/>
    <mergeCell ref="A20:A23"/>
    <mergeCell ref="A24:A27"/>
    <mergeCell ref="B4:B7"/>
    <mergeCell ref="B8:B11"/>
    <mergeCell ref="B12:B15"/>
    <mergeCell ref="B16:B19"/>
    <mergeCell ref="B20:B23"/>
    <mergeCell ref="B24:B27"/>
    <mergeCell ref="C14:C15"/>
    <mergeCell ref="A4:A7"/>
    <mergeCell ref="A8:A11"/>
    <mergeCell ref="A12:A15"/>
    <mergeCell ref="A16:A19"/>
    <mergeCell ref="A47:A48"/>
    <mergeCell ref="B47:B48"/>
    <mergeCell ref="C3:D3"/>
    <mergeCell ref="B45:B46"/>
    <mergeCell ref="A45:A46"/>
    <mergeCell ref="C16:C17"/>
    <mergeCell ref="C18:C19"/>
    <mergeCell ref="C20:C21"/>
    <mergeCell ref="C22:C23"/>
    <mergeCell ref="C24:C25"/>
    <mergeCell ref="C26:C27"/>
    <mergeCell ref="C4:C5"/>
    <mergeCell ref="C6:C7"/>
    <mergeCell ref="C8:C9"/>
    <mergeCell ref="C10:C11"/>
    <mergeCell ref="C12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649B-ECF9-43DF-9486-A5C0FB7C665C}">
  <sheetPr>
    <tabColor rgb="FFFFFF00"/>
  </sheetPr>
  <dimension ref="A1:H70"/>
  <sheetViews>
    <sheetView workbookViewId="0">
      <pane xSplit="4" ySplit="3" topLeftCell="E47" activePane="bottomRight" state="frozen"/>
      <selection pane="topRight" activeCell="E1" sqref="E1"/>
      <selection pane="bottomLeft" activeCell="A4" sqref="A4"/>
      <selection pane="bottomRight" activeCell="H48" sqref="H48"/>
    </sheetView>
  </sheetViews>
  <sheetFormatPr defaultColWidth="8.88671875" defaultRowHeight="15.6"/>
  <cols>
    <col min="1" max="1" width="5.88671875" style="458" customWidth="1"/>
    <col min="2" max="2" width="21.5546875" style="21" customWidth="1"/>
    <col min="3" max="3" width="34.5546875" style="792" bestFit="1" customWidth="1"/>
    <col min="4" max="4" width="11.5546875" style="645" customWidth="1"/>
    <col min="5" max="5" width="17" style="454" customWidth="1"/>
    <col min="6" max="6" width="22.21875" style="454" customWidth="1"/>
    <col min="7" max="7" width="16.109375" style="454" customWidth="1"/>
    <col min="8" max="8" width="43.6640625" style="448" customWidth="1"/>
    <col min="9" max="16384" width="8.88671875" style="458"/>
  </cols>
  <sheetData>
    <row r="1" spans="1:8" ht="30.9" customHeight="1">
      <c r="A1" s="870" t="s">
        <v>1214</v>
      </c>
      <c r="B1" s="870"/>
      <c r="C1" s="870"/>
      <c r="D1" s="870"/>
      <c r="E1" s="870"/>
      <c r="F1" s="870"/>
      <c r="G1" s="870"/>
      <c r="H1" s="870"/>
    </row>
    <row r="2" spans="1:8" s="17" customFormat="1">
      <c r="A2" s="818" t="s">
        <v>1</v>
      </c>
      <c r="B2" s="818" t="s">
        <v>446</v>
      </c>
      <c r="C2" s="892"/>
      <c r="D2" s="818"/>
      <c r="E2" s="818" t="s">
        <v>1115</v>
      </c>
      <c r="F2" s="818"/>
      <c r="G2" s="818"/>
      <c r="H2" s="822" t="s">
        <v>734</v>
      </c>
    </row>
    <row r="3" spans="1:8" s="21" customFormat="1" ht="31.2">
      <c r="A3" s="818"/>
      <c r="B3" s="818"/>
      <c r="C3" s="892"/>
      <c r="D3" s="818"/>
      <c r="E3" s="445" t="s">
        <v>1086</v>
      </c>
      <c r="F3" s="445" t="s">
        <v>733</v>
      </c>
      <c r="G3" s="445" t="s">
        <v>1085</v>
      </c>
      <c r="H3" s="823"/>
    </row>
    <row r="4" spans="1:8" ht="15.6" customHeight="1">
      <c r="A4" s="818">
        <v>1</v>
      </c>
      <c r="B4" s="818" t="s">
        <v>1081</v>
      </c>
      <c r="C4" s="646" t="s">
        <v>1082</v>
      </c>
      <c r="D4" s="805" t="s">
        <v>41</v>
      </c>
      <c r="E4" s="872">
        <v>2025</v>
      </c>
      <c r="F4" s="873"/>
      <c r="G4" s="874"/>
      <c r="H4" s="878" t="s">
        <v>1175</v>
      </c>
    </row>
    <row r="5" spans="1:8">
      <c r="A5" s="818"/>
      <c r="B5" s="818"/>
      <c r="C5" s="646" t="s">
        <v>182</v>
      </c>
      <c r="D5" s="806"/>
      <c r="E5" s="872">
        <v>2025</v>
      </c>
      <c r="F5" s="873"/>
      <c r="G5" s="874"/>
      <c r="H5" s="879"/>
    </row>
    <row r="6" spans="1:8">
      <c r="A6" s="818"/>
      <c r="B6" s="818"/>
      <c r="C6" s="646" t="s">
        <v>181</v>
      </c>
      <c r="D6" s="806"/>
      <c r="E6" s="872">
        <v>2028</v>
      </c>
      <c r="F6" s="873"/>
      <c r="G6" s="874"/>
      <c r="H6" s="879"/>
    </row>
    <row r="7" spans="1:8">
      <c r="A7" s="818"/>
      <c r="B7" s="818"/>
      <c r="C7" s="646" t="s">
        <v>183</v>
      </c>
      <c r="D7" s="806"/>
      <c r="E7" s="872">
        <v>2030</v>
      </c>
      <c r="F7" s="873"/>
      <c r="G7" s="874"/>
      <c r="H7" s="879"/>
    </row>
    <row r="8" spans="1:8">
      <c r="A8" s="818">
        <v>2</v>
      </c>
      <c r="B8" s="818" t="s">
        <v>1080</v>
      </c>
      <c r="C8" s="646" t="s">
        <v>179</v>
      </c>
      <c r="D8" s="806"/>
      <c r="E8" s="872">
        <v>2028</v>
      </c>
      <c r="F8" s="873"/>
      <c r="G8" s="874"/>
      <c r="H8" s="879"/>
    </row>
    <row r="9" spans="1:8">
      <c r="A9" s="818"/>
      <c r="B9" s="818"/>
      <c r="C9" s="646" t="s">
        <v>180</v>
      </c>
      <c r="D9" s="806"/>
      <c r="E9" s="872">
        <v>2028</v>
      </c>
      <c r="F9" s="873"/>
      <c r="G9" s="874"/>
      <c r="H9" s="879"/>
    </row>
    <row r="10" spans="1:8">
      <c r="A10" s="818"/>
      <c r="B10" s="818"/>
      <c r="C10" s="646" t="s">
        <v>182</v>
      </c>
      <c r="D10" s="806"/>
      <c r="E10" s="872">
        <v>2027</v>
      </c>
      <c r="F10" s="873"/>
      <c r="G10" s="874"/>
      <c r="H10" s="879"/>
    </row>
    <row r="11" spans="1:8">
      <c r="A11" s="818"/>
      <c r="B11" s="818"/>
      <c r="C11" s="646" t="s">
        <v>181</v>
      </c>
      <c r="D11" s="806"/>
      <c r="E11" s="872">
        <v>2034</v>
      </c>
      <c r="F11" s="873"/>
      <c r="G11" s="874"/>
      <c r="H11" s="879"/>
    </row>
    <row r="12" spans="1:8">
      <c r="A12" s="818"/>
      <c r="B12" s="818"/>
      <c r="C12" s="646" t="s">
        <v>183</v>
      </c>
      <c r="D12" s="806"/>
      <c r="E12" s="872">
        <v>2038</v>
      </c>
      <c r="F12" s="873"/>
      <c r="G12" s="874"/>
      <c r="H12" s="879"/>
    </row>
    <row r="13" spans="1:8">
      <c r="A13" s="818">
        <v>3</v>
      </c>
      <c r="B13" s="818" t="s">
        <v>1079</v>
      </c>
      <c r="C13" s="646" t="s">
        <v>179</v>
      </c>
      <c r="D13" s="806"/>
      <c r="E13" s="872">
        <v>2030</v>
      </c>
      <c r="F13" s="873"/>
      <c r="G13" s="874"/>
      <c r="H13" s="879"/>
    </row>
    <row r="14" spans="1:8">
      <c r="A14" s="818"/>
      <c r="B14" s="818"/>
      <c r="C14" s="646" t="s">
        <v>180</v>
      </c>
      <c r="D14" s="806"/>
      <c r="E14" s="872">
        <v>2033</v>
      </c>
      <c r="F14" s="873"/>
      <c r="G14" s="874"/>
      <c r="H14" s="879"/>
    </row>
    <row r="15" spans="1:8">
      <c r="A15" s="818"/>
      <c r="B15" s="818"/>
      <c r="C15" s="646" t="s">
        <v>182</v>
      </c>
      <c r="D15" s="806"/>
      <c r="E15" s="872">
        <v>2035</v>
      </c>
      <c r="F15" s="873"/>
      <c r="G15" s="874"/>
      <c r="H15" s="879"/>
    </row>
    <row r="16" spans="1:8">
      <c r="A16" s="818"/>
      <c r="B16" s="818"/>
      <c r="C16" s="646" t="s">
        <v>181</v>
      </c>
      <c r="D16" s="806"/>
      <c r="E16" s="872">
        <v>2042</v>
      </c>
      <c r="F16" s="873"/>
      <c r="G16" s="874"/>
      <c r="H16" s="879"/>
    </row>
    <row r="17" spans="1:8">
      <c r="A17" s="818"/>
      <c r="B17" s="818"/>
      <c r="C17" s="646" t="s">
        <v>183</v>
      </c>
      <c r="D17" s="806"/>
      <c r="E17" s="872">
        <v>2045</v>
      </c>
      <c r="F17" s="873"/>
      <c r="G17" s="874"/>
      <c r="H17" s="879"/>
    </row>
    <row r="18" spans="1:8">
      <c r="A18" s="818">
        <v>4</v>
      </c>
      <c r="B18" s="818" t="s">
        <v>1084</v>
      </c>
      <c r="C18" s="646" t="s">
        <v>182</v>
      </c>
      <c r="D18" s="806"/>
      <c r="E18" s="872">
        <v>2032</v>
      </c>
      <c r="F18" s="873"/>
      <c r="G18" s="874"/>
      <c r="H18" s="879"/>
    </row>
    <row r="19" spans="1:8">
      <c r="A19" s="818"/>
      <c r="B19" s="818"/>
      <c r="C19" s="646" t="s">
        <v>181</v>
      </c>
      <c r="D19" s="806"/>
      <c r="E19" s="872">
        <v>2049</v>
      </c>
      <c r="F19" s="873"/>
      <c r="G19" s="874"/>
      <c r="H19" s="879"/>
    </row>
    <row r="20" spans="1:8">
      <c r="A20" s="818"/>
      <c r="B20" s="818"/>
      <c r="C20" s="646" t="s">
        <v>183</v>
      </c>
      <c r="D20" s="807"/>
      <c r="E20" s="872">
        <v>2050</v>
      </c>
      <c r="F20" s="873"/>
      <c r="G20" s="874"/>
      <c r="H20" s="880"/>
    </row>
    <row r="21" spans="1:8" ht="31.2">
      <c r="A21" s="818">
        <v>5</v>
      </c>
      <c r="B21" s="818" t="s">
        <v>1176</v>
      </c>
      <c r="C21" s="646" t="s">
        <v>1087</v>
      </c>
      <c r="D21" s="644" t="s">
        <v>309</v>
      </c>
      <c r="E21" s="649" t="s">
        <v>1116</v>
      </c>
      <c r="F21" s="649" t="s">
        <v>1177</v>
      </c>
      <c r="G21" s="649"/>
      <c r="H21" s="774" t="s">
        <v>1117</v>
      </c>
    </row>
    <row r="22" spans="1:8">
      <c r="A22" s="818"/>
      <c r="B22" s="818"/>
      <c r="C22" s="646" t="s">
        <v>1118</v>
      </c>
      <c r="D22" s="644" t="s">
        <v>1204</v>
      </c>
      <c r="E22" s="872" t="s">
        <v>1119</v>
      </c>
      <c r="F22" s="873"/>
      <c r="G22" s="874"/>
      <c r="H22" s="878" t="s">
        <v>1178</v>
      </c>
    </row>
    <row r="23" spans="1:8" ht="31.2">
      <c r="A23" s="818"/>
      <c r="B23" s="818"/>
      <c r="C23" s="646" t="s">
        <v>1090</v>
      </c>
      <c r="D23" s="644" t="s">
        <v>309</v>
      </c>
      <c r="E23" s="649" t="s">
        <v>1120</v>
      </c>
      <c r="F23" s="649" t="s">
        <v>1164</v>
      </c>
      <c r="G23" s="649"/>
      <c r="H23" s="879"/>
    </row>
    <row r="24" spans="1:8">
      <c r="A24" s="818"/>
      <c r="B24" s="818"/>
      <c r="C24" s="646" t="s">
        <v>1088</v>
      </c>
      <c r="D24" s="644" t="s">
        <v>309</v>
      </c>
      <c r="E24" s="872" t="s">
        <v>1121</v>
      </c>
      <c r="F24" s="873"/>
      <c r="G24" s="874"/>
      <c r="H24" s="880"/>
    </row>
    <row r="25" spans="1:8">
      <c r="A25" s="818"/>
      <c r="B25" s="818"/>
      <c r="C25" s="646" t="s">
        <v>1122</v>
      </c>
      <c r="D25" s="644" t="s">
        <v>1204</v>
      </c>
      <c r="E25" s="872" t="s">
        <v>1123</v>
      </c>
      <c r="F25" s="873"/>
      <c r="G25" s="874"/>
      <c r="H25" s="881" t="s">
        <v>1179</v>
      </c>
    </row>
    <row r="26" spans="1:8">
      <c r="A26" s="818"/>
      <c r="B26" s="818"/>
      <c r="C26" s="646" t="s">
        <v>1091</v>
      </c>
      <c r="D26" s="644" t="s">
        <v>309</v>
      </c>
      <c r="E26" s="649" t="s">
        <v>1124</v>
      </c>
      <c r="F26" s="649" t="s">
        <v>1165</v>
      </c>
      <c r="G26" s="649" t="s">
        <v>1125</v>
      </c>
      <c r="H26" s="890"/>
    </row>
    <row r="27" spans="1:8" ht="31.2">
      <c r="A27" s="818"/>
      <c r="B27" s="818"/>
      <c r="C27" s="646" t="s">
        <v>1092</v>
      </c>
      <c r="D27" s="644" t="s">
        <v>309</v>
      </c>
      <c r="E27" s="649" t="s">
        <v>1126</v>
      </c>
      <c r="F27" s="649" t="s">
        <v>1165</v>
      </c>
      <c r="G27" s="649" t="s">
        <v>1127</v>
      </c>
      <c r="H27" s="890"/>
    </row>
    <row r="28" spans="1:8">
      <c r="A28" s="818"/>
      <c r="B28" s="818"/>
      <c r="C28" s="646" t="s">
        <v>1089</v>
      </c>
      <c r="D28" s="611" t="s">
        <v>309</v>
      </c>
      <c r="E28" s="854" t="s">
        <v>1128</v>
      </c>
      <c r="F28" s="855"/>
      <c r="G28" s="856"/>
      <c r="H28" s="891"/>
    </row>
    <row r="29" spans="1:8">
      <c r="A29" s="818"/>
      <c r="B29" s="818"/>
      <c r="C29" s="646" t="s">
        <v>1129</v>
      </c>
      <c r="D29" s="644" t="s">
        <v>1204</v>
      </c>
      <c r="E29" s="872" t="s">
        <v>1130</v>
      </c>
      <c r="F29" s="873"/>
      <c r="G29" s="874"/>
      <c r="H29" s="17"/>
    </row>
    <row r="30" spans="1:8" ht="62.4">
      <c r="A30" s="818"/>
      <c r="B30" s="818"/>
      <c r="C30" s="646" t="s">
        <v>1093</v>
      </c>
      <c r="D30" s="644" t="s">
        <v>309</v>
      </c>
      <c r="E30" s="649" t="s">
        <v>1131</v>
      </c>
      <c r="F30" s="649" t="s">
        <v>1166</v>
      </c>
      <c r="G30" s="649" t="s">
        <v>1132</v>
      </c>
      <c r="H30" s="774" t="s">
        <v>1137</v>
      </c>
    </row>
    <row r="31" spans="1:8">
      <c r="A31" s="818"/>
      <c r="B31" s="818"/>
      <c r="C31" s="646" t="s">
        <v>1094</v>
      </c>
      <c r="D31" s="644" t="s">
        <v>309</v>
      </c>
      <c r="E31" s="872" t="s">
        <v>1133</v>
      </c>
      <c r="F31" s="873"/>
      <c r="G31" s="874"/>
      <c r="H31" s="774"/>
    </row>
    <row r="32" spans="1:8" ht="46.8">
      <c r="A32" s="818">
        <v>6</v>
      </c>
      <c r="B32" s="818" t="s">
        <v>1095</v>
      </c>
      <c r="C32" s="646" t="s">
        <v>1096</v>
      </c>
      <c r="D32" s="644" t="s">
        <v>309</v>
      </c>
      <c r="E32" s="649" t="s">
        <v>1134</v>
      </c>
      <c r="F32" s="649" t="s">
        <v>1167</v>
      </c>
      <c r="G32" s="649"/>
      <c r="H32" s="774"/>
    </row>
    <row r="33" spans="1:8" ht="78">
      <c r="A33" s="818"/>
      <c r="B33" s="818"/>
      <c r="C33" s="646" t="s">
        <v>1097</v>
      </c>
      <c r="D33" s="644" t="s">
        <v>309</v>
      </c>
      <c r="E33" s="646" t="s">
        <v>1135</v>
      </c>
      <c r="F33" s="649" t="s">
        <v>1168</v>
      </c>
      <c r="G33" s="649" t="s">
        <v>1136</v>
      </c>
      <c r="H33" s="774" t="s">
        <v>1138</v>
      </c>
    </row>
    <row r="34" spans="1:8">
      <c r="A34" s="818"/>
      <c r="B34" s="818"/>
      <c r="C34" s="646" t="s">
        <v>1139</v>
      </c>
      <c r="D34" s="644" t="s">
        <v>193</v>
      </c>
      <c r="E34" s="872" t="s">
        <v>1140</v>
      </c>
      <c r="F34" s="873"/>
      <c r="G34" s="874"/>
      <c r="H34" s="774"/>
    </row>
    <row r="35" spans="1:8" ht="62.4">
      <c r="A35" s="818"/>
      <c r="B35" s="818"/>
      <c r="C35" s="646" t="s">
        <v>1099</v>
      </c>
      <c r="D35" s="644" t="s">
        <v>309</v>
      </c>
      <c r="E35" s="649" t="s">
        <v>1142</v>
      </c>
      <c r="F35" s="649" t="s">
        <v>1143</v>
      </c>
      <c r="G35" s="649" t="s">
        <v>1141</v>
      </c>
      <c r="H35" s="774" t="s">
        <v>1138</v>
      </c>
    </row>
    <row r="36" spans="1:8" ht="46.8">
      <c r="A36" s="818"/>
      <c r="B36" s="818"/>
      <c r="C36" s="646" t="s">
        <v>1098</v>
      </c>
      <c r="D36" s="644" t="s">
        <v>198</v>
      </c>
      <c r="E36" s="872" t="s">
        <v>1144</v>
      </c>
      <c r="F36" s="873"/>
      <c r="G36" s="874"/>
      <c r="H36" s="789" t="s">
        <v>1180</v>
      </c>
    </row>
    <row r="37" spans="1:8">
      <c r="A37" s="818"/>
      <c r="B37" s="818"/>
      <c r="C37" s="646" t="s">
        <v>1095</v>
      </c>
      <c r="D37" s="644" t="s">
        <v>309</v>
      </c>
      <c r="E37" s="872" t="s">
        <v>1145</v>
      </c>
      <c r="F37" s="873"/>
      <c r="G37" s="874"/>
      <c r="H37" s="774"/>
    </row>
    <row r="38" spans="1:8" ht="62.4">
      <c r="A38" s="822">
        <v>7</v>
      </c>
      <c r="B38" s="822" t="s">
        <v>1100</v>
      </c>
      <c r="C38" s="646" t="s">
        <v>1147</v>
      </c>
      <c r="D38" s="644" t="s">
        <v>309</v>
      </c>
      <c r="E38" s="649" t="s">
        <v>1148</v>
      </c>
      <c r="F38" s="649" t="s">
        <v>1150</v>
      </c>
      <c r="G38" s="649" t="s">
        <v>1149</v>
      </c>
      <c r="H38" s="774" t="s">
        <v>1138</v>
      </c>
    </row>
    <row r="39" spans="1:8">
      <c r="A39" s="824"/>
      <c r="B39" s="824"/>
      <c r="C39" s="646" t="s">
        <v>1206</v>
      </c>
      <c r="D39" s="644" t="s">
        <v>1205</v>
      </c>
      <c r="E39" s="872" t="s">
        <v>1152</v>
      </c>
      <c r="F39" s="873"/>
      <c r="G39" s="874"/>
      <c r="H39" s="774"/>
    </row>
    <row r="40" spans="1:8" ht="15.6" customHeight="1">
      <c r="A40" s="824"/>
      <c r="B40" s="824"/>
      <c r="C40" s="646" t="s">
        <v>1207</v>
      </c>
      <c r="D40" s="644" t="s">
        <v>193</v>
      </c>
      <c r="E40" s="872" t="s">
        <v>1153</v>
      </c>
      <c r="F40" s="873"/>
      <c r="G40" s="874"/>
      <c r="H40" s="774"/>
    </row>
    <row r="41" spans="1:8">
      <c r="A41" s="824"/>
      <c r="B41" s="824"/>
      <c r="C41" s="646" t="s">
        <v>1099</v>
      </c>
      <c r="D41" s="644" t="s">
        <v>309</v>
      </c>
      <c r="E41" s="872" t="s">
        <v>1154</v>
      </c>
      <c r="F41" s="873"/>
      <c r="G41" s="874"/>
      <c r="H41" s="774"/>
    </row>
    <row r="42" spans="1:8" ht="63.3" customHeight="1">
      <c r="A42" s="824"/>
      <c r="B42" s="824"/>
      <c r="C42" s="646" t="s">
        <v>1169</v>
      </c>
      <c r="D42" s="644" t="s">
        <v>198</v>
      </c>
      <c r="E42" s="872" t="s">
        <v>1155</v>
      </c>
      <c r="F42" s="873"/>
      <c r="G42" s="874"/>
      <c r="H42" s="774" t="s">
        <v>1146</v>
      </c>
    </row>
    <row r="43" spans="1:8">
      <c r="A43" s="823"/>
      <c r="B43" s="823"/>
      <c r="C43" s="646" t="s">
        <v>1100</v>
      </c>
      <c r="D43" s="644" t="s">
        <v>309</v>
      </c>
      <c r="E43" s="872" t="s">
        <v>1156</v>
      </c>
      <c r="F43" s="873"/>
      <c r="G43" s="874"/>
      <c r="H43" s="774"/>
    </row>
    <row r="44" spans="1:8">
      <c r="A44" s="822">
        <v>8</v>
      </c>
      <c r="B44" s="822" t="s">
        <v>1101</v>
      </c>
      <c r="C44" s="646" t="s">
        <v>65</v>
      </c>
      <c r="D44" s="644" t="s">
        <v>309</v>
      </c>
      <c r="E44" s="786">
        <v>88.926296108571407</v>
      </c>
      <c r="F44" s="787">
        <v>0.02</v>
      </c>
      <c r="G44" s="786">
        <v>161.205227070723</v>
      </c>
      <c r="H44" s="774" t="s">
        <v>1108</v>
      </c>
    </row>
    <row r="45" spans="1:8">
      <c r="A45" s="824"/>
      <c r="B45" s="824"/>
      <c r="C45" s="646" t="s">
        <v>1102</v>
      </c>
      <c r="D45" s="644" t="s">
        <v>309</v>
      </c>
      <c r="E45" s="786">
        <v>89.61</v>
      </c>
      <c r="F45" s="787">
        <v>0.03</v>
      </c>
      <c r="G45" s="786">
        <v>211.1718349935006</v>
      </c>
      <c r="H45" s="774"/>
    </row>
    <row r="46" spans="1:8">
      <c r="A46" s="824"/>
      <c r="B46" s="824"/>
      <c r="C46" s="646" t="s">
        <v>1103</v>
      </c>
      <c r="D46" s="644" t="s">
        <v>309</v>
      </c>
      <c r="E46" s="786">
        <v>85.490000000000009</v>
      </c>
      <c r="F46" s="787">
        <v>0.03</v>
      </c>
      <c r="G46" s="786">
        <v>201.46278510874194</v>
      </c>
      <c r="H46" s="774"/>
    </row>
    <row r="47" spans="1:8" ht="62.4">
      <c r="A47" s="824"/>
      <c r="B47" s="824"/>
      <c r="C47" s="646" t="s">
        <v>1104</v>
      </c>
      <c r="D47" s="644" t="s">
        <v>309</v>
      </c>
      <c r="E47" s="786">
        <v>7.5</v>
      </c>
      <c r="F47" s="649" t="s">
        <v>1185</v>
      </c>
      <c r="G47" s="786">
        <v>6.9229971378172479</v>
      </c>
      <c r="H47" s="790" t="s">
        <v>1181</v>
      </c>
    </row>
    <row r="48" spans="1:8" ht="109.2">
      <c r="A48" s="824"/>
      <c r="B48" s="824"/>
      <c r="C48" s="646" t="s">
        <v>1107</v>
      </c>
      <c r="D48" s="644" t="s">
        <v>309</v>
      </c>
      <c r="E48" s="786">
        <v>4.43</v>
      </c>
      <c r="F48" s="785"/>
      <c r="G48" s="786">
        <v>3.68</v>
      </c>
      <c r="H48" s="789" t="s">
        <v>1215</v>
      </c>
    </row>
    <row r="49" spans="1:8" ht="156">
      <c r="A49" s="824"/>
      <c r="B49" s="824"/>
      <c r="C49" s="646" t="s">
        <v>1105</v>
      </c>
      <c r="D49" s="644" t="s">
        <v>309</v>
      </c>
      <c r="E49" s="786">
        <v>546.5</v>
      </c>
      <c r="F49" s="791" t="s">
        <v>1186</v>
      </c>
      <c r="G49" s="786">
        <v>270.53187916737176</v>
      </c>
      <c r="H49" s="789" t="s">
        <v>1182</v>
      </c>
    </row>
    <row r="50" spans="1:8" ht="62.4">
      <c r="A50" s="823"/>
      <c r="B50" s="823"/>
      <c r="C50" s="646" t="s">
        <v>1106</v>
      </c>
      <c r="D50" s="644" t="s">
        <v>309</v>
      </c>
      <c r="E50" s="786">
        <v>175</v>
      </c>
      <c r="F50" s="649" t="s">
        <v>1187</v>
      </c>
      <c r="G50" s="786">
        <v>70.138952840653474</v>
      </c>
      <c r="H50" s="774" t="s">
        <v>1183</v>
      </c>
    </row>
    <row r="51" spans="1:8" ht="48.9" customHeight="1">
      <c r="A51" s="822">
        <v>9</v>
      </c>
      <c r="B51" s="822" t="s">
        <v>1208</v>
      </c>
      <c r="C51" s="646" t="s">
        <v>178</v>
      </c>
      <c r="D51" s="644" t="s">
        <v>309</v>
      </c>
      <c r="E51" s="872" t="s">
        <v>1157</v>
      </c>
      <c r="F51" s="873"/>
      <c r="G51" s="874"/>
      <c r="H51" s="774"/>
    </row>
    <row r="52" spans="1:8">
      <c r="A52" s="824"/>
      <c r="B52" s="824"/>
      <c r="C52" s="646" t="s">
        <v>1109</v>
      </c>
      <c r="D52" s="644" t="s">
        <v>309</v>
      </c>
      <c r="E52" s="831" t="s">
        <v>1161</v>
      </c>
      <c r="F52" s="832"/>
      <c r="G52" s="833"/>
      <c r="H52" s="878" t="s">
        <v>1184</v>
      </c>
    </row>
    <row r="53" spans="1:8">
      <c r="A53" s="824"/>
      <c r="B53" s="824"/>
      <c r="C53" s="646" t="s">
        <v>181</v>
      </c>
      <c r="D53" s="644" t="s">
        <v>309</v>
      </c>
      <c r="E53" s="837"/>
      <c r="F53" s="838"/>
      <c r="G53" s="839"/>
      <c r="H53" s="880"/>
    </row>
    <row r="54" spans="1:8" ht="32.1" customHeight="1">
      <c r="A54" s="824"/>
      <c r="B54" s="824"/>
      <c r="C54" s="646" t="s">
        <v>1159</v>
      </c>
      <c r="D54" s="644" t="s">
        <v>309</v>
      </c>
      <c r="E54" s="831" t="s">
        <v>1162</v>
      </c>
      <c r="F54" s="832"/>
      <c r="G54" s="833"/>
      <c r="H54" s="774"/>
    </row>
    <row r="55" spans="1:8" ht="48.9" customHeight="1">
      <c r="A55" s="823"/>
      <c r="B55" s="823"/>
      <c r="C55" s="646" t="s">
        <v>1160</v>
      </c>
      <c r="D55" s="644" t="s">
        <v>309</v>
      </c>
      <c r="E55" s="831" t="s">
        <v>1158</v>
      </c>
      <c r="F55" s="832"/>
      <c r="G55" s="833"/>
      <c r="H55" s="774"/>
    </row>
    <row r="56" spans="1:8" ht="171.6" customHeight="1">
      <c r="A56" s="822">
        <v>10</v>
      </c>
      <c r="B56" s="822" t="s">
        <v>1188</v>
      </c>
      <c r="C56" s="646" t="s">
        <v>178</v>
      </c>
      <c r="D56" s="644" t="s">
        <v>198</v>
      </c>
      <c r="E56" s="648">
        <v>0.5</v>
      </c>
      <c r="F56" s="649" t="s">
        <v>1189</v>
      </c>
      <c r="G56" s="648">
        <v>0.3</v>
      </c>
      <c r="H56" s="881" t="s">
        <v>1202</v>
      </c>
    </row>
    <row r="57" spans="1:8" ht="46.8">
      <c r="A57" s="824"/>
      <c r="B57" s="824"/>
      <c r="C57" s="646" t="s">
        <v>1109</v>
      </c>
      <c r="D57" s="644" t="s">
        <v>198</v>
      </c>
      <c r="E57" s="648">
        <v>0.45</v>
      </c>
      <c r="F57" s="649" t="s">
        <v>1190</v>
      </c>
      <c r="G57" s="648">
        <v>0.25</v>
      </c>
      <c r="H57" s="882"/>
    </row>
    <row r="58" spans="1:8" ht="46.8">
      <c r="A58" s="824"/>
      <c r="B58" s="824"/>
      <c r="C58" s="646" t="s">
        <v>181</v>
      </c>
      <c r="D58" s="644" t="s">
        <v>198</v>
      </c>
      <c r="E58" s="648">
        <v>0.2</v>
      </c>
      <c r="F58" s="649" t="s">
        <v>1191</v>
      </c>
      <c r="G58" s="648">
        <v>0.35</v>
      </c>
      <c r="H58" s="882"/>
    </row>
    <row r="59" spans="1:8" ht="46.8">
      <c r="A59" s="824"/>
      <c r="B59" s="824"/>
      <c r="C59" s="646" t="s">
        <v>182</v>
      </c>
      <c r="D59" s="644" t="s">
        <v>198</v>
      </c>
      <c r="E59" s="648">
        <v>0.15000000000000002</v>
      </c>
      <c r="F59" s="649" t="s">
        <v>1192</v>
      </c>
      <c r="G59" s="648">
        <v>0.35</v>
      </c>
      <c r="H59" s="882"/>
    </row>
    <row r="60" spans="1:8" ht="46.8">
      <c r="A60" s="823"/>
      <c r="B60" s="823"/>
      <c r="C60" s="646" t="s">
        <v>331</v>
      </c>
      <c r="D60" s="644" t="s">
        <v>198</v>
      </c>
      <c r="E60" s="648">
        <v>4.9999999999999989E-2</v>
      </c>
      <c r="F60" s="649" t="s">
        <v>1193</v>
      </c>
      <c r="G60" s="648">
        <v>0.25</v>
      </c>
      <c r="H60" s="883"/>
    </row>
    <row r="61" spans="1:8">
      <c r="A61" s="822">
        <v>11</v>
      </c>
      <c r="B61" s="822" t="s">
        <v>1209</v>
      </c>
      <c r="C61" s="646" t="s">
        <v>1082</v>
      </c>
      <c r="D61" s="644" t="s">
        <v>309</v>
      </c>
      <c r="E61" s="788">
        <v>5.5</v>
      </c>
      <c r="F61" s="884">
        <v>4.4999999999999998E-2</v>
      </c>
      <c r="G61" s="788">
        <v>21</v>
      </c>
      <c r="H61" s="871" t="s">
        <v>1194</v>
      </c>
    </row>
    <row r="62" spans="1:8">
      <c r="A62" s="823"/>
      <c r="B62" s="823"/>
      <c r="C62" s="646" t="s">
        <v>1163</v>
      </c>
      <c r="D62" s="644" t="s">
        <v>309</v>
      </c>
      <c r="E62" s="788">
        <v>6</v>
      </c>
      <c r="F62" s="885"/>
      <c r="G62" s="788">
        <v>23</v>
      </c>
      <c r="H62" s="826"/>
    </row>
    <row r="63" spans="1:8" ht="62.4">
      <c r="A63" s="445">
        <v>12</v>
      </c>
      <c r="B63" s="445" t="s">
        <v>1211</v>
      </c>
      <c r="C63" s="646" t="s">
        <v>1203</v>
      </c>
      <c r="D63" s="644" t="s">
        <v>309</v>
      </c>
      <c r="E63" s="786" t="s">
        <v>1195</v>
      </c>
      <c r="F63" s="787">
        <v>0.01</v>
      </c>
      <c r="G63" s="786" t="s">
        <v>1196</v>
      </c>
      <c r="H63" s="774" t="s">
        <v>1210</v>
      </c>
    </row>
    <row r="64" spans="1:8" ht="31.2">
      <c r="A64" s="822">
        <v>13</v>
      </c>
      <c r="B64" s="818" t="s">
        <v>1110</v>
      </c>
      <c r="C64" s="646" t="s">
        <v>1111</v>
      </c>
      <c r="D64" s="644"/>
      <c r="E64" s="872" t="s">
        <v>1170</v>
      </c>
      <c r="F64" s="873"/>
      <c r="G64" s="874"/>
      <c r="H64" s="783"/>
    </row>
    <row r="65" spans="1:8">
      <c r="A65" s="824"/>
      <c r="B65" s="818"/>
      <c r="C65" s="646" t="s">
        <v>319</v>
      </c>
      <c r="D65" s="644" t="s">
        <v>198</v>
      </c>
      <c r="E65" s="872" t="s">
        <v>1197</v>
      </c>
      <c r="F65" s="873"/>
      <c r="G65" s="874"/>
      <c r="H65" s="783"/>
    </row>
    <row r="66" spans="1:8" ht="79.8" customHeight="1">
      <c r="A66" s="824"/>
      <c r="B66" s="818"/>
      <c r="C66" s="646" t="s">
        <v>166</v>
      </c>
      <c r="D66" s="646" t="s">
        <v>1212</v>
      </c>
      <c r="E66" s="886" t="s">
        <v>1173</v>
      </c>
      <c r="F66" s="886"/>
      <c r="G66" s="886"/>
      <c r="H66" s="784"/>
    </row>
    <row r="67" spans="1:8" ht="31.2">
      <c r="A67" s="824"/>
      <c r="B67" s="818"/>
      <c r="C67" s="646" t="s">
        <v>1112</v>
      </c>
      <c r="D67" s="644"/>
      <c r="E67" s="887" t="s">
        <v>1174</v>
      </c>
      <c r="F67" s="888"/>
      <c r="G67" s="889"/>
      <c r="H67" s="783"/>
    </row>
    <row r="68" spans="1:8" ht="48.3" customHeight="1">
      <c r="A68" s="824"/>
      <c r="B68" s="818"/>
      <c r="C68" s="646" t="s">
        <v>1171</v>
      </c>
      <c r="D68" s="644"/>
      <c r="E68" s="872" t="s">
        <v>1172</v>
      </c>
      <c r="F68" s="873"/>
      <c r="G68" s="874"/>
      <c r="H68" s="783" t="s">
        <v>1213</v>
      </c>
    </row>
    <row r="69" spans="1:8" ht="96.3" customHeight="1">
      <c r="A69" s="824"/>
      <c r="B69" s="818"/>
      <c r="C69" s="646" t="s">
        <v>1113</v>
      </c>
      <c r="D69" s="644"/>
      <c r="E69" s="875" t="s">
        <v>1198</v>
      </c>
      <c r="F69" s="876"/>
      <c r="G69" s="877"/>
      <c r="H69" s="783" t="s">
        <v>1200</v>
      </c>
    </row>
    <row r="70" spans="1:8" ht="94.5" customHeight="1">
      <c r="A70" s="824"/>
      <c r="B70" s="818"/>
      <c r="C70" s="646" t="s">
        <v>1114</v>
      </c>
      <c r="D70" s="644"/>
      <c r="E70" s="875" t="s">
        <v>1199</v>
      </c>
      <c r="F70" s="876"/>
      <c r="G70" s="877"/>
      <c r="H70" s="783" t="s">
        <v>1201</v>
      </c>
    </row>
  </sheetData>
  <mergeCells count="81">
    <mergeCell ref="A4:A7"/>
    <mergeCell ref="B4:B7"/>
    <mergeCell ref="A13:A17"/>
    <mergeCell ref="B13:B17"/>
    <mergeCell ref="A18:A20"/>
    <mergeCell ref="B18:B20"/>
    <mergeCell ref="A8:A12"/>
    <mergeCell ref="B8:B12"/>
    <mergeCell ref="B61:B62"/>
    <mergeCell ref="A61:A62"/>
    <mergeCell ref="A44:A50"/>
    <mergeCell ref="B44:B50"/>
    <mergeCell ref="A21:A31"/>
    <mergeCell ref="B21:B31"/>
    <mergeCell ref="A32:A37"/>
    <mergeCell ref="B32:B37"/>
    <mergeCell ref="E2:G2"/>
    <mergeCell ref="A2:A3"/>
    <mergeCell ref="B2:B3"/>
    <mergeCell ref="C2:C3"/>
    <mergeCell ref="D2:D3"/>
    <mergeCell ref="H2:H3"/>
    <mergeCell ref="B64:B70"/>
    <mergeCell ref="A56:A60"/>
    <mergeCell ref="B56:B60"/>
    <mergeCell ref="A64:A70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4:G24"/>
    <mergeCell ref="E36:G36"/>
    <mergeCell ref="H22:H24"/>
    <mergeCell ref="H25:H28"/>
    <mergeCell ref="E22:G22"/>
    <mergeCell ref="E25:G25"/>
    <mergeCell ref="E28:G28"/>
    <mergeCell ref="E37:G37"/>
    <mergeCell ref="E39:G39"/>
    <mergeCell ref="E40:G40"/>
    <mergeCell ref="E29:G29"/>
    <mergeCell ref="E54:G54"/>
    <mergeCell ref="E31:G31"/>
    <mergeCell ref="E34:G34"/>
    <mergeCell ref="E55:G55"/>
    <mergeCell ref="E41:G41"/>
    <mergeCell ref="B38:B43"/>
    <mergeCell ref="A38:A43"/>
    <mergeCell ref="E42:G42"/>
    <mergeCell ref="E43:G43"/>
    <mergeCell ref="A51:A55"/>
    <mergeCell ref="B51:B55"/>
    <mergeCell ref="A1:H1"/>
    <mergeCell ref="H61:H62"/>
    <mergeCell ref="E65:G65"/>
    <mergeCell ref="E69:G69"/>
    <mergeCell ref="E70:G70"/>
    <mergeCell ref="D4:D20"/>
    <mergeCell ref="H4:H20"/>
    <mergeCell ref="H52:H53"/>
    <mergeCell ref="H56:H60"/>
    <mergeCell ref="F61:F62"/>
    <mergeCell ref="E64:G64"/>
    <mergeCell ref="E66:G66"/>
    <mergeCell ref="E68:G68"/>
    <mergeCell ref="E67:G67"/>
    <mergeCell ref="E51:G51"/>
    <mergeCell ref="E52:G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50B7-FC03-4264-ADEF-15C94CA3B8C6}">
  <dimension ref="A1:AE51"/>
  <sheetViews>
    <sheetView zoomScale="107" zoomScaleNormal="107" workbookViewId="0">
      <pane xSplit="1" ySplit="2" topLeftCell="B44" activePane="bottomRight" state="frozen"/>
      <selection pane="topRight" activeCell="B1" sqref="B1"/>
      <selection pane="bottomLeft" activeCell="A3" sqref="A3"/>
      <selection pane="bottomRight" activeCell="K55" sqref="K55"/>
    </sheetView>
  </sheetViews>
  <sheetFormatPr defaultColWidth="8.88671875" defaultRowHeight="14.4"/>
  <cols>
    <col min="1" max="1" width="40.88671875" style="722" customWidth="1"/>
    <col min="2" max="2" width="8.88671875" style="717" bestFit="1" customWidth="1"/>
    <col min="3" max="3" width="9.88671875" style="717" customWidth="1"/>
    <col min="4" max="6" width="6.88671875" style="717" bestFit="1" customWidth="1"/>
    <col min="7" max="7" width="8.77734375" style="717" customWidth="1"/>
    <col min="8" max="31" width="6.88671875" style="717" bestFit="1" customWidth="1"/>
    <col min="32" max="16384" width="8.88671875" style="717"/>
  </cols>
  <sheetData>
    <row r="1" spans="1:2">
      <c r="A1" s="722" t="s">
        <v>954</v>
      </c>
    </row>
    <row r="3" spans="1:2">
      <c r="A3" s="722" t="s">
        <v>955</v>
      </c>
      <c r="B3" s="717">
        <f>75*25</f>
        <v>1875</v>
      </c>
    </row>
    <row r="4" spans="1:2">
      <c r="A4" s="722" t="s">
        <v>956</v>
      </c>
      <c r="B4" s="717">
        <f>75*25</f>
        <v>1875</v>
      </c>
    </row>
    <row r="5" spans="1:2">
      <c r="A5" s="722" t="s">
        <v>957</v>
      </c>
      <c r="B5" s="717">
        <v>1250</v>
      </c>
    </row>
    <row r="6" spans="1:2">
      <c r="A6" s="722" t="s">
        <v>958</v>
      </c>
      <c r="B6" s="722">
        <f>SUM(B3:B5)</f>
        <v>5000</v>
      </c>
    </row>
    <row r="7" spans="1:2">
      <c r="A7" s="730" t="s">
        <v>959</v>
      </c>
      <c r="B7" s="742">
        <v>43636</v>
      </c>
    </row>
    <row r="8" spans="1:2" ht="28.8">
      <c r="A8" s="730" t="s">
        <v>960</v>
      </c>
      <c r="B8" s="717">
        <v>-3636</v>
      </c>
    </row>
    <row r="9" spans="1:2">
      <c r="A9" s="722" t="s">
        <v>961</v>
      </c>
      <c r="B9" s="742">
        <f>B8+B7</f>
        <v>40000</v>
      </c>
    </row>
    <row r="10" spans="1:2">
      <c r="A10" s="722" t="s">
        <v>962</v>
      </c>
      <c r="B10" s="793">
        <f>B9/B6</f>
        <v>8</v>
      </c>
    </row>
    <row r="11" spans="1:2" ht="55.05" customHeight="1">
      <c r="A11" s="893" t="s">
        <v>963</v>
      </c>
      <c r="B11" s="894"/>
    </row>
    <row r="13" spans="1:2">
      <c r="A13" s="730" t="s">
        <v>964</v>
      </c>
    </row>
    <row r="14" spans="1:2">
      <c r="A14" s="730"/>
    </row>
    <row r="15" spans="1:2">
      <c r="A15" s="730" t="s">
        <v>965</v>
      </c>
    </row>
    <row r="16" spans="1:2">
      <c r="A16" s="730"/>
      <c r="B16" s="722" t="s">
        <v>966</v>
      </c>
    </row>
    <row r="17" spans="1:31">
      <c r="A17" s="730" t="s">
        <v>920</v>
      </c>
      <c r="B17" s="717">
        <v>100</v>
      </c>
    </row>
    <row r="18" spans="1:31">
      <c r="A18" s="730" t="s">
        <v>967</v>
      </c>
      <c r="B18" s="717">
        <v>80</v>
      </c>
      <c r="C18" s="717" t="s">
        <v>968</v>
      </c>
    </row>
    <row r="19" spans="1:31" ht="28.8">
      <c r="A19" s="730" t="s">
        <v>969</v>
      </c>
      <c r="B19" s="717">
        <v>20</v>
      </c>
    </row>
    <row r="20" spans="1:31">
      <c r="A20" s="730" t="s">
        <v>970</v>
      </c>
      <c r="B20" s="717">
        <f>B18+B19</f>
        <v>100</v>
      </c>
    </row>
    <row r="21" spans="1:31" ht="28.8">
      <c r="A21" s="730" t="s">
        <v>971</v>
      </c>
    </row>
    <row r="23" spans="1:31" ht="15.6">
      <c r="A23" s="794" t="s">
        <v>972</v>
      </c>
      <c r="B23" s="722">
        <v>2026</v>
      </c>
      <c r="C23" s="722">
        <v>2027</v>
      </c>
      <c r="D23" s="722">
        <v>2028</v>
      </c>
      <c r="E23" s="722">
        <v>2029</v>
      </c>
      <c r="F23" s="722">
        <v>2030</v>
      </c>
      <c r="G23" s="722">
        <v>2031</v>
      </c>
      <c r="H23" s="722">
        <v>2032</v>
      </c>
      <c r="I23" s="722">
        <v>2033</v>
      </c>
      <c r="J23" s="722">
        <v>2034</v>
      </c>
      <c r="K23" s="722">
        <v>2035</v>
      </c>
      <c r="L23" s="722">
        <v>2036</v>
      </c>
      <c r="M23" s="722">
        <v>2037</v>
      </c>
      <c r="N23" s="722">
        <v>2038</v>
      </c>
      <c r="O23" s="722">
        <v>2039</v>
      </c>
      <c r="P23" s="722">
        <v>2040</v>
      </c>
      <c r="Q23" s="722">
        <v>2041</v>
      </c>
      <c r="R23" s="722">
        <v>2042</v>
      </c>
      <c r="S23" s="722">
        <v>2043</v>
      </c>
      <c r="T23" s="722">
        <v>2044</v>
      </c>
      <c r="U23" s="722">
        <v>2045</v>
      </c>
      <c r="V23" s="722">
        <v>2046</v>
      </c>
      <c r="W23" s="722">
        <v>2047</v>
      </c>
      <c r="X23" s="722">
        <v>2048</v>
      </c>
      <c r="Y23" s="722">
        <v>2049</v>
      </c>
      <c r="Z23" s="722">
        <v>2050</v>
      </c>
      <c r="AA23" s="722">
        <v>2051</v>
      </c>
      <c r="AB23" s="722">
        <v>2052</v>
      </c>
      <c r="AC23" s="722">
        <v>2053</v>
      </c>
      <c r="AD23" s="722">
        <v>2054</v>
      </c>
      <c r="AE23" s="722">
        <v>2055</v>
      </c>
    </row>
    <row r="24" spans="1:31" ht="28.8">
      <c r="A24" s="730" t="s">
        <v>973</v>
      </c>
      <c r="B24" s="723">
        <f>305*960/0.98/100000</f>
        <v>2.9877551020408166</v>
      </c>
      <c r="C24" s="723">
        <f>B24</f>
        <v>2.9877551020408166</v>
      </c>
      <c r="D24" s="723">
        <f t="shared" ref="D24:AE24" si="0">C24</f>
        <v>2.9877551020408166</v>
      </c>
      <c r="E24" s="723">
        <f t="shared" si="0"/>
        <v>2.9877551020408166</v>
      </c>
      <c r="F24" s="723">
        <f t="shared" si="0"/>
        <v>2.9877551020408166</v>
      </c>
      <c r="G24" s="723">
        <f t="shared" si="0"/>
        <v>2.9877551020408166</v>
      </c>
      <c r="H24" s="723">
        <f t="shared" si="0"/>
        <v>2.9877551020408166</v>
      </c>
      <c r="I24" s="723">
        <f t="shared" si="0"/>
        <v>2.9877551020408166</v>
      </c>
      <c r="J24" s="723">
        <f t="shared" si="0"/>
        <v>2.9877551020408166</v>
      </c>
      <c r="K24" s="723">
        <f t="shared" si="0"/>
        <v>2.9877551020408166</v>
      </c>
      <c r="L24" s="723">
        <f t="shared" si="0"/>
        <v>2.9877551020408166</v>
      </c>
      <c r="M24" s="723">
        <f t="shared" si="0"/>
        <v>2.9877551020408166</v>
      </c>
      <c r="N24" s="723">
        <f t="shared" si="0"/>
        <v>2.9877551020408166</v>
      </c>
      <c r="O24" s="723">
        <f t="shared" si="0"/>
        <v>2.9877551020408166</v>
      </c>
      <c r="P24" s="723">
        <f t="shared" si="0"/>
        <v>2.9877551020408166</v>
      </c>
      <c r="Q24" s="723">
        <f t="shared" si="0"/>
        <v>2.9877551020408166</v>
      </c>
      <c r="R24" s="723">
        <f t="shared" si="0"/>
        <v>2.9877551020408166</v>
      </c>
      <c r="S24" s="723">
        <f t="shared" si="0"/>
        <v>2.9877551020408166</v>
      </c>
      <c r="T24" s="723">
        <f t="shared" si="0"/>
        <v>2.9877551020408166</v>
      </c>
      <c r="U24" s="723">
        <f t="shared" si="0"/>
        <v>2.9877551020408166</v>
      </c>
      <c r="V24" s="723">
        <f t="shared" si="0"/>
        <v>2.9877551020408166</v>
      </c>
      <c r="W24" s="723">
        <f t="shared" si="0"/>
        <v>2.9877551020408166</v>
      </c>
      <c r="X24" s="723">
        <f t="shared" si="0"/>
        <v>2.9877551020408166</v>
      </c>
      <c r="Y24" s="723">
        <f t="shared" si="0"/>
        <v>2.9877551020408166</v>
      </c>
      <c r="Z24" s="723">
        <f t="shared" si="0"/>
        <v>2.9877551020408166</v>
      </c>
      <c r="AA24" s="723">
        <f t="shared" si="0"/>
        <v>2.9877551020408166</v>
      </c>
      <c r="AB24" s="723">
        <f t="shared" si="0"/>
        <v>2.9877551020408166</v>
      </c>
      <c r="AC24" s="723">
        <f t="shared" si="0"/>
        <v>2.9877551020408166</v>
      </c>
      <c r="AD24" s="723">
        <f t="shared" si="0"/>
        <v>2.9877551020408166</v>
      </c>
      <c r="AE24" s="723">
        <f t="shared" si="0"/>
        <v>2.9877551020408166</v>
      </c>
    </row>
    <row r="25" spans="1:31">
      <c r="A25" s="730" t="s">
        <v>974</v>
      </c>
      <c r="B25" s="717">
        <v>1</v>
      </c>
      <c r="C25" s="723">
        <f>B25*1.07</f>
        <v>1.07</v>
      </c>
      <c r="D25" s="723">
        <f t="shared" ref="D25:AE25" si="1">C25*1.07</f>
        <v>1.1449</v>
      </c>
      <c r="E25" s="723">
        <f t="shared" si="1"/>
        <v>1.2250430000000001</v>
      </c>
      <c r="F25" s="723">
        <f t="shared" si="1"/>
        <v>1.3107960100000002</v>
      </c>
      <c r="G25" s="723">
        <f t="shared" si="1"/>
        <v>1.4025517307000004</v>
      </c>
      <c r="H25" s="723">
        <f t="shared" si="1"/>
        <v>1.5007303518490005</v>
      </c>
      <c r="I25" s="723">
        <f t="shared" si="1"/>
        <v>1.6057814764784306</v>
      </c>
      <c r="J25" s="723">
        <f t="shared" si="1"/>
        <v>1.7181861798319209</v>
      </c>
      <c r="K25" s="723">
        <f t="shared" si="1"/>
        <v>1.8384592124201555</v>
      </c>
      <c r="L25" s="723">
        <f t="shared" si="1"/>
        <v>1.9671513572895665</v>
      </c>
      <c r="M25" s="723">
        <f t="shared" si="1"/>
        <v>2.1048519522998363</v>
      </c>
      <c r="N25" s="723">
        <f t="shared" si="1"/>
        <v>2.2521915889608248</v>
      </c>
      <c r="O25" s="723">
        <f t="shared" si="1"/>
        <v>2.4098450001880827</v>
      </c>
      <c r="P25" s="723">
        <f t="shared" si="1"/>
        <v>2.5785341502012487</v>
      </c>
      <c r="Q25" s="723">
        <f t="shared" si="1"/>
        <v>2.7590315407153363</v>
      </c>
      <c r="R25" s="723">
        <f t="shared" si="1"/>
        <v>2.9521637485654102</v>
      </c>
      <c r="S25" s="723">
        <f t="shared" si="1"/>
        <v>3.1588152109649892</v>
      </c>
      <c r="T25" s="723">
        <f t="shared" si="1"/>
        <v>3.3799322757325387</v>
      </c>
      <c r="U25" s="723">
        <f t="shared" si="1"/>
        <v>3.6165275350338169</v>
      </c>
      <c r="V25" s="723">
        <f t="shared" si="1"/>
        <v>3.8696844624861844</v>
      </c>
      <c r="W25" s="723">
        <f t="shared" si="1"/>
        <v>4.1405623748602176</v>
      </c>
      <c r="X25" s="723">
        <f t="shared" si="1"/>
        <v>4.4304017411004333</v>
      </c>
      <c r="Y25" s="723">
        <f t="shared" si="1"/>
        <v>4.7405298629774641</v>
      </c>
      <c r="Z25" s="723">
        <f t="shared" si="1"/>
        <v>5.0723669533858873</v>
      </c>
      <c r="AA25" s="723">
        <f t="shared" si="1"/>
        <v>5.4274326401229001</v>
      </c>
      <c r="AB25" s="723">
        <f t="shared" si="1"/>
        <v>5.8073529249315037</v>
      </c>
      <c r="AC25" s="723">
        <f t="shared" si="1"/>
        <v>6.2138676296767095</v>
      </c>
      <c r="AD25" s="723">
        <f t="shared" si="1"/>
        <v>6.6488383637540798</v>
      </c>
      <c r="AE25" s="723">
        <f t="shared" si="1"/>
        <v>7.1142570492168655</v>
      </c>
    </row>
    <row r="26" spans="1:31" ht="28.8">
      <c r="A26" s="730" t="s">
        <v>975</v>
      </c>
      <c r="B26" s="723">
        <f>B25*0.1</f>
        <v>0.1</v>
      </c>
      <c r="C26" s="723">
        <f t="shared" ref="C26:AE26" si="2">C25*0.1</f>
        <v>0.10700000000000001</v>
      </c>
      <c r="D26" s="723">
        <f t="shared" si="2"/>
        <v>0.11449000000000001</v>
      </c>
      <c r="E26" s="723">
        <f t="shared" si="2"/>
        <v>0.12250430000000001</v>
      </c>
      <c r="F26" s="723">
        <f t="shared" si="2"/>
        <v>0.13107960100000002</v>
      </c>
      <c r="G26" s="723">
        <f t="shared" si="2"/>
        <v>0.14025517307000004</v>
      </c>
      <c r="H26" s="723">
        <f t="shared" si="2"/>
        <v>0.15007303518490006</v>
      </c>
      <c r="I26" s="723">
        <f t="shared" si="2"/>
        <v>0.16057814764784306</v>
      </c>
      <c r="J26" s="723">
        <f t="shared" si="2"/>
        <v>0.17181861798319209</v>
      </c>
      <c r="K26" s="723">
        <f t="shared" si="2"/>
        <v>0.18384592124201557</v>
      </c>
      <c r="L26" s="723">
        <f t="shared" si="2"/>
        <v>0.19671513572895666</v>
      </c>
      <c r="M26" s="723">
        <f t="shared" si="2"/>
        <v>0.21048519522998366</v>
      </c>
      <c r="N26" s="723">
        <f t="shared" si="2"/>
        <v>0.22521915889608249</v>
      </c>
      <c r="O26" s="723">
        <f t="shared" si="2"/>
        <v>0.24098450001880828</v>
      </c>
      <c r="P26" s="723">
        <f t="shared" si="2"/>
        <v>0.25785341502012488</v>
      </c>
      <c r="Q26" s="723">
        <f t="shared" si="2"/>
        <v>0.27590315407153365</v>
      </c>
      <c r="R26" s="723">
        <f t="shared" si="2"/>
        <v>0.29521637485654101</v>
      </c>
      <c r="S26" s="723">
        <f t="shared" si="2"/>
        <v>0.31588152109649892</v>
      </c>
      <c r="T26" s="723">
        <f t="shared" si="2"/>
        <v>0.3379932275732539</v>
      </c>
      <c r="U26" s="723">
        <f t="shared" si="2"/>
        <v>0.36165275350338172</v>
      </c>
      <c r="V26" s="723">
        <f t="shared" si="2"/>
        <v>0.38696844624861848</v>
      </c>
      <c r="W26" s="723">
        <f t="shared" si="2"/>
        <v>0.41405623748602177</v>
      </c>
      <c r="X26" s="723">
        <f t="shared" si="2"/>
        <v>0.44304017411004337</v>
      </c>
      <c r="Y26" s="723">
        <f t="shared" si="2"/>
        <v>0.47405298629774645</v>
      </c>
      <c r="Z26" s="723">
        <f t="shared" si="2"/>
        <v>0.50723669533858873</v>
      </c>
      <c r="AA26" s="723">
        <f t="shared" si="2"/>
        <v>0.54274326401229001</v>
      </c>
      <c r="AB26" s="723">
        <f t="shared" si="2"/>
        <v>0.58073529249315037</v>
      </c>
      <c r="AC26" s="723">
        <f t="shared" si="2"/>
        <v>0.62138676296767104</v>
      </c>
      <c r="AD26" s="723">
        <f t="shared" si="2"/>
        <v>0.66488383637540804</v>
      </c>
      <c r="AE26" s="723">
        <f t="shared" si="2"/>
        <v>0.71142570492168655</v>
      </c>
    </row>
    <row r="27" spans="1:31">
      <c r="A27" s="743" t="s">
        <v>976</v>
      </c>
      <c r="B27" s="744">
        <f>SUM(B24:B26)</f>
        <v>4.0877551020408163</v>
      </c>
      <c r="C27" s="744">
        <f t="shared" ref="C27:AE27" si="3">SUM(C24:C26)</f>
        <v>4.1647551020408171</v>
      </c>
      <c r="D27" s="744">
        <f t="shared" si="3"/>
        <v>4.2471451020408164</v>
      </c>
      <c r="E27" s="744">
        <f t="shared" si="3"/>
        <v>4.3353024020408171</v>
      </c>
      <c r="F27" s="744">
        <f t="shared" si="3"/>
        <v>4.429630713040817</v>
      </c>
      <c r="G27" s="744">
        <f t="shared" si="3"/>
        <v>4.5305620058108174</v>
      </c>
      <c r="H27" s="744">
        <f t="shared" si="3"/>
        <v>4.6385584890747174</v>
      </c>
      <c r="I27" s="744">
        <f t="shared" si="3"/>
        <v>4.7541147261670904</v>
      </c>
      <c r="J27" s="744">
        <f t="shared" si="3"/>
        <v>4.8777598998559295</v>
      </c>
      <c r="K27" s="744">
        <f t="shared" si="3"/>
        <v>5.010060235702988</v>
      </c>
      <c r="L27" s="744">
        <f t="shared" si="3"/>
        <v>5.1516215950593391</v>
      </c>
      <c r="M27" s="744">
        <f t="shared" si="3"/>
        <v>5.3030922495706365</v>
      </c>
      <c r="N27" s="744">
        <f t="shared" si="3"/>
        <v>5.4651658498977236</v>
      </c>
      <c r="O27" s="744">
        <f t="shared" si="3"/>
        <v>5.6385846022477084</v>
      </c>
      <c r="P27" s="744">
        <f t="shared" si="3"/>
        <v>5.8241426672621897</v>
      </c>
      <c r="Q27" s="744">
        <f t="shared" si="3"/>
        <v>6.0226897968276862</v>
      </c>
      <c r="R27" s="744">
        <f t="shared" si="3"/>
        <v>6.2351352254627681</v>
      </c>
      <c r="S27" s="744">
        <f t="shared" si="3"/>
        <v>6.4624518341023052</v>
      </c>
      <c r="T27" s="744">
        <f t="shared" si="3"/>
        <v>6.7056806053466094</v>
      </c>
      <c r="U27" s="744">
        <f t="shared" si="3"/>
        <v>6.9659353905780153</v>
      </c>
      <c r="V27" s="744">
        <f t="shared" si="3"/>
        <v>7.2444080107756186</v>
      </c>
      <c r="W27" s="744">
        <f t="shared" si="3"/>
        <v>7.5423737143870557</v>
      </c>
      <c r="X27" s="744">
        <f t="shared" si="3"/>
        <v>7.8611970172512935</v>
      </c>
      <c r="Y27" s="744">
        <f t="shared" si="3"/>
        <v>8.2023379513160268</v>
      </c>
      <c r="Z27" s="744">
        <f t="shared" si="3"/>
        <v>8.5673587507652922</v>
      </c>
      <c r="AA27" s="744">
        <f t="shared" si="3"/>
        <v>8.9579310061760076</v>
      </c>
      <c r="AB27" s="744">
        <f t="shared" si="3"/>
        <v>9.3758433194654707</v>
      </c>
      <c r="AC27" s="744">
        <f t="shared" si="3"/>
        <v>9.8230094946851967</v>
      </c>
      <c r="AD27" s="744">
        <f t="shared" si="3"/>
        <v>10.301477302170303</v>
      </c>
      <c r="AE27" s="744">
        <f t="shared" si="3"/>
        <v>10.81343785617937</v>
      </c>
    </row>
    <row r="28" spans="1:31">
      <c r="A28" s="730" t="s">
        <v>977</v>
      </c>
      <c r="B28" s="717">
        <v>8</v>
      </c>
      <c r="C28" s="717">
        <v>9</v>
      </c>
      <c r="D28" s="717">
        <v>10</v>
      </c>
      <c r="E28" s="717">
        <v>12</v>
      </c>
      <c r="F28" s="717">
        <v>14</v>
      </c>
      <c r="G28" s="717">
        <v>14</v>
      </c>
      <c r="H28" s="717">
        <v>14</v>
      </c>
      <c r="I28" s="717">
        <v>14</v>
      </c>
      <c r="J28" s="717">
        <v>14</v>
      </c>
      <c r="K28" s="717">
        <v>14</v>
      </c>
      <c r="L28" s="717">
        <v>14</v>
      </c>
      <c r="M28" s="717">
        <v>14</v>
      </c>
      <c r="N28" s="717">
        <v>14</v>
      </c>
      <c r="O28" s="717">
        <v>14</v>
      </c>
      <c r="P28" s="717">
        <v>14</v>
      </c>
      <c r="Q28" s="717">
        <v>14</v>
      </c>
      <c r="R28" s="717">
        <v>14</v>
      </c>
      <c r="S28" s="717">
        <v>14</v>
      </c>
      <c r="T28" s="717">
        <v>14</v>
      </c>
      <c r="U28" s="717">
        <v>14</v>
      </c>
      <c r="V28" s="717">
        <v>14</v>
      </c>
      <c r="W28" s="717">
        <v>14</v>
      </c>
      <c r="X28" s="717">
        <v>14</v>
      </c>
      <c r="Y28" s="717">
        <v>14</v>
      </c>
      <c r="Z28" s="717">
        <v>14</v>
      </c>
      <c r="AA28" s="717">
        <v>14</v>
      </c>
      <c r="AB28" s="717">
        <v>14</v>
      </c>
      <c r="AC28" s="717">
        <v>14</v>
      </c>
      <c r="AD28" s="717">
        <v>14</v>
      </c>
      <c r="AE28" s="717">
        <v>14</v>
      </c>
    </row>
    <row r="29" spans="1:31" ht="28.8">
      <c r="A29" s="730" t="s">
        <v>978</v>
      </c>
      <c r="B29" s="727">
        <f>B28/20</f>
        <v>0.4</v>
      </c>
      <c r="C29" s="727">
        <f t="shared" ref="C29:AE29" si="4">C28/20</f>
        <v>0.45</v>
      </c>
      <c r="D29" s="727">
        <f t="shared" si="4"/>
        <v>0.5</v>
      </c>
      <c r="E29" s="727">
        <f t="shared" si="4"/>
        <v>0.6</v>
      </c>
      <c r="F29" s="727">
        <f t="shared" si="4"/>
        <v>0.7</v>
      </c>
      <c r="G29" s="727">
        <f t="shared" si="4"/>
        <v>0.7</v>
      </c>
      <c r="H29" s="727">
        <f t="shared" si="4"/>
        <v>0.7</v>
      </c>
      <c r="I29" s="727">
        <f t="shared" si="4"/>
        <v>0.7</v>
      </c>
      <c r="J29" s="727">
        <f t="shared" si="4"/>
        <v>0.7</v>
      </c>
      <c r="K29" s="727">
        <f t="shared" si="4"/>
        <v>0.7</v>
      </c>
      <c r="L29" s="727">
        <f t="shared" si="4"/>
        <v>0.7</v>
      </c>
      <c r="M29" s="727">
        <f t="shared" si="4"/>
        <v>0.7</v>
      </c>
      <c r="N29" s="727">
        <f t="shared" si="4"/>
        <v>0.7</v>
      </c>
      <c r="O29" s="727">
        <f t="shared" si="4"/>
        <v>0.7</v>
      </c>
      <c r="P29" s="727">
        <f t="shared" si="4"/>
        <v>0.7</v>
      </c>
      <c r="Q29" s="727">
        <f t="shared" si="4"/>
        <v>0.7</v>
      </c>
      <c r="R29" s="727">
        <f t="shared" si="4"/>
        <v>0.7</v>
      </c>
      <c r="S29" s="727">
        <f t="shared" si="4"/>
        <v>0.7</v>
      </c>
      <c r="T29" s="727">
        <f t="shared" si="4"/>
        <v>0.7</v>
      </c>
      <c r="U29" s="727">
        <f t="shared" si="4"/>
        <v>0.7</v>
      </c>
      <c r="V29" s="727">
        <f t="shared" si="4"/>
        <v>0.7</v>
      </c>
      <c r="W29" s="727">
        <f t="shared" si="4"/>
        <v>0.7</v>
      </c>
      <c r="X29" s="727">
        <f t="shared" si="4"/>
        <v>0.7</v>
      </c>
      <c r="Y29" s="727">
        <f t="shared" si="4"/>
        <v>0.7</v>
      </c>
      <c r="Z29" s="727">
        <f t="shared" si="4"/>
        <v>0.7</v>
      </c>
      <c r="AA29" s="727">
        <f t="shared" si="4"/>
        <v>0.7</v>
      </c>
      <c r="AB29" s="727">
        <f t="shared" si="4"/>
        <v>0.7</v>
      </c>
      <c r="AC29" s="727">
        <f t="shared" si="4"/>
        <v>0.7</v>
      </c>
      <c r="AD29" s="727">
        <f t="shared" si="4"/>
        <v>0.7</v>
      </c>
      <c r="AE29" s="727">
        <f t="shared" si="4"/>
        <v>0.7</v>
      </c>
    </row>
    <row r="30" spans="1:31">
      <c r="A30" s="730" t="s">
        <v>979</v>
      </c>
      <c r="B30" s="717">
        <f>B28*25*240*4</f>
        <v>192000</v>
      </c>
      <c r="C30" s="717">
        <f t="shared" ref="C30:AE30" si="5">C28*25*240*4</f>
        <v>216000</v>
      </c>
      <c r="D30" s="717">
        <f t="shared" si="5"/>
        <v>240000</v>
      </c>
      <c r="E30" s="717">
        <f t="shared" si="5"/>
        <v>288000</v>
      </c>
      <c r="F30" s="717">
        <f t="shared" si="5"/>
        <v>336000</v>
      </c>
      <c r="G30" s="717">
        <f t="shared" si="5"/>
        <v>336000</v>
      </c>
      <c r="H30" s="717">
        <f t="shared" si="5"/>
        <v>336000</v>
      </c>
      <c r="I30" s="717">
        <f t="shared" si="5"/>
        <v>336000</v>
      </c>
      <c r="J30" s="717">
        <f t="shared" si="5"/>
        <v>336000</v>
      </c>
      <c r="K30" s="717">
        <f t="shared" si="5"/>
        <v>336000</v>
      </c>
      <c r="L30" s="717">
        <f t="shared" si="5"/>
        <v>336000</v>
      </c>
      <c r="M30" s="717">
        <f t="shared" si="5"/>
        <v>336000</v>
      </c>
      <c r="N30" s="717">
        <f t="shared" si="5"/>
        <v>336000</v>
      </c>
      <c r="O30" s="717">
        <f t="shared" si="5"/>
        <v>336000</v>
      </c>
      <c r="P30" s="717">
        <f t="shared" si="5"/>
        <v>336000</v>
      </c>
      <c r="Q30" s="717">
        <f t="shared" si="5"/>
        <v>336000</v>
      </c>
      <c r="R30" s="717">
        <f t="shared" si="5"/>
        <v>336000</v>
      </c>
      <c r="S30" s="717">
        <f t="shared" si="5"/>
        <v>336000</v>
      </c>
      <c r="T30" s="717">
        <f t="shared" si="5"/>
        <v>336000</v>
      </c>
      <c r="U30" s="717">
        <f t="shared" si="5"/>
        <v>336000</v>
      </c>
      <c r="V30" s="717">
        <f t="shared" si="5"/>
        <v>336000</v>
      </c>
      <c r="W30" s="717">
        <f t="shared" si="5"/>
        <v>336000</v>
      </c>
      <c r="X30" s="717">
        <f t="shared" si="5"/>
        <v>336000</v>
      </c>
      <c r="Y30" s="717">
        <f t="shared" si="5"/>
        <v>336000</v>
      </c>
      <c r="Z30" s="717">
        <f t="shared" si="5"/>
        <v>336000</v>
      </c>
      <c r="AA30" s="717">
        <f t="shared" si="5"/>
        <v>336000</v>
      </c>
      <c r="AB30" s="717">
        <f t="shared" si="5"/>
        <v>336000</v>
      </c>
      <c r="AC30" s="717">
        <f t="shared" si="5"/>
        <v>336000</v>
      </c>
      <c r="AD30" s="717">
        <f t="shared" si="5"/>
        <v>336000</v>
      </c>
      <c r="AE30" s="717">
        <f t="shared" si="5"/>
        <v>336000</v>
      </c>
    </row>
    <row r="31" spans="1:31" ht="28.8">
      <c r="A31" s="730" t="s">
        <v>980</v>
      </c>
      <c r="B31" s="723">
        <f t="shared" ref="B31:AE31" si="6">B27*100000/B30</f>
        <v>2.1290391156462585</v>
      </c>
      <c r="C31" s="723">
        <f t="shared" si="6"/>
        <v>1.9281273620559338</v>
      </c>
      <c r="D31" s="723">
        <f t="shared" si="6"/>
        <v>1.769643792517007</v>
      </c>
      <c r="E31" s="723">
        <f t="shared" si="6"/>
        <v>1.5053133340419502</v>
      </c>
      <c r="F31" s="723">
        <f t="shared" si="6"/>
        <v>1.3183424741192908</v>
      </c>
      <c r="G31" s="723">
        <f t="shared" si="6"/>
        <v>1.3483815493484574</v>
      </c>
      <c r="H31" s="723">
        <f t="shared" si="6"/>
        <v>1.3805233598436659</v>
      </c>
      <c r="I31" s="723">
        <f t="shared" si="6"/>
        <v>1.4149150970735387</v>
      </c>
      <c r="J31" s="723">
        <f t="shared" si="6"/>
        <v>1.4517142559095029</v>
      </c>
      <c r="K31" s="723">
        <f t="shared" si="6"/>
        <v>1.4910893558639846</v>
      </c>
      <c r="L31" s="723">
        <f t="shared" si="6"/>
        <v>1.5332207128152795</v>
      </c>
      <c r="M31" s="723">
        <f t="shared" si="6"/>
        <v>1.5783012647531658</v>
      </c>
      <c r="N31" s="723">
        <f t="shared" si="6"/>
        <v>1.6265374553267036</v>
      </c>
      <c r="O31" s="723">
        <f t="shared" si="6"/>
        <v>1.6781501792403895</v>
      </c>
      <c r="P31" s="723">
        <f t="shared" si="6"/>
        <v>1.7333757938280328</v>
      </c>
      <c r="Q31" s="723">
        <f t="shared" si="6"/>
        <v>1.7924672014368113</v>
      </c>
      <c r="R31" s="723">
        <f t="shared" si="6"/>
        <v>1.8556950075782048</v>
      </c>
      <c r="S31" s="723">
        <f t="shared" si="6"/>
        <v>1.9233487601494956</v>
      </c>
      <c r="T31" s="723">
        <f t="shared" si="6"/>
        <v>1.9957382754007766</v>
      </c>
      <c r="U31" s="723">
        <f t="shared" si="6"/>
        <v>2.0731950567196473</v>
      </c>
      <c r="V31" s="723">
        <f t="shared" si="6"/>
        <v>2.1560738127308388</v>
      </c>
      <c r="W31" s="723">
        <f t="shared" si="6"/>
        <v>2.2447540816628142</v>
      </c>
      <c r="X31" s="723">
        <f t="shared" si="6"/>
        <v>2.3396419694200281</v>
      </c>
      <c r="Y31" s="723">
        <f t="shared" si="6"/>
        <v>2.4411720093202463</v>
      </c>
      <c r="Z31" s="723">
        <f t="shared" si="6"/>
        <v>2.5498091520134798</v>
      </c>
      <c r="AA31" s="723">
        <f t="shared" si="6"/>
        <v>2.6660508946952404</v>
      </c>
      <c r="AB31" s="723">
        <f t="shared" si="6"/>
        <v>2.7904295593647235</v>
      </c>
      <c r="AC31" s="723">
        <f t="shared" si="6"/>
        <v>2.9235147305610703</v>
      </c>
      <c r="AD31" s="723">
        <f t="shared" si="6"/>
        <v>3.0659158637411617</v>
      </c>
      <c r="AE31" s="723">
        <f t="shared" si="6"/>
        <v>3.2182850762438595</v>
      </c>
    </row>
    <row r="32" spans="1:31">
      <c r="A32" s="730" t="s">
        <v>981</v>
      </c>
      <c r="B32" s="717">
        <f>12*SUM(B30:F30)</f>
        <v>15264000</v>
      </c>
    </row>
    <row r="33" spans="1:31">
      <c r="A33" s="730" t="s">
        <v>982</v>
      </c>
      <c r="B33" s="723">
        <f>B20*100000/B32</f>
        <v>0.65513626834381555</v>
      </c>
    </row>
    <row r="34" spans="1:31" ht="28.8">
      <c r="A34" s="743" t="s">
        <v>983</v>
      </c>
      <c r="B34" s="744">
        <f>B31+$B33</f>
        <v>2.7841753839900738</v>
      </c>
      <c r="C34" s="744">
        <f t="shared" ref="C34:F34" si="7">C31+$B33</f>
        <v>2.5832636303997494</v>
      </c>
      <c r="D34" s="744">
        <f t="shared" si="7"/>
        <v>2.4247800608608223</v>
      </c>
      <c r="E34" s="744">
        <f t="shared" si="7"/>
        <v>2.160449602385766</v>
      </c>
      <c r="F34" s="744">
        <f t="shared" si="7"/>
        <v>1.9734787424631064</v>
      </c>
      <c r="G34" s="745">
        <f>G31</f>
        <v>1.3483815493484574</v>
      </c>
      <c r="H34" s="745">
        <f t="shared" ref="H34:AE34" si="8">H31</f>
        <v>1.3805233598436659</v>
      </c>
      <c r="I34" s="745">
        <f t="shared" si="8"/>
        <v>1.4149150970735387</v>
      </c>
      <c r="J34" s="745">
        <f t="shared" si="8"/>
        <v>1.4517142559095029</v>
      </c>
      <c r="K34" s="745">
        <f t="shared" si="8"/>
        <v>1.4910893558639846</v>
      </c>
      <c r="L34" s="745">
        <f t="shared" si="8"/>
        <v>1.5332207128152795</v>
      </c>
      <c r="M34" s="745">
        <f t="shared" si="8"/>
        <v>1.5783012647531658</v>
      </c>
      <c r="N34" s="745">
        <f t="shared" si="8"/>
        <v>1.6265374553267036</v>
      </c>
      <c r="O34" s="745">
        <f t="shared" si="8"/>
        <v>1.6781501792403895</v>
      </c>
      <c r="P34" s="745">
        <f t="shared" si="8"/>
        <v>1.7333757938280328</v>
      </c>
      <c r="Q34" s="745">
        <f t="shared" si="8"/>
        <v>1.7924672014368113</v>
      </c>
      <c r="R34" s="745">
        <f t="shared" si="8"/>
        <v>1.8556950075782048</v>
      </c>
      <c r="S34" s="745">
        <f t="shared" si="8"/>
        <v>1.9233487601494956</v>
      </c>
      <c r="T34" s="745">
        <f t="shared" si="8"/>
        <v>1.9957382754007766</v>
      </c>
      <c r="U34" s="745">
        <f t="shared" si="8"/>
        <v>2.0731950567196473</v>
      </c>
      <c r="V34" s="745">
        <f t="shared" si="8"/>
        <v>2.1560738127308388</v>
      </c>
      <c r="W34" s="745">
        <f t="shared" si="8"/>
        <v>2.2447540816628142</v>
      </c>
      <c r="X34" s="745">
        <f t="shared" si="8"/>
        <v>2.3396419694200281</v>
      </c>
      <c r="Y34" s="745">
        <f t="shared" si="8"/>
        <v>2.4411720093202463</v>
      </c>
      <c r="Z34" s="745">
        <f t="shared" si="8"/>
        <v>2.5498091520134798</v>
      </c>
      <c r="AA34" s="745">
        <f t="shared" si="8"/>
        <v>2.6660508946952404</v>
      </c>
      <c r="AB34" s="745">
        <f t="shared" si="8"/>
        <v>2.7904295593647235</v>
      </c>
      <c r="AC34" s="745">
        <f t="shared" si="8"/>
        <v>2.9235147305610703</v>
      </c>
      <c r="AD34" s="745">
        <f t="shared" si="8"/>
        <v>3.0659158637411617</v>
      </c>
      <c r="AE34" s="745">
        <f t="shared" si="8"/>
        <v>3.2182850762438595</v>
      </c>
    </row>
    <row r="36" spans="1:31" ht="15.6">
      <c r="A36" s="794" t="s">
        <v>984</v>
      </c>
      <c r="B36" s="722">
        <v>2026</v>
      </c>
      <c r="C36" s="722">
        <v>2027</v>
      </c>
      <c r="D36" s="722">
        <v>2028</v>
      </c>
      <c r="E36" s="722">
        <v>2029</v>
      </c>
      <c r="F36" s="722">
        <v>2030</v>
      </c>
      <c r="G36" s="722">
        <v>2031</v>
      </c>
      <c r="H36" s="722">
        <v>2032</v>
      </c>
      <c r="I36" s="722">
        <v>2033</v>
      </c>
      <c r="J36" s="722">
        <v>2034</v>
      </c>
      <c r="K36" s="722">
        <v>2035</v>
      </c>
      <c r="L36" s="722">
        <v>2036</v>
      </c>
      <c r="M36" s="722">
        <v>2037</v>
      </c>
      <c r="N36" s="722">
        <v>2038</v>
      </c>
      <c r="O36" s="722">
        <v>2039</v>
      </c>
      <c r="P36" s="722">
        <v>2040</v>
      </c>
      <c r="Q36" s="722">
        <v>2041</v>
      </c>
      <c r="R36" s="722">
        <v>2042</v>
      </c>
      <c r="S36" s="722">
        <v>2043</v>
      </c>
      <c r="T36" s="722">
        <v>2044</v>
      </c>
      <c r="U36" s="722">
        <v>2045</v>
      </c>
      <c r="V36" s="722">
        <v>2046</v>
      </c>
      <c r="W36" s="722">
        <v>2047</v>
      </c>
      <c r="X36" s="722">
        <v>2048</v>
      </c>
      <c r="Y36" s="722">
        <v>2049</v>
      </c>
      <c r="Z36" s="722">
        <v>2050</v>
      </c>
      <c r="AA36" s="722">
        <v>2051</v>
      </c>
      <c r="AB36" s="722">
        <v>2052</v>
      </c>
      <c r="AC36" s="722">
        <v>2053</v>
      </c>
      <c r="AD36" s="722">
        <v>2054</v>
      </c>
      <c r="AE36" s="722">
        <v>2055</v>
      </c>
    </row>
    <row r="37" spans="1:31" ht="28.8">
      <c r="A37" s="730" t="s">
        <v>985</v>
      </c>
      <c r="B37" s="723">
        <f>305*960/0.98/100000</f>
        <v>2.9877551020408166</v>
      </c>
      <c r="C37" s="723">
        <f>B37</f>
        <v>2.9877551020408166</v>
      </c>
      <c r="D37" s="723">
        <f t="shared" ref="D37:AE37" si="9">C37</f>
        <v>2.9877551020408166</v>
      </c>
      <c r="E37" s="723">
        <f t="shared" si="9"/>
        <v>2.9877551020408166</v>
      </c>
      <c r="F37" s="723">
        <f t="shared" si="9"/>
        <v>2.9877551020408166</v>
      </c>
      <c r="G37" s="723">
        <f t="shared" si="9"/>
        <v>2.9877551020408166</v>
      </c>
      <c r="H37" s="723">
        <f t="shared" si="9"/>
        <v>2.9877551020408166</v>
      </c>
      <c r="I37" s="723">
        <f t="shared" si="9"/>
        <v>2.9877551020408166</v>
      </c>
      <c r="J37" s="723">
        <f t="shared" si="9"/>
        <v>2.9877551020408166</v>
      </c>
      <c r="K37" s="723">
        <f t="shared" si="9"/>
        <v>2.9877551020408166</v>
      </c>
      <c r="L37" s="723">
        <f t="shared" si="9"/>
        <v>2.9877551020408166</v>
      </c>
      <c r="M37" s="723">
        <f t="shared" si="9"/>
        <v>2.9877551020408166</v>
      </c>
      <c r="N37" s="723">
        <f t="shared" si="9"/>
        <v>2.9877551020408166</v>
      </c>
      <c r="O37" s="723">
        <f t="shared" si="9"/>
        <v>2.9877551020408166</v>
      </c>
      <c r="P37" s="723">
        <f t="shared" si="9"/>
        <v>2.9877551020408166</v>
      </c>
      <c r="Q37" s="723">
        <f t="shared" si="9"/>
        <v>2.9877551020408166</v>
      </c>
      <c r="R37" s="723">
        <f t="shared" si="9"/>
        <v>2.9877551020408166</v>
      </c>
      <c r="S37" s="723">
        <f t="shared" si="9"/>
        <v>2.9877551020408166</v>
      </c>
      <c r="T37" s="723">
        <f t="shared" si="9"/>
        <v>2.9877551020408166</v>
      </c>
      <c r="U37" s="723">
        <f t="shared" si="9"/>
        <v>2.9877551020408166</v>
      </c>
      <c r="V37" s="723">
        <f t="shared" si="9"/>
        <v>2.9877551020408166</v>
      </c>
      <c r="W37" s="723">
        <f t="shared" si="9"/>
        <v>2.9877551020408166</v>
      </c>
      <c r="X37" s="723">
        <f t="shared" si="9"/>
        <v>2.9877551020408166</v>
      </c>
      <c r="Y37" s="723">
        <f t="shared" si="9"/>
        <v>2.9877551020408166</v>
      </c>
      <c r="Z37" s="723">
        <f t="shared" si="9"/>
        <v>2.9877551020408166</v>
      </c>
      <c r="AA37" s="723">
        <f t="shared" si="9"/>
        <v>2.9877551020408166</v>
      </c>
      <c r="AB37" s="723">
        <f t="shared" si="9"/>
        <v>2.9877551020408166</v>
      </c>
      <c r="AC37" s="723">
        <f t="shared" si="9"/>
        <v>2.9877551020408166</v>
      </c>
      <c r="AD37" s="723">
        <f t="shared" si="9"/>
        <v>2.9877551020408166</v>
      </c>
      <c r="AE37" s="723">
        <f t="shared" si="9"/>
        <v>2.9877551020408166</v>
      </c>
    </row>
    <row r="38" spans="1:31">
      <c r="A38" s="730" t="s">
        <v>986</v>
      </c>
      <c r="B38" s="717">
        <v>1</v>
      </c>
      <c r="C38" s="723">
        <f>B38*1.07</f>
        <v>1.07</v>
      </c>
      <c r="D38" s="723">
        <f t="shared" ref="D38:AE38" si="10">C38*1.07</f>
        <v>1.1449</v>
      </c>
      <c r="E38" s="723">
        <f t="shared" si="10"/>
        <v>1.2250430000000001</v>
      </c>
      <c r="F38" s="723">
        <f t="shared" si="10"/>
        <v>1.3107960100000002</v>
      </c>
      <c r="G38" s="723">
        <f t="shared" si="10"/>
        <v>1.4025517307000004</v>
      </c>
      <c r="H38" s="723">
        <f t="shared" si="10"/>
        <v>1.5007303518490005</v>
      </c>
      <c r="I38" s="723">
        <f t="shared" si="10"/>
        <v>1.6057814764784306</v>
      </c>
      <c r="J38" s="723">
        <f t="shared" si="10"/>
        <v>1.7181861798319209</v>
      </c>
      <c r="K38" s="723">
        <f t="shared" si="10"/>
        <v>1.8384592124201555</v>
      </c>
      <c r="L38" s="723">
        <f t="shared" si="10"/>
        <v>1.9671513572895665</v>
      </c>
      <c r="M38" s="723">
        <f t="shared" si="10"/>
        <v>2.1048519522998363</v>
      </c>
      <c r="N38" s="723">
        <f t="shared" si="10"/>
        <v>2.2521915889608248</v>
      </c>
      <c r="O38" s="723">
        <f t="shared" si="10"/>
        <v>2.4098450001880827</v>
      </c>
      <c r="P38" s="723">
        <f t="shared" si="10"/>
        <v>2.5785341502012487</v>
      </c>
      <c r="Q38" s="723">
        <f t="shared" si="10"/>
        <v>2.7590315407153363</v>
      </c>
      <c r="R38" s="723">
        <f t="shared" si="10"/>
        <v>2.9521637485654102</v>
      </c>
      <c r="S38" s="723">
        <f t="shared" si="10"/>
        <v>3.1588152109649892</v>
      </c>
      <c r="T38" s="723">
        <f t="shared" si="10"/>
        <v>3.3799322757325387</v>
      </c>
      <c r="U38" s="723">
        <f t="shared" si="10"/>
        <v>3.6165275350338169</v>
      </c>
      <c r="V38" s="723">
        <f t="shared" si="10"/>
        <v>3.8696844624861844</v>
      </c>
      <c r="W38" s="723">
        <f t="shared" si="10"/>
        <v>4.1405623748602176</v>
      </c>
      <c r="X38" s="723">
        <f t="shared" si="10"/>
        <v>4.4304017411004333</v>
      </c>
      <c r="Y38" s="723">
        <f t="shared" si="10"/>
        <v>4.7405298629774641</v>
      </c>
      <c r="Z38" s="723">
        <f t="shared" si="10"/>
        <v>5.0723669533858873</v>
      </c>
      <c r="AA38" s="723">
        <f t="shared" si="10"/>
        <v>5.4274326401229001</v>
      </c>
      <c r="AB38" s="723">
        <f t="shared" si="10"/>
        <v>5.8073529249315037</v>
      </c>
      <c r="AC38" s="723">
        <f t="shared" si="10"/>
        <v>6.2138676296767095</v>
      </c>
      <c r="AD38" s="723">
        <f t="shared" si="10"/>
        <v>6.6488383637540798</v>
      </c>
      <c r="AE38" s="723">
        <f t="shared" si="10"/>
        <v>7.1142570492168655</v>
      </c>
    </row>
    <row r="39" spans="1:31" ht="28.8">
      <c r="A39" s="730" t="s">
        <v>987</v>
      </c>
      <c r="B39" s="723">
        <f>B17*0.04/12</f>
        <v>0.33333333333333331</v>
      </c>
      <c r="C39" s="723">
        <f>B39*1.03</f>
        <v>0.34333333333333332</v>
      </c>
      <c r="D39" s="723">
        <f t="shared" ref="D39:AE39" si="11">C39*1.03</f>
        <v>0.35363333333333336</v>
      </c>
      <c r="E39" s="723">
        <f t="shared" si="11"/>
        <v>0.36424233333333339</v>
      </c>
      <c r="F39" s="723">
        <f t="shared" si="11"/>
        <v>0.37516960333333338</v>
      </c>
      <c r="G39" s="723">
        <f t="shared" si="11"/>
        <v>0.38642469143333341</v>
      </c>
      <c r="H39" s="723">
        <f t="shared" si="11"/>
        <v>0.3980174321763334</v>
      </c>
      <c r="I39" s="723">
        <f t="shared" si="11"/>
        <v>0.40995795514162342</v>
      </c>
      <c r="J39" s="723">
        <f t="shared" si="11"/>
        <v>0.42225669379587211</v>
      </c>
      <c r="K39" s="723">
        <f t="shared" si="11"/>
        <v>0.4349243946097483</v>
      </c>
      <c r="L39" s="723">
        <f t="shared" si="11"/>
        <v>0.44797212644804074</v>
      </c>
      <c r="M39" s="723">
        <f t="shared" si="11"/>
        <v>0.46141129024148198</v>
      </c>
      <c r="N39" s="723">
        <f t="shared" si="11"/>
        <v>0.47525362894872647</v>
      </c>
      <c r="O39" s="723">
        <f t="shared" si="11"/>
        <v>0.48951123781718825</v>
      </c>
      <c r="P39" s="723">
        <f t="shared" si="11"/>
        <v>0.50419657495170389</v>
      </c>
      <c r="Q39" s="723">
        <f t="shared" si="11"/>
        <v>0.51932247220025507</v>
      </c>
      <c r="R39" s="723">
        <f t="shared" si="11"/>
        <v>0.53490214636626277</v>
      </c>
      <c r="S39" s="723">
        <f t="shared" si="11"/>
        <v>0.55094921075725067</v>
      </c>
      <c r="T39" s="723">
        <f t="shared" si="11"/>
        <v>0.56747768707996826</v>
      </c>
      <c r="U39" s="723">
        <f t="shared" si="11"/>
        <v>0.58450201769236731</v>
      </c>
      <c r="V39" s="723">
        <f t="shared" si="11"/>
        <v>0.60203707822313834</v>
      </c>
      <c r="W39" s="723">
        <f t="shared" si="11"/>
        <v>0.62009819056983251</v>
      </c>
      <c r="X39" s="723">
        <f t="shared" si="11"/>
        <v>0.63870113628692748</v>
      </c>
      <c r="Y39" s="723">
        <f t="shared" si="11"/>
        <v>0.65786217037553529</v>
      </c>
      <c r="Z39" s="723">
        <f t="shared" si="11"/>
        <v>0.67759803548680142</v>
      </c>
      <c r="AA39" s="723">
        <f t="shared" si="11"/>
        <v>0.69792597655140554</v>
      </c>
      <c r="AB39" s="723">
        <f t="shared" si="11"/>
        <v>0.71886375584794771</v>
      </c>
      <c r="AC39" s="723">
        <f t="shared" si="11"/>
        <v>0.74042966852338621</v>
      </c>
      <c r="AD39" s="723">
        <f t="shared" si="11"/>
        <v>0.7626425585790878</v>
      </c>
      <c r="AE39" s="723">
        <f t="shared" si="11"/>
        <v>0.78552183533646047</v>
      </c>
    </row>
    <row r="40" spans="1:31" ht="28.8">
      <c r="A40" s="730" t="s">
        <v>988</v>
      </c>
      <c r="B40" s="723">
        <f>B38*0.05</f>
        <v>0.05</v>
      </c>
      <c r="C40" s="723">
        <f t="shared" ref="C40:AE40" si="12">C38*0.05</f>
        <v>5.3500000000000006E-2</v>
      </c>
      <c r="D40" s="723">
        <f t="shared" si="12"/>
        <v>5.7245000000000004E-2</v>
      </c>
      <c r="E40" s="723">
        <f t="shared" si="12"/>
        <v>6.1252150000000005E-2</v>
      </c>
      <c r="F40" s="723">
        <f t="shared" si="12"/>
        <v>6.5539800500000009E-2</v>
      </c>
      <c r="G40" s="723">
        <f t="shared" si="12"/>
        <v>7.0127586535000022E-2</v>
      </c>
      <c r="H40" s="723">
        <f t="shared" si="12"/>
        <v>7.5036517592450031E-2</v>
      </c>
      <c r="I40" s="723">
        <f t="shared" si="12"/>
        <v>8.0289073823921531E-2</v>
      </c>
      <c r="J40" s="723">
        <f t="shared" si="12"/>
        <v>8.5909308991596045E-2</v>
      </c>
      <c r="K40" s="723">
        <f t="shared" si="12"/>
        <v>9.1922960621007785E-2</v>
      </c>
      <c r="L40" s="723">
        <f t="shared" si="12"/>
        <v>9.8357567864478329E-2</v>
      </c>
      <c r="M40" s="723">
        <f t="shared" si="12"/>
        <v>0.10524259761499183</v>
      </c>
      <c r="N40" s="723">
        <f t="shared" si="12"/>
        <v>0.11260957944804124</v>
      </c>
      <c r="O40" s="723">
        <f t="shared" si="12"/>
        <v>0.12049225000940414</v>
      </c>
      <c r="P40" s="723">
        <f t="shared" si="12"/>
        <v>0.12892670751006244</v>
      </c>
      <c r="Q40" s="723">
        <f t="shared" si="12"/>
        <v>0.13795157703576683</v>
      </c>
      <c r="R40" s="723">
        <f t="shared" si="12"/>
        <v>0.1476081874282705</v>
      </c>
      <c r="S40" s="723">
        <f t="shared" si="12"/>
        <v>0.15794076054824946</v>
      </c>
      <c r="T40" s="723">
        <f t="shared" si="12"/>
        <v>0.16899661378662695</v>
      </c>
      <c r="U40" s="723">
        <f t="shared" si="12"/>
        <v>0.18082637675169086</v>
      </c>
      <c r="V40" s="723">
        <f t="shared" si="12"/>
        <v>0.19348422312430924</v>
      </c>
      <c r="W40" s="723">
        <f t="shared" si="12"/>
        <v>0.20702811874301089</v>
      </c>
      <c r="X40" s="723">
        <f t="shared" si="12"/>
        <v>0.22152008705502169</v>
      </c>
      <c r="Y40" s="723">
        <f t="shared" si="12"/>
        <v>0.23702649314887322</v>
      </c>
      <c r="Z40" s="723">
        <f t="shared" si="12"/>
        <v>0.25361834766929436</v>
      </c>
      <c r="AA40" s="723">
        <f t="shared" si="12"/>
        <v>0.271371632006145</v>
      </c>
      <c r="AB40" s="723">
        <f t="shared" si="12"/>
        <v>0.29036764624657518</v>
      </c>
      <c r="AC40" s="723">
        <f t="shared" si="12"/>
        <v>0.31069338148383552</v>
      </c>
      <c r="AD40" s="723">
        <f t="shared" si="12"/>
        <v>0.33244191818770402</v>
      </c>
      <c r="AE40" s="723">
        <f t="shared" si="12"/>
        <v>0.35571285246084328</v>
      </c>
    </row>
    <row r="41" spans="1:31">
      <c r="A41" s="743" t="s">
        <v>989</v>
      </c>
      <c r="B41" s="744">
        <f>SUM(B37:B40)</f>
        <v>4.3710884353741495</v>
      </c>
      <c r="C41" s="744">
        <f t="shared" ref="C41:AE41" si="13">SUM(C37:C40)</f>
        <v>4.4545884353741503</v>
      </c>
      <c r="D41" s="744">
        <f t="shared" si="13"/>
        <v>4.5435334353741501</v>
      </c>
      <c r="E41" s="744">
        <f t="shared" si="13"/>
        <v>4.6382925853741499</v>
      </c>
      <c r="F41" s="744">
        <f t="shared" si="13"/>
        <v>4.7392605158741503</v>
      </c>
      <c r="G41" s="744">
        <f t="shared" si="13"/>
        <v>4.8468591107091514</v>
      </c>
      <c r="H41" s="744">
        <f t="shared" si="13"/>
        <v>4.9615394036586</v>
      </c>
      <c r="I41" s="744">
        <f t="shared" si="13"/>
        <v>5.0837836074847917</v>
      </c>
      <c r="J41" s="744">
        <f t="shared" si="13"/>
        <v>5.2141072846602059</v>
      </c>
      <c r="K41" s="744">
        <f t="shared" si="13"/>
        <v>5.3530616696917281</v>
      </c>
      <c r="L41" s="744">
        <f t="shared" si="13"/>
        <v>5.5012361536429015</v>
      </c>
      <c r="M41" s="744">
        <f t="shared" si="13"/>
        <v>5.6592609421971263</v>
      </c>
      <c r="N41" s="744">
        <f t="shared" si="13"/>
        <v>5.8278098993984093</v>
      </c>
      <c r="O41" s="744">
        <f t="shared" si="13"/>
        <v>6.007603590055492</v>
      </c>
      <c r="P41" s="744">
        <f t="shared" si="13"/>
        <v>6.199412534703832</v>
      </c>
      <c r="Q41" s="744">
        <f t="shared" si="13"/>
        <v>6.4040606919921741</v>
      </c>
      <c r="R41" s="744">
        <f t="shared" si="13"/>
        <v>6.6224291844007599</v>
      </c>
      <c r="S41" s="744">
        <f t="shared" si="13"/>
        <v>6.8554602843113059</v>
      </c>
      <c r="T41" s="744">
        <f t="shared" si="13"/>
        <v>7.1041616786399508</v>
      </c>
      <c r="U41" s="744">
        <f t="shared" si="13"/>
        <v>7.3696110315186916</v>
      </c>
      <c r="V41" s="744">
        <f t="shared" si="13"/>
        <v>7.6529608658744479</v>
      </c>
      <c r="W41" s="744">
        <f t="shared" si="13"/>
        <v>7.9554437862138778</v>
      </c>
      <c r="X41" s="744">
        <f t="shared" si="13"/>
        <v>8.2783780664831976</v>
      </c>
      <c r="Y41" s="744">
        <f t="shared" si="13"/>
        <v>8.6231736285426894</v>
      </c>
      <c r="Z41" s="744">
        <f t="shared" si="13"/>
        <v>8.9913384385827975</v>
      </c>
      <c r="AA41" s="744">
        <f t="shared" si="13"/>
        <v>9.3844853507212669</v>
      </c>
      <c r="AB41" s="744">
        <f t="shared" si="13"/>
        <v>9.8043394290668431</v>
      </c>
      <c r="AC41" s="744">
        <f t="shared" si="13"/>
        <v>10.252745781724748</v>
      </c>
      <c r="AD41" s="744">
        <f t="shared" si="13"/>
        <v>10.731677942561689</v>
      </c>
      <c r="AE41" s="744">
        <f t="shared" si="13"/>
        <v>11.243246839054986</v>
      </c>
    </row>
    <row r="42" spans="1:31" ht="28.8">
      <c r="A42" s="730" t="s">
        <v>978</v>
      </c>
      <c r="B42" s="727">
        <v>0.1</v>
      </c>
      <c r="C42" s="727">
        <v>0.15</v>
      </c>
      <c r="D42" s="727">
        <v>0.2</v>
      </c>
      <c r="E42" s="727">
        <v>0.25</v>
      </c>
      <c r="F42" s="727">
        <v>0.3</v>
      </c>
      <c r="G42" s="727">
        <v>0.35</v>
      </c>
      <c r="H42" s="727">
        <v>0.4</v>
      </c>
      <c r="I42" s="727">
        <v>0.5</v>
      </c>
      <c r="J42" s="727">
        <v>0.6</v>
      </c>
      <c r="K42" s="727">
        <v>0.7</v>
      </c>
      <c r="L42" s="727">
        <v>0.7</v>
      </c>
      <c r="M42" s="727">
        <v>0.7</v>
      </c>
      <c r="N42" s="727">
        <v>0.7</v>
      </c>
      <c r="O42" s="727">
        <v>0.7</v>
      </c>
      <c r="P42" s="727">
        <v>0.7</v>
      </c>
      <c r="Q42" s="727">
        <v>0.7</v>
      </c>
      <c r="R42" s="727">
        <v>0.7</v>
      </c>
      <c r="S42" s="727">
        <v>0.7</v>
      </c>
      <c r="T42" s="727">
        <v>0.7</v>
      </c>
      <c r="U42" s="727">
        <v>0.7</v>
      </c>
      <c r="V42" s="727">
        <v>0.7</v>
      </c>
      <c r="W42" s="727">
        <v>0.7</v>
      </c>
      <c r="X42" s="727">
        <v>0.7</v>
      </c>
      <c r="Y42" s="727">
        <v>0.7</v>
      </c>
      <c r="Z42" s="727">
        <v>0.7</v>
      </c>
      <c r="AA42" s="727">
        <v>0.7</v>
      </c>
      <c r="AB42" s="727">
        <v>0.7</v>
      </c>
      <c r="AC42" s="727">
        <v>0.7</v>
      </c>
      <c r="AD42" s="727">
        <v>0.7</v>
      </c>
      <c r="AE42" s="727">
        <v>0.7</v>
      </c>
    </row>
    <row r="43" spans="1:31">
      <c r="A43" s="730" t="s">
        <v>977</v>
      </c>
      <c r="B43" s="717">
        <f>B42*20</f>
        <v>2</v>
      </c>
      <c r="C43" s="717">
        <f t="shared" ref="C43:AE43" si="14">C42*20</f>
        <v>3</v>
      </c>
      <c r="D43" s="717">
        <f t="shared" si="14"/>
        <v>4</v>
      </c>
      <c r="E43" s="717">
        <f t="shared" si="14"/>
        <v>5</v>
      </c>
      <c r="F43" s="717">
        <f t="shared" si="14"/>
        <v>6</v>
      </c>
      <c r="G43" s="717">
        <f t="shared" si="14"/>
        <v>7</v>
      </c>
      <c r="H43" s="717">
        <f t="shared" si="14"/>
        <v>8</v>
      </c>
      <c r="I43" s="717">
        <f t="shared" si="14"/>
        <v>10</v>
      </c>
      <c r="J43" s="717">
        <f t="shared" si="14"/>
        <v>12</v>
      </c>
      <c r="K43" s="717">
        <f t="shared" si="14"/>
        <v>14</v>
      </c>
      <c r="L43" s="717">
        <f t="shared" si="14"/>
        <v>14</v>
      </c>
      <c r="M43" s="717">
        <f t="shared" si="14"/>
        <v>14</v>
      </c>
      <c r="N43" s="717">
        <f t="shared" si="14"/>
        <v>14</v>
      </c>
      <c r="O43" s="717">
        <f t="shared" si="14"/>
        <v>14</v>
      </c>
      <c r="P43" s="717">
        <f t="shared" si="14"/>
        <v>14</v>
      </c>
      <c r="Q43" s="717">
        <f t="shared" si="14"/>
        <v>14</v>
      </c>
      <c r="R43" s="717">
        <f t="shared" si="14"/>
        <v>14</v>
      </c>
      <c r="S43" s="717">
        <f t="shared" si="14"/>
        <v>14</v>
      </c>
      <c r="T43" s="717">
        <f t="shared" si="14"/>
        <v>14</v>
      </c>
      <c r="U43" s="717">
        <f t="shared" si="14"/>
        <v>14</v>
      </c>
      <c r="V43" s="717">
        <f t="shared" si="14"/>
        <v>14</v>
      </c>
      <c r="W43" s="717">
        <f t="shared" si="14"/>
        <v>14</v>
      </c>
      <c r="X43" s="717">
        <f t="shared" si="14"/>
        <v>14</v>
      </c>
      <c r="Y43" s="717">
        <f t="shared" si="14"/>
        <v>14</v>
      </c>
      <c r="Z43" s="717">
        <f t="shared" si="14"/>
        <v>14</v>
      </c>
      <c r="AA43" s="717">
        <f t="shared" si="14"/>
        <v>14</v>
      </c>
      <c r="AB43" s="717">
        <f t="shared" si="14"/>
        <v>14</v>
      </c>
      <c r="AC43" s="717">
        <f t="shared" si="14"/>
        <v>14</v>
      </c>
      <c r="AD43" s="717">
        <f t="shared" si="14"/>
        <v>14</v>
      </c>
      <c r="AE43" s="717">
        <f t="shared" si="14"/>
        <v>14</v>
      </c>
    </row>
    <row r="44" spans="1:31">
      <c r="A44" s="730" t="s">
        <v>990</v>
      </c>
      <c r="B44" s="717">
        <f t="shared" ref="B44:AE44" si="15">B43*25*240*4</f>
        <v>48000</v>
      </c>
      <c r="C44" s="717">
        <f t="shared" si="15"/>
        <v>72000</v>
      </c>
      <c r="D44" s="717">
        <f t="shared" si="15"/>
        <v>96000</v>
      </c>
      <c r="E44" s="717">
        <f t="shared" si="15"/>
        <v>120000</v>
      </c>
      <c r="F44" s="717">
        <f t="shared" si="15"/>
        <v>144000</v>
      </c>
      <c r="G44" s="717">
        <f t="shared" si="15"/>
        <v>168000</v>
      </c>
      <c r="H44" s="717">
        <f t="shared" si="15"/>
        <v>192000</v>
      </c>
      <c r="I44" s="717">
        <f t="shared" si="15"/>
        <v>240000</v>
      </c>
      <c r="J44" s="717">
        <f t="shared" si="15"/>
        <v>288000</v>
      </c>
      <c r="K44" s="717">
        <f t="shared" si="15"/>
        <v>336000</v>
      </c>
      <c r="L44" s="717">
        <f t="shared" si="15"/>
        <v>336000</v>
      </c>
      <c r="M44" s="717">
        <f t="shared" si="15"/>
        <v>336000</v>
      </c>
      <c r="N44" s="717">
        <f t="shared" si="15"/>
        <v>336000</v>
      </c>
      <c r="O44" s="717">
        <f t="shared" si="15"/>
        <v>336000</v>
      </c>
      <c r="P44" s="717">
        <f t="shared" si="15"/>
        <v>336000</v>
      </c>
      <c r="Q44" s="717">
        <f t="shared" si="15"/>
        <v>336000</v>
      </c>
      <c r="R44" s="717">
        <f t="shared" si="15"/>
        <v>336000</v>
      </c>
      <c r="S44" s="717">
        <f t="shared" si="15"/>
        <v>336000</v>
      </c>
      <c r="T44" s="717">
        <f t="shared" si="15"/>
        <v>336000</v>
      </c>
      <c r="U44" s="717">
        <f t="shared" si="15"/>
        <v>336000</v>
      </c>
      <c r="V44" s="717">
        <f t="shared" si="15"/>
        <v>336000</v>
      </c>
      <c r="W44" s="717">
        <f t="shared" si="15"/>
        <v>336000</v>
      </c>
      <c r="X44" s="717">
        <f t="shared" si="15"/>
        <v>336000</v>
      </c>
      <c r="Y44" s="717">
        <f t="shared" si="15"/>
        <v>336000</v>
      </c>
      <c r="Z44" s="717">
        <f t="shared" si="15"/>
        <v>336000</v>
      </c>
      <c r="AA44" s="717">
        <f t="shared" si="15"/>
        <v>336000</v>
      </c>
      <c r="AB44" s="717">
        <f t="shared" si="15"/>
        <v>336000</v>
      </c>
      <c r="AC44" s="717">
        <f t="shared" si="15"/>
        <v>336000</v>
      </c>
      <c r="AD44" s="717">
        <f t="shared" si="15"/>
        <v>336000</v>
      </c>
      <c r="AE44" s="717">
        <f t="shared" si="15"/>
        <v>336000</v>
      </c>
    </row>
    <row r="45" spans="1:31" ht="28.8">
      <c r="A45" s="730" t="s">
        <v>991</v>
      </c>
      <c r="B45" s="723">
        <f t="shared" ref="B45:AE45" si="16">B41*100000/B44</f>
        <v>9.1064342403628125</v>
      </c>
      <c r="C45" s="723">
        <f t="shared" si="16"/>
        <v>6.1869283824640977</v>
      </c>
      <c r="D45" s="723">
        <f t="shared" si="16"/>
        <v>4.7328473285147394</v>
      </c>
      <c r="E45" s="723">
        <f t="shared" si="16"/>
        <v>3.8652438211451252</v>
      </c>
      <c r="F45" s="723">
        <f t="shared" si="16"/>
        <v>3.2911531360237154</v>
      </c>
      <c r="G45" s="723">
        <f t="shared" si="16"/>
        <v>2.8850351849459237</v>
      </c>
      <c r="H45" s="723">
        <f t="shared" si="16"/>
        <v>2.5841351060721873</v>
      </c>
      <c r="I45" s="723">
        <f t="shared" si="16"/>
        <v>2.1182431697853299</v>
      </c>
      <c r="J45" s="723">
        <f t="shared" si="16"/>
        <v>1.8104539182847939</v>
      </c>
      <c r="K45" s="723">
        <f t="shared" si="16"/>
        <v>1.5931731159796809</v>
      </c>
      <c r="L45" s="723">
        <f t="shared" si="16"/>
        <v>1.6372726647746731</v>
      </c>
      <c r="M45" s="723">
        <f t="shared" si="16"/>
        <v>1.6843038518443829</v>
      </c>
      <c r="N45" s="723">
        <f t="shared" si="16"/>
        <v>1.7344672319638124</v>
      </c>
      <c r="O45" s="723">
        <f t="shared" si="16"/>
        <v>1.7879772589450871</v>
      </c>
      <c r="P45" s="723">
        <f t="shared" si="16"/>
        <v>1.8450632543761405</v>
      </c>
      <c r="Q45" s="723">
        <f t="shared" si="16"/>
        <v>1.9059704440452898</v>
      </c>
      <c r="R45" s="723">
        <f t="shared" si="16"/>
        <v>1.9709610667859403</v>
      </c>
      <c r="S45" s="723">
        <f t="shared" si="16"/>
        <v>2.0403155608069361</v>
      </c>
      <c r="T45" s="723">
        <f t="shared" si="16"/>
        <v>2.1143338329285566</v>
      </c>
      <c r="U45" s="723">
        <f t="shared" si="16"/>
        <v>2.1933366165234203</v>
      </c>
      <c r="V45" s="723">
        <f t="shared" si="16"/>
        <v>2.277666924367395</v>
      </c>
      <c r="W45" s="723">
        <f t="shared" si="16"/>
        <v>2.3676916030398445</v>
      </c>
      <c r="X45" s="723">
        <f t="shared" si="16"/>
        <v>2.4638029959771424</v>
      </c>
      <c r="Y45" s="723">
        <f t="shared" si="16"/>
        <v>2.5664207227805624</v>
      </c>
      <c r="Z45" s="723">
        <f t="shared" si="16"/>
        <v>2.6759935829115471</v>
      </c>
      <c r="AA45" s="723">
        <f t="shared" si="16"/>
        <v>2.7930015924765677</v>
      </c>
      <c r="AB45" s="723">
        <f t="shared" si="16"/>
        <v>2.9179581634127509</v>
      </c>
      <c r="AC45" s="723">
        <f t="shared" si="16"/>
        <v>3.0514124350371272</v>
      </c>
      <c r="AD45" s="723">
        <f t="shared" si="16"/>
        <v>3.1939517686195504</v>
      </c>
      <c r="AE45" s="723">
        <f t="shared" si="16"/>
        <v>3.3462044163854126</v>
      </c>
    </row>
    <row r="46" spans="1:31">
      <c r="A46" s="730" t="s">
        <v>992</v>
      </c>
      <c r="B46" s="717">
        <f>12*SUM(B44:F44)</f>
        <v>5760000</v>
      </c>
    </row>
    <row r="47" spans="1:31">
      <c r="A47" s="730" t="s">
        <v>993</v>
      </c>
      <c r="B47" s="723">
        <f>$B20*100000/$B46</f>
        <v>1.7361111111111112</v>
      </c>
      <c r="C47" s="723">
        <f>$B20*100000/$B46</f>
        <v>1.7361111111111112</v>
      </c>
      <c r="D47" s="723">
        <f>$B20*100000/$B46</f>
        <v>1.7361111111111112</v>
      </c>
      <c r="E47" s="723">
        <f>$B20*100000/$B46</f>
        <v>1.7361111111111112</v>
      </c>
      <c r="F47" s="723">
        <f>$B20*100000/$B46</f>
        <v>1.7361111111111112</v>
      </c>
    </row>
    <row r="48" spans="1:31" ht="28.8">
      <c r="A48" s="743" t="s">
        <v>994</v>
      </c>
      <c r="B48" s="723">
        <f>B45+B47</f>
        <v>10.842545351473923</v>
      </c>
      <c r="C48" s="723">
        <f t="shared" ref="C48:AE48" si="17">C45+C47</f>
        <v>7.9230394935752084</v>
      </c>
      <c r="D48" s="723">
        <f t="shared" si="17"/>
        <v>6.468958439625851</v>
      </c>
      <c r="E48" s="723">
        <f t="shared" si="17"/>
        <v>5.6013549322562364</v>
      </c>
      <c r="F48" s="723">
        <f t="shared" si="17"/>
        <v>5.027264247134827</v>
      </c>
      <c r="G48" s="723">
        <f t="shared" si="17"/>
        <v>2.8850351849459237</v>
      </c>
      <c r="H48" s="723">
        <f t="shared" si="17"/>
        <v>2.5841351060721873</v>
      </c>
      <c r="I48" s="723">
        <f t="shared" si="17"/>
        <v>2.1182431697853299</v>
      </c>
      <c r="J48" s="723">
        <f t="shared" si="17"/>
        <v>1.8104539182847939</v>
      </c>
      <c r="K48" s="723">
        <f t="shared" si="17"/>
        <v>1.5931731159796809</v>
      </c>
      <c r="L48" s="723">
        <f t="shared" si="17"/>
        <v>1.6372726647746731</v>
      </c>
      <c r="M48" s="723">
        <f t="shared" si="17"/>
        <v>1.6843038518443829</v>
      </c>
      <c r="N48" s="723">
        <f t="shared" si="17"/>
        <v>1.7344672319638124</v>
      </c>
      <c r="O48" s="723">
        <f t="shared" si="17"/>
        <v>1.7879772589450871</v>
      </c>
      <c r="P48" s="723">
        <f t="shared" si="17"/>
        <v>1.8450632543761405</v>
      </c>
      <c r="Q48" s="723">
        <f t="shared" si="17"/>
        <v>1.9059704440452898</v>
      </c>
      <c r="R48" s="723">
        <f t="shared" si="17"/>
        <v>1.9709610667859403</v>
      </c>
      <c r="S48" s="723">
        <f t="shared" si="17"/>
        <v>2.0403155608069361</v>
      </c>
      <c r="T48" s="723">
        <f t="shared" si="17"/>
        <v>2.1143338329285566</v>
      </c>
      <c r="U48" s="723">
        <f t="shared" si="17"/>
        <v>2.1933366165234203</v>
      </c>
      <c r="V48" s="723">
        <f t="shared" si="17"/>
        <v>2.277666924367395</v>
      </c>
      <c r="W48" s="723">
        <f t="shared" si="17"/>
        <v>2.3676916030398445</v>
      </c>
      <c r="X48" s="723">
        <f t="shared" si="17"/>
        <v>2.4638029959771424</v>
      </c>
      <c r="Y48" s="723">
        <f t="shared" si="17"/>
        <v>2.5664207227805624</v>
      </c>
      <c r="Z48" s="723">
        <f t="shared" si="17"/>
        <v>2.6759935829115471</v>
      </c>
      <c r="AA48" s="723">
        <f t="shared" si="17"/>
        <v>2.7930015924765677</v>
      </c>
      <c r="AB48" s="723">
        <f t="shared" si="17"/>
        <v>2.9179581634127509</v>
      </c>
      <c r="AC48" s="723">
        <f t="shared" si="17"/>
        <v>3.0514124350371272</v>
      </c>
      <c r="AD48" s="723">
        <f t="shared" si="17"/>
        <v>3.1939517686195504</v>
      </c>
      <c r="AE48" s="723">
        <f t="shared" si="17"/>
        <v>3.3462044163854126</v>
      </c>
    </row>
    <row r="49" spans="1:31">
      <c r="A49" s="743" t="s">
        <v>995</v>
      </c>
      <c r="B49" s="723">
        <f>B48*0.1</f>
        <v>1.0842545351473925</v>
      </c>
      <c r="C49" s="723">
        <f t="shared" ref="C49:AE49" si="18">C48*0.1</f>
        <v>0.79230394935752091</v>
      </c>
      <c r="D49" s="723">
        <f t="shared" si="18"/>
        <v>0.64689584396258515</v>
      </c>
      <c r="E49" s="723">
        <f t="shared" si="18"/>
        <v>0.56013549322562362</v>
      </c>
      <c r="F49" s="723">
        <f t="shared" si="18"/>
        <v>0.50272642471348272</v>
      </c>
      <c r="G49" s="723">
        <f t="shared" si="18"/>
        <v>0.28850351849459238</v>
      </c>
      <c r="H49" s="723">
        <f t="shared" si="18"/>
        <v>0.25841351060721873</v>
      </c>
      <c r="I49" s="723">
        <f t="shared" si="18"/>
        <v>0.21182431697853299</v>
      </c>
      <c r="J49" s="723">
        <f t="shared" si="18"/>
        <v>0.1810453918284794</v>
      </c>
      <c r="K49" s="723">
        <f t="shared" si="18"/>
        <v>0.15931731159796811</v>
      </c>
      <c r="L49" s="723">
        <f t="shared" si="18"/>
        <v>0.16372726647746733</v>
      </c>
      <c r="M49" s="723">
        <f t="shared" si="18"/>
        <v>0.16843038518443831</v>
      </c>
      <c r="N49" s="723">
        <f t="shared" si="18"/>
        <v>0.17344672319638124</v>
      </c>
      <c r="O49" s="723">
        <f t="shared" si="18"/>
        <v>0.17879772589450871</v>
      </c>
      <c r="P49" s="723">
        <f t="shared" si="18"/>
        <v>0.18450632543761405</v>
      </c>
      <c r="Q49" s="723">
        <f t="shared" si="18"/>
        <v>0.19059704440452899</v>
      </c>
      <c r="R49" s="723">
        <f t="shared" si="18"/>
        <v>0.19709610667859404</v>
      </c>
      <c r="S49" s="723">
        <f t="shared" si="18"/>
        <v>0.20403155608069362</v>
      </c>
      <c r="T49" s="723">
        <f t="shared" si="18"/>
        <v>0.21143338329285566</v>
      </c>
      <c r="U49" s="723">
        <f t="shared" si="18"/>
        <v>0.21933366165234203</v>
      </c>
      <c r="V49" s="723">
        <f t="shared" si="18"/>
        <v>0.22776669243673953</v>
      </c>
      <c r="W49" s="723">
        <f t="shared" si="18"/>
        <v>0.23676916030398446</v>
      </c>
      <c r="X49" s="723">
        <f t="shared" si="18"/>
        <v>0.24638029959771424</v>
      </c>
      <c r="Y49" s="723">
        <f t="shared" si="18"/>
        <v>0.25664207227805624</v>
      </c>
      <c r="Z49" s="723">
        <f t="shared" si="18"/>
        <v>0.26759935829115472</v>
      </c>
      <c r="AA49" s="723">
        <f t="shared" si="18"/>
        <v>0.27930015924765678</v>
      </c>
      <c r="AB49" s="723">
        <f t="shared" si="18"/>
        <v>0.2917958163412751</v>
      </c>
      <c r="AC49" s="723">
        <f t="shared" si="18"/>
        <v>0.30514124350371274</v>
      </c>
      <c r="AD49" s="723">
        <f t="shared" si="18"/>
        <v>0.31939517686195507</v>
      </c>
      <c r="AE49" s="723">
        <f t="shared" si="18"/>
        <v>0.33462044163854127</v>
      </c>
    </row>
    <row r="50" spans="1:31" ht="28.8">
      <c r="A50" s="743" t="s">
        <v>996</v>
      </c>
      <c r="B50" s="744">
        <f>B48+B49</f>
        <v>11.926799886621316</v>
      </c>
      <c r="C50" s="744">
        <f t="shared" ref="C50:AE50" si="19">C48+C49</f>
        <v>8.7153434429327294</v>
      </c>
      <c r="D50" s="744">
        <f t="shared" si="19"/>
        <v>7.115854283588436</v>
      </c>
      <c r="E50" s="744">
        <f t="shared" si="19"/>
        <v>6.1614904254818601</v>
      </c>
      <c r="F50" s="744">
        <f t="shared" si="19"/>
        <v>5.5299906718483101</v>
      </c>
      <c r="G50" s="745">
        <f t="shared" si="19"/>
        <v>3.1735387034405163</v>
      </c>
      <c r="H50" s="745">
        <f t="shared" si="19"/>
        <v>2.8425486166794061</v>
      </c>
      <c r="I50" s="745">
        <f t="shared" si="19"/>
        <v>2.3300674867638627</v>
      </c>
      <c r="J50" s="745">
        <f t="shared" si="19"/>
        <v>1.9914993101132732</v>
      </c>
      <c r="K50" s="745">
        <f t="shared" si="19"/>
        <v>1.7524904275776489</v>
      </c>
      <c r="L50" s="745">
        <f t="shared" si="19"/>
        <v>1.8009999312521405</v>
      </c>
      <c r="M50" s="745">
        <f t="shared" si="19"/>
        <v>1.8527342370288213</v>
      </c>
      <c r="N50" s="745">
        <f t="shared" si="19"/>
        <v>1.9079139551601936</v>
      </c>
      <c r="O50" s="745">
        <f t="shared" si="19"/>
        <v>1.9667749848395957</v>
      </c>
      <c r="P50" s="745">
        <f t="shared" si="19"/>
        <v>2.0295695798137547</v>
      </c>
      <c r="Q50" s="745">
        <f t="shared" si="19"/>
        <v>2.0965674884498187</v>
      </c>
      <c r="R50" s="745">
        <f t="shared" si="19"/>
        <v>2.1680571734645344</v>
      </c>
      <c r="S50" s="745">
        <f t="shared" si="19"/>
        <v>2.2443471168876297</v>
      </c>
      <c r="T50" s="745">
        <f t="shared" si="19"/>
        <v>2.3257672162214122</v>
      </c>
      <c r="U50" s="745">
        <f t="shared" si="19"/>
        <v>2.4126702781757623</v>
      </c>
      <c r="V50" s="745">
        <f t="shared" si="19"/>
        <v>2.5054336168041345</v>
      </c>
      <c r="W50" s="745">
        <f t="shared" si="19"/>
        <v>2.604460763343829</v>
      </c>
      <c r="X50" s="745">
        <f t="shared" si="19"/>
        <v>2.7101832955748568</v>
      </c>
      <c r="Y50" s="745">
        <f t="shared" si="19"/>
        <v>2.8230627950586187</v>
      </c>
      <c r="Z50" s="745">
        <f t="shared" si="19"/>
        <v>2.9435929412027018</v>
      </c>
      <c r="AA50" s="745">
        <f t="shared" si="19"/>
        <v>3.0723017517242246</v>
      </c>
      <c r="AB50" s="745">
        <f t="shared" si="19"/>
        <v>3.209753979754026</v>
      </c>
      <c r="AC50" s="745">
        <f t="shared" si="19"/>
        <v>3.3565536785408399</v>
      </c>
      <c r="AD50" s="745">
        <f t="shared" si="19"/>
        <v>3.5133469454815054</v>
      </c>
      <c r="AE50" s="745">
        <f t="shared" si="19"/>
        <v>3.680824858023954</v>
      </c>
    </row>
    <row r="51" spans="1:31">
      <c r="A51" s="743" t="s">
        <v>997</v>
      </c>
      <c r="B51" s="895">
        <f>AVERAGE(B50:F50)</f>
        <v>7.8898957420945308</v>
      </c>
      <c r="C51" s="895"/>
      <c r="D51" s="895"/>
      <c r="E51" s="895"/>
      <c r="F51" s="895"/>
      <c r="G51" s="717" t="s">
        <v>998</v>
      </c>
    </row>
  </sheetData>
  <mergeCells count="2">
    <mergeCell ref="A11:B11"/>
    <mergeCell ref="B51:F5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A9E-89F4-4469-A4DA-DAF9EFA4200C}">
  <dimension ref="A2:AF20"/>
  <sheetViews>
    <sheetView topLeftCell="A3" zoomScale="120" zoomScaleNormal="120" workbookViewId="0">
      <pane xSplit="1" ySplit="1" topLeftCell="B9" activePane="bottomRight" state="frozen"/>
      <selection activeCell="A3" sqref="A3"/>
      <selection pane="topRight" activeCell="B3" sqref="B3"/>
      <selection pane="bottomLeft" activeCell="A4" sqref="A4"/>
      <selection pane="bottomRight" activeCell="B10" sqref="B10"/>
    </sheetView>
  </sheetViews>
  <sheetFormatPr defaultColWidth="8.88671875" defaultRowHeight="14.4"/>
  <cols>
    <col min="1" max="1" width="21.21875" style="722" bestFit="1" customWidth="1"/>
    <col min="2" max="2" width="5.21875" style="717" bestFit="1" customWidth="1"/>
    <col min="3" max="24" width="4.77734375" style="717" bestFit="1" customWidth="1"/>
    <col min="25" max="31" width="5.33203125" style="717" customWidth="1"/>
    <col min="32" max="32" width="52.44140625" style="717" customWidth="1"/>
    <col min="33" max="16384" width="8.88671875" style="717"/>
  </cols>
  <sheetData>
    <row r="2" spans="1:32">
      <c r="AF2" s="717" t="s">
        <v>734</v>
      </c>
    </row>
    <row r="3" spans="1:32" s="722" customFormat="1" ht="23.7" customHeight="1">
      <c r="B3" s="722">
        <v>2026</v>
      </c>
      <c r="C3" s="722">
        <v>2027</v>
      </c>
      <c r="D3" s="722">
        <v>2028</v>
      </c>
      <c r="E3" s="722">
        <v>2029</v>
      </c>
      <c r="F3" s="722">
        <v>2030</v>
      </c>
      <c r="G3" s="722">
        <v>2031</v>
      </c>
      <c r="H3" s="722">
        <v>2032</v>
      </c>
      <c r="I3" s="722">
        <v>2033</v>
      </c>
      <c r="J3" s="722">
        <v>2034</v>
      </c>
      <c r="K3" s="722">
        <v>2035</v>
      </c>
      <c r="L3" s="722">
        <v>2036</v>
      </c>
      <c r="M3" s="722">
        <v>2037</v>
      </c>
      <c r="N3" s="722">
        <v>2038</v>
      </c>
      <c r="O3" s="722">
        <v>2039</v>
      </c>
      <c r="P3" s="722">
        <v>2040</v>
      </c>
      <c r="Q3" s="722">
        <v>2041</v>
      </c>
      <c r="R3" s="722">
        <v>2042</v>
      </c>
      <c r="S3" s="722">
        <v>2043</v>
      </c>
      <c r="T3" s="722">
        <v>2044</v>
      </c>
      <c r="U3" s="722">
        <v>2045</v>
      </c>
      <c r="V3" s="722">
        <v>2046</v>
      </c>
      <c r="W3" s="722">
        <v>2047</v>
      </c>
      <c r="X3" s="722">
        <v>2048</v>
      </c>
      <c r="Y3" s="722">
        <v>2049</v>
      </c>
      <c r="Z3" s="722">
        <v>2050</v>
      </c>
      <c r="AA3" s="722">
        <v>2051</v>
      </c>
      <c r="AB3" s="722">
        <v>2052</v>
      </c>
      <c r="AC3" s="722">
        <v>2053</v>
      </c>
      <c r="AD3" s="722">
        <v>2054</v>
      </c>
      <c r="AE3" s="722">
        <v>2055</v>
      </c>
    </row>
    <row r="4" spans="1:32" ht="28.8">
      <c r="A4" s="722" t="s">
        <v>999</v>
      </c>
      <c r="B4" s="721">
        <v>0.9</v>
      </c>
      <c r="C4" s="721">
        <v>0.85</v>
      </c>
      <c r="D4" s="721">
        <v>0.8</v>
      </c>
      <c r="E4" s="721">
        <v>0.75</v>
      </c>
      <c r="F4" s="721">
        <v>0.6</v>
      </c>
      <c r="G4" s="721">
        <v>0.5</v>
      </c>
      <c r="H4" s="721">
        <v>0.4</v>
      </c>
      <c r="I4" s="721">
        <v>0.3</v>
      </c>
      <c r="J4" s="721">
        <v>0.2</v>
      </c>
      <c r="K4" s="721">
        <v>0.2</v>
      </c>
      <c r="L4" s="721">
        <v>0.2</v>
      </c>
      <c r="M4" s="721">
        <v>0.2</v>
      </c>
      <c r="N4" s="721">
        <v>0.2</v>
      </c>
      <c r="O4" s="721">
        <v>0.2</v>
      </c>
      <c r="P4" s="721">
        <v>0.2</v>
      </c>
      <c r="Q4" s="721">
        <v>0.2</v>
      </c>
      <c r="R4" s="721">
        <v>0.2</v>
      </c>
      <c r="S4" s="721">
        <v>0.2</v>
      </c>
      <c r="T4" s="721">
        <v>0.2</v>
      </c>
      <c r="U4" s="721">
        <v>0.2</v>
      </c>
      <c r="V4" s="721">
        <v>0.2</v>
      </c>
      <c r="W4" s="721">
        <v>0.2</v>
      </c>
      <c r="X4" s="721">
        <v>0.2</v>
      </c>
      <c r="Y4" s="721">
        <v>0.2</v>
      </c>
      <c r="Z4" s="721">
        <v>0.2</v>
      </c>
      <c r="AA4" s="721">
        <v>0.2</v>
      </c>
      <c r="AB4" s="721">
        <v>0.2</v>
      </c>
      <c r="AC4" s="721">
        <v>0.2</v>
      </c>
      <c r="AD4" s="721">
        <v>0.2</v>
      </c>
      <c r="AE4" s="721">
        <v>0.2</v>
      </c>
      <c r="AF4" s="726" t="s">
        <v>1000</v>
      </c>
    </row>
    <row r="5" spans="1:32">
      <c r="A5" s="722" t="s">
        <v>1001</v>
      </c>
      <c r="B5" s="721">
        <v>0.1</v>
      </c>
      <c r="C5" s="721">
        <v>0.15</v>
      </c>
      <c r="D5" s="721">
        <v>0.2</v>
      </c>
      <c r="E5" s="721">
        <v>0.25</v>
      </c>
      <c r="F5" s="721">
        <v>0.4</v>
      </c>
      <c r="G5" s="721">
        <v>0.5</v>
      </c>
      <c r="H5" s="721">
        <v>0.6</v>
      </c>
      <c r="I5" s="721">
        <v>0.7</v>
      </c>
      <c r="J5" s="721">
        <v>0.8</v>
      </c>
      <c r="K5" s="721">
        <v>0.8</v>
      </c>
      <c r="L5" s="721">
        <v>0.8</v>
      </c>
      <c r="M5" s="721">
        <v>0.8</v>
      </c>
      <c r="N5" s="721">
        <v>0.8</v>
      </c>
      <c r="O5" s="721">
        <v>0.8</v>
      </c>
      <c r="P5" s="721">
        <v>0.8</v>
      </c>
      <c r="Q5" s="721">
        <v>0.8</v>
      </c>
      <c r="R5" s="721">
        <v>0.8</v>
      </c>
      <c r="S5" s="721">
        <v>0.8</v>
      </c>
      <c r="T5" s="721">
        <v>0.8</v>
      </c>
      <c r="U5" s="721">
        <v>0.8</v>
      </c>
      <c r="V5" s="721">
        <v>0.8</v>
      </c>
      <c r="W5" s="721">
        <v>0.8</v>
      </c>
      <c r="X5" s="721">
        <v>0.8</v>
      </c>
      <c r="Y5" s="721">
        <v>0.8</v>
      </c>
      <c r="Z5" s="721">
        <v>0.8</v>
      </c>
      <c r="AA5" s="721">
        <v>0.8</v>
      </c>
      <c r="AB5" s="721">
        <v>0.8</v>
      </c>
      <c r="AC5" s="721">
        <v>0.8</v>
      </c>
      <c r="AD5" s="721">
        <v>0.8</v>
      </c>
      <c r="AE5" s="721">
        <v>0.8</v>
      </c>
      <c r="AF5" s="726" t="s">
        <v>1002</v>
      </c>
    </row>
    <row r="6" spans="1:32">
      <c r="AF6" s="726"/>
    </row>
    <row r="7" spans="1:32" ht="28.8">
      <c r="A7" s="730" t="s">
        <v>1003</v>
      </c>
      <c r="B7" s="721"/>
      <c r="C7" s="721"/>
      <c r="D7" s="721"/>
      <c r="E7" s="721"/>
      <c r="F7" s="721"/>
      <c r="G7" s="721"/>
      <c r="H7" s="721"/>
      <c r="I7" s="721"/>
      <c r="J7" s="721"/>
      <c r="K7" s="721"/>
      <c r="L7" s="721"/>
      <c r="M7" s="721"/>
      <c r="N7" s="721"/>
      <c r="O7" s="721"/>
      <c r="P7" s="721"/>
      <c r="Q7" s="721"/>
      <c r="R7" s="721"/>
      <c r="S7" s="721"/>
      <c r="T7" s="721"/>
      <c r="U7" s="721"/>
      <c r="V7" s="721"/>
      <c r="W7" s="721"/>
      <c r="X7" s="721"/>
      <c r="Y7" s="721"/>
      <c r="Z7" s="721"/>
      <c r="AA7" s="721"/>
      <c r="AB7" s="721"/>
      <c r="AC7" s="721"/>
      <c r="AD7" s="721"/>
      <c r="AE7" s="721"/>
      <c r="AF7" s="726"/>
    </row>
    <row r="8" spans="1:32" ht="43.2">
      <c r="A8" s="722" t="s">
        <v>1004</v>
      </c>
      <c r="B8" s="721">
        <v>0</v>
      </c>
      <c r="C8" s="721">
        <v>0.02</v>
      </c>
      <c r="D8" s="721">
        <v>0.05</v>
      </c>
      <c r="E8" s="721">
        <v>0.12</v>
      </c>
      <c r="F8" s="721">
        <v>0.16</v>
      </c>
      <c r="G8" s="721">
        <v>0.2</v>
      </c>
      <c r="H8" s="721">
        <v>0.2</v>
      </c>
      <c r="I8" s="721">
        <v>0.2</v>
      </c>
      <c r="J8" s="721">
        <v>0.23</v>
      </c>
      <c r="K8" s="721">
        <v>0.3</v>
      </c>
      <c r="L8" s="721">
        <v>0.33</v>
      </c>
      <c r="M8" s="721">
        <v>0.36</v>
      </c>
      <c r="N8" s="721">
        <v>0.27</v>
      </c>
      <c r="O8" s="721">
        <v>0.28000000000000003</v>
      </c>
      <c r="P8" s="721">
        <v>0.4</v>
      </c>
      <c r="Q8" s="721">
        <v>0.39</v>
      </c>
      <c r="R8" s="721">
        <v>0.37</v>
      </c>
      <c r="S8" s="721">
        <v>0.35</v>
      </c>
      <c r="T8" s="721">
        <v>0.33</v>
      </c>
      <c r="U8" s="721">
        <v>0.3</v>
      </c>
      <c r="V8" s="721">
        <v>0.27</v>
      </c>
      <c r="W8" s="721">
        <v>0.25</v>
      </c>
      <c r="X8" s="721">
        <v>0.23</v>
      </c>
      <c r="Y8" s="721">
        <v>0.2</v>
      </c>
      <c r="Z8" s="721">
        <v>0.18</v>
      </c>
      <c r="AA8" s="721">
        <v>0.15</v>
      </c>
      <c r="AB8" s="721">
        <v>0.1</v>
      </c>
      <c r="AC8" s="721">
        <v>0.08</v>
      </c>
      <c r="AD8" s="721">
        <v>0.05</v>
      </c>
      <c r="AE8" s="721">
        <v>0</v>
      </c>
      <c r="AF8" s="726" t="s">
        <v>1005</v>
      </c>
    </row>
    <row r="9" spans="1:32">
      <c r="A9" s="722" t="s">
        <v>1006</v>
      </c>
      <c r="B9" s="721">
        <v>0.9</v>
      </c>
      <c r="C9" s="721">
        <v>0.8</v>
      </c>
      <c r="D9" s="721">
        <v>0.7</v>
      </c>
      <c r="E9" s="721">
        <v>0.57999999999999996</v>
      </c>
      <c r="F9" s="721">
        <v>0.52</v>
      </c>
      <c r="G9" s="721">
        <v>0.45</v>
      </c>
      <c r="H9" s="721">
        <v>0.4</v>
      </c>
      <c r="I9" s="721">
        <v>0.35</v>
      </c>
      <c r="J9" s="721">
        <v>0.3</v>
      </c>
      <c r="K9" s="721">
        <v>0.2</v>
      </c>
      <c r="L9" s="721">
        <v>0.16</v>
      </c>
      <c r="M9" s="721">
        <v>0.12</v>
      </c>
      <c r="N9" s="721">
        <v>0.1</v>
      </c>
      <c r="O9" s="721">
        <v>0.08</v>
      </c>
      <c r="P9" s="721">
        <v>0.05</v>
      </c>
      <c r="Q9" s="721">
        <v>0.02</v>
      </c>
      <c r="R9" s="721">
        <v>0</v>
      </c>
      <c r="S9" s="721">
        <v>0</v>
      </c>
      <c r="T9" s="721">
        <v>0</v>
      </c>
      <c r="U9" s="721">
        <v>0</v>
      </c>
      <c r="V9" s="721">
        <v>0</v>
      </c>
      <c r="W9" s="721">
        <v>0</v>
      </c>
      <c r="X9" s="721">
        <v>0</v>
      </c>
      <c r="Y9" s="721">
        <v>0</v>
      </c>
      <c r="Z9" s="721">
        <v>0</v>
      </c>
      <c r="AA9" s="721">
        <v>0</v>
      </c>
      <c r="AB9" s="721">
        <v>0</v>
      </c>
      <c r="AC9" s="721">
        <v>0</v>
      </c>
      <c r="AD9" s="721">
        <v>0</v>
      </c>
      <c r="AE9" s="721">
        <v>0</v>
      </c>
      <c r="AF9" s="726" t="s">
        <v>1007</v>
      </c>
    </row>
    <row r="10" spans="1:32" ht="28.8">
      <c r="A10" s="722" t="s">
        <v>1008</v>
      </c>
      <c r="B10" s="721">
        <v>0.1</v>
      </c>
      <c r="C10" s="721">
        <v>0.18</v>
      </c>
      <c r="D10" s="721">
        <v>0.25</v>
      </c>
      <c r="E10" s="721">
        <v>0.3</v>
      </c>
      <c r="F10" s="721">
        <v>0.32</v>
      </c>
      <c r="G10" s="721">
        <v>0.35</v>
      </c>
      <c r="H10" s="721">
        <v>0.4</v>
      </c>
      <c r="I10" s="721">
        <v>0.45</v>
      </c>
      <c r="J10" s="721">
        <v>0.47</v>
      </c>
      <c r="K10" s="721">
        <v>0.5</v>
      </c>
      <c r="L10" s="721">
        <v>0.51</v>
      </c>
      <c r="M10" s="721">
        <v>0.52</v>
      </c>
      <c r="N10" s="721">
        <v>0.53</v>
      </c>
      <c r="O10" s="721">
        <v>0.54</v>
      </c>
      <c r="P10" s="721">
        <v>0.55000000000000004</v>
      </c>
      <c r="Q10" s="721">
        <v>0.59</v>
      </c>
      <c r="R10" s="721">
        <v>0.63</v>
      </c>
      <c r="S10" s="721">
        <v>0.65</v>
      </c>
      <c r="T10" s="721">
        <v>0.66999999999999993</v>
      </c>
      <c r="U10" s="721">
        <v>0.7</v>
      </c>
      <c r="V10" s="721">
        <v>0.73</v>
      </c>
      <c r="W10" s="721">
        <v>0.75</v>
      </c>
      <c r="X10" s="721">
        <v>0.77</v>
      </c>
      <c r="Y10" s="721">
        <v>0.8</v>
      </c>
      <c r="Z10" s="721">
        <v>0.82000000000000006</v>
      </c>
      <c r="AA10" s="721">
        <v>0.85</v>
      </c>
      <c r="AB10" s="721">
        <v>0.9</v>
      </c>
      <c r="AC10" s="721">
        <v>0.92</v>
      </c>
      <c r="AD10" s="721">
        <v>0.95</v>
      </c>
      <c r="AE10" s="721">
        <v>1</v>
      </c>
      <c r="AF10" s="726" t="s">
        <v>1009</v>
      </c>
    </row>
    <row r="11" spans="1:32">
      <c r="AF11" s="726"/>
    </row>
    <row r="12" spans="1:32">
      <c r="A12" s="722" t="s">
        <v>1001</v>
      </c>
      <c r="AF12" s="726"/>
    </row>
    <row r="13" spans="1:32" ht="28.8">
      <c r="A13" s="722" t="s">
        <v>1004</v>
      </c>
      <c r="B13" s="721">
        <v>0</v>
      </c>
      <c r="C13" s="721">
        <v>0.02</v>
      </c>
      <c r="D13" s="721">
        <v>0.03</v>
      </c>
      <c r="E13" s="721">
        <v>0.05</v>
      </c>
      <c r="F13" s="721">
        <v>7.0000000000000007E-2</v>
      </c>
      <c r="G13" s="721">
        <v>0.1</v>
      </c>
      <c r="H13" s="721">
        <v>0.13</v>
      </c>
      <c r="I13" s="721">
        <v>0.16</v>
      </c>
      <c r="J13" s="721">
        <v>0.2</v>
      </c>
      <c r="K13" s="721">
        <v>0.2</v>
      </c>
      <c r="L13" s="721">
        <v>0.2</v>
      </c>
      <c r="M13" s="721">
        <v>0.2</v>
      </c>
      <c r="N13" s="721">
        <v>0.2</v>
      </c>
      <c r="O13" s="721">
        <v>0.2</v>
      </c>
      <c r="P13" s="721">
        <v>0.2</v>
      </c>
      <c r="Q13" s="721">
        <v>0.2</v>
      </c>
      <c r="R13" s="721">
        <v>0.18</v>
      </c>
      <c r="S13" s="721">
        <v>0.16</v>
      </c>
      <c r="T13" s="721">
        <v>0.14000000000000001</v>
      </c>
      <c r="U13" s="721">
        <v>0.12</v>
      </c>
      <c r="V13" s="721">
        <v>0.1</v>
      </c>
      <c r="W13" s="721">
        <v>0.08</v>
      </c>
      <c r="X13" s="721">
        <v>0.06</v>
      </c>
      <c r="Y13" s="721">
        <v>0.04</v>
      </c>
      <c r="Z13" s="721">
        <v>0.02</v>
      </c>
      <c r="AA13" s="721">
        <v>0</v>
      </c>
      <c r="AB13" s="721">
        <v>0</v>
      </c>
      <c r="AC13" s="721">
        <v>0</v>
      </c>
      <c r="AD13" s="721">
        <v>0</v>
      </c>
      <c r="AE13" s="721">
        <v>0</v>
      </c>
      <c r="AF13" s="726" t="s">
        <v>1010</v>
      </c>
    </row>
    <row r="14" spans="1:32">
      <c r="A14" s="722" t="s">
        <v>1006</v>
      </c>
      <c r="B14" s="721">
        <v>0.1</v>
      </c>
      <c r="C14" s="721">
        <v>0.09</v>
      </c>
      <c r="D14" s="721">
        <v>0.1</v>
      </c>
      <c r="E14" s="721">
        <v>0.1</v>
      </c>
      <c r="F14" s="721">
        <v>0.1</v>
      </c>
      <c r="G14" s="721">
        <v>0.1</v>
      </c>
      <c r="H14" s="721">
        <v>0.09</v>
      </c>
      <c r="I14" s="721">
        <v>0.09</v>
      </c>
      <c r="J14" s="721">
        <v>0.1</v>
      </c>
      <c r="K14" s="721">
        <v>0.09</v>
      </c>
      <c r="L14" s="721">
        <v>0.08</v>
      </c>
      <c r="M14" s="721">
        <v>7.0000000000000007E-2</v>
      </c>
      <c r="N14" s="721">
        <v>0.06</v>
      </c>
      <c r="O14" s="721">
        <v>0.05</v>
      </c>
      <c r="P14" s="721">
        <v>0.02</v>
      </c>
      <c r="Q14" s="721">
        <v>0</v>
      </c>
      <c r="R14" s="721">
        <v>0</v>
      </c>
      <c r="S14" s="721">
        <v>0</v>
      </c>
      <c r="T14" s="721">
        <v>0</v>
      </c>
      <c r="U14" s="721">
        <v>0</v>
      </c>
      <c r="V14" s="721">
        <v>0</v>
      </c>
      <c r="W14" s="721">
        <v>0</v>
      </c>
      <c r="X14" s="721">
        <v>0</v>
      </c>
      <c r="Y14" s="721">
        <v>0</v>
      </c>
      <c r="Z14" s="721">
        <v>0</v>
      </c>
      <c r="AA14" s="721">
        <v>0</v>
      </c>
      <c r="AB14" s="721">
        <v>0</v>
      </c>
      <c r="AC14" s="721">
        <v>0</v>
      </c>
      <c r="AD14" s="721">
        <v>0</v>
      </c>
      <c r="AE14" s="721">
        <v>0</v>
      </c>
      <c r="AF14" s="726" t="s">
        <v>1007</v>
      </c>
    </row>
    <row r="15" spans="1:32">
      <c r="A15" s="722" t="s">
        <v>1008</v>
      </c>
      <c r="B15" s="721">
        <v>0.9</v>
      </c>
      <c r="C15" s="721">
        <v>0.89</v>
      </c>
      <c r="D15" s="721">
        <v>0.87</v>
      </c>
      <c r="E15" s="721">
        <v>0.85</v>
      </c>
      <c r="F15" s="721">
        <v>0.83</v>
      </c>
      <c r="G15" s="721">
        <v>0.8</v>
      </c>
      <c r="H15" s="721">
        <v>0.78</v>
      </c>
      <c r="I15" s="721">
        <v>0.75</v>
      </c>
      <c r="J15" s="721">
        <v>0.7</v>
      </c>
      <c r="K15" s="721">
        <v>0.71</v>
      </c>
      <c r="L15" s="721">
        <v>0.72</v>
      </c>
      <c r="M15" s="721">
        <v>0.73</v>
      </c>
      <c r="N15" s="721">
        <v>0.74</v>
      </c>
      <c r="O15" s="721">
        <v>0.75</v>
      </c>
      <c r="P15" s="721">
        <v>0.78</v>
      </c>
      <c r="Q15" s="721">
        <v>0.8</v>
      </c>
      <c r="R15" s="721">
        <f>1-SUM(S13:S14)</f>
        <v>0.84</v>
      </c>
      <c r="S15" s="721">
        <f t="shared" ref="S15:AE15" si="0">1-SUM(T13:T14)</f>
        <v>0.86</v>
      </c>
      <c r="T15" s="721">
        <f t="shared" si="0"/>
        <v>0.88</v>
      </c>
      <c r="U15" s="721">
        <f t="shared" si="0"/>
        <v>0.9</v>
      </c>
      <c r="V15" s="721">
        <f t="shared" si="0"/>
        <v>0.92</v>
      </c>
      <c r="W15" s="721">
        <f t="shared" si="0"/>
        <v>0.94</v>
      </c>
      <c r="X15" s="721">
        <f t="shared" si="0"/>
        <v>0.96</v>
      </c>
      <c r="Y15" s="721">
        <f t="shared" si="0"/>
        <v>0.98</v>
      </c>
      <c r="Z15" s="721">
        <f t="shared" si="0"/>
        <v>1</v>
      </c>
      <c r="AA15" s="721">
        <f t="shared" si="0"/>
        <v>1</v>
      </c>
      <c r="AB15" s="721">
        <f t="shared" si="0"/>
        <v>1</v>
      </c>
      <c r="AC15" s="721">
        <f t="shared" si="0"/>
        <v>1</v>
      </c>
      <c r="AD15" s="721">
        <f t="shared" si="0"/>
        <v>1</v>
      </c>
      <c r="AE15" s="721">
        <f t="shared" si="0"/>
        <v>1</v>
      </c>
      <c r="AF15" s="726" t="s">
        <v>1011</v>
      </c>
    </row>
    <row r="16" spans="1:32">
      <c r="AF16" s="726"/>
    </row>
    <row r="17" spans="1:32">
      <c r="A17" s="722" t="s">
        <v>1012</v>
      </c>
      <c r="AF17" s="726"/>
    </row>
    <row r="18" spans="1:32">
      <c r="A18" s="722" t="s">
        <v>1004</v>
      </c>
      <c r="B18" s="721">
        <f>B8*B$4+B$5*B13</f>
        <v>0</v>
      </c>
      <c r="C18" s="721">
        <f t="shared" ref="C18:AE20" si="1">C8*C$4+C$5*C13</f>
        <v>0.02</v>
      </c>
      <c r="D18" s="721">
        <f t="shared" si="1"/>
        <v>4.6000000000000006E-2</v>
      </c>
      <c r="E18" s="721">
        <f t="shared" si="1"/>
        <v>0.10249999999999999</v>
      </c>
      <c r="F18" s="721">
        <f t="shared" si="1"/>
        <v>0.124</v>
      </c>
      <c r="G18" s="721">
        <f t="shared" si="1"/>
        <v>0.15000000000000002</v>
      </c>
      <c r="H18" s="721">
        <f t="shared" si="1"/>
        <v>0.15800000000000003</v>
      </c>
      <c r="I18" s="721">
        <f t="shared" si="1"/>
        <v>0.17199999999999999</v>
      </c>
      <c r="J18" s="721">
        <f t="shared" si="1"/>
        <v>0.20600000000000004</v>
      </c>
      <c r="K18" s="721">
        <f t="shared" si="1"/>
        <v>0.22000000000000003</v>
      </c>
      <c r="L18" s="721">
        <f t="shared" si="1"/>
        <v>0.22600000000000003</v>
      </c>
      <c r="M18" s="721">
        <f t="shared" si="1"/>
        <v>0.23200000000000004</v>
      </c>
      <c r="N18" s="721">
        <f t="shared" si="1"/>
        <v>0.21400000000000002</v>
      </c>
      <c r="O18" s="721">
        <f t="shared" si="1"/>
        <v>0.21600000000000003</v>
      </c>
      <c r="P18" s="721">
        <f t="shared" si="1"/>
        <v>0.24000000000000005</v>
      </c>
      <c r="Q18" s="721">
        <f t="shared" si="1"/>
        <v>0.23800000000000004</v>
      </c>
      <c r="R18" s="721">
        <f t="shared" si="1"/>
        <v>0.21799999999999997</v>
      </c>
      <c r="S18" s="721">
        <f t="shared" si="1"/>
        <v>0.19800000000000001</v>
      </c>
      <c r="T18" s="721">
        <f t="shared" si="1"/>
        <v>0.17800000000000002</v>
      </c>
      <c r="U18" s="721">
        <f t="shared" si="1"/>
        <v>0.156</v>
      </c>
      <c r="V18" s="721">
        <f t="shared" si="1"/>
        <v>0.13400000000000001</v>
      </c>
      <c r="W18" s="721">
        <f t="shared" si="1"/>
        <v>0.114</v>
      </c>
      <c r="X18" s="721">
        <f t="shared" si="1"/>
        <v>9.4E-2</v>
      </c>
      <c r="Y18" s="721">
        <f t="shared" si="1"/>
        <v>7.2000000000000008E-2</v>
      </c>
      <c r="Z18" s="721">
        <f t="shared" si="1"/>
        <v>5.1999999999999998E-2</v>
      </c>
      <c r="AA18" s="721">
        <f t="shared" si="1"/>
        <v>0.03</v>
      </c>
      <c r="AB18" s="721">
        <f t="shared" si="1"/>
        <v>2.0000000000000004E-2</v>
      </c>
      <c r="AC18" s="721">
        <f t="shared" si="1"/>
        <v>1.6E-2</v>
      </c>
      <c r="AD18" s="721">
        <f t="shared" si="1"/>
        <v>1.0000000000000002E-2</v>
      </c>
      <c r="AE18" s="721">
        <f t="shared" si="1"/>
        <v>0</v>
      </c>
      <c r="AF18" s="726"/>
    </row>
    <row r="19" spans="1:32">
      <c r="A19" s="722" t="s">
        <v>1006</v>
      </c>
      <c r="B19" s="721">
        <f t="shared" ref="B19:Q20" si="2">B9*B$4+B$5*B14</f>
        <v>0.82000000000000006</v>
      </c>
      <c r="C19" s="721">
        <f t="shared" si="2"/>
        <v>0.69350000000000001</v>
      </c>
      <c r="D19" s="721">
        <f t="shared" si="2"/>
        <v>0.57999999999999996</v>
      </c>
      <c r="E19" s="721">
        <f t="shared" si="2"/>
        <v>0.45999999999999996</v>
      </c>
      <c r="F19" s="721">
        <f t="shared" si="2"/>
        <v>0.35199999999999998</v>
      </c>
      <c r="G19" s="721">
        <f t="shared" si="2"/>
        <v>0.27500000000000002</v>
      </c>
      <c r="H19" s="721">
        <f t="shared" si="2"/>
        <v>0.21400000000000002</v>
      </c>
      <c r="I19" s="721">
        <f t="shared" si="2"/>
        <v>0.16799999999999998</v>
      </c>
      <c r="J19" s="721">
        <f t="shared" si="2"/>
        <v>0.14000000000000001</v>
      </c>
      <c r="K19" s="721">
        <f t="shared" si="2"/>
        <v>0.112</v>
      </c>
      <c r="L19" s="721">
        <f t="shared" si="2"/>
        <v>9.6000000000000002E-2</v>
      </c>
      <c r="M19" s="721">
        <f t="shared" si="2"/>
        <v>8.0000000000000016E-2</v>
      </c>
      <c r="N19" s="721">
        <f t="shared" si="2"/>
        <v>6.8000000000000005E-2</v>
      </c>
      <c r="O19" s="721">
        <f t="shared" si="2"/>
        <v>5.6000000000000008E-2</v>
      </c>
      <c r="P19" s="721">
        <f t="shared" si="2"/>
        <v>2.6000000000000002E-2</v>
      </c>
      <c r="Q19" s="721">
        <f t="shared" si="2"/>
        <v>4.0000000000000001E-3</v>
      </c>
      <c r="R19" s="721">
        <f t="shared" si="1"/>
        <v>0</v>
      </c>
      <c r="S19" s="721">
        <f t="shared" si="1"/>
        <v>0</v>
      </c>
      <c r="T19" s="721">
        <f t="shared" si="1"/>
        <v>0</v>
      </c>
      <c r="U19" s="721">
        <f t="shared" si="1"/>
        <v>0</v>
      </c>
      <c r="V19" s="721">
        <f t="shared" si="1"/>
        <v>0</v>
      </c>
      <c r="W19" s="721">
        <f t="shared" si="1"/>
        <v>0</v>
      </c>
      <c r="X19" s="721">
        <f t="shared" si="1"/>
        <v>0</v>
      </c>
      <c r="Y19" s="721">
        <f t="shared" si="1"/>
        <v>0</v>
      </c>
      <c r="Z19" s="721">
        <f t="shared" si="1"/>
        <v>0</v>
      </c>
      <c r="AA19" s="721">
        <f t="shared" si="1"/>
        <v>0</v>
      </c>
      <c r="AB19" s="721">
        <f t="shared" si="1"/>
        <v>0</v>
      </c>
      <c r="AC19" s="721">
        <f t="shared" si="1"/>
        <v>0</v>
      </c>
      <c r="AD19" s="721">
        <f t="shared" si="1"/>
        <v>0</v>
      </c>
      <c r="AE19" s="721">
        <f t="shared" si="1"/>
        <v>0</v>
      </c>
      <c r="AF19" s="726"/>
    </row>
    <row r="20" spans="1:32">
      <c r="A20" s="722" t="s">
        <v>1008</v>
      </c>
      <c r="B20" s="721">
        <f t="shared" si="2"/>
        <v>0.18000000000000002</v>
      </c>
      <c r="C20" s="721">
        <f t="shared" si="1"/>
        <v>0.28649999999999998</v>
      </c>
      <c r="D20" s="721">
        <f t="shared" si="1"/>
        <v>0.374</v>
      </c>
      <c r="E20" s="721">
        <f t="shared" si="1"/>
        <v>0.4375</v>
      </c>
      <c r="F20" s="721">
        <f t="shared" si="1"/>
        <v>0.52400000000000002</v>
      </c>
      <c r="G20" s="721">
        <f t="shared" si="1"/>
        <v>0.57499999999999996</v>
      </c>
      <c r="H20" s="721">
        <f t="shared" si="1"/>
        <v>0.628</v>
      </c>
      <c r="I20" s="721">
        <f t="shared" si="1"/>
        <v>0.65999999999999992</v>
      </c>
      <c r="J20" s="721">
        <f t="shared" si="1"/>
        <v>0.65399999999999991</v>
      </c>
      <c r="K20" s="721">
        <f t="shared" si="1"/>
        <v>0.66799999999999993</v>
      </c>
      <c r="L20" s="721">
        <f t="shared" si="1"/>
        <v>0.67799999999999994</v>
      </c>
      <c r="M20" s="721">
        <f t="shared" si="1"/>
        <v>0.68799999999999994</v>
      </c>
      <c r="N20" s="721">
        <f t="shared" si="1"/>
        <v>0.69799999999999995</v>
      </c>
      <c r="O20" s="721">
        <f t="shared" si="1"/>
        <v>0.70800000000000007</v>
      </c>
      <c r="P20" s="721">
        <f t="shared" si="1"/>
        <v>0.7340000000000001</v>
      </c>
      <c r="Q20" s="721">
        <f t="shared" si="1"/>
        <v>0.75800000000000012</v>
      </c>
      <c r="R20" s="721">
        <f t="shared" si="1"/>
        <v>0.79800000000000004</v>
      </c>
      <c r="S20" s="721">
        <f t="shared" si="1"/>
        <v>0.81800000000000006</v>
      </c>
      <c r="T20" s="721">
        <f t="shared" si="1"/>
        <v>0.83800000000000008</v>
      </c>
      <c r="U20" s="721">
        <f t="shared" si="1"/>
        <v>0.8600000000000001</v>
      </c>
      <c r="V20" s="721">
        <f t="shared" si="1"/>
        <v>0.88200000000000012</v>
      </c>
      <c r="W20" s="721">
        <f t="shared" si="1"/>
        <v>0.90200000000000002</v>
      </c>
      <c r="X20" s="721">
        <f t="shared" si="1"/>
        <v>0.92200000000000004</v>
      </c>
      <c r="Y20" s="721">
        <f t="shared" si="1"/>
        <v>0.94400000000000006</v>
      </c>
      <c r="Z20" s="721">
        <f t="shared" si="1"/>
        <v>0.96400000000000008</v>
      </c>
      <c r="AA20" s="721">
        <f t="shared" si="1"/>
        <v>0.97000000000000008</v>
      </c>
      <c r="AB20" s="721">
        <f t="shared" si="1"/>
        <v>0.98000000000000009</v>
      </c>
      <c r="AC20" s="721">
        <f t="shared" si="1"/>
        <v>0.9840000000000001</v>
      </c>
      <c r="AD20" s="721">
        <f t="shared" si="1"/>
        <v>0.99</v>
      </c>
      <c r="AE20" s="721">
        <f t="shared" si="1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9ABD-F999-4A7A-AC53-448053590355}">
  <dimension ref="A1:AX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6" sqref="A6"/>
    </sheetView>
  </sheetViews>
  <sheetFormatPr defaultColWidth="8.88671875" defaultRowHeight="14.4"/>
  <cols>
    <col min="1" max="1" width="37.21875" style="717" bestFit="1" customWidth="1"/>
    <col min="2" max="2" width="12.109375" style="717" customWidth="1"/>
    <col min="3" max="3" width="7.44140625" style="717" bestFit="1" customWidth="1"/>
    <col min="4" max="8" width="7.77734375" style="717" bestFit="1" customWidth="1"/>
    <col min="9" max="9" width="7.33203125" style="717" bestFit="1" customWidth="1"/>
    <col min="10" max="33" width="6.77734375" style="717" bestFit="1" customWidth="1"/>
    <col min="34" max="36" width="9.109375" style="717" bestFit="1" customWidth="1"/>
    <col min="37" max="37" width="9.44140625" style="717" bestFit="1" customWidth="1"/>
    <col min="38" max="38" width="8.88671875" style="717"/>
    <col min="39" max="39" width="35.77734375" style="717" customWidth="1"/>
    <col min="40" max="16384" width="8.88671875" style="717"/>
  </cols>
  <sheetData>
    <row r="1" spans="1:41" s="710" customFormat="1" ht="33" customHeight="1">
      <c r="A1" s="707" t="s">
        <v>41</v>
      </c>
      <c r="B1" s="707"/>
      <c r="C1" s="708">
        <v>2025</v>
      </c>
      <c r="D1" s="708">
        <v>2026</v>
      </c>
      <c r="E1" s="708">
        <v>2027</v>
      </c>
      <c r="F1" s="708">
        <v>2028</v>
      </c>
      <c r="G1" s="708">
        <v>2029</v>
      </c>
      <c r="H1" s="708">
        <v>2030</v>
      </c>
      <c r="I1" s="708">
        <v>2031</v>
      </c>
      <c r="J1" s="708">
        <v>2032</v>
      </c>
      <c r="K1" s="708">
        <v>2033</v>
      </c>
      <c r="L1" s="708">
        <v>2034</v>
      </c>
      <c r="M1" s="708">
        <v>2035</v>
      </c>
      <c r="N1" s="708">
        <v>2036</v>
      </c>
      <c r="O1" s="708">
        <v>2037</v>
      </c>
      <c r="P1" s="708">
        <v>2038</v>
      </c>
      <c r="Q1" s="708">
        <v>2039</v>
      </c>
      <c r="R1" s="708">
        <v>2040</v>
      </c>
      <c r="S1" s="708">
        <v>2041</v>
      </c>
      <c r="T1" s="708">
        <v>2042</v>
      </c>
      <c r="U1" s="708">
        <v>2043</v>
      </c>
      <c r="V1" s="708">
        <v>2044</v>
      </c>
      <c r="W1" s="708">
        <v>2045</v>
      </c>
      <c r="X1" s="708">
        <v>2046</v>
      </c>
      <c r="Y1" s="708">
        <v>2047</v>
      </c>
      <c r="Z1" s="708">
        <v>2048</v>
      </c>
      <c r="AA1" s="708">
        <v>2049</v>
      </c>
      <c r="AB1" s="708">
        <v>2050</v>
      </c>
      <c r="AC1" s="708">
        <v>2051</v>
      </c>
      <c r="AD1" s="708">
        <v>2052</v>
      </c>
      <c r="AE1" s="708">
        <v>2053</v>
      </c>
      <c r="AF1" s="708">
        <v>2054</v>
      </c>
      <c r="AG1" s="708">
        <v>2055</v>
      </c>
      <c r="AH1" s="709" t="s">
        <v>61</v>
      </c>
      <c r="AI1" s="709" t="s">
        <v>62</v>
      </c>
      <c r="AJ1" s="709" t="s">
        <v>63</v>
      </c>
      <c r="AK1" s="709" t="s">
        <v>64</v>
      </c>
      <c r="AL1" s="708"/>
    </row>
    <row r="2" spans="1:41" s="706" customFormat="1">
      <c r="A2" s="734" t="s">
        <v>1048</v>
      </c>
    </row>
    <row r="3" spans="1:41" s="706" customFormat="1">
      <c r="A3" s="735" t="s">
        <v>1031</v>
      </c>
    </row>
    <row r="4" spans="1:41" s="706" customFormat="1">
      <c r="A4" s="738" t="s">
        <v>1032</v>
      </c>
      <c r="B4" s="736"/>
      <c r="C4" s="736"/>
      <c r="D4" s="737">
        <f>'Electricity incl CAAS'!D16*'Electricity incl CAAS'!D12+'Electricity incl CAAS'!D13*('Electricity incl CAAS'!D21+'Electricity incl CAAS'!D23)</f>
        <v>7.65</v>
      </c>
      <c r="E4" s="737">
        <f>'Electricity incl CAAS'!E16*'Electricity incl CAAS'!E12+'Electricity incl CAAS'!E13*('Electricity incl CAAS'!E21+'Electricity incl CAAS'!E23)</f>
        <v>7.8030000000000008</v>
      </c>
      <c r="F4" s="737">
        <f>'Electricity incl CAAS'!F16*'Electricity incl CAAS'!F12+'Electricity incl CAAS'!F13*('Electricity incl CAAS'!F21+'Electricity incl CAAS'!F23)</f>
        <v>7.9590600000000009</v>
      </c>
      <c r="G4" s="737">
        <f>'Electricity incl CAAS'!G16*'Electricity incl CAAS'!G12+'Electricity incl CAAS'!G13*('Electricity incl CAAS'!G21+'Electricity incl CAAS'!G23)</f>
        <v>8.1182412000000017</v>
      </c>
      <c r="H4" s="737">
        <f>'Electricity incl CAAS'!H16*'Electricity incl CAAS'!H12+'Electricity incl CAAS'!H13*('Electricity incl CAAS'!H21+'Electricity incl CAAS'!H23)</f>
        <v>8.2806060240000026</v>
      </c>
      <c r="I4" s="737">
        <f>'Electricity incl CAAS'!I16*'Electricity incl CAAS'!I12+'Electricity incl CAAS'!I13*('Electricity incl CAAS'!I21+'Electricity incl CAAS'!I23)</f>
        <v>8.114993903520002</v>
      </c>
      <c r="J4" s="737">
        <f>'Electricity incl CAAS'!J16*'Electricity incl CAAS'!J12+'Electricity incl CAAS'!J13*('Electricity incl CAAS'!J21+'Electricity incl CAAS'!J23)</f>
        <v>7.9526940254496026</v>
      </c>
      <c r="K4" s="737">
        <f>'Electricity incl CAAS'!K16*'Electricity incl CAAS'!K12+'Electricity incl CAAS'!K13*('Electricity incl CAAS'!K21+'Electricity incl CAAS'!K23)</f>
        <v>7.7936401449406087</v>
      </c>
      <c r="L4" s="737">
        <f>'Electricity incl CAAS'!L16*'Electricity incl CAAS'!L12+'Electricity incl CAAS'!L13*('Electricity incl CAAS'!L21+'Electricity incl CAAS'!L23)</f>
        <v>7.6377673420417977</v>
      </c>
      <c r="M4" s="737">
        <f>'Electricity incl CAAS'!M16*'Electricity incl CAAS'!M12+'Electricity incl CAAS'!M13*('Electricity incl CAAS'!M21+'Electricity incl CAAS'!M23)</f>
        <v>7.4850119952009617</v>
      </c>
      <c r="N4" s="737">
        <f>'Electricity incl CAAS'!N16*'Electricity incl CAAS'!N12+'Electricity incl CAAS'!N13*('Electricity incl CAAS'!N21+'Electricity incl CAAS'!N23)</f>
        <v>7.3353117552969422</v>
      </c>
      <c r="O4" s="737">
        <f>'Electricity incl CAAS'!O16*'Electricity incl CAAS'!O12+'Electricity incl CAAS'!O13*('Electricity incl CAAS'!O21+'Electricity incl CAAS'!O23)</f>
        <v>7.188605520191004</v>
      </c>
      <c r="P4" s="737">
        <f>'Electricity incl CAAS'!P16*'Electricity incl CAAS'!P12+'Electricity incl CAAS'!P13*('Electricity incl CAAS'!P21+'Electricity incl CAAS'!P23)</f>
        <v>6.9039367415914388</v>
      </c>
      <c r="Q4" s="737">
        <f>'Electricity incl CAAS'!Q16*'Electricity incl CAAS'!Q12+'Electricity incl CAAS'!Q13*('Electricity incl CAAS'!Q21+'Electricity incl CAAS'!Q23)</f>
        <v>6.7658580067596112</v>
      </c>
      <c r="R4" s="737">
        <f>'Electricity incl CAAS'!R16*'Electricity incl CAAS'!R12+'Electricity incl CAAS'!R13*('Electricity incl CAAS'!R21+'Electricity incl CAAS'!R23)</f>
        <v>6.7658580067596104</v>
      </c>
      <c r="S4" s="737">
        <f>'Electricity incl CAAS'!S16*'Electricity incl CAAS'!S12+'Electricity incl CAAS'!S13*('Electricity incl CAAS'!S21+'Electricity incl CAAS'!S23)</f>
        <v>6.698199426692014</v>
      </c>
      <c r="T4" s="737">
        <f>'Electricity incl CAAS'!T16*'Electricity incl CAAS'!T12+'Electricity incl CAAS'!T13*('Electricity incl CAAS'!T21+'Electricity incl CAAS'!T23)</f>
        <v>6.7373169113438944</v>
      </c>
      <c r="U4" s="737">
        <f>'Electricity incl CAAS'!U16*'Electricity incl CAAS'!U12+'Electricity incl CAAS'!U13*('Electricity incl CAAS'!U21+'Electricity incl CAAS'!U23)</f>
        <v>6.6699437422304548</v>
      </c>
      <c r="V4" s="737">
        <f>'Electricity incl CAAS'!V16*'Electricity incl CAAS'!V12+'Electricity incl CAAS'!V13*('Electricity incl CAAS'!V21+'Electricity incl CAAS'!V23)</f>
        <v>6.6032443048081504</v>
      </c>
      <c r="W4" s="737">
        <f>'Electricity incl CAAS'!W16*'Electricity incl CAAS'!W12+'Electricity incl CAAS'!W13*('Electricity incl CAAS'!W21+'Electricity incl CAAS'!W23)</f>
        <v>6.5372118617600705</v>
      </c>
      <c r="X4" s="737">
        <f>'Electricity incl CAAS'!X16*'Electricity incl CAAS'!X12+'Electricity incl CAAS'!X13*('Electricity incl CAAS'!X21+'Electricity incl CAAS'!X23)</f>
        <v>6.4718397431424695</v>
      </c>
      <c r="Y4" s="737">
        <f>'Electricity incl CAAS'!Y16*'Electricity incl CAAS'!Y12+'Electricity incl CAAS'!Y13*('Electricity incl CAAS'!Y21+'Electricity incl CAAS'!Y23)</f>
        <v>6.4071213457110447</v>
      </c>
      <c r="Z4" s="737">
        <f>'Electricity incl CAAS'!Z16*'Electricity incl CAAS'!Z12+'Electricity incl CAAS'!Z13*('Electricity incl CAAS'!Z21+'Electricity incl CAAS'!Z23)</f>
        <v>6.3430501322539348</v>
      </c>
      <c r="AA4" s="737">
        <f>'Electricity incl CAAS'!AA16*'Electricity incl CAAS'!AA12+'Electricity incl CAAS'!AA13*('Electricity incl CAAS'!AA21+'Electricity incl CAAS'!AA23)</f>
        <v>6.2796196309313954</v>
      </c>
      <c r="AB4" s="737">
        <f>'Electricity incl CAAS'!AB16*'Electricity incl CAAS'!AB12+'Electricity incl CAAS'!AB13*('Electricity incl CAAS'!AB21+'Electricity incl CAAS'!AB23)</f>
        <v>6.2168234346220812</v>
      </c>
      <c r="AC4" s="737">
        <f>'Electricity incl CAAS'!AC16*'Electricity incl CAAS'!AC12+'Electricity incl CAAS'!AC13*('Electricity incl CAAS'!AC21+'Electricity incl CAAS'!AC23)</f>
        <v>6.2718937209523942</v>
      </c>
      <c r="AD4" s="737">
        <f>'Electricity incl CAAS'!AD16*'Electricity incl CAAS'!AD12+'Electricity incl CAAS'!AD13*('Electricity incl CAAS'!AD21+'Electricity incl CAAS'!AD23)</f>
        <v>6.4286910639762036</v>
      </c>
      <c r="AE4" s="737">
        <f>'Electricity incl CAAS'!AE16*'Electricity incl CAAS'!AE12+'Electricity incl CAAS'!AE13*('Electricity incl CAAS'!AE21+'Electricity incl CAAS'!AE23)</f>
        <v>6.5894083405756083</v>
      </c>
      <c r="AF4" s="737">
        <f>'Electricity incl CAAS'!AF16*'Electricity incl CAAS'!AF12+'Electricity incl CAAS'!AF13*('Electricity incl CAAS'!AF21+'Electricity incl CAAS'!AF23)</f>
        <v>6.7541435490899984</v>
      </c>
      <c r="AG4" s="737">
        <f>'Electricity incl CAAS'!AG16*'Electricity incl CAAS'!AG12+'Electricity incl CAAS'!AG13*('Electricity incl CAAS'!AG21+'Electricity incl CAAS'!AG23)</f>
        <v>6.9229971378172479</v>
      </c>
      <c r="AH4" s="739">
        <v>0.02</v>
      </c>
      <c r="AI4" s="739">
        <v>-0.02</v>
      </c>
      <c r="AJ4" s="739">
        <v>-0.01</v>
      </c>
      <c r="AK4" s="739">
        <v>2.5000000000000001E-2</v>
      </c>
    </row>
    <row r="5" spans="1:41" s="706" customFormat="1">
      <c r="A5" s="736" t="s">
        <v>1049</v>
      </c>
      <c r="B5" s="736"/>
      <c r="C5" s="736"/>
      <c r="D5" s="737">
        <f>'Charge station economics'!B24/'Charge station economics'!B30*100000*'Electricity incl CAAS'!D12+'Charge station economics'!B37*100000/'Charge station economics'!B44*'Electricity incl CAAS'!D13</f>
        <v>2.3964285714285718</v>
      </c>
      <c r="E5" s="737">
        <f>'Charge station economics'!C24/'Charge station economics'!C30*100000*'Electricity incl CAAS'!E12+'Charge station economics'!C37*100000/'Charge station economics'!C44*'Electricity incl CAAS'!E13</f>
        <v>2.1758049886621316</v>
      </c>
      <c r="F5" s="737">
        <f>'Charge station economics'!D24/'Charge station economics'!D30*100000*'Electricity incl CAAS'!F12+'Charge station economics'!D37*100000/'Charge station economics'!D44*'Electricity incl CAAS'!F13</f>
        <v>1.9432857142857145</v>
      </c>
      <c r="G5" s="737">
        <f>'Charge station economics'!E24/'Charge station economics'!E30*100000*'Electricity incl CAAS'!G12+'Charge station economics'!E37*100000/'Charge station economics'!E44*'Electricity incl CAAS'!G13</f>
        <v>1.6728316326530615</v>
      </c>
      <c r="H5" s="737">
        <f>'Charge station economics'!F24/'Charge station economics'!F30*100000*'Electricity incl CAAS'!H12+'Charge station economics'!F37*100000/'Charge station economics'!F44*'Electricity incl CAAS'!H13</f>
        <v>1.5104761904761907</v>
      </c>
      <c r="I5" s="737">
        <f>'Charge station economics'!G24/'Charge station economics'!G30*100000*'Electricity incl CAAS'!I12+'Charge station economics'!G37*100000/'Charge station economics'!G44*'Electricity incl CAAS'!I13</f>
        <v>1.4005102040816326</v>
      </c>
      <c r="J5" s="737">
        <f>'Charge station economics'!H24/'Charge station economics'!H30*100000*'Electricity incl CAAS'!J12+'Charge station economics'!H37*100000/'Charge station economics'!H44*'Electricity incl CAAS'!J13</f>
        <v>1.3080320699708456</v>
      </c>
      <c r="K5" s="737">
        <f>'Charge station economics'!I24/'Charge station economics'!I30*100000*'Electricity incl CAAS'!K12+'Charge station economics'!I37*100000/'Charge station economics'!I44*'Electricity incl CAAS'!K13</f>
        <v>1.1239650145772595</v>
      </c>
      <c r="L5" s="737">
        <f>'Charge station economics'!J24/'Charge station economics'!J30*100000*'Electricity incl CAAS'!L12+'Charge station economics'!J37*100000/'Charge station economics'!J44*'Electricity incl CAAS'!L13</f>
        <v>0.98613702623906718</v>
      </c>
      <c r="M5" s="737">
        <f>'Charge station economics'!K24/'Charge station economics'!K30*100000*'Electricity incl CAAS'!M12+'Charge station economics'!K37*100000/'Charge station economics'!K44*'Electricity incl CAAS'!M13</f>
        <v>0.88921282798833823</v>
      </c>
      <c r="N5" s="737">
        <f>'Charge station economics'!L24/'Charge station economics'!L30*100000*'Electricity incl CAAS'!N12+'Charge station economics'!L37*100000/'Charge station economics'!L44*'Electricity incl CAAS'!N13</f>
        <v>0.88921282798833823</v>
      </c>
      <c r="O5" s="737">
        <f>'Charge station economics'!M24/'Charge station economics'!M30*100000*'Electricity incl CAAS'!O12+'Charge station economics'!M37*100000/'Charge station economics'!M44*'Electricity incl CAAS'!O13</f>
        <v>0.88921282798833823</v>
      </c>
      <c r="P5" s="737">
        <f>'Charge station economics'!N24/'Charge station economics'!N30*100000*'Electricity incl CAAS'!P12+'Charge station economics'!N37*100000/'Charge station economics'!N44*'Electricity incl CAAS'!P13</f>
        <v>0.87142857142857144</v>
      </c>
      <c r="Q5" s="737">
        <f>'Charge station economics'!O24/'Charge station economics'!O30*100000*'Electricity incl CAAS'!Q12+'Charge station economics'!O37*100000/'Charge station economics'!O44*'Electricity incl CAAS'!Q13</f>
        <v>0.87142857142857155</v>
      </c>
      <c r="R5" s="737">
        <f>'Charge station economics'!P24/'Charge station economics'!P30*100000*'Electricity incl CAAS'!R12+'Charge station economics'!P37*100000/'Charge station economics'!P44*'Electricity incl CAAS'!R13</f>
        <v>0.88921282798833834</v>
      </c>
      <c r="S5" s="737">
        <f>'Charge station economics'!Q24/'Charge station economics'!Q30*100000*'Electricity incl CAAS'!S12+'Charge station economics'!Q37*100000/'Charge station economics'!Q44*'Electricity incl CAAS'!S13</f>
        <v>0.88921282798833845</v>
      </c>
      <c r="T5" s="737">
        <f>'Charge station economics'!R24/'Charge station economics'!R30*100000*'Electricity incl CAAS'!T12+'Charge station economics'!R37*100000/'Charge station economics'!R44*'Electricity incl CAAS'!T13</f>
        <v>0.90344023323615175</v>
      </c>
      <c r="U5" s="737">
        <f>'Charge station economics'!S24/'Charge station economics'!S30*100000*'Electricity incl CAAS'!U12+'Charge station economics'!S37*100000/'Charge station economics'!S44*'Electricity incl CAAS'!U13</f>
        <v>0.90344023323615175</v>
      </c>
      <c r="V5" s="737">
        <f>'Charge station economics'!T24/'Charge station economics'!T30*100000*'Electricity incl CAAS'!V12+'Charge station economics'!T37*100000/'Charge station economics'!T44*'Electricity incl CAAS'!V13</f>
        <v>0.90344023323615175</v>
      </c>
      <c r="W5" s="737">
        <f>'Charge station economics'!U24/'Charge station economics'!U30*100000*'Electricity incl CAAS'!W12+'Charge station economics'!U37*100000/'Charge station economics'!U44*'Electricity incl CAAS'!W13</f>
        <v>0.90344023323615175</v>
      </c>
      <c r="X5" s="737">
        <f>'Charge station economics'!V24/'Charge station economics'!V30*100000*'Electricity incl CAAS'!X12+'Charge station economics'!V37*100000/'Charge station economics'!V44*'Electricity incl CAAS'!X13</f>
        <v>0.90344023323615186</v>
      </c>
      <c r="Y5" s="737">
        <f>'Charge station economics'!W24/'Charge station economics'!W30*100000*'Electricity incl CAAS'!Y12+'Charge station economics'!W37*100000/'Charge station economics'!W44*'Electricity incl CAAS'!Y13</f>
        <v>0.90344023323615175</v>
      </c>
      <c r="Z5" s="737">
        <f>'Charge station economics'!X24/'Charge station economics'!X30*100000*'Electricity incl CAAS'!Z12+'Charge station economics'!X37*100000/'Charge station economics'!X44*'Electricity incl CAAS'!Z13</f>
        <v>0.90344023323615175</v>
      </c>
      <c r="AA5" s="737">
        <f>'Charge station economics'!Y24/'Charge station economics'!Y30*100000*'Electricity incl CAAS'!AA12+'Charge station economics'!Y37*100000/'Charge station economics'!Y44*'Electricity incl CAAS'!AA13</f>
        <v>0.90344023323615175</v>
      </c>
      <c r="AB5" s="737">
        <f>'Charge station economics'!Z24/'Charge station economics'!Z30*100000*'Electricity incl CAAS'!AB12+'Charge station economics'!Z37*100000/'Charge station economics'!Z44*'Electricity incl CAAS'!AB13</f>
        <v>0.90344023323615175</v>
      </c>
      <c r="AC5" s="737">
        <f>'Charge station economics'!AA24/'Charge station economics'!AA30*100000*'Electricity incl CAAS'!AC12+'Charge station economics'!AA37*100000/'Charge station economics'!AA44*'Electricity incl CAAS'!AC13</f>
        <v>0.88921282798833834</v>
      </c>
      <c r="AD5" s="737">
        <f>'Charge station economics'!AB24/'Charge station economics'!AB30*100000*'Electricity incl CAAS'!AD12+'Charge station economics'!AB37*100000/'Charge station economics'!AB44*'Electricity incl CAAS'!AD13</f>
        <v>0.88921282798833834</v>
      </c>
      <c r="AE5" s="737">
        <f>'Charge station economics'!AC24/'Charge station economics'!AC30*100000*'Electricity incl CAAS'!AE12+'Charge station economics'!AC37*100000/'Charge station economics'!AC44*'Electricity incl CAAS'!AE13</f>
        <v>0.88921282798833834</v>
      </c>
      <c r="AF5" s="737">
        <f>'Charge station economics'!AD24/'Charge station economics'!AD30*100000*'Electricity incl CAAS'!AF12+'Charge station economics'!AD37*100000/'Charge station economics'!AD44*'Electricity incl CAAS'!AF13</f>
        <v>0.88921282798833823</v>
      </c>
      <c r="AG5" s="737">
        <f>'Charge station economics'!AE24/'Charge station economics'!AE30*100000*'Electricity incl CAAS'!AG12+'Charge station economics'!AE37*100000/'Charge station economics'!AE44*'Electricity incl CAAS'!AG13</f>
        <v>0.88921282798833823</v>
      </c>
    </row>
    <row r="6" spans="1:41" s="706" customFormat="1">
      <c r="A6" s="736" t="s">
        <v>1033</v>
      </c>
      <c r="B6" s="736"/>
      <c r="C6" s="736"/>
      <c r="D6" s="737">
        <f>'Electricity incl CAAS'!D29-D5-D4</f>
        <v>2.0334192230351249</v>
      </c>
      <c r="E6" s="737">
        <f>'Electricity incl CAAS'!E29-E5-E4</f>
        <v>2.1642995080283161</v>
      </c>
      <c r="F6" s="737">
        <f>'Electricity incl CAAS'!F29-F5-F4</f>
        <v>2.2359561058752355</v>
      </c>
      <c r="G6" s="737">
        <f>'Electricity incl CAAS'!G29-G5-G4</f>
        <v>2.2380733298372473</v>
      </c>
      <c r="H6" s="737">
        <f>'Electricity incl CAAS'!H29-H5-H4</f>
        <v>2.3266148029847624</v>
      </c>
      <c r="I6" s="737">
        <f>'Electricity incl CAAS'!I29-I5-I4</f>
        <v>0.99733670886975823</v>
      </c>
      <c r="J6" s="737">
        <f>'Electricity incl CAAS'!J29-J5-J4</f>
        <v>0.99064315116566348</v>
      </c>
      <c r="K6" s="737">
        <f>'Electricity incl CAAS'!K29-K5-K4</f>
        <v>0.89495065969189547</v>
      </c>
      <c r="L6" s="737">
        <f>'Electricity incl CAAS'!L29-L5-L4</f>
        <v>0.81859665511970192</v>
      </c>
      <c r="M6" s="737">
        <f>'Electricity incl CAAS'!M29-M5-M4</f>
        <v>0.77649244378037352</v>
      </c>
      <c r="N6" s="737">
        <f>'Electricity incl CAAS'!N29-N5-N4</f>
        <v>0.82556219492713367</v>
      </c>
      <c r="O6" s="737">
        <f>'Electricity incl CAAS'!O29-O5-O4</f>
        <v>0.87789832169047699</v>
      </c>
      <c r="P6" s="737">
        <f>'Electricity incl CAAS'!P29-P5-P4</f>
        <v>0.91897893167537426</v>
      </c>
      <c r="Q6" s="737">
        <f>'Electricity incl CAAS'!Q29-Q5-Q4</f>
        <v>0.97750496659124764</v>
      </c>
      <c r="R6" s="737">
        <f>'Electricity incl CAAS'!R29-R5-R4</f>
        <v>1.0615692047532148</v>
      </c>
      <c r="S6" s="737">
        <f>'Electricity incl CAAS'!S29-S5-S4</f>
        <v>1.1337623910043337</v>
      </c>
      <c r="T6" s="737">
        <f>'Electricity incl CAAS'!T29-T5-T4</f>
        <v>1.2312109028405942</v>
      </c>
      <c r="U6" s="737">
        <f>'Electricity incl CAAS'!U29-U5-U4</f>
        <v>1.3132587628875303</v>
      </c>
      <c r="V6" s="737">
        <f>'Electricity incl CAAS'!V29-V5-V4</f>
        <v>1.4007941069787311</v>
      </c>
      <c r="W6" s="737">
        <f>'Electricity incl CAAS'!W29-W5-W4</f>
        <v>1.4948746348432689</v>
      </c>
      <c r="X6" s="737">
        <f>'Electricity incl CAAS'!X29-X5-X4</f>
        <v>1.5952661076910282</v>
      </c>
      <c r="Y6" s="737">
        <f>'Electricity incl CAAS'!Y29-Y5-Y4</f>
        <v>1.7016853406095427</v>
      </c>
      <c r="Z6" s="737">
        <f>'Electricity incl CAAS'!Z29-Z5-Z4</f>
        <v>1.8152751104093481</v>
      </c>
      <c r="AA6" s="737">
        <f>'Electricity incl CAAS'!AA29-AA5-AA4</f>
        <v>1.9372954299702423</v>
      </c>
      <c r="AB6" s="737">
        <f>'Electricity incl CAAS'!AB29-AB5-AB4</f>
        <v>2.0667734379879539</v>
      </c>
      <c r="AC6" s="737">
        <f>'Electricity incl CAAS'!AC29-AC5-AC4</f>
        <v>2.1709013980250171</v>
      </c>
      <c r="AD6" s="737">
        <f>'Electricity incl CAAS'!AD29-AD5-AD4</f>
        <v>2.3121546633579024</v>
      </c>
      <c r="AE6" s="737">
        <f>'Electricity incl CAAS'!AE29-AE5-AE4</f>
        <v>2.4604122273848281</v>
      </c>
      <c r="AF6" s="737">
        <f>'Electricity incl CAAS'!AF29-AF5-AF4</f>
        <v>2.6196598066757639</v>
      </c>
      <c r="AG6" s="737">
        <f>'Electricity incl CAAS'!AG29-AG5-AG4</f>
        <v>2.7916120300356155</v>
      </c>
    </row>
    <row r="7" spans="1:41" s="706" customFormat="1">
      <c r="A7" s="740" t="s">
        <v>1050</v>
      </c>
      <c r="B7" s="736"/>
      <c r="C7" s="736"/>
      <c r="D7" s="737">
        <f t="shared" ref="D7:AG7" si="0">SUM(D5:D6)</f>
        <v>4.4298477944636971</v>
      </c>
      <c r="E7" s="737">
        <f t="shared" si="0"/>
        <v>4.3401044966904472</v>
      </c>
      <c r="F7" s="737">
        <f t="shared" si="0"/>
        <v>4.17924182016095</v>
      </c>
      <c r="G7" s="737">
        <f t="shared" si="0"/>
        <v>3.9109049624903087</v>
      </c>
      <c r="H7" s="737">
        <f t="shared" si="0"/>
        <v>3.8370909934609534</v>
      </c>
      <c r="I7" s="737">
        <f t="shared" si="0"/>
        <v>2.3978469129513909</v>
      </c>
      <c r="J7" s="737">
        <f t="shared" si="0"/>
        <v>2.2986752211365094</v>
      </c>
      <c r="K7" s="737">
        <f t="shared" si="0"/>
        <v>2.018915674269155</v>
      </c>
      <c r="L7" s="737">
        <f t="shared" si="0"/>
        <v>1.8047336813587691</v>
      </c>
      <c r="M7" s="737">
        <f t="shared" si="0"/>
        <v>1.6657052717687117</v>
      </c>
      <c r="N7" s="737">
        <f t="shared" si="0"/>
        <v>1.7147750229154719</v>
      </c>
      <c r="O7" s="737">
        <f t="shared" si="0"/>
        <v>1.7671111496788152</v>
      </c>
      <c r="P7" s="737">
        <f t="shared" si="0"/>
        <v>1.7904075031039457</v>
      </c>
      <c r="Q7" s="737">
        <f t="shared" si="0"/>
        <v>1.8489335380198191</v>
      </c>
      <c r="R7" s="737">
        <f t="shared" si="0"/>
        <v>1.9507820327415533</v>
      </c>
      <c r="S7" s="737">
        <f t="shared" si="0"/>
        <v>2.0229752189926722</v>
      </c>
      <c r="T7" s="737">
        <f t="shared" si="0"/>
        <v>2.1346511360767462</v>
      </c>
      <c r="U7" s="737">
        <f t="shared" si="0"/>
        <v>2.2166989961236823</v>
      </c>
      <c r="V7" s="737">
        <f t="shared" si="0"/>
        <v>2.304234340214883</v>
      </c>
      <c r="W7" s="737">
        <f t="shared" si="0"/>
        <v>2.3983148680794208</v>
      </c>
      <c r="X7" s="737">
        <f t="shared" si="0"/>
        <v>2.4987063409271801</v>
      </c>
      <c r="Y7" s="737">
        <f t="shared" si="0"/>
        <v>2.6051255738456947</v>
      </c>
      <c r="Z7" s="737">
        <f t="shared" si="0"/>
        <v>2.7187153436455</v>
      </c>
      <c r="AA7" s="737">
        <f t="shared" si="0"/>
        <v>2.8407356632063943</v>
      </c>
      <c r="AB7" s="737">
        <f t="shared" si="0"/>
        <v>2.9702136712241058</v>
      </c>
      <c r="AC7" s="737">
        <f t="shared" si="0"/>
        <v>3.0601142260133556</v>
      </c>
      <c r="AD7" s="737">
        <f t="shared" si="0"/>
        <v>3.2013674913462409</v>
      </c>
      <c r="AE7" s="737">
        <f t="shared" si="0"/>
        <v>3.3496250553731666</v>
      </c>
      <c r="AF7" s="737">
        <f t="shared" si="0"/>
        <v>3.5088726346641019</v>
      </c>
      <c r="AG7" s="737">
        <f t="shared" si="0"/>
        <v>3.6808248580239535</v>
      </c>
    </row>
    <row r="8" spans="1:41" s="706" customFormat="1"/>
    <row r="9" spans="1:41">
      <c r="A9" s="711" t="s">
        <v>1013</v>
      </c>
      <c r="B9" s="711"/>
      <c r="C9" s="712">
        <v>7.5</v>
      </c>
      <c r="D9" s="713">
        <f t="shared" ref="D9:H9" si="1">C9*(1+$AH9)</f>
        <v>7.65</v>
      </c>
      <c r="E9" s="713">
        <f t="shared" si="1"/>
        <v>7.8030000000000008</v>
      </c>
      <c r="F9" s="713">
        <f t="shared" si="1"/>
        <v>7.9590600000000009</v>
      </c>
      <c r="G9" s="713">
        <f t="shared" si="1"/>
        <v>8.1182412000000017</v>
      </c>
      <c r="H9" s="713">
        <f t="shared" si="1"/>
        <v>8.2806060240000026</v>
      </c>
      <c r="I9" s="713">
        <f t="shared" ref="I9:R9" si="2">H9*(1+$AI9)</f>
        <v>8.114993903520002</v>
      </c>
      <c r="J9" s="713">
        <f t="shared" si="2"/>
        <v>7.9526940254496017</v>
      </c>
      <c r="K9" s="713">
        <f t="shared" si="2"/>
        <v>7.7936401449406096</v>
      </c>
      <c r="L9" s="713">
        <f t="shared" si="2"/>
        <v>7.6377673420417977</v>
      </c>
      <c r="M9" s="713">
        <f t="shared" si="2"/>
        <v>7.4850119952009617</v>
      </c>
      <c r="N9" s="713">
        <f t="shared" si="2"/>
        <v>7.3353117552969422</v>
      </c>
      <c r="O9" s="713">
        <f t="shared" si="2"/>
        <v>7.1886055201910031</v>
      </c>
      <c r="P9" s="713">
        <f t="shared" si="2"/>
        <v>7.0448334097871825</v>
      </c>
      <c r="Q9" s="713">
        <f t="shared" si="2"/>
        <v>6.9039367415914388</v>
      </c>
      <c r="R9" s="713">
        <f t="shared" si="2"/>
        <v>6.7658580067596095</v>
      </c>
      <c r="S9" s="713">
        <f t="shared" ref="S9:AB9" si="3">R9*(1+$AJ9)</f>
        <v>6.6981994266920131</v>
      </c>
      <c r="T9" s="713">
        <f t="shared" si="3"/>
        <v>6.6312174324250925</v>
      </c>
      <c r="U9" s="713">
        <f t="shared" si="3"/>
        <v>6.5649052581008416</v>
      </c>
      <c r="V9" s="713">
        <f t="shared" si="3"/>
        <v>6.4992562055198331</v>
      </c>
      <c r="W9" s="713">
        <f t="shared" si="3"/>
        <v>6.434263643464635</v>
      </c>
      <c r="X9" s="713">
        <f t="shared" si="3"/>
        <v>6.3699210070299888</v>
      </c>
      <c r="Y9" s="713">
        <f t="shared" si="3"/>
        <v>6.3062217969596892</v>
      </c>
      <c r="Z9" s="713">
        <f t="shared" si="3"/>
        <v>6.2431595789900927</v>
      </c>
      <c r="AA9" s="713">
        <f t="shared" si="3"/>
        <v>6.1807279832001916</v>
      </c>
      <c r="AB9" s="713">
        <f t="shared" si="3"/>
        <v>6.1189207033681896</v>
      </c>
      <c r="AC9" s="713">
        <f t="shared" ref="AC9:AG9" si="4">AB9*(1+$AK9)</f>
        <v>6.2718937209523942</v>
      </c>
      <c r="AD9" s="713">
        <f t="shared" si="4"/>
        <v>6.4286910639762036</v>
      </c>
      <c r="AE9" s="713">
        <f t="shared" si="4"/>
        <v>6.5894083405756083</v>
      </c>
      <c r="AF9" s="713">
        <f t="shared" si="4"/>
        <v>6.7541435490899984</v>
      </c>
      <c r="AG9" s="713">
        <f t="shared" si="4"/>
        <v>6.9229971378172479</v>
      </c>
      <c r="AH9" s="714">
        <f>'Electricity incl CAAS'!AH4</f>
        <v>0.02</v>
      </c>
      <c r="AI9" s="714">
        <f>'Electricity incl CAAS'!AI4</f>
        <v>-0.02</v>
      </c>
      <c r="AJ9" s="714">
        <f>'Electricity incl CAAS'!AJ4</f>
        <v>-0.01</v>
      </c>
      <c r="AK9" s="714">
        <f>'Electricity incl CAAS'!AK4</f>
        <v>2.5000000000000001E-2</v>
      </c>
      <c r="AL9" s="715"/>
      <c r="AM9" s="716"/>
      <c r="AO9" s="716"/>
    </row>
    <row r="10" spans="1:41">
      <c r="A10" s="718"/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718"/>
      <c r="O10" s="718"/>
      <c r="P10" s="718"/>
      <c r="Q10" s="718"/>
      <c r="R10" s="718"/>
      <c r="S10" s="718"/>
      <c r="T10" s="718"/>
      <c r="U10" s="718"/>
      <c r="V10" s="718"/>
      <c r="W10" s="718"/>
      <c r="X10" s="718"/>
      <c r="Y10" s="718"/>
      <c r="Z10" s="718"/>
      <c r="AA10" s="718"/>
      <c r="AB10" s="718"/>
      <c r="AC10" s="718"/>
      <c r="AD10" s="718"/>
      <c r="AE10" s="718"/>
      <c r="AF10" s="718"/>
      <c r="AG10" s="718"/>
    </row>
    <row r="11" spans="1:41">
      <c r="A11" s="719" t="s">
        <v>1014</v>
      </c>
      <c r="B11" s="718"/>
      <c r="C11" s="718"/>
      <c r="D11" s="718"/>
      <c r="E11" s="718"/>
      <c r="F11" s="718"/>
      <c r="G11" s="718"/>
      <c r="H11" s="718"/>
      <c r="I11" s="718"/>
      <c r="J11" s="718"/>
      <c r="K11" s="718"/>
      <c r="L11" s="718"/>
      <c r="M11" s="718"/>
      <c r="N11" s="718"/>
      <c r="O11" s="718"/>
      <c r="P11" s="718"/>
      <c r="Q11" s="718"/>
      <c r="R11" s="718"/>
      <c r="S11" s="718"/>
      <c r="T11" s="718"/>
      <c r="U11" s="718"/>
      <c r="V11" s="718"/>
      <c r="W11" s="718"/>
      <c r="X11" s="718"/>
      <c r="Y11" s="718"/>
      <c r="Z11" s="718"/>
      <c r="AA11" s="718"/>
      <c r="AB11" s="718"/>
      <c r="AC11" s="718"/>
      <c r="AD11" s="718"/>
      <c r="AE11" s="718"/>
      <c r="AF11" s="718"/>
      <c r="AG11" s="718"/>
    </row>
    <row r="12" spans="1:41">
      <c r="A12" s="718" t="s">
        <v>1015</v>
      </c>
      <c r="B12" s="718"/>
      <c r="C12" s="718"/>
      <c r="D12" s="720">
        <f>'Charging trend'!B18+'Charging trend'!B19</f>
        <v>0.82000000000000006</v>
      </c>
      <c r="E12" s="720">
        <f>'Charging trend'!C18+'Charging trend'!C19</f>
        <v>0.71350000000000002</v>
      </c>
      <c r="F12" s="720">
        <f>'Charging trend'!D18+'Charging trend'!D19</f>
        <v>0.626</v>
      </c>
      <c r="G12" s="720">
        <f>'Charging trend'!E18+'Charging trend'!E19</f>
        <v>0.5625</v>
      </c>
      <c r="H12" s="720">
        <f>'Charging trend'!F18+'Charging trend'!F19</f>
        <v>0.47599999999999998</v>
      </c>
      <c r="I12" s="720">
        <f>'Charging trend'!G18+'Charging trend'!G19</f>
        <v>0.42500000000000004</v>
      </c>
      <c r="J12" s="720">
        <f>'Charging trend'!H18+'Charging trend'!H19</f>
        <v>0.37200000000000005</v>
      </c>
      <c r="K12" s="720">
        <f>'Charging trend'!I18+'Charging trend'!I19</f>
        <v>0.33999999999999997</v>
      </c>
      <c r="L12" s="720">
        <f>'Charging trend'!J18+'Charging trend'!J19</f>
        <v>0.34600000000000009</v>
      </c>
      <c r="M12" s="720">
        <f>'Charging trend'!K18+'Charging trend'!K19</f>
        <v>0.33200000000000002</v>
      </c>
      <c r="N12" s="720">
        <f>'Charging trend'!L18+'Charging trend'!L19</f>
        <v>0.32200000000000006</v>
      </c>
      <c r="O12" s="720">
        <f>'Charging trend'!M18+'Charging trend'!M19</f>
        <v>0.31200000000000006</v>
      </c>
      <c r="P12" s="720">
        <f>'Charging trend'!N18+'Charging trend'!N19</f>
        <v>0.28200000000000003</v>
      </c>
      <c r="Q12" s="720">
        <f>'Charging trend'!O18+'Charging trend'!O19</f>
        <v>0.27200000000000002</v>
      </c>
      <c r="R12" s="720">
        <f>'Charging trend'!P18+'Charging trend'!P19</f>
        <v>0.26600000000000007</v>
      </c>
      <c r="S12" s="720">
        <f>'Charging trend'!Q18+'Charging trend'!Q19</f>
        <v>0.24200000000000005</v>
      </c>
      <c r="T12" s="720">
        <f>'Charging trend'!R18+'Charging trend'!R19</f>
        <v>0.21799999999999997</v>
      </c>
      <c r="U12" s="720">
        <f>'Charging trend'!S18+'Charging trend'!S19</f>
        <v>0.19800000000000001</v>
      </c>
      <c r="V12" s="720">
        <f>'Charging trend'!T18+'Charging trend'!T19</f>
        <v>0.17800000000000002</v>
      </c>
      <c r="W12" s="720">
        <f>'Charging trend'!U18+'Charging trend'!U19</f>
        <v>0.156</v>
      </c>
      <c r="X12" s="720">
        <f>'Charging trend'!V18+'Charging trend'!V19</f>
        <v>0.13400000000000001</v>
      </c>
      <c r="Y12" s="720">
        <f>'Charging trend'!W18+'Charging trend'!W19</f>
        <v>0.114</v>
      </c>
      <c r="Z12" s="720">
        <f>'Charging trend'!X18+'Charging trend'!X19</f>
        <v>9.4E-2</v>
      </c>
      <c r="AA12" s="720">
        <f>'Charging trend'!Y18+'Charging trend'!Y19</f>
        <v>7.2000000000000008E-2</v>
      </c>
      <c r="AB12" s="720">
        <f>'Charging trend'!Z18+'Charging trend'!Z19</f>
        <v>5.1999999999999998E-2</v>
      </c>
      <c r="AC12" s="720">
        <f>'Charging trend'!AA18+'Charging trend'!AA19</f>
        <v>0.03</v>
      </c>
      <c r="AD12" s="720">
        <f>'Charging trend'!AB18+'Charging trend'!AB19</f>
        <v>2.0000000000000004E-2</v>
      </c>
      <c r="AE12" s="720">
        <f>'Charging trend'!AC18+'Charging trend'!AC19</f>
        <v>1.6E-2</v>
      </c>
      <c r="AF12" s="720">
        <f>'Charging trend'!AD18+'Charging trend'!AD19</f>
        <v>1.0000000000000002E-2</v>
      </c>
      <c r="AG12" s="720">
        <f>'Charging trend'!AE18+'Charging trend'!AE19</f>
        <v>0</v>
      </c>
      <c r="AH12" s="721"/>
      <c r="AI12" s="721"/>
      <c r="AJ12" s="721"/>
      <c r="AK12" s="721"/>
      <c r="AL12" s="721"/>
    </row>
    <row r="13" spans="1:41">
      <c r="A13" s="718" t="s">
        <v>1016</v>
      </c>
      <c r="B13" s="718"/>
      <c r="C13" s="718"/>
      <c r="D13" s="720">
        <f>'Charging trend'!B20</f>
        <v>0.18000000000000002</v>
      </c>
      <c r="E13" s="720">
        <f>'Charging trend'!C20</f>
        <v>0.28649999999999998</v>
      </c>
      <c r="F13" s="720">
        <f>'Charging trend'!D20</f>
        <v>0.374</v>
      </c>
      <c r="G13" s="720">
        <f>'Charging trend'!E20</f>
        <v>0.4375</v>
      </c>
      <c r="H13" s="720">
        <f>'Charging trend'!F20</f>
        <v>0.52400000000000002</v>
      </c>
      <c r="I13" s="720">
        <f>'Charging trend'!G20</f>
        <v>0.57499999999999996</v>
      </c>
      <c r="J13" s="720">
        <f>'Charging trend'!H20</f>
        <v>0.628</v>
      </c>
      <c r="K13" s="720">
        <f>'Charging trend'!I20</f>
        <v>0.65999999999999992</v>
      </c>
      <c r="L13" s="720">
        <f>'Charging trend'!J20</f>
        <v>0.65399999999999991</v>
      </c>
      <c r="M13" s="720">
        <f>'Charging trend'!K20</f>
        <v>0.66799999999999993</v>
      </c>
      <c r="N13" s="720">
        <f>'Charging trend'!L20</f>
        <v>0.67799999999999994</v>
      </c>
      <c r="O13" s="720">
        <f>'Charging trend'!M20</f>
        <v>0.68799999999999994</v>
      </c>
      <c r="P13" s="720">
        <f>'Charging trend'!N20</f>
        <v>0.69799999999999995</v>
      </c>
      <c r="Q13" s="720">
        <f>'Charging trend'!O20</f>
        <v>0.70800000000000007</v>
      </c>
      <c r="R13" s="720">
        <f>'Charging trend'!P20</f>
        <v>0.7340000000000001</v>
      </c>
      <c r="S13" s="720">
        <f>'Charging trend'!Q20</f>
        <v>0.75800000000000012</v>
      </c>
      <c r="T13" s="720">
        <f>'Charging trend'!R20</f>
        <v>0.79800000000000004</v>
      </c>
      <c r="U13" s="720">
        <f>'Charging trend'!S20</f>
        <v>0.81800000000000006</v>
      </c>
      <c r="V13" s="720">
        <f>'Charging trend'!T20</f>
        <v>0.83800000000000008</v>
      </c>
      <c r="W13" s="720">
        <f>'Charging trend'!U20</f>
        <v>0.8600000000000001</v>
      </c>
      <c r="X13" s="720">
        <f>'Charging trend'!V20</f>
        <v>0.88200000000000012</v>
      </c>
      <c r="Y13" s="720">
        <f>'Charging trend'!W20</f>
        <v>0.90200000000000002</v>
      </c>
      <c r="Z13" s="720">
        <f>'Charging trend'!X20</f>
        <v>0.92200000000000004</v>
      </c>
      <c r="AA13" s="720">
        <f>'Charging trend'!Y20</f>
        <v>0.94400000000000006</v>
      </c>
      <c r="AB13" s="720">
        <f>'Charging trend'!Z20</f>
        <v>0.96400000000000008</v>
      </c>
      <c r="AC13" s="720">
        <f>'Charging trend'!AA20</f>
        <v>0.97000000000000008</v>
      </c>
      <c r="AD13" s="720">
        <f>'Charging trend'!AB20</f>
        <v>0.98000000000000009</v>
      </c>
      <c r="AE13" s="720">
        <f>'Charging trend'!AC20</f>
        <v>0.9840000000000001</v>
      </c>
      <c r="AF13" s="720">
        <f>'Charging trend'!AD20</f>
        <v>0.99</v>
      </c>
      <c r="AG13" s="720">
        <f>'Charging trend'!AE20</f>
        <v>1</v>
      </c>
      <c r="AH13" s="721"/>
      <c r="AI13" s="721"/>
      <c r="AJ13" s="721"/>
      <c r="AK13" s="721"/>
      <c r="AL13" s="721"/>
    </row>
    <row r="14" spans="1:41"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1"/>
      <c r="P14" s="721"/>
      <c r="Q14" s="721"/>
      <c r="R14" s="721"/>
      <c r="S14" s="721"/>
      <c r="T14" s="721"/>
      <c r="U14" s="721"/>
      <c r="V14" s="721"/>
      <c r="W14" s="721"/>
      <c r="X14" s="721"/>
      <c r="Y14" s="721"/>
      <c r="Z14" s="721"/>
      <c r="AA14" s="721"/>
      <c r="AB14" s="721"/>
      <c r="AC14" s="721"/>
      <c r="AD14" s="721"/>
      <c r="AE14" s="721"/>
      <c r="AF14" s="721"/>
      <c r="AG14" s="721"/>
      <c r="AH14" s="721"/>
      <c r="AI14" s="721"/>
      <c r="AJ14" s="721"/>
      <c r="AK14" s="721"/>
      <c r="AL14" s="721"/>
    </row>
    <row r="15" spans="1:41">
      <c r="A15" s="722" t="s">
        <v>1017</v>
      </c>
    </row>
    <row r="16" spans="1:41">
      <c r="A16" s="717" t="s">
        <v>1018</v>
      </c>
      <c r="D16" s="723">
        <f t="shared" ref="D16:AG16" si="5">D9</f>
        <v>7.65</v>
      </c>
      <c r="E16" s="723">
        <f t="shared" si="5"/>
        <v>7.8030000000000008</v>
      </c>
      <c r="F16" s="723">
        <f t="shared" si="5"/>
        <v>7.9590600000000009</v>
      </c>
      <c r="G16" s="723">
        <f t="shared" si="5"/>
        <v>8.1182412000000017</v>
      </c>
      <c r="H16" s="723">
        <f t="shared" si="5"/>
        <v>8.2806060240000026</v>
      </c>
      <c r="I16" s="723">
        <f t="shared" si="5"/>
        <v>8.114993903520002</v>
      </c>
      <c r="J16" s="723">
        <f t="shared" si="5"/>
        <v>7.9526940254496017</v>
      </c>
      <c r="K16" s="723">
        <f t="shared" si="5"/>
        <v>7.7936401449406096</v>
      </c>
      <c r="L16" s="723">
        <f t="shared" si="5"/>
        <v>7.6377673420417977</v>
      </c>
      <c r="M16" s="723">
        <f t="shared" si="5"/>
        <v>7.4850119952009617</v>
      </c>
      <c r="N16" s="723">
        <f t="shared" si="5"/>
        <v>7.3353117552969422</v>
      </c>
      <c r="O16" s="723">
        <f t="shared" si="5"/>
        <v>7.1886055201910031</v>
      </c>
      <c r="P16" s="723">
        <f t="shared" si="5"/>
        <v>7.0448334097871825</v>
      </c>
      <c r="Q16" s="723">
        <f t="shared" si="5"/>
        <v>6.9039367415914388</v>
      </c>
      <c r="R16" s="723">
        <f t="shared" si="5"/>
        <v>6.7658580067596095</v>
      </c>
      <c r="S16" s="723">
        <f t="shared" si="5"/>
        <v>6.6981994266920131</v>
      </c>
      <c r="T16" s="723">
        <f t="shared" si="5"/>
        <v>6.6312174324250925</v>
      </c>
      <c r="U16" s="723">
        <f t="shared" si="5"/>
        <v>6.5649052581008416</v>
      </c>
      <c r="V16" s="723">
        <f t="shared" si="5"/>
        <v>6.4992562055198331</v>
      </c>
      <c r="W16" s="723">
        <f t="shared" si="5"/>
        <v>6.434263643464635</v>
      </c>
      <c r="X16" s="723">
        <f t="shared" si="5"/>
        <v>6.3699210070299888</v>
      </c>
      <c r="Y16" s="723">
        <f t="shared" si="5"/>
        <v>6.3062217969596892</v>
      </c>
      <c r="Z16" s="723">
        <f t="shared" si="5"/>
        <v>6.2431595789900927</v>
      </c>
      <c r="AA16" s="723">
        <f t="shared" si="5"/>
        <v>6.1807279832001916</v>
      </c>
      <c r="AB16" s="723">
        <f t="shared" si="5"/>
        <v>6.1189207033681896</v>
      </c>
      <c r="AC16" s="723">
        <f t="shared" si="5"/>
        <v>6.2718937209523942</v>
      </c>
      <c r="AD16" s="723">
        <f t="shared" si="5"/>
        <v>6.4286910639762036</v>
      </c>
      <c r="AE16" s="723">
        <f t="shared" si="5"/>
        <v>6.5894083405756083</v>
      </c>
      <c r="AF16" s="723">
        <f t="shared" si="5"/>
        <v>6.7541435490899984</v>
      </c>
      <c r="AG16" s="723">
        <f t="shared" si="5"/>
        <v>6.9229971378172479</v>
      </c>
      <c r="AH16" s="723"/>
      <c r="AI16" s="724"/>
      <c r="AJ16" s="724"/>
      <c r="AK16" s="724"/>
      <c r="AL16" s="724"/>
    </row>
    <row r="17" spans="1:38">
      <c r="A17" s="717" t="s">
        <v>1019</v>
      </c>
      <c r="D17" s="723">
        <f>'Charge station economics'!B34</f>
        <v>2.7841753839900738</v>
      </c>
      <c r="E17" s="723">
        <f>'Charge station economics'!C34</f>
        <v>2.5832636303997494</v>
      </c>
      <c r="F17" s="723">
        <f>'Charge station economics'!D34</f>
        <v>2.4247800608608223</v>
      </c>
      <c r="G17" s="723">
        <f>'Charge station economics'!E34</f>
        <v>2.160449602385766</v>
      </c>
      <c r="H17" s="723">
        <f>'Charge station economics'!F34</f>
        <v>1.9734787424631064</v>
      </c>
      <c r="I17" s="723">
        <f>'Charge station economics'!G34</f>
        <v>1.3483815493484574</v>
      </c>
      <c r="J17" s="723">
        <f>'Charge station economics'!H34</f>
        <v>1.3805233598436659</v>
      </c>
      <c r="K17" s="723">
        <f>'Charge station economics'!I34</f>
        <v>1.4149150970735387</v>
      </c>
      <c r="L17" s="723">
        <f>'Charge station economics'!J34</f>
        <v>1.4517142559095029</v>
      </c>
      <c r="M17" s="723">
        <f>'Charge station economics'!K34</f>
        <v>1.4910893558639846</v>
      </c>
      <c r="N17" s="723">
        <f>'Charge station economics'!L34</f>
        <v>1.5332207128152795</v>
      </c>
      <c r="O17" s="723">
        <f>'Charge station economics'!M34</f>
        <v>1.5783012647531658</v>
      </c>
      <c r="P17" s="723">
        <f>'Charge station economics'!N34</f>
        <v>1.6265374553267036</v>
      </c>
      <c r="Q17" s="723">
        <f>'Charge station economics'!O34</f>
        <v>1.6781501792403895</v>
      </c>
      <c r="R17" s="723">
        <f>'Charge station economics'!P34</f>
        <v>1.7333757938280328</v>
      </c>
      <c r="S17" s="723">
        <f>'Charge station economics'!Q34</f>
        <v>1.7924672014368113</v>
      </c>
      <c r="T17" s="723">
        <f>'Charge station economics'!R34</f>
        <v>1.8556950075782048</v>
      </c>
      <c r="U17" s="723">
        <f>'Charge station economics'!S34</f>
        <v>1.9233487601494956</v>
      </c>
      <c r="V17" s="723">
        <f>'Charge station economics'!T34</f>
        <v>1.9957382754007766</v>
      </c>
      <c r="W17" s="723">
        <f>'Charge station economics'!U34</f>
        <v>2.0731950567196473</v>
      </c>
      <c r="X17" s="723">
        <f>'Charge station economics'!V34</f>
        <v>2.1560738127308388</v>
      </c>
      <c r="Y17" s="723">
        <f>'Charge station economics'!W34</f>
        <v>2.2447540816628142</v>
      </c>
      <c r="Z17" s="723">
        <f>'Charge station economics'!X34</f>
        <v>2.3396419694200281</v>
      </c>
      <c r="AA17" s="723">
        <f>'Charge station economics'!Y34</f>
        <v>2.4411720093202463</v>
      </c>
      <c r="AB17" s="723">
        <f>'Charge station economics'!Z34</f>
        <v>2.5498091520134798</v>
      </c>
      <c r="AC17" s="723">
        <f>'Charge station economics'!AA34</f>
        <v>2.6660508946952404</v>
      </c>
      <c r="AD17" s="723">
        <f>'Charge station economics'!AB34</f>
        <v>2.7904295593647235</v>
      </c>
      <c r="AE17" s="723">
        <f>'Charge station economics'!AC34</f>
        <v>2.9235147305610703</v>
      </c>
      <c r="AF17" s="723">
        <f>'Charge station economics'!AD34</f>
        <v>3.0659158637411617</v>
      </c>
      <c r="AG17" s="723">
        <f>'Charge station economics'!AE34</f>
        <v>3.2182850762438595</v>
      </c>
      <c r="AH17" s="723"/>
      <c r="AI17" s="723"/>
      <c r="AJ17" s="723"/>
      <c r="AK17" s="723"/>
      <c r="AL17" s="723"/>
    </row>
    <row r="18" spans="1:38">
      <c r="A18" s="722" t="s">
        <v>1020</v>
      </c>
      <c r="B18" s="722"/>
      <c r="C18" s="722"/>
      <c r="D18" s="725">
        <f>D16+D17</f>
        <v>10.434175383990073</v>
      </c>
      <c r="E18" s="725">
        <f t="shared" ref="E18:AG18" si="6">E16+E17</f>
        <v>10.38626363039975</v>
      </c>
      <c r="F18" s="725">
        <f t="shared" si="6"/>
        <v>10.383840060860823</v>
      </c>
      <c r="G18" s="725">
        <f t="shared" si="6"/>
        <v>10.278690802385768</v>
      </c>
      <c r="H18" s="725">
        <f t="shared" si="6"/>
        <v>10.254084766463109</v>
      </c>
      <c r="I18" s="725">
        <f t="shared" si="6"/>
        <v>9.4633754528684602</v>
      </c>
      <c r="J18" s="725">
        <f t="shared" si="6"/>
        <v>9.3332173852932669</v>
      </c>
      <c r="K18" s="725">
        <f t="shared" si="6"/>
        <v>9.2085552420141479</v>
      </c>
      <c r="L18" s="725">
        <f t="shared" si="6"/>
        <v>9.0894815979513002</v>
      </c>
      <c r="M18" s="725">
        <f t="shared" si="6"/>
        <v>8.9761013510649459</v>
      </c>
      <c r="N18" s="725">
        <f t="shared" si="6"/>
        <v>8.8685324681122211</v>
      </c>
      <c r="O18" s="725">
        <f t="shared" si="6"/>
        <v>8.7669067849441689</v>
      </c>
      <c r="P18" s="725">
        <f t="shared" si="6"/>
        <v>8.6713708651138859</v>
      </c>
      <c r="Q18" s="725">
        <f t="shared" si="6"/>
        <v>8.5820869208318289</v>
      </c>
      <c r="R18" s="725">
        <f t="shared" si="6"/>
        <v>8.4992338005876427</v>
      </c>
      <c r="S18" s="725">
        <f t="shared" si="6"/>
        <v>8.4906666281288246</v>
      </c>
      <c r="T18" s="725">
        <f t="shared" si="6"/>
        <v>8.486912440003298</v>
      </c>
      <c r="U18" s="725">
        <f t="shared" si="6"/>
        <v>8.4882540182503377</v>
      </c>
      <c r="V18" s="725">
        <f t="shared" si="6"/>
        <v>8.4949944809206102</v>
      </c>
      <c r="W18" s="725">
        <f t="shared" si="6"/>
        <v>8.5074587001842819</v>
      </c>
      <c r="X18" s="725">
        <f t="shared" si="6"/>
        <v>8.5259948197608271</v>
      </c>
      <c r="Y18" s="725">
        <f t="shared" si="6"/>
        <v>8.5509758786225039</v>
      </c>
      <c r="Z18" s="725">
        <f t="shared" si="6"/>
        <v>8.5828015484101208</v>
      </c>
      <c r="AA18" s="725">
        <f t="shared" si="6"/>
        <v>8.6218999925204383</v>
      </c>
      <c r="AB18" s="725">
        <f t="shared" si="6"/>
        <v>8.6687298553816703</v>
      </c>
      <c r="AC18" s="725">
        <f t="shared" si="6"/>
        <v>8.9379446156476341</v>
      </c>
      <c r="AD18" s="725">
        <f t="shared" si="6"/>
        <v>9.2191206233409275</v>
      </c>
      <c r="AE18" s="725">
        <f t="shared" si="6"/>
        <v>9.5129230711366795</v>
      </c>
      <c r="AF18" s="725">
        <f t="shared" si="6"/>
        <v>9.82005941283116</v>
      </c>
      <c r="AG18" s="725">
        <f t="shared" si="6"/>
        <v>10.141282214061107</v>
      </c>
      <c r="AH18" s="723"/>
      <c r="AI18" s="723"/>
      <c r="AJ18" s="723"/>
      <c r="AK18" s="723"/>
      <c r="AL18" s="723"/>
    </row>
    <row r="19" spans="1:38">
      <c r="A19" s="722"/>
      <c r="B19" s="722"/>
      <c r="C19" s="722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  <c r="P19" s="725"/>
      <c r="Q19" s="725"/>
      <c r="R19" s="725"/>
      <c r="S19" s="725"/>
      <c r="T19" s="725"/>
      <c r="U19" s="725"/>
      <c r="V19" s="725"/>
      <c r="W19" s="725"/>
      <c r="X19" s="725"/>
      <c r="Y19" s="725"/>
      <c r="Z19" s="725"/>
      <c r="AA19" s="725"/>
      <c r="AB19" s="725"/>
      <c r="AC19" s="725"/>
      <c r="AD19" s="725"/>
      <c r="AE19" s="725"/>
      <c r="AF19" s="725"/>
      <c r="AG19" s="725"/>
      <c r="AH19" s="723"/>
      <c r="AI19" s="723"/>
      <c r="AJ19" s="723"/>
      <c r="AK19" s="723"/>
      <c r="AL19" s="723"/>
    </row>
    <row r="20" spans="1:38">
      <c r="A20" s="722" t="s">
        <v>1021</v>
      </c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723"/>
      <c r="AB20" s="723"/>
      <c r="AC20" s="723"/>
      <c r="AD20" s="723"/>
      <c r="AE20" s="723"/>
      <c r="AF20" s="723"/>
      <c r="AG20" s="723"/>
      <c r="AH20" s="723"/>
      <c r="AI20" s="723"/>
      <c r="AJ20" s="723"/>
      <c r="AK20" s="723"/>
      <c r="AL20" s="723"/>
    </row>
    <row r="21" spans="1:38">
      <c r="A21" s="717" t="s">
        <v>1018</v>
      </c>
      <c r="D21" s="723">
        <f t="shared" ref="D21:AG21" si="7">D9</f>
        <v>7.65</v>
      </c>
      <c r="E21" s="723">
        <f t="shared" si="7"/>
        <v>7.8030000000000008</v>
      </c>
      <c r="F21" s="723">
        <f t="shared" si="7"/>
        <v>7.9590600000000009</v>
      </c>
      <c r="G21" s="723">
        <f t="shared" si="7"/>
        <v>8.1182412000000017</v>
      </c>
      <c r="H21" s="723">
        <f t="shared" si="7"/>
        <v>8.2806060240000026</v>
      </c>
      <c r="I21" s="723">
        <f t="shared" si="7"/>
        <v>8.114993903520002</v>
      </c>
      <c r="J21" s="723">
        <f t="shared" si="7"/>
        <v>7.9526940254496017</v>
      </c>
      <c r="K21" s="723">
        <f t="shared" si="7"/>
        <v>7.7936401449406096</v>
      </c>
      <c r="L21" s="723">
        <f t="shared" si="7"/>
        <v>7.6377673420417977</v>
      </c>
      <c r="M21" s="723">
        <f t="shared" si="7"/>
        <v>7.4850119952009617</v>
      </c>
      <c r="N21" s="723">
        <f t="shared" si="7"/>
        <v>7.3353117552969422</v>
      </c>
      <c r="O21" s="723">
        <f t="shared" si="7"/>
        <v>7.1886055201910031</v>
      </c>
      <c r="P21" s="723">
        <f t="shared" si="7"/>
        <v>7.0448334097871825</v>
      </c>
      <c r="Q21" s="723">
        <f t="shared" si="7"/>
        <v>6.9039367415914388</v>
      </c>
      <c r="R21" s="723">
        <f t="shared" si="7"/>
        <v>6.7658580067596095</v>
      </c>
      <c r="S21" s="723">
        <f t="shared" si="7"/>
        <v>6.6981994266920131</v>
      </c>
      <c r="T21" s="723">
        <f t="shared" si="7"/>
        <v>6.6312174324250925</v>
      </c>
      <c r="U21" s="723">
        <f t="shared" si="7"/>
        <v>6.5649052581008416</v>
      </c>
      <c r="V21" s="723">
        <f t="shared" si="7"/>
        <v>6.4992562055198331</v>
      </c>
      <c r="W21" s="723">
        <f t="shared" si="7"/>
        <v>6.434263643464635</v>
      </c>
      <c r="X21" s="723">
        <f t="shared" si="7"/>
        <v>6.3699210070299888</v>
      </c>
      <c r="Y21" s="723">
        <f t="shared" si="7"/>
        <v>6.3062217969596892</v>
      </c>
      <c r="Z21" s="723">
        <f t="shared" si="7"/>
        <v>6.2431595789900927</v>
      </c>
      <c r="AA21" s="723">
        <f t="shared" si="7"/>
        <v>6.1807279832001916</v>
      </c>
      <c r="AB21" s="723">
        <f t="shared" si="7"/>
        <v>6.1189207033681896</v>
      </c>
      <c r="AC21" s="723">
        <f t="shared" si="7"/>
        <v>6.2718937209523942</v>
      </c>
      <c r="AD21" s="723">
        <f t="shared" si="7"/>
        <v>6.4286910639762036</v>
      </c>
      <c r="AE21" s="723">
        <f t="shared" si="7"/>
        <v>6.5894083405756083</v>
      </c>
      <c r="AF21" s="723">
        <f t="shared" si="7"/>
        <v>6.7541435490899984</v>
      </c>
      <c r="AG21" s="723">
        <f t="shared" si="7"/>
        <v>6.9229971378172479</v>
      </c>
      <c r="AH21" s="723"/>
      <c r="AI21" s="724"/>
      <c r="AJ21" s="724"/>
      <c r="AK21" s="724"/>
      <c r="AL21" s="724"/>
    </row>
    <row r="22" spans="1:38" ht="28.8">
      <c r="A22" s="726" t="s">
        <v>1022</v>
      </c>
      <c r="D22" s="727">
        <v>0</v>
      </c>
      <c r="E22" s="727">
        <v>0</v>
      </c>
      <c r="F22" s="727">
        <v>0</v>
      </c>
      <c r="G22" s="727">
        <v>0</v>
      </c>
      <c r="H22" s="727">
        <v>0</v>
      </c>
      <c r="I22" s="727">
        <v>0</v>
      </c>
      <c r="J22" s="727">
        <v>0</v>
      </c>
      <c r="K22" s="727">
        <v>0</v>
      </c>
      <c r="L22" s="727">
        <v>0</v>
      </c>
      <c r="M22" s="727">
        <v>0</v>
      </c>
      <c r="N22" s="727">
        <v>0</v>
      </c>
      <c r="O22" s="727">
        <v>0</v>
      </c>
      <c r="P22" s="727">
        <v>0</v>
      </c>
      <c r="Q22" s="727">
        <v>0</v>
      </c>
      <c r="R22" s="727">
        <v>0</v>
      </c>
      <c r="S22" s="727">
        <v>0</v>
      </c>
      <c r="T22" s="727">
        <v>0</v>
      </c>
      <c r="U22" s="727">
        <v>0</v>
      </c>
      <c r="V22" s="727">
        <v>0</v>
      </c>
      <c r="W22" s="727">
        <v>0</v>
      </c>
      <c r="X22" s="727">
        <v>0</v>
      </c>
      <c r="Y22" s="727">
        <v>0</v>
      </c>
      <c r="Z22" s="727">
        <v>0</v>
      </c>
      <c r="AA22" s="727">
        <v>0</v>
      </c>
      <c r="AB22" s="727">
        <v>0</v>
      </c>
      <c r="AC22" s="727">
        <v>0</v>
      </c>
      <c r="AD22" s="727">
        <v>0</v>
      </c>
      <c r="AE22" s="727">
        <v>0</v>
      </c>
      <c r="AF22" s="727">
        <v>0</v>
      </c>
      <c r="AG22" s="727">
        <v>0</v>
      </c>
      <c r="AH22" s="723"/>
      <c r="AI22" s="724"/>
      <c r="AJ22" s="724"/>
      <c r="AK22" s="724"/>
      <c r="AL22" s="724"/>
    </row>
    <row r="23" spans="1:38" ht="28.8">
      <c r="A23" s="726" t="s">
        <v>1023</v>
      </c>
      <c r="D23" s="723">
        <f>D21*D22</f>
        <v>0</v>
      </c>
      <c r="E23" s="723">
        <f t="shared" ref="E23:AG23" si="8">E21*E22</f>
        <v>0</v>
      </c>
      <c r="F23" s="723">
        <f t="shared" si="8"/>
        <v>0</v>
      </c>
      <c r="G23" s="723">
        <f t="shared" si="8"/>
        <v>0</v>
      </c>
      <c r="H23" s="723">
        <f t="shared" si="8"/>
        <v>0</v>
      </c>
      <c r="I23" s="723">
        <f t="shared" si="8"/>
        <v>0</v>
      </c>
      <c r="J23" s="723">
        <f t="shared" si="8"/>
        <v>0</v>
      </c>
      <c r="K23" s="723">
        <f t="shared" si="8"/>
        <v>0</v>
      </c>
      <c r="L23" s="723">
        <f t="shared" si="8"/>
        <v>0</v>
      </c>
      <c r="M23" s="723">
        <f t="shared" si="8"/>
        <v>0</v>
      </c>
      <c r="N23" s="723">
        <f t="shared" si="8"/>
        <v>0</v>
      </c>
      <c r="O23" s="723">
        <f t="shared" si="8"/>
        <v>0</v>
      </c>
      <c r="P23" s="723">
        <f t="shared" si="8"/>
        <v>0</v>
      </c>
      <c r="Q23" s="723">
        <f t="shared" si="8"/>
        <v>0</v>
      </c>
      <c r="R23" s="723">
        <f t="shared" si="8"/>
        <v>0</v>
      </c>
      <c r="S23" s="723">
        <f t="shared" si="8"/>
        <v>0</v>
      </c>
      <c r="T23" s="723">
        <f t="shared" si="8"/>
        <v>0</v>
      </c>
      <c r="U23" s="723">
        <f t="shared" si="8"/>
        <v>0</v>
      </c>
      <c r="V23" s="723">
        <f t="shared" si="8"/>
        <v>0</v>
      </c>
      <c r="W23" s="723">
        <f t="shared" si="8"/>
        <v>0</v>
      </c>
      <c r="X23" s="723">
        <f t="shared" si="8"/>
        <v>0</v>
      </c>
      <c r="Y23" s="723">
        <f t="shared" si="8"/>
        <v>0</v>
      </c>
      <c r="Z23" s="723">
        <f t="shared" si="8"/>
        <v>0</v>
      </c>
      <c r="AA23" s="723">
        <f t="shared" si="8"/>
        <v>0</v>
      </c>
      <c r="AB23" s="723">
        <f t="shared" si="8"/>
        <v>0</v>
      </c>
      <c r="AC23" s="723">
        <f t="shared" si="8"/>
        <v>0</v>
      </c>
      <c r="AD23" s="723">
        <f t="shared" si="8"/>
        <v>0</v>
      </c>
      <c r="AE23" s="723">
        <f t="shared" si="8"/>
        <v>0</v>
      </c>
      <c r="AF23" s="723">
        <f t="shared" si="8"/>
        <v>0</v>
      </c>
      <c r="AG23" s="723">
        <f t="shared" si="8"/>
        <v>0</v>
      </c>
      <c r="AH23" s="723"/>
      <c r="AI23" s="724"/>
      <c r="AJ23" s="724"/>
      <c r="AK23" s="724"/>
      <c r="AL23" s="724"/>
    </row>
    <row r="24" spans="1:38">
      <c r="A24" s="717" t="s">
        <v>1024</v>
      </c>
      <c r="D24" s="723">
        <f>'Charge station economics'!B50</f>
        <v>11.926799886621316</v>
      </c>
      <c r="E24" s="723">
        <f>'Charge station economics'!C50</f>
        <v>8.7153434429327294</v>
      </c>
      <c r="F24" s="723">
        <f>'Charge station economics'!D50</f>
        <v>7.115854283588436</v>
      </c>
      <c r="G24" s="723">
        <f>'Charge station economics'!E50</f>
        <v>6.1614904254818601</v>
      </c>
      <c r="H24" s="723">
        <f>'Charge station economics'!F50</f>
        <v>5.5299906718483101</v>
      </c>
      <c r="I24" s="723">
        <f>'Charge station economics'!G50</f>
        <v>3.1735387034405163</v>
      </c>
      <c r="J24" s="723">
        <f>'Charge station economics'!H50</f>
        <v>2.8425486166794061</v>
      </c>
      <c r="K24" s="723">
        <f>'Charge station economics'!I50</f>
        <v>2.3300674867638627</v>
      </c>
      <c r="L24" s="723">
        <f>'Charge station economics'!J50</f>
        <v>1.9914993101132732</v>
      </c>
      <c r="M24" s="723">
        <f>'Charge station economics'!K50</f>
        <v>1.7524904275776489</v>
      </c>
      <c r="N24" s="723">
        <f>'Charge station economics'!L50</f>
        <v>1.8009999312521405</v>
      </c>
      <c r="O24" s="723">
        <f>'Charge station economics'!M50</f>
        <v>1.8527342370288213</v>
      </c>
      <c r="P24" s="723">
        <f>'Charge station economics'!N50</f>
        <v>1.9079139551601936</v>
      </c>
      <c r="Q24" s="723">
        <f>'Charge station economics'!O50</f>
        <v>1.9667749848395957</v>
      </c>
      <c r="R24" s="723">
        <f>'Charge station economics'!P50</f>
        <v>2.0295695798137547</v>
      </c>
      <c r="S24" s="723">
        <f>'Charge station economics'!Q50</f>
        <v>2.0965674884498187</v>
      </c>
      <c r="T24" s="723">
        <f>'Charge station economics'!R50</f>
        <v>2.1680571734645344</v>
      </c>
      <c r="U24" s="723">
        <f>'Charge station economics'!S50</f>
        <v>2.2443471168876297</v>
      </c>
      <c r="V24" s="723">
        <f>'Charge station economics'!T50</f>
        <v>2.3257672162214122</v>
      </c>
      <c r="W24" s="723">
        <f>'Charge station economics'!U50</f>
        <v>2.4126702781757623</v>
      </c>
      <c r="X24" s="723">
        <f>'Charge station economics'!V50</f>
        <v>2.5054336168041345</v>
      </c>
      <c r="Y24" s="723">
        <f>'Charge station economics'!W50</f>
        <v>2.604460763343829</v>
      </c>
      <c r="Z24" s="723">
        <f>'Charge station economics'!X50</f>
        <v>2.7101832955748568</v>
      </c>
      <c r="AA24" s="723">
        <f>'Charge station economics'!Y50</f>
        <v>2.8230627950586187</v>
      </c>
      <c r="AB24" s="723">
        <f>'Charge station economics'!Z50</f>
        <v>2.9435929412027018</v>
      </c>
      <c r="AC24" s="723">
        <f>'Charge station economics'!AA50</f>
        <v>3.0723017517242246</v>
      </c>
      <c r="AD24" s="723">
        <f>'Charge station economics'!AB50</f>
        <v>3.209753979754026</v>
      </c>
      <c r="AE24" s="723">
        <f>'Charge station economics'!AC50</f>
        <v>3.3565536785408399</v>
      </c>
      <c r="AF24" s="723">
        <f>'Charge station economics'!AD50</f>
        <v>3.5133469454815054</v>
      </c>
      <c r="AG24" s="723">
        <f>'Charge station economics'!AE50</f>
        <v>3.680824858023954</v>
      </c>
      <c r="AH24" s="723"/>
      <c r="AI24" s="723"/>
      <c r="AJ24" s="723"/>
      <c r="AK24" s="723"/>
      <c r="AL24" s="723"/>
    </row>
    <row r="25" spans="1:38">
      <c r="A25" s="722" t="s">
        <v>1020</v>
      </c>
      <c r="B25" s="722"/>
      <c r="C25" s="722"/>
      <c r="D25" s="725">
        <f t="shared" ref="D25:AG25" si="9">SUM(D21:D24)</f>
        <v>19.576799886621316</v>
      </c>
      <c r="E25" s="725">
        <f t="shared" si="9"/>
        <v>16.518343442932732</v>
      </c>
      <c r="F25" s="725">
        <f t="shared" si="9"/>
        <v>15.074914283588438</v>
      </c>
      <c r="G25" s="725">
        <f t="shared" si="9"/>
        <v>14.279731625481862</v>
      </c>
      <c r="H25" s="725">
        <f t="shared" si="9"/>
        <v>13.810596695848313</v>
      </c>
      <c r="I25" s="725">
        <f t="shared" si="9"/>
        <v>11.288532606960519</v>
      </c>
      <c r="J25" s="725">
        <f t="shared" si="9"/>
        <v>10.795242642129008</v>
      </c>
      <c r="K25" s="725">
        <f t="shared" si="9"/>
        <v>10.123707631704473</v>
      </c>
      <c r="L25" s="725">
        <f t="shared" si="9"/>
        <v>9.6292666521550707</v>
      </c>
      <c r="M25" s="725">
        <f t="shared" si="9"/>
        <v>9.2375024227786113</v>
      </c>
      <c r="N25" s="725">
        <f t="shared" si="9"/>
        <v>9.1363116865490834</v>
      </c>
      <c r="O25" s="725">
        <f t="shared" si="9"/>
        <v>9.0413397572198235</v>
      </c>
      <c r="P25" s="725">
        <f t="shared" si="9"/>
        <v>8.9527473649473759</v>
      </c>
      <c r="Q25" s="725">
        <f t="shared" si="9"/>
        <v>8.8707117264310344</v>
      </c>
      <c r="R25" s="725">
        <f t="shared" si="9"/>
        <v>8.7954275865733642</v>
      </c>
      <c r="S25" s="725">
        <f t="shared" si="9"/>
        <v>8.7947669151418317</v>
      </c>
      <c r="T25" s="725">
        <f t="shared" si="9"/>
        <v>8.799274605889627</v>
      </c>
      <c r="U25" s="725">
        <f t="shared" si="9"/>
        <v>8.8092523749884712</v>
      </c>
      <c r="V25" s="725">
        <f t="shared" si="9"/>
        <v>8.8250234217412462</v>
      </c>
      <c r="W25" s="725">
        <f t="shared" si="9"/>
        <v>8.8469339216403977</v>
      </c>
      <c r="X25" s="725">
        <f t="shared" si="9"/>
        <v>8.8753546238341237</v>
      </c>
      <c r="Y25" s="725">
        <f t="shared" si="9"/>
        <v>8.9106825603035187</v>
      </c>
      <c r="Z25" s="725">
        <f t="shared" si="9"/>
        <v>8.9533428745649495</v>
      </c>
      <c r="AA25" s="725">
        <f t="shared" si="9"/>
        <v>9.0037907782588107</v>
      </c>
      <c r="AB25" s="725">
        <f t="shared" si="9"/>
        <v>9.0625136445708918</v>
      </c>
      <c r="AC25" s="725">
        <f t="shared" si="9"/>
        <v>9.3441954726766188</v>
      </c>
      <c r="AD25" s="725">
        <f t="shared" si="9"/>
        <v>9.6384450437302291</v>
      </c>
      <c r="AE25" s="725">
        <f t="shared" si="9"/>
        <v>9.9459620191164486</v>
      </c>
      <c r="AF25" s="725">
        <f t="shared" si="9"/>
        <v>10.267490494571504</v>
      </c>
      <c r="AG25" s="725">
        <f t="shared" si="9"/>
        <v>10.603821995841201</v>
      </c>
      <c r="AH25" s="723"/>
      <c r="AI25" s="723"/>
      <c r="AJ25" s="723"/>
      <c r="AK25" s="723"/>
      <c r="AL25" s="723"/>
    </row>
    <row r="26" spans="1:38">
      <c r="A26" s="722"/>
      <c r="B26" s="722"/>
      <c r="C26" s="722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  <c r="P26" s="725"/>
      <c r="Q26" s="725"/>
      <c r="R26" s="725"/>
      <c r="S26" s="725"/>
      <c r="T26" s="725"/>
      <c r="U26" s="725"/>
      <c r="V26" s="725"/>
      <c r="W26" s="725"/>
      <c r="X26" s="725"/>
      <c r="Y26" s="725"/>
      <c r="Z26" s="725"/>
      <c r="AA26" s="725"/>
      <c r="AB26" s="725"/>
      <c r="AC26" s="725"/>
      <c r="AD26" s="725"/>
      <c r="AE26" s="725"/>
      <c r="AF26" s="725"/>
      <c r="AG26" s="725"/>
      <c r="AH26" s="723"/>
      <c r="AI26" s="723"/>
      <c r="AJ26" s="723"/>
      <c r="AK26" s="723"/>
      <c r="AL26" s="723"/>
    </row>
    <row r="27" spans="1:38">
      <c r="A27" s="728" t="s">
        <v>1025</v>
      </c>
      <c r="B27" s="728"/>
      <c r="C27" s="728"/>
      <c r="D27" s="729">
        <f>D25/D18-1</f>
        <v>0.87621917077026024</v>
      </c>
      <c r="E27" s="729">
        <f t="shared" ref="E27:AG27" si="10">E25/E18-1</f>
        <v>0.59040286581835666</v>
      </c>
      <c r="F27" s="729">
        <f t="shared" si="10"/>
        <v>0.45176680257329793</v>
      </c>
      <c r="G27" s="729">
        <f t="shared" si="10"/>
        <v>0.38925587898484304</v>
      </c>
      <c r="H27" s="729">
        <f t="shared" si="10"/>
        <v>0.346838553648112</v>
      </c>
      <c r="I27" s="729">
        <f t="shared" si="10"/>
        <v>0.19286534315182768</v>
      </c>
      <c r="J27" s="729">
        <f t="shared" si="10"/>
        <v>0.15664750926508075</v>
      </c>
      <c r="K27" s="729">
        <f t="shared" si="10"/>
        <v>9.9380670000754456E-2</v>
      </c>
      <c r="L27" s="729">
        <f t="shared" si="10"/>
        <v>5.9385680952963593E-2</v>
      </c>
      <c r="M27" s="729">
        <f t="shared" si="10"/>
        <v>2.9121893959302536E-2</v>
      </c>
      <c r="N27" s="729">
        <f t="shared" si="10"/>
        <v>3.0194309983043066E-2</v>
      </c>
      <c r="O27" s="729">
        <f t="shared" si="10"/>
        <v>3.1303283929852155E-2</v>
      </c>
      <c r="P27" s="729">
        <f t="shared" si="10"/>
        <v>3.244890620069163E-2</v>
      </c>
      <c r="Q27" s="729">
        <f t="shared" si="10"/>
        <v>3.3631074616432555E-2</v>
      </c>
      <c r="R27" s="729">
        <f t="shared" si="10"/>
        <v>3.4849469132763877E-2</v>
      </c>
      <c r="S27" s="729">
        <f t="shared" si="10"/>
        <v>3.5815831704609558E-2</v>
      </c>
      <c r="T27" s="729">
        <f t="shared" si="10"/>
        <v>3.6805159484620154E-2</v>
      </c>
      <c r="U27" s="729">
        <f t="shared" si="10"/>
        <v>3.7816770804451005E-2</v>
      </c>
      <c r="V27" s="729">
        <f t="shared" si="10"/>
        <v>3.8849812270257189E-2</v>
      </c>
      <c r="W27" s="729">
        <f t="shared" si="10"/>
        <v>3.9903246482849486E-2</v>
      </c>
      <c r="X27" s="729">
        <f t="shared" si="10"/>
        <v>4.0975840527556873E-2</v>
      </c>
      <c r="Y27" s="729">
        <f t="shared" si="10"/>
        <v>4.2066155581175657E-2</v>
      </c>
      <c r="Z27" s="729">
        <f t="shared" si="10"/>
        <v>4.3172538018599216E-2</v>
      </c>
      <c r="AA27" s="729">
        <f t="shared" si="10"/>
        <v>4.4293112431095905E-2</v>
      </c>
      <c r="AB27" s="729">
        <f t="shared" si="10"/>
        <v>4.5425776989088451E-2</v>
      </c>
      <c r="AC27" s="729">
        <f t="shared" si="10"/>
        <v>4.5452380217009036E-2</v>
      </c>
      <c r="AD27" s="729">
        <f t="shared" si="10"/>
        <v>4.5484210210641862E-2</v>
      </c>
      <c r="AE27" s="729">
        <f t="shared" si="10"/>
        <v>4.5521123711560252E-2</v>
      </c>
      <c r="AF27" s="729">
        <f t="shared" si="10"/>
        <v>4.556297094859918E-2</v>
      </c>
      <c r="AG27" s="729">
        <f t="shared" si="10"/>
        <v>4.560959571155343E-2</v>
      </c>
      <c r="AH27" s="723"/>
      <c r="AI27" s="723"/>
      <c r="AJ27" s="723"/>
      <c r="AK27" s="723"/>
      <c r="AL27" s="723"/>
    </row>
    <row r="28" spans="1:38">
      <c r="D28" s="723"/>
      <c r="E28" s="723"/>
      <c r="F28" s="723"/>
      <c r="G28" s="723"/>
      <c r="H28" s="723"/>
      <c r="I28" s="723"/>
      <c r="J28" s="723"/>
      <c r="K28" s="723"/>
      <c r="L28" s="723"/>
      <c r="M28" s="723"/>
      <c r="N28" s="723"/>
      <c r="O28" s="723"/>
      <c r="P28" s="723"/>
      <c r="Q28" s="723"/>
      <c r="R28" s="723"/>
      <c r="S28" s="723"/>
      <c r="T28" s="723"/>
      <c r="U28" s="723"/>
      <c r="V28" s="723"/>
      <c r="W28" s="723"/>
      <c r="X28" s="723"/>
      <c r="Y28" s="723"/>
      <c r="Z28" s="723"/>
      <c r="AA28" s="723"/>
      <c r="AB28" s="723"/>
      <c r="AC28" s="723"/>
      <c r="AD28" s="723"/>
      <c r="AE28" s="723"/>
      <c r="AF28" s="723"/>
      <c r="AG28" s="723"/>
      <c r="AH28" s="723"/>
    </row>
    <row r="29" spans="1:38" ht="28.8">
      <c r="A29" s="730" t="s">
        <v>1026</v>
      </c>
      <c r="B29" s="722"/>
      <c r="C29" s="722"/>
      <c r="D29" s="725">
        <f t="shared" ref="D29:AG29" si="11">D18*D12+D25*D13</f>
        <v>12.079847794463697</v>
      </c>
      <c r="E29" s="725">
        <f t="shared" si="11"/>
        <v>12.143104496690448</v>
      </c>
      <c r="F29" s="725">
        <f t="shared" si="11"/>
        <v>12.138301820160951</v>
      </c>
      <c r="G29" s="725">
        <f t="shared" si="11"/>
        <v>12.02914616249031</v>
      </c>
      <c r="H29" s="725">
        <f t="shared" si="11"/>
        <v>12.117697017460955</v>
      </c>
      <c r="I29" s="725">
        <f t="shared" si="11"/>
        <v>10.512840816471392</v>
      </c>
      <c r="J29" s="725">
        <f t="shared" si="11"/>
        <v>10.251369246586112</v>
      </c>
      <c r="K29" s="725">
        <f t="shared" si="11"/>
        <v>9.8125558192097628</v>
      </c>
      <c r="L29" s="725">
        <f t="shared" si="11"/>
        <v>9.4425010234005669</v>
      </c>
      <c r="M29" s="725">
        <f t="shared" si="11"/>
        <v>9.1507172669696732</v>
      </c>
      <c r="N29" s="725">
        <f t="shared" si="11"/>
        <v>9.0500867782124139</v>
      </c>
      <c r="O29" s="725">
        <f t="shared" si="11"/>
        <v>8.955716669869819</v>
      </c>
      <c r="P29" s="725">
        <f t="shared" si="11"/>
        <v>8.6943442446953849</v>
      </c>
      <c r="Q29" s="725">
        <f t="shared" si="11"/>
        <v>8.6147915447794308</v>
      </c>
      <c r="R29" s="725">
        <f t="shared" si="11"/>
        <v>8.7166400395011632</v>
      </c>
      <c r="S29" s="725">
        <f t="shared" si="11"/>
        <v>8.7211746456846857</v>
      </c>
      <c r="T29" s="725">
        <f t="shared" si="11"/>
        <v>8.8719680474206406</v>
      </c>
      <c r="U29" s="725">
        <f t="shared" si="11"/>
        <v>8.8866427383541371</v>
      </c>
      <c r="V29" s="725">
        <f t="shared" si="11"/>
        <v>8.9074786450230334</v>
      </c>
      <c r="W29" s="725">
        <f t="shared" si="11"/>
        <v>8.9355267298394914</v>
      </c>
      <c r="X29" s="725">
        <f t="shared" si="11"/>
        <v>8.9705460840696496</v>
      </c>
      <c r="Y29" s="725">
        <f t="shared" si="11"/>
        <v>9.0122469195567394</v>
      </c>
      <c r="Z29" s="725">
        <f t="shared" si="11"/>
        <v>9.0617654758994348</v>
      </c>
      <c r="AA29" s="725">
        <f t="shared" si="11"/>
        <v>9.1203552941377897</v>
      </c>
      <c r="AB29" s="725">
        <f t="shared" si="11"/>
        <v>9.187037105846187</v>
      </c>
      <c r="AC29" s="725">
        <f t="shared" si="11"/>
        <v>9.3320079469657493</v>
      </c>
      <c r="AD29" s="725">
        <f t="shared" si="11"/>
        <v>9.630058555322444</v>
      </c>
      <c r="AE29" s="725">
        <f t="shared" si="11"/>
        <v>9.9390333959487744</v>
      </c>
      <c r="AF29" s="725">
        <f t="shared" si="11"/>
        <v>10.2630161837541</v>
      </c>
      <c r="AG29" s="725">
        <f t="shared" si="11"/>
        <v>10.603821995841201</v>
      </c>
      <c r="AH29" s="723"/>
      <c r="AI29" s="724"/>
      <c r="AJ29" s="724"/>
      <c r="AK29" s="724"/>
      <c r="AL29" s="724"/>
    </row>
    <row r="30" spans="1:38">
      <c r="AH30" s="723"/>
      <c r="AI30" s="724"/>
      <c r="AJ30" s="724"/>
      <c r="AK30" s="724"/>
      <c r="AL30" s="724"/>
    </row>
    <row r="31" spans="1:38">
      <c r="A31" s="722" t="s">
        <v>1027</v>
      </c>
    </row>
    <row r="32" spans="1:38" ht="28.8">
      <c r="A32" s="726" t="s">
        <v>1028</v>
      </c>
      <c r="D32" s="723">
        <f t="shared" ref="D32:AG32" si="12">D25*0.18</f>
        <v>3.5238239795918367</v>
      </c>
      <c r="E32" s="723">
        <f t="shared" si="12"/>
        <v>2.9733018197278915</v>
      </c>
      <c r="F32" s="723">
        <f t="shared" si="12"/>
        <v>2.7134845710459188</v>
      </c>
      <c r="G32" s="723">
        <f t="shared" si="12"/>
        <v>2.5703516925867351</v>
      </c>
      <c r="H32" s="723">
        <f t="shared" si="12"/>
        <v>2.4859074052526964</v>
      </c>
      <c r="I32" s="723">
        <f t="shared" si="12"/>
        <v>2.0319358692528935</v>
      </c>
      <c r="J32" s="723">
        <f t="shared" si="12"/>
        <v>1.9431436755832214</v>
      </c>
      <c r="K32" s="723">
        <f t="shared" si="12"/>
        <v>1.8222673737068051</v>
      </c>
      <c r="L32" s="723">
        <f t="shared" si="12"/>
        <v>1.7332679973879126</v>
      </c>
      <c r="M32" s="723">
        <f t="shared" si="12"/>
        <v>1.6627504361001499</v>
      </c>
      <c r="N32" s="723">
        <f t="shared" si="12"/>
        <v>1.6445361035788351</v>
      </c>
      <c r="O32" s="723">
        <f t="shared" si="12"/>
        <v>1.6274411562995681</v>
      </c>
      <c r="P32" s="723">
        <f t="shared" si="12"/>
        <v>1.6114945256905275</v>
      </c>
      <c r="Q32" s="723">
        <f t="shared" si="12"/>
        <v>1.5967281107575861</v>
      </c>
      <c r="R32" s="723">
        <f t="shared" si="12"/>
        <v>1.5831769655832055</v>
      </c>
      <c r="S32" s="723">
        <f t="shared" si="12"/>
        <v>1.5830580447255296</v>
      </c>
      <c r="T32" s="723">
        <f t="shared" si="12"/>
        <v>1.5838694290601327</v>
      </c>
      <c r="U32" s="723">
        <f t="shared" si="12"/>
        <v>1.5856654274979247</v>
      </c>
      <c r="V32" s="723">
        <f t="shared" si="12"/>
        <v>1.5885042159134242</v>
      </c>
      <c r="W32" s="723">
        <f t="shared" si="12"/>
        <v>1.5924481058952715</v>
      </c>
      <c r="X32" s="723">
        <f t="shared" si="12"/>
        <v>1.5975638322901422</v>
      </c>
      <c r="Y32" s="723">
        <f t="shared" si="12"/>
        <v>1.6039228608546332</v>
      </c>
      <c r="Z32" s="723">
        <f t="shared" si="12"/>
        <v>1.6116017174216908</v>
      </c>
      <c r="AA32" s="723">
        <f t="shared" si="12"/>
        <v>1.620682340086586</v>
      </c>
      <c r="AB32" s="723">
        <f t="shared" si="12"/>
        <v>1.6312524560227604</v>
      </c>
      <c r="AC32" s="723">
        <f t="shared" si="12"/>
        <v>1.6819551850817913</v>
      </c>
      <c r="AD32" s="723">
        <f t="shared" si="12"/>
        <v>1.7349201078714411</v>
      </c>
      <c r="AE32" s="723">
        <f t="shared" si="12"/>
        <v>1.7902731634409608</v>
      </c>
      <c r="AF32" s="723">
        <f t="shared" si="12"/>
        <v>1.8481482890228706</v>
      </c>
      <c r="AG32" s="723">
        <f t="shared" si="12"/>
        <v>1.9086879592514161</v>
      </c>
    </row>
    <row r="33" spans="1:50">
      <c r="A33" s="722" t="s">
        <v>1029</v>
      </c>
      <c r="B33" s="722"/>
      <c r="C33" s="722"/>
      <c r="D33" s="725">
        <f t="shared" ref="D33:AG33" si="13">D32+D25</f>
        <v>23.100623866213152</v>
      </c>
      <c r="E33" s="725">
        <f t="shared" si="13"/>
        <v>19.491645262660622</v>
      </c>
      <c r="F33" s="725">
        <f t="shared" si="13"/>
        <v>17.788398854634355</v>
      </c>
      <c r="G33" s="725">
        <f t="shared" si="13"/>
        <v>16.850083318068599</v>
      </c>
      <c r="H33" s="725">
        <f t="shared" si="13"/>
        <v>16.296504101101007</v>
      </c>
      <c r="I33" s="725">
        <f t="shared" si="13"/>
        <v>13.320468476213414</v>
      </c>
      <c r="J33" s="725">
        <f t="shared" si="13"/>
        <v>12.73838631771223</v>
      </c>
      <c r="K33" s="725">
        <f t="shared" si="13"/>
        <v>11.945975005411277</v>
      </c>
      <c r="L33" s="725">
        <f t="shared" si="13"/>
        <v>11.362534649542983</v>
      </c>
      <c r="M33" s="725">
        <f t="shared" si="13"/>
        <v>10.900252858878762</v>
      </c>
      <c r="N33" s="725">
        <f t="shared" si="13"/>
        <v>10.780847790127918</v>
      </c>
      <c r="O33" s="725">
        <f t="shared" si="13"/>
        <v>10.668780913519392</v>
      </c>
      <c r="P33" s="725">
        <f t="shared" si="13"/>
        <v>10.564241890637904</v>
      </c>
      <c r="Q33" s="725">
        <f t="shared" si="13"/>
        <v>10.467439837188621</v>
      </c>
      <c r="R33" s="725">
        <f t="shared" si="13"/>
        <v>10.37860455215657</v>
      </c>
      <c r="S33" s="725">
        <f t="shared" si="13"/>
        <v>10.377824959867361</v>
      </c>
      <c r="T33" s="725">
        <f t="shared" si="13"/>
        <v>10.38314403494976</v>
      </c>
      <c r="U33" s="725">
        <f t="shared" si="13"/>
        <v>10.394917802486397</v>
      </c>
      <c r="V33" s="725">
        <f t="shared" si="13"/>
        <v>10.413527637654671</v>
      </c>
      <c r="W33" s="725">
        <f t="shared" si="13"/>
        <v>10.43938202753567</v>
      </c>
      <c r="X33" s="725">
        <f t="shared" si="13"/>
        <v>10.472918456124265</v>
      </c>
      <c r="Y33" s="725">
        <f t="shared" si="13"/>
        <v>10.514605421158151</v>
      </c>
      <c r="Z33" s="725">
        <f t="shared" si="13"/>
        <v>10.56494459198664</v>
      </c>
      <c r="AA33" s="725">
        <f t="shared" si="13"/>
        <v>10.624473118345396</v>
      </c>
      <c r="AB33" s="725">
        <f t="shared" si="13"/>
        <v>10.693766100593653</v>
      </c>
      <c r="AC33" s="725">
        <f t="shared" si="13"/>
        <v>11.026150657758411</v>
      </c>
      <c r="AD33" s="725">
        <f t="shared" si="13"/>
        <v>11.37336515160167</v>
      </c>
      <c r="AE33" s="725">
        <f t="shared" si="13"/>
        <v>11.73623518255741</v>
      </c>
      <c r="AF33" s="725">
        <f t="shared" si="13"/>
        <v>12.115638783594374</v>
      </c>
      <c r="AG33" s="725">
        <f t="shared" si="13"/>
        <v>12.512509955092618</v>
      </c>
    </row>
    <row r="36" spans="1:50" s="706" customFormat="1">
      <c r="A36" s="741" t="s">
        <v>1034</v>
      </c>
      <c r="AG36" s="706" t="s">
        <v>1035</v>
      </c>
    </row>
    <row r="37" spans="1:50" s="706" customFormat="1">
      <c r="AD37" s="706" t="s">
        <v>677</v>
      </c>
      <c r="AF37" s="706" t="s">
        <v>1036</v>
      </c>
    </row>
    <row r="38" spans="1:50" s="706" customFormat="1">
      <c r="A38" s="706" t="s">
        <v>1037</v>
      </c>
      <c r="AD38" s="706" t="s">
        <v>389</v>
      </c>
      <c r="AF38" s="706" t="s">
        <v>1038</v>
      </c>
    </row>
    <row r="39" spans="1:50" s="706" customFormat="1">
      <c r="A39" s="706" t="s">
        <v>1039</v>
      </c>
      <c r="AD39" s="706" t="s">
        <v>1040</v>
      </c>
      <c r="AF39" s="706" t="s">
        <v>1041</v>
      </c>
    </row>
    <row r="40" spans="1:50" s="706" customFormat="1">
      <c r="A40" s="706" t="s">
        <v>1042</v>
      </c>
      <c r="AD40" s="706" t="s">
        <v>1043</v>
      </c>
      <c r="AF40" s="706" t="s">
        <v>1044</v>
      </c>
    </row>
    <row r="41" spans="1:50" s="706" customFormat="1">
      <c r="A41" s="706" t="s">
        <v>1045</v>
      </c>
    </row>
    <row r="42" spans="1:50" s="706" customFormat="1">
      <c r="A42" s="706" t="s">
        <v>1046</v>
      </c>
    </row>
    <row r="43" spans="1:50" s="706" customFormat="1">
      <c r="A43" s="706" t="s">
        <v>1047</v>
      </c>
    </row>
    <row r="46" spans="1:50">
      <c r="AH46" s="714">
        <v>0</v>
      </c>
      <c r="AI46" s="714">
        <v>-0.04</v>
      </c>
      <c r="AJ46" s="714">
        <v>-0.02</v>
      </c>
      <c r="AK46" s="714">
        <v>-0.01</v>
      </c>
      <c r="AL46" s="715"/>
      <c r="AM46" s="716"/>
      <c r="AN46" s="731"/>
      <c r="AO46" s="731"/>
      <c r="AP46" s="731"/>
      <c r="AQ46" s="731"/>
      <c r="AR46" s="731"/>
      <c r="AT46" s="716"/>
      <c r="AU46" s="731"/>
      <c r="AV46" s="731"/>
      <c r="AW46" s="731"/>
      <c r="AX46" s="731"/>
    </row>
    <row r="47" spans="1:50" ht="28.8">
      <c r="AH47" s="714">
        <v>0</v>
      </c>
      <c r="AI47" s="714">
        <v>0</v>
      </c>
      <c r="AJ47" s="714">
        <v>0.01</v>
      </c>
      <c r="AK47" s="714">
        <v>0.01</v>
      </c>
      <c r="AL47" s="715"/>
      <c r="AM47" s="732" t="s">
        <v>1030</v>
      </c>
      <c r="AN47" s="731"/>
      <c r="AO47" s="731"/>
      <c r="AP47" s="731"/>
      <c r="AQ47" s="731"/>
      <c r="AR47" s="731"/>
      <c r="AT47" s="716"/>
      <c r="AU47" s="731"/>
      <c r="AV47" s="731"/>
      <c r="AW47" s="731"/>
      <c r="AX47" s="731"/>
    </row>
    <row r="48" spans="1:50">
      <c r="AH48" s="714">
        <v>-0.05</v>
      </c>
      <c r="AI48" s="714">
        <v>-0.02</v>
      </c>
      <c r="AJ48" s="714">
        <v>0.02</v>
      </c>
      <c r="AK48" s="714">
        <v>0.02</v>
      </c>
      <c r="AL48" s="715"/>
      <c r="AM48" s="716"/>
      <c r="AN48" s="731"/>
      <c r="AO48" s="731"/>
      <c r="AP48" s="731"/>
      <c r="AQ48" s="731"/>
      <c r="AR48" s="731"/>
      <c r="AT48" s="716"/>
      <c r="AU48" s="731"/>
      <c r="AV48" s="731"/>
      <c r="AW48" s="731"/>
      <c r="AX48" s="731"/>
    </row>
    <row r="49" spans="34:50">
      <c r="AH49" s="714">
        <v>-0.05</v>
      </c>
      <c r="AI49" s="714">
        <v>-0.02</v>
      </c>
      <c r="AJ49" s="714">
        <v>0.02</v>
      </c>
      <c r="AK49" s="714">
        <v>0.02</v>
      </c>
      <c r="AL49" s="715"/>
      <c r="AM49" s="716"/>
      <c r="AN49" s="731"/>
      <c r="AO49" s="731"/>
      <c r="AP49" s="731"/>
      <c r="AQ49" s="731"/>
      <c r="AR49" s="731"/>
      <c r="AT49" s="716"/>
      <c r="AU49" s="731"/>
      <c r="AV49" s="731"/>
      <c r="AW49" s="731"/>
      <c r="AX49" s="731"/>
    </row>
    <row r="50" spans="34:50">
      <c r="AH50" s="714"/>
      <c r="AI50" s="714"/>
      <c r="AJ50" s="714"/>
      <c r="AK50" s="714"/>
      <c r="AL50" s="715">
        <v>0</v>
      </c>
      <c r="AM50" s="717" t="s">
        <v>679</v>
      </c>
      <c r="AN50" s="733" t="s">
        <v>720</v>
      </c>
      <c r="AO50" s="733" t="s">
        <v>721</v>
      </c>
      <c r="AP50" s="733" t="s">
        <v>727</v>
      </c>
      <c r="AQ50" s="733" t="s">
        <v>728</v>
      </c>
      <c r="AR50" s="733" t="s">
        <v>729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DC0E-C8D8-462E-AA3B-42D0D67C8AFF}">
  <dimension ref="A1:AN137"/>
  <sheetViews>
    <sheetView zoomScale="70" zoomScaleNormal="70" workbookViewId="0">
      <pane xSplit="3" ySplit="2" topLeftCell="D105" activePane="bottomRight" state="frozen"/>
      <selection pane="topRight" activeCell="C97" sqref="C97:AG97"/>
      <selection pane="bottomLeft" activeCell="C97" sqref="C97:AG97"/>
      <selection pane="bottomRight" activeCell="B107" sqref="B107:B137"/>
    </sheetView>
  </sheetViews>
  <sheetFormatPr defaultColWidth="8.88671875" defaultRowHeight="14.4"/>
  <cols>
    <col min="1" max="1" width="8.88671875" style="4"/>
    <col min="2" max="2" width="31.6640625" style="4" bestFit="1" customWidth="1"/>
    <col min="3" max="3" width="10.109375" style="4" customWidth="1"/>
    <col min="4" max="4" width="8.88671875" style="4" customWidth="1"/>
    <col min="5" max="15" width="8.88671875" style="4" bestFit="1" customWidth="1"/>
    <col min="16" max="30" width="10.109375" style="4" bestFit="1" customWidth="1"/>
    <col min="31" max="34" width="9" style="4" bestFit="1" customWidth="1"/>
    <col min="35" max="35" width="10.109375" style="4" bestFit="1" customWidth="1"/>
    <col min="36" max="36" width="2.109375" style="4" customWidth="1"/>
    <col min="37" max="16384" width="8.88671875" style="4"/>
  </cols>
  <sheetData>
    <row r="1" spans="1:40">
      <c r="B1" s="5" t="s">
        <v>40</v>
      </c>
      <c r="AK1" s="896" t="s">
        <v>6</v>
      </c>
      <c r="AL1" s="896"/>
      <c r="AM1" s="896"/>
    </row>
    <row r="2" spans="1:40" s="1" customFormat="1">
      <c r="B2" s="2" t="s">
        <v>41</v>
      </c>
      <c r="C2" s="3">
        <v>2023</v>
      </c>
      <c r="D2" s="3">
        <v>2024</v>
      </c>
      <c r="E2" s="3">
        <v>2025</v>
      </c>
      <c r="F2" s="3">
        <v>2026</v>
      </c>
      <c r="G2" s="3">
        <v>2027</v>
      </c>
      <c r="H2" s="3">
        <v>2028</v>
      </c>
      <c r="I2" s="3">
        <v>2029</v>
      </c>
      <c r="J2" s="3">
        <v>2030</v>
      </c>
      <c r="K2" s="3">
        <v>2031</v>
      </c>
      <c r="L2" s="3">
        <v>2032</v>
      </c>
      <c r="M2" s="3">
        <v>2033</v>
      </c>
      <c r="N2" s="3">
        <v>2034</v>
      </c>
      <c r="O2" s="3">
        <v>2035</v>
      </c>
      <c r="P2" s="3">
        <v>2036</v>
      </c>
      <c r="Q2" s="3">
        <v>2037</v>
      </c>
      <c r="R2" s="3">
        <v>2038</v>
      </c>
      <c r="S2" s="3">
        <v>2039</v>
      </c>
      <c r="T2" s="3">
        <v>2040</v>
      </c>
      <c r="U2" s="3">
        <v>2041</v>
      </c>
      <c r="V2" s="3">
        <v>2042</v>
      </c>
      <c r="W2" s="3">
        <v>2043</v>
      </c>
      <c r="X2" s="3">
        <v>2044</v>
      </c>
      <c r="Y2" s="3">
        <v>2045</v>
      </c>
      <c r="Z2" s="3">
        <v>2046</v>
      </c>
      <c r="AA2" s="3">
        <v>2047</v>
      </c>
      <c r="AB2" s="3">
        <v>2048</v>
      </c>
      <c r="AC2" s="3">
        <v>2049</v>
      </c>
      <c r="AD2" s="3">
        <v>2050</v>
      </c>
      <c r="AE2" s="3">
        <v>2051</v>
      </c>
      <c r="AF2" s="3">
        <v>2052</v>
      </c>
      <c r="AG2" s="3">
        <v>2053</v>
      </c>
      <c r="AH2" s="3">
        <v>2054</v>
      </c>
      <c r="AI2" s="3">
        <v>2055</v>
      </c>
      <c r="AK2" s="1" t="s">
        <v>42</v>
      </c>
      <c r="AL2" s="1">
        <v>2045</v>
      </c>
      <c r="AM2" s="1">
        <v>2055</v>
      </c>
    </row>
    <row r="3" spans="1:40">
      <c r="A3" s="4">
        <v>1</v>
      </c>
      <c r="B3" s="5" t="s">
        <v>43</v>
      </c>
      <c r="C3" s="6">
        <v>80476.834852941131</v>
      </c>
      <c r="D3" s="6">
        <f t="shared" ref="D3:AI3" si="0">SUM(D4:D10)</f>
        <v>62420</v>
      </c>
      <c r="E3" s="6">
        <f t="shared" si="0"/>
        <v>53050</v>
      </c>
      <c r="F3" s="6">
        <f t="shared" si="0"/>
        <v>67561.099033607563</v>
      </c>
      <c r="G3" s="6">
        <f t="shared" si="0"/>
        <v>61680</v>
      </c>
      <c r="H3" s="6">
        <f t="shared" si="0"/>
        <v>62290</v>
      </c>
      <c r="I3" s="6">
        <f t="shared" si="0"/>
        <v>69750</v>
      </c>
      <c r="J3" s="6">
        <f t="shared" si="0"/>
        <v>72530</v>
      </c>
      <c r="K3" s="6">
        <f t="shared" si="0"/>
        <v>72530</v>
      </c>
      <c r="L3" s="6">
        <f t="shared" si="0"/>
        <v>83420</v>
      </c>
      <c r="M3" s="6">
        <f t="shared" si="0"/>
        <v>90920</v>
      </c>
      <c r="N3" s="6">
        <f t="shared" si="0"/>
        <v>93650</v>
      </c>
      <c r="O3" s="6">
        <f t="shared" si="0"/>
        <v>101150</v>
      </c>
      <c r="P3" s="6">
        <f t="shared" si="0"/>
        <v>105210</v>
      </c>
      <c r="Q3" s="6">
        <f t="shared" si="0"/>
        <v>108360</v>
      </c>
      <c r="R3" s="6">
        <f t="shared" si="0"/>
        <v>110530</v>
      </c>
      <c r="S3" s="6">
        <f t="shared" si="0"/>
        <v>110530</v>
      </c>
      <c r="T3" s="6">
        <f t="shared" si="0"/>
        <v>111640</v>
      </c>
      <c r="U3" s="6">
        <f t="shared" si="0"/>
        <v>114980</v>
      </c>
      <c r="V3" s="6">
        <f t="shared" si="0"/>
        <v>118430</v>
      </c>
      <c r="W3" s="6">
        <f t="shared" si="0"/>
        <v>120800</v>
      </c>
      <c r="X3" s="6">
        <f t="shared" si="0"/>
        <v>124420</v>
      </c>
      <c r="Y3" s="6">
        <f t="shared" si="0"/>
        <v>128150</v>
      </c>
      <c r="Z3" s="6">
        <f t="shared" si="0"/>
        <v>131990</v>
      </c>
      <c r="AA3" s="6">
        <f t="shared" si="0"/>
        <v>135950</v>
      </c>
      <c r="AB3" s="6">
        <f t="shared" si="0"/>
        <v>135950</v>
      </c>
      <c r="AC3" s="6">
        <f t="shared" si="0"/>
        <v>138670</v>
      </c>
      <c r="AD3" s="6">
        <f t="shared" si="0"/>
        <v>149760</v>
      </c>
      <c r="AE3" s="6">
        <f t="shared" si="0"/>
        <v>157260</v>
      </c>
      <c r="AF3" s="6">
        <f t="shared" si="0"/>
        <v>163540</v>
      </c>
      <c r="AG3" s="6">
        <f t="shared" si="0"/>
        <v>166810</v>
      </c>
      <c r="AH3" s="6">
        <f t="shared" si="0"/>
        <v>170140</v>
      </c>
      <c r="AI3" s="6">
        <f t="shared" si="0"/>
        <v>170140</v>
      </c>
      <c r="AK3" s="65">
        <f>SUM(D3:AI3)/SUM($D$75:$AI$75)%</f>
        <v>18.930114111011218</v>
      </c>
      <c r="AL3" s="67">
        <f>Y3/Y$75</f>
        <v>0.18119476846942381</v>
      </c>
      <c r="AM3" s="67">
        <f>AI3/AI$75</f>
        <v>0.16521173397551053</v>
      </c>
      <c r="AN3" s="4">
        <f>Y75*(AL4+AL5+AL6)</f>
        <v>90420</v>
      </c>
    </row>
    <row r="4" spans="1:40">
      <c r="B4" s="7" t="s">
        <v>44</v>
      </c>
      <c r="C4" s="8"/>
      <c r="D4" s="9">
        <v>22640</v>
      </c>
      <c r="E4" s="9">
        <v>19240</v>
      </c>
      <c r="F4" s="13">
        <v>37887.651772769212</v>
      </c>
      <c r="G4" s="9">
        <v>22370</v>
      </c>
      <c r="H4" s="9">
        <v>22590</v>
      </c>
      <c r="I4" s="9">
        <v>25300</v>
      </c>
      <c r="J4" s="9">
        <v>26310</v>
      </c>
      <c r="K4" s="9">
        <v>26310</v>
      </c>
      <c r="L4" s="9">
        <v>30260</v>
      </c>
      <c r="M4" s="9">
        <v>32980</v>
      </c>
      <c r="N4" s="9">
        <v>33970</v>
      </c>
      <c r="O4" s="9">
        <v>36690</v>
      </c>
      <c r="P4" s="9">
        <v>38160</v>
      </c>
      <c r="Q4" s="9">
        <v>39300</v>
      </c>
      <c r="R4" s="9">
        <v>40090</v>
      </c>
      <c r="S4" s="9">
        <v>40090</v>
      </c>
      <c r="T4" s="9">
        <v>40490</v>
      </c>
      <c r="U4" s="9">
        <v>41700</v>
      </c>
      <c r="V4" s="9">
        <v>42950</v>
      </c>
      <c r="W4" s="9">
        <v>43810</v>
      </c>
      <c r="X4" s="9">
        <v>45120</v>
      </c>
      <c r="Y4" s="9">
        <v>46470</v>
      </c>
      <c r="Z4" s="9">
        <v>47860</v>
      </c>
      <c r="AA4" s="9">
        <v>49300</v>
      </c>
      <c r="AB4" s="9">
        <v>49300</v>
      </c>
      <c r="AC4" s="9">
        <v>50290</v>
      </c>
      <c r="AD4" s="9">
        <v>54310</v>
      </c>
      <c r="AE4" s="10">
        <v>57030</v>
      </c>
      <c r="AF4" s="10">
        <v>59310</v>
      </c>
      <c r="AG4" s="10">
        <v>60500</v>
      </c>
      <c r="AH4" s="10">
        <v>61710</v>
      </c>
      <c r="AI4" s="10">
        <v>61710</v>
      </c>
      <c r="AK4" s="65">
        <f t="shared" ref="AK4:AK67" si="1">SUM(D4:AI4)/SUM($D$75:$AI$75)%</f>
        <v>6.9366348949365753</v>
      </c>
      <c r="AL4" s="67">
        <f t="shared" ref="AL4:AL67" si="2">Y4/Y$75</f>
        <v>6.5705196182396605E-2</v>
      </c>
      <c r="AM4" s="67">
        <f t="shared" ref="AM4:AM67" si="3">AI4/AI$75</f>
        <v>5.9922511482477687E-2</v>
      </c>
      <c r="AN4" s="4">
        <f>Y75*(AL7+AL8+AL9+AL10)</f>
        <v>37730</v>
      </c>
    </row>
    <row r="5" spans="1:40">
      <c r="B5" s="7" t="s">
        <v>45</v>
      </c>
      <c r="C5" s="8"/>
      <c r="D5" s="9">
        <v>19290</v>
      </c>
      <c r="E5" s="9">
        <v>16400</v>
      </c>
      <c r="F5" s="13">
        <v>11460.313664895024</v>
      </c>
      <c r="G5" s="9">
        <v>19070</v>
      </c>
      <c r="H5" s="9">
        <v>19260</v>
      </c>
      <c r="I5" s="9">
        <v>21570</v>
      </c>
      <c r="J5" s="9">
        <v>22430</v>
      </c>
      <c r="K5" s="9">
        <v>22430</v>
      </c>
      <c r="L5" s="9">
        <v>25790</v>
      </c>
      <c r="M5" s="9">
        <v>28110</v>
      </c>
      <c r="N5" s="9">
        <v>28950</v>
      </c>
      <c r="O5" s="9">
        <v>31270</v>
      </c>
      <c r="P5" s="9">
        <v>32520</v>
      </c>
      <c r="Q5" s="9">
        <v>33500</v>
      </c>
      <c r="R5" s="9">
        <v>34170</v>
      </c>
      <c r="S5" s="9">
        <v>34170</v>
      </c>
      <c r="T5" s="9">
        <v>34510</v>
      </c>
      <c r="U5" s="9">
        <v>35550</v>
      </c>
      <c r="V5" s="9">
        <v>36620</v>
      </c>
      <c r="W5" s="9">
        <v>37350</v>
      </c>
      <c r="X5" s="9">
        <v>38470</v>
      </c>
      <c r="Y5" s="9">
        <v>39620</v>
      </c>
      <c r="Z5" s="9">
        <v>40810</v>
      </c>
      <c r="AA5" s="9">
        <v>42030</v>
      </c>
      <c r="AB5" s="9">
        <v>42030</v>
      </c>
      <c r="AC5" s="9">
        <v>42870</v>
      </c>
      <c r="AD5" s="9">
        <v>46300</v>
      </c>
      <c r="AE5" s="10">
        <v>48620</v>
      </c>
      <c r="AF5" s="10">
        <v>50560</v>
      </c>
      <c r="AG5" s="10">
        <v>51570</v>
      </c>
      <c r="AH5" s="10">
        <v>52600</v>
      </c>
      <c r="AI5" s="10">
        <v>52600</v>
      </c>
      <c r="AK5" s="65">
        <f t="shared" si="1"/>
        <v>5.8024496948565849</v>
      </c>
      <c r="AL5" s="67">
        <f t="shared" si="2"/>
        <v>5.60197949805585E-2</v>
      </c>
      <c r="AM5" s="67">
        <f t="shared" si="3"/>
        <v>5.1076391249041106E-2</v>
      </c>
    </row>
    <row r="6" spans="1:40">
      <c r="B6" s="7" t="s">
        <v>46</v>
      </c>
      <c r="C6" s="8"/>
      <c r="D6" s="9">
        <v>2120</v>
      </c>
      <c r="E6" s="9">
        <v>1800</v>
      </c>
      <c r="F6" s="13">
        <v>2054.7984761312391</v>
      </c>
      <c r="G6" s="9">
        <v>2090</v>
      </c>
      <c r="H6" s="9">
        <v>2110</v>
      </c>
      <c r="I6" s="9">
        <v>2360</v>
      </c>
      <c r="J6" s="9">
        <v>2450</v>
      </c>
      <c r="K6" s="9">
        <v>2450</v>
      </c>
      <c r="L6" s="9">
        <v>2820</v>
      </c>
      <c r="M6" s="9">
        <v>3070</v>
      </c>
      <c r="N6" s="9">
        <v>3160</v>
      </c>
      <c r="O6" s="9">
        <v>3410</v>
      </c>
      <c r="P6" s="9">
        <v>3550</v>
      </c>
      <c r="Q6" s="9">
        <v>3660</v>
      </c>
      <c r="R6" s="9">
        <v>3730</v>
      </c>
      <c r="S6" s="9">
        <v>3730</v>
      </c>
      <c r="T6" s="9">
        <v>3770</v>
      </c>
      <c r="U6" s="9">
        <v>3880</v>
      </c>
      <c r="V6" s="9">
        <v>4000</v>
      </c>
      <c r="W6" s="9">
        <v>4080</v>
      </c>
      <c r="X6" s="9">
        <v>4200</v>
      </c>
      <c r="Y6" s="9">
        <v>4330</v>
      </c>
      <c r="Z6" s="9">
        <v>4460</v>
      </c>
      <c r="AA6" s="9">
        <v>4590</v>
      </c>
      <c r="AB6" s="9">
        <v>4590</v>
      </c>
      <c r="AC6" s="9">
        <v>4680</v>
      </c>
      <c r="AD6" s="9">
        <v>5050</v>
      </c>
      <c r="AE6" s="10">
        <v>5300</v>
      </c>
      <c r="AF6" s="10">
        <v>5510</v>
      </c>
      <c r="AG6" s="10">
        <v>5620</v>
      </c>
      <c r="AH6" s="10">
        <v>5730</v>
      </c>
      <c r="AI6" s="10">
        <v>5730</v>
      </c>
      <c r="AK6" s="65">
        <f t="shared" si="1"/>
        <v>0.63779020798383856</v>
      </c>
      <c r="AL6" s="67">
        <f t="shared" si="2"/>
        <v>6.1223047013078827E-3</v>
      </c>
      <c r="AM6" s="67">
        <f t="shared" si="3"/>
        <v>5.5640251303613218E-3</v>
      </c>
    </row>
    <row r="7" spans="1:40">
      <c r="B7" s="7" t="s">
        <v>47</v>
      </c>
      <c r="C7" s="8"/>
      <c r="D7" s="9">
        <v>12720</v>
      </c>
      <c r="E7" s="9">
        <v>10810</v>
      </c>
      <c r="F7" s="13">
        <v>10464.160446759384</v>
      </c>
      <c r="G7" s="9">
        <v>12570</v>
      </c>
      <c r="H7" s="9">
        <v>12700</v>
      </c>
      <c r="I7" s="9">
        <v>14220</v>
      </c>
      <c r="J7" s="9">
        <v>14790</v>
      </c>
      <c r="K7" s="9">
        <v>14790</v>
      </c>
      <c r="L7" s="9">
        <v>17010</v>
      </c>
      <c r="M7" s="9">
        <v>18540</v>
      </c>
      <c r="N7" s="9">
        <v>19100</v>
      </c>
      <c r="O7" s="9">
        <v>20630</v>
      </c>
      <c r="P7" s="9">
        <v>21460</v>
      </c>
      <c r="Q7" s="9">
        <v>22100</v>
      </c>
      <c r="R7" s="9">
        <v>22540</v>
      </c>
      <c r="S7" s="9">
        <v>22540</v>
      </c>
      <c r="T7" s="9">
        <v>22770</v>
      </c>
      <c r="U7" s="9">
        <v>23450</v>
      </c>
      <c r="V7" s="9">
        <v>24150</v>
      </c>
      <c r="W7" s="9">
        <v>24630</v>
      </c>
      <c r="X7" s="9">
        <v>25370</v>
      </c>
      <c r="Y7" s="9">
        <v>26130</v>
      </c>
      <c r="Z7" s="9">
        <v>26910</v>
      </c>
      <c r="AA7" s="9">
        <v>27720</v>
      </c>
      <c r="AB7" s="9">
        <v>27720</v>
      </c>
      <c r="AC7" s="9">
        <v>28270</v>
      </c>
      <c r="AD7" s="9">
        <v>30530</v>
      </c>
      <c r="AE7" s="10">
        <v>32060</v>
      </c>
      <c r="AF7" s="10">
        <v>33340</v>
      </c>
      <c r="AG7" s="10">
        <v>34010</v>
      </c>
      <c r="AH7" s="10">
        <v>34690</v>
      </c>
      <c r="AI7" s="10">
        <v>34690</v>
      </c>
      <c r="AK7" s="65">
        <f t="shared" si="1"/>
        <v>3.8422252575423324</v>
      </c>
      <c r="AL7" s="67">
        <f t="shared" si="2"/>
        <v>3.6945917285259811E-2</v>
      </c>
      <c r="AM7" s="67">
        <f t="shared" si="3"/>
        <v>3.3685171338958854E-2</v>
      </c>
    </row>
    <row r="8" spans="1:40">
      <c r="B8" s="7" t="s">
        <v>48</v>
      </c>
      <c r="C8" s="8"/>
      <c r="D8" s="9">
        <v>0</v>
      </c>
      <c r="E8" s="9">
        <v>0</v>
      </c>
      <c r="F8" s="13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K8" s="65">
        <f t="shared" si="1"/>
        <v>0</v>
      </c>
      <c r="AL8" s="67">
        <f t="shared" si="2"/>
        <v>0</v>
      </c>
      <c r="AM8" s="67">
        <f t="shared" si="3"/>
        <v>0</v>
      </c>
    </row>
    <row r="9" spans="1:40">
      <c r="B9" s="7" t="s">
        <v>49</v>
      </c>
      <c r="C9" s="8"/>
      <c r="D9" s="9">
        <v>440</v>
      </c>
      <c r="E9" s="9">
        <v>370</v>
      </c>
      <c r="F9" s="13">
        <v>264.28840970350404</v>
      </c>
      <c r="G9" s="9">
        <v>430</v>
      </c>
      <c r="H9" s="9">
        <v>430</v>
      </c>
      <c r="I9" s="9">
        <v>480</v>
      </c>
      <c r="J9" s="9">
        <v>500</v>
      </c>
      <c r="K9" s="9">
        <v>500</v>
      </c>
      <c r="L9" s="9">
        <v>580</v>
      </c>
      <c r="M9" s="9">
        <v>630</v>
      </c>
      <c r="N9" s="9">
        <v>650</v>
      </c>
      <c r="O9" s="9">
        <v>700</v>
      </c>
      <c r="P9" s="9">
        <v>730</v>
      </c>
      <c r="Q9" s="9">
        <v>750</v>
      </c>
      <c r="R9" s="9">
        <v>770</v>
      </c>
      <c r="S9" s="9">
        <v>770</v>
      </c>
      <c r="T9" s="9">
        <v>780</v>
      </c>
      <c r="U9" s="9">
        <v>800</v>
      </c>
      <c r="V9" s="9">
        <v>820</v>
      </c>
      <c r="W9" s="9">
        <v>840</v>
      </c>
      <c r="X9" s="9">
        <v>870</v>
      </c>
      <c r="Y9" s="9">
        <v>900</v>
      </c>
      <c r="Z9" s="9">
        <v>930</v>
      </c>
      <c r="AA9" s="9">
        <v>960</v>
      </c>
      <c r="AB9" s="9">
        <v>960</v>
      </c>
      <c r="AC9" s="9">
        <v>980</v>
      </c>
      <c r="AD9" s="9">
        <v>1060</v>
      </c>
      <c r="AE9" s="10">
        <v>1110</v>
      </c>
      <c r="AF9" s="10">
        <v>1150</v>
      </c>
      <c r="AG9" s="10">
        <v>1170</v>
      </c>
      <c r="AH9" s="10">
        <v>1190</v>
      </c>
      <c r="AI9" s="10">
        <v>1190</v>
      </c>
      <c r="AK9" s="65">
        <f t="shared" si="1"/>
        <v>0.13120855797621475</v>
      </c>
      <c r="AL9" s="67">
        <f t="shared" si="2"/>
        <v>1.2725344644750796E-3</v>
      </c>
      <c r="AM9" s="67">
        <f t="shared" si="3"/>
        <v>1.1555305244554926E-3</v>
      </c>
    </row>
    <row r="10" spans="1:40">
      <c r="B10" s="7" t="s">
        <v>50</v>
      </c>
      <c r="C10" s="8"/>
      <c r="D10" s="9">
        <v>5210</v>
      </c>
      <c r="E10" s="9">
        <v>4430</v>
      </c>
      <c r="F10" s="13">
        <v>5429.8862633491908</v>
      </c>
      <c r="G10" s="9">
        <v>5150</v>
      </c>
      <c r="H10" s="9">
        <v>5200</v>
      </c>
      <c r="I10" s="9">
        <v>5820</v>
      </c>
      <c r="J10" s="9">
        <v>6050</v>
      </c>
      <c r="K10" s="9">
        <v>6050</v>
      </c>
      <c r="L10" s="9">
        <v>6960</v>
      </c>
      <c r="M10" s="9">
        <v>7590</v>
      </c>
      <c r="N10" s="9">
        <v>7820</v>
      </c>
      <c r="O10" s="9">
        <v>8450</v>
      </c>
      <c r="P10" s="9">
        <v>8790</v>
      </c>
      <c r="Q10" s="9">
        <v>9050</v>
      </c>
      <c r="R10" s="9">
        <v>9230</v>
      </c>
      <c r="S10" s="9">
        <v>9230</v>
      </c>
      <c r="T10" s="9">
        <v>9320</v>
      </c>
      <c r="U10" s="9">
        <v>9600</v>
      </c>
      <c r="V10" s="9">
        <v>9890</v>
      </c>
      <c r="W10" s="9">
        <v>10090</v>
      </c>
      <c r="X10" s="9">
        <v>10390</v>
      </c>
      <c r="Y10" s="9">
        <v>10700</v>
      </c>
      <c r="Z10" s="9">
        <v>11020</v>
      </c>
      <c r="AA10" s="9">
        <v>11350</v>
      </c>
      <c r="AB10" s="9">
        <v>11350</v>
      </c>
      <c r="AC10" s="9">
        <v>11580</v>
      </c>
      <c r="AD10" s="9">
        <v>12510</v>
      </c>
      <c r="AE10" s="10">
        <v>13140</v>
      </c>
      <c r="AF10" s="10">
        <v>13670</v>
      </c>
      <c r="AG10" s="10">
        <v>13940</v>
      </c>
      <c r="AH10" s="10">
        <v>14220</v>
      </c>
      <c r="AI10" s="10">
        <v>14220</v>
      </c>
      <c r="AK10" s="65">
        <f t="shared" si="1"/>
        <v>1.5798054977156715</v>
      </c>
      <c r="AL10" s="67">
        <f t="shared" si="2"/>
        <v>1.5129020855425945E-2</v>
      </c>
      <c r="AM10" s="67">
        <f t="shared" si="3"/>
        <v>1.3808104250216054E-2</v>
      </c>
    </row>
    <row r="11" spans="1:40">
      <c r="A11" s="4">
        <v>2</v>
      </c>
      <c r="B11" s="5" t="s">
        <v>51</v>
      </c>
      <c r="C11" s="6">
        <v>68588.244786420444</v>
      </c>
      <c r="D11" s="11">
        <f t="shared" ref="D11:AI11" si="4">SUM(D12:D18)</f>
        <v>33250</v>
      </c>
      <c r="E11" s="11">
        <f t="shared" si="4"/>
        <v>29920</v>
      </c>
      <c r="F11" s="12">
        <f t="shared" si="4"/>
        <v>37913.029430296614</v>
      </c>
      <c r="G11" s="12">
        <f t="shared" si="4"/>
        <v>36500</v>
      </c>
      <c r="H11" s="12">
        <f t="shared" si="4"/>
        <v>37230</v>
      </c>
      <c r="I11" s="12">
        <f t="shared" si="4"/>
        <v>41700</v>
      </c>
      <c r="J11" s="12">
        <f t="shared" si="4"/>
        <v>43380</v>
      </c>
      <c r="K11" s="12">
        <f t="shared" si="4"/>
        <v>45560</v>
      </c>
      <c r="L11" s="12">
        <f t="shared" si="4"/>
        <v>52390</v>
      </c>
      <c r="M11" s="12">
        <f t="shared" si="4"/>
        <v>57100</v>
      </c>
      <c r="N11" s="12">
        <f t="shared" si="4"/>
        <v>58810</v>
      </c>
      <c r="O11" s="12">
        <f t="shared" si="4"/>
        <v>62940</v>
      </c>
      <c r="P11" s="12">
        <f t="shared" si="4"/>
        <v>66710</v>
      </c>
      <c r="Q11" s="12">
        <f t="shared" si="4"/>
        <v>70710</v>
      </c>
      <c r="R11" s="12">
        <f t="shared" si="4"/>
        <v>74960</v>
      </c>
      <c r="S11" s="12">
        <f t="shared" si="4"/>
        <v>82470</v>
      </c>
      <c r="T11" s="12">
        <f t="shared" si="4"/>
        <v>88250</v>
      </c>
      <c r="U11" s="12">
        <f t="shared" si="4"/>
        <v>95310</v>
      </c>
      <c r="V11" s="12">
        <f t="shared" si="4"/>
        <v>101020</v>
      </c>
      <c r="W11" s="12">
        <f t="shared" si="4"/>
        <v>107080</v>
      </c>
      <c r="X11" s="12">
        <f t="shared" si="4"/>
        <v>112430</v>
      </c>
      <c r="Y11" s="12">
        <f t="shared" si="4"/>
        <v>116930</v>
      </c>
      <c r="Z11" s="12">
        <f t="shared" si="4"/>
        <v>121620</v>
      </c>
      <c r="AA11" s="12">
        <f t="shared" si="4"/>
        <v>126490</v>
      </c>
      <c r="AB11" s="12">
        <f t="shared" si="4"/>
        <v>129010</v>
      </c>
      <c r="AC11" s="12">
        <f t="shared" si="4"/>
        <v>134150</v>
      </c>
      <c r="AD11" s="12">
        <f t="shared" si="4"/>
        <v>147560</v>
      </c>
      <c r="AE11" s="12">
        <f t="shared" si="4"/>
        <v>154940</v>
      </c>
      <c r="AF11" s="12">
        <f t="shared" si="4"/>
        <v>162680</v>
      </c>
      <c r="AG11" s="12">
        <f t="shared" si="4"/>
        <v>169190</v>
      </c>
      <c r="AH11" s="12">
        <f t="shared" si="4"/>
        <v>175960</v>
      </c>
      <c r="AI11" s="12">
        <f t="shared" si="4"/>
        <v>177720</v>
      </c>
      <c r="AK11" s="65">
        <f t="shared" si="1"/>
        <v>15.67793854988669</v>
      </c>
      <c r="AL11" s="67">
        <f t="shared" si="2"/>
        <v>0.16533050547896783</v>
      </c>
      <c r="AM11" s="67">
        <f t="shared" si="3"/>
        <v>0.17257217210607576</v>
      </c>
    </row>
    <row r="12" spans="1:40">
      <c r="B12" s="7" t="s">
        <v>44</v>
      </c>
      <c r="C12" s="8"/>
      <c r="D12" s="9">
        <v>10160</v>
      </c>
      <c r="E12" s="9">
        <v>9140</v>
      </c>
      <c r="F12" s="13">
        <v>18002.592856201398</v>
      </c>
      <c r="G12" s="9">
        <v>11150</v>
      </c>
      <c r="H12" s="9">
        <v>11370</v>
      </c>
      <c r="I12" s="9">
        <v>12730</v>
      </c>
      <c r="J12" s="9">
        <v>13240</v>
      </c>
      <c r="K12" s="9">
        <v>13900</v>
      </c>
      <c r="L12" s="9">
        <v>15990</v>
      </c>
      <c r="M12" s="9">
        <v>17430</v>
      </c>
      <c r="N12" s="9">
        <v>17950</v>
      </c>
      <c r="O12" s="9">
        <v>19210</v>
      </c>
      <c r="P12" s="9">
        <v>20360</v>
      </c>
      <c r="Q12" s="9">
        <v>21580</v>
      </c>
      <c r="R12" s="9">
        <v>22870</v>
      </c>
      <c r="S12" s="9">
        <v>25160</v>
      </c>
      <c r="T12" s="9">
        <v>26920</v>
      </c>
      <c r="U12" s="9">
        <v>29070</v>
      </c>
      <c r="V12" s="9">
        <v>30810</v>
      </c>
      <c r="W12" s="9">
        <v>32660</v>
      </c>
      <c r="X12" s="9">
        <v>34290</v>
      </c>
      <c r="Y12" s="9">
        <v>35660</v>
      </c>
      <c r="Z12" s="9">
        <v>37090</v>
      </c>
      <c r="AA12" s="9">
        <v>38570</v>
      </c>
      <c r="AB12" s="9">
        <v>39340</v>
      </c>
      <c r="AC12" s="9">
        <v>40910</v>
      </c>
      <c r="AD12" s="9">
        <v>45000</v>
      </c>
      <c r="AE12" s="10">
        <v>47250</v>
      </c>
      <c r="AF12" s="10">
        <v>49610</v>
      </c>
      <c r="AG12" s="10">
        <v>51590</v>
      </c>
      <c r="AH12" s="10">
        <v>53650</v>
      </c>
      <c r="AI12" s="10">
        <v>54190</v>
      </c>
      <c r="AK12" s="65">
        <f t="shared" si="1"/>
        <v>4.8164439724933414</v>
      </c>
      <c r="AL12" s="67">
        <f t="shared" si="2"/>
        <v>5.0420643336868153E-2</v>
      </c>
      <c r="AM12" s="67">
        <f t="shared" si="3"/>
        <v>5.262033539516231E-2</v>
      </c>
    </row>
    <row r="13" spans="1:40">
      <c r="B13" s="7" t="s">
        <v>45</v>
      </c>
      <c r="C13" s="8"/>
      <c r="D13" s="9">
        <v>8120</v>
      </c>
      <c r="E13" s="9">
        <v>7310</v>
      </c>
      <c r="F13" s="13">
        <v>5107.5735913037206</v>
      </c>
      <c r="G13" s="9">
        <v>8910</v>
      </c>
      <c r="H13" s="9">
        <v>9090</v>
      </c>
      <c r="I13" s="9">
        <v>10180</v>
      </c>
      <c r="J13" s="9">
        <v>10590</v>
      </c>
      <c r="K13" s="9">
        <v>11120</v>
      </c>
      <c r="L13" s="9">
        <v>12790</v>
      </c>
      <c r="M13" s="9">
        <v>13940</v>
      </c>
      <c r="N13" s="9">
        <v>14360</v>
      </c>
      <c r="O13" s="9">
        <v>15370</v>
      </c>
      <c r="P13" s="9">
        <v>16290</v>
      </c>
      <c r="Q13" s="9">
        <v>17270</v>
      </c>
      <c r="R13" s="9">
        <v>18310</v>
      </c>
      <c r="S13" s="9">
        <v>20140</v>
      </c>
      <c r="T13" s="9">
        <v>21550</v>
      </c>
      <c r="U13" s="9">
        <v>23270</v>
      </c>
      <c r="V13" s="9">
        <v>24670</v>
      </c>
      <c r="W13" s="9">
        <v>26150</v>
      </c>
      <c r="X13" s="9">
        <v>27460</v>
      </c>
      <c r="Y13" s="9">
        <v>28560</v>
      </c>
      <c r="Z13" s="9">
        <v>29700</v>
      </c>
      <c r="AA13" s="9">
        <v>30890</v>
      </c>
      <c r="AB13" s="9">
        <v>31510</v>
      </c>
      <c r="AC13" s="9">
        <v>32770</v>
      </c>
      <c r="AD13" s="9">
        <v>36050</v>
      </c>
      <c r="AE13" s="10">
        <v>37850</v>
      </c>
      <c r="AF13" s="10">
        <v>39740</v>
      </c>
      <c r="AG13" s="10">
        <v>41330</v>
      </c>
      <c r="AH13" s="10">
        <v>42980</v>
      </c>
      <c r="AI13" s="10">
        <v>43410</v>
      </c>
      <c r="AK13" s="65">
        <f t="shared" si="1"/>
        <v>3.8069772480976969</v>
      </c>
      <c r="AL13" s="67">
        <f t="shared" si="2"/>
        <v>4.0381760339342522E-2</v>
      </c>
      <c r="AM13" s="67">
        <f t="shared" si="3"/>
        <v>4.2152588291271373E-2</v>
      </c>
    </row>
    <row r="14" spans="1:40">
      <c r="B14" s="7" t="s">
        <v>46</v>
      </c>
      <c r="C14" s="8"/>
      <c r="D14" s="9">
        <v>1770</v>
      </c>
      <c r="E14" s="9">
        <v>1590</v>
      </c>
      <c r="F14" s="13">
        <v>1816.7059555279116</v>
      </c>
      <c r="G14" s="9">
        <v>1940</v>
      </c>
      <c r="H14" s="9">
        <v>1980</v>
      </c>
      <c r="I14" s="9">
        <v>2220</v>
      </c>
      <c r="J14" s="9">
        <v>2310</v>
      </c>
      <c r="K14" s="9">
        <v>2430</v>
      </c>
      <c r="L14" s="9">
        <v>2790</v>
      </c>
      <c r="M14" s="9">
        <v>3040</v>
      </c>
      <c r="N14" s="9">
        <v>3130</v>
      </c>
      <c r="O14" s="9">
        <v>3350</v>
      </c>
      <c r="P14" s="9">
        <v>3550</v>
      </c>
      <c r="Q14" s="9">
        <v>3760</v>
      </c>
      <c r="R14" s="9">
        <v>3990</v>
      </c>
      <c r="S14" s="9">
        <v>4390</v>
      </c>
      <c r="T14" s="9">
        <v>4700</v>
      </c>
      <c r="U14" s="9">
        <v>5080</v>
      </c>
      <c r="V14" s="9">
        <v>5380</v>
      </c>
      <c r="W14" s="9">
        <v>5700</v>
      </c>
      <c r="X14" s="9">
        <v>5990</v>
      </c>
      <c r="Y14" s="9">
        <v>6230</v>
      </c>
      <c r="Z14" s="9">
        <v>6480</v>
      </c>
      <c r="AA14" s="9">
        <v>6740</v>
      </c>
      <c r="AB14" s="9">
        <v>6870</v>
      </c>
      <c r="AC14" s="9">
        <v>7140</v>
      </c>
      <c r="AD14" s="9">
        <v>7850</v>
      </c>
      <c r="AE14" s="10">
        <v>8240</v>
      </c>
      <c r="AF14" s="10">
        <v>8650</v>
      </c>
      <c r="AG14" s="10">
        <v>9000</v>
      </c>
      <c r="AH14" s="10">
        <v>9360</v>
      </c>
      <c r="AI14" s="10">
        <v>9450</v>
      </c>
      <c r="AK14" s="65">
        <f t="shared" si="1"/>
        <v>0.83341055485393056</v>
      </c>
      <c r="AL14" s="67">
        <f t="shared" si="2"/>
        <v>8.8087663485330505E-3</v>
      </c>
      <c r="AM14" s="67">
        <f t="shared" si="3"/>
        <v>9.1762718118524409E-3</v>
      </c>
    </row>
    <row r="15" spans="1:40">
      <c r="B15" s="7" t="s">
        <v>47</v>
      </c>
      <c r="C15" s="8"/>
      <c r="D15" s="9">
        <v>5300</v>
      </c>
      <c r="E15" s="9">
        <v>4770</v>
      </c>
      <c r="F15" s="13">
        <v>4616.5913118187182</v>
      </c>
      <c r="G15" s="9">
        <v>5820</v>
      </c>
      <c r="H15" s="9">
        <v>5940</v>
      </c>
      <c r="I15" s="9">
        <v>6650</v>
      </c>
      <c r="J15" s="9">
        <v>6920</v>
      </c>
      <c r="K15" s="9">
        <v>7270</v>
      </c>
      <c r="L15" s="9">
        <v>8360</v>
      </c>
      <c r="M15" s="9">
        <v>9110</v>
      </c>
      <c r="N15" s="9">
        <v>9380</v>
      </c>
      <c r="O15" s="9">
        <v>10040</v>
      </c>
      <c r="P15" s="9">
        <v>10640</v>
      </c>
      <c r="Q15" s="9">
        <v>11280</v>
      </c>
      <c r="R15" s="9">
        <v>11960</v>
      </c>
      <c r="S15" s="9">
        <v>13160</v>
      </c>
      <c r="T15" s="9">
        <v>14080</v>
      </c>
      <c r="U15" s="9">
        <v>15210</v>
      </c>
      <c r="V15" s="9">
        <v>16120</v>
      </c>
      <c r="W15" s="9">
        <v>17090</v>
      </c>
      <c r="X15" s="9">
        <v>17940</v>
      </c>
      <c r="Y15" s="9">
        <v>18660</v>
      </c>
      <c r="Z15" s="9">
        <v>19410</v>
      </c>
      <c r="AA15" s="9">
        <v>20190</v>
      </c>
      <c r="AB15" s="9">
        <v>20590</v>
      </c>
      <c r="AC15" s="9">
        <v>21410</v>
      </c>
      <c r="AD15" s="9">
        <v>23550</v>
      </c>
      <c r="AE15" s="10">
        <v>24730</v>
      </c>
      <c r="AF15" s="10">
        <v>25970</v>
      </c>
      <c r="AG15" s="10">
        <v>27010</v>
      </c>
      <c r="AH15" s="10">
        <v>28090</v>
      </c>
      <c r="AI15" s="10">
        <v>28370</v>
      </c>
      <c r="AK15" s="65">
        <f t="shared" si="1"/>
        <v>2.4943175410259948</v>
      </c>
      <c r="AL15" s="67">
        <f t="shared" si="2"/>
        <v>2.6383881230116649E-2</v>
      </c>
      <c r="AM15" s="67">
        <f t="shared" si="3"/>
        <v>2.7548236116640611E-2</v>
      </c>
    </row>
    <row r="16" spans="1:40">
      <c r="B16" s="7" t="s">
        <v>48</v>
      </c>
      <c r="C16" s="8"/>
      <c r="D16" s="9">
        <v>4590</v>
      </c>
      <c r="E16" s="9">
        <v>4130</v>
      </c>
      <c r="F16" s="13">
        <v>6262.7031817521429</v>
      </c>
      <c r="G16" s="9">
        <v>5040</v>
      </c>
      <c r="H16" s="9">
        <v>5140</v>
      </c>
      <c r="I16" s="9">
        <v>5760</v>
      </c>
      <c r="J16" s="9">
        <v>5990</v>
      </c>
      <c r="K16" s="9">
        <v>6290</v>
      </c>
      <c r="L16" s="9">
        <v>7230</v>
      </c>
      <c r="M16" s="9">
        <v>7880</v>
      </c>
      <c r="N16" s="9">
        <v>8120</v>
      </c>
      <c r="O16" s="9">
        <v>8690</v>
      </c>
      <c r="P16" s="9">
        <v>9210</v>
      </c>
      <c r="Q16" s="9">
        <v>9760</v>
      </c>
      <c r="R16" s="9">
        <v>10350</v>
      </c>
      <c r="S16" s="9">
        <v>11390</v>
      </c>
      <c r="T16" s="9">
        <v>12190</v>
      </c>
      <c r="U16" s="9">
        <v>13170</v>
      </c>
      <c r="V16" s="9">
        <v>13960</v>
      </c>
      <c r="W16" s="9">
        <v>14800</v>
      </c>
      <c r="X16" s="9">
        <v>15540</v>
      </c>
      <c r="Y16" s="9">
        <v>16160</v>
      </c>
      <c r="Z16" s="9">
        <v>16810</v>
      </c>
      <c r="AA16" s="9">
        <v>17480</v>
      </c>
      <c r="AB16" s="9">
        <v>17830</v>
      </c>
      <c r="AC16" s="9">
        <v>18540</v>
      </c>
      <c r="AD16" s="9">
        <v>20390</v>
      </c>
      <c r="AE16" s="10">
        <v>21410</v>
      </c>
      <c r="AF16" s="10">
        <v>22480</v>
      </c>
      <c r="AG16" s="10">
        <v>23380</v>
      </c>
      <c r="AH16" s="10">
        <v>24320</v>
      </c>
      <c r="AI16" s="10">
        <v>24560</v>
      </c>
      <c r="AK16" s="65">
        <f t="shared" si="1"/>
        <v>2.171484267002163</v>
      </c>
      <c r="AL16" s="67">
        <f t="shared" si="2"/>
        <v>2.2849063273241429E-2</v>
      </c>
      <c r="AM16" s="67">
        <f t="shared" si="3"/>
        <v>2.3848596370274706E-2</v>
      </c>
    </row>
    <row r="17" spans="1:39">
      <c r="B17" s="7" t="s">
        <v>49</v>
      </c>
      <c r="C17" s="8"/>
      <c r="D17" s="9">
        <v>3310</v>
      </c>
      <c r="E17" s="9">
        <v>2980</v>
      </c>
      <c r="F17" s="13">
        <v>2106.8625336927221</v>
      </c>
      <c r="G17" s="9">
        <v>3640</v>
      </c>
      <c r="H17" s="9">
        <v>3710</v>
      </c>
      <c r="I17" s="9">
        <v>4160</v>
      </c>
      <c r="J17" s="9">
        <v>4330</v>
      </c>
      <c r="K17" s="9">
        <v>4550</v>
      </c>
      <c r="L17" s="9">
        <v>5230</v>
      </c>
      <c r="M17" s="9">
        <v>5700</v>
      </c>
      <c r="N17" s="9">
        <v>5870</v>
      </c>
      <c r="O17" s="9">
        <v>6280</v>
      </c>
      <c r="P17" s="9">
        <v>6660</v>
      </c>
      <c r="Q17" s="9">
        <v>7060</v>
      </c>
      <c r="R17" s="9">
        <v>7480</v>
      </c>
      <c r="S17" s="9">
        <v>8230</v>
      </c>
      <c r="T17" s="9">
        <v>8810</v>
      </c>
      <c r="U17" s="9">
        <v>9510</v>
      </c>
      <c r="V17" s="9">
        <v>10080</v>
      </c>
      <c r="W17" s="9">
        <v>10680</v>
      </c>
      <c r="X17" s="9">
        <v>11210</v>
      </c>
      <c r="Y17" s="9">
        <v>11660</v>
      </c>
      <c r="Z17" s="9">
        <v>12130</v>
      </c>
      <c r="AA17" s="9">
        <v>12620</v>
      </c>
      <c r="AB17" s="9">
        <v>12870</v>
      </c>
      <c r="AC17" s="9">
        <v>13380</v>
      </c>
      <c r="AD17" s="9">
        <v>14720</v>
      </c>
      <c r="AE17" s="10">
        <v>15460</v>
      </c>
      <c r="AF17" s="10">
        <v>16230</v>
      </c>
      <c r="AG17" s="10">
        <v>16880</v>
      </c>
      <c r="AH17" s="10">
        <v>17560</v>
      </c>
      <c r="AI17" s="10">
        <v>17740</v>
      </c>
      <c r="AK17" s="65">
        <f t="shared" si="1"/>
        <v>1.5553049664135616</v>
      </c>
      <c r="AL17" s="67">
        <f t="shared" si="2"/>
        <v>1.6486390950866032E-2</v>
      </c>
      <c r="AM17" s="67">
        <f t="shared" si="3"/>
        <v>1.722614412087432E-2</v>
      </c>
    </row>
    <row r="18" spans="1:39">
      <c r="B18" s="7" t="s">
        <v>50</v>
      </c>
      <c r="C18" s="8"/>
      <c r="D18" s="9">
        <v>0</v>
      </c>
      <c r="E18" s="9">
        <v>0</v>
      </c>
      <c r="F18" s="13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K18" s="65">
        <f t="shared" si="1"/>
        <v>0</v>
      </c>
      <c r="AL18" s="67">
        <f t="shared" si="2"/>
        <v>0</v>
      </c>
      <c r="AM18" s="67">
        <f t="shared" si="3"/>
        <v>0</v>
      </c>
    </row>
    <row r="19" spans="1:39">
      <c r="A19" s="4">
        <v>3</v>
      </c>
      <c r="B19" s="5" t="s">
        <v>52</v>
      </c>
      <c r="C19" s="6">
        <v>18909.000218712779</v>
      </c>
      <c r="D19" s="11">
        <f t="shared" ref="D19:AI19" si="5">SUM(D20:D26)</f>
        <v>18510</v>
      </c>
      <c r="E19" s="11">
        <f t="shared" si="5"/>
        <v>16670</v>
      </c>
      <c r="F19" s="12">
        <f t="shared" si="5"/>
        <v>23532.148989568097</v>
      </c>
      <c r="G19" s="12">
        <f t="shared" si="5"/>
        <v>19270</v>
      </c>
      <c r="H19" s="12">
        <f t="shared" si="5"/>
        <v>19450</v>
      </c>
      <c r="I19" s="12">
        <f t="shared" si="5"/>
        <v>20620</v>
      </c>
      <c r="J19" s="12">
        <f t="shared" si="5"/>
        <v>21030</v>
      </c>
      <c r="K19" s="12">
        <f t="shared" si="5"/>
        <v>22090</v>
      </c>
      <c r="L19" s="12">
        <f t="shared" si="5"/>
        <v>23860</v>
      </c>
      <c r="M19" s="12">
        <f t="shared" si="5"/>
        <v>25050</v>
      </c>
      <c r="N19" s="12">
        <f t="shared" si="5"/>
        <v>26310</v>
      </c>
      <c r="O19" s="12">
        <f t="shared" si="5"/>
        <v>27900</v>
      </c>
      <c r="P19" s="12">
        <f t="shared" si="5"/>
        <v>29580</v>
      </c>
      <c r="Q19" s="12">
        <f t="shared" si="5"/>
        <v>31350</v>
      </c>
      <c r="R19" s="12">
        <f t="shared" si="5"/>
        <v>32290</v>
      </c>
      <c r="S19" s="12">
        <f t="shared" si="5"/>
        <v>34230</v>
      </c>
      <c r="T19" s="12">
        <f t="shared" si="5"/>
        <v>36630</v>
      </c>
      <c r="U19" s="12">
        <f t="shared" si="5"/>
        <v>39920</v>
      </c>
      <c r="V19" s="12">
        <f t="shared" si="5"/>
        <v>43520</v>
      </c>
      <c r="W19" s="12">
        <f t="shared" si="5"/>
        <v>45260</v>
      </c>
      <c r="X19" s="12">
        <f t="shared" si="5"/>
        <v>47510</v>
      </c>
      <c r="Y19" s="12">
        <f t="shared" si="5"/>
        <v>49420</v>
      </c>
      <c r="Z19" s="12">
        <f t="shared" si="5"/>
        <v>52390</v>
      </c>
      <c r="AA19" s="12">
        <f t="shared" si="5"/>
        <v>55010</v>
      </c>
      <c r="AB19" s="12">
        <f t="shared" si="5"/>
        <v>56110</v>
      </c>
      <c r="AC19" s="12">
        <f t="shared" si="5"/>
        <v>57790</v>
      </c>
      <c r="AD19" s="12">
        <f t="shared" si="5"/>
        <v>61240</v>
      </c>
      <c r="AE19" s="12">
        <f t="shared" si="5"/>
        <v>63080</v>
      </c>
      <c r="AF19" s="12">
        <f t="shared" si="5"/>
        <v>65610</v>
      </c>
      <c r="AG19" s="12">
        <f t="shared" si="5"/>
        <v>68890</v>
      </c>
      <c r="AH19" s="12">
        <f t="shared" si="5"/>
        <v>70960</v>
      </c>
      <c r="AI19" s="12">
        <f t="shared" si="5"/>
        <v>75210</v>
      </c>
      <c r="AK19" s="65">
        <f t="shared" si="1"/>
        <v>6.7998431637159804</v>
      </c>
      <c r="AL19" s="67">
        <f t="shared" si="2"/>
        <v>6.9876281371509363E-2</v>
      </c>
      <c r="AM19" s="67">
        <f t="shared" si="3"/>
        <v>7.3031471213695465E-2</v>
      </c>
    </row>
    <row r="20" spans="1:39">
      <c r="B20" s="7" t="s">
        <v>44</v>
      </c>
      <c r="C20" s="8"/>
      <c r="D20" s="9">
        <v>9850</v>
      </c>
      <c r="E20" s="9">
        <v>8870</v>
      </c>
      <c r="F20" s="9">
        <v>16842.026624489259</v>
      </c>
      <c r="G20" s="9">
        <v>10250</v>
      </c>
      <c r="H20" s="9">
        <v>10350</v>
      </c>
      <c r="I20" s="9">
        <v>10970</v>
      </c>
      <c r="J20" s="9">
        <v>11190</v>
      </c>
      <c r="K20" s="9">
        <v>11750</v>
      </c>
      <c r="L20" s="9">
        <v>12690</v>
      </c>
      <c r="M20" s="9">
        <v>13320</v>
      </c>
      <c r="N20" s="9">
        <v>13990</v>
      </c>
      <c r="O20" s="9">
        <v>14830</v>
      </c>
      <c r="P20" s="9">
        <v>15720</v>
      </c>
      <c r="Q20" s="9">
        <v>16660</v>
      </c>
      <c r="R20" s="9">
        <v>17160</v>
      </c>
      <c r="S20" s="9">
        <v>18190</v>
      </c>
      <c r="T20" s="9">
        <v>19460</v>
      </c>
      <c r="U20" s="9">
        <v>21210</v>
      </c>
      <c r="V20" s="9">
        <v>23120</v>
      </c>
      <c r="W20" s="9">
        <v>24040</v>
      </c>
      <c r="X20" s="9">
        <v>25240</v>
      </c>
      <c r="Y20" s="9">
        <v>26250</v>
      </c>
      <c r="Z20" s="9">
        <v>27830</v>
      </c>
      <c r="AA20" s="9">
        <v>29220</v>
      </c>
      <c r="AB20" s="9">
        <v>29800</v>
      </c>
      <c r="AC20" s="9">
        <v>30690</v>
      </c>
      <c r="AD20" s="9">
        <v>32530</v>
      </c>
      <c r="AE20" s="10">
        <v>33510</v>
      </c>
      <c r="AF20" s="10">
        <v>34850</v>
      </c>
      <c r="AG20" s="10">
        <v>36590</v>
      </c>
      <c r="AH20" s="10">
        <v>37690</v>
      </c>
      <c r="AI20" s="10">
        <v>39950</v>
      </c>
      <c r="AK20" s="65">
        <f t="shared" si="1"/>
        <v>3.6360876013449706</v>
      </c>
      <c r="AL20" s="67">
        <f t="shared" si="2"/>
        <v>3.7115588547189819E-2</v>
      </c>
      <c r="AM20" s="67">
        <f t="shared" si="3"/>
        <v>3.8792810463862966E-2</v>
      </c>
    </row>
    <row r="21" spans="1:39">
      <c r="B21" s="7" t="s">
        <v>45</v>
      </c>
      <c r="C21" s="8"/>
      <c r="D21" s="9">
        <v>2210</v>
      </c>
      <c r="E21" s="9">
        <v>1990</v>
      </c>
      <c r="F21" s="9">
        <v>1341.4201197662394</v>
      </c>
      <c r="G21" s="9">
        <v>2300</v>
      </c>
      <c r="H21" s="9">
        <v>2320</v>
      </c>
      <c r="I21" s="9">
        <v>2460</v>
      </c>
      <c r="J21" s="9">
        <v>2510</v>
      </c>
      <c r="K21" s="9">
        <v>2640</v>
      </c>
      <c r="L21" s="9">
        <v>2850</v>
      </c>
      <c r="M21" s="9">
        <v>2990</v>
      </c>
      <c r="N21" s="9">
        <v>3140</v>
      </c>
      <c r="O21" s="9">
        <v>3330</v>
      </c>
      <c r="P21" s="9">
        <v>3530</v>
      </c>
      <c r="Q21" s="9">
        <v>3740</v>
      </c>
      <c r="R21" s="9">
        <v>3850</v>
      </c>
      <c r="S21" s="9">
        <v>4080</v>
      </c>
      <c r="T21" s="9">
        <v>4370</v>
      </c>
      <c r="U21" s="9">
        <v>4760</v>
      </c>
      <c r="V21" s="9">
        <v>5190</v>
      </c>
      <c r="W21" s="9">
        <v>5400</v>
      </c>
      <c r="X21" s="9">
        <v>5670</v>
      </c>
      <c r="Y21" s="9">
        <v>5900</v>
      </c>
      <c r="Z21" s="9">
        <v>6250</v>
      </c>
      <c r="AA21" s="9">
        <v>6560</v>
      </c>
      <c r="AB21" s="9">
        <v>6690</v>
      </c>
      <c r="AC21" s="9">
        <v>6890</v>
      </c>
      <c r="AD21" s="9">
        <v>7300</v>
      </c>
      <c r="AE21" s="10">
        <v>7520</v>
      </c>
      <c r="AF21" s="10">
        <v>7820</v>
      </c>
      <c r="AG21" s="10">
        <v>8210</v>
      </c>
      <c r="AH21" s="10">
        <v>8460</v>
      </c>
      <c r="AI21" s="10">
        <v>8970</v>
      </c>
      <c r="AK21" s="65">
        <f t="shared" si="1"/>
        <v>0.80326817397399242</v>
      </c>
      <c r="AL21" s="67">
        <f t="shared" si="2"/>
        <v>8.3421703782255215E-3</v>
      </c>
      <c r="AM21" s="67">
        <f t="shared" si="3"/>
        <v>8.7101754658535872E-3</v>
      </c>
    </row>
    <row r="22" spans="1:39">
      <c r="B22" s="7" t="s">
        <v>46</v>
      </c>
      <c r="C22" s="8"/>
      <c r="D22" s="9">
        <v>180</v>
      </c>
      <c r="E22" s="9">
        <v>160</v>
      </c>
      <c r="F22" s="9">
        <v>178.06919608148033</v>
      </c>
      <c r="G22" s="9">
        <v>190</v>
      </c>
      <c r="H22" s="9">
        <v>190</v>
      </c>
      <c r="I22" s="9">
        <v>200</v>
      </c>
      <c r="J22" s="9">
        <v>200</v>
      </c>
      <c r="K22" s="9">
        <v>210</v>
      </c>
      <c r="L22" s="9">
        <v>230</v>
      </c>
      <c r="M22" s="9">
        <v>240</v>
      </c>
      <c r="N22" s="9">
        <v>250</v>
      </c>
      <c r="O22" s="9">
        <v>270</v>
      </c>
      <c r="P22" s="9">
        <v>290</v>
      </c>
      <c r="Q22" s="9">
        <v>310</v>
      </c>
      <c r="R22" s="9">
        <v>320</v>
      </c>
      <c r="S22" s="9">
        <v>340</v>
      </c>
      <c r="T22" s="9">
        <v>360</v>
      </c>
      <c r="U22" s="9">
        <v>390</v>
      </c>
      <c r="V22" s="9">
        <v>430</v>
      </c>
      <c r="W22" s="9">
        <v>450</v>
      </c>
      <c r="X22" s="9">
        <v>470</v>
      </c>
      <c r="Y22" s="9">
        <v>490</v>
      </c>
      <c r="Z22" s="9">
        <v>520</v>
      </c>
      <c r="AA22" s="9">
        <v>550</v>
      </c>
      <c r="AB22" s="9">
        <v>560</v>
      </c>
      <c r="AC22" s="9">
        <v>580</v>
      </c>
      <c r="AD22" s="9">
        <v>610</v>
      </c>
      <c r="AE22" s="10">
        <v>630</v>
      </c>
      <c r="AF22" s="10">
        <v>660</v>
      </c>
      <c r="AG22" s="10">
        <v>690</v>
      </c>
      <c r="AH22" s="10">
        <v>710</v>
      </c>
      <c r="AI22" s="10">
        <v>750</v>
      </c>
      <c r="AK22" s="65">
        <f t="shared" si="1"/>
        <v>6.6963538906565034E-2</v>
      </c>
      <c r="AL22" s="67">
        <f t="shared" si="2"/>
        <v>6.9282431954754335E-4</v>
      </c>
      <c r="AM22" s="67">
        <f t="shared" si="3"/>
        <v>7.2827554062320963E-4</v>
      </c>
    </row>
    <row r="23" spans="1:39">
      <c r="B23" s="7" t="s">
        <v>47</v>
      </c>
      <c r="C23" s="8"/>
      <c r="D23" s="9">
        <v>5830</v>
      </c>
      <c r="E23" s="9">
        <v>5250</v>
      </c>
      <c r="F23" s="9">
        <v>4900.1406862481881</v>
      </c>
      <c r="G23" s="9">
        <v>6070</v>
      </c>
      <c r="H23" s="9">
        <v>6130</v>
      </c>
      <c r="I23" s="9">
        <v>6500</v>
      </c>
      <c r="J23" s="9">
        <v>6630</v>
      </c>
      <c r="K23" s="9">
        <v>6960</v>
      </c>
      <c r="L23" s="9">
        <v>7520</v>
      </c>
      <c r="M23" s="9">
        <v>7900</v>
      </c>
      <c r="N23" s="9">
        <v>8300</v>
      </c>
      <c r="O23" s="9">
        <v>8800</v>
      </c>
      <c r="P23" s="9">
        <v>9330</v>
      </c>
      <c r="Q23" s="9">
        <v>9890</v>
      </c>
      <c r="R23" s="9">
        <v>10190</v>
      </c>
      <c r="S23" s="9">
        <v>10800</v>
      </c>
      <c r="T23" s="9">
        <v>11560</v>
      </c>
      <c r="U23" s="9">
        <v>12600</v>
      </c>
      <c r="V23" s="9">
        <v>13730</v>
      </c>
      <c r="W23" s="9">
        <v>14280</v>
      </c>
      <c r="X23" s="9">
        <v>14990</v>
      </c>
      <c r="Y23" s="9">
        <v>15590</v>
      </c>
      <c r="Z23" s="9">
        <v>16530</v>
      </c>
      <c r="AA23" s="9">
        <v>17360</v>
      </c>
      <c r="AB23" s="9">
        <v>17710</v>
      </c>
      <c r="AC23" s="9">
        <v>18240</v>
      </c>
      <c r="AD23" s="9">
        <v>19330</v>
      </c>
      <c r="AE23" s="10">
        <v>19910</v>
      </c>
      <c r="AF23" s="10">
        <v>20710</v>
      </c>
      <c r="AG23" s="10">
        <v>21750</v>
      </c>
      <c r="AH23" s="10">
        <v>22400</v>
      </c>
      <c r="AI23" s="10">
        <v>23740</v>
      </c>
      <c r="AK23" s="65">
        <f t="shared" si="1"/>
        <v>2.1320618110555722</v>
      </c>
      <c r="AL23" s="67">
        <f t="shared" si="2"/>
        <v>2.2043124779073879E-2</v>
      </c>
      <c r="AM23" s="67">
        <f t="shared" si="3"/>
        <v>2.3052348445859995E-2</v>
      </c>
    </row>
    <row r="24" spans="1:39">
      <c r="B24" s="7" t="s">
        <v>48</v>
      </c>
      <c r="C24" s="8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K24" s="65">
        <f t="shared" si="1"/>
        <v>0</v>
      </c>
      <c r="AL24" s="67">
        <f t="shared" si="2"/>
        <v>0</v>
      </c>
      <c r="AM24" s="67">
        <f t="shared" si="3"/>
        <v>0</v>
      </c>
    </row>
    <row r="25" spans="1:39">
      <c r="B25" s="7" t="s">
        <v>49</v>
      </c>
      <c r="C25" s="8"/>
      <c r="D25" s="9">
        <v>440</v>
      </c>
      <c r="E25" s="9">
        <v>400</v>
      </c>
      <c r="F25" s="9">
        <v>270.49236298292902</v>
      </c>
      <c r="G25" s="9">
        <v>460</v>
      </c>
      <c r="H25" s="9">
        <v>460</v>
      </c>
      <c r="I25" s="9">
        <v>490</v>
      </c>
      <c r="J25" s="9">
        <v>500</v>
      </c>
      <c r="K25" s="9">
        <v>530</v>
      </c>
      <c r="L25" s="9">
        <v>570</v>
      </c>
      <c r="M25" s="9">
        <v>600</v>
      </c>
      <c r="N25" s="9">
        <v>630</v>
      </c>
      <c r="O25" s="9">
        <v>670</v>
      </c>
      <c r="P25" s="9">
        <v>710</v>
      </c>
      <c r="Q25" s="9">
        <v>750</v>
      </c>
      <c r="R25" s="9">
        <v>770</v>
      </c>
      <c r="S25" s="9">
        <v>820</v>
      </c>
      <c r="T25" s="9">
        <v>880</v>
      </c>
      <c r="U25" s="9">
        <v>960</v>
      </c>
      <c r="V25" s="9">
        <v>1050</v>
      </c>
      <c r="W25" s="9">
        <v>1090</v>
      </c>
      <c r="X25" s="9">
        <v>1140</v>
      </c>
      <c r="Y25" s="9">
        <v>1190</v>
      </c>
      <c r="Z25" s="9">
        <v>1260</v>
      </c>
      <c r="AA25" s="9">
        <v>1320</v>
      </c>
      <c r="AB25" s="9">
        <v>1350</v>
      </c>
      <c r="AC25" s="9">
        <v>1390</v>
      </c>
      <c r="AD25" s="9">
        <v>1470</v>
      </c>
      <c r="AE25" s="9">
        <v>1510</v>
      </c>
      <c r="AF25" s="9">
        <v>1570</v>
      </c>
      <c r="AG25" s="9">
        <v>1650</v>
      </c>
      <c r="AH25" s="9">
        <v>1700</v>
      </c>
      <c r="AI25" s="9">
        <v>1800</v>
      </c>
      <c r="AK25" s="65">
        <f t="shared" si="1"/>
        <v>0.16146203843488047</v>
      </c>
      <c r="AL25" s="67">
        <f t="shared" si="2"/>
        <v>1.6825733474726051E-3</v>
      </c>
      <c r="AM25" s="67">
        <f t="shared" si="3"/>
        <v>1.7478612974957033E-3</v>
      </c>
    </row>
    <row r="26" spans="1:39">
      <c r="B26" s="7" t="s">
        <v>50</v>
      </c>
      <c r="C26" s="8"/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K26" s="65">
        <f t="shared" si="1"/>
        <v>0</v>
      </c>
      <c r="AL26" s="67">
        <f t="shared" si="2"/>
        <v>0</v>
      </c>
      <c r="AM26" s="67">
        <f t="shared" si="3"/>
        <v>0</v>
      </c>
    </row>
    <row r="27" spans="1:39">
      <c r="A27" s="4">
        <v>4</v>
      </c>
      <c r="B27" s="5" t="s">
        <v>53</v>
      </c>
      <c r="C27" s="6">
        <v>5870.7951387450084</v>
      </c>
      <c r="D27" s="11">
        <f t="shared" ref="D27:AI27" si="6">SUM(D28:D34)</f>
        <v>85620</v>
      </c>
      <c r="E27" s="11">
        <f t="shared" si="6"/>
        <v>87330</v>
      </c>
      <c r="F27" s="12">
        <f t="shared" si="6"/>
        <v>83974.960172297753</v>
      </c>
      <c r="G27" s="12">
        <f t="shared" si="6"/>
        <v>99030</v>
      </c>
      <c r="H27" s="12">
        <f t="shared" si="6"/>
        <v>101000</v>
      </c>
      <c r="I27" s="12">
        <f t="shared" si="6"/>
        <v>108080</v>
      </c>
      <c r="J27" s="12">
        <f t="shared" si="6"/>
        <v>110250</v>
      </c>
      <c r="K27" s="12">
        <f t="shared" si="6"/>
        <v>115770</v>
      </c>
      <c r="L27" s="12">
        <f t="shared" si="6"/>
        <v>125020</v>
      </c>
      <c r="M27" s="12">
        <f t="shared" si="6"/>
        <v>131270</v>
      </c>
      <c r="N27" s="12">
        <f t="shared" si="6"/>
        <v>136520</v>
      </c>
      <c r="O27" s="12">
        <f t="shared" si="6"/>
        <v>141980</v>
      </c>
      <c r="P27" s="12">
        <f t="shared" si="6"/>
        <v>146240</v>
      </c>
      <c r="Q27" s="12">
        <f t="shared" si="6"/>
        <v>152090</v>
      </c>
      <c r="R27" s="12">
        <f t="shared" si="6"/>
        <v>158170</v>
      </c>
      <c r="S27" s="12">
        <f t="shared" si="6"/>
        <v>164500</v>
      </c>
      <c r="T27" s="12">
        <f t="shared" si="6"/>
        <v>171070</v>
      </c>
      <c r="U27" s="12">
        <f t="shared" si="6"/>
        <v>177910</v>
      </c>
      <c r="V27" s="12">
        <f t="shared" si="6"/>
        <v>185030</v>
      </c>
      <c r="W27" s="12">
        <f t="shared" si="6"/>
        <v>192440</v>
      </c>
      <c r="X27" s="12">
        <f t="shared" si="6"/>
        <v>200130</v>
      </c>
      <c r="Y27" s="12">
        <f t="shared" si="6"/>
        <v>210140</v>
      </c>
      <c r="Z27" s="12">
        <f t="shared" si="6"/>
        <v>218550</v>
      </c>
      <c r="AA27" s="12">
        <f t="shared" si="6"/>
        <v>227290</v>
      </c>
      <c r="AB27" s="12">
        <f t="shared" si="6"/>
        <v>231830</v>
      </c>
      <c r="AC27" s="12">
        <f t="shared" si="6"/>
        <v>236460</v>
      </c>
      <c r="AD27" s="12">
        <f t="shared" si="6"/>
        <v>248280</v>
      </c>
      <c r="AE27" s="12">
        <f t="shared" si="6"/>
        <v>255720</v>
      </c>
      <c r="AF27" s="12">
        <f t="shared" si="6"/>
        <v>263390</v>
      </c>
      <c r="AG27" s="12">
        <f t="shared" si="6"/>
        <v>273920</v>
      </c>
      <c r="AH27" s="12">
        <f t="shared" si="6"/>
        <v>284880</v>
      </c>
      <c r="AI27" s="12">
        <f t="shared" si="6"/>
        <v>299130</v>
      </c>
      <c r="AK27" s="65">
        <f t="shared" si="1"/>
        <v>29.864761622241137</v>
      </c>
      <c r="AL27" s="67">
        <f t="shared" si="2"/>
        <v>0.29712265818310357</v>
      </c>
      <c r="AM27" s="67">
        <f t="shared" si="3"/>
        <v>0.29046541662216097</v>
      </c>
    </row>
    <row r="28" spans="1:39">
      <c r="B28" s="7" t="s">
        <v>44</v>
      </c>
      <c r="C28" s="8"/>
      <c r="D28" s="9">
        <v>5390</v>
      </c>
      <c r="E28" s="9">
        <v>5500</v>
      </c>
      <c r="F28" s="9">
        <v>10255.122446289706</v>
      </c>
      <c r="G28" s="9">
        <v>6240</v>
      </c>
      <c r="H28" s="9">
        <v>6360</v>
      </c>
      <c r="I28" s="9">
        <v>6810</v>
      </c>
      <c r="J28" s="9">
        <v>6950</v>
      </c>
      <c r="K28" s="9">
        <v>7300</v>
      </c>
      <c r="L28" s="9">
        <v>7880</v>
      </c>
      <c r="M28" s="9">
        <v>8270</v>
      </c>
      <c r="N28" s="9">
        <v>8600</v>
      </c>
      <c r="O28" s="9">
        <v>8940</v>
      </c>
      <c r="P28" s="9">
        <v>9210</v>
      </c>
      <c r="Q28" s="9">
        <v>9580</v>
      </c>
      <c r="R28" s="9">
        <v>9960</v>
      </c>
      <c r="S28" s="9">
        <v>10360</v>
      </c>
      <c r="T28" s="9">
        <v>10770</v>
      </c>
      <c r="U28" s="9">
        <v>11200</v>
      </c>
      <c r="V28" s="9">
        <v>11650</v>
      </c>
      <c r="W28" s="9">
        <v>12120</v>
      </c>
      <c r="X28" s="9">
        <v>12600</v>
      </c>
      <c r="Y28" s="9">
        <v>13230</v>
      </c>
      <c r="Z28" s="9">
        <v>13760</v>
      </c>
      <c r="AA28" s="9">
        <v>14310</v>
      </c>
      <c r="AB28" s="9">
        <v>14600</v>
      </c>
      <c r="AC28" s="9">
        <v>14890</v>
      </c>
      <c r="AD28" s="9">
        <v>15630</v>
      </c>
      <c r="AE28" s="10">
        <v>16100</v>
      </c>
      <c r="AF28" s="10">
        <v>16580</v>
      </c>
      <c r="AG28" s="10">
        <v>17240</v>
      </c>
      <c r="AH28" s="10">
        <v>17930</v>
      </c>
      <c r="AI28" s="10">
        <v>18830</v>
      </c>
      <c r="AK28" s="65">
        <f t="shared" si="1"/>
        <v>1.9069479753186109</v>
      </c>
      <c r="AL28" s="67">
        <f t="shared" si="2"/>
        <v>1.870625662778367E-2</v>
      </c>
      <c r="AM28" s="67">
        <f t="shared" si="3"/>
        <v>1.8284571239913384E-2</v>
      </c>
    </row>
    <row r="29" spans="1:39">
      <c r="B29" s="7" t="s">
        <v>45</v>
      </c>
      <c r="C29" s="8"/>
      <c r="D29" s="9">
        <v>29580</v>
      </c>
      <c r="E29" s="9">
        <v>30170</v>
      </c>
      <c r="F29" s="9">
        <v>19977.840961015849</v>
      </c>
      <c r="G29" s="9">
        <v>34210</v>
      </c>
      <c r="H29" s="9">
        <v>34890</v>
      </c>
      <c r="I29" s="9">
        <v>37330</v>
      </c>
      <c r="J29" s="9">
        <v>38080</v>
      </c>
      <c r="K29" s="9">
        <v>39980</v>
      </c>
      <c r="L29" s="9">
        <v>43180</v>
      </c>
      <c r="M29" s="9">
        <v>45340</v>
      </c>
      <c r="N29" s="9">
        <v>47150</v>
      </c>
      <c r="O29" s="9">
        <v>49040</v>
      </c>
      <c r="P29" s="9">
        <v>50510</v>
      </c>
      <c r="Q29" s="9">
        <v>52530</v>
      </c>
      <c r="R29" s="9">
        <v>54630</v>
      </c>
      <c r="S29" s="9">
        <v>56820</v>
      </c>
      <c r="T29" s="9">
        <v>59090</v>
      </c>
      <c r="U29" s="9">
        <v>61450</v>
      </c>
      <c r="V29" s="9">
        <v>63910</v>
      </c>
      <c r="W29" s="9">
        <v>66470</v>
      </c>
      <c r="X29" s="9">
        <v>69130</v>
      </c>
      <c r="Y29" s="9">
        <v>72590</v>
      </c>
      <c r="Z29" s="9">
        <v>75490</v>
      </c>
      <c r="AA29" s="9">
        <v>78510</v>
      </c>
      <c r="AB29" s="9">
        <v>80080</v>
      </c>
      <c r="AC29" s="9">
        <v>81680</v>
      </c>
      <c r="AD29" s="9">
        <v>85760</v>
      </c>
      <c r="AE29" s="10">
        <v>88330</v>
      </c>
      <c r="AF29" s="10">
        <v>90980</v>
      </c>
      <c r="AG29" s="10">
        <v>94620</v>
      </c>
      <c r="AH29" s="10">
        <v>98400</v>
      </c>
      <c r="AI29" s="10">
        <v>103320</v>
      </c>
      <c r="AK29" s="65">
        <f t="shared" si="1"/>
        <v>10.26769251739845</v>
      </c>
      <c r="AL29" s="67">
        <f t="shared" si="2"/>
        <v>0.10263697419582891</v>
      </c>
      <c r="AM29" s="67">
        <f t="shared" si="3"/>
        <v>0.10032723847625336</v>
      </c>
    </row>
    <row r="30" spans="1:39">
      <c r="B30" s="7" t="s">
        <v>46</v>
      </c>
      <c r="C30" s="8"/>
      <c r="D30" s="9">
        <v>18720</v>
      </c>
      <c r="E30" s="9">
        <v>19090</v>
      </c>
      <c r="F30" s="9">
        <v>20630.016638158919</v>
      </c>
      <c r="G30" s="9">
        <v>21650</v>
      </c>
      <c r="H30" s="9">
        <v>22080</v>
      </c>
      <c r="I30" s="9">
        <v>23630</v>
      </c>
      <c r="J30" s="9">
        <v>24100</v>
      </c>
      <c r="K30" s="9">
        <v>25310</v>
      </c>
      <c r="L30" s="9">
        <v>27330</v>
      </c>
      <c r="M30" s="9">
        <v>28700</v>
      </c>
      <c r="N30" s="9">
        <v>29850</v>
      </c>
      <c r="O30" s="9">
        <v>31040</v>
      </c>
      <c r="P30" s="9">
        <v>31970</v>
      </c>
      <c r="Q30" s="9">
        <v>33250</v>
      </c>
      <c r="R30" s="9">
        <v>34580</v>
      </c>
      <c r="S30" s="9">
        <v>35960</v>
      </c>
      <c r="T30" s="9">
        <v>37400</v>
      </c>
      <c r="U30" s="9">
        <v>38900</v>
      </c>
      <c r="V30" s="9">
        <v>40460</v>
      </c>
      <c r="W30" s="9">
        <v>42080</v>
      </c>
      <c r="X30" s="9">
        <v>43760</v>
      </c>
      <c r="Y30" s="9">
        <v>45950</v>
      </c>
      <c r="Z30" s="9">
        <v>47790</v>
      </c>
      <c r="AA30" s="9">
        <v>49700</v>
      </c>
      <c r="AB30" s="9">
        <v>50690</v>
      </c>
      <c r="AC30" s="9">
        <v>51700</v>
      </c>
      <c r="AD30" s="9">
        <v>54290</v>
      </c>
      <c r="AE30" s="10">
        <v>55920</v>
      </c>
      <c r="AF30" s="10">
        <v>57600</v>
      </c>
      <c r="AG30" s="10">
        <v>59900</v>
      </c>
      <c r="AH30" s="10">
        <v>62300</v>
      </c>
      <c r="AI30" s="10">
        <v>65420</v>
      </c>
      <c r="AK30" s="65">
        <f t="shared" si="1"/>
        <v>6.5420278775077261</v>
      </c>
      <c r="AL30" s="67">
        <f t="shared" si="2"/>
        <v>6.4969954047366565E-2</v>
      </c>
      <c r="AM30" s="67">
        <f t="shared" si="3"/>
        <v>6.3525047823427161E-2</v>
      </c>
    </row>
    <row r="31" spans="1:39">
      <c r="B31" s="7" t="s">
        <v>47</v>
      </c>
      <c r="C31" s="8"/>
      <c r="D31" s="9">
        <v>18900</v>
      </c>
      <c r="E31" s="9">
        <v>19280</v>
      </c>
      <c r="F31" s="9">
        <v>17675.143639585458</v>
      </c>
      <c r="G31" s="9">
        <v>21860</v>
      </c>
      <c r="H31" s="9">
        <v>22300</v>
      </c>
      <c r="I31" s="9">
        <v>23860</v>
      </c>
      <c r="J31" s="9">
        <v>24340</v>
      </c>
      <c r="K31" s="9">
        <v>25560</v>
      </c>
      <c r="L31" s="9">
        <v>27600</v>
      </c>
      <c r="M31" s="9">
        <v>28980</v>
      </c>
      <c r="N31" s="9">
        <v>30140</v>
      </c>
      <c r="O31" s="9">
        <v>31350</v>
      </c>
      <c r="P31" s="9">
        <v>32290</v>
      </c>
      <c r="Q31" s="9">
        <v>33580</v>
      </c>
      <c r="R31" s="9">
        <v>34920</v>
      </c>
      <c r="S31" s="9">
        <v>36320</v>
      </c>
      <c r="T31" s="9">
        <v>37770</v>
      </c>
      <c r="U31" s="9">
        <v>39280</v>
      </c>
      <c r="V31" s="9">
        <v>40850</v>
      </c>
      <c r="W31" s="9">
        <v>42480</v>
      </c>
      <c r="X31" s="9">
        <v>44180</v>
      </c>
      <c r="Y31" s="9">
        <v>46390</v>
      </c>
      <c r="Z31" s="9">
        <v>48250</v>
      </c>
      <c r="AA31" s="9">
        <v>50180</v>
      </c>
      <c r="AB31" s="9">
        <v>51180</v>
      </c>
      <c r="AC31" s="9">
        <v>52200</v>
      </c>
      <c r="AD31" s="9">
        <v>54810</v>
      </c>
      <c r="AE31" s="10">
        <v>56450</v>
      </c>
      <c r="AF31" s="10">
        <v>58140</v>
      </c>
      <c r="AG31" s="10">
        <v>60470</v>
      </c>
      <c r="AH31" s="10">
        <v>62890</v>
      </c>
      <c r="AI31" s="10">
        <v>66030</v>
      </c>
      <c r="AK31" s="65">
        <f t="shared" si="1"/>
        <v>6.5885278037433919</v>
      </c>
      <c r="AL31" s="67">
        <f t="shared" si="2"/>
        <v>6.5592082007776595E-2</v>
      </c>
      <c r="AM31" s="67">
        <f t="shared" si="3"/>
        <v>6.4117378596467378E-2</v>
      </c>
    </row>
    <row r="32" spans="1:39">
      <c r="B32" s="7" t="s">
        <v>48</v>
      </c>
      <c r="C32" s="8"/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K32" s="65">
        <f t="shared" si="1"/>
        <v>0</v>
      </c>
      <c r="AL32" s="67">
        <f t="shared" si="2"/>
        <v>0</v>
      </c>
      <c r="AM32" s="67">
        <f t="shared" si="3"/>
        <v>0</v>
      </c>
    </row>
    <row r="33" spans="1:39">
      <c r="B33" s="7" t="s">
        <v>49</v>
      </c>
      <c r="C33" s="8"/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K33" s="65">
        <f t="shared" si="1"/>
        <v>0</v>
      </c>
      <c r="AL33" s="67">
        <f t="shared" si="2"/>
        <v>0</v>
      </c>
      <c r="AM33" s="67">
        <f t="shared" si="3"/>
        <v>0</v>
      </c>
    </row>
    <row r="34" spans="1:39">
      <c r="B34" s="7" t="s">
        <v>50</v>
      </c>
      <c r="C34" s="8"/>
      <c r="D34" s="9">
        <v>13030</v>
      </c>
      <c r="E34" s="9">
        <v>13290</v>
      </c>
      <c r="F34" s="9">
        <v>15436.836487247825</v>
      </c>
      <c r="G34" s="9">
        <v>15070</v>
      </c>
      <c r="H34" s="9">
        <v>15370</v>
      </c>
      <c r="I34" s="9">
        <v>16450</v>
      </c>
      <c r="J34" s="9">
        <v>16780</v>
      </c>
      <c r="K34" s="9">
        <v>17620</v>
      </c>
      <c r="L34" s="9">
        <v>19030</v>
      </c>
      <c r="M34" s="9">
        <v>19980</v>
      </c>
      <c r="N34" s="9">
        <v>20780</v>
      </c>
      <c r="O34" s="9">
        <v>21610</v>
      </c>
      <c r="P34" s="9">
        <v>22260</v>
      </c>
      <c r="Q34" s="9">
        <v>23150</v>
      </c>
      <c r="R34" s="9">
        <v>24080</v>
      </c>
      <c r="S34" s="9">
        <v>25040</v>
      </c>
      <c r="T34" s="9">
        <v>26040</v>
      </c>
      <c r="U34" s="9">
        <v>27080</v>
      </c>
      <c r="V34" s="9">
        <v>28160</v>
      </c>
      <c r="W34" s="9">
        <v>29290</v>
      </c>
      <c r="X34" s="9">
        <v>30460</v>
      </c>
      <c r="Y34" s="9">
        <v>31980</v>
      </c>
      <c r="Z34" s="9">
        <v>33260</v>
      </c>
      <c r="AA34" s="9">
        <v>34590</v>
      </c>
      <c r="AB34" s="9">
        <v>35280</v>
      </c>
      <c r="AC34" s="9">
        <v>35990</v>
      </c>
      <c r="AD34" s="9">
        <v>37790</v>
      </c>
      <c r="AE34" s="9">
        <v>38920</v>
      </c>
      <c r="AF34" s="9">
        <v>40090</v>
      </c>
      <c r="AG34" s="9">
        <v>41690</v>
      </c>
      <c r="AH34" s="9">
        <v>43360</v>
      </c>
      <c r="AI34" s="9">
        <v>45530</v>
      </c>
      <c r="AK34" s="65">
        <f t="shared" si="1"/>
        <v>4.5595654482729602</v>
      </c>
      <c r="AL34" s="67">
        <f t="shared" si="2"/>
        <v>4.5217391304347827E-2</v>
      </c>
      <c r="AM34" s="67">
        <f t="shared" si="3"/>
        <v>4.4211180486099649E-2</v>
      </c>
    </row>
    <row r="35" spans="1:39">
      <c r="A35" s="4">
        <v>5</v>
      </c>
      <c r="B35" s="5" t="s">
        <v>54</v>
      </c>
      <c r="C35" s="6">
        <v>29982.990319074437</v>
      </c>
      <c r="D35" s="11">
        <f t="shared" ref="D35:AI35" si="7">SUM(D36:D42)</f>
        <v>19780</v>
      </c>
      <c r="E35" s="11">
        <f t="shared" si="7"/>
        <v>19980</v>
      </c>
      <c r="F35" s="12">
        <f t="shared" si="7"/>
        <v>23706.619671689161</v>
      </c>
      <c r="G35" s="12">
        <f t="shared" si="7"/>
        <v>22450</v>
      </c>
      <c r="H35" s="12">
        <f t="shared" si="7"/>
        <v>22670</v>
      </c>
      <c r="I35" s="12">
        <f t="shared" si="7"/>
        <v>25390</v>
      </c>
      <c r="J35" s="12">
        <f t="shared" si="7"/>
        <v>25900</v>
      </c>
      <c r="K35" s="12">
        <f t="shared" si="7"/>
        <v>27710</v>
      </c>
      <c r="L35" s="12">
        <f t="shared" si="7"/>
        <v>30760</v>
      </c>
      <c r="M35" s="12">
        <f t="shared" si="7"/>
        <v>32910</v>
      </c>
      <c r="N35" s="12">
        <f t="shared" si="7"/>
        <v>33900</v>
      </c>
      <c r="O35" s="12">
        <f t="shared" si="7"/>
        <v>35940</v>
      </c>
      <c r="P35" s="12">
        <f t="shared" si="7"/>
        <v>39540</v>
      </c>
      <c r="Q35" s="12">
        <f t="shared" si="7"/>
        <v>42300</v>
      </c>
      <c r="R35" s="12">
        <f t="shared" si="7"/>
        <v>44840</v>
      </c>
      <c r="S35" s="12">
        <f t="shared" si="7"/>
        <v>47980</v>
      </c>
      <c r="T35" s="12">
        <f t="shared" si="7"/>
        <v>51820</v>
      </c>
      <c r="U35" s="12">
        <f t="shared" si="7"/>
        <v>55450</v>
      </c>
      <c r="V35" s="12">
        <f t="shared" si="7"/>
        <v>59330</v>
      </c>
      <c r="W35" s="12">
        <f t="shared" si="7"/>
        <v>63480</v>
      </c>
      <c r="X35" s="12">
        <f t="shared" si="7"/>
        <v>66020</v>
      </c>
      <c r="Y35" s="12">
        <f t="shared" si="7"/>
        <v>68660</v>
      </c>
      <c r="Z35" s="12">
        <f t="shared" si="7"/>
        <v>71400</v>
      </c>
      <c r="AA35" s="12">
        <f t="shared" si="7"/>
        <v>74260</v>
      </c>
      <c r="AB35" s="12">
        <f t="shared" si="7"/>
        <v>77970</v>
      </c>
      <c r="AC35" s="12">
        <f t="shared" si="7"/>
        <v>83430</v>
      </c>
      <c r="AD35" s="12">
        <f t="shared" si="7"/>
        <v>90100</v>
      </c>
      <c r="AE35" s="12">
        <f t="shared" si="7"/>
        <v>95510</v>
      </c>
      <c r="AF35" s="12">
        <f t="shared" si="7"/>
        <v>101240</v>
      </c>
      <c r="AG35" s="12">
        <f t="shared" si="7"/>
        <v>107310</v>
      </c>
      <c r="AH35" s="12">
        <f t="shared" si="7"/>
        <v>113750</v>
      </c>
      <c r="AI35" s="12">
        <f t="shared" si="7"/>
        <v>122850</v>
      </c>
      <c r="AK35" s="65">
        <f t="shared" si="1"/>
        <v>9.5512629511830891</v>
      </c>
      <c r="AL35" s="67">
        <f t="shared" si="2"/>
        <v>9.7080240367621071E-2</v>
      </c>
      <c r="AM35" s="67">
        <f t="shared" si="3"/>
        <v>0.11929153355408174</v>
      </c>
    </row>
    <row r="36" spans="1:39">
      <c r="B36" s="7" t="s">
        <v>44</v>
      </c>
      <c r="C36" s="8"/>
      <c r="D36" s="9">
        <v>1020</v>
      </c>
      <c r="E36" s="9">
        <v>1030</v>
      </c>
      <c r="F36" s="9">
        <v>1903.1904573612758</v>
      </c>
      <c r="G36" s="9">
        <v>1160</v>
      </c>
      <c r="H36" s="9">
        <v>1170</v>
      </c>
      <c r="I36" s="9">
        <v>1310</v>
      </c>
      <c r="J36" s="9">
        <v>1340</v>
      </c>
      <c r="K36" s="9">
        <v>1430</v>
      </c>
      <c r="L36" s="9">
        <v>1590</v>
      </c>
      <c r="M36" s="9">
        <v>1700</v>
      </c>
      <c r="N36" s="9">
        <v>1750</v>
      </c>
      <c r="O36" s="9">
        <v>1860</v>
      </c>
      <c r="P36" s="9">
        <v>2050</v>
      </c>
      <c r="Q36" s="9">
        <v>2190</v>
      </c>
      <c r="R36" s="9">
        <v>2320</v>
      </c>
      <c r="S36" s="9">
        <v>2480</v>
      </c>
      <c r="T36" s="9">
        <v>2680</v>
      </c>
      <c r="U36" s="9">
        <v>2870</v>
      </c>
      <c r="V36" s="9">
        <v>3070</v>
      </c>
      <c r="W36" s="9">
        <v>3280</v>
      </c>
      <c r="X36" s="9">
        <v>3410</v>
      </c>
      <c r="Y36" s="9">
        <v>3550</v>
      </c>
      <c r="Z36" s="9">
        <v>3690</v>
      </c>
      <c r="AA36" s="9">
        <v>3840</v>
      </c>
      <c r="AB36" s="9">
        <v>4030</v>
      </c>
      <c r="AC36" s="9">
        <v>4310</v>
      </c>
      <c r="AD36" s="9">
        <v>4650</v>
      </c>
      <c r="AE36" s="10">
        <v>4930</v>
      </c>
      <c r="AF36" s="10">
        <v>5230</v>
      </c>
      <c r="AG36" s="10">
        <v>5540</v>
      </c>
      <c r="AH36" s="10">
        <v>5870</v>
      </c>
      <c r="AI36" s="10">
        <v>6340</v>
      </c>
      <c r="AK36" s="65">
        <f t="shared" si="1"/>
        <v>0.49708890022025864</v>
      </c>
      <c r="AL36" s="67">
        <f t="shared" si="2"/>
        <v>5.0194414987628135E-3</v>
      </c>
      <c r="AM36" s="67">
        <f t="shared" si="3"/>
        <v>6.156355903401532E-3</v>
      </c>
    </row>
    <row r="37" spans="1:39">
      <c r="B37" s="7" t="s">
        <v>45</v>
      </c>
      <c r="C37" s="8"/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K37" s="65">
        <f t="shared" si="1"/>
        <v>0</v>
      </c>
      <c r="AL37" s="67">
        <f t="shared" si="2"/>
        <v>0</v>
      </c>
      <c r="AM37" s="67">
        <f t="shared" si="3"/>
        <v>0</v>
      </c>
    </row>
    <row r="38" spans="1:39">
      <c r="B38" s="7" t="s">
        <v>46</v>
      </c>
      <c r="C38" s="8"/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K38" s="65">
        <f t="shared" si="1"/>
        <v>0</v>
      </c>
      <c r="AL38" s="67">
        <f t="shared" si="2"/>
        <v>0</v>
      </c>
      <c r="AM38" s="67">
        <f t="shared" si="3"/>
        <v>0</v>
      </c>
    </row>
    <row r="39" spans="1:39">
      <c r="B39" s="7" t="s">
        <v>47</v>
      </c>
      <c r="C39" s="8"/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K39" s="65">
        <f t="shared" si="1"/>
        <v>0</v>
      </c>
      <c r="AL39" s="67">
        <f t="shared" si="2"/>
        <v>0</v>
      </c>
      <c r="AM39" s="67">
        <f t="shared" si="3"/>
        <v>0</v>
      </c>
    </row>
    <row r="40" spans="1:39">
      <c r="B40" s="7" t="s">
        <v>48</v>
      </c>
      <c r="C40" s="8"/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K40" s="65">
        <f t="shared" si="1"/>
        <v>0</v>
      </c>
      <c r="AL40" s="67">
        <f t="shared" si="2"/>
        <v>0</v>
      </c>
      <c r="AM40" s="67">
        <f t="shared" si="3"/>
        <v>0</v>
      </c>
    </row>
    <row r="41" spans="1:39">
      <c r="B41" s="7" t="s">
        <v>49</v>
      </c>
      <c r="C41" s="8"/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K41" s="65">
        <f t="shared" si="1"/>
        <v>0</v>
      </c>
      <c r="AL41" s="67">
        <f t="shared" si="2"/>
        <v>0</v>
      </c>
      <c r="AM41" s="67">
        <f t="shared" si="3"/>
        <v>0</v>
      </c>
    </row>
    <row r="42" spans="1:39">
      <c r="B42" s="7" t="s">
        <v>50</v>
      </c>
      <c r="C42" s="8"/>
      <c r="D42" s="9">
        <v>18760</v>
      </c>
      <c r="E42" s="9">
        <v>18950</v>
      </c>
      <c r="F42" s="9">
        <v>21803.429214327884</v>
      </c>
      <c r="G42" s="9">
        <v>21290</v>
      </c>
      <c r="H42" s="9">
        <v>21500</v>
      </c>
      <c r="I42" s="9">
        <v>24080</v>
      </c>
      <c r="J42" s="9">
        <v>24560</v>
      </c>
      <c r="K42" s="9">
        <v>26280</v>
      </c>
      <c r="L42" s="9">
        <v>29170</v>
      </c>
      <c r="M42" s="9">
        <v>31210</v>
      </c>
      <c r="N42" s="9">
        <v>32150</v>
      </c>
      <c r="O42" s="9">
        <v>34080</v>
      </c>
      <c r="P42" s="9">
        <v>37490</v>
      </c>
      <c r="Q42" s="9">
        <v>40110</v>
      </c>
      <c r="R42" s="9">
        <v>42520</v>
      </c>
      <c r="S42" s="9">
        <v>45500</v>
      </c>
      <c r="T42" s="9">
        <v>49140</v>
      </c>
      <c r="U42" s="9">
        <v>52580</v>
      </c>
      <c r="V42" s="9">
        <v>56260</v>
      </c>
      <c r="W42" s="9">
        <v>60200</v>
      </c>
      <c r="X42" s="9">
        <v>62610</v>
      </c>
      <c r="Y42" s="9">
        <v>65110</v>
      </c>
      <c r="Z42" s="9">
        <v>67710</v>
      </c>
      <c r="AA42" s="9">
        <v>70420</v>
      </c>
      <c r="AB42" s="9">
        <v>73940</v>
      </c>
      <c r="AC42" s="9">
        <v>79120</v>
      </c>
      <c r="AD42" s="9">
        <v>85450</v>
      </c>
      <c r="AE42" s="10">
        <v>90580</v>
      </c>
      <c r="AF42" s="10">
        <v>96010</v>
      </c>
      <c r="AG42" s="10">
        <v>101770</v>
      </c>
      <c r="AH42" s="10">
        <v>107880</v>
      </c>
      <c r="AI42" s="10">
        <v>116510</v>
      </c>
      <c r="AK42" s="65">
        <f t="shared" si="1"/>
        <v>9.0541740509628301</v>
      </c>
      <c r="AL42" s="67">
        <f t="shared" si="2"/>
        <v>9.2060798868858248E-2</v>
      </c>
      <c r="AM42" s="67">
        <f t="shared" si="3"/>
        <v>0.11313517765068021</v>
      </c>
    </row>
    <row r="43" spans="1:39">
      <c r="A43" s="4">
        <v>6</v>
      </c>
      <c r="B43" s="5" t="s">
        <v>55</v>
      </c>
      <c r="C43" s="6">
        <v>43753.525890852063</v>
      </c>
      <c r="D43" s="11">
        <f t="shared" ref="D43:AI43" si="8">SUM(D44:D50)</f>
        <v>10240</v>
      </c>
      <c r="E43" s="11">
        <f t="shared" si="8"/>
        <v>9530</v>
      </c>
      <c r="F43" s="12">
        <f t="shared" si="8"/>
        <v>9902.4190148909674</v>
      </c>
      <c r="G43" s="12">
        <f t="shared" si="8"/>
        <v>10030</v>
      </c>
      <c r="H43" s="12">
        <f t="shared" si="8"/>
        <v>10130</v>
      </c>
      <c r="I43" s="12">
        <f t="shared" si="8"/>
        <v>10640</v>
      </c>
      <c r="J43" s="12">
        <f t="shared" si="8"/>
        <v>10960</v>
      </c>
      <c r="K43" s="12">
        <f t="shared" si="8"/>
        <v>11500</v>
      </c>
      <c r="L43" s="12">
        <f t="shared" si="8"/>
        <v>12310</v>
      </c>
      <c r="M43" s="12">
        <f t="shared" si="8"/>
        <v>13170</v>
      </c>
      <c r="N43" s="12">
        <f t="shared" si="8"/>
        <v>13710</v>
      </c>
      <c r="O43" s="12">
        <f t="shared" si="8"/>
        <v>14390</v>
      </c>
      <c r="P43" s="12">
        <f t="shared" si="8"/>
        <v>15110</v>
      </c>
      <c r="Q43" s="12">
        <f t="shared" si="8"/>
        <v>15720</v>
      </c>
      <c r="R43" s="12">
        <f t="shared" si="8"/>
        <v>16660</v>
      </c>
      <c r="S43" s="12">
        <f t="shared" si="8"/>
        <v>17500</v>
      </c>
      <c r="T43" s="12">
        <f t="shared" si="8"/>
        <v>18030</v>
      </c>
      <c r="U43" s="12">
        <f t="shared" si="8"/>
        <v>18390</v>
      </c>
      <c r="V43" s="12">
        <f t="shared" si="8"/>
        <v>18940</v>
      </c>
      <c r="W43" s="12">
        <f t="shared" si="8"/>
        <v>19510</v>
      </c>
      <c r="X43" s="12">
        <f t="shared" si="8"/>
        <v>20480</v>
      </c>
      <c r="Y43" s="12">
        <f t="shared" si="8"/>
        <v>21520</v>
      </c>
      <c r="Z43" s="12">
        <f t="shared" si="8"/>
        <v>21960</v>
      </c>
      <c r="AA43" s="12">
        <f t="shared" si="8"/>
        <v>22400</v>
      </c>
      <c r="AB43" s="12">
        <f t="shared" si="8"/>
        <v>22630</v>
      </c>
      <c r="AC43" s="12">
        <f t="shared" si="8"/>
        <v>23080</v>
      </c>
      <c r="AD43" s="12">
        <f t="shared" si="8"/>
        <v>23550</v>
      </c>
      <c r="AE43" s="12">
        <f t="shared" si="8"/>
        <v>24260</v>
      </c>
      <c r="AF43" s="12">
        <f t="shared" si="8"/>
        <v>24750</v>
      </c>
      <c r="AG43" s="12">
        <f t="shared" si="8"/>
        <v>25490</v>
      </c>
      <c r="AH43" s="12">
        <f t="shared" si="8"/>
        <v>26000</v>
      </c>
      <c r="AI43" s="12">
        <f t="shared" si="8"/>
        <v>26780</v>
      </c>
      <c r="AK43" s="65">
        <f t="shared" si="1"/>
        <v>2.9703882337282788</v>
      </c>
      <c r="AL43" s="67">
        <f t="shared" si="2"/>
        <v>3.0427712972781903E-2</v>
      </c>
      <c r="AM43" s="67">
        <f t="shared" si="3"/>
        <v>2.6004291970519407E-2</v>
      </c>
    </row>
    <row r="44" spans="1:39">
      <c r="B44" s="7" t="s">
        <v>44</v>
      </c>
      <c r="C44" s="8"/>
      <c r="D44" s="9">
        <v>3050</v>
      </c>
      <c r="E44" s="9">
        <v>2840</v>
      </c>
      <c r="F44" s="9">
        <v>4998.0337419269799</v>
      </c>
      <c r="G44" s="9">
        <v>2990</v>
      </c>
      <c r="H44" s="9">
        <v>3020</v>
      </c>
      <c r="I44" s="9">
        <v>3170</v>
      </c>
      <c r="J44" s="9">
        <v>3270</v>
      </c>
      <c r="K44" s="9">
        <v>3430</v>
      </c>
      <c r="L44" s="9">
        <v>3670</v>
      </c>
      <c r="M44" s="9">
        <v>3930</v>
      </c>
      <c r="N44" s="9">
        <v>4090</v>
      </c>
      <c r="O44" s="9">
        <v>4290</v>
      </c>
      <c r="P44" s="9">
        <v>4500</v>
      </c>
      <c r="Q44" s="9">
        <v>4680</v>
      </c>
      <c r="R44" s="9">
        <v>4960</v>
      </c>
      <c r="S44" s="9">
        <v>5210</v>
      </c>
      <c r="T44" s="9">
        <v>5370</v>
      </c>
      <c r="U44" s="9">
        <v>5480</v>
      </c>
      <c r="V44" s="9">
        <v>5640</v>
      </c>
      <c r="W44" s="9">
        <v>5810</v>
      </c>
      <c r="X44" s="9">
        <v>6100</v>
      </c>
      <c r="Y44" s="9">
        <v>6410</v>
      </c>
      <c r="Z44" s="9">
        <v>6540</v>
      </c>
      <c r="AA44" s="9">
        <v>6670</v>
      </c>
      <c r="AB44" s="9">
        <v>6740</v>
      </c>
      <c r="AC44" s="9">
        <v>6870</v>
      </c>
      <c r="AD44" s="9">
        <v>7010</v>
      </c>
      <c r="AE44" s="10">
        <v>7220</v>
      </c>
      <c r="AF44" s="10">
        <v>7360</v>
      </c>
      <c r="AG44" s="10">
        <v>7580</v>
      </c>
      <c r="AH44" s="10">
        <v>7730</v>
      </c>
      <c r="AI44" s="10">
        <v>7960</v>
      </c>
      <c r="AK44" s="65">
        <f t="shared" si="1"/>
        <v>0.89539890534289446</v>
      </c>
      <c r="AL44" s="67">
        <f t="shared" si="2"/>
        <v>9.0632732414280669E-3</v>
      </c>
      <c r="AM44" s="67">
        <f t="shared" si="3"/>
        <v>7.7294310711476652E-3</v>
      </c>
    </row>
    <row r="45" spans="1:39">
      <c r="B45" s="7" t="s">
        <v>45</v>
      </c>
      <c r="C45" s="8"/>
      <c r="D45" s="9">
        <v>4190</v>
      </c>
      <c r="E45" s="9">
        <v>3900</v>
      </c>
      <c r="F45" s="9">
        <v>2436.9949616411341</v>
      </c>
      <c r="G45" s="9">
        <v>4100</v>
      </c>
      <c r="H45" s="9">
        <v>4140</v>
      </c>
      <c r="I45" s="9">
        <v>4350</v>
      </c>
      <c r="J45" s="9">
        <v>4480</v>
      </c>
      <c r="K45" s="9">
        <v>4700</v>
      </c>
      <c r="L45" s="9">
        <v>5030</v>
      </c>
      <c r="M45" s="9">
        <v>5380</v>
      </c>
      <c r="N45" s="9">
        <v>5600</v>
      </c>
      <c r="O45" s="9">
        <v>5880</v>
      </c>
      <c r="P45" s="9">
        <v>6170</v>
      </c>
      <c r="Q45" s="9">
        <v>6420</v>
      </c>
      <c r="R45" s="9">
        <v>6810</v>
      </c>
      <c r="S45" s="9">
        <v>7150</v>
      </c>
      <c r="T45" s="9">
        <v>7360</v>
      </c>
      <c r="U45" s="9">
        <v>7510</v>
      </c>
      <c r="V45" s="9">
        <v>7740</v>
      </c>
      <c r="W45" s="9">
        <v>7970</v>
      </c>
      <c r="X45" s="9">
        <v>8370</v>
      </c>
      <c r="Y45" s="9">
        <v>8790</v>
      </c>
      <c r="Z45" s="9">
        <v>8970</v>
      </c>
      <c r="AA45" s="9">
        <v>9150</v>
      </c>
      <c r="AB45" s="9">
        <v>9240</v>
      </c>
      <c r="AC45" s="9">
        <v>9420</v>
      </c>
      <c r="AD45" s="9">
        <v>9610</v>
      </c>
      <c r="AE45" s="10">
        <v>9900</v>
      </c>
      <c r="AF45" s="10">
        <v>10100</v>
      </c>
      <c r="AG45" s="10">
        <v>10400</v>
      </c>
      <c r="AH45" s="10">
        <v>10610</v>
      </c>
      <c r="AI45" s="10">
        <v>10930</v>
      </c>
      <c r="AK45" s="65">
        <f t="shared" si="1"/>
        <v>1.2046094287073901</v>
      </c>
      <c r="AL45" s="67">
        <f t="shared" si="2"/>
        <v>1.2428419936373277E-2</v>
      </c>
      <c r="AM45" s="67">
        <f t="shared" si="3"/>
        <v>1.0613402212015576E-2</v>
      </c>
    </row>
    <row r="46" spans="1:39">
      <c r="B46" s="7" t="s">
        <v>46</v>
      </c>
      <c r="C46" s="8"/>
      <c r="D46" s="9">
        <v>350</v>
      </c>
      <c r="E46" s="9">
        <v>330</v>
      </c>
      <c r="F46" s="9">
        <v>333.12945109625252</v>
      </c>
      <c r="G46" s="9">
        <v>350</v>
      </c>
      <c r="H46" s="9">
        <v>350</v>
      </c>
      <c r="I46" s="9">
        <v>370</v>
      </c>
      <c r="J46" s="9">
        <v>380</v>
      </c>
      <c r="K46" s="9">
        <v>400</v>
      </c>
      <c r="L46" s="9">
        <v>430</v>
      </c>
      <c r="M46" s="9">
        <v>460</v>
      </c>
      <c r="N46" s="9">
        <v>480</v>
      </c>
      <c r="O46" s="9">
        <v>500</v>
      </c>
      <c r="P46" s="9">
        <v>530</v>
      </c>
      <c r="Q46" s="9">
        <v>550</v>
      </c>
      <c r="R46" s="9">
        <v>580</v>
      </c>
      <c r="S46" s="9">
        <v>610</v>
      </c>
      <c r="T46" s="9">
        <v>630</v>
      </c>
      <c r="U46" s="9">
        <v>640</v>
      </c>
      <c r="V46" s="9">
        <v>660</v>
      </c>
      <c r="W46" s="9">
        <v>680</v>
      </c>
      <c r="X46" s="9">
        <v>710</v>
      </c>
      <c r="Y46" s="9">
        <v>750</v>
      </c>
      <c r="Z46" s="9">
        <v>770</v>
      </c>
      <c r="AA46" s="9">
        <v>790</v>
      </c>
      <c r="AB46" s="9">
        <v>800</v>
      </c>
      <c r="AC46" s="9">
        <v>820</v>
      </c>
      <c r="AD46" s="9">
        <v>840</v>
      </c>
      <c r="AE46" s="10">
        <v>870</v>
      </c>
      <c r="AF46" s="10">
        <v>890</v>
      </c>
      <c r="AG46" s="10">
        <v>920</v>
      </c>
      <c r="AH46" s="10">
        <v>940</v>
      </c>
      <c r="AI46" s="10">
        <v>970</v>
      </c>
      <c r="AK46" s="65">
        <f t="shared" si="1"/>
        <v>0.10454035303130185</v>
      </c>
      <c r="AL46" s="67">
        <f t="shared" si="2"/>
        <v>1.0604453870625664E-3</v>
      </c>
      <c r="AM46" s="67">
        <f t="shared" si="3"/>
        <v>9.4190303253935111E-4</v>
      </c>
    </row>
    <row r="47" spans="1:39">
      <c r="B47" s="7" t="s">
        <v>47</v>
      </c>
      <c r="C47" s="8"/>
      <c r="D47" s="9">
        <v>2650</v>
      </c>
      <c r="E47" s="9">
        <v>2460</v>
      </c>
      <c r="F47" s="9">
        <v>2134.2608602266014</v>
      </c>
      <c r="G47" s="9">
        <v>2590</v>
      </c>
      <c r="H47" s="9">
        <v>2620</v>
      </c>
      <c r="I47" s="9">
        <v>2750</v>
      </c>
      <c r="J47" s="9">
        <v>2830</v>
      </c>
      <c r="K47" s="9">
        <v>2970</v>
      </c>
      <c r="L47" s="9">
        <v>3180</v>
      </c>
      <c r="M47" s="9">
        <v>3400</v>
      </c>
      <c r="N47" s="9">
        <v>3540</v>
      </c>
      <c r="O47" s="9">
        <v>3720</v>
      </c>
      <c r="P47" s="9">
        <v>3910</v>
      </c>
      <c r="Q47" s="9">
        <v>4070</v>
      </c>
      <c r="R47" s="9">
        <v>4310</v>
      </c>
      <c r="S47" s="9">
        <v>4530</v>
      </c>
      <c r="T47" s="9">
        <v>4670</v>
      </c>
      <c r="U47" s="9">
        <v>4760</v>
      </c>
      <c r="V47" s="9">
        <v>4900</v>
      </c>
      <c r="W47" s="9">
        <v>5050</v>
      </c>
      <c r="X47" s="9">
        <v>5300</v>
      </c>
      <c r="Y47" s="9">
        <v>5570</v>
      </c>
      <c r="Z47" s="9">
        <v>5680</v>
      </c>
      <c r="AA47" s="9">
        <v>5790</v>
      </c>
      <c r="AB47" s="9">
        <v>5850</v>
      </c>
      <c r="AC47" s="9">
        <v>5970</v>
      </c>
      <c r="AD47" s="9">
        <v>6090</v>
      </c>
      <c r="AE47" s="10">
        <v>6270</v>
      </c>
      <c r="AF47" s="10">
        <v>6400</v>
      </c>
      <c r="AG47" s="10">
        <v>6590</v>
      </c>
      <c r="AH47" s="10">
        <v>6720</v>
      </c>
      <c r="AI47" s="10">
        <v>6920</v>
      </c>
      <c r="AK47" s="65">
        <f t="shared" si="1"/>
        <v>0.76583954664669251</v>
      </c>
      <c r="AL47" s="67">
        <f t="shared" si="2"/>
        <v>7.8755744079179926E-3</v>
      </c>
      <c r="AM47" s="67">
        <f t="shared" si="3"/>
        <v>6.7195556548168148E-3</v>
      </c>
    </row>
    <row r="48" spans="1:39">
      <c r="B48" s="7" t="s">
        <v>48</v>
      </c>
      <c r="C48" s="8"/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K48" s="65">
        <f t="shared" si="1"/>
        <v>0</v>
      </c>
      <c r="AL48" s="67">
        <f t="shared" si="2"/>
        <v>0</v>
      </c>
      <c r="AM48" s="67">
        <f t="shared" si="3"/>
        <v>0</v>
      </c>
    </row>
    <row r="49" spans="1:39">
      <c r="B49" s="7" t="s">
        <v>49</v>
      </c>
      <c r="C49" s="8"/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K49" s="65">
        <f t="shared" si="1"/>
        <v>0</v>
      </c>
      <c r="AL49" s="67">
        <f t="shared" si="2"/>
        <v>0</v>
      </c>
      <c r="AM49" s="67">
        <f t="shared" si="3"/>
        <v>0</v>
      </c>
    </row>
    <row r="50" spans="1:39">
      <c r="B50" s="7" t="s">
        <v>50</v>
      </c>
      <c r="C50" s="8"/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K50" s="65">
        <f t="shared" si="1"/>
        <v>0</v>
      </c>
      <c r="AL50" s="67">
        <f t="shared" si="2"/>
        <v>0</v>
      </c>
      <c r="AM50" s="67">
        <f t="shared" si="3"/>
        <v>0</v>
      </c>
    </row>
    <row r="51" spans="1:39">
      <c r="A51" s="4">
        <v>7</v>
      </c>
      <c r="B51" s="5" t="s">
        <v>56</v>
      </c>
      <c r="C51" s="6">
        <v>8631.2575150036464</v>
      </c>
      <c r="D51" s="11">
        <f t="shared" ref="D51:AI51" si="9">SUM(D52:D58)</f>
        <v>9670</v>
      </c>
      <c r="E51" s="11">
        <f t="shared" si="9"/>
        <v>9000</v>
      </c>
      <c r="F51" s="12">
        <f t="shared" si="9"/>
        <v>9986.4068075890482</v>
      </c>
      <c r="G51" s="12">
        <f t="shared" si="9"/>
        <v>9820</v>
      </c>
      <c r="H51" s="12">
        <f t="shared" si="9"/>
        <v>10020</v>
      </c>
      <c r="I51" s="12">
        <f t="shared" si="9"/>
        <v>10420</v>
      </c>
      <c r="J51" s="12">
        <f t="shared" si="9"/>
        <v>10850</v>
      </c>
      <c r="K51" s="12">
        <f t="shared" si="9"/>
        <v>11390</v>
      </c>
      <c r="L51" s="12">
        <f t="shared" si="9"/>
        <v>12080</v>
      </c>
      <c r="M51" s="12">
        <f t="shared" si="9"/>
        <v>12680</v>
      </c>
      <c r="N51" s="12">
        <f t="shared" si="9"/>
        <v>13300</v>
      </c>
      <c r="O51" s="12">
        <f t="shared" si="9"/>
        <v>14100</v>
      </c>
      <c r="P51" s="12">
        <f t="shared" si="9"/>
        <v>14950</v>
      </c>
      <c r="Q51" s="12">
        <f t="shared" si="9"/>
        <v>15550</v>
      </c>
      <c r="R51" s="12">
        <f t="shared" si="9"/>
        <v>16480</v>
      </c>
      <c r="S51" s="12">
        <f t="shared" si="9"/>
        <v>17470</v>
      </c>
      <c r="T51" s="12">
        <f t="shared" si="9"/>
        <v>18520</v>
      </c>
      <c r="U51" s="12">
        <f t="shared" si="9"/>
        <v>19820</v>
      </c>
      <c r="V51" s="12">
        <f t="shared" si="9"/>
        <v>21210</v>
      </c>
      <c r="W51" s="12">
        <f t="shared" si="9"/>
        <v>22490</v>
      </c>
      <c r="X51" s="12">
        <f t="shared" si="9"/>
        <v>23830</v>
      </c>
      <c r="Y51" s="12">
        <f t="shared" si="9"/>
        <v>25730</v>
      </c>
      <c r="Z51" s="12">
        <f t="shared" si="9"/>
        <v>27790</v>
      </c>
      <c r="AA51" s="12">
        <f t="shared" si="9"/>
        <v>30010</v>
      </c>
      <c r="AB51" s="12">
        <f t="shared" si="9"/>
        <v>30610</v>
      </c>
      <c r="AC51" s="12">
        <f t="shared" si="9"/>
        <v>32750</v>
      </c>
      <c r="AD51" s="12">
        <f t="shared" si="9"/>
        <v>35370</v>
      </c>
      <c r="AE51" s="12">
        <f t="shared" si="9"/>
        <v>37500</v>
      </c>
      <c r="AF51" s="12">
        <f t="shared" si="9"/>
        <v>40130</v>
      </c>
      <c r="AG51" s="12">
        <f t="shared" si="9"/>
        <v>43350</v>
      </c>
      <c r="AH51" s="12">
        <f t="shared" si="9"/>
        <v>47250</v>
      </c>
      <c r="AI51" s="12">
        <f t="shared" si="9"/>
        <v>50090</v>
      </c>
      <c r="AK51" s="65">
        <f t="shared" si="1"/>
        <v>3.7402097040011095</v>
      </c>
      <c r="AL51" s="67">
        <f t="shared" si="2"/>
        <v>3.6380346412159772E-2</v>
      </c>
      <c r="AM51" s="67">
        <f t="shared" si="3"/>
        <v>4.863909577308876E-2</v>
      </c>
    </row>
    <row r="52" spans="1:39">
      <c r="B52" s="7" t="s">
        <v>44</v>
      </c>
      <c r="C52" s="8"/>
      <c r="D52" s="9">
        <v>3400</v>
      </c>
      <c r="E52" s="9">
        <v>3160</v>
      </c>
      <c r="F52" s="9">
        <v>5733.7498352444973</v>
      </c>
      <c r="G52" s="9">
        <v>3450</v>
      </c>
      <c r="H52" s="9">
        <v>3520</v>
      </c>
      <c r="I52" s="9">
        <v>3660</v>
      </c>
      <c r="J52" s="9">
        <v>3810</v>
      </c>
      <c r="K52" s="9">
        <v>4000</v>
      </c>
      <c r="L52" s="9">
        <v>4240</v>
      </c>
      <c r="M52" s="9">
        <v>4450</v>
      </c>
      <c r="N52" s="9">
        <v>4670</v>
      </c>
      <c r="O52" s="9">
        <v>4950</v>
      </c>
      <c r="P52" s="9">
        <v>5250</v>
      </c>
      <c r="Q52" s="9">
        <v>5460</v>
      </c>
      <c r="R52" s="9">
        <v>5790</v>
      </c>
      <c r="S52" s="9">
        <v>6140</v>
      </c>
      <c r="T52" s="9">
        <v>6510</v>
      </c>
      <c r="U52" s="9">
        <v>6970</v>
      </c>
      <c r="V52" s="9">
        <v>7460</v>
      </c>
      <c r="W52" s="9">
        <v>7910</v>
      </c>
      <c r="X52" s="9">
        <v>8380</v>
      </c>
      <c r="Y52" s="9">
        <v>9050</v>
      </c>
      <c r="Z52" s="9">
        <v>9770</v>
      </c>
      <c r="AA52" s="9">
        <v>10550</v>
      </c>
      <c r="AB52" s="9">
        <v>10760</v>
      </c>
      <c r="AC52" s="9">
        <v>11510</v>
      </c>
      <c r="AD52" s="9">
        <v>12430</v>
      </c>
      <c r="AE52" s="10">
        <v>13180</v>
      </c>
      <c r="AF52" s="10">
        <v>14100</v>
      </c>
      <c r="AG52" s="10">
        <v>15230</v>
      </c>
      <c r="AH52" s="10">
        <v>16600</v>
      </c>
      <c r="AI52" s="10">
        <v>17600</v>
      </c>
      <c r="AK52" s="65">
        <f t="shared" si="1"/>
        <v>1.3261647657370974</v>
      </c>
      <c r="AL52" s="67">
        <f t="shared" si="2"/>
        <v>1.27960410038883E-2</v>
      </c>
      <c r="AM52" s="67">
        <f t="shared" si="3"/>
        <v>1.709019935329132E-2</v>
      </c>
    </row>
    <row r="53" spans="1:39">
      <c r="B53" s="7" t="s">
        <v>45</v>
      </c>
      <c r="C53" s="8"/>
      <c r="D53" s="9">
        <v>4330</v>
      </c>
      <c r="E53" s="9">
        <v>4030</v>
      </c>
      <c r="F53" s="9">
        <v>2592.1043264952741</v>
      </c>
      <c r="G53" s="9">
        <v>4400</v>
      </c>
      <c r="H53" s="9">
        <v>4490</v>
      </c>
      <c r="I53" s="9">
        <v>4670</v>
      </c>
      <c r="J53" s="9">
        <v>4860</v>
      </c>
      <c r="K53" s="9">
        <v>5100</v>
      </c>
      <c r="L53" s="9">
        <v>5410</v>
      </c>
      <c r="M53" s="9">
        <v>5680</v>
      </c>
      <c r="N53" s="9">
        <v>5960</v>
      </c>
      <c r="O53" s="9">
        <v>6320</v>
      </c>
      <c r="P53" s="9">
        <v>6700</v>
      </c>
      <c r="Q53" s="9">
        <v>6970</v>
      </c>
      <c r="R53" s="9">
        <v>7390</v>
      </c>
      <c r="S53" s="9">
        <v>7830</v>
      </c>
      <c r="T53" s="9">
        <v>8300</v>
      </c>
      <c r="U53" s="9">
        <v>8880</v>
      </c>
      <c r="V53" s="9">
        <v>9500</v>
      </c>
      <c r="W53" s="9">
        <v>10070</v>
      </c>
      <c r="X53" s="9">
        <v>10670</v>
      </c>
      <c r="Y53" s="9">
        <v>11520</v>
      </c>
      <c r="Z53" s="9">
        <v>12440</v>
      </c>
      <c r="AA53" s="9">
        <v>13440</v>
      </c>
      <c r="AB53" s="9">
        <v>13710</v>
      </c>
      <c r="AC53" s="9">
        <v>14670</v>
      </c>
      <c r="AD53" s="9">
        <v>15840</v>
      </c>
      <c r="AE53" s="10">
        <v>16790</v>
      </c>
      <c r="AF53" s="10">
        <v>17970</v>
      </c>
      <c r="AG53" s="10">
        <v>19410</v>
      </c>
      <c r="AH53" s="10">
        <v>21160</v>
      </c>
      <c r="AI53" s="10">
        <v>22430</v>
      </c>
      <c r="AK53" s="65">
        <f t="shared" si="1"/>
        <v>1.665220815337028</v>
      </c>
      <c r="AL53" s="67">
        <f t="shared" si="2"/>
        <v>1.6288441145281017E-2</v>
      </c>
      <c r="AM53" s="67">
        <f t="shared" si="3"/>
        <v>2.178029383490479E-2</v>
      </c>
    </row>
    <row r="54" spans="1:39">
      <c r="B54" s="7" t="s">
        <v>46</v>
      </c>
      <c r="C54" s="8"/>
      <c r="D54" s="9">
        <v>350</v>
      </c>
      <c r="E54" s="9">
        <v>330</v>
      </c>
      <c r="F54" s="9">
        <v>342.13294977452961</v>
      </c>
      <c r="G54" s="9">
        <v>360</v>
      </c>
      <c r="H54" s="9">
        <v>370</v>
      </c>
      <c r="I54" s="9">
        <v>380</v>
      </c>
      <c r="J54" s="9">
        <v>400</v>
      </c>
      <c r="K54" s="9">
        <v>420</v>
      </c>
      <c r="L54" s="9">
        <v>450</v>
      </c>
      <c r="M54" s="9">
        <v>470</v>
      </c>
      <c r="N54" s="9">
        <v>490</v>
      </c>
      <c r="O54" s="9">
        <v>520</v>
      </c>
      <c r="P54" s="9">
        <v>550</v>
      </c>
      <c r="Q54" s="9">
        <v>570</v>
      </c>
      <c r="R54" s="9">
        <v>600</v>
      </c>
      <c r="S54" s="9">
        <v>640</v>
      </c>
      <c r="T54" s="9">
        <v>680</v>
      </c>
      <c r="U54" s="9">
        <v>730</v>
      </c>
      <c r="V54" s="9">
        <v>780</v>
      </c>
      <c r="W54" s="9">
        <v>830</v>
      </c>
      <c r="X54" s="9">
        <v>880</v>
      </c>
      <c r="Y54" s="9">
        <v>950</v>
      </c>
      <c r="Z54" s="9">
        <v>1030</v>
      </c>
      <c r="AA54" s="9">
        <v>1110</v>
      </c>
      <c r="AB54" s="9">
        <v>1130</v>
      </c>
      <c r="AC54" s="9">
        <v>1210</v>
      </c>
      <c r="AD54" s="9">
        <v>1310</v>
      </c>
      <c r="AE54" s="10">
        <v>1390</v>
      </c>
      <c r="AF54" s="10">
        <v>1490</v>
      </c>
      <c r="AG54" s="10">
        <v>1610</v>
      </c>
      <c r="AH54" s="10">
        <v>1750</v>
      </c>
      <c r="AI54" s="10">
        <v>1860</v>
      </c>
      <c r="AK54" s="65">
        <f t="shared" si="1"/>
        <v>0.13799540148451198</v>
      </c>
      <c r="AL54" s="67">
        <f t="shared" si="2"/>
        <v>1.3432308236125839E-3</v>
      </c>
      <c r="AM54" s="67">
        <f t="shared" si="3"/>
        <v>1.80612334074556E-3</v>
      </c>
    </row>
    <row r="55" spans="1:39">
      <c r="B55" s="7" t="s">
        <v>47</v>
      </c>
      <c r="C55" s="8"/>
      <c r="D55" s="9">
        <v>1590</v>
      </c>
      <c r="E55" s="9">
        <v>1480</v>
      </c>
      <c r="F55" s="9">
        <v>1318.4196960747463</v>
      </c>
      <c r="G55" s="9">
        <v>1610</v>
      </c>
      <c r="H55" s="9">
        <v>1640</v>
      </c>
      <c r="I55" s="9">
        <v>1710</v>
      </c>
      <c r="J55" s="9">
        <v>1780</v>
      </c>
      <c r="K55" s="9">
        <v>1870</v>
      </c>
      <c r="L55" s="9">
        <v>1980</v>
      </c>
      <c r="M55" s="9">
        <v>2080</v>
      </c>
      <c r="N55" s="9">
        <v>2180</v>
      </c>
      <c r="O55" s="9">
        <v>2310</v>
      </c>
      <c r="P55" s="9">
        <v>2450</v>
      </c>
      <c r="Q55" s="9">
        <v>2550</v>
      </c>
      <c r="R55" s="9">
        <v>2700</v>
      </c>
      <c r="S55" s="9">
        <v>2860</v>
      </c>
      <c r="T55" s="9">
        <v>3030</v>
      </c>
      <c r="U55" s="9">
        <v>3240</v>
      </c>
      <c r="V55" s="9">
        <v>3470</v>
      </c>
      <c r="W55" s="9">
        <v>3680</v>
      </c>
      <c r="X55" s="9">
        <v>3900</v>
      </c>
      <c r="Y55" s="9">
        <v>4210</v>
      </c>
      <c r="Z55" s="9">
        <v>4550</v>
      </c>
      <c r="AA55" s="9">
        <v>4910</v>
      </c>
      <c r="AB55" s="9">
        <v>5010</v>
      </c>
      <c r="AC55" s="9">
        <v>5360</v>
      </c>
      <c r="AD55" s="9">
        <v>5790</v>
      </c>
      <c r="AE55" s="10">
        <v>6140</v>
      </c>
      <c r="AF55" s="10">
        <v>6570</v>
      </c>
      <c r="AG55" s="10">
        <v>7100</v>
      </c>
      <c r="AH55" s="10">
        <v>7740</v>
      </c>
      <c r="AI55" s="10">
        <v>8200</v>
      </c>
      <c r="AK55" s="65">
        <f t="shared" si="1"/>
        <v>0.61082872144247158</v>
      </c>
      <c r="AL55" s="67">
        <f t="shared" si="2"/>
        <v>5.9526334393778723E-3</v>
      </c>
      <c r="AM55" s="67">
        <f t="shared" si="3"/>
        <v>7.9624792441470929E-3</v>
      </c>
    </row>
    <row r="56" spans="1:39">
      <c r="B56" s="7" t="s">
        <v>48</v>
      </c>
      <c r="C56" s="8"/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K56" s="65">
        <f t="shared" si="1"/>
        <v>0</v>
      </c>
      <c r="AL56" s="67">
        <f t="shared" si="2"/>
        <v>0</v>
      </c>
      <c r="AM56" s="67">
        <f t="shared" si="3"/>
        <v>0</v>
      </c>
    </row>
    <row r="57" spans="1:39">
      <c r="B57" s="7" t="s">
        <v>49</v>
      </c>
      <c r="C57" s="8"/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K57" s="65">
        <f t="shared" si="1"/>
        <v>0</v>
      </c>
      <c r="AL57" s="67">
        <f t="shared" si="2"/>
        <v>0</v>
      </c>
      <c r="AM57" s="67">
        <f t="shared" si="3"/>
        <v>0</v>
      </c>
    </row>
    <row r="58" spans="1:39">
      <c r="B58" s="7" t="s">
        <v>50</v>
      </c>
      <c r="C58" s="8"/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K58" s="65">
        <f t="shared" si="1"/>
        <v>0</v>
      </c>
      <c r="AL58" s="67">
        <f t="shared" si="2"/>
        <v>0</v>
      </c>
      <c r="AM58" s="67">
        <f t="shared" si="3"/>
        <v>0</v>
      </c>
    </row>
    <row r="59" spans="1:39">
      <c r="A59" s="4">
        <v>8</v>
      </c>
      <c r="B59" s="5" t="s">
        <v>57</v>
      </c>
      <c r="C59" s="6">
        <v>3169.2457049286395</v>
      </c>
      <c r="D59" s="11">
        <f t="shared" ref="D59:AI59" si="10">SUM(D60:D66)</f>
        <v>7810</v>
      </c>
      <c r="E59" s="11">
        <f t="shared" si="10"/>
        <v>6250</v>
      </c>
      <c r="F59" s="12">
        <f t="shared" si="10"/>
        <v>8410.3069141962715</v>
      </c>
      <c r="G59" s="12">
        <f t="shared" si="10"/>
        <v>7010</v>
      </c>
      <c r="H59" s="12">
        <f t="shared" si="10"/>
        <v>7140</v>
      </c>
      <c r="I59" s="12">
        <f t="shared" si="10"/>
        <v>7430</v>
      </c>
      <c r="J59" s="12">
        <f t="shared" si="10"/>
        <v>7500</v>
      </c>
      <c r="K59" s="12">
        <f t="shared" si="10"/>
        <v>7790</v>
      </c>
      <c r="L59" s="12">
        <f t="shared" si="10"/>
        <v>8180</v>
      </c>
      <c r="M59" s="12">
        <f t="shared" si="10"/>
        <v>8270</v>
      </c>
      <c r="N59" s="12">
        <f t="shared" si="10"/>
        <v>8430</v>
      </c>
      <c r="O59" s="12">
        <f t="shared" si="10"/>
        <v>8590</v>
      </c>
      <c r="P59" s="12">
        <f t="shared" si="10"/>
        <v>8680</v>
      </c>
      <c r="Q59" s="12">
        <f t="shared" si="10"/>
        <v>8250</v>
      </c>
      <c r="R59" s="12">
        <f t="shared" si="10"/>
        <v>8660</v>
      </c>
      <c r="S59" s="12">
        <f t="shared" si="10"/>
        <v>8920</v>
      </c>
      <c r="T59" s="12">
        <f t="shared" si="10"/>
        <v>8920</v>
      </c>
      <c r="U59" s="12">
        <f t="shared" si="10"/>
        <v>9010</v>
      </c>
      <c r="V59" s="12">
        <f t="shared" si="10"/>
        <v>9010</v>
      </c>
      <c r="W59" s="12">
        <f t="shared" si="10"/>
        <v>9100</v>
      </c>
      <c r="X59" s="12">
        <f t="shared" si="10"/>
        <v>9100</v>
      </c>
      <c r="Y59" s="12">
        <f t="shared" si="10"/>
        <v>9100</v>
      </c>
      <c r="Z59" s="12">
        <f t="shared" si="10"/>
        <v>9190</v>
      </c>
      <c r="AA59" s="12">
        <f t="shared" si="10"/>
        <v>9560</v>
      </c>
      <c r="AB59" s="12">
        <f t="shared" si="10"/>
        <v>9370</v>
      </c>
      <c r="AC59" s="12">
        <f t="shared" si="10"/>
        <v>9370</v>
      </c>
      <c r="AD59" s="12">
        <f t="shared" si="10"/>
        <v>9460</v>
      </c>
      <c r="AE59" s="12">
        <f t="shared" si="10"/>
        <v>9660</v>
      </c>
      <c r="AF59" s="12">
        <f t="shared" si="10"/>
        <v>9860</v>
      </c>
      <c r="AG59" s="12">
        <f t="shared" si="10"/>
        <v>9770</v>
      </c>
      <c r="AH59" s="12">
        <f t="shared" si="10"/>
        <v>9570</v>
      </c>
      <c r="AI59" s="12">
        <f t="shared" si="10"/>
        <v>9570</v>
      </c>
      <c r="AK59" s="65">
        <f t="shared" si="1"/>
        <v>1.4708757327100088</v>
      </c>
      <c r="AL59" s="67">
        <f t="shared" si="2"/>
        <v>1.2866737363025803E-2</v>
      </c>
      <c r="AM59" s="67">
        <f t="shared" si="3"/>
        <v>9.2927958983521543E-3</v>
      </c>
    </row>
    <row r="60" spans="1:39">
      <c r="B60" s="7" t="s">
        <v>44</v>
      </c>
      <c r="C60" s="8"/>
      <c r="D60" s="9">
        <v>2690</v>
      </c>
      <c r="E60" s="9">
        <v>2150</v>
      </c>
      <c r="F60" s="13">
        <v>4087.8873072360616</v>
      </c>
      <c r="G60" s="9">
        <v>2420</v>
      </c>
      <c r="H60" s="9">
        <v>2470</v>
      </c>
      <c r="I60" s="9">
        <v>2570</v>
      </c>
      <c r="J60" s="9">
        <v>2600</v>
      </c>
      <c r="K60" s="9">
        <v>2700</v>
      </c>
      <c r="L60" s="9">
        <v>2840</v>
      </c>
      <c r="M60" s="9">
        <v>2870</v>
      </c>
      <c r="N60" s="9">
        <v>2930</v>
      </c>
      <c r="O60" s="9">
        <v>2990</v>
      </c>
      <c r="P60" s="9">
        <v>3020</v>
      </c>
      <c r="Q60" s="9">
        <v>2870</v>
      </c>
      <c r="R60" s="9">
        <v>3010</v>
      </c>
      <c r="S60" s="9">
        <v>3100</v>
      </c>
      <c r="T60" s="9">
        <v>3100</v>
      </c>
      <c r="U60" s="9">
        <v>3130</v>
      </c>
      <c r="V60" s="9">
        <v>3130</v>
      </c>
      <c r="W60" s="9">
        <v>3160</v>
      </c>
      <c r="X60" s="9">
        <v>3160</v>
      </c>
      <c r="Y60" s="9">
        <v>3160</v>
      </c>
      <c r="Z60" s="9">
        <v>3190</v>
      </c>
      <c r="AA60" s="9">
        <v>3320</v>
      </c>
      <c r="AB60" s="9">
        <v>3250</v>
      </c>
      <c r="AC60" s="9">
        <v>3250</v>
      </c>
      <c r="AD60" s="9">
        <v>3280</v>
      </c>
      <c r="AE60" s="10">
        <v>3350</v>
      </c>
      <c r="AF60" s="10">
        <v>3420</v>
      </c>
      <c r="AG60" s="10">
        <v>3390</v>
      </c>
      <c r="AH60" s="10">
        <v>3320</v>
      </c>
      <c r="AI60" s="10">
        <v>3320</v>
      </c>
      <c r="AK60" s="65">
        <f t="shared" si="1"/>
        <v>0.51649959910620313</v>
      </c>
      <c r="AL60" s="67">
        <f t="shared" si="2"/>
        <v>4.4680098974902794E-3</v>
      </c>
      <c r="AM60" s="67">
        <f t="shared" si="3"/>
        <v>3.2238330598254082E-3</v>
      </c>
    </row>
    <row r="61" spans="1:39">
      <c r="B61" s="7" t="s">
        <v>45</v>
      </c>
      <c r="C61" s="8"/>
      <c r="D61" s="9">
        <v>2430</v>
      </c>
      <c r="E61" s="9">
        <v>1940</v>
      </c>
      <c r="F61" s="13">
        <v>1310.7660950915081</v>
      </c>
      <c r="G61" s="9">
        <v>2170</v>
      </c>
      <c r="H61" s="9">
        <v>2210</v>
      </c>
      <c r="I61" s="9">
        <v>2300</v>
      </c>
      <c r="J61" s="9">
        <v>2320</v>
      </c>
      <c r="K61" s="9">
        <v>2410</v>
      </c>
      <c r="L61" s="9">
        <v>2530</v>
      </c>
      <c r="M61" s="9">
        <v>2560</v>
      </c>
      <c r="N61" s="9">
        <v>2610</v>
      </c>
      <c r="O61" s="9">
        <v>2660</v>
      </c>
      <c r="P61" s="9">
        <v>2690</v>
      </c>
      <c r="Q61" s="9">
        <v>2560</v>
      </c>
      <c r="R61" s="9">
        <v>2690</v>
      </c>
      <c r="S61" s="9">
        <v>2770</v>
      </c>
      <c r="T61" s="9">
        <v>2770</v>
      </c>
      <c r="U61" s="9">
        <v>2800</v>
      </c>
      <c r="V61" s="9">
        <v>2800</v>
      </c>
      <c r="W61" s="9">
        <v>2830</v>
      </c>
      <c r="X61" s="9">
        <v>2830</v>
      </c>
      <c r="Y61" s="9">
        <v>2830</v>
      </c>
      <c r="Z61" s="9">
        <v>2860</v>
      </c>
      <c r="AA61" s="9">
        <v>2970</v>
      </c>
      <c r="AB61" s="9">
        <v>2910</v>
      </c>
      <c r="AC61" s="9">
        <v>2910</v>
      </c>
      <c r="AD61" s="9">
        <v>2940</v>
      </c>
      <c r="AE61" s="10">
        <v>3000</v>
      </c>
      <c r="AF61" s="10">
        <v>3060</v>
      </c>
      <c r="AG61" s="10">
        <v>3030</v>
      </c>
      <c r="AH61" s="10">
        <v>2970</v>
      </c>
      <c r="AI61" s="10">
        <v>2970</v>
      </c>
      <c r="AK61" s="65">
        <f t="shared" si="1"/>
        <v>0.44954109509897566</v>
      </c>
      <c r="AL61" s="67">
        <f t="shared" si="2"/>
        <v>4.0014139271827504E-3</v>
      </c>
      <c r="AM61" s="67">
        <f t="shared" si="3"/>
        <v>2.8839711408679101E-3</v>
      </c>
    </row>
    <row r="62" spans="1:39">
      <c r="B62" s="7" t="s">
        <v>46</v>
      </c>
      <c r="C62" s="8"/>
      <c r="D62" s="9">
        <v>0</v>
      </c>
      <c r="E62" s="9">
        <v>0</v>
      </c>
      <c r="F62" s="13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K62" s="65">
        <f t="shared" si="1"/>
        <v>0</v>
      </c>
      <c r="AL62" s="67">
        <f t="shared" si="2"/>
        <v>0</v>
      </c>
      <c r="AM62" s="67">
        <f t="shared" si="3"/>
        <v>0</v>
      </c>
    </row>
    <row r="63" spans="1:39">
      <c r="B63" s="7" t="s">
        <v>47</v>
      </c>
      <c r="C63" s="8"/>
      <c r="D63" s="9">
        <v>0</v>
      </c>
      <c r="E63" s="9">
        <v>0</v>
      </c>
      <c r="F63" s="13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K63" s="65">
        <f t="shared" si="1"/>
        <v>0</v>
      </c>
      <c r="AL63" s="67">
        <f t="shared" si="2"/>
        <v>0</v>
      </c>
      <c r="AM63" s="67">
        <f t="shared" si="3"/>
        <v>0</v>
      </c>
    </row>
    <row r="64" spans="1:39">
      <c r="B64" s="7" t="s">
        <v>48</v>
      </c>
      <c r="C64" s="8"/>
      <c r="D64" s="9">
        <v>2470</v>
      </c>
      <c r="E64" s="9">
        <v>1980</v>
      </c>
      <c r="F64" s="13">
        <v>2891.2968182478571</v>
      </c>
      <c r="G64" s="9">
        <v>2220</v>
      </c>
      <c r="H64" s="9">
        <v>2260</v>
      </c>
      <c r="I64" s="9">
        <v>2350</v>
      </c>
      <c r="J64" s="9">
        <v>2370</v>
      </c>
      <c r="K64" s="9">
        <v>2460</v>
      </c>
      <c r="L64" s="9">
        <v>2580</v>
      </c>
      <c r="M64" s="9">
        <v>2610</v>
      </c>
      <c r="N64" s="9">
        <v>2660</v>
      </c>
      <c r="O64" s="9">
        <v>2710</v>
      </c>
      <c r="P64" s="9">
        <v>2740</v>
      </c>
      <c r="Q64" s="9">
        <v>2600</v>
      </c>
      <c r="R64" s="9">
        <v>2730</v>
      </c>
      <c r="S64" s="9">
        <v>2810</v>
      </c>
      <c r="T64" s="9">
        <v>2810</v>
      </c>
      <c r="U64" s="9">
        <v>2840</v>
      </c>
      <c r="V64" s="9">
        <v>2840</v>
      </c>
      <c r="W64" s="9">
        <v>2870</v>
      </c>
      <c r="X64" s="9">
        <v>2870</v>
      </c>
      <c r="Y64" s="9">
        <v>2870</v>
      </c>
      <c r="Z64" s="9">
        <v>2900</v>
      </c>
      <c r="AA64" s="9">
        <v>3020</v>
      </c>
      <c r="AB64" s="9">
        <v>2960</v>
      </c>
      <c r="AC64" s="9">
        <v>2960</v>
      </c>
      <c r="AD64" s="9">
        <v>2990</v>
      </c>
      <c r="AE64" s="10">
        <v>3050</v>
      </c>
      <c r="AF64" s="10">
        <v>3110</v>
      </c>
      <c r="AG64" s="10">
        <v>3080</v>
      </c>
      <c r="AH64" s="10">
        <v>3020</v>
      </c>
      <c r="AI64" s="10">
        <v>3020</v>
      </c>
      <c r="AK64" s="65">
        <f t="shared" si="1"/>
        <v>0.46553052124141342</v>
      </c>
      <c r="AL64" s="67">
        <f t="shared" si="2"/>
        <v>4.0579710144927538E-3</v>
      </c>
      <c r="AM64" s="67">
        <f t="shared" si="3"/>
        <v>2.9325228435761242E-3</v>
      </c>
    </row>
    <row r="65" spans="1:39">
      <c r="B65" s="7" t="s">
        <v>49</v>
      </c>
      <c r="C65" s="8"/>
      <c r="D65" s="9">
        <v>220</v>
      </c>
      <c r="E65" s="9">
        <v>180</v>
      </c>
      <c r="F65" s="13">
        <v>120.35669362084457</v>
      </c>
      <c r="G65" s="9">
        <v>200</v>
      </c>
      <c r="H65" s="9">
        <v>200</v>
      </c>
      <c r="I65" s="9">
        <v>210</v>
      </c>
      <c r="J65" s="9">
        <v>210</v>
      </c>
      <c r="K65" s="9">
        <v>220</v>
      </c>
      <c r="L65" s="9">
        <v>230</v>
      </c>
      <c r="M65" s="9">
        <v>230</v>
      </c>
      <c r="N65" s="9">
        <v>230</v>
      </c>
      <c r="O65" s="9">
        <v>230</v>
      </c>
      <c r="P65" s="9">
        <v>230</v>
      </c>
      <c r="Q65" s="9">
        <v>220</v>
      </c>
      <c r="R65" s="9">
        <v>230</v>
      </c>
      <c r="S65" s="9">
        <v>240</v>
      </c>
      <c r="T65" s="9">
        <v>240</v>
      </c>
      <c r="U65" s="9">
        <v>240</v>
      </c>
      <c r="V65" s="9">
        <v>240</v>
      </c>
      <c r="W65" s="9">
        <v>240</v>
      </c>
      <c r="X65" s="9">
        <v>240</v>
      </c>
      <c r="Y65" s="9">
        <v>240</v>
      </c>
      <c r="Z65" s="9">
        <v>240</v>
      </c>
      <c r="AA65" s="9">
        <v>250</v>
      </c>
      <c r="AB65" s="9">
        <v>250</v>
      </c>
      <c r="AC65" s="9">
        <v>250</v>
      </c>
      <c r="AD65" s="9">
        <v>250</v>
      </c>
      <c r="AE65" s="10">
        <v>260</v>
      </c>
      <c r="AF65" s="10">
        <v>270</v>
      </c>
      <c r="AG65" s="10">
        <v>270</v>
      </c>
      <c r="AH65" s="10">
        <v>260</v>
      </c>
      <c r="AI65" s="10">
        <v>260</v>
      </c>
      <c r="AK65" s="65">
        <f t="shared" si="1"/>
        <v>3.930451726341682E-2</v>
      </c>
      <c r="AL65" s="67">
        <f t="shared" si="2"/>
        <v>3.3934252386002119E-4</v>
      </c>
      <c r="AM65" s="67">
        <f t="shared" si="3"/>
        <v>2.524688540827127E-4</v>
      </c>
    </row>
    <row r="66" spans="1:39">
      <c r="B66" s="7" t="s">
        <v>50</v>
      </c>
      <c r="C66" s="8"/>
      <c r="D66" s="9">
        <v>0</v>
      </c>
      <c r="E66" s="9">
        <v>0</v>
      </c>
      <c r="F66" s="13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K66" s="65">
        <f t="shared" si="1"/>
        <v>0</v>
      </c>
      <c r="AL66" s="67">
        <f t="shared" si="2"/>
        <v>0</v>
      </c>
      <c r="AM66" s="67">
        <f t="shared" si="3"/>
        <v>0</v>
      </c>
    </row>
    <row r="67" spans="1:39">
      <c r="A67" s="4">
        <v>9</v>
      </c>
      <c r="B67" s="5" t="s">
        <v>58</v>
      </c>
      <c r="C67" s="6">
        <v>14811.472405490949</v>
      </c>
      <c r="D67" s="12">
        <f t="shared" ref="D67:AI67" si="11">SUM(D68:D74)</f>
        <v>35290</v>
      </c>
      <c r="E67" s="12">
        <f t="shared" si="11"/>
        <v>35640</v>
      </c>
      <c r="F67" s="12">
        <f t="shared" si="11"/>
        <v>36132.98839033171</v>
      </c>
      <c r="G67" s="12">
        <f t="shared" si="11"/>
        <v>40800</v>
      </c>
      <c r="H67" s="12">
        <f t="shared" si="11"/>
        <v>41620</v>
      </c>
      <c r="I67" s="12">
        <f t="shared" si="11"/>
        <v>46620</v>
      </c>
      <c r="J67" s="12">
        <f t="shared" si="11"/>
        <v>47550</v>
      </c>
      <c r="K67" s="12">
        <f t="shared" si="11"/>
        <v>42790</v>
      </c>
      <c r="L67" s="12">
        <f t="shared" si="11"/>
        <v>45790</v>
      </c>
      <c r="M67" s="12">
        <f t="shared" si="11"/>
        <v>48540</v>
      </c>
      <c r="N67" s="12">
        <f t="shared" si="11"/>
        <v>50480</v>
      </c>
      <c r="O67" s="12">
        <f t="shared" si="11"/>
        <v>52490</v>
      </c>
      <c r="P67" s="12">
        <f t="shared" si="11"/>
        <v>54590</v>
      </c>
      <c r="Q67" s="12">
        <f t="shared" si="11"/>
        <v>55680</v>
      </c>
      <c r="R67" s="12">
        <f t="shared" si="11"/>
        <v>57900</v>
      </c>
      <c r="S67" s="12">
        <f t="shared" si="11"/>
        <v>61370</v>
      </c>
      <c r="T67" s="12">
        <f t="shared" si="11"/>
        <v>65660</v>
      </c>
      <c r="U67" s="12">
        <f t="shared" si="11"/>
        <v>68280</v>
      </c>
      <c r="V67" s="12">
        <f t="shared" si="11"/>
        <v>71010</v>
      </c>
      <c r="W67" s="12">
        <f t="shared" si="11"/>
        <v>73860</v>
      </c>
      <c r="X67" s="12">
        <f t="shared" si="11"/>
        <v>76070</v>
      </c>
      <c r="Y67" s="12">
        <f t="shared" si="11"/>
        <v>77600</v>
      </c>
      <c r="Z67" s="12">
        <f t="shared" si="11"/>
        <v>79150</v>
      </c>
      <c r="AA67" s="12">
        <f t="shared" si="11"/>
        <v>81520</v>
      </c>
      <c r="AB67" s="12">
        <f t="shared" si="11"/>
        <v>82340</v>
      </c>
      <c r="AC67" s="12">
        <f t="shared" si="11"/>
        <v>84000</v>
      </c>
      <c r="AD67" s="12">
        <f t="shared" si="11"/>
        <v>88190</v>
      </c>
      <c r="AE67" s="12">
        <f t="shared" si="11"/>
        <v>89960</v>
      </c>
      <c r="AF67" s="12">
        <f t="shared" si="11"/>
        <v>91760</v>
      </c>
      <c r="AG67" s="12">
        <f t="shared" si="11"/>
        <v>93600</v>
      </c>
      <c r="AH67" s="12">
        <f t="shared" si="11"/>
        <v>95470</v>
      </c>
      <c r="AI67" s="12">
        <f t="shared" si="11"/>
        <v>98340</v>
      </c>
      <c r="AK67" s="65">
        <f t="shared" si="1"/>
        <v>10.994605931522491</v>
      </c>
      <c r="AL67" s="67">
        <f t="shared" si="2"/>
        <v>0.10972074938140686</v>
      </c>
      <c r="AM67" s="67">
        <f t="shared" si="3"/>
        <v>9.5491488886515249E-2</v>
      </c>
    </row>
    <row r="68" spans="1:39">
      <c r="B68" s="7" t="s">
        <v>44</v>
      </c>
      <c r="C68" s="8"/>
      <c r="D68" s="9">
        <v>2740</v>
      </c>
      <c r="E68" s="9">
        <v>2770</v>
      </c>
      <c r="F68" s="9">
        <v>5113.7449584816131</v>
      </c>
      <c r="G68" s="9">
        <v>3170</v>
      </c>
      <c r="H68" s="9">
        <v>3230</v>
      </c>
      <c r="I68" s="9">
        <v>3620</v>
      </c>
      <c r="J68" s="9">
        <v>3690</v>
      </c>
      <c r="K68" s="9">
        <v>3320</v>
      </c>
      <c r="L68" s="9">
        <v>3550</v>
      </c>
      <c r="M68" s="9">
        <v>3760</v>
      </c>
      <c r="N68" s="9">
        <v>3910</v>
      </c>
      <c r="O68" s="9">
        <v>4070</v>
      </c>
      <c r="P68" s="9">
        <v>4230</v>
      </c>
      <c r="Q68" s="9">
        <v>4310</v>
      </c>
      <c r="R68" s="9">
        <v>4480</v>
      </c>
      <c r="S68" s="9">
        <v>4750</v>
      </c>
      <c r="T68" s="9">
        <v>5080</v>
      </c>
      <c r="U68" s="9">
        <v>5280</v>
      </c>
      <c r="V68" s="9">
        <v>5490</v>
      </c>
      <c r="W68" s="9">
        <v>5710</v>
      </c>
      <c r="X68" s="9">
        <v>5880</v>
      </c>
      <c r="Y68" s="9">
        <v>6000</v>
      </c>
      <c r="Z68" s="9">
        <v>6120</v>
      </c>
      <c r="AA68" s="9">
        <v>6300</v>
      </c>
      <c r="AB68" s="9">
        <v>6360</v>
      </c>
      <c r="AC68" s="9">
        <v>6490</v>
      </c>
      <c r="AD68" s="9">
        <v>6810</v>
      </c>
      <c r="AE68" s="10">
        <v>6950</v>
      </c>
      <c r="AF68" s="10">
        <v>7090</v>
      </c>
      <c r="AG68" s="10">
        <v>7230</v>
      </c>
      <c r="AH68" s="10">
        <v>7370</v>
      </c>
      <c r="AI68" s="10">
        <v>7590</v>
      </c>
      <c r="AK68" s="65">
        <f t="shared" ref="AK68:AK82" si="12">SUM(D68:AI68)/SUM($D$75:$AI$75)%</f>
        <v>0.86287179561282246</v>
      </c>
      <c r="AL68" s="67">
        <f t="shared" ref="AL68:AL82" si="13">Y68/Y$75</f>
        <v>8.483563096500531E-3</v>
      </c>
      <c r="AM68" s="67">
        <f t="shared" ref="AM68:AM82" si="14">AI68/AI$75</f>
        <v>7.3701484711068818E-3</v>
      </c>
    </row>
    <row r="69" spans="1:39">
      <c r="B69" s="7" t="s">
        <v>45</v>
      </c>
      <c r="C69" s="8"/>
      <c r="D69" s="9">
        <v>10200</v>
      </c>
      <c r="E69" s="9">
        <v>10300</v>
      </c>
      <c r="F69" s="9">
        <v>6757.9862797912501</v>
      </c>
      <c r="G69" s="9">
        <v>11790</v>
      </c>
      <c r="H69" s="9">
        <v>12030</v>
      </c>
      <c r="I69" s="9">
        <v>13470</v>
      </c>
      <c r="J69" s="13">
        <v>13740</v>
      </c>
      <c r="K69" s="9">
        <v>12370</v>
      </c>
      <c r="L69" s="9">
        <v>13240</v>
      </c>
      <c r="M69" s="9">
        <v>14030</v>
      </c>
      <c r="N69" s="9">
        <v>14590</v>
      </c>
      <c r="O69" s="9">
        <v>15170</v>
      </c>
      <c r="P69" s="9">
        <v>15780</v>
      </c>
      <c r="Q69" s="9">
        <v>16100</v>
      </c>
      <c r="R69" s="9">
        <v>16740</v>
      </c>
      <c r="S69" s="9">
        <v>17740</v>
      </c>
      <c r="T69" s="9">
        <v>18980</v>
      </c>
      <c r="U69" s="9">
        <v>19740</v>
      </c>
      <c r="V69" s="9">
        <v>20530</v>
      </c>
      <c r="W69" s="9">
        <v>21350</v>
      </c>
      <c r="X69" s="9">
        <v>21990</v>
      </c>
      <c r="Y69" s="9">
        <v>22430</v>
      </c>
      <c r="Z69" s="9">
        <v>22880</v>
      </c>
      <c r="AA69" s="9">
        <v>23570</v>
      </c>
      <c r="AB69" s="9">
        <v>23810</v>
      </c>
      <c r="AC69" s="9">
        <v>24290</v>
      </c>
      <c r="AD69" s="9">
        <v>25500</v>
      </c>
      <c r="AE69" s="10">
        <v>26010</v>
      </c>
      <c r="AF69" s="10">
        <v>26530</v>
      </c>
      <c r="AG69" s="10">
        <v>27060</v>
      </c>
      <c r="AH69" s="10">
        <v>27600</v>
      </c>
      <c r="AI69" s="10">
        <v>28430</v>
      </c>
      <c r="AK69" s="65">
        <f t="shared" si="12"/>
        <v>3.1588048335922716</v>
      </c>
      <c r="AL69" s="67">
        <f t="shared" si="13"/>
        <v>3.1714386709084483E-2</v>
      </c>
      <c r="AM69" s="67">
        <f t="shared" si="14"/>
        <v>2.7606498159890469E-2</v>
      </c>
    </row>
    <row r="70" spans="1:39">
      <c r="B70" s="7" t="s">
        <v>46</v>
      </c>
      <c r="C70" s="8"/>
      <c r="D70" s="9">
        <v>350</v>
      </c>
      <c r="E70" s="9">
        <v>350</v>
      </c>
      <c r="F70" s="9">
        <v>379.14733322966879</v>
      </c>
      <c r="G70" s="9">
        <v>400</v>
      </c>
      <c r="H70" s="9">
        <v>410</v>
      </c>
      <c r="I70" s="9">
        <v>460</v>
      </c>
      <c r="J70" s="9">
        <v>470</v>
      </c>
      <c r="K70" s="9">
        <v>420</v>
      </c>
      <c r="L70" s="9">
        <v>450</v>
      </c>
      <c r="M70" s="9">
        <v>480</v>
      </c>
      <c r="N70" s="9">
        <v>500</v>
      </c>
      <c r="O70" s="9">
        <v>520</v>
      </c>
      <c r="P70" s="9">
        <v>540</v>
      </c>
      <c r="Q70" s="9">
        <v>550</v>
      </c>
      <c r="R70" s="9">
        <v>570</v>
      </c>
      <c r="S70" s="9">
        <v>600</v>
      </c>
      <c r="T70" s="9">
        <v>640</v>
      </c>
      <c r="U70" s="9">
        <v>670</v>
      </c>
      <c r="V70" s="9">
        <v>700</v>
      </c>
      <c r="W70" s="9">
        <v>730</v>
      </c>
      <c r="X70" s="9">
        <v>750</v>
      </c>
      <c r="Y70" s="9">
        <v>770</v>
      </c>
      <c r="Z70" s="9">
        <v>790</v>
      </c>
      <c r="AA70" s="9">
        <v>810</v>
      </c>
      <c r="AB70" s="9">
        <v>820</v>
      </c>
      <c r="AC70" s="9">
        <v>840</v>
      </c>
      <c r="AD70" s="9">
        <v>880</v>
      </c>
      <c r="AE70" s="10">
        <v>900</v>
      </c>
      <c r="AF70" s="10">
        <v>920</v>
      </c>
      <c r="AG70" s="10">
        <v>940</v>
      </c>
      <c r="AH70" s="10">
        <v>960</v>
      </c>
      <c r="AI70" s="10">
        <v>990</v>
      </c>
      <c r="AK70" s="65">
        <f t="shared" si="12"/>
        <v>0.10919302875989945</v>
      </c>
      <c r="AL70" s="67">
        <f t="shared" si="13"/>
        <v>1.0887239307175681E-3</v>
      </c>
      <c r="AM70" s="67">
        <f t="shared" si="14"/>
        <v>9.6132371362263672E-4</v>
      </c>
    </row>
    <row r="71" spans="1:39">
      <c r="B71" s="7" t="s">
        <v>47</v>
      </c>
      <c r="C71" s="8"/>
      <c r="D71" s="9">
        <v>6890</v>
      </c>
      <c r="E71" s="9">
        <v>6960</v>
      </c>
      <c r="F71" s="9">
        <v>6321.2833592869038</v>
      </c>
      <c r="G71" s="9">
        <v>7970</v>
      </c>
      <c r="H71" s="9">
        <v>8130</v>
      </c>
      <c r="I71" s="9">
        <v>9110</v>
      </c>
      <c r="J71" s="9">
        <v>9290</v>
      </c>
      <c r="K71" s="9">
        <v>8360</v>
      </c>
      <c r="L71" s="9">
        <v>8950</v>
      </c>
      <c r="M71" s="9">
        <v>9490</v>
      </c>
      <c r="N71" s="9">
        <v>9870</v>
      </c>
      <c r="O71" s="9">
        <v>10260</v>
      </c>
      <c r="P71" s="9">
        <v>10670</v>
      </c>
      <c r="Q71" s="9">
        <v>10880</v>
      </c>
      <c r="R71" s="9">
        <v>11320</v>
      </c>
      <c r="S71" s="9">
        <v>12000</v>
      </c>
      <c r="T71" s="9">
        <v>12840</v>
      </c>
      <c r="U71" s="9">
        <v>13350</v>
      </c>
      <c r="V71" s="9">
        <v>13880</v>
      </c>
      <c r="W71" s="9">
        <v>14440</v>
      </c>
      <c r="X71" s="9">
        <v>14870</v>
      </c>
      <c r="Y71" s="9">
        <v>15170</v>
      </c>
      <c r="Z71" s="9">
        <v>15470</v>
      </c>
      <c r="AA71" s="9">
        <v>15930</v>
      </c>
      <c r="AB71" s="9">
        <v>16090</v>
      </c>
      <c r="AC71" s="9">
        <v>16410</v>
      </c>
      <c r="AD71" s="9">
        <v>17230</v>
      </c>
      <c r="AE71" s="10">
        <v>17570</v>
      </c>
      <c r="AF71" s="10">
        <v>17920</v>
      </c>
      <c r="AG71" s="10">
        <v>18280</v>
      </c>
      <c r="AH71" s="10">
        <v>18650</v>
      </c>
      <c r="AI71" s="10">
        <v>19210</v>
      </c>
      <c r="AK71" s="65">
        <f t="shared" si="12"/>
        <v>2.1445491183040004</v>
      </c>
      <c r="AL71" s="67">
        <f t="shared" si="13"/>
        <v>2.1449275362318842E-2</v>
      </c>
      <c r="AM71" s="67">
        <f t="shared" si="14"/>
        <v>1.865356418049581E-2</v>
      </c>
    </row>
    <row r="72" spans="1:39">
      <c r="B72" s="7" t="s">
        <v>48</v>
      </c>
      <c r="C72" s="8"/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K72" s="65">
        <f t="shared" si="12"/>
        <v>0</v>
      </c>
      <c r="AL72" s="67">
        <f t="shared" si="13"/>
        <v>0</v>
      </c>
      <c r="AM72" s="67">
        <f t="shared" si="14"/>
        <v>0</v>
      </c>
    </row>
    <row r="73" spans="1:39">
      <c r="B73" s="7" t="s">
        <v>49</v>
      </c>
      <c r="C73" s="8"/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K73" s="65">
        <f t="shared" si="12"/>
        <v>0</v>
      </c>
      <c r="AL73" s="67">
        <f t="shared" si="13"/>
        <v>0</v>
      </c>
      <c r="AM73" s="67">
        <f t="shared" si="14"/>
        <v>0</v>
      </c>
    </row>
    <row r="74" spans="1:39">
      <c r="B74" s="7" t="s">
        <v>50</v>
      </c>
      <c r="C74" s="8"/>
      <c r="D74" s="9">
        <v>15110</v>
      </c>
      <c r="E74" s="9">
        <v>15260</v>
      </c>
      <c r="F74" s="9">
        <v>17560.82645954227</v>
      </c>
      <c r="G74" s="9">
        <v>17470</v>
      </c>
      <c r="H74" s="9">
        <v>17820</v>
      </c>
      <c r="I74" s="9">
        <v>19960</v>
      </c>
      <c r="J74" s="9">
        <v>20360</v>
      </c>
      <c r="K74" s="9">
        <v>18320</v>
      </c>
      <c r="L74" s="9">
        <v>19600</v>
      </c>
      <c r="M74" s="9">
        <v>20780</v>
      </c>
      <c r="N74" s="9">
        <v>21610</v>
      </c>
      <c r="O74" s="9">
        <v>22470</v>
      </c>
      <c r="P74" s="9">
        <v>23370</v>
      </c>
      <c r="Q74" s="9">
        <v>23840</v>
      </c>
      <c r="R74" s="9">
        <v>24790</v>
      </c>
      <c r="S74" s="9">
        <v>26280</v>
      </c>
      <c r="T74" s="9">
        <v>28120</v>
      </c>
      <c r="U74" s="9">
        <v>29240</v>
      </c>
      <c r="V74" s="9">
        <v>30410</v>
      </c>
      <c r="W74" s="9">
        <v>31630</v>
      </c>
      <c r="X74" s="9">
        <v>32580</v>
      </c>
      <c r="Y74" s="9">
        <v>33230</v>
      </c>
      <c r="Z74" s="9">
        <v>33890</v>
      </c>
      <c r="AA74" s="9">
        <v>34910</v>
      </c>
      <c r="AB74" s="9">
        <v>35260</v>
      </c>
      <c r="AC74" s="9">
        <v>35970</v>
      </c>
      <c r="AD74" s="9">
        <v>37770</v>
      </c>
      <c r="AE74" s="10">
        <v>38530</v>
      </c>
      <c r="AF74" s="10">
        <v>39300</v>
      </c>
      <c r="AG74" s="10">
        <v>40090</v>
      </c>
      <c r="AH74" s="10">
        <v>40890</v>
      </c>
      <c r="AI74" s="10">
        <v>42120</v>
      </c>
      <c r="AK74" s="65">
        <f t="shared" si="12"/>
        <v>4.719187155253497</v>
      </c>
      <c r="AL74" s="67">
        <f t="shared" si="13"/>
        <v>4.6984800282785434E-2</v>
      </c>
      <c r="AM74" s="67">
        <f t="shared" si="14"/>
        <v>4.0899954361399454E-2</v>
      </c>
    </row>
    <row r="75" spans="1:39">
      <c r="B75" s="5" t="s">
        <v>59</v>
      </c>
      <c r="C75" s="6">
        <v>274193.36683216912</v>
      </c>
      <c r="D75" s="12">
        <f t="shared" ref="D75:AI75" si="15">SUM(D76:D82)</f>
        <v>282590</v>
      </c>
      <c r="E75" s="12">
        <f>SUM(E76:E82)</f>
        <v>267370</v>
      </c>
      <c r="F75" s="12">
        <f t="shared" si="15"/>
        <v>301119.97842446715</v>
      </c>
      <c r="G75" s="12">
        <f t="shared" si="15"/>
        <v>306590</v>
      </c>
      <c r="H75" s="12">
        <f t="shared" si="15"/>
        <v>311550</v>
      </c>
      <c r="I75" s="12">
        <f t="shared" si="15"/>
        <v>340650</v>
      </c>
      <c r="J75" s="12">
        <f t="shared" si="15"/>
        <v>349950</v>
      </c>
      <c r="K75" s="12">
        <f t="shared" si="15"/>
        <v>357130</v>
      </c>
      <c r="L75" s="12">
        <f t="shared" si="15"/>
        <v>393810</v>
      </c>
      <c r="M75" s="12">
        <f t="shared" si="15"/>
        <v>419910</v>
      </c>
      <c r="N75" s="12">
        <f t="shared" si="15"/>
        <v>435110</v>
      </c>
      <c r="O75" s="12">
        <f t="shared" si="15"/>
        <v>459480</v>
      </c>
      <c r="P75" s="12">
        <f t="shared" si="15"/>
        <v>480610</v>
      </c>
      <c r="Q75" s="12">
        <f t="shared" si="15"/>
        <v>500010</v>
      </c>
      <c r="R75" s="12">
        <f t="shared" si="15"/>
        <v>520490</v>
      </c>
      <c r="S75" s="12">
        <f t="shared" si="15"/>
        <v>544970</v>
      </c>
      <c r="T75" s="12">
        <f t="shared" si="15"/>
        <v>570540</v>
      </c>
      <c r="U75" s="12">
        <f t="shared" si="15"/>
        <v>599070</v>
      </c>
      <c r="V75" s="12">
        <f t="shared" si="15"/>
        <v>627500</v>
      </c>
      <c r="W75" s="12">
        <f t="shared" si="15"/>
        <v>654020</v>
      </c>
      <c r="X75" s="12">
        <f t="shared" si="15"/>
        <v>679990</v>
      </c>
      <c r="Y75" s="12">
        <f t="shared" si="15"/>
        <v>707250</v>
      </c>
      <c r="Z75" s="12">
        <f t="shared" si="15"/>
        <v>734040</v>
      </c>
      <c r="AA75" s="12">
        <f t="shared" si="15"/>
        <v>762490</v>
      </c>
      <c r="AB75" s="12">
        <f t="shared" si="15"/>
        <v>775820</v>
      </c>
      <c r="AC75" s="12">
        <f t="shared" si="15"/>
        <v>799700</v>
      </c>
      <c r="AD75" s="12">
        <f t="shared" si="15"/>
        <v>853510</v>
      </c>
      <c r="AE75" s="12">
        <f t="shared" si="15"/>
        <v>887890</v>
      </c>
      <c r="AF75" s="12">
        <f t="shared" si="15"/>
        <v>922960</v>
      </c>
      <c r="AG75" s="12">
        <f t="shared" si="15"/>
        <v>958330</v>
      </c>
      <c r="AH75" s="12">
        <f t="shared" si="15"/>
        <v>993980</v>
      </c>
      <c r="AI75" s="12">
        <f t="shared" si="15"/>
        <v>1029830</v>
      </c>
      <c r="AJ75" s="14"/>
      <c r="AK75" s="65">
        <f t="shared" si="12"/>
        <v>100</v>
      </c>
      <c r="AL75" s="67">
        <f t="shared" si="13"/>
        <v>1</v>
      </c>
      <c r="AM75" s="67">
        <f t="shared" si="14"/>
        <v>1</v>
      </c>
    </row>
    <row r="76" spans="1:39">
      <c r="B76" s="7" t="s">
        <v>44</v>
      </c>
      <c r="C76" s="8"/>
      <c r="D76" s="9">
        <f t="shared" ref="D76:AI82" si="16">D68+D60+D52+D44+D36+D28+D20+D12+D4</f>
        <v>60940</v>
      </c>
      <c r="E76" s="9">
        <f t="shared" si="16"/>
        <v>54700</v>
      </c>
      <c r="F76" s="9">
        <f t="shared" si="16"/>
        <v>104824.00000000001</v>
      </c>
      <c r="G76" s="9">
        <f t="shared" si="16"/>
        <v>63200</v>
      </c>
      <c r="H76" s="9">
        <f t="shared" si="16"/>
        <v>64080</v>
      </c>
      <c r="I76" s="9">
        <f t="shared" si="16"/>
        <v>70140</v>
      </c>
      <c r="J76" s="9">
        <f t="shared" si="16"/>
        <v>72400</v>
      </c>
      <c r="K76" s="9">
        <f t="shared" si="16"/>
        <v>74140</v>
      </c>
      <c r="L76" s="9">
        <f t="shared" si="16"/>
        <v>82710</v>
      </c>
      <c r="M76" s="9">
        <f t="shared" si="16"/>
        <v>88710</v>
      </c>
      <c r="N76" s="9">
        <f t="shared" si="16"/>
        <v>91860</v>
      </c>
      <c r="O76" s="9">
        <f t="shared" si="16"/>
        <v>97830</v>
      </c>
      <c r="P76" s="9">
        <f t="shared" si="16"/>
        <v>102500</v>
      </c>
      <c r="Q76" s="9">
        <f t="shared" si="16"/>
        <v>106630</v>
      </c>
      <c r="R76" s="9">
        <f t="shared" si="16"/>
        <v>110640</v>
      </c>
      <c r="S76" s="9">
        <f t="shared" si="16"/>
        <v>115480</v>
      </c>
      <c r="T76" s="9">
        <f t="shared" si="16"/>
        <v>120380</v>
      </c>
      <c r="U76" s="9">
        <f t="shared" si="16"/>
        <v>126910</v>
      </c>
      <c r="V76" s="9">
        <f t="shared" si="16"/>
        <v>133320</v>
      </c>
      <c r="W76" s="9">
        <f t="shared" si="16"/>
        <v>138500</v>
      </c>
      <c r="X76" s="9">
        <f t="shared" si="16"/>
        <v>144180</v>
      </c>
      <c r="Y76" s="9">
        <f t="shared" si="16"/>
        <v>149780</v>
      </c>
      <c r="Z76" s="9">
        <f t="shared" si="16"/>
        <v>155850</v>
      </c>
      <c r="AA76" s="9">
        <f t="shared" si="16"/>
        <v>162080</v>
      </c>
      <c r="AB76" s="9">
        <f t="shared" si="16"/>
        <v>164180</v>
      </c>
      <c r="AC76" s="9">
        <f t="shared" si="16"/>
        <v>169210</v>
      </c>
      <c r="AD76" s="9">
        <f t="shared" si="16"/>
        <v>181650</v>
      </c>
      <c r="AE76" s="9">
        <f t="shared" si="16"/>
        <v>189520</v>
      </c>
      <c r="AF76" s="9">
        <f t="shared" si="16"/>
        <v>197550</v>
      </c>
      <c r="AG76" s="9">
        <f t="shared" si="16"/>
        <v>204890</v>
      </c>
      <c r="AH76" s="9">
        <f t="shared" si="16"/>
        <v>211870</v>
      </c>
      <c r="AI76" s="9">
        <f t="shared" si="16"/>
        <v>217490</v>
      </c>
      <c r="AJ76" s="8"/>
      <c r="AK76" s="65">
        <f t="shared" si="12"/>
        <v>21.394138410112774</v>
      </c>
      <c r="AL76" s="67">
        <f t="shared" si="13"/>
        <v>0.21177801343230823</v>
      </c>
      <c r="AM76" s="67">
        <f t="shared" si="14"/>
        <v>0.21119019644018916</v>
      </c>
    </row>
    <row r="77" spans="1:39">
      <c r="B77" s="7" t="s">
        <v>45</v>
      </c>
      <c r="C77" s="8"/>
      <c r="D77" s="9">
        <f t="shared" si="16"/>
        <v>80350</v>
      </c>
      <c r="E77" s="9">
        <f t="shared" si="16"/>
        <v>76040</v>
      </c>
      <c r="F77" s="9">
        <f t="shared" si="16"/>
        <v>50985</v>
      </c>
      <c r="G77" s="9">
        <f t="shared" si="16"/>
        <v>86950</v>
      </c>
      <c r="H77" s="9">
        <f t="shared" si="16"/>
        <v>88430</v>
      </c>
      <c r="I77" s="9">
        <f t="shared" si="16"/>
        <v>96330</v>
      </c>
      <c r="J77" s="9">
        <f t="shared" si="16"/>
        <v>99010</v>
      </c>
      <c r="K77" s="9">
        <f t="shared" si="16"/>
        <v>100750</v>
      </c>
      <c r="L77" s="9">
        <f t="shared" si="16"/>
        <v>110820</v>
      </c>
      <c r="M77" s="9">
        <f t="shared" si="16"/>
        <v>118030</v>
      </c>
      <c r="N77" s="9">
        <f t="shared" si="16"/>
        <v>122360</v>
      </c>
      <c r="O77" s="9">
        <f t="shared" si="16"/>
        <v>129040</v>
      </c>
      <c r="P77" s="9">
        <f t="shared" si="16"/>
        <v>134190</v>
      </c>
      <c r="Q77" s="9">
        <f t="shared" si="16"/>
        <v>139090</v>
      </c>
      <c r="R77" s="9">
        <f t="shared" si="16"/>
        <v>144590</v>
      </c>
      <c r="S77" s="9">
        <f t="shared" si="16"/>
        <v>150700</v>
      </c>
      <c r="T77" s="9">
        <f t="shared" si="16"/>
        <v>156930</v>
      </c>
      <c r="U77" s="9">
        <f t="shared" si="16"/>
        <v>163960</v>
      </c>
      <c r="V77" s="9">
        <f t="shared" si="16"/>
        <v>170960</v>
      </c>
      <c r="W77" s="9">
        <f t="shared" si="16"/>
        <v>177590</v>
      </c>
      <c r="X77" s="9">
        <f t="shared" si="16"/>
        <v>184590</v>
      </c>
      <c r="Y77" s="9">
        <f t="shared" si="16"/>
        <v>192240</v>
      </c>
      <c r="Z77" s="9">
        <f t="shared" si="16"/>
        <v>199400</v>
      </c>
      <c r="AA77" s="9">
        <f t="shared" si="16"/>
        <v>207120</v>
      </c>
      <c r="AB77" s="9">
        <f t="shared" si="16"/>
        <v>209980</v>
      </c>
      <c r="AC77" s="9">
        <f t="shared" si="16"/>
        <v>215500</v>
      </c>
      <c r="AD77" s="9">
        <f t="shared" si="16"/>
        <v>229300</v>
      </c>
      <c r="AE77" s="9">
        <f t="shared" si="16"/>
        <v>238020</v>
      </c>
      <c r="AF77" s="9">
        <f t="shared" si="16"/>
        <v>246760</v>
      </c>
      <c r="AG77" s="9">
        <f t="shared" si="16"/>
        <v>255630</v>
      </c>
      <c r="AH77" s="9">
        <f t="shared" si="16"/>
        <v>264780</v>
      </c>
      <c r="AI77" s="9">
        <f t="shared" si="16"/>
        <v>273060</v>
      </c>
      <c r="AJ77" s="8"/>
      <c r="AK77" s="65">
        <f t="shared" si="12"/>
        <v>27.158563807062389</v>
      </c>
      <c r="AL77" s="67">
        <f t="shared" si="13"/>
        <v>0.27181336161187697</v>
      </c>
      <c r="AM77" s="67">
        <f t="shared" si="14"/>
        <v>0.26515055883009819</v>
      </c>
    </row>
    <row r="78" spans="1:39">
      <c r="B78" s="7" t="s">
        <v>46</v>
      </c>
      <c r="C78" s="8"/>
      <c r="D78" s="9">
        <f t="shared" si="16"/>
        <v>23840</v>
      </c>
      <c r="E78" s="9">
        <f t="shared" si="16"/>
        <v>23650</v>
      </c>
      <c r="F78" s="9">
        <f t="shared" si="16"/>
        <v>25734</v>
      </c>
      <c r="G78" s="9">
        <f t="shared" si="16"/>
        <v>26980</v>
      </c>
      <c r="H78" s="9">
        <f t="shared" si="16"/>
        <v>27490</v>
      </c>
      <c r="I78" s="9">
        <f t="shared" si="16"/>
        <v>29620</v>
      </c>
      <c r="J78" s="9">
        <f t="shared" si="16"/>
        <v>30310</v>
      </c>
      <c r="K78" s="9">
        <f t="shared" si="16"/>
        <v>31640</v>
      </c>
      <c r="L78" s="9">
        <f t="shared" si="16"/>
        <v>34500</v>
      </c>
      <c r="M78" s="9">
        <f t="shared" si="16"/>
        <v>36460</v>
      </c>
      <c r="N78" s="9">
        <f t="shared" si="16"/>
        <v>37860</v>
      </c>
      <c r="O78" s="9">
        <f t="shared" si="16"/>
        <v>39610</v>
      </c>
      <c r="P78" s="9">
        <f t="shared" si="16"/>
        <v>40980</v>
      </c>
      <c r="Q78" s="9">
        <f t="shared" si="16"/>
        <v>42650</v>
      </c>
      <c r="R78" s="9">
        <f t="shared" si="16"/>
        <v>44370</v>
      </c>
      <c r="S78" s="9">
        <f t="shared" si="16"/>
        <v>46270</v>
      </c>
      <c r="T78" s="9">
        <f t="shared" si="16"/>
        <v>48180</v>
      </c>
      <c r="U78" s="9">
        <f t="shared" si="16"/>
        <v>50290</v>
      </c>
      <c r="V78" s="9">
        <f t="shared" si="16"/>
        <v>52410</v>
      </c>
      <c r="W78" s="9">
        <f t="shared" si="16"/>
        <v>54550</v>
      </c>
      <c r="X78" s="9">
        <f t="shared" si="16"/>
        <v>56760</v>
      </c>
      <c r="Y78" s="9">
        <f t="shared" si="16"/>
        <v>59470</v>
      </c>
      <c r="Z78" s="9">
        <f t="shared" si="16"/>
        <v>61840</v>
      </c>
      <c r="AA78" s="9">
        <f t="shared" si="16"/>
        <v>64290</v>
      </c>
      <c r="AB78" s="9">
        <f t="shared" si="16"/>
        <v>65460</v>
      </c>
      <c r="AC78" s="9">
        <f t="shared" si="16"/>
        <v>66970</v>
      </c>
      <c r="AD78" s="9">
        <f t="shared" si="16"/>
        <v>70830</v>
      </c>
      <c r="AE78" s="9">
        <f t="shared" si="16"/>
        <v>73250</v>
      </c>
      <c r="AF78" s="9">
        <f t="shared" si="16"/>
        <v>75720</v>
      </c>
      <c r="AG78" s="9">
        <f t="shared" si="16"/>
        <v>78680</v>
      </c>
      <c r="AH78" s="9">
        <f t="shared" si="16"/>
        <v>81750</v>
      </c>
      <c r="AI78" s="9">
        <f t="shared" si="16"/>
        <v>85170</v>
      </c>
      <c r="AJ78" s="8"/>
      <c r="AK78" s="65">
        <f t="shared" si="12"/>
        <v>8.4319209625277747</v>
      </c>
      <c r="AL78" s="67">
        <f t="shared" si="13"/>
        <v>8.4086249558147752E-2</v>
      </c>
      <c r="AM78" s="67">
        <f t="shared" si="14"/>
        <v>8.270297039317169E-2</v>
      </c>
    </row>
    <row r="79" spans="1:39">
      <c r="B79" s="7" t="s">
        <v>47</v>
      </c>
      <c r="C79" s="8"/>
      <c r="D79" s="9">
        <f t="shared" si="16"/>
        <v>53880</v>
      </c>
      <c r="E79" s="9">
        <f t="shared" si="16"/>
        <v>51010</v>
      </c>
      <c r="F79" s="9">
        <f t="shared" si="16"/>
        <v>47430</v>
      </c>
      <c r="G79" s="9">
        <f t="shared" si="16"/>
        <v>58490</v>
      </c>
      <c r="H79" s="9">
        <f t="shared" si="16"/>
        <v>59460</v>
      </c>
      <c r="I79" s="9">
        <f t="shared" si="16"/>
        <v>64800</v>
      </c>
      <c r="J79" s="9">
        <f t="shared" si="16"/>
        <v>66580</v>
      </c>
      <c r="K79" s="9">
        <f t="shared" si="16"/>
        <v>67780</v>
      </c>
      <c r="L79" s="9">
        <f t="shared" si="16"/>
        <v>74600</v>
      </c>
      <c r="M79" s="9">
        <f t="shared" si="16"/>
        <v>79500</v>
      </c>
      <c r="N79" s="9">
        <f t="shared" si="16"/>
        <v>82510</v>
      </c>
      <c r="O79" s="9">
        <f t="shared" si="16"/>
        <v>87110</v>
      </c>
      <c r="P79" s="9">
        <f t="shared" si="16"/>
        <v>90750</v>
      </c>
      <c r="Q79" s="9">
        <f t="shared" si="16"/>
        <v>94350</v>
      </c>
      <c r="R79" s="9">
        <f t="shared" si="16"/>
        <v>97940</v>
      </c>
      <c r="S79" s="9">
        <f t="shared" si="16"/>
        <v>102210</v>
      </c>
      <c r="T79" s="9">
        <f t="shared" si="16"/>
        <v>106720</v>
      </c>
      <c r="U79" s="9">
        <f t="shared" si="16"/>
        <v>111890</v>
      </c>
      <c r="V79" s="9">
        <f t="shared" si="16"/>
        <v>117100</v>
      </c>
      <c r="W79" s="9">
        <f t="shared" si="16"/>
        <v>121650</v>
      </c>
      <c r="X79" s="9">
        <f t="shared" si="16"/>
        <v>126550</v>
      </c>
      <c r="Y79" s="9">
        <f t="shared" si="16"/>
        <v>131720</v>
      </c>
      <c r="Z79" s="9">
        <f t="shared" si="16"/>
        <v>136800</v>
      </c>
      <c r="AA79" s="9">
        <f t="shared" si="16"/>
        <v>142080</v>
      </c>
      <c r="AB79" s="9">
        <f t="shared" si="16"/>
        <v>144150</v>
      </c>
      <c r="AC79" s="9">
        <f t="shared" si="16"/>
        <v>147860</v>
      </c>
      <c r="AD79" s="9">
        <f t="shared" si="16"/>
        <v>157330</v>
      </c>
      <c r="AE79" s="9">
        <f t="shared" si="16"/>
        <v>163130</v>
      </c>
      <c r="AF79" s="9">
        <f t="shared" si="16"/>
        <v>169050</v>
      </c>
      <c r="AG79" s="9">
        <f t="shared" si="16"/>
        <v>175210</v>
      </c>
      <c r="AH79" s="9">
        <f t="shared" si="16"/>
        <v>181180</v>
      </c>
      <c r="AI79" s="9">
        <f t="shared" si="16"/>
        <v>187160</v>
      </c>
      <c r="AJ79" s="8"/>
      <c r="AK79" s="65">
        <f t="shared" si="12"/>
        <v>18.578349799760456</v>
      </c>
      <c r="AL79" s="67">
        <f t="shared" si="13"/>
        <v>0.18624248851184164</v>
      </c>
      <c r="AM79" s="67">
        <f t="shared" si="14"/>
        <v>0.18173873357738657</v>
      </c>
    </row>
    <row r="80" spans="1:39">
      <c r="B80" s="7" t="s">
        <v>48</v>
      </c>
      <c r="C80" s="8"/>
      <c r="D80" s="9">
        <f t="shared" si="16"/>
        <v>7060</v>
      </c>
      <c r="E80" s="9">
        <f t="shared" si="16"/>
        <v>6110</v>
      </c>
      <c r="F80" s="9">
        <f t="shared" si="16"/>
        <v>9154</v>
      </c>
      <c r="G80" s="9">
        <f t="shared" si="16"/>
        <v>7260</v>
      </c>
      <c r="H80" s="9">
        <f t="shared" si="16"/>
        <v>7400</v>
      </c>
      <c r="I80" s="9">
        <f t="shared" si="16"/>
        <v>8110</v>
      </c>
      <c r="J80" s="9">
        <f t="shared" si="16"/>
        <v>8360</v>
      </c>
      <c r="K80" s="9">
        <f t="shared" si="16"/>
        <v>8750</v>
      </c>
      <c r="L80" s="9">
        <f t="shared" si="16"/>
        <v>9810</v>
      </c>
      <c r="M80" s="9">
        <f t="shared" si="16"/>
        <v>10490</v>
      </c>
      <c r="N80" s="9">
        <f t="shared" si="16"/>
        <v>10780</v>
      </c>
      <c r="O80" s="9">
        <f t="shared" si="16"/>
        <v>11400</v>
      </c>
      <c r="P80" s="9">
        <f t="shared" si="16"/>
        <v>11950</v>
      </c>
      <c r="Q80" s="9">
        <f t="shared" si="16"/>
        <v>12360</v>
      </c>
      <c r="R80" s="9">
        <f t="shared" si="16"/>
        <v>13080</v>
      </c>
      <c r="S80" s="9">
        <f t="shared" si="16"/>
        <v>14200</v>
      </c>
      <c r="T80" s="9">
        <f t="shared" si="16"/>
        <v>15000</v>
      </c>
      <c r="U80" s="9">
        <f t="shared" si="16"/>
        <v>16010</v>
      </c>
      <c r="V80" s="9">
        <f t="shared" si="16"/>
        <v>16800</v>
      </c>
      <c r="W80" s="9">
        <f t="shared" si="16"/>
        <v>17670</v>
      </c>
      <c r="X80" s="9">
        <f t="shared" si="16"/>
        <v>18410</v>
      </c>
      <c r="Y80" s="9">
        <f t="shared" si="16"/>
        <v>19030</v>
      </c>
      <c r="Z80" s="9">
        <f t="shared" si="16"/>
        <v>19710</v>
      </c>
      <c r="AA80" s="9">
        <f t="shared" si="16"/>
        <v>20500</v>
      </c>
      <c r="AB80" s="9">
        <f t="shared" si="16"/>
        <v>20790</v>
      </c>
      <c r="AC80" s="9">
        <f t="shared" si="16"/>
        <v>21500</v>
      </c>
      <c r="AD80" s="9">
        <f t="shared" si="16"/>
        <v>23380</v>
      </c>
      <c r="AE80" s="9">
        <f t="shared" si="16"/>
        <v>24460</v>
      </c>
      <c r="AF80" s="9">
        <f t="shared" si="16"/>
        <v>25590</v>
      </c>
      <c r="AG80" s="9">
        <f t="shared" si="16"/>
        <v>26460</v>
      </c>
      <c r="AH80" s="9">
        <f t="shared" si="16"/>
        <v>27340</v>
      </c>
      <c r="AI80" s="9">
        <f t="shared" si="16"/>
        <v>27580</v>
      </c>
      <c r="AJ80" s="8"/>
      <c r="AK80" s="65">
        <f t="shared" si="12"/>
        <v>2.6370147882435764</v>
      </c>
      <c r="AL80" s="67">
        <f t="shared" si="13"/>
        <v>2.690703428773418E-2</v>
      </c>
      <c r="AM80" s="67">
        <f t="shared" si="14"/>
        <v>2.6781119213850828E-2</v>
      </c>
    </row>
    <row r="81" spans="1:39">
      <c r="B81" s="7" t="s">
        <v>49</v>
      </c>
      <c r="C81" s="8"/>
      <c r="D81" s="9">
        <f t="shared" si="16"/>
        <v>4410</v>
      </c>
      <c r="E81" s="9">
        <f t="shared" si="16"/>
        <v>3930</v>
      </c>
      <c r="F81" s="9">
        <f t="shared" si="16"/>
        <v>2761.9999999999995</v>
      </c>
      <c r="G81" s="9">
        <f t="shared" si="16"/>
        <v>4730</v>
      </c>
      <c r="H81" s="9">
        <f t="shared" si="16"/>
        <v>4800</v>
      </c>
      <c r="I81" s="9">
        <f t="shared" si="16"/>
        <v>5340</v>
      </c>
      <c r="J81" s="9">
        <f t="shared" si="16"/>
        <v>5540</v>
      </c>
      <c r="K81" s="9">
        <f t="shared" si="16"/>
        <v>5800</v>
      </c>
      <c r="L81" s="9">
        <f t="shared" si="16"/>
        <v>6610</v>
      </c>
      <c r="M81" s="9">
        <f t="shared" si="16"/>
        <v>7160</v>
      </c>
      <c r="N81" s="9">
        <f t="shared" si="16"/>
        <v>7380</v>
      </c>
      <c r="O81" s="9">
        <f t="shared" si="16"/>
        <v>7880</v>
      </c>
      <c r="P81" s="9">
        <f t="shared" si="16"/>
        <v>8330</v>
      </c>
      <c r="Q81" s="9">
        <f t="shared" si="16"/>
        <v>8780</v>
      </c>
      <c r="R81" s="9">
        <f t="shared" si="16"/>
        <v>9250</v>
      </c>
      <c r="S81" s="9">
        <f t="shared" si="16"/>
        <v>10060</v>
      </c>
      <c r="T81" s="9">
        <f t="shared" si="16"/>
        <v>10710</v>
      </c>
      <c r="U81" s="9">
        <f t="shared" si="16"/>
        <v>11510</v>
      </c>
      <c r="V81" s="9">
        <f t="shared" si="16"/>
        <v>12190</v>
      </c>
      <c r="W81" s="9">
        <f t="shared" si="16"/>
        <v>12850</v>
      </c>
      <c r="X81" s="9">
        <f t="shared" si="16"/>
        <v>13460</v>
      </c>
      <c r="Y81" s="9">
        <f t="shared" si="16"/>
        <v>13990</v>
      </c>
      <c r="Z81" s="9">
        <f t="shared" si="16"/>
        <v>14560</v>
      </c>
      <c r="AA81" s="9">
        <f t="shared" si="16"/>
        <v>15150</v>
      </c>
      <c r="AB81" s="9">
        <f t="shared" si="16"/>
        <v>15430</v>
      </c>
      <c r="AC81" s="9">
        <f t="shared" si="16"/>
        <v>16000</v>
      </c>
      <c r="AD81" s="9">
        <f t="shared" si="16"/>
        <v>17500</v>
      </c>
      <c r="AE81" s="9">
        <f t="shared" si="16"/>
        <v>18340</v>
      </c>
      <c r="AF81" s="9">
        <f t="shared" si="16"/>
        <v>19220</v>
      </c>
      <c r="AG81" s="9">
        <f t="shared" si="16"/>
        <v>19970</v>
      </c>
      <c r="AH81" s="9">
        <f t="shared" si="16"/>
        <v>20710</v>
      </c>
      <c r="AI81" s="9">
        <f t="shared" si="16"/>
        <v>20990</v>
      </c>
      <c r="AJ81" s="8"/>
      <c r="AK81" s="65">
        <f t="shared" si="12"/>
        <v>1.8872800800880736</v>
      </c>
      <c r="AL81" s="67">
        <f t="shared" si="13"/>
        <v>1.9780841286673737E-2</v>
      </c>
      <c r="AM81" s="67">
        <f t="shared" si="14"/>
        <v>2.0382004796908229E-2</v>
      </c>
    </row>
    <row r="82" spans="1:39">
      <c r="B82" s="7" t="s">
        <v>50</v>
      </c>
      <c r="C82" s="8"/>
      <c r="D82" s="9">
        <f t="shared" si="16"/>
        <v>52110</v>
      </c>
      <c r="E82" s="9">
        <f t="shared" si="16"/>
        <v>51930</v>
      </c>
      <c r="F82" s="9">
        <f t="shared" si="16"/>
        <v>60230.978424467168</v>
      </c>
      <c r="G82" s="9">
        <f t="shared" si="16"/>
        <v>58980</v>
      </c>
      <c r="H82" s="9">
        <f t="shared" si="16"/>
        <v>59890</v>
      </c>
      <c r="I82" s="9">
        <f t="shared" si="16"/>
        <v>66310</v>
      </c>
      <c r="J82" s="9">
        <f t="shared" si="16"/>
        <v>67750</v>
      </c>
      <c r="K82" s="9">
        <f t="shared" si="16"/>
        <v>68270</v>
      </c>
      <c r="L82" s="9">
        <f t="shared" si="16"/>
        <v>74760</v>
      </c>
      <c r="M82" s="9">
        <f t="shared" si="16"/>
        <v>79560</v>
      </c>
      <c r="N82" s="9">
        <f t="shared" si="16"/>
        <v>82360</v>
      </c>
      <c r="O82" s="9">
        <f t="shared" si="16"/>
        <v>86610</v>
      </c>
      <c r="P82" s="9">
        <f t="shared" si="16"/>
        <v>91910</v>
      </c>
      <c r="Q82" s="9">
        <f t="shared" si="16"/>
        <v>96150</v>
      </c>
      <c r="R82" s="9">
        <f t="shared" si="16"/>
        <v>100620</v>
      </c>
      <c r="S82" s="9">
        <f t="shared" si="16"/>
        <v>106050</v>
      </c>
      <c r="T82" s="9">
        <f t="shared" si="16"/>
        <v>112620</v>
      </c>
      <c r="U82" s="9">
        <f t="shared" si="16"/>
        <v>118500</v>
      </c>
      <c r="V82" s="9">
        <f t="shared" si="16"/>
        <v>124720</v>
      </c>
      <c r="W82" s="9">
        <f t="shared" si="16"/>
        <v>131210</v>
      </c>
      <c r="X82" s="9">
        <f t="shared" si="16"/>
        <v>136040</v>
      </c>
      <c r="Y82" s="9">
        <f t="shared" si="16"/>
        <v>141020</v>
      </c>
      <c r="Z82" s="9">
        <f t="shared" si="16"/>
        <v>145880</v>
      </c>
      <c r="AA82" s="9">
        <f t="shared" si="16"/>
        <v>151270</v>
      </c>
      <c r="AB82" s="9">
        <f t="shared" si="16"/>
        <v>155830</v>
      </c>
      <c r="AC82" s="9">
        <f t="shared" si="16"/>
        <v>162660</v>
      </c>
      <c r="AD82" s="9">
        <f t="shared" si="16"/>
        <v>173520</v>
      </c>
      <c r="AE82" s="9">
        <f t="shared" si="16"/>
        <v>181170</v>
      </c>
      <c r="AF82" s="9">
        <f t="shared" si="16"/>
        <v>189070</v>
      </c>
      <c r="AG82" s="9">
        <f t="shared" si="16"/>
        <v>197490</v>
      </c>
      <c r="AH82" s="9">
        <f t="shared" si="16"/>
        <v>206350</v>
      </c>
      <c r="AI82" s="9">
        <f t="shared" si="16"/>
        <v>218380</v>
      </c>
      <c r="AJ82" s="8"/>
      <c r="AK82" s="65">
        <f t="shared" si="12"/>
        <v>19.91273215220496</v>
      </c>
      <c r="AL82" s="67">
        <f t="shared" si="13"/>
        <v>0.19939201131141746</v>
      </c>
      <c r="AM82" s="67">
        <f t="shared" si="14"/>
        <v>0.21205441674839537</v>
      </c>
    </row>
    <row r="84" spans="1:39">
      <c r="B84" s="7" t="s">
        <v>44</v>
      </c>
      <c r="D84" s="15"/>
      <c r="E84" s="15">
        <f>E76/E$75</f>
        <v>0.20458540599169689</v>
      </c>
      <c r="F84" s="15">
        <f>F76/F$75</f>
        <v>0.34811373376308219</v>
      </c>
      <c r="G84" s="15">
        <f t="shared" ref="G84:AI84" si="17">G76/G$75</f>
        <v>0.20613849114452526</v>
      </c>
      <c r="H84" s="15">
        <f t="shared" si="17"/>
        <v>0.20568127106403467</v>
      </c>
      <c r="I84" s="15">
        <f t="shared" si="17"/>
        <v>0.20590048436811978</v>
      </c>
      <c r="J84" s="15">
        <f t="shared" si="17"/>
        <v>0.20688669809972854</v>
      </c>
      <c r="K84" s="15">
        <f t="shared" si="17"/>
        <v>0.20759947358104891</v>
      </c>
      <c r="L84" s="15">
        <f t="shared" si="17"/>
        <v>0.21002513902643408</v>
      </c>
      <c r="M84" s="15">
        <f t="shared" si="17"/>
        <v>0.21125955561906123</v>
      </c>
      <c r="N84" s="15">
        <f t="shared" si="17"/>
        <v>0.21111902737238858</v>
      </c>
      <c r="O84" s="15">
        <f t="shared" si="17"/>
        <v>0.21291459911203969</v>
      </c>
      <c r="P84" s="15">
        <f t="shared" si="17"/>
        <v>0.21327063523438963</v>
      </c>
      <c r="Q84" s="15">
        <f t="shared" si="17"/>
        <v>0.21325573488530231</v>
      </c>
      <c r="R84" s="15">
        <f t="shared" si="17"/>
        <v>0.21256892543564718</v>
      </c>
      <c r="S84" s="15">
        <f t="shared" si="17"/>
        <v>0.21190157256362735</v>
      </c>
      <c r="T84" s="15">
        <f t="shared" si="17"/>
        <v>0.21099309426157675</v>
      </c>
      <c r="U84" s="15">
        <f t="shared" si="17"/>
        <v>0.21184502645767606</v>
      </c>
      <c r="V84" s="15">
        <f t="shared" si="17"/>
        <v>0.21246215139442232</v>
      </c>
      <c r="W84" s="15">
        <f t="shared" si="17"/>
        <v>0.21176722424390693</v>
      </c>
      <c r="X84" s="15">
        <f t="shared" si="17"/>
        <v>0.21203252989014545</v>
      </c>
      <c r="Y84" s="15">
        <f t="shared" si="17"/>
        <v>0.21177801343230823</v>
      </c>
      <c r="Z84" s="15">
        <f t="shared" si="17"/>
        <v>0.21231812980219061</v>
      </c>
      <c r="AA84" s="15">
        <f t="shared" si="17"/>
        <v>0.21256672218652048</v>
      </c>
      <c r="AB84" s="15">
        <f t="shared" si="17"/>
        <v>0.21162125235234977</v>
      </c>
      <c r="AC84" s="15">
        <f t="shared" si="17"/>
        <v>0.21159184694260347</v>
      </c>
      <c r="AD84" s="15">
        <f t="shared" si="17"/>
        <v>0.21282703190355121</v>
      </c>
      <c r="AE84" s="15">
        <f t="shared" si="17"/>
        <v>0.21344986428499027</v>
      </c>
      <c r="AF84" s="15">
        <f t="shared" si="17"/>
        <v>0.21403961168414665</v>
      </c>
      <c r="AG84" s="15">
        <f t="shared" si="17"/>
        <v>0.21379900451827658</v>
      </c>
      <c r="AH84" s="15">
        <f t="shared" si="17"/>
        <v>0.21315318215658263</v>
      </c>
      <c r="AI84" s="15">
        <f t="shared" si="17"/>
        <v>0.21119019644018916</v>
      </c>
    </row>
    <row r="85" spans="1:39">
      <c r="B85" s="7" t="s">
        <v>45</v>
      </c>
      <c r="D85" s="15"/>
      <c r="E85" s="15">
        <f t="shared" ref="E85:F90" si="18">E77/E$75</f>
        <v>0.28439989527620901</v>
      </c>
      <c r="F85" s="15">
        <f t="shared" si="18"/>
        <v>0.1693178920467712</v>
      </c>
      <c r="G85" s="15">
        <f t="shared" ref="G85:AI85" si="19">G77/G$75</f>
        <v>0.28360350957304542</v>
      </c>
      <c r="H85" s="15">
        <f t="shared" si="19"/>
        <v>0.28383887016530251</v>
      </c>
      <c r="I85" s="15">
        <f t="shared" si="19"/>
        <v>0.2827829150154117</v>
      </c>
      <c r="J85" s="15">
        <f t="shared" si="19"/>
        <v>0.28292613230461494</v>
      </c>
      <c r="K85" s="15">
        <f t="shared" si="19"/>
        <v>0.28211015596561478</v>
      </c>
      <c r="L85" s="15">
        <f t="shared" si="19"/>
        <v>0.28140473832558849</v>
      </c>
      <c r="M85" s="15">
        <f t="shared" si="19"/>
        <v>0.2810840418184849</v>
      </c>
      <c r="N85" s="15">
        <f t="shared" si="19"/>
        <v>0.28121624416814139</v>
      </c>
      <c r="O85" s="15">
        <f t="shared" si="19"/>
        <v>0.28083920954122049</v>
      </c>
      <c r="P85" s="15">
        <f t="shared" si="19"/>
        <v>0.27920767358149018</v>
      </c>
      <c r="Q85" s="15">
        <f t="shared" si="19"/>
        <v>0.27817443651126977</v>
      </c>
      <c r="R85" s="15">
        <f t="shared" si="19"/>
        <v>0.2777959230724894</v>
      </c>
      <c r="S85" s="15">
        <f t="shared" si="19"/>
        <v>0.27652898324678421</v>
      </c>
      <c r="T85" s="15">
        <f t="shared" si="19"/>
        <v>0.27505521085287621</v>
      </c>
      <c r="U85" s="15">
        <f t="shared" si="19"/>
        <v>0.27369088754235732</v>
      </c>
      <c r="V85" s="15">
        <f t="shared" si="19"/>
        <v>0.27244621513944223</v>
      </c>
      <c r="W85" s="15">
        <f t="shared" si="19"/>
        <v>0.27153603865325221</v>
      </c>
      <c r="X85" s="15">
        <f t="shared" si="19"/>
        <v>0.27145987440991781</v>
      </c>
      <c r="Y85" s="15">
        <f t="shared" si="19"/>
        <v>0.27181336161187697</v>
      </c>
      <c r="Z85" s="15">
        <f t="shared" si="19"/>
        <v>0.27164732167184352</v>
      </c>
      <c r="AA85" s="15">
        <f t="shared" si="19"/>
        <v>0.27163634932917152</v>
      </c>
      <c r="AB85" s="15">
        <f t="shared" si="19"/>
        <v>0.27065556443504935</v>
      </c>
      <c r="AC85" s="15">
        <f t="shared" si="19"/>
        <v>0.26947605352007004</v>
      </c>
      <c r="AD85" s="15">
        <f t="shared" si="19"/>
        <v>0.26865531745380838</v>
      </c>
      <c r="AE85" s="15">
        <f t="shared" si="19"/>
        <v>0.2680737478741736</v>
      </c>
      <c r="AF85" s="15">
        <f t="shared" si="19"/>
        <v>0.26735719857848661</v>
      </c>
      <c r="AG85" s="15">
        <f t="shared" si="19"/>
        <v>0.26674527563574135</v>
      </c>
      <c r="AH85" s="15">
        <f t="shared" si="19"/>
        <v>0.26638362944928468</v>
      </c>
      <c r="AI85" s="15">
        <f t="shared" si="19"/>
        <v>0.26515055883009819</v>
      </c>
    </row>
    <row r="86" spans="1:39">
      <c r="B86" s="7" t="s">
        <v>46</v>
      </c>
      <c r="D86" s="15"/>
      <c r="E86" s="15">
        <f t="shared" si="18"/>
        <v>8.8454202042113919E-2</v>
      </c>
      <c r="F86" s="15">
        <f t="shared" si="18"/>
        <v>8.5460951925695985E-2</v>
      </c>
      <c r="G86" s="15">
        <f t="shared" ref="G86:AI86" si="20">G78/G$75</f>
        <v>8.8000260934798916E-2</v>
      </c>
      <c r="H86" s="15">
        <f t="shared" si="20"/>
        <v>8.8236238164018613E-2</v>
      </c>
      <c r="I86" s="15">
        <f t="shared" si="20"/>
        <v>8.6951416409804791E-2</v>
      </c>
      <c r="J86" s="15">
        <f t="shared" si="20"/>
        <v>8.6612373196170878E-2</v>
      </c>
      <c r="K86" s="15">
        <f t="shared" si="20"/>
        <v>8.8595189426819362E-2</v>
      </c>
      <c r="L86" s="15">
        <f t="shared" si="20"/>
        <v>8.7605698179325051E-2</v>
      </c>
      <c r="M86" s="15">
        <f t="shared" si="20"/>
        <v>8.6828129837346099E-2</v>
      </c>
      <c r="N86" s="15">
        <f t="shared" si="20"/>
        <v>8.7012479602859044E-2</v>
      </c>
      <c r="O86" s="15">
        <f t="shared" si="20"/>
        <v>8.6206146078175325E-2</v>
      </c>
      <c r="P86" s="15">
        <f t="shared" si="20"/>
        <v>8.5266640311271097E-2</v>
      </c>
      <c r="Q86" s="15">
        <f t="shared" si="20"/>
        <v>8.5298294034119315E-2</v>
      </c>
      <c r="R86" s="15">
        <f t="shared" si="20"/>
        <v>8.5246594555130742E-2</v>
      </c>
      <c r="S86" s="15">
        <f t="shared" si="20"/>
        <v>8.4903756170064404E-2</v>
      </c>
      <c r="T86" s="15">
        <f t="shared" si="20"/>
        <v>8.4446314018298455E-2</v>
      </c>
      <c r="U86" s="15">
        <f t="shared" si="20"/>
        <v>8.3946784182149001E-2</v>
      </c>
      <c r="V86" s="15">
        <f t="shared" si="20"/>
        <v>8.352191235059761E-2</v>
      </c>
      <c r="W86" s="15">
        <f t="shared" si="20"/>
        <v>8.3407235252744558E-2</v>
      </c>
      <c r="X86" s="15">
        <f t="shared" si="20"/>
        <v>8.3471815761996498E-2</v>
      </c>
      <c r="Y86" s="15">
        <f t="shared" si="20"/>
        <v>8.4086249558147752E-2</v>
      </c>
      <c r="Z86" s="15">
        <f t="shared" si="20"/>
        <v>8.4246090131328E-2</v>
      </c>
      <c r="AA86" s="15">
        <f t="shared" si="20"/>
        <v>8.4315859880129573E-2</v>
      </c>
      <c r="AB86" s="15">
        <f t="shared" si="20"/>
        <v>8.4375241679771076E-2</v>
      </c>
      <c r="AC86" s="15">
        <f t="shared" si="20"/>
        <v>8.3743903963986496E-2</v>
      </c>
      <c r="AD86" s="15">
        <f t="shared" si="20"/>
        <v>8.2986725404506093E-2</v>
      </c>
      <c r="AE86" s="15">
        <f t="shared" si="20"/>
        <v>8.2498958204282061E-2</v>
      </c>
      <c r="AF86" s="15">
        <f t="shared" si="20"/>
        <v>8.2040391782959174E-2</v>
      </c>
      <c r="AG86" s="15">
        <f t="shared" si="20"/>
        <v>8.2101155134452639E-2</v>
      </c>
      <c r="AH86" s="15">
        <f t="shared" si="20"/>
        <v>8.2245115595887236E-2</v>
      </c>
      <c r="AI86" s="15">
        <f t="shared" si="20"/>
        <v>8.270297039317169E-2</v>
      </c>
    </row>
    <row r="87" spans="1:39">
      <c r="B87" s="7" t="s">
        <v>47</v>
      </c>
      <c r="D87" s="15"/>
      <c r="E87" s="15">
        <f t="shared" si="18"/>
        <v>0.1907843063918914</v>
      </c>
      <c r="F87" s="15">
        <f t="shared" si="18"/>
        <v>0.15751196665251266</v>
      </c>
      <c r="G87" s="15">
        <f t="shared" ref="G87:AI87" si="21">G79/G$75</f>
        <v>0.19077595485827978</v>
      </c>
      <c r="H87" s="15">
        <f t="shared" si="21"/>
        <v>0.19085219065960521</v>
      </c>
      <c r="I87" s="15">
        <f t="shared" si="21"/>
        <v>0.19022457067371201</v>
      </c>
      <c r="J87" s="15">
        <f t="shared" si="21"/>
        <v>0.19025575082154594</v>
      </c>
      <c r="K87" s="15">
        <f t="shared" si="21"/>
        <v>0.18979083246996892</v>
      </c>
      <c r="L87" s="15">
        <f t="shared" si="21"/>
        <v>0.18943145171529419</v>
      </c>
      <c r="M87" s="15">
        <f t="shared" si="21"/>
        <v>0.18932628420375794</v>
      </c>
      <c r="N87" s="15">
        <f t="shared" si="21"/>
        <v>0.18963020845303485</v>
      </c>
      <c r="O87" s="15">
        <f t="shared" si="21"/>
        <v>0.18958387742665622</v>
      </c>
      <c r="P87" s="15">
        <f t="shared" si="21"/>
        <v>0.18882253802459376</v>
      </c>
      <c r="Q87" s="15">
        <f t="shared" si="21"/>
        <v>0.18869622607547848</v>
      </c>
      <c r="R87" s="15">
        <f t="shared" si="21"/>
        <v>0.18816884089992122</v>
      </c>
      <c r="S87" s="15">
        <f t="shared" si="21"/>
        <v>0.18755160834541351</v>
      </c>
      <c r="T87" s="15">
        <f t="shared" si="21"/>
        <v>0.18705086409366564</v>
      </c>
      <c r="U87" s="15">
        <f t="shared" si="21"/>
        <v>0.186772831221727</v>
      </c>
      <c r="V87" s="15">
        <f t="shared" si="21"/>
        <v>0.18661354581673306</v>
      </c>
      <c r="W87" s="15">
        <f t="shared" si="21"/>
        <v>0.18600348613192258</v>
      </c>
      <c r="X87" s="15">
        <f t="shared" si="21"/>
        <v>0.18610567802467684</v>
      </c>
      <c r="Y87" s="15">
        <f t="shared" si="21"/>
        <v>0.18624248851184164</v>
      </c>
      <c r="Z87" s="15">
        <f t="shared" si="21"/>
        <v>0.18636586562040217</v>
      </c>
      <c r="AA87" s="15">
        <f t="shared" si="21"/>
        <v>0.1863368699917376</v>
      </c>
      <c r="AB87" s="15">
        <f t="shared" si="21"/>
        <v>0.18580340800701192</v>
      </c>
      <c r="AC87" s="15">
        <f t="shared" si="21"/>
        <v>0.18489433537576591</v>
      </c>
      <c r="AD87" s="15">
        <f t="shared" si="21"/>
        <v>0.18433293107286383</v>
      </c>
      <c r="AE87" s="15">
        <f t="shared" si="21"/>
        <v>0.18372771401862845</v>
      </c>
      <c r="AF87" s="15">
        <f t="shared" si="21"/>
        <v>0.18316070035537835</v>
      </c>
      <c r="AG87" s="15">
        <f t="shared" si="21"/>
        <v>0.18282846201204178</v>
      </c>
      <c r="AH87" s="15">
        <f t="shared" si="21"/>
        <v>0.18227730940260367</v>
      </c>
      <c r="AI87" s="15">
        <f t="shared" si="21"/>
        <v>0.18173873357738657</v>
      </c>
    </row>
    <row r="88" spans="1:39">
      <c r="A88" s="15">
        <v>2.2941705995126158E-2</v>
      </c>
      <c r="B88" s="7" t="s">
        <v>48</v>
      </c>
      <c r="D88" s="15"/>
      <c r="E88" s="15">
        <f t="shared" si="18"/>
        <v>2.2852227250626474E-2</v>
      </c>
      <c r="F88" s="15">
        <f t="shared" si="18"/>
        <v>3.0399842773289075E-2</v>
      </c>
      <c r="G88" s="15">
        <f t="shared" ref="G88:AI88" si="22">G80/G$75</f>
        <v>2.3679833001728694E-2</v>
      </c>
      <c r="H88" s="15">
        <f t="shared" si="22"/>
        <v>2.3752206708393515E-2</v>
      </c>
      <c r="I88" s="15">
        <f t="shared" si="22"/>
        <v>2.3807426977836488E-2</v>
      </c>
      <c r="J88" s="15">
        <f t="shared" si="22"/>
        <v>2.388912701814545E-2</v>
      </c>
      <c r="K88" s="15">
        <f t="shared" si="22"/>
        <v>2.4500882031753143E-2</v>
      </c>
      <c r="L88" s="15">
        <f t="shared" si="22"/>
        <v>2.4910489830121126E-2</v>
      </c>
      <c r="M88" s="15">
        <f t="shared" si="22"/>
        <v>2.4981543664118502E-2</v>
      </c>
      <c r="N88" s="15">
        <f t="shared" si="22"/>
        <v>2.4775344165843122E-2</v>
      </c>
      <c r="O88" s="15">
        <f t="shared" si="22"/>
        <v>2.4810655523635414E-2</v>
      </c>
      <c r="P88" s="15">
        <f t="shared" si="22"/>
        <v>2.4864235034643474E-2</v>
      </c>
      <c r="Q88" s="15">
        <f t="shared" si="22"/>
        <v>2.4719505609887803E-2</v>
      </c>
      <c r="R88" s="15">
        <f t="shared" si="22"/>
        <v>2.5130165805298851E-2</v>
      </c>
      <c r="S88" s="15">
        <f t="shared" si="22"/>
        <v>2.6056480173220545E-2</v>
      </c>
      <c r="T88" s="15">
        <f t="shared" si="22"/>
        <v>2.6290882322010725E-2</v>
      </c>
      <c r="U88" s="15">
        <f t="shared" si="22"/>
        <v>2.6724756706227988E-2</v>
      </c>
      <c r="V88" s="15">
        <f t="shared" si="22"/>
        <v>2.6772908366533864E-2</v>
      </c>
      <c r="W88" s="15">
        <f t="shared" si="22"/>
        <v>2.7017522399926608E-2</v>
      </c>
      <c r="X88" s="15">
        <f t="shared" si="22"/>
        <v>2.7073927557758202E-2</v>
      </c>
      <c r="Y88" s="15">
        <f t="shared" si="22"/>
        <v>2.690703428773418E-2</v>
      </c>
      <c r="Z88" s="15">
        <f t="shared" si="22"/>
        <v>2.6851397743992152E-2</v>
      </c>
      <c r="AA88" s="15">
        <f t="shared" si="22"/>
        <v>2.6885598499652455E-2</v>
      </c>
      <c r="AB88" s="15">
        <f t="shared" si="22"/>
        <v>2.6797453017452504E-2</v>
      </c>
      <c r="AC88" s="15">
        <f t="shared" si="22"/>
        <v>2.6885081905714644E-2</v>
      </c>
      <c r="AD88" s="15">
        <f t="shared" si="22"/>
        <v>2.7392766341343393E-2</v>
      </c>
      <c r="AE88" s="15">
        <f t="shared" si="22"/>
        <v>2.7548457579204631E-2</v>
      </c>
      <c r="AF88" s="15">
        <f t="shared" si="22"/>
        <v>2.7726011961515126E-2</v>
      </c>
      <c r="AG88" s="15">
        <f t="shared" si="22"/>
        <v>2.7610530819237634E-2</v>
      </c>
      <c r="AH88" s="15">
        <f t="shared" si="22"/>
        <v>2.7505583613352383E-2</v>
      </c>
      <c r="AI88" s="15">
        <f t="shared" si="22"/>
        <v>2.6781119213850828E-2</v>
      </c>
    </row>
    <row r="89" spans="1:39">
      <c r="A89" s="15">
        <v>1.1638461915110792E-2</v>
      </c>
      <c r="B89" s="7" t="s">
        <v>49</v>
      </c>
      <c r="D89" s="15"/>
      <c r="E89" s="15">
        <f t="shared" si="18"/>
        <v>1.4698732094101807E-2</v>
      </c>
      <c r="F89" s="15">
        <f t="shared" si="18"/>
        <v>9.1724236115167598E-3</v>
      </c>
      <c r="G89" s="15">
        <f t="shared" ref="G89:AI89" si="23">G81/G$75</f>
        <v>1.5427769985974754E-2</v>
      </c>
      <c r="H89" s="15">
        <f t="shared" si="23"/>
        <v>1.5406836783822821E-2</v>
      </c>
      <c r="I89" s="15">
        <f t="shared" si="23"/>
        <v>1.567591369440775E-2</v>
      </c>
      <c r="J89" s="15">
        <f t="shared" si="23"/>
        <v>1.583083297613945E-2</v>
      </c>
      <c r="K89" s="15">
        <f t="shared" si="23"/>
        <v>1.6240584661047799E-2</v>
      </c>
      <c r="L89" s="15">
        <f t="shared" si="23"/>
        <v>1.67847439120388E-2</v>
      </c>
      <c r="M89" s="15">
        <f t="shared" si="23"/>
        <v>1.7051272891810149E-2</v>
      </c>
      <c r="N89" s="15">
        <f t="shared" si="23"/>
        <v>1.6961228195169039E-2</v>
      </c>
      <c r="O89" s="15">
        <f t="shared" si="23"/>
        <v>1.7149821537390093E-2</v>
      </c>
      <c r="P89" s="15">
        <f t="shared" si="23"/>
        <v>1.7332140404902104E-2</v>
      </c>
      <c r="Q89" s="15">
        <f t="shared" si="23"/>
        <v>1.7559648807023858E-2</v>
      </c>
      <c r="R89" s="15">
        <f t="shared" si="23"/>
        <v>1.7771715114603546E-2</v>
      </c>
      <c r="S89" s="15">
        <f t="shared" si="23"/>
        <v>1.8459731728352018E-2</v>
      </c>
      <c r="T89" s="15">
        <f t="shared" si="23"/>
        <v>1.8771689977915659E-2</v>
      </c>
      <c r="U89" s="15">
        <f t="shared" si="23"/>
        <v>1.9213113659505569E-2</v>
      </c>
      <c r="V89" s="15">
        <f t="shared" si="23"/>
        <v>1.942629482071713E-2</v>
      </c>
      <c r="W89" s="15">
        <f t="shared" si="23"/>
        <v>1.9647717195192808E-2</v>
      </c>
      <c r="X89" s="15">
        <f t="shared" si="23"/>
        <v>1.979440874130502E-2</v>
      </c>
      <c r="Y89" s="15">
        <f t="shared" si="23"/>
        <v>1.9780841286673737E-2</v>
      </c>
      <c r="Z89" s="15">
        <f t="shared" si="23"/>
        <v>1.9835431311645141E-2</v>
      </c>
      <c r="AA89" s="15">
        <f t="shared" si="23"/>
        <v>1.9869113037548035E-2</v>
      </c>
      <c r="AB89" s="15">
        <f t="shared" si="23"/>
        <v>1.9888633961485911E-2</v>
      </c>
      <c r="AC89" s="15">
        <f t="shared" si="23"/>
        <v>2.0007502813555084E-2</v>
      </c>
      <c r="AD89" s="15">
        <f t="shared" si="23"/>
        <v>2.0503567620766012E-2</v>
      </c>
      <c r="AE89" s="15">
        <f t="shared" si="23"/>
        <v>2.0655711856198404E-2</v>
      </c>
      <c r="AF89" s="15">
        <f t="shared" si="23"/>
        <v>2.0824304411892171E-2</v>
      </c>
      <c r="AG89" s="15">
        <f t="shared" si="23"/>
        <v>2.08383333507247E-2</v>
      </c>
      <c r="AH89" s="15">
        <f t="shared" si="23"/>
        <v>2.0835429284291433E-2</v>
      </c>
      <c r="AI89" s="15">
        <f t="shared" si="23"/>
        <v>2.0382004796908229E-2</v>
      </c>
    </row>
    <row r="90" spans="1:39">
      <c r="A90" s="15">
        <v>0.2256430344370412</v>
      </c>
      <c r="B90" s="7" t="s">
        <v>50</v>
      </c>
      <c r="D90" s="15"/>
      <c r="E90" s="15">
        <f t="shared" si="18"/>
        <v>0.1942252309533605</v>
      </c>
      <c r="F90" s="15">
        <f t="shared" si="18"/>
        <v>0.20002318922713225</v>
      </c>
      <c r="G90" s="15">
        <f t="shared" ref="G90:AI90" si="24">G82/G$75</f>
        <v>0.19237418050164715</v>
      </c>
      <c r="H90" s="15">
        <f t="shared" si="24"/>
        <v>0.19223238645482266</v>
      </c>
      <c r="I90" s="15">
        <f t="shared" si="24"/>
        <v>0.19465727286070747</v>
      </c>
      <c r="J90" s="15">
        <f t="shared" si="24"/>
        <v>0.1935990855836548</v>
      </c>
      <c r="K90" s="15">
        <f t="shared" si="24"/>
        <v>0.19116288186374711</v>
      </c>
      <c r="L90" s="15">
        <f t="shared" si="24"/>
        <v>0.1898377390111983</v>
      </c>
      <c r="M90" s="15">
        <f t="shared" si="24"/>
        <v>0.18946917196542115</v>
      </c>
      <c r="N90" s="15">
        <f t="shared" si="24"/>
        <v>0.18928546804256394</v>
      </c>
      <c r="O90" s="15">
        <f t="shared" si="24"/>
        <v>0.18849569078088274</v>
      </c>
      <c r="P90" s="15">
        <f t="shared" si="24"/>
        <v>0.19123613740870976</v>
      </c>
      <c r="Q90" s="15">
        <f t="shared" si="24"/>
        <v>0.19229615407691847</v>
      </c>
      <c r="R90" s="15">
        <f t="shared" si="24"/>
        <v>0.19331783511690906</v>
      </c>
      <c r="S90" s="15">
        <f t="shared" si="24"/>
        <v>0.19459786777253793</v>
      </c>
      <c r="T90" s="15">
        <f t="shared" si="24"/>
        <v>0.19739194447365654</v>
      </c>
      <c r="U90" s="15">
        <f t="shared" si="24"/>
        <v>0.19780660023035707</v>
      </c>
      <c r="V90" s="15">
        <f t="shared" si="24"/>
        <v>0.1987569721115538</v>
      </c>
      <c r="W90" s="15">
        <f t="shared" si="24"/>
        <v>0.20062077612305435</v>
      </c>
      <c r="X90" s="15">
        <f t="shared" si="24"/>
        <v>0.20006176561420022</v>
      </c>
      <c r="Y90" s="15">
        <f t="shared" si="24"/>
        <v>0.19939201131141746</v>
      </c>
      <c r="Z90" s="15">
        <f t="shared" si="24"/>
        <v>0.19873576371859844</v>
      </c>
      <c r="AA90" s="15">
        <f t="shared" si="24"/>
        <v>0.19838948707524032</v>
      </c>
      <c r="AB90" s="15">
        <f t="shared" si="24"/>
        <v>0.20085844654687943</v>
      </c>
      <c r="AC90" s="15">
        <f t="shared" si="24"/>
        <v>0.20340127547830436</v>
      </c>
      <c r="AD90" s="15">
        <f t="shared" si="24"/>
        <v>0.20330166020316107</v>
      </c>
      <c r="AE90" s="15">
        <f t="shared" si="24"/>
        <v>0.2040455461825226</v>
      </c>
      <c r="AF90" s="15">
        <f t="shared" si="24"/>
        <v>0.20485178122562192</v>
      </c>
      <c r="AG90" s="15">
        <f t="shared" si="24"/>
        <v>0.20607723852952531</v>
      </c>
      <c r="AH90" s="15">
        <f t="shared" si="24"/>
        <v>0.20759975049799795</v>
      </c>
      <c r="AI90" s="15">
        <f t="shared" si="24"/>
        <v>0.21205441674839537</v>
      </c>
    </row>
    <row r="91" spans="1:39">
      <c r="D91" s="15"/>
    </row>
    <row r="92" spans="1:39">
      <c r="B92" s="4" t="str">
        <f>B3</f>
        <v>Market Load Total</v>
      </c>
      <c r="D92" s="15">
        <f t="shared" ref="D92:AI92" si="25">D3/D$75</f>
        <v>0.22088538164832444</v>
      </c>
      <c r="E92" s="15">
        <f t="shared" si="25"/>
        <v>0.19841418259340987</v>
      </c>
      <c r="F92" s="15">
        <f t="shared" si="25"/>
        <v>0.2243660463417394</v>
      </c>
      <c r="G92" s="15">
        <f t="shared" si="25"/>
        <v>0.20118072996509997</v>
      </c>
      <c r="H92" s="15">
        <f t="shared" si="25"/>
        <v>0.19993580484673407</v>
      </c>
      <c r="I92" s="15">
        <f t="shared" si="25"/>
        <v>0.2047556142668428</v>
      </c>
      <c r="J92" s="15">
        <f t="shared" si="25"/>
        <v>0.20725817973996286</v>
      </c>
      <c r="K92" s="15">
        <f t="shared" si="25"/>
        <v>0.20309131128720634</v>
      </c>
      <c r="L92" s="15">
        <f t="shared" si="25"/>
        <v>0.21182803890200858</v>
      </c>
      <c r="M92" s="15">
        <f t="shared" si="25"/>
        <v>0.21652258817365627</v>
      </c>
      <c r="N92" s="15">
        <f t="shared" si="25"/>
        <v>0.21523292960400819</v>
      </c>
      <c r="O92" s="15">
        <f t="shared" si="25"/>
        <v>0.22014015843997561</v>
      </c>
      <c r="P92" s="15">
        <f t="shared" si="25"/>
        <v>0.21890930276107448</v>
      </c>
      <c r="Q92" s="15">
        <f t="shared" si="25"/>
        <v>0.21671566568668627</v>
      </c>
      <c r="R92" s="15">
        <f t="shared" si="25"/>
        <v>0.21235758612077082</v>
      </c>
      <c r="S92" s="15">
        <f t="shared" si="25"/>
        <v>0.20281850377084978</v>
      </c>
      <c r="T92" s="15">
        <f t="shared" si="25"/>
        <v>0.19567427349528516</v>
      </c>
      <c r="U92" s="15">
        <f t="shared" si="25"/>
        <v>0.19193082611380974</v>
      </c>
      <c r="V92" s="15">
        <f t="shared" si="25"/>
        <v>0.18873306772908366</v>
      </c>
      <c r="W92" s="15">
        <f t="shared" si="25"/>
        <v>0.18470383168710436</v>
      </c>
      <c r="X92" s="15">
        <f t="shared" si="25"/>
        <v>0.18297327901880911</v>
      </c>
      <c r="Y92" s="15">
        <f t="shared" si="25"/>
        <v>0.18119476846942381</v>
      </c>
      <c r="Z92" s="15">
        <f t="shared" si="25"/>
        <v>0.17981308920494796</v>
      </c>
      <c r="AA92" s="15">
        <f t="shared" si="25"/>
        <v>0.17829742029403664</v>
      </c>
      <c r="AB92" s="15">
        <f t="shared" si="25"/>
        <v>0.17523394601840633</v>
      </c>
      <c r="AC92" s="15">
        <f t="shared" si="25"/>
        <v>0.17340252594723021</v>
      </c>
      <c r="AD92" s="15">
        <f t="shared" si="25"/>
        <v>0.17546367353633818</v>
      </c>
      <c r="AE92" s="15">
        <f t="shared" si="25"/>
        <v>0.17711653470587574</v>
      </c>
      <c r="AF92" s="15">
        <f t="shared" si="25"/>
        <v>0.17719077749848314</v>
      </c>
      <c r="AG92" s="15">
        <f t="shared" si="25"/>
        <v>0.17406321413291873</v>
      </c>
      <c r="AH92" s="15">
        <f t="shared" si="25"/>
        <v>0.1711704460854343</v>
      </c>
      <c r="AI92" s="15">
        <f t="shared" si="25"/>
        <v>0.16521173397551053</v>
      </c>
    </row>
    <row r="93" spans="1:39">
      <c r="B93" s="4" t="str">
        <f>B11</f>
        <v>Parcel Load, FMCG &amp; eCommerce</v>
      </c>
      <c r="D93" s="15">
        <f t="shared" ref="D93:AI93" si="26">D11/D$75</f>
        <v>0.1176616299232103</v>
      </c>
      <c r="E93" s="15">
        <f t="shared" si="26"/>
        <v>0.1119048509556046</v>
      </c>
      <c r="F93" s="15">
        <f t="shared" si="26"/>
        <v>0.12590672206031228</v>
      </c>
      <c r="G93" s="15">
        <f t="shared" si="26"/>
        <v>0.11905150200593627</v>
      </c>
      <c r="H93" s="15">
        <f t="shared" si="26"/>
        <v>0.11949927780452575</v>
      </c>
      <c r="I93" s="15">
        <f t="shared" si="26"/>
        <v>0.12241303390576838</v>
      </c>
      <c r="J93" s="15">
        <f t="shared" si="26"/>
        <v>0.12396056579511358</v>
      </c>
      <c r="K93" s="15">
        <f t="shared" si="26"/>
        <v>0.12757259261333409</v>
      </c>
      <c r="L93" s="15">
        <f t="shared" si="26"/>
        <v>0.13303369645260404</v>
      </c>
      <c r="M93" s="15">
        <f t="shared" si="26"/>
        <v>0.13598151984949156</v>
      </c>
      <c r="N93" s="15">
        <f t="shared" si="26"/>
        <v>0.13516122359863023</v>
      </c>
      <c r="O93" s="15">
        <f t="shared" si="26"/>
        <v>0.13698093496996605</v>
      </c>
      <c r="P93" s="15">
        <f t="shared" si="26"/>
        <v>0.13880277147791348</v>
      </c>
      <c r="Q93" s="15">
        <f t="shared" si="26"/>
        <v>0.14141717165656686</v>
      </c>
      <c r="R93" s="15">
        <f t="shared" si="26"/>
        <v>0.1440181367557494</v>
      </c>
      <c r="S93" s="15">
        <f t="shared" si="26"/>
        <v>0.15132943097785198</v>
      </c>
      <c r="T93" s="15">
        <f t="shared" si="26"/>
        <v>0.15467802432782979</v>
      </c>
      <c r="U93" s="15">
        <f t="shared" si="26"/>
        <v>0.15909659972958085</v>
      </c>
      <c r="V93" s="15">
        <f t="shared" si="26"/>
        <v>0.16098804780876494</v>
      </c>
      <c r="W93" s="15">
        <f t="shared" si="26"/>
        <v>0.16372587994250939</v>
      </c>
      <c r="X93" s="15">
        <f t="shared" si="26"/>
        <v>0.1653406667745114</v>
      </c>
      <c r="Y93" s="15">
        <f t="shared" si="26"/>
        <v>0.16533050547896783</v>
      </c>
      <c r="Z93" s="15">
        <f t="shared" si="26"/>
        <v>0.16568579368971717</v>
      </c>
      <c r="AA93" s="15">
        <f t="shared" si="26"/>
        <v>0.16589070020590435</v>
      </c>
      <c r="AB93" s="15">
        <f t="shared" si="26"/>
        <v>0.16628857209146453</v>
      </c>
      <c r="AC93" s="15">
        <f t="shared" si="26"/>
        <v>0.16775040640240091</v>
      </c>
      <c r="AD93" s="15">
        <f t="shared" si="26"/>
        <v>0.17288608217829901</v>
      </c>
      <c r="AE93" s="15">
        <f t="shared" si="26"/>
        <v>0.17450359841872304</v>
      </c>
      <c r="AF93" s="15">
        <f t="shared" si="26"/>
        <v>0.17625899280575538</v>
      </c>
      <c r="AG93" s="15">
        <f t="shared" si="26"/>
        <v>0.17654670103200359</v>
      </c>
      <c r="AH93" s="15">
        <f t="shared" si="26"/>
        <v>0.17702569468198556</v>
      </c>
      <c r="AI93" s="15">
        <f t="shared" si="26"/>
        <v>0.17257217210607576</v>
      </c>
    </row>
    <row r="94" spans="1:39">
      <c r="B94" s="4" t="str">
        <f>B67</f>
        <v>Cement Total</v>
      </c>
      <c r="D94" s="15">
        <f t="shared" ref="D94:AI94" si="27">D67/D$75</f>
        <v>0.1248805690222584</v>
      </c>
      <c r="E94" s="15">
        <f t="shared" si="27"/>
        <v>0.13329842540299958</v>
      </c>
      <c r="F94" s="15">
        <f t="shared" si="27"/>
        <v>0.11999532073357697</v>
      </c>
      <c r="G94" s="15">
        <f t="shared" si="27"/>
        <v>0.13307674744773149</v>
      </c>
      <c r="H94" s="15">
        <f t="shared" si="27"/>
        <v>0.13359011394639705</v>
      </c>
      <c r="I94" s="15">
        <f t="shared" si="27"/>
        <v>0.13685601056803171</v>
      </c>
      <c r="J94" s="15">
        <f t="shared" si="27"/>
        <v>0.13587655379339905</v>
      </c>
      <c r="K94" s="15">
        <f t="shared" si="27"/>
        <v>0.11981631338728194</v>
      </c>
      <c r="L94" s="15">
        <f t="shared" si="27"/>
        <v>0.11627434549655925</v>
      </c>
      <c r="M94" s="15">
        <f t="shared" si="27"/>
        <v>0.11559619918553976</v>
      </c>
      <c r="N94" s="15">
        <f t="shared" si="27"/>
        <v>0.11601663947047873</v>
      </c>
      <c r="O94" s="15">
        <f t="shared" si="27"/>
        <v>0.11423783407330025</v>
      </c>
      <c r="P94" s="15">
        <f t="shared" si="27"/>
        <v>0.11358481929214956</v>
      </c>
      <c r="Q94" s="15">
        <f t="shared" si="27"/>
        <v>0.11135777284454311</v>
      </c>
      <c r="R94" s="15">
        <f t="shared" si="27"/>
        <v>0.11124133028492382</v>
      </c>
      <c r="S94" s="15">
        <f t="shared" si="27"/>
        <v>0.11261170339651724</v>
      </c>
      <c r="T94" s="15">
        <f t="shared" si="27"/>
        <v>0.11508395555088162</v>
      </c>
      <c r="U94" s="15">
        <f t="shared" si="27"/>
        <v>0.11397666382893484</v>
      </c>
      <c r="V94" s="15">
        <f t="shared" si="27"/>
        <v>0.11316334661354582</v>
      </c>
      <c r="W94" s="15">
        <f t="shared" si="27"/>
        <v>0.1129323262285557</v>
      </c>
      <c r="X94" s="15">
        <f t="shared" si="27"/>
        <v>0.11186929219547347</v>
      </c>
      <c r="Y94" s="15">
        <f t="shared" si="27"/>
        <v>0.10972074938140686</v>
      </c>
      <c r="Z94" s="15">
        <f t="shared" si="27"/>
        <v>0.10782791128548853</v>
      </c>
      <c r="AA94" s="15">
        <f t="shared" si="27"/>
        <v>0.10691287754593502</v>
      </c>
      <c r="AB94" s="15">
        <f t="shared" si="27"/>
        <v>0.10613286587094944</v>
      </c>
      <c r="AC94" s="15">
        <f t="shared" si="27"/>
        <v>0.10503938977116418</v>
      </c>
      <c r="AD94" s="15">
        <f t="shared" si="27"/>
        <v>0.10332626448430599</v>
      </c>
      <c r="AE94" s="15">
        <f t="shared" si="27"/>
        <v>0.1013188570656275</v>
      </c>
      <c r="AF94" s="15">
        <f t="shared" si="27"/>
        <v>9.941925977290457E-2</v>
      </c>
      <c r="AG94" s="15">
        <f t="shared" si="27"/>
        <v>9.766990493879979E-2</v>
      </c>
      <c r="AH94" s="15">
        <f t="shared" si="27"/>
        <v>9.6048210225557859E-2</v>
      </c>
      <c r="AI94" s="15">
        <f t="shared" si="27"/>
        <v>9.5491488886515249E-2</v>
      </c>
    </row>
    <row r="95" spans="1:39">
      <c r="B95" s="4" t="str">
        <f>B35</f>
        <v>Steel &amp; Metal Products Total</v>
      </c>
      <c r="D95" s="15">
        <f t="shared" ref="D95:AI95" si="28">D35/D$75</f>
        <v>6.9995399695672172E-2</v>
      </c>
      <c r="E95" s="15">
        <f t="shared" si="28"/>
        <v>7.4727905150166432E-2</v>
      </c>
      <c r="F95" s="15">
        <f t="shared" si="28"/>
        <v>7.8728152797193834E-2</v>
      </c>
      <c r="G95" s="15">
        <f t="shared" si="28"/>
        <v>7.3224827946116969E-2</v>
      </c>
      <c r="H95" s="15">
        <f t="shared" si="28"/>
        <v>7.2765206226929863E-2</v>
      </c>
      <c r="I95" s="15">
        <f t="shared" si="28"/>
        <v>7.4533979157493033E-2</v>
      </c>
      <c r="J95" s="15">
        <f t="shared" si="28"/>
        <v>7.4010572938991284E-2</v>
      </c>
      <c r="K95" s="15">
        <f t="shared" si="28"/>
        <v>7.7590793268557667E-2</v>
      </c>
      <c r="L95" s="15">
        <f t="shared" si="28"/>
        <v>7.8108732637566333E-2</v>
      </c>
      <c r="M95" s="15">
        <f t="shared" si="28"/>
        <v>7.8373937272272626E-2</v>
      </c>
      <c r="N95" s="15">
        <f t="shared" si="28"/>
        <v>7.791133276642688E-2</v>
      </c>
      <c r="O95" s="15">
        <f t="shared" si="28"/>
        <v>7.8218856098197967E-2</v>
      </c>
      <c r="P95" s="15">
        <f t="shared" si="28"/>
        <v>8.2270447972368446E-2</v>
      </c>
      <c r="Q95" s="15">
        <f t="shared" si="28"/>
        <v>8.4598308033839317E-2</v>
      </c>
      <c r="R95" s="15">
        <f t="shared" si="28"/>
        <v>8.6149589809602495E-2</v>
      </c>
      <c r="S95" s="15">
        <f t="shared" si="28"/>
        <v>8.8041543571205749E-2</v>
      </c>
      <c r="T95" s="15">
        <f t="shared" si="28"/>
        <v>9.0826234795106389E-2</v>
      </c>
      <c r="U95" s="15">
        <f t="shared" si="28"/>
        <v>9.2560134875724037E-2</v>
      </c>
      <c r="V95" s="15">
        <f t="shared" si="28"/>
        <v>9.4549800796812744E-2</v>
      </c>
      <c r="W95" s="15">
        <f t="shared" si="28"/>
        <v>9.7061251949481661E-2</v>
      </c>
      <c r="X95" s="15">
        <f t="shared" si="28"/>
        <v>9.7089663083280639E-2</v>
      </c>
      <c r="Y95" s="15">
        <f t="shared" si="28"/>
        <v>9.7080240367621071E-2</v>
      </c>
      <c r="Z95" s="15">
        <f t="shared" si="28"/>
        <v>9.7269903547490599E-2</v>
      </c>
      <c r="AA95" s="15">
        <f t="shared" si="28"/>
        <v>9.7391441199228837E-2</v>
      </c>
      <c r="AB95" s="15">
        <f t="shared" si="28"/>
        <v>0.10050011600629012</v>
      </c>
      <c r="AC95" s="15">
        <f t="shared" si="28"/>
        <v>0.10432662248343129</v>
      </c>
      <c r="AD95" s="15">
        <f t="shared" si="28"/>
        <v>0.10556408243605817</v>
      </c>
      <c r="AE95" s="15">
        <f t="shared" si="28"/>
        <v>0.1075696313732557</v>
      </c>
      <c r="AF95" s="15">
        <f t="shared" si="28"/>
        <v>0.10969056080436855</v>
      </c>
      <c r="AG95" s="15">
        <f t="shared" si="28"/>
        <v>0.11197604165579707</v>
      </c>
      <c r="AH95" s="15">
        <f t="shared" si="28"/>
        <v>0.11443892231232017</v>
      </c>
      <c r="AI95" s="15">
        <f t="shared" si="28"/>
        <v>0.11929153355408174</v>
      </c>
    </row>
    <row r="96" spans="1:39">
      <c r="B96" s="4" t="str">
        <f>B43</f>
        <v>Tankers - Petroleum &amp; CNG Total</v>
      </c>
      <c r="D96" s="15">
        <f t="shared" ref="D96:AI96" si="29">D43/D$75</f>
        <v>3.6236243320711986E-2</v>
      </c>
      <c r="E96" s="15">
        <f t="shared" si="29"/>
        <v>3.5643490294348656E-2</v>
      </c>
      <c r="F96" s="15">
        <f t="shared" si="29"/>
        <v>3.2885293983822755E-2</v>
      </c>
      <c r="G96" s="15">
        <f t="shared" si="29"/>
        <v>3.2714700414233994E-2</v>
      </c>
      <c r="H96" s="15">
        <f t="shared" si="29"/>
        <v>3.2514845129192747E-2</v>
      </c>
      <c r="I96" s="15">
        <f t="shared" si="29"/>
        <v>3.1234404814325555E-2</v>
      </c>
      <c r="J96" s="15">
        <f t="shared" si="29"/>
        <v>3.1318759822831832E-2</v>
      </c>
      <c r="K96" s="15">
        <f t="shared" si="29"/>
        <v>3.2201159241732703E-2</v>
      </c>
      <c r="L96" s="15">
        <f t="shared" si="29"/>
        <v>3.1258728828622941E-2</v>
      </c>
      <c r="M96" s="15">
        <f t="shared" si="29"/>
        <v>3.136386368507537E-2</v>
      </c>
      <c r="N96" s="15">
        <f t="shared" si="29"/>
        <v>3.1509273517041671E-2</v>
      </c>
      <c r="O96" s="15">
        <f t="shared" si="29"/>
        <v>3.1318011665360843E-2</v>
      </c>
      <c r="P96" s="15">
        <f t="shared" si="29"/>
        <v>3.1439212667235386E-2</v>
      </c>
      <c r="Q96" s="15">
        <f t="shared" si="29"/>
        <v>3.1439371212575749E-2</v>
      </c>
      <c r="R96" s="15">
        <f t="shared" si="29"/>
        <v>3.2008299871275146E-2</v>
      </c>
      <c r="S96" s="15">
        <f t="shared" si="29"/>
        <v>3.2111859368405597E-2</v>
      </c>
      <c r="T96" s="15">
        <f t="shared" si="29"/>
        <v>3.1601640551056895E-2</v>
      </c>
      <c r="U96" s="15">
        <f t="shared" si="29"/>
        <v>3.0697581250938955E-2</v>
      </c>
      <c r="V96" s="15">
        <f t="shared" si="29"/>
        <v>3.0183266932270917E-2</v>
      </c>
      <c r="W96" s="15">
        <f t="shared" si="29"/>
        <v>2.9830892021650714E-2</v>
      </c>
      <c r="X96" s="15">
        <f t="shared" si="29"/>
        <v>3.0118089971911351E-2</v>
      </c>
      <c r="Y96" s="15">
        <f t="shared" si="29"/>
        <v>3.0427712972781903E-2</v>
      </c>
      <c r="Z96" s="15">
        <f t="shared" si="29"/>
        <v>2.9916625796959292E-2</v>
      </c>
      <c r="AA96" s="15">
        <f t="shared" si="29"/>
        <v>2.9377434458156829E-2</v>
      </c>
      <c r="AB96" s="15">
        <f t="shared" si="29"/>
        <v>2.9169137170993273E-2</v>
      </c>
      <c r="AC96" s="15">
        <f t="shared" si="29"/>
        <v>2.8860822808553208E-2</v>
      </c>
      <c r="AD96" s="15">
        <f t="shared" si="29"/>
        <v>2.7591943855373693E-2</v>
      </c>
      <c r="AE96" s="15">
        <f t="shared" si="29"/>
        <v>2.7323204451001813E-2</v>
      </c>
      <c r="AF96" s="15">
        <f t="shared" si="29"/>
        <v>2.6815896680246164E-2</v>
      </c>
      <c r="AG96" s="15">
        <f t="shared" si="29"/>
        <v>2.6598353385576992E-2</v>
      </c>
      <c r="AH96" s="15">
        <f t="shared" si="29"/>
        <v>2.6157467957101752E-2</v>
      </c>
      <c r="AI96" s="15">
        <f t="shared" si="29"/>
        <v>2.6004291970519407E-2</v>
      </c>
    </row>
    <row r="97" spans="1:35">
      <c r="B97" s="4" t="str">
        <f>B51</f>
        <v>Tankers - Milk, Edible Oil &amp; Water Total</v>
      </c>
      <c r="D97" s="15">
        <f t="shared" ref="D97:AI97" si="30">D51/D$75</f>
        <v>3.4219186807742663E-2</v>
      </c>
      <c r="E97" s="15">
        <f t="shared" si="30"/>
        <v>3.3661218536111009E-2</v>
      </c>
      <c r="F97" s="15">
        <f t="shared" si="30"/>
        <v>3.3164212018878168E-2</v>
      </c>
      <c r="G97" s="15">
        <f t="shared" si="30"/>
        <v>3.202974656707655E-2</v>
      </c>
      <c r="H97" s="15">
        <f t="shared" si="30"/>
        <v>3.2161771786230142E-2</v>
      </c>
      <c r="I97" s="15">
        <f t="shared" si="30"/>
        <v>3.0588580654630854E-2</v>
      </c>
      <c r="J97" s="15">
        <f t="shared" si="30"/>
        <v>3.1004429204172023E-2</v>
      </c>
      <c r="K97" s="15">
        <f t="shared" si="30"/>
        <v>3.1893148153333523E-2</v>
      </c>
      <c r="L97" s="15">
        <f t="shared" si="30"/>
        <v>3.0674690840760774E-2</v>
      </c>
      <c r="M97" s="15">
        <f t="shared" si="30"/>
        <v>3.0196946964825794E-2</v>
      </c>
      <c r="N97" s="15">
        <f t="shared" si="30"/>
        <v>3.05669830617545E-2</v>
      </c>
      <c r="O97" s="15">
        <f t="shared" si="30"/>
        <v>3.0686863410812223E-2</v>
      </c>
      <c r="P97" s="15">
        <f t="shared" si="30"/>
        <v>3.1106302407357317E-2</v>
      </c>
      <c r="Q97" s="15">
        <f t="shared" si="30"/>
        <v>3.1099378012439751E-2</v>
      </c>
      <c r="R97" s="15">
        <f t="shared" si="30"/>
        <v>3.1662471901477453E-2</v>
      </c>
      <c r="S97" s="15">
        <f t="shared" si="30"/>
        <v>3.205681046663119E-2</v>
      </c>
      <c r="T97" s="15">
        <f t="shared" si="30"/>
        <v>3.2460476040242575E-2</v>
      </c>
      <c r="U97" s="15">
        <f t="shared" si="30"/>
        <v>3.3084614485786305E-2</v>
      </c>
      <c r="V97" s="15">
        <f t="shared" si="30"/>
        <v>3.3800796812749001E-2</v>
      </c>
      <c r="W97" s="15">
        <f t="shared" si="30"/>
        <v>3.4387327604660407E-2</v>
      </c>
      <c r="X97" s="15">
        <f t="shared" si="30"/>
        <v>3.5044633009308962E-2</v>
      </c>
      <c r="Y97" s="15">
        <f t="shared" si="30"/>
        <v>3.6380346412159772E-2</v>
      </c>
      <c r="Z97" s="15">
        <f t="shared" si="30"/>
        <v>3.7858972263091928E-2</v>
      </c>
      <c r="AA97" s="15">
        <f t="shared" si="30"/>
        <v>3.9357893218271718E-2</v>
      </c>
      <c r="AB97" s="15">
        <f t="shared" si="30"/>
        <v>3.9455028228197263E-2</v>
      </c>
      <c r="AC97" s="15">
        <f t="shared" si="30"/>
        <v>4.0952857321495562E-2</v>
      </c>
      <c r="AD97" s="15">
        <f t="shared" si="30"/>
        <v>4.1440639242656792E-2</v>
      </c>
      <c r="AE97" s="15">
        <f t="shared" si="30"/>
        <v>4.2234961538028359E-2</v>
      </c>
      <c r="AF97" s="15">
        <f t="shared" si="30"/>
        <v>4.3479674092051661E-2</v>
      </c>
      <c r="AG97" s="15">
        <f t="shared" si="30"/>
        <v>4.5234939947617209E-2</v>
      </c>
      <c r="AH97" s="15">
        <f t="shared" si="30"/>
        <v>4.7536167729732993E-2</v>
      </c>
      <c r="AI97" s="15">
        <f t="shared" si="30"/>
        <v>4.863909577308876E-2</v>
      </c>
    </row>
    <row r="98" spans="1:35">
      <c r="B98" s="4" t="str">
        <f>B27</f>
        <v>Constructin &amp; Mining</v>
      </c>
      <c r="D98" s="15">
        <f t="shared" ref="D98:AI98" si="31">D27/D$75</f>
        <v>0.30298312042181252</v>
      </c>
      <c r="E98" s="15">
        <f t="shared" si="31"/>
        <v>0.3266260238620638</v>
      </c>
      <c r="F98" s="15">
        <f t="shared" si="31"/>
        <v>0.27887541906609831</v>
      </c>
      <c r="G98" s="15">
        <f t="shared" si="31"/>
        <v>0.32300466420953067</v>
      </c>
      <c r="H98" s="15">
        <f t="shared" si="31"/>
        <v>0.32418552399293854</v>
      </c>
      <c r="I98" s="15">
        <f t="shared" si="31"/>
        <v>0.31727579627183328</v>
      </c>
      <c r="J98" s="15">
        <f t="shared" si="31"/>
        <v>0.3150450064294899</v>
      </c>
      <c r="K98" s="15">
        <f t="shared" si="31"/>
        <v>0.32416767003612129</v>
      </c>
      <c r="L98" s="15">
        <f t="shared" si="31"/>
        <v>0.31746273583707879</v>
      </c>
      <c r="M98" s="15">
        <f t="shared" si="31"/>
        <v>0.31261460789216738</v>
      </c>
      <c r="N98" s="15">
        <f t="shared" si="31"/>
        <v>0.31375973891659581</v>
      </c>
      <c r="O98" s="15">
        <f t="shared" si="31"/>
        <v>0.30900147993383825</v>
      </c>
      <c r="P98" s="15">
        <f t="shared" si="31"/>
        <v>0.30427997752855745</v>
      </c>
      <c r="Q98" s="15">
        <f t="shared" si="31"/>
        <v>0.30417391652166959</v>
      </c>
      <c r="R98" s="15">
        <f t="shared" si="31"/>
        <v>0.30388672212722628</v>
      </c>
      <c r="S98" s="15">
        <f t="shared" si="31"/>
        <v>0.30185147806301266</v>
      </c>
      <c r="T98" s="15">
        <f t="shared" si="31"/>
        <v>0.29983874925509169</v>
      </c>
      <c r="U98" s="15">
        <f t="shared" si="31"/>
        <v>0.29697698098719683</v>
      </c>
      <c r="V98" s="15">
        <f t="shared" si="31"/>
        <v>0.29486852589641432</v>
      </c>
      <c r="W98" s="15">
        <f t="shared" si="31"/>
        <v>0.29424176630684079</v>
      </c>
      <c r="X98" s="15">
        <f t="shared" si="31"/>
        <v>0.29431315166399508</v>
      </c>
      <c r="Y98" s="15">
        <f t="shared" si="31"/>
        <v>0.29712265818310357</v>
      </c>
      <c r="Z98" s="15">
        <f t="shared" si="31"/>
        <v>0.2977358182115416</v>
      </c>
      <c r="AA98" s="15">
        <f t="shared" si="31"/>
        <v>0.29808915526761004</v>
      </c>
      <c r="AB98" s="15">
        <f t="shared" si="31"/>
        <v>0.29881931375834603</v>
      </c>
      <c r="AC98" s="15">
        <f t="shared" si="31"/>
        <v>0.2956858822058272</v>
      </c>
      <c r="AD98" s="15">
        <f t="shared" si="31"/>
        <v>0.29089290107907345</v>
      </c>
      <c r="AE98" s="15">
        <f t="shared" si="31"/>
        <v>0.28800864972012297</v>
      </c>
      <c r="AF98" s="15">
        <f t="shared" si="31"/>
        <v>0.28537531420646617</v>
      </c>
      <c r="AG98" s="15">
        <f t="shared" si="31"/>
        <v>0.28583055941064145</v>
      </c>
      <c r="AH98" s="15">
        <f t="shared" si="31"/>
        <v>0.28660536429304412</v>
      </c>
      <c r="AI98" s="15">
        <f t="shared" si="31"/>
        <v>0.29046541662216097</v>
      </c>
    </row>
    <row r="99" spans="1:35">
      <c r="B99" s="4" t="str">
        <f>B19</f>
        <v>Perishables &amp; Fish Total</v>
      </c>
      <c r="D99" s="15">
        <f t="shared" ref="D99:AI99" si="32">D19/D$75</f>
        <v>6.5501256236951064E-2</v>
      </c>
      <c r="E99" s="15">
        <f t="shared" si="32"/>
        <v>6.2348056999663386E-2</v>
      </c>
      <c r="F99" s="15">
        <f t="shared" si="32"/>
        <v>7.8148746930356519E-2</v>
      </c>
      <c r="G99" s="15">
        <f t="shared" si="32"/>
        <v>6.2852669689161422E-2</v>
      </c>
      <c r="H99" s="15">
        <f t="shared" si="32"/>
        <v>6.242978655111539E-2</v>
      </c>
      <c r="I99" s="15">
        <f t="shared" si="32"/>
        <v>6.0531337149567002E-2</v>
      </c>
      <c r="J99" s="15">
        <f t="shared" si="32"/>
        <v>6.0094299185597944E-2</v>
      </c>
      <c r="K99" s="15">
        <f t="shared" si="32"/>
        <v>6.185422675216308E-2</v>
      </c>
      <c r="L99" s="15">
        <f t="shared" si="32"/>
        <v>6.0587593001701329E-2</v>
      </c>
      <c r="M99" s="15">
        <f t="shared" si="32"/>
        <v>5.9655640494391655E-2</v>
      </c>
      <c r="N99" s="15">
        <f t="shared" si="32"/>
        <v>6.0467467996598565E-2</v>
      </c>
      <c r="O99" s="15">
        <f t="shared" si="32"/>
        <v>6.0720814834160357E-2</v>
      </c>
      <c r="P99" s="15">
        <f t="shared" si="32"/>
        <v>6.1546784294958488E-2</v>
      </c>
      <c r="Q99" s="15">
        <f t="shared" si="32"/>
        <v>6.2698746025079494E-2</v>
      </c>
      <c r="R99" s="15">
        <f t="shared" si="32"/>
        <v>6.2037695248707947E-2</v>
      </c>
      <c r="S99" s="15">
        <f t="shared" si="32"/>
        <v>6.2810796924601356E-2</v>
      </c>
      <c r="T99" s="15">
        <f t="shared" si="32"/>
        <v>6.4202334630350189E-2</v>
      </c>
      <c r="U99" s="15">
        <f t="shared" si="32"/>
        <v>6.6636620094479779E-2</v>
      </c>
      <c r="V99" s="15">
        <f t="shared" si="32"/>
        <v>6.935458167330677E-2</v>
      </c>
      <c r="W99" s="15">
        <f t="shared" si="32"/>
        <v>6.9202776673496225E-2</v>
      </c>
      <c r="X99" s="15">
        <f t="shared" si="32"/>
        <v>6.986867453933146E-2</v>
      </c>
      <c r="Y99" s="15">
        <f t="shared" si="32"/>
        <v>6.9876281371509363E-2</v>
      </c>
      <c r="Z99" s="15">
        <f t="shared" si="32"/>
        <v>7.1372132308866007E-2</v>
      </c>
      <c r="AA99" s="15">
        <f t="shared" si="32"/>
        <v>7.2145208461750321E-2</v>
      </c>
      <c r="AB99" s="15">
        <f t="shared" si="32"/>
        <v>7.2323477095202496E-2</v>
      </c>
      <c r="AC99" s="15">
        <f t="shared" si="32"/>
        <v>7.2264599224709264E-2</v>
      </c>
      <c r="AD99" s="15">
        <f t="shared" si="32"/>
        <v>7.1750770348326318E-2</v>
      </c>
      <c r="AE99" s="15">
        <f t="shared" si="32"/>
        <v>7.1044836635168765E-2</v>
      </c>
      <c r="AF99" s="15">
        <f t="shared" si="32"/>
        <v>7.1086504290543473E-2</v>
      </c>
      <c r="AG99" s="15">
        <f t="shared" si="32"/>
        <v>7.188546742771279E-2</v>
      </c>
      <c r="AH99" s="15">
        <f t="shared" si="32"/>
        <v>7.1389766393690018E-2</v>
      </c>
      <c r="AI99" s="15">
        <f t="shared" si="32"/>
        <v>7.3031471213695465E-2</v>
      </c>
    </row>
    <row r="100" spans="1:35">
      <c r="B100" s="4" t="str">
        <f>B59</f>
        <v>LPG Total</v>
      </c>
      <c r="D100" s="15">
        <f t="shared" ref="D100:AI100" si="33">D59/D$75</f>
        <v>2.7637212923316466E-2</v>
      </c>
      <c r="E100" s="15">
        <f t="shared" si="33"/>
        <v>2.3375846205632645E-2</v>
      </c>
      <c r="F100" s="15">
        <f t="shared" si="33"/>
        <v>2.7930086068021921E-2</v>
      </c>
      <c r="G100" s="15">
        <f t="shared" si="33"/>
        <v>2.2864411755112692E-2</v>
      </c>
      <c r="H100" s="15">
        <f t="shared" si="33"/>
        <v>2.2917669715936447E-2</v>
      </c>
      <c r="I100" s="15">
        <f t="shared" si="33"/>
        <v>2.1811243211507413E-2</v>
      </c>
      <c r="J100" s="15">
        <f t="shared" si="33"/>
        <v>2.1431633090441493E-2</v>
      </c>
      <c r="K100" s="15">
        <f t="shared" si="33"/>
        <v>2.181278526026937E-2</v>
      </c>
      <c r="L100" s="15">
        <f t="shared" si="33"/>
        <v>2.0771438003097942E-2</v>
      </c>
      <c r="M100" s="15">
        <f t="shared" si="33"/>
        <v>1.9694696482579599E-2</v>
      </c>
      <c r="N100" s="15">
        <f t="shared" si="33"/>
        <v>1.9374411068465446E-2</v>
      </c>
      <c r="O100" s="15">
        <f t="shared" si="33"/>
        <v>1.8695046574388439E-2</v>
      </c>
      <c r="P100" s="15">
        <f t="shared" si="33"/>
        <v>1.8060381598385387E-2</v>
      </c>
      <c r="Q100" s="15">
        <f t="shared" si="33"/>
        <v>1.6499670006599867E-2</v>
      </c>
      <c r="R100" s="15">
        <f t="shared" si="33"/>
        <v>1.6638167880266671E-2</v>
      </c>
      <c r="S100" s="15">
        <f t="shared" si="33"/>
        <v>1.6367873460924453E-2</v>
      </c>
      <c r="T100" s="15">
        <f t="shared" si="33"/>
        <v>1.5634311354155713E-2</v>
      </c>
      <c r="U100" s="15">
        <f t="shared" si="33"/>
        <v>1.5039978633548667E-2</v>
      </c>
      <c r="V100" s="15">
        <f t="shared" si="33"/>
        <v>1.4358565737051793E-2</v>
      </c>
      <c r="W100" s="15">
        <f t="shared" si="33"/>
        <v>1.3913947585700743E-2</v>
      </c>
      <c r="X100" s="15">
        <f t="shared" si="33"/>
        <v>1.338254974337858E-2</v>
      </c>
      <c r="Y100" s="15">
        <f t="shared" si="33"/>
        <v>1.2866737363025803E-2</v>
      </c>
      <c r="Z100" s="15">
        <f t="shared" si="33"/>
        <v>1.2519753691896899E-2</v>
      </c>
      <c r="AA100" s="15">
        <f t="shared" si="33"/>
        <v>1.2537869349106218E-2</v>
      </c>
      <c r="AB100" s="15">
        <f t="shared" si="33"/>
        <v>1.207754376015055E-2</v>
      </c>
      <c r="AC100" s="15">
        <f t="shared" si="33"/>
        <v>1.1716893835188195E-2</v>
      </c>
      <c r="AD100" s="15">
        <f t="shared" si="33"/>
        <v>1.1083642839568371E-2</v>
      </c>
      <c r="AE100" s="15">
        <f t="shared" si="33"/>
        <v>1.0879726092196106E-2</v>
      </c>
      <c r="AF100" s="15">
        <f t="shared" si="33"/>
        <v>1.0683019849180896E-2</v>
      </c>
      <c r="AG100" s="15">
        <f t="shared" si="33"/>
        <v>1.0194818068932413E-2</v>
      </c>
      <c r="AH100" s="15">
        <f t="shared" si="33"/>
        <v>9.6279603211332221E-3</v>
      </c>
      <c r="AI100" s="15">
        <f t="shared" si="33"/>
        <v>9.2927958983521543E-3</v>
      </c>
    </row>
    <row r="102" spans="1:35">
      <c r="B102" s="4" t="s">
        <v>60</v>
      </c>
      <c r="C102" s="4">
        <f>ROUND(C75/100,0)*100</f>
        <v>274200</v>
      </c>
      <c r="D102" s="4">
        <f>ROUND(D75/100,0)*100</f>
        <v>282600</v>
      </c>
      <c r="E102" s="4">
        <f t="shared" ref="E102:AI102" si="34">ROUND(E75/100,0)*100</f>
        <v>267400</v>
      </c>
      <c r="F102" s="4">
        <f t="shared" si="34"/>
        <v>301100</v>
      </c>
      <c r="G102" s="4">
        <f t="shared" si="34"/>
        <v>306600</v>
      </c>
      <c r="H102" s="4">
        <f t="shared" si="34"/>
        <v>311600</v>
      </c>
      <c r="I102" s="4">
        <f t="shared" si="34"/>
        <v>340700</v>
      </c>
      <c r="J102" s="4">
        <f t="shared" si="34"/>
        <v>350000</v>
      </c>
      <c r="K102" s="4">
        <f t="shared" si="34"/>
        <v>357100</v>
      </c>
      <c r="L102" s="4">
        <f t="shared" si="34"/>
        <v>393800</v>
      </c>
      <c r="M102" s="4">
        <f t="shared" si="34"/>
        <v>419900</v>
      </c>
      <c r="N102" s="4">
        <f t="shared" si="34"/>
        <v>435100</v>
      </c>
      <c r="O102" s="4">
        <f t="shared" si="34"/>
        <v>459500</v>
      </c>
      <c r="P102" s="4">
        <f t="shared" si="34"/>
        <v>480600</v>
      </c>
      <c r="Q102" s="4">
        <f t="shared" si="34"/>
        <v>500000</v>
      </c>
      <c r="R102" s="4">
        <f t="shared" si="34"/>
        <v>520500</v>
      </c>
      <c r="S102" s="4">
        <f t="shared" si="34"/>
        <v>545000</v>
      </c>
      <c r="T102" s="4">
        <f t="shared" si="34"/>
        <v>570500</v>
      </c>
      <c r="U102" s="4">
        <f t="shared" si="34"/>
        <v>599100</v>
      </c>
      <c r="V102" s="4">
        <f t="shared" si="34"/>
        <v>627500</v>
      </c>
      <c r="W102" s="4">
        <f t="shared" si="34"/>
        <v>654000</v>
      </c>
      <c r="X102" s="4">
        <f t="shared" si="34"/>
        <v>680000</v>
      </c>
      <c r="Y102" s="4">
        <f t="shared" si="34"/>
        <v>707300</v>
      </c>
      <c r="Z102" s="4">
        <f t="shared" si="34"/>
        <v>734000</v>
      </c>
      <c r="AA102" s="4">
        <f t="shared" si="34"/>
        <v>762500</v>
      </c>
      <c r="AB102" s="4">
        <f t="shared" si="34"/>
        <v>775800</v>
      </c>
      <c r="AC102" s="4">
        <f t="shared" si="34"/>
        <v>799700</v>
      </c>
      <c r="AD102" s="4">
        <f t="shared" si="34"/>
        <v>853500</v>
      </c>
      <c r="AE102" s="4">
        <f t="shared" si="34"/>
        <v>887900</v>
      </c>
      <c r="AF102" s="4">
        <f t="shared" si="34"/>
        <v>923000</v>
      </c>
      <c r="AG102" s="4">
        <f t="shared" si="34"/>
        <v>958300</v>
      </c>
      <c r="AH102" s="4">
        <f t="shared" si="34"/>
        <v>994000</v>
      </c>
      <c r="AI102" s="4">
        <f t="shared" si="34"/>
        <v>1029800</v>
      </c>
    </row>
    <row r="104" spans="1:35">
      <c r="A104" s="4" t="s">
        <v>41</v>
      </c>
      <c r="B104" s="4" t="str" cm="1">
        <f t="array" ref="B104:B137">TRANSPOSE(B75:AI75)</f>
        <v>Grand Total</v>
      </c>
    </row>
    <row r="105" spans="1:35">
      <c r="A105" s="4">
        <v>2023</v>
      </c>
      <c r="B105" s="125">
        <v>274193.36683216912</v>
      </c>
    </row>
    <row r="106" spans="1:35">
      <c r="A106" s="4">
        <v>2024</v>
      </c>
      <c r="B106" s="125">
        <v>282590</v>
      </c>
    </row>
    <row r="107" spans="1:35">
      <c r="A107" s="4">
        <v>2025</v>
      </c>
      <c r="B107" s="125">
        <v>267370</v>
      </c>
    </row>
    <row r="108" spans="1:35">
      <c r="A108" s="4">
        <v>2026</v>
      </c>
      <c r="B108" s="125">
        <v>301119.97842446715</v>
      </c>
    </row>
    <row r="109" spans="1:35">
      <c r="A109" s="4">
        <v>2027</v>
      </c>
      <c r="B109" s="125">
        <v>306590</v>
      </c>
    </row>
    <row r="110" spans="1:35">
      <c r="A110" s="4">
        <v>2028</v>
      </c>
      <c r="B110" s="125">
        <v>311550</v>
      </c>
    </row>
    <row r="111" spans="1:35">
      <c r="A111" s="4">
        <v>2029</v>
      </c>
      <c r="B111" s="125">
        <v>340650</v>
      </c>
    </row>
    <row r="112" spans="1:35">
      <c r="A112" s="4">
        <v>2030</v>
      </c>
      <c r="B112" s="125">
        <v>349950</v>
      </c>
    </row>
    <row r="113" spans="1:2">
      <c r="A113" s="4">
        <v>2031</v>
      </c>
      <c r="B113" s="125">
        <v>357130</v>
      </c>
    </row>
    <row r="114" spans="1:2">
      <c r="A114" s="4">
        <v>2032</v>
      </c>
      <c r="B114" s="125">
        <v>393810</v>
      </c>
    </row>
    <row r="115" spans="1:2">
      <c r="A115" s="4">
        <v>2033</v>
      </c>
      <c r="B115" s="125">
        <v>419910</v>
      </c>
    </row>
    <row r="116" spans="1:2">
      <c r="A116" s="4">
        <v>2034</v>
      </c>
      <c r="B116" s="125">
        <v>435110</v>
      </c>
    </row>
    <row r="117" spans="1:2">
      <c r="A117" s="4">
        <v>2035</v>
      </c>
      <c r="B117" s="125">
        <v>459480</v>
      </c>
    </row>
    <row r="118" spans="1:2">
      <c r="A118" s="4">
        <v>2036</v>
      </c>
      <c r="B118" s="125">
        <v>480610</v>
      </c>
    </row>
    <row r="119" spans="1:2">
      <c r="A119" s="4">
        <v>2037</v>
      </c>
      <c r="B119" s="125">
        <v>500010</v>
      </c>
    </row>
    <row r="120" spans="1:2">
      <c r="A120" s="4">
        <v>2038</v>
      </c>
      <c r="B120" s="125">
        <v>520490</v>
      </c>
    </row>
    <row r="121" spans="1:2">
      <c r="A121" s="4">
        <v>2039</v>
      </c>
      <c r="B121" s="125">
        <v>544970</v>
      </c>
    </row>
    <row r="122" spans="1:2">
      <c r="A122" s="4">
        <v>2040</v>
      </c>
      <c r="B122" s="125">
        <v>570540</v>
      </c>
    </row>
    <row r="123" spans="1:2">
      <c r="A123" s="4">
        <v>2041</v>
      </c>
      <c r="B123" s="125">
        <v>599070</v>
      </c>
    </row>
    <row r="124" spans="1:2">
      <c r="A124" s="4">
        <v>2042</v>
      </c>
      <c r="B124" s="125">
        <v>627500</v>
      </c>
    </row>
    <row r="125" spans="1:2">
      <c r="A125" s="4">
        <v>2043</v>
      </c>
      <c r="B125" s="125">
        <v>654020</v>
      </c>
    </row>
    <row r="126" spans="1:2">
      <c r="A126" s="4">
        <v>2044</v>
      </c>
      <c r="B126" s="125">
        <v>679990</v>
      </c>
    </row>
    <row r="127" spans="1:2">
      <c r="A127" s="4">
        <v>2045</v>
      </c>
      <c r="B127" s="125">
        <v>707250</v>
      </c>
    </row>
    <row r="128" spans="1:2">
      <c r="A128" s="4">
        <v>2046</v>
      </c>
      <c r="B128" s="125">
        <v>734040</v>
      </c>
    </row>
    <row r="129" spans="1:2">
      <c r="A129" s="4">
        <v>2047</v>
      </c>
      <c r="B129" s="125">
        <v>762490</v>
      </c>
    </row>
    <row r="130" spans="1:2">
      <c r="A130" s="4">
        <v>2048</v>
      </c>
      <c r="B130" s="125">
        <v>775820</v>
      </c>
    </row>
    <row r="131" spans="1:2">
      <c r="A131" s="4">
        <v>2049</v>
      </c>
      <c r="B131" s="125">
        <v>799700</v>
      </c>
    </row>
    <row r="132" spans="1:2">
      <c r="A132" s="4">
        <v>2050</v>
      </c>
      <c r="B132" s="125">
        <v>853510</v>
      </c>
    </row>
    <row r="133" spans="1:2">
      <c r="A133" s="4">
        <v>2051</v>
      </c>
      <c r="B133" s="125">
        <v>887890</v>
      </c>
    </row>
    <row r="134" spans="1:2">
      <c r="A134" s="4">
        <v>2052</v>
      </c>
      <c r="B134" s="125">
        <v>922960</v>
      </c>
    </row>
    <row r="135" spans="1:2">
      <c r="A135" s="4">
        <v>2053</v>
      </c>
      <c r="B135" s="125">
        <v>958330</v>
      </c>
    </row>
    <row r="136" spans="1:2">
      <c r="A136" s="4">
        <v>2054</v>
      </c>
      <c r="B136" s="125">
        <v>993980</v>
      </c>
    </row>
    <row r="137" spans="1:2">
      <c r="A137" s="4">
        <v>2055</v>
      </c>
      <c r="B137" s="125">
        <v>1029830</v>
      </c>
    </row>
  </sheetData>
  <mergeCells count="1">
    <mergeCell ref="AK1:AM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"/>
  <sheetViews>
    <sheetView zoomScale="90" workbookViewId="0">
      <pane xSplit="4" ySplit="2" topLeftCell="U3" activePane="bottomRight" state="frozen"/>
      <selection pane="topRight" activeCell="E1" sqref="E1"/>
      <selection pane="bottomLeft" activeCell="A3" sqref="A3"/>
      <selection pane="bottomRight" activeCell="AK18" sqref="AK18"/>
    </sheetView>
  </sheetViews>
  <sheetFormatPr defaultColWidth="8.88671875" defaultRowHeight="15.6"/>
  <cols>
    <col min="1" max="1" width="7.6640625" style="57" customWidth="1"/>
    <col min="2" max="2" width="6.88671875" style="57" bestFit="1" customWidth="1"/>
    <col min="3" max="3" width="28.109375" style="57" customWidth="1"/>
    <col min="4" max="4" width="12.44140625" style="57" bestFit="1" customWidth="1"/>
    <col min="5" max="5" width="8.77734375" style="57" bestFit="1" customWidth="1"/>
    <col min="6" max="6" width="10" style="72" customWidth="1"/>
    <col min="7" max="7" width="2.6640625" style="72" customWidth="1"/>
    <col min="8" max="8" width="8.109375" style="57" bestFit="1" customWidth="1"/>
    <col min="9" max="9" width="10" style="72" customWidth="1"/>
    <col min="10" max="11" width="8.109375" style="57" bestFit="1" customWidth="1"/>
    <col min="12" max="12" width="2.33203125" style="72" customWidth="1"/>
    <col min="13" max="13" width="8.109375" style="57" bestFit="1" customWidth="1"/>
    <col min="14" max="14" width="10" style="72" customWidth="1"/>
    <col min="15" max="16" width="8.109375" style="57" bestFit="1" customWidth="1"/>
    <col min="17" max="17" width="1.88671875" style="72" customWidth="1"/>
    <col min="18" max="18" width="8.109375" style="57" bestFit="1" customWidth="1"/>
    <col min="19" max="19" width="7.88671875" style="72" bestFit="1" customWidth="1"/>
    <col min="20" max="21" width="8.109375" style="57" bestFit="1" customWidth="1"/>
    <col min="22" max="22" width="1.77734375" style="72" customWidth="1"/>
    <col min="23" max="23" width="8.109375" style="57" bestFit="1" customWidth="1"/>
    <col min="24" max="24" width="10" style="72" customWidth="1"/>
    <col min="25" max="26" width="8.109375" style="57" bestFit="1" customWidth="1"/>
    <col min="27" max="27" width="1.77734375" style="72" customWidth="1"/>
    <col min="28" max="28" width="9.21875" style="57" bestFit="1" customWidth="1"/>
    <col min="29" max="29" width="10" style="72" customWidth="1"/>
    <col min="30" max="30" width="14.109375" style="57" customWidth="1"/>
    <col min="31" max="31" width="9.109375" style="57" customWidth="1"/>
    <col min="32" max="33" width="8.88671875" style="57"/>
    <col min="34" max="34" width="8.88671875" style="57" hidden="1" customWidth="1"/>
    <col min="35" max="35" width="9.109375" style="57" hidden="1" customWidth="1"/>
    <col min="36" max="36" width="0" style="57" hidden="1" customWidth="1"/>
    <col min="37" max="16384" width="8.88671875" style="57"/>
  </cols>
  <sheetData>
    <row r="1" spans="1:37" s="70" customFormat="1" ht="21">
      <c r="A1" s="899" t="s">
        <v>0</v>
      </c>
      <c r="B1" s="899"/>
      <c r="C1" s="899"/>
      <c r="D1" s="899"/>
      <c r="E1" s="899"/>
      <c r="F1" s="899"/>
      <c r="G1" s="71"/>
      <c r="H1" s="818" t="s">
        <v>938</v>
      </c>
      <c r="I1" s="818"/>
      <c r="J1" s="818"/>
      <c r="K1" s="818"/>
      <c r="L1" s="71"/>
      <c r="M1" s="818" t="s">
        <v>939</v>
      </c>
      <c r="N1" s="818"/>
      <c r="O1" s="818"/>
      <c r="P1" s="818"/>
      <c r="Q1" s="71"/>
      <c r="R1" s="818" t="s">
        <v>632</v>
      </c>
      <c r="S1" s="818"/>
      <c r="T1" s="818"/>
      <c r="U1" s="818"/>
      <c r="V1" s="71"/>
      <c r="W1" s="818" t="s">
        <v>940</v>
      </c>
      <c r="X1" s="818"/>
      <c r="Y1" s="818"/>
      <c r="Z1" s="818"/>
      <c r="AA1" s="71"/>
      <c r="AB1" s="900" t="s">
        <v>952</v>
      </c>
      <c r="AC1" s="900"/>
      <c r="AD1" s="21"/>
      <c r="AE1" s="818" t="s">
        <v>1060</v>
      </c>
      <c r="AF1" s="818"/>
      <c r="AG1" s="818"/>
      <c r="AH1" s="853" t="s">
        <v>692</v>
      </c>
      <c r="AI1" s="853"/>
      <c r="AJ1" s="853"/>
      <c r="AK1" s="478"/>
    </row>
    <row r="2" spans="1:37" s="394" customFormat="1" ht="46.8">
      <c r="A2" s="453" t="s">
        <v>1</v>
      </c>
      <c r="B2" s="445" t="s">
        <v>2</v>
      </c>
      <c r="C2" s="453" t="s">
        <v>3</v>
      </c>
      <c r="D2" s="453" t="s">
        <v>4</v>
      </c>
      <c r="E2" s="445" t="s">
        <v>5</v>
      </c>
      <c r="F2" s="445" t="s">
        <v>6</v>
      </c>
      <c r="H2" s="453" t="s">
        <v>38</v>
      </c>
      <c r="I2" s="445" t="s">
        <v>6</v>
      </c>
      <c r="J2" s="453" t="s">
        <v>633</v>
      </c>
      <c r="K2" s="453" t="s">
        <v>634</v>
      </c>
      <c r="M2" s="453" t="s">
        <v>38</v>
      </c>
      <c r="N2" s="445" t="s">
        <v>6</v>
      </c>
      <c r="O2" s="453" t="s">
        <v>633</v>
      </c>
      <c r="P2" s="453" t="s">
        <v>634</v>
      </c>
      <c r="R2" s="453" t="s">
        <v>38</v>
      </c>
      <c r="S2" s="445" t="s">
        <v>6</v>
      </c>
      <c r="T2" s="453" t="s">
        <v>633</v>
      </c>
      <c r="U2" s="453" t="s">
        <v>634</v>
      </c>
      <c r="W2" s="453" t="s">
        <v>38</v>
      </c>
      <c r="X2" s="445" t="s">
        <v>6</v>
      </c>
      <c r="Y2" s="453" t="s">
        <v>633</v>
      </c>
      <c r="Z2" s="453" t="s">
        <v>634</v>
      </c>
      <c r="AB2" s="453" t="s">
        <v>38</v>
      </c>
      <c r="AC2" s="445" t="s">
        <v>6</v>
      </c>
      <c r="AE2" s="445" t="s">
        <v>682</v>
      </c>
      <c r="AF2" s="445" t="s">
        <v>683</v>
      </c>
      <c r="AG2" s="445" t="s">
        <v>684</v>
      </c>
      <c r="AH2" s="21" t="s">
        <v>682</v>
      </c>
      <c r="AI2" s="21" t="s">
        <v>683</v>
      </c>
      <c r="AJ2" s="21" t="s">
        <v>684</v>
      </c>
    </row>
    <row r="3" spans="1:37" s="394" customFormat="1">
      <c r="A3" s="59">
        <v>1</v>
      </c>
      <c r="B3" s="396" t="s">
        <v>7</v>
      </c>
      <c r="C3" s="395" t="s">
        <v>8</v>
      </c>
      <c r="D3" s="395" t="s">
        <v>9</v>
      </c>
      <c r="E3" s="58">
        <f>'AnnualSalesSummary Revised'!E4</f>
        <v>19240</v>
      </c>
      <c r="F3" s="405">
        <f>E3/$E$18</f>
        <v>7.196020495941953E-2</v>
      </c>
      <c r="H3" s="58">
        <f>'AnnualSalesSummary Revised'!O4</f>
        <v>36690</v>
      </c>
      <c r="I3" s="405">
        <f>H3/H$18</f>
        <v>7.9851136066858189E-2</v>
      </c>
      <c r="J3" s="58">
        <f>H3</f>
        <v>36690</v>
      </c>
      <c r="K3" s="58">
        <f>H3-J3</f>
        <v>0</v>
      </c>
      <c r="M3" s="58">
        <f>'AnnualSalesSummary Revised'!T4</f>
        <v>40490</v>
      </c>
      <c r="N3" s="405">
        <f>M3/M$18</f>
        <v>7.0967855014547623E-2</v>
      </c>
      <c r="O3" s="58">
        <f>M3</f>
        <v>40490</v>
      </c>
      <c r="P3" s="58">
        <f>M3-O3</f>
        <v>0</v>
      </c>
      <c r="R3" s="58">
        <f>'AnnualSalesSummary Revised'!Y4</f>
        <v>46470</v>
      </c>
      <c r="S3" s="405">
        <f>R3/R$18</f>
        <v>6.5705196182396605E-2</v>
      </c>
      <c r="T3" s="58">
        <f>R3</f>
        <v>46470</v>
      </c>
      <c r="U3" s="58">
        <f>R3-T3</f>
        <v>0</v>
      </c>
      <c r="W3" s="58">
        <f>'AnnualSalesSummary Revised'!AD4</f>
        <v>54310</v>
      </c>
      <c r="X3" s="405">
        <f>W3/W$18</f>
        <v>6.3631357570502978E-2</v>
      </c>
      <c r="Y3" s="58">
        <f>W3</f>
        <v>54310</v>
      </c>
      <c r="Z3" s="58">
        <f>W3-Y3</f>
        <v>0</v>
      </c>
      <c r="AB3" s="58">
        <f>'AnnualSalesSummary Revised'!AI4</f>
        <v>61710</v>
      </c>
      <c r="AC3" s="405">
        <f>AB3/AB$18</f>
        <v>5.9922511482477687E-2</v>
      </c>
      <c r="AD3" s="455"/>
      <c r="AE3" s="59" cm="1">
        <f t="array" ref="AE3">IFERROR(INDEX('B1 - TCO ML 19T'!$C$182:$AG$182,MATCH(1,('B1 - TCO ML 19T'!$C$168:$AG$168&lt;='B1 - TCO ML 19T'!$C$165:$AG$165)*1,0)),"No Parity")</f>
        <v>2031</v>
      </c>
      <c r="AF3" s="59" cm="1">
        <f t="array" ref="AF3">IFERROR(INDEX('B1 - TCO ML 19T'!$C$182:$AG$182,MATCH(1,('B1 - TCO ML 19T'!$C$169:$AG$169&lt;='B1 - TCO ML 19T'!$C$165:$AG$165)*1,0)),"No Parity")</f>
        <v>2046</v>
      </c>
      <c r="AG3" s="59" cm="1">
        <f t="array" ref="AG3">IFERROR(INDEX('B1 - TCO ML 19T'!$C$182:$AG$182,MATCH(1,('B1 - TCO ML 19T'!$C$170:$AG$170&lt;='B1 - TCO ML 19T'!$C$165:$AG$165)*1,0)),"No Parity")</f>
        <v>2046</v>
      </c>
      <c r="AH3" s="57" cm="1">
        <f t="array" ref="AH3">IFERROR(INDEX('B1 - TCO ML 19T'!$C$182:$AG$182,MATCH(1,('B1 - TCO ML 19T'!$C$168:$AG$168&lt;='B1 - TCO ML 19T'!$C$165:$AG$165)*1,0)),"No Parity")</f>
        <v>2031</v>
      </c>
      <c r="AI3" s="57" cm="1">
        <f t="array" ref="AI3">IFERROR(INDEX('B1 - TCO ML 19T'!$C$182:$AG$182,MATCH(1,('B1 - TCO ML 19T'!$C$169:$AG$169&lt;='B1 - TCO ML 19T'!$C$165:$AG$165)*1,0)),"No Parity")</f>
        <v>2046</v>
      </c>
      <c r="AJ3" s="57" cm="1">
        <f t="array" ref="AJ3">IFERROR(INDEX('B1 - TCO ML 19T'!$C$182:$AG$182,MATCH(1,('B1 - TCO ML 19T'!$C$170:$AG$170&lt;='B1 - TCO ML 19T'!$C$165:$AG$165)*1,0)),"No Parity")</f>
        <v>2046</v>
      </c>
    </row>
    <row r="4" spans="1:37">
      <c r="A4" s="59">
        <v>2</v>
      </c>
      <c r="B4" s="396" t="s">
        <v>10</v>
      </c>
      <c r="C4" s="395" t="s">
        <v>8</v>
      </c>
      <c r="D4" s="395" t="s">
        <v>11</v>
      </c>
      <c r="E4" s="58">
        <f>'AnnualSalesSummary Revised'!E5</f>
        <v>16400</v>
      </c>
      <c r="F4" s="405">
        <f t="shared" ref="F4:F17" si="0">E4/$E$18</f>
        <v>6.133822044358006E-2</v>
      </c>
      <c r="H4" s="58">
        <f>'AnnualSalesSummary Revised'!O5+'AnnualSalesSummary Revised'!O6</f>
        <v>34680</v>
      </c>
      <c r="I4" s="405">
        <f t="shared" ref="I4:I16" si="1">H4/H$18</f>
        <v>7.5476625750848791E-2</v>
      </c>
      <c r="J4" s="58">
        <f t="shared" ref="J4" si="2">H4</f>
        <v>34680</v>
      </c>
      <c r="K4" s="58">
        <f t="shared" ref="K4:K16" si="3">H4-J4</f>
        <v>0</v>
      </c>
      <c r="M4" s="58">
        <f>'AnnualSalesSummary Revised'!T5+'AnnualSalesSummary Revised'!T6</f>
        <v>38280</v>
      </c>
      <c r="N4" s="405">
        <f t="shared" ref="N4:N16" si="4">M4/M$18</f>
        <v>6.7094331685771377E-2</v>
      </c>
      <c r="O4" s="58">
        <f t="shared" ref="O4" si="5">M4</f>
        <v>38280</v>
      </c>
      <c r="P4" s="58">
        <f t="shared" ref="P4:P16" si="6">M4-O4</f>
        <v>0</v>
      </c>
      <c r="R4" s="58">
        <f>'AnnualSalesSummary Revised'!Y5+'AnnualSalesSummary Revised'!Y6</f>
        <v>43950</v>
      </c>
      <c r="S4" s="405">
        <f t="shared" ref="S4:S16" si="7">R4/R$18</f>
        <v>6.2142099681866382E-2</v>
      </c>
      <c r="T4" s="58">
        <f t="shared" ref="T4" si="8">R4</f>
        <v>43950</v>
      </c>
      <c r="U4" s="58">
        <f t="shared" ref="U4:U16" si="9">R4-T4</f>
        <v>0</v>
      </c>
      <c r="W4" s="58">
        <f>'AnnualSalesSummary Revised'!AD5+'AnnualSalesSummary Revised'!AD6</f>
        <v>51350</v>
      </c>
      <c r="X4" s="405">
        <f t="shared" ref="X4:X16" si="10">W4/W$18</f>
        <v>6.0163325561504846E-2</v>
      </c>
      <c r="Y4" s="58">
        <f t="shared" ref="Y4" si="11">W4</f>
        <v>51350</v>
      </c>
      <c r="Z4" s="58">
        <f t="shared" ref="Z4:Z16" si="12">W4-Y4</f>
        <v>0</v>
      </c>
      <c r="AB4" s="58">
        <f>'AnnualSalesSummary Revised'!AI5+'AnnualSalesSummary Revised'!AI6</f>
        <v>58330</v>
      </c>
      <c r="AC4" s="405">
        <f t="shared" ref="AC4:AC16" si="13">AB4/AB$18</f>
        <v>5.6640416379402425E-2</v>
      </c>
      <c r="AD4" s="455"/>
      <c r="AE4" s="59" cm="1">
        <f t="array" ref="AE4">IFERROR(INDEX('B2 - TCO ML 28T'!$C$182:$AG$182,MATCH(1,('B2 - TCO ML 28T'!$C$168:$AG$168&lt;='B2 - TCO ML 28T'!$C$165:$AG$165)*1,0)),"No Parity")</f>
        <v>2032</v>
      </c>
      <c r="AF4" s="59" cm="1">
        <f t="array" ref="AF4">IFERROR(INDEX('B2 - TCO ML 28T'!$C$182:$AG$182,MATCH(1,('B2 - TCO ML 28T'!$C$169:$AG$169&lt;='B2 - TCO ML 28T'!$C$165:$AG$165)*1,0)),"No Parity")</f>
        <v>2046</v>
      </c>
      <c r="AG4" s="59" cm="1">
        <f t="array" ref="AG4">IFERROR(INDEX('B2 - TCO ML 28T'!$C$182:$AG$182,MATCH(1,('B2 - TCO ML 28T'!$C$170:$AG$170&lt;='B2 - TCO ML 28T'!$C$165:$AG$165)*1,0)),"No Parity")</f>
        <v>2046</v>
      </c>
      <c r="AH4" s="57" cm="1">
        <f t="array" ref="AH4">IFERROR(INDEX('B2 - TCO ML 28T'!$C$182:$AG$182,MATCH(1,('B2 - TCO ML 28T'!$C$168:$AG$168&lt;='B2 - TCO ML 28T'!$C$165:$AG$165)*1,0)),"No Parity")</f>
        <v>2032</v>
      </c>
      <c r="AI4" s="57" cm="1">
        <f t="array" ref="AI4">IFERROR(INDEX('B2 - TCO ML 28T'!$C$182:$AG$182,MATCH(1,('B2 - TCO ML 28T'!$C$169:$AG$169&lt;='B2 - TCO ML 28T'!$C$165:$AG$165)*1,0)),"No Parity")</f>
        <v>2046</v>
      </c>
      <c r="AJ4" s="57" cm="1">
        <f t="array" ref="AJ4">IFERROR(INDEX('B2 - TCO ML 28T'!$C$182:$AG$182,MATCH(1,('B2 - TCO ML 28T'!$C$170:$AG$170&lt;='B2 - TCO ML 28T'!$C$165:$AG$165)*1,0)),"No Parity")</f>
        <v>2046</v>
      </c>
    </row>
    <row r="5" spans="1:37">
      <c r="A5" s="59">
        <v>3</v>
      </c>
      <c r="B5" s="396" t="s">
        <v>12</v>
      </c>
      <c r="C5" s="395" t="s">
        <v>8</v>
      </c>
      <c r="D5" s="395" t="s">
        <v>13</v>
      </c>
      <c r="E5" s="58">
        <f>'AnnualSalesSummary Revised'!E7</f>
        <v>10810</v>
      </c>
      <c r="F5" s="405">
        <f t="shared" si="0"/>
        <v>4.0430863597262223E-2</v>
      </c>
      <c r="H5" s="58">
        <f>SUM('AnnualSalesSummary Revised'!O7:O10)</f>
        <v>29780</v>
      </c>
      <c r="I5" s="405">
        <f t="shared" si="1"/>
        <v>6.4812396622268648E-2</v>
      </c>
      <c r="J5" s="58">
        <f>SUM('AnnualSalesSummary Revised'!O7)</f>
        <v>20630</v>
      </c>
      <c r="K5" s="58">
        <f t="shared" si="3"/>
        <v>9150</v>
      </c>
      <c r="M5" s="58">
        <f>SUM('AnnualSalesSummary Revised'!T7:T10)</f>
        <v>32870</v>
      </c>
      <c r="N5" s="405">
        <f t="shared" si="4"/>
        <v>5.7612086794966169E-2</v>
      </c>
      <c r="O5" s="58">
        <f>SUM('AnnualSalesSummary Revised'!T7)</f>
        <v>22770</v>
      </c>
      <c r="P5" s="58">
        <f t="shared" si="6"/>
        <v>10100</v>
      </c>
      <c r="R5" s="58">
        <f>SUM('AnnualSalesSummary Revised'!Y7:Y10)</f>
        <v>37730</v>
      </c>
      <c r="S5" s="405">
        <f t="shared" si="7"/>
        <v>5.3347472605160831E-2</v>
      </c>
      <c r="T5" s="58">
        <f>SUM('AnnualSalesSummary Revised'!Y7)</f>
        <v>26130</v>
      </c>
      <c r="U5" s="58">
        <f t="shared" si="9"/>
        <v>11600</v>
      </c>
      <c r="W5" s="58">
        <f>SUM('AnnualSalesSummary Revised'!AD7:AD10)</f>
        <v>44100</v>
      </c>
      <c r="X5" s="405">
        <f t="shared" si="10"/>
        <v>5.1668990404330352E-2</v>
      </c>
      <c r="Y5" s="58">
        <f>SUM('AnnualSalesSummary Revised'!AD7)</f>
        <v>30530</v>
      </c>
      <c r="Z5" s="58">
        <f t="shared" si="12"/>
        <v>13570</v>
      </c>
      <c r="AB5" s="58">
        <f>SUM('AnnualSalesSummary Revised'!AI7:AI10)</f>
        <v>50100</v>
      </c>
      <c r="AC5" s="405">
        <f t="shared" si="13"/>
        <v>4.8648806113630406E-2</v>
      </c>
      <c r="AD5" s="455"/>
      <c r="AE5" s="59" cm="1">
        <f t="array" ref="AE5">IFERROR(INDEX('B3 - TCO ML 48T '!$C$182:$AG$182,MATCH(1,('B3 - TCO ML 48T '!$C$168:$AG$168&lt;='B3 - TCO ML 48T '!$C$165:$AG$165)*1,0)),"No Parity")</f>
        <v>2028</v>
      </c>
      <c r="AF5" s="59" cm="1">
        <f t="array" ref="AF5">IFERROR(INDEX('B3 - TCO ML 48T '!$C$182:$AG$182,MATCH(1,('B3 - TCO ML 48T '!$C$169:$AG$169&lt;='B3 - TCO ML 48T '!$C$165:$AG$165)*1,0)),"No Parity")</f>
        <v>2045</v>
      </c>
      <c r="AG5" s="59" cm="1">
        <f t="array" ref="AG5">IFERROR(INDEX('B3 - TCO ML 48T '!$C$182:$AG$182,MATCH(1,('B3 - TCO ML 48T '!$C$170:$AG$170&lt;='B3 - TCO ML 48T '!$C$165:$AG$165)*1,0)),"No Parity")</f>
        <v>2045</v>
      </c>
      <c r="AH5" s="57" cm="1">
        <f t="array" ref="AH5">IFERROR(INDEX('B3 - TCO ML 48T '!$C$182:$AG$182,MATCH(1,('B3 - TCO ML 48T '!$C$168:$AG$168&lt;='B3 - TCO ML 48T '!$C$165:$AG$165)*1,0)),"No Parity")</f>
        <v>2028</v>
      </c>
      <c r="AI5" s="57" cm="1">
        <f t="array" ref="AI5">IFERROR(INDEX('B3 - TCO ML 48T '!$C$182:$AG$182,MATCH(1,('B3 - TCO ML 48T '!$C$169:$AG$169&lt;='B3 - TCO ML 48T '!$C$165:$AG$165)*1,0)),"No Parity")</f>
        <v>2045</v>
      </c>
      <c r="AJ5" s="57" cm="1">
        <f t="array" ref="AJ5">IFERROR(INDEX('B3 - TCO ML 48T '!$C$182:$AG$182,MATCH(1,('B3 - TCO ML 48T '!$C$170:$AG$170&lt;='B3 - TCO ML 48T '!$C$165:$AG$165)*1,0)),"No Parity")</f>
        <v>2045</v>
      </c>
    </row>
    <row r="6" spans="1:37">
      <c r="A6" s="59">
        <v>4</v>
      </c>
      <c r="B6" s="396" t="s">
        <v>14</v>
      </c>
      <c r="C6" s="395" t="s">
        <v>15</v>
      </c>
      <c r="D6" s="395" t="s">
        <v>9</v>
      </c>
      <c r="E6" s="58">
        <f>'AnnualSalesSummary Revised'!E12</f>
        <v>9140</v>
      </c>
      <c r="F6" s="405">
        <f t="shared" si="0"/>
        <v>3.4184837491117177E-2</v>
      </c>
      <c r="H6" s="58">
        <f>'AnnualSalesSummary Revised'!O12</f>
        <v>19210</v>
      </c>
      <c r="I6" s="405">
        <f t="shared" si="1"/>
        <v>4.1808130930617221E-2</v>
      </c>
      <c r="J6" s="58">
        <f>H6</f>
        <v>19210</v>
      </c>
      <c r="K6" s="58">
        <f t="shared" si="3"/>
        <v>0</v>
      </c>
      <c r="M6" s="58">
        <f>'AnnualSalesSummary Revised'!T12</f>
        <v>26920</v>
      </c>
      <c r="N6" s="405">
        <f t="shared" si="4"/>
        <v>4.7183370140568587E-2</v>
      </c>
      <c r="O6" s="58">
        <f>M6</f>
        <v>26920</v>
      </c>
      <c r="P6" s="58">
        <f t="shared" si="6"/>
        <v>0</v>
      </c>
      <c r="R6" s="58">
        <f>'AnnualSalesSummary Revised'!Y12</f>
        <v>35660</v>
      </c>
      <c r="S6" s="405">
        <f t="shared" si="7"/>
        <v>5.0420643336868153E-2</v>
      </c>
      <c r="T6" s="58">
        <f>R6</f>
        <v>35660</v>
      </c>
      <c r="U6" s="58">
        <f t="shared" si="9"/>
        <v>0</v>
      </c>
      <c r="W6" s="58">
        <f>'AnnualSalesSummary Revised'!AD12</f>
        <v>45000</v>
      </c>
      <c r="X6" s="405">
        <f t="shared" si="10"/>
        <v>5.2723459596255462E-2</v>
      </c>
      <c r="Y6" s="58">
        <f>W6</f>
        <v>45000</v>
      </c>
      <c r="Z6" s="58">
        <f t="shared" si="12"/>
        <v>0</v>
      </c>
      <c r="AB6" s="58">
        <f>'AnnualSalesSummary Revised'!AI12</f>
        <v>54190</v>
      </c>
      <c r="AC6" s="405">
        <f t="shared" si="13"/>
        <v>5.262033539516231E-2</v>
      </c>
      <c r="AD6" s="455"/>
      <c r="AE6" s="59" cm="1">
        <f t="array" ref="AE6">IFERROR(INDEX('B4 - TCO PL&amp;FMCG 19T '!$C$182:$AG$182,MATCH(1,('B4 - TCO PL&amp;FMCG 19T '!$C$168:$AG$168&lt;='B4 - TCO PL&amp;FMCG 19T '!$C$165:$AG$165)*1,0)),"No Parity")</f>
        <v>2030</v>
      </c>
      <c r="AF6" s="59" cm="1">
        <f t="array" ref="AF6">IFERROR(INDEX('B4 - TCO PL&amp;FMCG 19T '!$C$182:$AG$182,MATCH(1,('B4 - TCO PL&amp;FMCG 19T '!$C$169:$AG$169&lt;='B4 - TCO PL&amp;FMCG 19T '!$C$165:$AG$165)*1,0)),"No Parity")</f>
        <v>2046</v>
      </c>
      <c r="AG6" s="59" cm="1">
        <f t="array" ref="AG6">IFERROR(INDEX('B4 - TCO PL&amp;FMCG 19T '!$C$182:$AG$182,MATCH(1,('B4 - TCO PL&amp;FMCG 19T '!$C$170:$AG$170&lt;='B4 - TCO PL&amp;FMCG 19T '!$C$165:$AG$165)*1,0)),"No Parity")</f>
        <v>2046</v>
      </c>
      <c r="AH6" s="57" cm="1">
        <f t="array" ref="AH6">IFERROR(INDEX('B4 - TCO PL&amp;FMCG 19T '!$C$182:$AG$182,MATCH(1,('B4 - TCO PL&amp;FMCG 19T '!$C$168:$AG$168&lt;='B4 - TCO PL&amp;FMCG 19T '!$C$165:$AG$165)*1,0)),"No Parity")</f>
        <v>2030</v>
      </c>
      <c r="AI6" s="57" cm="1">
        <f t="array" ref="AI6">IFERROR(INDEX('B4 - TCO PL&amp;FMCG 19T '!$C$182:$AG$182,MATCH(1,('B4 - TCO PL&amp;FMCG 19T '!$C$169:$AG$169&lt;='B4 - TCO PL&amp;FMCG 19T '!$C$165:$AG$165)*1,0)),"No Parity")</f>
        <v>2046</v>
      </c>
      <c r="AJ6" s="57" cm="1">
        <f t="array" ref="AJ6">IFERROR(INDEX('B4 - TCO PL&amp;FMCG 19T '!$C$182:$AG$182,MATCH(1,('B4 - TCO PL&amp;FMCG 19T '!$C$170:$AG$170&lt;='B4 - TCO PL&amp;FMCG 19T '!$C$165:$AG$165)*1,0)),"No Parity")</f>
        <v>2046</v>
      </c>
    </row>
    <row r="7" spans="1:37">
      <c r="A7" s="59">
        <v>5</v>
      </c>
      <c r="B7" s="396" t="s">
        <v>16</v>
      </c>
      <c r="C7" s="395" t="s">
        <v>15</v>
      </c>
      <c r="D7" s="395" t="s">
        <v>11</v>
      </c>
      <c r="E7" s="58">
        <f>'AnnualSalesSummary Revised'!E13</f>
        <v>7310</v>
      </c>
      <c r="F7" s="405">
        <f t="shared" si="0"/>
        <v>2.7340389722107939E-2</v>
      </c>
      <c r="H7" s="58">
        <f>SUM('AnnualSalesSummary Revised'!O13:O18)</f>
        <v>43730</v>
      </c>
      <c r="I7" s="405">
        <f t="shared" si="1"/>
        <v>9.5172804039348829E-2</v>
      </c>
      <c r="J7" s="58">
        <f>SUM('AnnualSalesSummary Revised'!O13:O15)</f>
        <v>28760</v>
      </c>
      <c r="K7" s="58">
        <f t="shared" si="3"/>
        <v>14970</v>
      </c>
      <c r="M7" s="58">
        <f>SUM('AnnualSalesSummary Revised'!T13:T18)</f>
        <v>61330</v>
      </c>
      <c r="N7" s="405">
        <f t="shared" si="4"/>
        <v>0.10749465418726119</v>
      </c>
      <c r="O7" s="58">
        <f>SUM('AnnualSalesSummary Revised'!T13:T15)</f>
        <v>40330</v>
      </c>
      <c r="P7" s="58">
        <f t="shared" si="6"/>
        <v>21000</v>
      </c>
      <c r="R7" s="58">
        <f>SUM('AnnualSalesSummary Revised'!Y13:Y18)</f>
        <v>81270</v>
      </c>
      <c r="S7" s="405">
        <f t="shared" si="7"/>
        <v>0.11490986214209968</v>
      </c>
      <c r="T7" s="58">
        <f>SUM('AnnualSalesSummary Revised'!Y13:Y15)</f>
        <v>53450</v>
      </c>
      <c r="U7" s="58">
        <f t="shared" si="9"/>
        <v>27820</v>
      </c>
      <c r="W7" s="58">
        <f>SUM('AnnualSalesSummary Revised'!AD13:AD18)</f>
        <v>102560</v>
      </c>
      <c r="X7" s="405">
        <f t="shared" si="10"/>
        <v>0.12016262258204356</v>
      </c>
      <c r="Y7" s="58">
        <f>SUM('AnnualSalesSummary Revised'!AD13:AD15)</f>
        <v>67450</v>
      </c>
      <c r="Z7" s="58">
        <f t="shared" si="12"/>
        <v>35110</v>
      </c>
      <c r="AB7" s="58">
        <f>SUM('AnnualSalesSummary Revised'!AI13:AI18)</f>
        <v>123530</v>
      </c>
      <c r="AC7" s="405">
        <f t="shared" si="13"/>
        <v>0.11995183671091345</v>
      </c>
      <c r="AD7" s="455"/>
      <c r="AE7" s="59" cm="1">
        <f t="array" ref="AE7">IFERROR(INDEX('B5 - TCO PL&amp;FMCG 28T '!$C$182:$AG$182,MATCH(1,('B5 - TCO PL&amp;FMCG 28T '!$C$168:$AG$168&lt;='B5 - TCO PL&amp;FMCG 28T '!$C$165:$AG$165)*1,0)),"No Parity")</f>
        <v>2031</v>
      </c>
      <c r="AF7" s="59" cm="1">
        <f t="array" ref="AF7">IFERROR(INDEX('B5 - TCO PL&amp;FMCG 28T '!$C$182:$AG$182,MATCH(1,('B5 - TCO PL&amp;FMCG 28T '!$C$169:$AG$169&lt;='B5 - TCO PL&amp;FMCG 28T '!$C$165:$AG$165)*1,0)),"No Parity")</f>
        <v>2045</v>
      </c>
      <c r="AG7" s="59" cm="1">
        <f t="array" ref="AG7">IFERROR(INDEX('B5 - TCO PL&amp;FMCG 28T '!$C$182:$AG$182,MATCH(1,('B5 - TCO PL&amp;FMCG 28T '!$C$170:$AG$170&lt;='B5 - TCO PL&amp;FMCG 28T '!$C$165:$AG$165)*1,0)),"No Parity")</f>
        <v>2046</v>
      </c>
      <c r="AH7" s="57" cm="1">
        <f t="array" ref="AH7">IFERROR(INDEX('B5 - TCO PL&amp;FMCG 28T '!$C$182:$AG$182,MATCH(1,('B5 - TCO PL&amp;FMCG 28T '!$C$168:$AG$168&lt;='B5 - TCO PL&amp;FMCG 28T '!$C$165:$AG$165)*1,0)),"No Parity")</f>
        <v>2031</v>
      </c>
      <c r="AI7" s="57" cm="1">
        <f t="array" ref="AI7">IFERROR(INDEX('B5 - TCO PL&amp;FMCG 28T '!$C$182:$AG$182,MATCH(1,('B5 - TCO PL&amp;FMCG 28T '!$C$169:$AG$169&lt;='B5 - TCO PL&amp;FMCG 28T '!$C$165:$AG$165)*1,0)),"No Parity")</f>
        <v>2045</v>
      </c>
      <c r="AJ7" s="57" cm="1">
        <f t="array" ref="AJ7">IFERROR(INDEX('B5 - TCO PL&amp;FMCG 28T '!$C$182:$AG$182,MATCH(1,('B5 - TCO PL&amp;FMCG 28T '!$C$170:$AG$170&lt;='B5 - TCO PL&amp;FMCG 28T '!$C$165:$AG$165)*1,0)),"No Parity")</f>
        <v>2046</v>
      </c>
    </row>
    <row r="8" spans="1:37">
      <c r="A8" s="59">
        <v>6</v>
      </c>
      <c r="B8" s="396" t="s">
        <v>17</v>
      </c>
      <c r="C8" s="395" t="s">
        <v>18</v>
      </c>
      <c r="D8" s="395" t="s">
        <v>19</v>
      </c>
      <c r="E8" s="58">
        <f>'AnnualSalesSummary Revised'!E20</f>
        <v>8870</v>
      </c>
      <c r="F8" s="405">
        <f t="shared" si="0"/>
        <v>3.3175000935033845E-2</v>
      </c>
      <c r="H8" s="58">
        <f>'AnnualSalesSummary Revised'!O19</f>
        <v>27900</v>
      </c>
      <c r="I8" s="405">
        <f t="shared" si="1"/>
        <v>6.0720814834160357E-2</v>
      </c>
      <c r="J8" s="58">
        <f>SUM('AnnualSalesSummary Revised'!O20:O23)</f>
        <v>27230</v>
      </c>
      <c r="K8" s="58">
        <f t="shared" si="3"/>
        <v>670</v>
      </c>
      <c r="M8" s="58">
        <f>'AnnualSalesSummary Revised'!T19</f>
        <v>36630</v>
      </c>
      <c r="N8" s="405">
        <f t="shared" si="4"/>
        <v>6.4202334630350189E-2</v>
      </c>
      <c r="O8" s="58">
        <f>SUM('AnnualSalesSummary Revised'!T20:T23)</f>
        <v>35750</v>
      </c>
      <c r="P8" s="58">
        <f t="shared" si="6"/>
        <v>880</v>
      </c>
      <c r="R8" s="58">
        <f>'AnnualSalesSummary Revised'!Y19</f>
        <v>49420</v>
      </c>
      <c r="S8" s="405">
        <f t="shared" si="7"/>
        <v>6.9876281371509363E-2</v>
      </c>
      <c r="T8" s="58">
        <f>SUM('AnnualSalesSummary Revised'!Y20:Y23)</f>
        <v>48230</v>
      </c>
      <c r="U8" s="58">
        <f t="shared" si="9"/>
        <v>1190</v>
      </c>
      <c r="W8" s="58">
        <f>'AnnualSalesSummary Revised'!AD19</f>
        <v>61240</v>
      </c>
      <c r="X8" s="405">
        <f t="shared" si="10"/>
        <v>7.1750770348326318E-2</v>
      </c>
      <c r="Y8" s="58">
        <f>SUM('AnnualSalesSummary Revised'!AD20:AD23)</f>
        <v>59770</v>
      </c>
      <c r="Z8" s="58">
        <f t="shared" si="12"/>
        <v>1470</v>
      </c>
      <c r="AB8" s="58">
        <f>'AnnualSalesSummary Revised'!AI19</f>
        <v>75210</v>
      </c>
      <c r="AC8" s="405">
        <f t="shared" si="13"/>
        <v>7.3031471213695465E-2</v>
      </c>
      <c r="AD8" s="455"/>
      <c r="AE8" s="59" cm="1">
        <f t="array" ref="AE8">IFERROR(INDEX('B6 Perishables 15T'!$C$182:$AG$182,MATCH(1,('B6 Perishables 15T'!$C$168:$AG$168&lt;='B6 Perishables 15T'!$C$165:$AG$165)*1,0)),"No Parity")</f>
        <v>2031</v>
      </c>
      <c r="AF8" s="59" cm="1">
        <f t="array" ref="AF8">IFERROR(INDEX('B6 Perishables 15T'!$C$182:$AG$182,MATCH(1,('B6 Perishables 15T'!$C$169:$AG$169&lt;='B6 Perishables 15T'!$C$165:$AG$165)*1,0)),"No Parity")</f>
        <v>2046</v>
      </c>
      <c r="AG8" s="59" cm="1">
        <f t="array" ref="AG8">IFERROR(INDEX('B6 Perishables 15T'!$C$182:$AG$182,MATCH(1,('B6 Perishables 15T'!$C$170:$AG$170&lt;='B6 Perishables 15T'!$C$165:$AG$165)*1,0)),"No Parity")</f>
        <v>2046</v>
      </c>
      <c r="AH8" s="57" cm="1">
        <f t="array" ref="AH8">IFERROR(INDEX('B6 Perishables 15T'!$C$182:$AG$182,MATCH(1,('B6 Perishables 15T'!$C$168:$AG$168&lt;='B6 Perishables 15T'!$C$165:$AG$165)*1,0)),"No Parity")</f>
        <v>2031</v>
      </c>
      <c r="AI8" s="57" cm="1">
        <f t="array" ref="AI8">IFERROR(INDEX('B6 Perishables 15T'!$C$182:$AG$182,MATCH(1,('B6 Perishables 15T'!$C$169:$AG$169&lt;='B6 Perishables 15T'!$C$165:$AG$165)*1,0)),"No Parity")</f>
        <v>2046</v>
      </c>
      <c r="AJ8" s="57" cm="1">
        <f t="array" ref="AJ8">IFERROR(INDEX('B6 Perishables 15T'!$C$182:$AG$182,MATCH(1,('B6 Perishables 15T'!$C$170:$AG$170&lt;='B6 Perishables 15T'!$C$165:$AG$165)*1,0)),"No Parity")</f>
        <v>2046</v>
      </c>
    </row>
    <row r="9" spans="1:37">
      <c r="A9" s="59">
        <v>7</v>
      </c>
      <c r="B9" s="396" t="s">
        <v>20</v>
      </c>
      <c r="C9" s="395" t="s">
        <v>21</v>
      </c>
      <c r="D9" s="395" t="s">
        <v>22</v>
      </c>
      <c r="E9" s="58">
        <f>'AnnualSalesSummary Revised'!E29</f>
        <v>30170</v>
      </c>
      <c r="F9" s="405">
        <f t="shared" si="0"/>
        <v>0.11283988480382989</v>
      </c>
      <c r="H9" s="58">
        <f>'AnnualSalesSummary Revised'!O29+'AnnualSalesSummary Revised'!O28</f>
        <v>57980</v>
      </c>
      <c r="I9" s="405">
        <f t="shared" si="1"/>
        <v>0.1261861234438931</v>
      </c>
      <c r="J9" s="58">
        <f>H9</f>
        <v>57980</v>
      </c>
      <c r="K9" s="58">
        <f t="shared" si="3"/>
        <v>0</v>
      </c>
      <c r="M9" s="58">
        <f>'AnnualSalesSummary Revised'!T29+'AnnualSalesSummary Revised'!T28</f>
        <v>69860</v>
      </c>
      <c r="N9" s="405">
        <f t="shared" si="4"/>
        <v>0.12244540260104463</v>
      </c>
      <c r="O9" s="58">
        <f>M9</f>
        <v>69860</v>
      </c>
      <c r="P9" s="58">
        <f t="shared" si="6"/>
        <v>0</v>
      </c>
      <c r="R9" s="58">
        <f>'AnnualSalesSummary Revised'!Y29+'AnnualSalesSummary Revised'!Y28</f>
        <v>85820</v>
      </c>
      <c r="S9" s="405">
        <f t="shared" si="7"/>
        <v>0.12134323082361258</v>
      </c>
      <c r="T9" s="58">
        <f>R9</f>
        <v>85820</v>
      </c>
      <c r="U9" s="58">
        <f t="shared" si="9"/>
        <v>0</v>
      </c>
      <c r="W9" s="58">
        <f>'AnnualSalesSummary Revised'!AD29+'AnnualSalesSummary Revised'!AD28</f>
        <v>101390</v>
      </c>
      <c r="X9" s="405">
        <f t="shared" si="10"/>
        <v>0.11879181263254092</v>
      </c>
      <c r="Y9" s="58">
        <f>W9</f>
        <v>101390</v>
      </c>
      <c r="Z9" s="58">
        <f t="shared" si="12"/>
        <v>0</v>
      </c>
      <c r="AB9" s="58">
        <f>'AnnualSalesSummary Revised'!AI29+'AnnualSalesSummary Revised'!AI28</f>
        <v>122150</v>
      </c>
      <c r="AC9" s="405">
        <f t="shared" si="13"/>
        <v>0.11861180971616675</v>
      </c>
      <c r="AD9" s="455"/>
      <c r="AE9" s="59" cm="1">
        <f t="array" ref="AE9">IFERROR(INDEX('B7 C&amp;M 28Tip'!$C$182:$AG$182,MATCH(1,('B7 C&amp;M 28Tip'!$C$168:$AG$168&lt;='B7 C&amp;M 28Tip'!$C$165:$AG$165)*1,0)),"No Parity")</f>
        <v>2032</v>
      </c>
      <c r="AF9" s="59" cm="1">
        <f t="array" ref="AF9">IFERROR(INDEX('B7 C&amp;M 28Tip'!$C$182:$AG$182,MATCH(1,('B7 C&amp;M 28Tip'!$C$169:$AG$169&lt;='B7 C&amp;M 28Tip'!$C$165:$AG$165)*1,0)),"No Parity")</f>
        <v>2046</v>
      </c>
      <c r="AG9" s="59" cm="1">
        <f t="array" ref="AG9">IFERROR(INDEX('B7 C&amp;M 28Tip'!$C$182:$AG$182,MATCH(1,('B7 C&amp;M 28Tip'!$C$170:$AG$170&lt;='B7 C&amp;M 28Tip'!$C$165:$AG$165)*1,0)),"No Parity")</f>
        <v>2046</v>
      </c>
      <c r="AH9" s="57" cm="1">
        <f t="array" ref="AH9">IFERROR(INDEX('B7 C&amp;M 28Tip'!$C$182:$AG$182,MATCH(1,('B7 C&amp;M 28Tip'!$C$168:$AG$168&lt;='B7 C&amp;M 28Tip'!$C$165:$AG$165)*1,0)),"No Parity")</f>
        <v>2032</v>
      </c>
      <c r="AI9" s="57" cm="1">
        <f t="array" ref="AI9">IFERROR(INDEX('B7 C&amp;M 28Tip'!$C$182:$AG$182,MATCH(1,('B7 C&amp;M 28Tip'!$C$169:$AG$169&lt;='B7 C&amp;M 28Tip'!$C$165:$AG$165)*1,0)),"No Parity")</f>
        <v>2046</v>
      </c>
      <c r="AJ9" s="57" cm="1">
        <f t="array" ref="AJ9">IFERROR(INDEX('B7 C&amp;M 28Tip'!$C$182:$AG$182,MATCH(1,('B7 C&amp;M 28Tip'!$C$170:$AG$170&lt;='B7 C&amp;M 28Tip'!$C$165:$AG$165)*1,0)),"No Parity")</f>
        <v>2046</v>
      </c>
    </row>
    <row r="10" spans="1:37">
      <c r="A10" s="59">
        <v>8</v>
      </c>
      <c r="B10" s="396" t="s">
        <v>23</v>
      </c>
      <c r="C10" s="395" t="s">
        <v>21</v>
      </c>
      <c r="D10" s="395" t="s">
        <v>24</v>
      </c>
      <c r="E10" s="58">
        <f>'AnnualSalesSummary Revised'!E30</f>
        <v>19090</v>
      </c>
      <c r="F10" s="405">
        <f t="shared" si="0"/>
        <v>7.1399184650484351E-2</v>
      </c>
      <c r="H10" s="58">
        <f>SUM('AnnualSalesSummary Revised'!O30:O34)</f>
        <v>84000</v>
      </c>
      <c r="I10" s="405">
        <f t="shared" si="1"/>
        <v>0.18281535648994515</v>
      </c>
      <c r="J10" s="58">
        <f>SUM('AnnualSalesSummary Revised'!O30:O31)</f>
        <v>62390</v>
      </c>
      <c r="K10" s="58">
        <f t="shared" si="3"/>
        <v>21610</v>
      </c>
      <c r="M10" s="58">
        <f>SUM('AnnualSalesSummary Revised'!T30:T34)</f>
        <v>101210</v>
      </c>
      <c r="N10" s="405">
        <f t="shared" si="4"/>
        <v>0.17739334665404705</v>
      </c>
      <c r="O10" s="58">
        <f>SUM('AnnualSalesSummary Revised'!T30:T31)</f>
        <v>75170</v>
      </c>
      <c r="P10" s="58">
        <f t="shared" si="6"/>
        <v>26040</v>
      </c>
      <c r="R10" s="58">
        <f>SUM('AnnualSalesSummary Revised'!Y30:Y34)</f>
        <v>124320</v>
      </c>
      <c r="S10" s="405">
        <f t="shared" si="7"/>
        <v>0.17577942735949098</v>
      </c>
      <c r="T10" s="58">
        <f>SUM('AnnualSalesSummary Revised'!Y30:Y31)</f>
        <v>92340</v>
      </c>
      <c r="U10" s="58">
        <f t="shared" si="9"/>
        <v>31980</v>
      </c>
      <c r="W10" s="58">
        <f>SUM('AnnualSalesSummary Revised'!AD30:AD34)</f>
        <v>146890</v>
      </c>
      <c r="X10" s="405">
        <f t="shared" si="10"/>
        <v>0.17210108844653255</v>
      </c>
      <c r="Y10" s="58">
        <f>SUM('AnnualSalesSummary Revised'!AD30:AD31)</f>
        <v>109100</v>
      </c>
      <c r="Z10" s="58">
        <f t="shared" si="12"/>
        <v>37790</v>
      </c>
      <c r="AB10" s="58">
        <f>SUM('AnnualSalesSummary Revised'!AI30:AI34)</f>
        <v>176980</v>
      </c>
      <c r="AC10" s="405">
        <f t="shared" si="13"/>
        <v>0.17185360690599419</v>
      </c>
      <c r="AD10" s="455"/>
      <c r="AE10" s="59" cm="1">
        <f t="array" ref="AE10">IFERROR(INDEX('B8 C&amp;M 35Tip'!$C$182:$AG$182,MATCH(1,('B8 C&amp;M 35Tip'!$C$168:$AG$168&lt;='B8 C&amp;M 35Tip'!$C$165:$AG$165)*1,0)),"No Parity")</f>
        <v>2030</v>
      </c>
      <c r="AF10" s="59" cm="1">
        <f t="array" ref="AF10">IFERROR(INDEX('B8 C&amp;M 35Tip'!$C$182:$AG$182,MATCH(1,('B8 C&amp;M 35Tip'!$C$169:$AG$169&lt;='B8 C&amp;M 35Tip'!$C$165:$AG$165)*1,0)),"No Parity")</f>
        <v>2045</v>
      </c>
      <c r="AG10" s="59" cm="1">
        <f t="array" ref="AG10">IFERROR(INDEX('B8 C&amp;M 35Tip'!$C$182:$AG$182,MATCH(1,('B8 C&amp;M 35Tip'!$C$170:$AG$170&lt;='B8 C&amp;M 35Tip'!$C$165:$AG$165)*1,0)),"No Parity")</f>
        <v>2045</v>
      </c>
      <c r="AH10" s="57" cm="1">
        <f t="array" ref="AH10">IFERROR(INDEX('B8 C&amp;M 35Tip'!$C$182:$AG$182,MATCH(1,('B8 C&amp;M 35Tip'!$C$168:$AG$168&lt;='B8 C&amp;M 35Tip'!$C$165:$AG$165)*1,0)),"No Parity")</f>
        <v>2030</v>
      </c>
      <c r="AI10" s="57" cm="1">
        <f t="array" ref="AI10">IFERROR(INDEX('B8 C&amp;M 35Tip'!$C$182:$AG$182,MATCH(1,('B8 C&amp;M 35Tip'!$C$169:$AG$169&lt;='B8 C&amp;M 35Tip'!$C$165:$AG$165)*1,0)),"No Parity")</f>
        <v>2045</v>
      </c>
      <c r="AJ10" s="57" cm="1">
        <f t="array" ref="AJ10">IFERROR(INDEX('B8 C&amp;M 35Tip'!$C$182:$AG$182,MATCH(1,('B8 C&amp;M 35Tip'!$C$170:$AG$170&lt;='B8 C&amp;M 35Tip'!$C$165:$AG$165)*1,0)),"No Parity")</f>
        <v>2045</v>
      </c>
    </row>
    <row r="11" spans="1:37">
      <c r="A11" s="59">
        <v>9</v>
      </c>
      <c r="B11" s="396" t="s">
        <v>25</v>
      </c>
      <c r="C11" s="395" t="s">
        <v>26</v>
      </c>
      <c r="D11" s="395" t="s">
        <v>13</v>
      </c>
      <c r="E11" s="58">
        <f>'AnnualSalesSummary Revised'!E71</f>
        <v>6960</v>
      </c>
      <c r="F11" s="405">
        <f t="shared" si="0"/>
        <v>2.6031342334592512E-2</v>
      </c>
      <c r="H11" s="58">
        <f>SUM('AnnualSalesSummary Revised'!O68:O71)</f>
        <v>30020</v>
      </c>
      <c r="I11" s="405">
        <f t="shared" si="1"/>
        <v>6.533472621223993E-2</v>
      </c>
      <c r="J11" s="58">
        <f>H11</f>
        <v>30020</v>
      </c>
      <c r="K11" s="58">
        <f t="shared" si="3"/>
        <v>0</v>
      </c>
      <c r="M11" s="58">
        <f>SUM('AnnualSalesSummary Revised'!T68:T71)</f>
        <v>37540</v>
      </c>
      <c r="N11" s="405">
        <f t="shared" si="4"/>
        <v>6.5797314824552172E-2</v>
      </c>
      <c r="O11" s="58">
        <f>M11</f>
        <v>37540</v>
      </c>
      <c r="P11" s="58">
        <f t="shared" si="6"/>
        <v>0</v>
      </c>
      <c r="R11" s="58">
        <f>SUM('AnnualSalesSummary Revised'!Y68:Y71)</f>
        <v>44370</v>
      </c>
      <c r="S11" s="405">
        <f t="shared" si="7"/>
        <v>6.2735949098621416E-2</v>
      </c>
      <c r="T11" s="58">
        <f>R11</f>
        <v>44370</v>
      </c>
      <c r="U11" s="58">
        <f t="shared" si="9"/>
        <v>0</v>
      </c>
      <c r="W11" s="58">
        <f>SUM('AnnualSalesSummary Revised'!AD68:AD71)</f>
        <v>50420</v>
      </c>
      <c r="X11" s="405">
        <f t="shared" si="10"/>
        <v>5.9073707396515567E-2</v>
      </c>
      <c r="Y11" s="58">
        <f>W11</f>
        <v>50420</v>
      </c>
      <c r="Z11" s="58">
        <f t="shared" si="12"/>
        <v>0</v>
      </c>
      <c r="AB11" s="58">
        <f>SUM('AnnualSalesSummary Revised'!AI68:AI71)</f>
        <v>56220</v>
      </c>
      <c r="AC11" s="405">
        <f t="shared" si="13"/>
        <v>5.4591534525115795E-2</v>
      </c>
      <c r="AD11" s="455"/>
      <c r="AE11" s="59" cm="1">
        <f t="array" ref="AE11">IFERROR(INDEX('B9 Cement 48T Rigid '!$C$182:$AG$182,MATCH(1,('B9 Cement 48T Rigid '!$C$168:$AG$168&lt;='B9 Cement 48T Rigid '!$C$165:$AG$165)*1,0)),"No Parity")</f>
        <v>2027</v>
      </c>
      <c r="AF11" s="59" cm="1">
        <f t="array" ref="AF11">IFERROR(INDEX('B9 Cement 48T Rigid '!$C$182:$AG$182,MATCH(1,('B9 Cement 48T Rigid '!$C$169:$AG$169&lt;='B9 Cement 48T Rigid '!$C$165:$AG$165)*1,0)),"No Parity")</f>
        <v>2045</v>
      </c>
      <c r="AG11" s="59" cm="1">
        <f t="array" ref="AG11">IFERROR(INDEX('B9 Cement 48T Rigid '!$C$182:$AG$182,MATCH(1,('B9 Cement 48T Rigid '!$C$170:$AG$170&lt;='B9 Cement 48T Rigid '!$C$165:$AG$165)*1,0)),"No Parity")</f>
        <v>2045</v>
      </c>
      <c r="AH11" s="57" cm="1">
        <f t="array" ref="AH11">IFERROR(INDEX('B9 Cement 48T Rigid '!$C$182:$AG$182,MATCH(1,('B9 Cement 48T Rigid '!$C$168:$AG$168&lt;='B9 Cement 48T Rigid '!$C$165:$AG$165)*1,0)),"No Parity")</f>
        <v>2027</v>
      </c>
      <c r="AI11" s="57" cm="1">
        <f t="array" ref="AI11">IFERROR(INDEX('B9 Cement 48T Rigid '!$C$182:$AG$182,MATCH(1,('B9 Cement 48T Rigid '!$C$169:$AG$169&lt;='B9 Cement 48T Rigid '!$C$165:$AG$165)*1,0)),"No Parity")</f>
        <v>2045</v>
      </c>
      <c r="AJ11" s="57" cm="1">
        <f t="array" ref="AJ11">IFERROR(INDEX('B9 Cement 48T Rigid '!$C$182:$AG$182,MATCH(1,('B9 Cement 48T Rigid '!$C$170:$AG$170&lt;='B9 Cement 48T Rigid '!$C$165:$AG$165)*1,0)),"No Parity")</f>
        <v>2045</v>
      </c>
    </row>
    <row r="12" spans="1:37" ht="31.2">
      <c r="A12" s="59">
        <v>10</v>
      </c>
      <c r="B12" s="396" t="s">
        <v>27</v>
      </c>
      <c r="C12" s="395" t="s">
        <v>26</v>
      </c>
      <c r="D12" s="395" t="s">
        <v>28</v>
      </c>
      <c r="E12" s="58">
        <f>'AnnualSalesSummary Revised'!E74</f>
        <v>15260</v>
      </c>
      <c r="F12" s="405">
        <f t="shared" si="0"/>
        <v>5.7074466095672662E-2</v>
      </c>
      <c r="H12" s="58">
        <f>SUM('AnnualSalesSummary Revised'!O72:O74)</f>
        <v>22470</v>
      </c>
      <c r="I12" s="405">
        <f t="shared" si="1"/>
        <v>4.8903107861060328E-2</v>
      </c>
      <c r="J12" s="58">
        <v>0</v>
      </c>
      <c r="K12" s="58">
        <f t="shared" si="3"/>
        <v>22470</v>
      </c>
      <c r="M12" s="58">
        <f>SUM('AnnualSalesSummary Revised'!T72:T74)</f>
        <v>28120</v>
      </c>
      <c r="N12" s="405">
        <f t="shared" si="4"/>
        <v>4.9286640726329441E-2</v>
      </c>
      <c r="O12" s="58">
        <v>0</v>
      </c>
      <c r="P12" s="58">
        <f t="shared" si="6"/>
        <v>28120</v>
      </c>
      <c r="R12" s="58">
        <f>SUM('AnnualSalesSummary Revised'!Y72:Y74)</f>
        <v>33230</v>
      </c>
      <c r="S12" s="405">
        <f t="shared" si="7"/>
        <v>4.6984800282785434E-2</v>
      </c>
      <c r="T12" s="58">
        <v>0</v>
      </c>
      <c r="U12" s="58">
        <f t="shared" si="9"/>
        <v>33230</v>
      </c>
      <c r="W12" s="58">
        <f>SUM('AnnualSalesSummary Revised'!AD72:AD74)</f>
        <v>37770</v>
      </c>
      <c r="X12" s="405">
        <f t="shared" si="10"/>
        <v>4.4252557087790419E-2</v>
      </c>
      <c r="Y12" s="58">
        <v>0</v>
      </c>
      <c r="Z12" s="58">
        <f t="shared" si="12"/>
        <v>37770</v>
      </c>
      <c r="AB12" s="58">
        <f>SUM('AnnualSalesSummary Revised'!AI72:AI74)</f>
        <v>42120</v>
      </c>
      <c r="AC12" s="405">
        <f t="shared" si="13"/>
        <v>4.0899954361399454E-2</v>
      </c>
      <c r="AD12" s="455"/>
      <c r="AE12" s="59" cm="1">
        <f t="array" ref="AE12">IFERROR(INDEX('B10 Cement 55 Tractor '!$C$182:$AG$182,MATCH(1,('B10 Cement 55 Tractor '!$C$168:$AG$168&lt;='B10 Cement 55 Tractor '!$C$165:$AG$165)*1,0)),"No Parity")</f>
        <v>2026</v>
      </c>
      <c r="AF12" s="59" cm="1">
        <f t="array" ref="AF12">IFERROR(INDEX('B10 Cement 55 Tractor '!$C$182:$AG$182,MATCH(1,('B10 Cement 55 Tractor '!$C$169:$AG$169&lt;='B10 Cement 55 Tractor '!$C$165:$AG$165)*1,0)),"No Parity")</f>
        <v>2045</v>
      </c>
      <c r="AG12" s="59" cm="1">
        <f t="array" ref="AG12">IFERROR(INDEX('B10 Cement 55 Tractor '!$C$182:$AG$182,MATCH(1,('B10 Cement 55 Tractor '!$C$170:$AG$170&lt;='B10 Cement 55 Tractor '!$C$165:$AG$165)*1,0)),"No Parity")</f>
        <v>2045</v>
      </c>
      <c r="AH12" s="57" cm="1">
        <f t="array" ref="AH12">IFERROR(INDEX('B10 Cement 55 Tractor '!$C$182:$AG$182,MATCH(1,('B10 Cement 55 Tractor '!$C$168:$AG$168&lt;='B10 Cement 55 Tractor '!$C$165:$AG$165)*1,0)),"No Parity")</f>
        <v>2026</v>
      </c>
      <c r="AI12" s="57" cm="1">
        <f t="array" ref="AI12">IFERROR(INDEX('B10 Cement 55 Tractor '!$C$182:$AG$182,MATCH(1,('B10 Cement 55 Tractor '!$C$169:$AG$169&lt;='B10 Cement 55 Tractor '!$C$165:$AG$165)*1,0)),"No Parity")</f>
        <v>2045</v>
      </c>
      <c r="AJ12" s="57" cm="1">
        <f t="array" ref="AJ12">IFERROR(INDEX('B10 Cement 55 Tractor '!$C$182:$AG$182,MATCH(1,('B10 Cement 55 Tractor '!$C$170:$AG$170&lt;='B10 Cement 55 Tractor '!$C$165:$AG$165)*1,0)),"No Parity")</f>
        <v>2045</v>
      </c>
    </row>
    <row r="13" spans="1:37" ht="31.2">
      <c r="A13" s="59">
        <v>11</v>
      </c>
      <c r="B13" s="396" t="s">
        <v>29</v>
      </c>
      <c r="C13" s="395" t="s">
        <v>30</v>
      </c>
      <c r="D13" s="395" t="s">
        <v>28</v>
      </c>
      <c r="E13" s="58">
        <f>'AnnualSalesSummary Revised'!E42</f>
        <v>18950</v>
      </c>
      <c r="F13" s="405">
        <f t="shared" si="0"/>
        <v>7.0875565695478177E-2</v>
      </c>
      <c r="H13" s="58">
        <f>'AnnualSalesSummary Revised'!O35</f>
        <v>35940</v>
      </c>
      <c r="I13" s="405">
        <f t="shared" si="1"/>
        <v>7.8218856098197967E-2</v>
      </c>
      <c r="J13" s="58">
        <f>'AnnualSalesSummary Revised'!O36</f>
        <v>1860</v>
      </c>
      <c r="K13" s="58">
        <f t="shared" si="3"/>
        <v>34080</v>
      </c>
      <c r="M13" s="58">
        <f>'AnnualSalesSummary Revised'!T35</f>
        <v>51820</v>
      </c>
      <c r="N13" s="405">
        <f t="shared" si="4"/>
        <v>9.0826234795106389E-2</v>
      </c>
      <c r="O13" s="58">
        <f>'AnnualSalesSummary Revised'!T36</f>
        <v>2680</v>
      </c>
      <c r="P13" s="58">
        <f t="shared" si="6"/>
        <v>49140</v>
      </c>
      <c r="R13" s="58">
        <f>'AnnualSalesSummary Revised'!Y35</f>
        <v>68660</v>
      </c>
      <c r="S13" s="405">
        <f t="shared" si="7"/>
        <v>9.7080240367621071E-2</v>
      </c>
      <c r="T13" s="58">
        <f>'AnnualSalesSummary Revised'!Y36</f>
        <v>3550</v>
      </c>
      <c r="U13" s="58">
        <f t="shared" si="9"/>
        <v>65110</v>
      </c>
      <c r="W13" s="58">
        <f>'AnnualSalesSummary Revised'!AD35</f>
        <v>90100</v>
      </c>
      <c r="X13" s="405">
        <f t="shared" si="10"/>
        <v>0.10556408243605817</v>
      </c>
      <c r="Y13" s="58">
        <f>'AnnualSalesSummary Revised'!AD36</f>
        <v>4650</v>
      </c>
      <c r="Z13" s="58">
        <f t="shared" si="12"/>
        <v>85450</v>
      </c>
      <c r="AB13" s="58">
        <f>'AnnualSalesSummary Revised'!AI35</f>
        <v>122850</v>
      </c>
      <c r="AC13" s="405">
        <f t="shared" si="13"/>
        <v>0.11929153355408174</v>
      </c>
      <c r="AD13" s="455"/>
      <c r="AE13" s="59" cm="1">
        <f t="array" ref="AE13">IFERROR(INDEX('B11 S&amp;M 55Tractor'!$C$182:$AG$182,MATCH(1,('B11 S&amp;M 55Tractor'!$C$168:$AG$168&lt;='B11 S&amp;M 55Tractor'!$C$165:$AG$165)*1,0)),"No Parity")</f>
        <v>2026</v>
      </c>
      <c r="AF13" s="59" cm="1">
        <f t="array" ref="AF13">IFERROR(INDEX('B11 S&amp;M 55Tractor'!$C$182:$AG$182,MATCH(1,('B11 S&amp;M 55Tractor'!$C$169:$AG$169&lt;='B11 S&amp;M 55Tractor'!$C$165:$AG$165)*1,0)),"No Parity")</f>
        <v>2045</v>
      </c>
      <c r="AG13" s="59" cm="1">
        <f t="array" ref="AG13">IFERROR(INDEX('B11 S&amp;M 55Tractor'!$C$182:$AG$182,MATCH(1,('B11 S&amp;M 55Tractor'!$C$170:$AG$170&lt;='B11 S&amp;M 55Tractor'!$C$165:$AG$165)*1,0)),"No Parity")</f>
        <v>2046</v>
      </c>
      <c r="AH13" s="57" cm="1">
        <f t="array" ref="AH13">IFERROR(INDEX('B11 S&amp;M 55Tractor'!$C$182:$AG$182,MATCH(1,('B11 S&amp;M 55Tractor'!$C$168:$AG$168&lt;='B11 S&amp;M 55Tractor'!$C$165:$AG$165)*1,0)),"No Parity")</f>
        <v>2026</v>
      </c>
      <c r="AI13" s="57" cm="1">
        <f t="array" ref="AI13">IFERROR(INDEX('B11 S&amp;M 55Tractor'!$C$182:$AG$182,MATCH(1,('B11 S&amp;M 55Tractor'!$C$169:$AG$169&lt;='B11 S&amp;M 55Tractor'!$C$165:$AG$165)*1,0)),"No Parity")</f>
        <v>2045</v>
      </c>
      <c r="AJ13" s="57" cm="1">
        <f t="array" ref="AJ13">IFERROR(INDEX('B11 S&amp;M 55Tractor'!$C$182:$AG$182,MATCH(1,('B11 S&amp;M 55Tractor'!$C$170:$AG$170&lt;='B11 S&amp;M 55Tractor'!$C$165:$AG$165)*1,0)),"No Parity")</f>
        <v>2046</v>
      </c>
    </row>
    <row r="14" spans="1:37" ht="31.2">
      <c r="A14" s="59">
        <v>12</v>
      </c>
      <c r="B14" s="396" t="s">
        <v>31</v>
      </c>
      <c r="C14" s="395" t="s">
        <v>32</v>
      </c>
      <c r="D14" s="395" t="s">
        <v>11</v>
      </c>
      <c r="E14" s="58">
        <f>'AnnualSalesSummary Revised'!E45</f>
        <v>3900</v>
      </c>
      <c r="F14" s="405">
        <f t="shared" si="0"/>
        <v>1.458652803231477E-2</v>
      </c>
      <c r="H14" s="58">
        <f>'AnnualSalesSummary Revised'!O43</f>
        <v>14390</v>
      </c>
      <c r="I14" s="405">
        <f t="shared" si="1"/>
        <v>3.1318011665360843E-2</v>
      </c>
      <c r="J14" s="58">
        <f>H14</f>
        <v>14390</v>
      </c>
      <c r="K14" s="58">
        <f t="shared" si="3"/>
        <v>0</v>
      </c>
      <c r="M14" s="58">
        <f>'AnnualSalesSummary Revised'!T43</f>
        <v>18030</v>
      </c>
      <c r="N14" s="405">
        <f t="shared" si="4"/>
        <v>3.1601640551056895E-2</v>
      </c>
      <c r="O14" s="58">
        <f>M14</f>
        <v>18030</v>
      </c>
      <c r="P14" s="58">
        <f t="shared" si="6"/>
        <v>0</v>
      </c>
      <c r="R14" s="58">
        <f>'AnnualSalesSummary Revised'!Y43</f>
        <v>21520</v>
      </c>
      <c r="S14" s="405">
        <f t="shared" si="7"/>
        <v>3.0427712972781903E-2</v>
      </c>
      <c r="T14" s="58">
        <f>R14</f>
        <v>21520</v>
      </c>
      <c r="U14" s="58">
        <f t="shared" si="9"/>
        <v>0</v>
      </c>
      <c r="W14" s="58">
        <f>'AnnualSalesSummary Revised'!AD43</f>
        <v>23550</v>
      </c>
      <c r="X14" s="405">
        <f t="shared" si="10"/>
        <v>2.7591943855373693E-2</v>
      </c>
      <c r="Y14" s="58">
        <f>W14</f>
        <v>23550</v>
      </c>
      <c r="Z14" s="58">
        <f t="shared" si="12"/>
        <v>0</v>
      </c>
      <c r="AB14" s="58">
        <f>'AnnualSalesSummary Revised'!AI43</f>
        <v>26780</v>
      </c>
      <c r="AC14" s="405">
        <f t="shared" si="13"/>
        <v>2.6004291970519407E-2</v>
      </c>
      <c r="AD14" s="455"/>
      <c r="AE14" s="59" cm="1">
        <f t="array" ref="AE14">IFERROR(INDEX('B12 POL&amp;CNG Tankers 28T'!$C$182:$AG$182,MATCH(1,('B12 POL&amp;CNG Tankers 28T'!$C$168:$AG$168&lt;='B12 POL&amp;CNG Tankers 28T'!$C$165:$AG$165)*1,0)),"No Parity")</f>
        <v>2034</v>
      </c>
      <c r="AF14" s="59" cm="1">
        <f t="array" ref="AF14">IFERROR(INDEX('B12 POL&amp;CNG Tankers 28T'!$C$182:$AG$182,MATCH(1,('B12 POL&amp;CNG Tankers 28T'!$C$169:$AG$169&lt;='B12 POL&amp;CNG Tankers 28T'!$C$165:$AG$165)*1,0)),"No Parity")</f>
        <v>2046</v>
      </c>
      <c r="AG14" s="59" cm="1">
        <f t="array" ref="AG14">IFERROR(INDEX('B12 POL&amp;CNG Tankers 28T'!$C$182:$AG$182,MATCH(1,('B12 POL&amp;CNG Tankers 28T'!$C$170:$AG$170&lt;='B12 POL&amp;CNG Tankers 28T'!$C$165:$AG$165)*1,0)),"No Parity")</f>
        <v>2048</v>
      </c>
      <c r="AH14" s="57" cm="1">
        <f t="array" ref="AH14">IFERROR(INDEX('B12 POL&amp;CNG Tankers 28T'!$C$182:$AG$182,MATCH(1,('B12 POL&amp;CNG Tankers 28T'!$C$168:$AG$168&lt;='B12 POL&amp;CNG Tankers 28T'!$C$165:$AG$165)*1,0)),"No Parity")</f>
        <v>2034</v>
      </c>
      <c r="AI14" s="57" cm="1">
        <f t="array" ref="AI14">IFERROR(INDEX('B12 POL&amp;CNG Tankers 28T'!$C$182:$AG$182,MATCH(1,('B12 POL&amp;CNG Tankers 28T'!$C$169:$AG$169&lt;='B12 POL&amp;CNG Tankers 28T'!$C$165:$AG$165)*1,0)),"No Parity")</f>
        <v>2046</v>
      </c>
      <c r="AJ14" s="57" cm="1">
        <f t="array" ref="AJ14">IFERROR(INDEX('B12 POL&amp;CNG Tankers 28T'!$C$182:$AG$182,MATCH(1,('B12 POL&amp;CNG Tankers 28T'!$C$170:$AG$170&lt;='B12 POL&amp;CNG Tankers 28T'!$C$165:$AG$165)*1,0)),"No Parity")</f>
        <v>2048</v>
      </c>
    </row>
    <row r="15" spans="1:37">
      <c r="A15" s="59">
        <v>13</v>
      </c>
      <c r="B15" s="396" t="s">
        <v>33</v>
      </c>
      <c r="C15" s="395" t="s">
        <v>34</v>
      </c>
      <c r="D15" s="395" t="s">
        <v>11</v>
      </c>
      <c r="E15" s="58">
        <f>'AnnualSalesSummary Revised'!E53</f>
        <v>4030</v>
      </c>
      <c r="F15" s="405">
        <f t="shared" si="0"/>
        <v>1.5072745633391929E-2</v>
      </c>
      <c r="H15" s="58">
        <f>'AnnualSalesSummary Revised'!O51</f>
        <v>14100</v>
      </c>
      <c r="I15" s="405">
        <f t="shared" si="1"/>
        <v>3.0686863410812223E-2</v>
      </c>
      <c r="J15" s="58">
        <f>H15</f>
        <v>14100</v>
      </c>
      <c r="K15" s="58">
        <f t="shared" si="3"/>
        <v>0</v>
      </c>
      <c r="M15" s="58">
        <f>'AnnualSalesSummary Revised'!T51</f>
        <v>18520</v>
      </c>
      <c r="N15" s="405">
        <f t="shared" si="4"/>
        <v>3.2460476040242575E-2</v>
      </c>
      <c r="O15" s="58">
        <f>M15</f>
        <v>18520</v>
      </c>
      <c r="P15" s="58">
        <f t="shared" si="6"/>
        <v>0</v>
      </c>
      <c r="R15" s="58">
        <f>'AnnualSalesSummary Revised'!Y51</f>
        <v>25730</v>
      </c>
      <c r="S15" s="405">
        <f t="shared" si="7"/>
        <v>3.6380346412159772E-2</v>
      </c>
      <c r="T15" s="58">
        <f>R15</f>
        <v>25730</v>
      </c>
      <c r="U15" s="58">
        <f t="shared" si="9"/>
        <v>0</v>
      </c>
      <c r="W15" s="58">
        <f>'AnnualSalesSummary Revised'!AD51</f>
        <v>35370</v>
      </c>
      <c r="X15" s="405">
        <f t="shared" si="10"/>
        <v>4.1440639242656792E-2</v>
      </c>
      <c r="Y15" s="58">
        <f>W15</f>
        <v>35370</v>
      </c>
      <c r="Z15" s="58">
        <f t="shared" si="12"/>
        <v>0</v>
      </c>
      <c r="AB15" s="58">
        <f>'AnnualSalesSummary Revised'!AI51</f>
        <v>50090</v>
      </c>
      <c r="AC15" s="405">
        <f t="shared" si="13"/>
        <v>4.863909577308876E-2</v>
      </c>
      <c r="AD15" s="455"/>
      <c r="AE15" s="59" cm="1">
        <f t="array" ref="AE15">IFERROR(INDEX('B13 Non POL Tankers 28T'!$C$182:$AG$182,MATCH(1,('B13 Non POL Tankers 28T'!$C$168:$AG$168&lt;='B13 Non POL Tankers 28T'!$C$165:$AG$165)*1,0)),"No Parity")</f>
        <v>2032</v>
      </c>
      <c r="AF15" s="59" cm="1">
        <f t="array" ref="AF15">IFERROR(INDEX('B13 Non POL Tankers 28T'!$C$182:$AG$182,MATCH(1,('B13 Non POL Tankers 28T'!$C$169:$AG$169&lt;='B13 Non POL Tankers 28T'!$C$165:$AG$165)*1,0)),"No Parity")</f>
        <v>2046</v>
      </c>
      <c r="AG15" s="59" cm="1">
        <f t="array" ref="AG15">IFERROR(INDEX('B13 Non POL Tankers 28T'!$C$182:$AG$182,MATCH(1,('B13 Non POL Tankers 28T'!$C$170:$AG$170&lt;='B13 Non POL Tankers 28T'!$C$165:$AG$165)*1,0)),"No Parity")</f>
        <v>2046</v>
      </c>
      <c r="AH15" s="57" cm="1">
        <f t="array" ref="AH15">IFERROR(INDEX('B13 Non POL Tankers 28T'!$C$182:$AG$182,MATCH(1,('B13 Non POL Tankers 28T'!$C$168:$AG$168&lt;='B13 Non POL Tankers 28T'!$C$165:$AG$165)*1,0)),"No Parity")</f>
        <v>2032</v>
      </c>
      <c r="AI15" s="57" cm="1">
        <f t="array" ref="AI15">IFERROR(INDEX('B13 Non POL Tankers 28T'!$C$182:$AG$182,MATCH(1,('B13 Non POL Tankers 28T'!$C$169:$AG$169&lt;='B13 Non POL Tankers 28T'!$C$165:$AG$165)*1,0)),"No Parity")</f>
        <v>2046</v>
      </c>
      <c r="AJ15" s="57" cm="1">
        <f t="array" ref="AJ15">IFERROR(INDEX('B13 Non POL Tankers 28T'!$C$182:$AG$182,MATCH(1,('B13 Non POL Tankers 28T'!$C$170:$AG$170&lt;='B13 Non POL Tankers 28T'!$C$165:$AG$165)*1,0)),"No Parity")</f>
        <v>2046</v>
      </c>
    </row>
    <row r="16" spans="1:37" ht="31.2">
      <c r="A16" s="59">
        <v>14</v>
      </c>
      <c r="B16" s="396" t="s">
        <v>35</v>
      </c>
      <c r="C16" s="395" t="s">
        <v>36</v>
      </c>
      <c r="D16" s="395" t="s">
        <v>37</v>
      </c>
      <c r="E16" s="58">
        <f>'AnnualSalesSummary Revised'!E64</f>
        <v>1980</v>
      </c>
      <c r="F16" s="405">
        <f t="shared" si="0"/>
        <v>7.4054680779444219E-3</v>
      </c>
      <c r="H16" s="58">
        <f>'AnnualSalesSummary Revised'!O59</f>
        <v>8590</v>
      </c>
      <c r="I16" s="405">
        <f t="shared" si="1"/>
        <v>1.8695046574388439E-2</v>
      </c>
      <c r="J16" s="58">
        <f>SUM('AnnualSalesSummary Revised'!O60:O63)</f>
        <v>5650</v>
      </c>
      <c r="K16" s="58">
        <f t="shared" si="3"/>
        <v>2940</v>
      </c>
      <c r="M16" s="58">
        <f>'AnnualSalesSummary Revised'!T59</f>
        <v>8920</v>
      </c>
      <c r="N16" s="405">
        <f t="shared" si="4"/>
        <v>1.5634311354155713E-2</v>
      </c>
      <c r="O16" s="58">
        <f>SUM('AnnualSalesSummary Revised'!T60:T63)</f>
        <v>5870</v>
      </c>
      <c r="P16" s="58">
        <f t="shared" si="6"/>
        <v>3050</v>
      </c>
      <c r="R16" s="58">
        <f>'AnnualSalesSummary Revised'!Y59</f>
        <v>9100</v>
      </c>
      <c r="S16" s="405">
        <f t="shared" si="7"/>
        <v>1.2866737363025803E-2</v>
      </c>
      <c r="T16" s="58">
        <f>SUM('AnnualSalesSummary Revised'!Y60:Y63)</f>
        <v>5990</v>
      </c>
      <c r="U16" s="58">
        <f t="shared" si="9"/>
        <v>3110</v>
      </c>
      <c r="W16" s="58">
        <f>'AnnualSalesSummary Revised'!AD59</f>
        <v>9460</v>
      </c>
      <c r="X16" s="405">
        <f t="shared" si="10"/>
        <v>1.1083642839568371E-2</v>
      </c>
      <c r="Y16" s="58">
        <f>SUM('AnnualSalesSummary Revised'!AD60:AD63)</f>
        <v>6220</v>
      </c>
      <c r="Z16" s="58">
        <f t="shared" si="12"/>
        <v>3240</v>
      </c>
      <c r="AB16" s="58">
        <f>'AnnualSalesSummary Revised'!AI59</f>
        <v>9570</v>
      </c>
      <c r="AC16" s="405">
        <f t="shared" si="13"/>
        <v>9.2927958983521543E-3</v>
      </c>
      <c r="AD16" s="455"/>
      <c r="AE16" s="59" cm="1">
        <f t="array" ref="AE16">IFERROR(INDEX('B14 LPG Tankers 40T'!$C$182:$AG$182,MATCH(1,('B14 LPG Tankers 40T'!$C$168:$AG$168&lt;='B14 LPG Tankers 40T'!$C$165:$AG$165)*1,0)),"No Parity")</f>
        <v>2035</v>
      </c>
      <c r="AF16" s="59" cm="1">
        <f t="array" ref="AF16">IFERROR(INDEX('B14 LPG Tankers 40T'!$C$182:$AG$182,MATCH(1,('B14 LPG Tankers 40T'!$C$169:$AG$169&lt;='B14 LPG Tankers 40T'!$C$165:$AG$165)*1,0)),"No Parity")</f>
        <v>2046</v>
      </c>
      <c r="AG16" s="59" cm="1">
        <f t="array" ref="AG16">IFERROR(INDEX('B14 LPG Tankers 40T'!$C$182:$AG$182,MATCH(1,('B14 LPG Tankers 40T'!$C$170:$AG$170&lt;='B14 LPG Tankers 40T'!$C$165:$AG$165)*1,0)),"No Parity")</f>
        <v>2048</v>
      </c>
      <c r="AH16" s="57" cm="1">
        <f t="array" ref="AH16">IFERROR(INDEX('B14 LPG Tankers 40T'!$C$182:$AG$182,MATCH(1,('B14 LPG Tankers 40T'!$C$168:$AG$168&lt;='B14 LPG Tankers 40T'!$C$165:$AG$165)*1,0)),"No Parity")</f>
        <v>2035</v>
      </c>
      <c r="AI16" s="57" cm="1">
        <f t="array" ref="AI16">IFERROR(INDEX('B14 LPG Tankers 40T'!$C$182:$AG$182,MATCH(1,('B14 LPG Tankers 40T'!$C$169:$AG$169&lt;='B14 LPG Tankers 40T'!$C$165:$AG$165)*1,0)),"No Parity")</f>
        <v>2046</v>
      </c>
      <c r="AJ16" s="57" cm="1">
        <f t="array" ref="AJ16">IFERROR(INDEX('B14 LPG Tankers 40T'!$C$182:$AG$182,MATCH(1,('B14 LPG Tankers 40T'!$C$170:$AG$170&lt;='B14 LPG Tankers 40T'!$C$165:$AG$165)*1,0)),"No Parity")</f>
        <v>2048</v>
      </c>
    </row>
    <row r="17" spans="4:36">
      <c r="D17" s="403" t="s">
        <v>38</v>
      </c>
      <c r="E17" s="61">
        <f>SUM(E3:E16)</f>
        <v>172110</v>
      </c>
      <c r="F17" s="404">
        <f t="shared" si="0"/>
        <v>0.64371470247222951</v>
      </c>
      <c r="H17" s="60">
        <f>SUM(H3:H16)</f>
        <v>459480</v>
      </c>
      <c r="I17" s="404">
        <f>H17/H$18</f>
        <v>1</v>
      </c>
      <c r="J17" s="60">
        <f t="shared" ref="J17:K17" si="14">SUM(J3:J16)</f>
        <v>353590</v>
      </c>
      <c r="K17" s="60">
        <f t="shared" si="14"/>
        <v>105890</v>
      </c>
      <c r="M17" s="60">
        <f>SUM(M3:M16)</f>
        <v>570540</v>
      </c>
      <c r="N17" s="404">
        <f>M17/M$18</f>
        <v>1</v>
      </c>
      <c r="O17" s="60">
        <f t="shared" ref="O17:P17" si="15">SUM(O3:O16)</f>
        <v>432210</v>
      </c>
      <c r="P17" s="60">
        <f t="shared" si="15"/>
        <v>138330</v>
      </c>
      <c r="R17" s="60">
        <f>SUM(R3:R16)</f>
        <v>707250</v>
      </c>
      <c r="S17" s="404">
        <f>R17/R$18</f>
        <v>1</v>
      </c>
      <c r="T17" s="60">
        <f t="shared" ref="T17:U17" si="16">SUM(T3:T16)</f>
        <v>533210</v>
      </c>
      <c r="U17" s="60">
        <f t="shared" si="16"/>
        <v>174040</v>
      </c>
      <c r="W17" s="60">
        <f>SUM(W3:W16)</f>
        <v>853510</v>
      </c>
      <c r="X17" s="404">
        <f>W17/W$18</f>
        <v>1</v>
      </c>
      <c r="Y17" s="60">
        <f t="shared" ref="Y17:Z17" si="17">SUM(Y3:Y16)</f>
        <v>639110</v>
      </c>
      <c r="Z17" s="60">
        <f t="shared" si="17"/>
        <v>214400</v>
      </c>
      <c r="AB17" s="60">
        <f>SUM(AB3:AB16)</f>
        <v>1029830</v>
      </c>
      <c r="AC17" s="404">
        <f>AB17/AB$18</f>
        <v>1</v>
      </c>
      <c r="AD17" s="61"/>
      <c r="AE17" s="779">
        <f>(AE3*$E$3+AE4*$E$4+AE5*$E$5+AE6*$E$6+AE7*$E$7+AE8*$E$8+$E$9*AE9+AE10*$E$10+$E$11*AE11+AE12*$E$12+$E$13*AE13+AE14*$E$14+$E$15*AE15+AE16*$E$16)/$E$17</f>
        <v>2029.8999477078612</v>
      </c>
      <c r="AF17" s="779">
        <f t="shared" ref="AF17:AG17" si="18">(AF3*$E$3+AF4*$E$4+AF5*$E$5+AF6*$E$6+AF7*$E$7+AF8*$E$8+$E$9*AF9+AF10*$E$10+$E$11*AF11+AF12*$E$12+$E$13*AF13+AF14*$E$14+$E$15*AF15+AF16*$E$16)/$E$17</f>
        <v>2045.5445935738771</v>
      </c>
      <c r="AG17" s="779">
        <f t="shared" si="18"/>
        <v>2045.7654988089014</v>
      </c>
      <c r="AH17" s="495">
        <f>(AH3*$E$3+AH4*$E$4+AH5*$E$5+AH6*$E$6+AH7*$E$7+AH8*$E$8+$E$9*AH9+AH10*$E$10+$E$11*AH11+AH12*$E$12+$E$13*AH13+AH14*$E$14+$E$15*AH15+AH16*$E$16)/$E$17</f>
        <v>2029.8999477078612</v>
      </c>
      <c r="AI17" s="495">
        <f t="shared" ref="AI17:AJ17" si="19">(AI3*$E$3+AI4*$E$4+AI5*$E$5+AI6*$E$6+AI7*$E$7+AI8*$E$8+$E$9*AI9+AI10*$E$10+$E$11*AI11+AI12*$E$12+$E$13*AI13+AI14*$E$14+$E$15*AI15+AI16*$E$16)/$E$17</f>
        <v>2045.5445935738771</v>
      </c>
      <c r="AJ17" s="495">
        <f t="shared" si="19"/>
        <v>2045.7654988089014</v>
      </c>
    </row>
    <row r="18" spans="4:36" s="602" customFormat="1">
      <c r="D18" s="402" t="s">
        <v>39</v>
      </c>
      <c r="E18" s="61">
        <f>'AnnualSalesSummary Revised'!E75</f>
        <v>267370</v>
      </c>
      <c r="F18" s="541"/>
      <c r="G18" s="541"/>
      <c r="H18" s="61">
        <f>'AnnualSalesSummary Revised'!O75</f>
        <v>459480</v>
      </c>
      <c r="I18" s="705"/>
      <c r="L18" s="541"/>
      <c r="M18" s="61">
        <f>'AnnualSalesSummary Revised'!T75</f>
        <v>570540</v>
      </c>
      <c r="N18" s="705"/>
      <c r="O18" s="705">
        <f>M17/M18%</f>
        <v>100</v>
      </c>
      <c r="Q18" s="541"/>
      <c r="R18" s="61">
        <f>'AnnualSalesSummary Revised'!Y75</f>
        <v>707250</v>
      </c>
      <c r="S18" s="705"/>
      <c r="T18" s="705">
        <f>R17/R18%</f>
        <v>100</v>
      </c>
      <c r="V18" s="541"/>
      <c r="W18" s="61">
        <f>'AnnualSalesSummary Revised'!AD75</f>
        <v>853510</v>
      </c>
      <c r="X18" s="705"/>
      <c r="Y18" s="705">
        <f>W17/W18%</f>
        <v>100</v>
      </c>
      <c r="AA18" s="541"/>
      <c r="AB18" s="61">
        <f>'AnnualSalesSummary Revised'!AI75</f>
        <v>1029830</v>
      </c>
      <c r="AC18" s="897" t="s">
        <v>1074</v>
      </c>
      <c r="AD18" s="898"/>
      <c r="AE18" s="778">
        <f>ROUND((AE17+1),0)</f>
        <v>2031</v>
      </c>
      <c r="AF18" s="778">
        <f>ROUND((AF17+5),0)</f>
        <v>2051</v>
      </c>
      <c r="AG18" s="778">
        <f>ROUND((AG17+5),0)</f>
        <v>2051</v>
      </c>
      <c r="AH18" s="489">
        <f t="shared" ref="AH18:AJ18" si="20">AH17+5</f>
        <v>2034.8999477078612</v>
      </c>
      <c r="AI18" s="489">
        <f t="shared" si="20"/>
        <v>2050.5445935738771</v>
      </c>
      <c r="AJ18" s="489">
        <f t="shared" si="20"/>
        <v>2050.7654988089016</v>
      </c>
    </row>
    <row r="19" spans="4:36">
      <c r="H19" s="402" t="s">
        <v>947</v>
      </c>
      <c r="M19" s="402" t="s">
        <v>948</v>
      </c>
      <c r="R19" s="402" t="s">
        <v>949</v>
      </c>
      <c r="W19" s="402" t="s">
        <v>950</v>
      </c>
      <c r="AB19" s="402" t="s">
        <v>950</v>
      </c>
    </row>
  </sheetData>
  <mergeCells count="9">
    <mergeCell ref="AC18:AD18"/>
    <mergeCell ref="A1:F1"/>
    <mergeCell ref="R1:U1"/>
    <mergeCell ref="AE1:AG1"/>
    <mergeCell ref="AH1:AJ1"/>
    <mergeCell ref="H1:K1"/>
    <mergeCell ref="M1:P1"/>
    <mergeCell ref="W1:Z1"/>
    <mergeCell ref="AB1:AC1"/>
  </mergeCells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7936-88A6-496D-9C84-9F1C0E256640}">
  <dimension ref="A1:BC307"/>
  <sheetViews>
    <sheetView zoomScale="120" zoomScaleNormal="120" workbookViewId="0">
      <pane xSplit="2" ySplit="1" topLeftCell="S286" activePane="bottomRight" state="frozen"/>
      <selection pane="topRight" activeCell="C1" sqref="C1"/>
      <selection pane="bottomLeft" activeCell="A2" sqref="A2"/>
      <selection pane="bottomRight" activeCell="W132" sqref="W132"/>
    </sheetView>
  </sheetViews>
  <sheetFormatPr defaultRowHeight="14.4"/>
  <cols>
    <col min="1" max="1" width="38.5546875" style="147" customWidth="1"/>
    <col min="2" max="2" width="12.109375" style="147" customWidth="1"/>
    <col min="3" max="3" width="14.44140625" style="406" bestFit="1" customWidth="1"/>
    <col min="4" max="6" width="13.6640625" bestFit="1" customWidth="1"/>
    <col min="7" max="33" width="14.6640625" bestFit="1" customWidth="1"/>
    <col min="34" max="37" width="9.5546875" bestFit="1" customWidth="1"/>
    <col min="38" max="38" width="25.88671875" customWidth="1"/>
    <col min="39" max="39" width="35.77734375" customWidth="1"/>
    <col min="40" max="40" width="10.88671875" bestFit="1" customWidth="1"/>
  </cols>
  <sheetData>
    <row r="1" spans="1:55" s="127" customFormat="1" ht="33" customHeight="1">
      <c r="A1" s="320" t="s">
        <v>41</v>
      </c>
      <c r="B1" s="320"/>
      <c r="C1" s="321">
        <v>2025</v>
      </c>
      <c r="D1" s="321">
        <v>2026</v>
      </c>
      <c r="E1" s="321">
        <v>2027</v>
      </c>
      <c r="F1" s="321">
        <v>2028</v>
      </c>
      <c r="G1" s="321">
        <v>2029</v>
      </c>
      <c r="H1" s="321">
        <v>2030</v>
      </c>
      <c r="I1" s="321">
        <v>2031</v>
      </c>
      <c r="J1" s="321">
        <v>2032</v>
      </c>
      <c r="K1" s="321">
        <v>2033</v>
      </c>
      <c r="L1" s="321">
        <v>2034</v>
      </c>
      <c r="M1" s="321">
        <v>2035</v>
      </c>
      <c r="N1" s="321">
        <v>2036</v>
      </c>
      <c r="O1" s="321">
        <v>2037</v>
      </c>
      <c r="P1" s="321">
        <v>2038</v>
      </c>
      <c r="Q1" s="321">
        <v>2039</v>
      </c>
      <c r="R1" s="321">
        <v>2040</v>
      </c>
      <c r="S1" s="321">
        <v>2041</v>
      </c>
      <c r="T1" s="321">
        <v>2042</v>
      </c>
      <c r="U1" s="321">
        <v>2043</v>
      </c>
      <c r="V1" s="321">
        <v>2044</v>
      </c>
      <c r="W1" s="321">
        <v>2045</v>
      </c>
      <c r="X1" s="321">
        <v>2046</v>
      </c>
      <c r="Y1" s="321">
        <v>2047</v>
      </c>
      <c r="Z1" s="321">
        <v>2048</v>
      </c>
      <c r="AA1" s="321">
        <v>2049</v>
      </c>
      <c r="AB1" s="321">
        <v>2050</v>
      </c>
      <c r="AC1" s="321">
        <v>2051</v>
      </c>
      <c r="AD1" s="321">
        <v>2052</v>
      </c>
      <c r="AE1" s="321">
        <v>2053</v>
      </c>
      <c r="AF1" s="321">
        <v>2054</v>
      </c>
      <c r="AG1" s="321">
        <v>2055</v>
      </c>
      <c r="AH1" s="436" t="s">
        <v>61</v>
      </c>
      <c r="AI1" s="436" t="s">
        <v>62</v>
      </c>
      <c r="AJ1" s="436" t="s">
        <v>63</v>
      </c>
      <c r="AK1" s="436" t="s">
        <v>64</v>
      </c>
      <c r="AL1" s="321"/>
    </row>
    <row r="2" spans="1:55" s="398" customFormat="1">
      <c r="A2" s="903"/>
      <c r="B2" s="904"/>
      <c r="C2" s="399">
        <v>2025</v>
      </c>
      <c r="D2" s="399">
        <v>2026</v>
      </c>
      <c r="E2" s="399">
        <v>2027</v>
      </c>
      <c r="F2" s="399">
        <v>2028</v>
      </c>
      <c r="G2" s="399">
        <v>2029</v>
      </c>
      <c r="H2" s="399">
        <v>2030</v>
      </c>
      <c r="I2" s="399">
        <v>2031</v>
      </c>
      <c r="J2" s="399">
        <v>2032</v>
      </c>
      <c r="K2" s="399">
        <v>2033</v>
      </c>
      <c r="L2" s="399">
        <v>2034</v>
      </c>
      <c r="M2" s="399">
        <v>2035</v>
      </c>
      <c r="N2" s="399">
        <v>2036</v>
      </c>
      <c r="O2" s="399">
        <v>2037</v>
      </c>
      <c r="P2" s="399">
        <v>2038</v>
      </c>
      <c r="Q2" s="399">
        <v>2039</v>
      </c>
      <c r="R2" s="399">
        <v>2040</v>
      </c>
      <c r="S2" s="399">
        <v>2041</v>
      </c>
      <c r="T2" s="399">
        <v>2042</v>
      </c>
      <c r="U2" s="399">
        <v>2043</v>
      </c>
      <c r="V2" s="399">
        <v>2044</v>
      </c>
      <c r="W2" s="399">
        <v>2045</v>
      </c>
      <c r="X2" s="399">
        <v>2046</v>
      </c>
      <c r="Y2" s="399">
        <v>2047</v>
      </c>
      <c r="Z2" s="399">
        <v>2048</v>
      </c>
      <c r="AA2" s="399">
        <v>2049</v>
      </c>
      <c r="AB2" s="399">
        <v>2050</v>
      </c>
      <c r="AC2" s="399">
        <v>2051</v>
      </c>
      <c r="AD2" s="399">
        <v>2052</v>
      </c>
      <c r="AE2" s="399">
        <v>2053</v>
      </c>
      <c r="AF2" s="399">
        <v>2054</v>
      </c>
      <c r="AG2" s="399">
        <v>2055</v>
      </c>
      <c r="AH2" s="399"/>
      <c r="AI2" s="397"/>
      <c r="AJ2" s="397"/>
      <c r="AK2" s="397"/>
      <c r="AL2" s="441"/>
    </row>
    <row r="3" spans="1:55" s="1" customFormat="1">
      <c r="A3" s="407" t="s">
        <v>65</v>
      </c>
      <c r="B3" s="407"/>
      <c r="C3" s="463">
        <v>88.926296108571407</v>
      </c>
      <c r="D3" s="463">
        <v>99</v>
      </c>
      <c r="E3" s="463">
        <f>D3*(1+$AH$3)</f>
        <v>100.98</v>
      </c>
      <c r="F3" s="463">
        <f t="shared" ref="F3:AG3" si="0">E3*(1+$AH$3)</f>
        <v>102.9996</v>
      </c>
      <c r="G3" s="463">
        <f t="shared" si="0"/>
        <v>105.05959200000001</v>
      </c>
      <c r="H3" s="463">
        <f t="shared" si="0"/>
        <v>107.16078384000001</v>
      </c>
      <c r="I3" s="463">
        <f t="shared" si="0"/>
        <v>109.3039995168</v>
      </c>
      <c r="J3" s="463">
        <f t="shared" si="0"/>
        <v>111.490079507136</v>
      </c>
      <c r="K3" s="463">
        <f t="shared" si="0"/>
        <v>113.71988109727873</v>
      </c>
      <c r="L3" s="463">
        <f t="shared" si="0"/>
        <v>115.99427871922431</v>
      </c>
      <c r="M3" s="463">
        <f t="shared" si="0"/>
        <v>118.3141642936088</v>
      </c>
      <c r="N3" s="463">
        <f t="shared" si="0"/>
        <v>120.68044757948097</v>
      </c>
      <c r="O3" s="463">
        <f t="shared" si="0"/>
        <v>123.09405653107059</v>
      </c>
      <c r="P3" s="463">
        <f t="shared" si="0"/>
        <v>125.555937661692</v>
      </c>
      <c r="Q3" s="463">
        <f t="shared" si="0"/>
        <v>128.06705641492584</v>
      </c>
      <c r="R3" s="463">
        <f t="shared" si="0"/>
        <v>130.62839754322437</v>
      </c>
      <c r="S3" s="463">
        <f t="shared" si="0"/>
        <v>133.24096549408887</v>
      </c>
      <c r="T3" s="463">
        <f t="shared" si="0"/>
        <v>135.90578480397065</v>
      </c>
      <c r="U3" s="463">
        <f t="shared" si="0"/>
        <v>138.62390050005007</v>
      </c>
      <c r="V3" s="463">
        <f t="shared" si="0"/>
        <v>141.39637851005108</v>
      </c>
      <c r="W3" s="463">
        <f t="shared" si="0"/>
        <v>144.22430608025209</v>
      </c>
      <c r="X3" s="463">
        <f t="shared" si="0"/>
        <v>147.10879220185714</v>
      </c>
      <c r="Y3" s="463">
        <f t="shared" si="0"/>
        <v>150.05096804589428</v>
      </c>
      <c r="Z3" s="463">
        <f t="shared" si="0"/>
        <v>153.05198740681217</v>
      </c>
      <c r="AA3" s="463">
        <f t="shared" si="0"/>
        <v>156.11302715494841</v>
      </c>
      <c r="AB3" s="463">
        <f t="shared" si="0"/>
        <v>159.23528769804739</v>
      </c>
      <c r="AC3" s="463">
        <f t="shared" si="0"/>
        <v>162.41999345200833</v>
      </c>
      <c r="AD3" s="463">
        <f t="shared" si="0"/>
        <v>165.66839332104848</v>
      </c>
      <c r="AE3" s="463">
        <f t="shared" si="0"/>
        <v>168.98176118746946</v>
      </c>
      <c r="AF3" s="463">
        <f t="shared" si="0"/>
        <v>172.36139641121886</v>
      </c>
      <c r="AG3" s="463">
        <f t="shared" si="0"/>
        <v>175.80862433944324</v>
      </c>
      <c r="AH3" s="910">
        <v>0.02</v>
      </c>
      <c r="AI3" s="911"/>
      <c r="AJ3" s="911"/>
      <c r="AK3" s="912"/>
    </row>
    <row r="4" spans="1:55">
      <c r="A4" s="407" t="s">
        <v>66</v>
      </c>
      <c r="B4" s="407"/>
      <c r="C4" s="463">
        <v>55</v>
      </c>
      <c r="D4" s="322">
        <f t="shared" ref="D4:H12" si="1">C4*(1+$AH4)</f>
        <v>56.374999999999993</v>
      </c>
      <c r="E4" s="322">
        <f t="shared" si="1"/>
        <v>57.78437499999999</v>
      </c>
      <c r="F4" s="322">
        <f t="shared" si="1"/>
        <v>59.228984374999982</v>
      </c>
      <c r="G4" s="322">
        <f t="shared" si="1"/>
        <v>60.709708984374977</v>
      </c>
      <c r="H4" s="322">
        <f t="shared" si="1"/>
        <v>62.227451708984347</v>
      </c>
      <c r="I4" s="322">
        <f t="shared" ref="I4:R4" si="2">H4*(1+$AI4)</f>
        <v>63.783138001708949</v>
      </c>
      <c r="J4" s="322">
        <f t="shared" si="2"/>
        <v>65.377716451751667</v>
      </c>
      <c r="K4" s="322">
        <f t="shared" si="2"/>
        <v>67.012159363045456</v>
      </c>
      <c r="L4" s="322">
        <f t="shared" si="2"/>
        <v>68.687463347121593</v>
      </c>
      <c r="M4" s="322">
        <f t="shared" si="2"/>
        <v>70.404649930799621</v>
      </c>
      <c r="N4" s="322">
        <f t="shared" si="2"/>
        <v>72.164766179069602</v>
      </c>
      <c r="O4" s="322">
        <f t="shared" si="2"/>
        <v>73.968885333546339</v>
      </c>
      <c r="P4" s="322">
        <f t="shared" si="2"/>
        <v>75.818107466884996</v>
      </c>
      <c r="Q4" s="322">
        <f t="shared" si="2"/>
        <v>77.713560153557111</v>
      </c>
      <c r="R4" s="322">
        <f t="shared" si="2"/>
        <v>79.656399157396038</v>
      </c>
      <c r="S4" s="322">
        <f t="shared" ref="S4:AB4" si="3">R4*(1+$AJ4)</f>
        <v>81.647809136330935</v>
      </c>
      <c r="T4" s="322">
        <f t="shared" si="3"/>
        <v>83.689004364739205</v>
      </c>
      <c r="U4" s="322">
        <f t="shared" si="3"/>
        <v>85.781229473857678</v>
      </c>
      <c r="V4" s="322">
        <f t="shared" si="3"/>
        <v>87.925760210704112</v>
      </c>
      <c r="W4" s="322">
        <f t="shared" si="3"/>
        <v>90.123904215971706</v>
      </c>
      <c r="X4" s="322">
        <f t="shared" si="3"/>
        <v>92.377001821370996</v>
      </c>
      <c r="Y4" s="322">
        <f t="shared" si="3"/>
        <v>94.686426866905265</v>
      </c>
      <c r="Z4" s="322">
        <f t="shared" si="3"/>
        <v>97.053587538577887</v>
      </c>
      <c r="AA4" s="322">
        <f t="shared" si="3"/>
        <v>99.479927227042324</v>
      </c>
      <c r="AB4" s="322">
        <f t="shared" si="3"/>
        <v>101.96692540771838</v>
      </c>
      <c r="AC4" s="322">
        <f t="shared" ref="AC4:AG12" si="4">AB4*(1+$AK4)</f>
        <v>104.51609854291132</v>
      </c>
      <c r="AD4" s="322">
        <f t="shared" si="4"/>
        <v>107.1290010064841</v>
      </c>
      <c r="AE4" s="322">
        <f t="shared" si="4"/>
        <v>109.80722603164619</v>
      </c>
      <c r="AF4" s="322">
        <f t="shared" si="4"/>
        <v>112.55240668243734</v>
      </c>
      <c r="AG4" s="322">
        <f t="shared" si="4"/>
        <v>115.36621684949826</v>
      </c>
      <c r="AH4" s="466">
        <v>2.5000000000000001E-2</v>
      </c>
      <c r="AI4" s="466">
        <v>2.5000000000000001E-2</v>
      </c>
      <c r="AJ4" s="466">
        <v>2.5000000000000001E-2</v>
      </c>
      <c r="AK4" s="466">
        <v>2.5000000000000001E-2</v>
      </c>
      <c r="AL4" s="43"/>
    </row>
    <row r="5" spans="1:55">
      <c r="A5" s="407" t="s">
        <v>67</v>
      </c>
      <c r="B5" s="407"/>
      <c r="C5" s="463">
        <v>87</v>
      </c>
      <c r="D5" s="322">
        <v>91.5</v>
      </c>
      <c r="E5" s="322">
        <f t="shared" si="1"/>
        <v>94.245000000000005</v>
      </c>
      <c r="F5" s="322">
        <f t="shared" si="1"/>
        <v>97.07235</v>
      </c>
      <c r="G5" s="322">
        <f t="shared" si="1"/>
        <v>99.984520500000002</v>
      </c>
      <c r="H5" s="322">
        <f t="shared" si="1"/>
        <v>102.984056115</v>
      </c>
      <c r="I5" s="322">
        <f t="shared" ref="I5:R5" si="5">H5*(1+$AI5)</f>
        <v>106.07357779845</v>
      </c>
      <c r="J5" s="322">
        <f t="shared" si="5"/>
        <v>109.2557851324035</v>
      </c>
      <c r="K5" s="322">
        <f t="shared" si="5"/>
        <v>112.53345868637561</v>
      </c>
      <c r="L5" s="322">
        <f t="shared" si="5"/>
        <v>115.90946244696688</v>
      </c>
      <c r="M5" s="322">
        <f t="shared" si="5"/>
        <v>119.38674632037589</v>
      </c>
      <c r="N5" s="322">
        <f t="shared" si="5"/>
        <v>122.96834870998717</v>
      </c>
      <c r="O5" s="322">
        <f t="shared" si="5"/>
        <v>126.65739917128678</v>
      </c>
      <c r="P5" s="322">
        <f t="shared" si="5"/>
        <v>130.45712114642538</v>
      </c>
      <c r="Q5" s="322">
        <f t="shared" si="5"/>
        <v>134.37083478081814</v>
      </c>
      <c r="R5" s="322">
        <f t="shared" si="5"/>
        <v>138.40195982424268</v>
      </c>
      <c r="S5" s="322">
        <f t="shared" ref="S5:AB5" si="6">R5*(1+$AJ5)</f>
        <v>142.55401861896996</v>
      </c>
      <c r="T5" s="322">
        <f t="shared" si="6"/>
        <v>146.83063917753907</v>
      </c>
      <c r="U5" s="322">
        <f t="shared" si="6"/>
        <v>151.23555835286524</v>
      </c>
      <c r="V5" s="322">
        <f t="shared" si="6"/>
        <v>155.77262510345119</v>
      </c>
      <c r="W5" s="322">
        <f t="shared" si="6"/>
        <v>160.44580385655473</v>
      </c>
      <c r="X5" s="322">
        <f t="shared" si="6"/>
        <v>165.25917797225136</v>
      </c>
      <c r="Y5" s="322">
        <f t="shared" si="6"/>
        <v>170.21695331141891</v>
      </c>
      <c r="Z5" s="322">
        <f t="shared" si="6"/>
        <v>175.32346191076147</v>
      </c>
      <c r="AA5" s="322">
        <f t="shared" si="6"/>
        <v>180.58316576808431</v>
      </c>
      <c r="AB5" s="322">
        <f t="shared" si="6"/>
        <v>186.00066074112684</v>
      </c>
      <c r="AC5" s="322">
        <f t="shared" si="4"/>
        <v>191.58068056336066</v>
      </c>
      <c r="AD5" s="322">
        <f t="shared" si="4"/>
        <v>197.3281009802615</v>
      </c>
      <c r="AE5" s="322">
        <f t="shared" si="4"/>
        <v>203.24794400966934</v>
      </c>
      <c r="AF5" s="322">
        <f t="shared" si="4"/>
        <v>209.34538232995942</v>
      </c>
      <c r="AG5" s="322">
        <f t="shared" si="4"/>
        <v>215.62574379985821</v>
      </c>
      <c r="AH5" s="466">
        <v>0.03</v>
      </c>
      <c r="AI5" s="466">
        <v>0.03</v>
      </c>
      <c r="AJ5" s="466">
        <v>0.03</v>
      </c>
      <c r="AK5" s="466">
        <v>0.03</v>
      </c>
      <c r="AL5" s="43"/>
    </row>
    <row r="6" spans="1:55">
      <c r="A6" s="407" t="s">
        <v>68</v>
      </c>
      <c r="B6" s="407"/>
      <c r="C6" s="463">
        <v>83</v>
      </c>
      <c r="D6" s="322">
        <v>86</v>
      </c>
      <c r="E6" s="322">
        <f t="shared" si="1"/>
        <v>88.58</v>
      </c>
      <c r="F6" s="322">
        <f t="shared" si="1"/>
        <v>91.237399999999994</v>
      </c>
      <c r="G6" s="322">
        <f t="shared" si="1"/>
        <v>93.974521999999993</v>
      </c>
      <c r="H6" s="322">
        <f t="shared" si="1"/>
        <v>96.793757659999997</v>
      </c>
      <c r="I6" s="322">
        <f t="shared" ref="I6:R6" si="7">H6*(1+$AI6)</f>
        <v>99.697570389800006</v>
      </c>
      <c r="J6" s="322">
        <f t="shared" si="7"/>
        <v>102.68849750149401</v>
      </c>
      <c r="K6" s="322">
        <f t="shared" si="7"/>
        <v>105.76915242653884</v>
      </c>
      <c r="L6" s="322">
        <f t="shared" si="7"/>
        <v>108.94222699933501</v>
      </c>
      <c r="M6" s="322">
        <f t="shared" si="7"/>
        <v>112.21049380931505</v>
      </c>
      <c r="N6" s="322">
        <f t="shared" si="7"/>
        <v>115.5768086235945</v>
      </c>
      <c r="O6" s="322">
        <f t="shared" si="7"/>
        <v>119.04411288230234</v>
      </c>
      <c r="P6" s="322">
        <f t="shared" si="7"/>
        <v>122.61543626877142</v>
      </c>
      <c r="Q6" s="322">
        <f t="shared" si="7"/>
        <v>126.29389935683456</v>
      </c>
      <c r="R6" s="322">
        <f t="shared" si="7"/>
        <v>130.08271633753961</v>
      </c>
      <c r="S6" s="322">
        <f t="shared" ref="S6:AB6" si="8">R6*(1+$AJ6)</f>
        <v>133.98519782766579</v>
      </c>
      <c r="T6" s="322">
        <f t="shared" si="8"/>
        <v>138.00475376249577</v>
      </c>
      <c r="U6" s="322">
        <f t="shared" si="8"/>
        <v>142.14489637537065</v>
      </c>
      <c r="V6" s="322">
        <f t="shared" si="8"/>
        <v>146.40924326663176</v>
      </c>
      <c r="W6" s="322">
        <f t="shared" si="8"/>
        <v>150.80152056463072</v>
      </c>
      <c r="X6" s="322">
        <f t="shared" si="8"/>
        <v>155.32556618156966</v>
      </c>
      <c r="Y6" s="322">
        <f t="shared" si="8"/>
        <v>159.98533316701676</v>
      </c>
      <c r="Z6" s="322">
        <f t="shared" si="8"/>
        <v>164.78489316202726</v>
      </c>
      <c r="AA6" s="322">
        <f t="shared" si="8"/>
        <v>169.72843995688808</v>
      </c>
      <c r="AB6" s="322">
        <f t="shared" si="8"/>
        <v>174.82029315559473</v>
      </c>
      <c r="AC6" s="322">
        <f t="shared" si="4"/>
        <v>180.06490195026257</v>
      </c>
      <c r="AD6" s="322">
        <f t="shared" si="4"/>
        <v>185.46684900877045</v>
      </c>
      <c r="AE6" s="322">
        <f t="shared" si="4"/>
        <v>191.03085447903356</v>
      </c>
      <c r="AF6" s="322">
        <f t="shared" si="4"/>
        <v>196.76178011340457</v>
      </c>
      <c r="AG6" s="322">
        <f t="shared" si="4"/>
        <v>202.6646335168067</v>
      </c>
      <c r="AH6" s="466">
        <v>0.03</v>
      </c>
      <c r="AI6" s="466">
        <v>0.03</v>
      </c>
      <c r="AJ6" s="466">
        <v>0.03</v>
      </c>
      <c r="AK6" s="466">
        <v>0.03</v>
      </c>
      <c r="AL6" s="43"/>
    </row>
    <row r="7" spans="1:55" ht="28.8">
      <c r="A7" s="905" t="s">
        <v>921</v>
      </c>
      <c r="B7" s="905" t="s">
        <v>903</v>
      </c>
      <c r="C7" s="901">
        <f t="shared" ref="C7:H7" si="9">(C15-$AH7)*$AH8</f>
        <v>291.5</v>
      </c>
      <c r="D7" s="901">
        <f t="shared" si="9"/>
        <v>299.45000000000005</v>
      </c>
      <c r="E7" s="901">
        <f t="shared" si="9"/>
        <v>307.55900000000003</v>
      </c>
      <c r="F7" s="901">
        <f t="shared" si="9"/>
        <v>315.83018000000004</v>
      </c>
      <c r="G7" s="901">
        <f t="shared" si="9"/>
        <v>324.26678360000011</v>
      </c>
      <c r="H7" s="901">
        <f t="shared" si="9"/>
        <v>332.87211927200013</v>
      </c>
      <c r="I7" s="901">
        <f t="shared" ref="I7:R7" si="10">(I15-$AI7)*$AI8</f>
        <v>305.7496951760001</v>
      </c>
      <c r="J7" s="901">
        <f t="shared" si="10"/>
        <v>297.63470127248007</v>
      </c>
      <c r="K7" s="901">
        <f t="shared" si="10"/>
        <v>289.68200724703047</v>
      </c>
      <c r="L7" s="901">
        <f t="shared" si="10"/>
        <v>281.88836710208989</v>
      </c>
      <c r="M7" s="901">
        <f t="shared" si="10"/>
        <v>274.25059976004809</v>
      </c>
      <c r="N7" s="901">
        <f t="shared" si="10"/>
        <v>266.76558776484711</v>
      </c>
      <c r="O7" s="901">
        <f t="shared" si="10"/>
        <v>259.43027600955014</v>
      </c>
      <c r="P7" s="901">
        <f t="shared" si="10"/>
        <v>252.24167048935914</v>
      </c>
      <c r="Q7" s="901">
        <f t="shared" si="10"/>
        <v>245.19683707957194</v>
      </c>
      <c r="R7" s="901">
        <f t="shared" si="10"/>
        <v>238.29290033798048</v>
      </c>
      <c r="S7" s="901">
        <f t="shared" ref="S7:AB7" si="11">(S15-$AJ7)*$AJ8</f>
        <v>211.4189742011406</v>
      </c>
      <c r="T7" s="901">
        <f t="shared" si="11"/>
        <v>208.40478445912916</v>
      </c>
      <c r="U7" s="901">
        <f t="shared" si="11"/>
        <v>205.42073661453787</v>
      </c>
      <c r="V7" s="901">
        <f t="shared" si="11"/>
        <v>202.46652924839248</v>
      </c>
      <c r="W7" s="901">
        <f t="shared" si="11"/>
        <v>199.54186395590858</v>
      </c>
      <c r="X7" s="901">
        <f t="shared" si="11"/>
        <v>196.64644531634949</v>
      </c>
      <c r="Y7" s="901">
        <f t="shared" si="11"/>
        <v>193.77998086318601</v>
      </c>
      <c r="Z7" s="901">
        <f t="shared" si="11"/>
        <v>190.94218105455417</v>
      </c>
      <c r="AA7" s="901">
        <f t="shared" si="11"/>
        <v>188.13275924400861</v>
      </c>
      <c r="AB7" s="901">
        <f t="shared" si="11"/>
        <v>185.35143165156853</v>
      </c>
      <c r="AC7" s="901">
        <f>(AC15-$AK7)*$AK8</f>
        <v>179.41953628000056</v>
      </c>
      <c r="AD7" s="901">
        <f>(AD15-$AK7)*$AK8</f>
        <v>186.00502468700054</v>
      </c>
      <c r="AE7" s="901">
        <f>(AE15-$AK7)*$AK8</f>
        <v>192.75515030417554</v>
      </c>
      <c r="AF7" s="901">
        <f>(AF15-$AK7)*$AK8</f>
        <v>199.67402906177992</v>
      </c>
      <c r="AG7" s="901">
        <f>(AG15-$AK7)*$AK8</f>
        <v>206.76587978832441</v>
      </c>
      <c r="AH7" s="671">
        <v>2</v>
      </c>
      <c r="AI7" s="671">
        <v>2</v>
      </c>
      <c r="AJ7" s="671">
        <v>2</v>
      </c>
      <c r="AK7" s="671">
        <v>2</v>
      </c>
      <c r="AL7" s="672" t="s">
        <v>953</v>
      </c>
    </row>
    <row r="8" spans="1:55">
      <c r="A8" s="906"/>
      <c r="B8" s="906"/>
      <c r="C8" s="902"/>
      <c r="D8" s="902"/>
      <c r="E8" s="902"/>
      <c r="F8" s="902"/>
      <c r="G8" s="902"/>
      <c r="H8" s="902"/>
      <c r="I8" s="902"/>
      <c r="J8" s="902"/>
      <c r="K8" s="902"/>
      <c r="L8" s="902"/>
      <c r="M8" s="902"/>
      <c r="N8" s="902"/>
      <c r="O8" s="902"/>
      <c r="P8" s="902"/>
      <c r="Q8" s="902"/>
      <c r="R8" s="902"/>
      <c r="S8" s="902"/>
      <c r="T8" s="902"/>
      <c r="U8" s="902"/>
      <c r="V8" s="902"/>
      <c r="W8" s="902"/>
      <c r="X8" s="902"/>
      <c r="Y8" s="902"/>
      <c r="Z8" s="902"/>
      <c r="AA8" s="902"/>
      <c r="AB8" s="902"/>
      <c r="AC8" s="902"/>
      <c r="AD8" s="902"/>
      <c r="AE8" s="902"/>
      <c r="AF8" s="902"/>
      <c r="AG8" s="902"/>
      <c r="AH8" s="673">
        <v>53</v>
      </c>
      <c r="AI8" s="673">
        <v>50</v>
      </c>
      <c r="AJ8" s="673">
        <v>45</v>
      </c>
      <c r="AK8" s="673">
        <v>42</v>
      </c>
      <c r="AL8" s="672" t="s">
        <v>922</v>
      </c>
    </row>
    <row r="9" spans="1:55">
      <c r="A9" s="650" t="s">
        <v>901</v>
      </c>
      <c r="B9" s="650" t="s">
        <v>903</v>
      </c>
      <c r="C9" s="651">
        <v>115</v>
      </c>
      <c r="D9" s="652">
        <f t="shared" ref="D9:H10" si="12">C9*(1+$AH9)</f>
        <v>111.55</v>
      </c>
      <c r="E9" s="652">
        <f t="shared" si="12"/>
        <v>108.20349999999999</v>
      </c>
      <c r="F9" s="652">
        <f t="shared" si="12"/>
        <v>104.95739499999999</v>
      </c>
      <c r="G9" s="652">
        <f t="shared" si="12"/>
        <v>101.80867314999999</v>
      </c>
      <c r="H9" s="652">
        <f t="shared" si="12"/>
        <v>98.754412955499987</v>
      </c>
      <c r="I9" s="652">
        <f t="shared" ref="I9:R10" si="13">H9*(1+$AI9)</f>
        <v>94.804236437279982</v>
      </c>
      <c r="J9" s="652">
        <f t="shared" si="13"/>
        <v>91.012066979788784</v>
      </c>
      <c r="K9" s="652">
        <f t="shared" si="13"/>
        <v>87.371584300597235</v>
      </c>
      <c r="L9" s="652">
        <f t="shared" si="13"/>
        <v>83.876720928573349</v>
      </c>
      <c r="M9" s="652">
        <f t="shared" si="13"/>
        <v>80.521652091430411</v>
      </c>
      <c r="N9" s="652">
        <f t="shared" si="13"/>
        <v>77.300786007773198</v>
      </c>
      <c r="O9" s="652">
        <f t="shared" si="13"/>
        <v>74.208754567462265</v>
      </c>
      <c r="P9" s="652">
        <f t="shared" si="13"/>
        <v>71.240404384763778</v>
      </c>
      <c r="Q9" s="652">
        <f t="shared" si="13"/>
        <v>68.390788209373227</v>
      </c>
      <c r="R9" s="652">
        <f t="shared" si="13"/>
        <v>65.655156680998289</v>
      </c>
      <c r="S9" s="652">
        <f t="shared" ref="S9:AB10" si="14">R9*(1+$AJ9)</f>
        <v>62.372398846948371</v>
      </c>
      <c r="T9" s="652">
        <f t="shared" si="14"/>
        <v>59.253778904600949</v>
      </c>
      <c r="U9" s="652">
        <f t="shared" si="14"/>
        <v>56.2910899593709</v>
      </c>
      <c r="V9" s="652">
        <f t="shared" si="14"/>
        <v>53.476535461402349</v>
      </c>
      <c r="W9" s="652">
        <f t="shared" si="14"/>
        <v>50.802708688332231</v>
      </c>
      <c r="X9" s="652">
        <f t="shared" si="14"/>
        <v>48.262573253915619</v>
      </c>
      <c r="Y9" s="652">
        <f t="shared" si="14"/>
        <v>45.849444591219836</v>
      </c>
      <c r="Z9" s="652">
        <f t="shared" si="14"/>
        <v>43.556972361658843</v>
      </c>
      <c r="AA9" s="652">
        <f t="shared" si="14"/>
        <v>41.379123743575896</v>
      </c>
      <c r="AB9" s="652">
        <f t="shared" si="14"/>
        <v>39.310167556397097</v>
      </c>
      <c r="AC9" s="652">
        <f t="shared" ref="AC9:AG10" si="15">AB9*(1+$AK9)</f>
        <v>37.344659178577238</v>
      </c>
      <c r="AD9" s="652">
        <f t="shared" si="15"/>
        <v>35.477426219648372</v>
      </c>
      <c r="AE9" s="652">
        <f t="shared" si="15"/>
        <v>33.70355490866595</v>
      </c>
      <c r="AF9" s="652">
        <f t="shared" si="15"/>
        <v>32.01837716323265</v>
      </c>
      <c r="AG9" s="652">
        <f t="shared" si="15"/>
        <v>30.417458305071015</v>
      </c>
      <c r="AH9" s="653">
        <v>-0.03</v>
      </c>
      <c r="AI9" s="653">
        <v>-0.04</v>
      </c>
      <c r="AJ9" s="653">
        <v>-0.05</v>
      </c>
      <c r="AK9" s="653">
        <v>-0.05</v>
      </c>
      <c r="AL9" s="43"/>
    </row>
    <row r="10" spans="1:55">
      <c r="A10" s="650" t="s">
        <v>902</v>
      </c>
      <c r="B10" s="650" t="s">
        <v>903</v>
      </c>
      <c r="C10" s="651">
        <v>140</v>
      </c>
      <c r="D10" s="652">
        <f t="shared" si="12"/>
        <v>135.79999999999998</v>
      </c>
      <c r="E10" s="652">
        <f t="shared" si="12"/>
        <v>131.72599999999997</v>
      </c>
      <c r="F10" s="652">
        <f t="shared" si="12"/>
        <v>127.77421999999997</v>
      </c>
      <c r="G10" s="652">
        <f t="shared" si="12"/>
        <v>123.94099339999997</v>
      </c>
      <c r="H10" s="652">
        <f t="shared" si="12"/>
        <v>120.22276359799997</v>
      </c>
      <c r="I10" s="652">
        <f t="shared" si="13"/>
        <v>114.21162541809997</v>
      </c>
      <c r="J10" s="652">
        <f t="shared" si="13"/>
        <v>108.50104414719496</v>
      </c>
      <c r="K10" s="652">
        <f t="shared" si="13"/>
        <v>103.07599193983521</v>
      </c>
      <c r="L10" s="652">
        <f t="shared" si="13"/>
        <v>97.922192342843445</v>
      </c>
      <c r="M10" s="652">
        <f t="shared" si="13"/>
        <v>93.026082725701272</v>
      </c>
      <c r="N10" s="652">
        <f t="shared" si="13"/>
        <v>88.374778589416209</v>
      </c>
      <c r="O10" s="652">
        <f t="shared" si="13"/>
        <v>83.95603965994539</v>
      </c>
      <c r="P10" s="652">
        <f t="shared" si="13"/>
        <v>79.758237676948113</v>
      </c>
      <c r="Q10" s="652">
        <f t="shared" si="13"/>
        <v>75.77032579310071</v>
      </c>
      <c r="R10" s="652">
        <f t="shared" si="13"/>
        <v>71.981809503445675</v>
      </c>
      <c r="S10" s="652">
        <f t="shared" si="14"/>
        <v>68.382719028273385</v>
      </c>
      <c r="T10" s="652">
        <f t="shared" si="14"/>
        <v>64.963583076859706</v>
      </c>
      <c r="U10" s="652">
        <f t="shared" si="14"/>
        <v>61.715403923016716</v>
      </c>
      <c r="V10" s="652">
        <f t="shared" si="14"/>
        <v>58.629633726865876</v>
      </c>
      <c r="W10" s="652">
        <f t="shared" si="14"/>
        <v>55.698152040522579</v>
      </c>
      <c r="X10" s="652">
        <f t="shared" si="14"/>
        <v>52.913244438496449</v>
      </c>
      <c r="Y10" s="652">
        <f t="shared" si="14"/>
        <v>50.267582216571626</v>
      </c>
      <c r="Z10" s="652">
        <f t="shared" si="14"/>
        <v>47.754203105743045</v>
      </c>
      <c r="AA10" s="652">
        <f t="shared" si="14"/>
        <v>45.366492950455893</v>
      </c>
      <c r="AB10" s="652">
        <f t="shared" si="14"/>
        <v>43.098168302933097</v>
      </c>
      <c r="AC10" s="652">
        <f t="shared" si="15"/>
        <v>40.943259887786439</v>
      </c>
      <c r="AD10" s="652">
        <f t="shared" si="15"/>
        <v>38.896096893397115</v>
      </c>
      <c r="AE10" s="652">
        <f t="shared" si="15"/>
        <v>36.951292048727254</v>
      </c>
      <c r="AF10" s="652">
        <f t="shared" si="15"/>
        <v>35.10372744629089</v>
      </c>
      <c r="AG10" s="652">
        <f t="shared" si="15"/>
        <v>33.348541073976342</v>
      </c>
      <c r="AH10" s="653">
        <v>-0.03</v>
      </c>
      <c r="AI10" s="653">
        <v>-0.05</v>
      </c>
      <c r="AJ10" s="653">
        <v>-0.05</v>
      </c>
      <c r="AK10" s="653">
        <v>-0.05</v>
      </c>
      <c r="AL10" s="43"/>
    </row>
    <row r="11" spans="1:55">
      <c r="A11" s="650" t="s">
        <v>69</v>
      </c>
      <c r="B11" s="407"/>
      <c r="C11" s="651">
        <f>SUM(C7:C10)</f>
        <v>546.5</v>
      </c>
      <c r="D11" s="651">
        <f t="shared" ref="D11:AG11" si="16">SUM(D7:D10)</f>
        <v>546.80000000000007</v>
      </c>
      <c r="E11" s="651">
        <f t="shared" si="16"/>
        <v>547.48850000000004</v>
      </c>
      <c r="F11" s="651">
        <f t="shared" si="16"/>
        <v>548.56179500000007</v>
      </c>
      <c r="G11" s="651">
        <f t="shared" si="16"/>
        <v>550.01645015000008</v>
      </c>
      <c r="H11" s="651">
        <f t="shared" si="16"/>
        <v>551.84929582550012</v>
      </c>
      <c r="I11" s="651">
        <f t="shared" si="16"/>
        <v>514.76555703138001</v>
      </c>
      <c r="J11" s="651">
        <f t="shared" si="16"/>
        <v>497.14781239946387</v>
      </c>
      <c r="K11" s="651">
        <f t="shared" si="16"/>
        <v>480.12958348746292</v>
      </c>
      <c r="L11" s="651">
        <f t="shared" si="16"/>
        <v>463.68728037350672</v>
      </c>
      <c r="M11" s="651">
        <f t="shared" si="16"/>
        <v>447.79833457717973</v>
      </c>
      <c r="N11" s="651">
        <f t="shared" si="16"/>
        <v>432.44115236203652</v>
      </c>
      <c r="O11" s="651">
        <f t="shared" si="16"/>
        <v>417.59507023695778</v>
      </c>
      <c r="P11" s="651">
        <f t="shared" si="16"/>
        <v>403.24031255107104</v>
      </c>
      <c r="Q11" s="651">
        <f t="shared" si="16"/>
        <v>389.35795108204587</v>
      </c>
      <c r="R11" s="651">
        <f t="shared" si="16"/>
        <v>375.92986652242445</v>
      </c>
      <c r="S11" s="651">
        <f t="shared" si="16"/>
        <v>342.1740920763624</v>
      </c>
      <c r="T11" s="651">
        <f t="shared" si="16"/>
        <v>332.6221464405898</v>
      </c>
      <c r="U11" s="651">
        <f t="shared" si="16"/>
        <v>323.42723049692546</v>
      </c>
      <c r="V11" s="651">
        <f t="shared" si="16"/>
        <v>314.57269843666074</v>
      </c>
      <c r="W11" s="651">
        <f t="shared" si="16"/>
        <v>306.04272468476341</v>
      </c>
      <c r="X11" s="651">
        <f t="shared" si="16"/>
        <v>297.82226300876158</v>
      </c>
      <c r="Y11" s="651">
        <f t="shared" si="16"/>
        <v>289.89700767097747</v>
      </c>
      <c r="Z11" s="651">
        <f t="shared" si="16"/>
        <v>282.25335652195605</v>
      </c>
      <c r="AA11" s="651">
        <f t="shared" si="16"/>
        <v>274.87837593804039</v>
      </c>
      <c r="AB11" s="651">
        <f t="shared" si="16"/>
        <v>267.75976751089871</v>
      </c>
      <c r="AC11" s="651">
        <f t="shared" si="16"/>
        <v>257.70745534636421</v>
      </c>
      <c r="AD11" s="651">
        <f t="shared" si="16"/>
        <v>260.37854780004602</v>
      </c>
      <c r="AE11" s="651">
        <f t="shared" si="16"/>
        <v>263.40999726156872</v>
      </c>
      <c r="AF11" s="651">
        <f t="shared" si="16"/>
        <v>266.79613367130344</v>
      </c>
      <c r="AG11" s="651">
        <f t="shared" si="16"/>
        <v>270.53187916737176</v>
      </c>
      <c r="AH11" s="656"/>
      <c r="AI11" s="656"/>
      <c r="AJ11" s="656"/>
      <c r="AK11" s="656"/>
      <c r="AL11" s="43"/>
      <c r="AM11" s="503" t="s">
        <v>812</v>
      </c>
      <c r="AN11" s="467">
        <v>-0.04</v>
      </c>
      <c r="AO11" s="467">
        <v>-3.5000000000000003E-2</v>
      </c>
      <c r="AP11" s="467">
        <v>-0.03</v>
      </c>
      <c r="AQ11" s="467">
        <v>-0.03</v>
      </c>
      <c r="AS11" s="503" t="s">
        <v>696</v>
      </c>
      <c r="AT11" s="467">
        <v>-0.04</v>
      </c>
      <c r="AU11" s="467">
        <v>-0.03</v>
      </c>
      <c r="AV11" s="467">
        <v>-0.01</v>
      </c>
      <c r="AW11" s="467">
        <v>0</v>
      </c>
      <c r="AY11" s="503" t="s">
        <v>898</v>
      </c>
      <c r="AZ11" s="467">
        <v>-0.04</v>
      </c>
      <c r="BA11" s="467">
        <v>-0.03</v>
      </c>
      <c r="BB11" s="467">
        <v>-0.05</v>
      </c>
      <c r="BC11" s="467">
        <v>-0.05</v>
      </c>
    </row>
    <row r="12" spans="1:55">
      <c r="A12" s="407" t="s">
        <v>70</v>
      </c>
      <c r="B12" s="407"/>
      <c r="C12" s="463">
        <v>250</v>
      </c>
      <c r="D12" s="322">
        <f t="shared" si="1"/>
        <v>255</v>
      </c>
      <c r="E12" s="322">
        <f t="shared" si="1"/>
        <v>260.10000000000002</v>
      </c>
      <c r="F12" s="322">
        <f t="shared" si="1"/>
        <v>265.30200000000002</v>
      </c>
      <c r="G12" s="322">
        <f t="shared" si="1"/>
        <v>270.60804000000002</v>
      </c>
      <c r="H12" s="322">
        <f t="shared" si="1"/>
        <v>276.0202008</v>
      </c>
      <c r="I12" s="322">
        <f t="shared" ref="I12:R12" si="17">H12*(1+$AI12)</f>
        <v>281.54060481599998</v>
      </c>
      <c r="J12" s="322">
        <f t="shared" si="17"/>
        <v>287.17141691232001</v>
      </c>
      <c r="K12" s="322">
        <f t="shared" si="17"/>
        <v>292.91484525056643</v>
      </c>
      <c r="L12" s="322">
        <f t="shared" si="17"/>
        <v>298.77314215557777</v>
      </c>
      <c r="M12" s="322">
        <f t="shared" si="17"/>
        <v>304.74860499868936</v>
      </c>
      <c r="N12" s="322">
        <f t="shared" si="17"/>
        <v>310.84357709866316</v>
      </c>
      <c r="O12" s="322">
        <f t="shared" si="17"/>
        <v>317.06044864063642</v>
      </c>
      <c r="P12" s="322">
        <f t="shared" si="17"/>
        <v>323.40165761344917</v>
      </c>
      <c r="Q12" s="322">
        <f t="shared" si="17"/>
        <v>329.86969076571819</v>
      </c>
      <c r="R12" s="322">
        <f t="shared" si="17"/>
        <v>336.46708458103257</v>
      </c>
      <c r="S12" s="322">
        <f t="shared" ref="S12:AB12" si="18">R12*(1+$AJ12)</f>
        <v>343.19642627265324</v>
      </c>
      <c r="T12" s="322">
        <f t="shared" si="18"/>
        <v>350.06035479810629</v>
      </c>
      <c r="U12" s="322">
        <f t="shared" si="18"/>
        <v>357.0615618940684</v>
      </c>
      <c r="V12" s="322">
        <f t="shared" si="18"/>
        <v>364.20279313194976</v>
      </c>
      <c r="W12" s="322">
        <f t="shared" si="18"/>
        <v>371.48684899458874</v>
      </c>
      <c r="X12" s="322">
        <f t="shared" si="18"/>
        <v>378.91658597448054</v>
      </c>
      <c r="Y12" s="322">
        <f t="shared" si="18"/>
        <v>386.49491769397014</v>
      </c>
      <c r="Z12" s="322">
        <f t="shared" si="18"/>
        <v>394.22481604784957</v>
      </c>
      <c r="AA12" s="322">
        <f t="shared" si="18"/>
        <v>402.10931236880657</v>
      </c>
      <c r="AB12" s="322">
        <f t="shared" si="18"/>
        <v>410.15149861618272</v>
      </c>
      <c r="AC12" s="322">
        <f t="shared" si="4"/>
        <v>418.35452858850635</v>
      </c>
      <c r="AD12" s="322">
        <f t="shared" si="4"/>
        <v>426.72161916027648</v>
      </c>
      <c r="AE12" s="322">
        <f t="shared" si="4"/>
        <v>435.25605154348199</v>
      </c>
      <c r="AF12" s="322">
        <f t="shared" si="4"/>
        <v>443.96117257435162</v>
      </c>
      <c r="AG12" s="322">
        <f t="shared" si="4"/>
        <v>452.84039602583869</v>
      </c>
      <c r="AH12" s="466">
        <v>0.02</v>
      </c>
      <c r="AI12" s="466">
        <v>0.02</v>
      </c>
      <c r="AJ12" s="466">
        <v>0.02</v>
      </c>
      <c r="AK12" s="466">
        <v>0.02</v>
      </c>
      <c r="AL12" s="43"/>
    </row>
    <row r="13" spans="1:55">
      <c r="A13" s="407" t="s">
        <v>71</v>
      </c>
      <c r="B13" s="407"/>
      <c r="C13" s="480">
        <f>$AH13</f>
        <v>0</v>
      </c>
      <c r="D13" s="480">
        <f>$AH13</f>
        <v>0</v>
      </c>
      <c r="E13" s="480">
        <f t="shared" ref="E13:H13" si="19">$AH13</f>
        <v>0</v>
      </c>
      <c r="F13" s="480">
        <f t="shared" si="19"/>
        <v>0</v>
      </c>
      <c r="G13" s="480">
        <f t="shared" si="19"/>
        <v>0</v>
      </c>
      <c r="H13" s="480">
        <f t="shared" si="19"/>
        <v>0</v>
      </c>
      <c r="I13" s="480">
        <f>$AI13</f>
        <v>0</v>
      </c>
      <c r="J13" s="480">
        <f t="shared" ref="J13:R13" si="20">$AI13</f>
        <v>0</v>
      </c>
      <c r="K13" s="480">
        <f t="shared" si="20"/>
        <v>0</v>
      </c>
      <c r="L13" s="480">
        <f t="shared" si="20"/>
        <v>0</v>
      </c>
      <c r="M13" s="480">
        <f t="shared" si="20"/>
        <v>0</v>
      </c>
      <c r="N13" s="480">
        <f t="shared" si="20"/>
        <v>0</v>
      </c>
      <c r="O13" s="480">
        <f t="shared" si="20"/>
        <v>0</v>
      </c>
      <c r="P13" s="480">
        <f t="shared" si="20"/>
        <v>0</v>
      </c>
      <c r="Q13" s="480">
        <f t="shared" si="20"/>
        <v>0</v>
      </c>
      <c r="R13" s="480">
        <f t="shared" si="20"/>
        <v>0</v>
      </c>
      <c r="S13" s="480">
        <f>$AJ13</f>
        <v>0</v>
      </c>
      <c r="T13" s="480">
        <f t="shared" ref="T13:AB13" si="21">$AJ13</f>
        <v>0</v>
      </c>
      <c r="U13" s="480">
        <f t="shared" si="21"/>
        <v>0</v>
      </c>
      <c r="V13" s="480">
        <f t="shared" si="21"/>
        <v>0</v>
      </c>
      <c r="W13" s="480">
        <f t="shared" si="21"/>
        <v>0</v>
      </c>
      <c r="X13" s="480">
        <f t="shared" si="21"/>
        <v>0</v>
      </c>
      <c r="Y13" s="480">
        <f t="shared" si="21"/>
        <v>0</v>
      </c>
      <c r="Z13" s="480">
        <f t="shared" si="21"/>
        <v>0</v>
      </c>
      <c r="AA13" s="480">
        <f t="shared" si="21"/>
        <v>0</v>
      </c>
      <c r="AB13" s="480">
        <f t="shared" si="21"/>
        <v>0</v>
      </c>
      <c r="AC13" s="480">
        <f>$AK13</f>
        <v>0</v>
      </c>
      <c r="AD13" s="480">
        <f t="shared" ref="AD13:AG13" si="22">$AK13</f>
        <v>0</v>
      </c>
      <c r="AE13" s="480">
        <f t="shared" si="22"/>
        <v>0</v>
      </c>
      <c r="AF13" s="480">
        <f t="shared" si="22"/>
        <v>0</v>
      </c>
      <c r="AG13" s="480">
        <f t="shared" si="22"/>
        <v>0</v>
      </c>
      <c r="AH13" s="464">
        <v>0</v>
      </c>
      <c r="AI13" s="464">
        <v>0</v>
      </c>
      <c r="AJ13" s="464">
        <v>0</v>
      </c>
      <c r="AK13" s="464">
        <v>0</v>
      </c>
      <c r="AL13" s="43"/>
    </row>
    <row r="14" spans="1:55" ht="15.9" customHeight="1">
      <c r="A14" s="407" t="s">
        <v>72</v>
      </c>
      <c r="B14" s="407"/>
      <c r="C14" s="463">
        <v>175</v>
      </c>
      <c r="D14" s="322">
        <f t="shared" ref="D14:H23" si="23">C14*(1+$AH14)</f>
        <v>168</v>
      </c>
      <c r="E14" s="322">
        <f t="shared" si="23"/>
        <v>161.28</v>
      </c>
      <c r="F14" s="322">
        <f t="shared" si="23"/>
        <v>154.8288</v>
      </c>
      <c r="G14" s="322">
        <f t="shared" si="23"/>
        <v>148.635648</v>
      </c>
      <c r="H14" s="322">
        <f t="shared" si="23"/>
        <v>142.69022207999998</v>
      </c>
      <c r="I14" s="322">
        <f t="shared" ref="I14:R15" si="24">H14*(1+$AI14)</f>
        <v>138.40951541759998</v>
      </c>
      <c r="J14" s="322">
        <f t="shared" si="24"/>
        <v>134.25722995507198</v>
      </c>
      <c r="K14" s="322">
        <f t="shared" si="24"/>
        <v>130.22951305641982</v>
      </c>
      <c r="L14" s="322">
        <f t="shared" si="24"/>
        <v>126.32262766472722</v>
      </c>
      <c r="M14" s="322">
        <f t="shared" si="24"/>
        <v>122.5329488347854</v>
      </c>
      <c r="N14" s="322">
        <f t="shared" si="24"/>
        <v>118.85696036974184</v>
      </c>
      <c r="O14" s="322">
        <f t="shared" si="24"/>
        <v>115.29125155864958</v>
      </c>
      <c r="P14" s="322">
        <f t="shared" si="24"/>
        <v>111.83251401189008</v>
      </c>
      <c r="Q14" s="322">
        <f t="shared" si="24"/>
        <v>108.47753859153337</v>
      </c>
      <c r="R14" s="322">
        <f t="shared" si="24"/>
        <v>105.22321243378737</v>
      </c>
      <c r="S14" s="322">
        <f t="shared" ref="S14:AB15" si="25">R14*(1+$AJ14)</f>
        <v>102.06651606077374</v>
      </c>
      <c r="T14" s="322">
        <f t="shared" si="25"/>
        <v>99.004520578950519</v>
      </c>
      <c r="U14" s="322">
        <f t="shared" si="25"/>
        <v>96.034384961582006</v>
      </c>
      <c r="V14" s="322">
        <f t="shared" si="25"/>
        <v>93.153353412734546</v>
      </c>
      <c r="W14" s="322">
        <f t="shared" si="25"/>
        <v>90.358752810352513</v>
      </c>
      <c r="X14" s="322">
        <f t="shared" si="25"/>
        <v>87.647990226041941</v>
      </c>
      <c r="Y14" s="322">
        <f t="shared" si="25"/>
        <v>85.018550519260685</v>
      </c>
      <c r="Z14" s="322">
        <f t="shared" si="25"/>
        <v>82.467994003682861</v>
      </c>
      <c r="AA14" s="322">
        <f t="shared" si="25"/>
        <v>79.99395418357237</v>
      </c>
      <c r="AB14" s="322">
        <f t="shared" si="25"/>
        <v>77.59413555806519</v>
      </c>
      <c r="AC14" s="322">
        <f t="shared" ref="AC14:AG23" si="26">AB14*(1+$AK14)</f>
        <v>76.042252846903878</v>
      </c>
      <c r="AD14" s="322">
        <f t="shared" si="26"/>
        <v>74.521407789965792</v>
      </c>
      <c r="AE14" s="322">
        <f t="shared" si="26"/>
        <v>73.030979634166471</v>
      </c>
      <c r="AF14" s="322">
        <f t="shared" si="26"/>
        <v>71.570360041483141</v>
      </c>
      <c r="AG14" s="322">
        <f t="shared" si="26"/>
        <v>70.138952840653474</v>
      </c>
      <c r="AH14" s="466">
        <v>-0.04</v>
      </c>
      <c r="AI14" s="466">
        <v>-0.03</v>
      </c>
      <c r="AJ14" s="466">
        <v>-0.03</v>
      </c>
      <c r="AK14" s="466">
        <v>-0.02</v>
      </c>
      <c r="AL14" s="322"/>
      <c r="AM14" s="212" t="s">
        <v>813</v>
      </c>
      <c r="AN14" s="466">
        <v>-0.04</v>
      </c>
      <c r="AO14" s="466">
        <v>-0.03</v>
      </c>
      <c r="AP14" s="466">
        <v>-0.03</v>
      </c>
      <c r="AQ14" s="466">
        <v>-0.02</v>
      </c>
      <c r="AS14" s="212" t="s">
        <v>697</v>
      </c>
      <c r="AT14" s="466">
        <v>-0.03</v>
      </c>
      <c r="AU14" s="466">
        <v>-0.02</v>
      </c>
      <c r="AV14" s="466">
        <v>-0.02</v>
      </c>
      <c r="AW14" s="466">
        <v>0</v>
      </c>
      <c r="AY14" s="212" t="s">
        <v>813</v>
      </c>
      <c r="AZ14" s="466">
        <v>-0.04</v>
      </c>
      <c r="BA14" s="466">
        <v>-0.03</v>
      </c>
      <c r="BB14" s="466">
        <v>-0.03</v>
      </c>
      <c r="BC14" s="466">
        <v>-0.02</v>
      </c>
    </row>
    <row r="15" spans="1:55">
      <c r="A15" s="650" t="s">
        <v>1032</v>
      </c>
      <c r="B15" s="650" t="s">
        <v>899</v>
      </c>
      <c r="C15" s="651">
        <v>7.5</v>
      </c>
      <c r="D15" s="652">
        <f t="shared" si="23"/>
        <v>7.65</v>
      </c>
      <c r="E15" s="652">
        <f t="shared" si="23"/>
        <v>7.8030000000000008</v>
      </c>
      <c r="F15" s="652">
        <f t="shared" si="23"/>
        <v>7.9590600000000009</v>
      </c>
      <c r="G15" s="652">
        <f t="shared" si="23"/>
        <v>8.1182412000000017</v>
      </c>
      <c r="H15" s="652">
        <f t="shared" si="23"/>
        <v>8.2806060240000026</v>
      </c>
      <c r="I15" s="652">
        <f t="shared" si="24"/>
        <v>8.114993903520002</v>
      </c>
      <c r="J15" s="652">
        <f t="shared" si="24"/>
        <v>7.9526940254496017</v>
      </c>
      <c r="K15" s="652">
        <f t="shared" si="24"/>
        <v>7.7936401449406096</v>
      </c>
      <c r="L15" s="652">
        <f t="shared" si="24"/>
        <v>7.6377673420417977</v>
      </c>
      <c r="M15" s="652">
        <f t="shared" si="24"/>
        <v>7.4850119952009617</v>
      </c>
      <c r="N15" s="652">
        <f t="shared" si="24"/>
        <v>7.3353117552969422</v>
      </c>
      <c r="O15" s="652">
        <f t="shared" si="24"/>
        <v>7.1886055201910031</v>
      </c>
      <c r="P15" s="652">
        <f t="shared" si="24"/>
        <v>7.0448334097871825</v>
      </c>
      <c r="Q15" s="652">
        <f t="shared" si="24"/>
        <v>6.9039367415914388</v>
      </c>
      <c r="R15" s="652">
        <f t="shared" si="24"/>
        <v>6.7658580067596095</v>
      </c>
      <c r="S15" s="652">
        <f t="shared" si="25"/>
        <v>6.6981994266920131</v>
      </c>
      <c r="T15" s="652">
        <f t="shared" si="25"/>
        <v>6.6312174324250925</v>
      </c>
      <c r="U15" s="652">
        <f t="shared" si="25"/>
        <v>6.5649052581008416</v>
      </c>
      <c r="V15" s="652">
        <f t="shared" si="25"/>
        <v>6.4992562055198331</v>
      </c>
      <c r="W15" s="652">
        <f t="shared" si="25"/>
        <v>6.434263643464635</v>
      </c>
      <c r="X15" s="652">
        <f t="shared" si="25"/>
        <v>6.3699210070299888</v>
      </c>
      <c r="Y15" s="652">
        <f t="shared" si="25"/>
        <v>6.3062217969596892</v>
      </c>
      <c r="Z15" s="652">
        <f t="shared" si="25"/>
        <v>6.2431595789900927</v>
      </c>
      <c r="AA15" s="652">
        <f t="shared" si="25"/>
        <v>6.1807279832001916</v>
      </c>
      <c r="AB15" s="652">
        <f t="shared" si="25"/>
        <v>6.1189207033681896</v>
      </c>
      <c r="AC15" s="652">
        <f t="shared" si="26"/>
        <v>6.2718937209523942</v>
      </c>
      <c r="AD15" s="652">
        <f t="shared" si="26"/>
        <v>6.4286910639762036</v>
      </c>
      <c r="AE15" s="652">
        <f t="shared" si="26"/>
        <v>6.5894083405756083</v>
      </c>
      <c r="AF15" s="652">
        <f t="shared" si="26"/>
        <v>6.7541435490899984</v>
      </c>
      <c r="AG15" s="652">
        <f t="shared" si="26"/>
        <v>6.9229971378172479</v>
      </c>
      <c r="AH15" s="670">
        <v>0.02</v>
      </c>
      <c r="AI15" s="670">
        <v>-0.02</v>
      </c>
      <c r="AJ15" s="670">
        <v>-0.01</v>
      </c>
      <c r="AK15" s="670">
        <v>2.5000000000000001E-2</v>
      </c>
      <c r="AL15" s="652"/>
      <c r="AM15" s="212"/>
    </row>
    <row r="16" spans="1:55">
      <c r="A16" s="650" t="s">
        <v>1052</v>
      </c>
      <c r="B16" s="650" t="s">
        <v>899</v>
      </c>
      <c r="C16" s="651">
        <v>2.3964285714285718</v>
      </c>
      <c r="D16" s="651">
        <v>2.3964285714285718</v>
      </c>
      <c r="E16" s="651">
        <v>2.1758049886621316</v>
      </c>
      <c r="F16" s="651">
        <v>1.9432857142857145</v>
      </c>
      <c r="G16" s="651">
        <v>1.6728316326530615</v>
      </c>
      <c r="H16" s="651">
        <v>1.5104761904761907</v>
      </c>
      <c r="I16" s="651">
        <v>1.4005102040816326</v>
      </c>
      <c r="J16" s="651">
        <v>1.3080320699708456</v>
      </c>
      <c r="K16" s="651">
        <v>1.1239650145772595</v>
      </c>
      <c r="L16" s="651">
        <v>0.98613702623906718</v>
      </c>
      <c r="M16" s="651">
        <v>0.88921282798833823</v>
      </c>
      <c r="N16" s="651">
        <v>0.88921282798833823</v>
      </c>
      <c r="O16" s="651">
        <v>0.88921282798833823</v>
      </c>
      <c r="P16" s="651">
        <v>0.87142857142857144</v>
      </c>
      <c r="Q16" s="651">
        <v>0.87142857142857155</v>
      </c>
      <c r="R16" s="651">
        <v>0.88921282798833834</v>
      </c>
      <c r="S16" s="651">
        <v>0.88921282798833845</v>
      </c>
      <c r="T16" s="651">
        <v>0.90344023323615175</v>
      </c>
      <c r="U16" s="651">
        <v>0.90344023323615175</v>
      </c>
      <c r="V16" s="651">
        <v>0.90344023323615175</v>
      </c>
      <c r="W16" s="651">
        <v>0.90344023323615175</v>
      </c>
      <c r="X16" s="651">
        <v>0.90344023323615186</v>
      </c>
      <c r="Y16" s="651">
        <v>0.90344023323615175</v>
      </c>
      <c r="Z16" s="651">
        <v>0.90344023323615175</v>
      </c>
      <c r="AA16" s="651">
        <v>0.90344023323615175</v>
      </c>
      <c r="AB16" s="651">
        <v>0.90344023323615175</v>
      </c>
      <c r="AC16" s="651">
        <v>0.88921282798833834</v>
      </c>
      <c r="AD16" s="651">
        <v>0.88921282798833834</v>
      </c>
      <c r="AE16" s="651">
        <v>0.88921282798833834</v>
      </c>
      <c r="AF16" s="651">
        <v>0.88921282798833823</v>
      </c>
      <c r="AG16" s="651">
        <v>0.88921282798833823</v>
      </c>
      <c r="AH16" s="657"/>
      <c r="AI16" s="657"/>
      <c r="AJ16" s="657"/>
      <c r="AK16" s="657"/>
      <c r="AL16" s="652"/>
      <c r="AM16" s="908" t="s">
        <v>900</v>
      </c>
    </row>
    <row r="17" spans="1:49" ht="28.8">
      <c r="A17" s="650" t="s">
        <v>1051</v>
      </c>
      <c r="B17" s="650" t="s">
        <v>899</v>
      </c>
      <c r="C17" s="651">
        <v>2.0334192230351249</v>
      </c>
      <c r="D17" s="651">
        <v>2.0334192230351249</v>
      </c>
      <c r="E17" s="651">
        <v>2.1642995080283161</v>
      </c>
      <c r="F17" s="651">
        <v>2.2359561058752355</v>
      </c>
      <c r="G17" s="651">
        <v>2.2380733298372473</v>
      </c>
      <c r="H17" s="651">
        <v>2.3266148029847624</v>
      </c>
      <c r="I17" s="651">
        <v>0.99733670886975823</v>
      </c>
      <c r="J17" s="651">
        <v>0.99064315116566348</v>
      </c>
      <c r="K17" s="651">
        <v>0.89495065969189547</v>
      </c>
      <c r="L17" s="651">
        <v>0.81859665511970192</v>
      </c>
      <c r="M17" s="651">
        <v>0.77649244378037352</v>
      </c>
      <c r="N17" s="651">
        <v>0.82556219492713367</v>
      </c>
      <c r="O17" s="651">
        <v>0.87789832169047699</v>
      </c>
      <c r="P17" s="651">
        <v>0.91897893167537426</v>
      </c>
      <c r="Q17" s="651">
        <v>0.97750496659124764</v>
      </c>
      <c r="R17" s="651">
        <v>1.0615692047532148</v>
      </c>
      <c r="S17" s="651">
        <v>1.1337623910043337</v>
      </c>
      <c r="T17" s="651">
        <v>1.2312109028405942</v>
      </c>
      <c r="U17" s="651">
        <v>1.3132587628875303</v>
      </c>
      <c r="V17" s="651">
        <v>1.4007941069787311</v>
      </c>
      <c r="W17" s="651">
        <v>1.4948746348432689</v>
      </c>
      <c r="X17" s="651">
        <v>1.5952661076910282</v>
      </c>
      <c r="Y17" s="651">
        <v>1.7016853406095427</v>
      </c>
      <c r="Z17" s="651">
        <v>1.8152751104093481</v>
      </c>
      <c r="AA17" s="651">
        <v>1.9372954299702423</v>
      </c>
      <c r="AB17" s="651">
        <v>2.0667734379879539</v>
      </c>
      <c r="AC17" s="651">
        <v>2.1709013980250171</v>
      </c>
      <c r="AD17" s="651">
        <v>2.3121546633579024</v>
      </c>
      <c r="AE17" s="651">
        <v>2.4604122273848281</v>
      </c>
      <c r="AF17" s="651">
        <v>2.6196598066757639</v>
      </c>
      <c r="AG17" s="651">
        <v>2.7916120300356155</v>
      </c>
      <c r="AH17" s="670"/>
      <c r="AI17" s="670"/>
      <c r="AJ17" s="670"/>
      <c r="AK17" s="670"/>
      <c r="AL17" s="652"/>
      <c r="AM17" s="908"/>
    </row>
    <row r="18" spans="1:49" s="112" customFormat="1">
      <c r="A18" s="650" t="s">
        <v>73</v>
      </c>
      <c r="B18" s="654"/>
      <c r="C18" s="651">
        <f t="shared" ref="C18:AG18" si="27">C17+C16+C15</f>
        <v>11.929847794463697</v>
      </c>
      <c r="D18" s="651">
        <f t="shared" si="27"/>
        <v>12.079847794463697</v>
      </c>
      <c r="E18" s="651">
        <f t="shared" si="27"/>
        <v>12.143104496690448</v>
      </c>
      <c r="F18" s="651">
        <f t="shared" si="27"/>
        <v>12.138301820160951</v>
      </c>
      <c r="G18" s="651">
        <f t="shared" si="27"/>
        <v>12.02914616249031</v>
      </c>
      <c r="H18" s="651">
        <f t="shared" si="27"/>
        <v>12.117697017460955</v>
      </c>
      <c r="I18" s="651">
        <f t="shared" si="27"/>
        <v>10.512840816471392</v>
      </c>
      <c r="J18" s="651">
        <f t="shared" si="27"/>
        <v>10.251369246586112</v>
      </c>
      <c r="K18" s="651">
        <f t="shared" si="27"/>
        <v>9.8125558192097646</v>
      </c>
      <c r="L18" s="651">
        <f t="shared" si="27"/>
        <v>9.4425010234005669</v>
      </c>
      <c r="M18" s="651">
        <f t="shared" si="27"/>
        <v>9.1507172669696732</v>
      </c>
      <c r="N18" s="651">
        <f t="shared" si="27"/>
        <v>9.0500867782124139</v>
      </c>
      <c r="O18" s="651">
        <f t="shared" si="27"/>
        <v>8.955716669869819</v>
      </c>
      <c r="P18" s="651">
        <f t="shared" si="27"/>
        <v>8.8352409128911287</v>
      </c>
      <c r="Q18" s="651">
        <f t="shared" si="27"/>
        <v>8.7528702796112583</v>
      </c>
      <c r="R18" s="651">
        <f t="shared" si="27"/>
        <v>8.7166400395011632</v>
      </c>
      <c r="S18" s="651">
        <f t="shared" si="27"/>
        <v>8.7211746456846857</v>
      </c>
      <c r="T18" s="651">
        <f t="shared" si="27"/>
        <v>8.7658685685018387</v>
      </c>
      <c r="U18" s="651">
        <f t="shared" si="27"/>
        <v>8.7816042542245238</v>
      </c>
      <c r="V18" s="651">
        <f t="shared" si="27"/>
        <v>8.8034905457347161</v>
      </c>
      <c r="W18" s="651">
        <f t="shared" si="27"/>
        <v>8.8325785115440567</v>
      </c>
      <c r="X18" s="651">
        <f t="shared" si="27"/>
        <v>8.8686273479571689</v>
      </c>
      <c r="Y18" s="651">
        <f t="shared" si="27"/>
        <v>8.9113473708053839</v>
      </c>
      <c r="Z18" s="651">
        <f t="shared" si="27"/>
        <v>8.9618749226355927</v>
      </c>
      <c r="AA18" s="651">
        <f t="shared" si="27"/>
        <v>9.0214636464065858</v>
      </c>
      <c r="AB18" s="651">
        <f t="shared" si="27"/>
        <v>9.0891343745922946</v>
      </c>
      <c r="AC18" s="651">
        <f t="shared" si="27"/>
        <v>9.3320079469657493</v>
      </c>
      <c r="AD18" s="651">
        <f t="shared" si="27"/>
        <v>9.630058555322444</v>
      </c>
      <c r="AE18" s="651">
        <f t="shared" si="27"/>
        <v>9.9390333959487744</v>
      </c>
      <c r="AF18" s="651">
        <f t="shared" si="27"/>
        <v>10.2630161837541</v>
      </c>
      <c r="AG18" s="651">
        <f t="shared" si="27"/>
        <v>10.603821995841201</v>
      </c>
      <c r="AH18" s="657"/>
      <c r="AI18" s="657"/>
      <c r="AJ18" s="657"/>
      <c r="AK18" s="657"/>
      <c r="AL18" s="655">
        <v>0</v>
      </c>
      <c r="AM18" s="5" t="s">
        <v>679</v>
      </c>
      <c r="AN18" s="513" t="s">
        <v>720</v>
      </c>
      <c r="AO18" s="513" t="s">
        <v>721</v>
      </c>
      <c r="AP18" s="513" t="s">
        <v>722</v>
      </c>
      <c r="AQ18" s="513" t="s">
        <v>723</v>
      </c>
      <c r="AR18" s="513" t="s">
        <v>724</v>
      </c>
      <c r="AS18" s="513" t="s">
        <v>725</v>
      </c>
      <c r="AT18" s="513" t="s">
        <v>726</v>
      </c>
      <c r="AU18" s="513" t="s">
        <v>727</v>
      </c>
      <c r="AV18" s="513" t="s">
        <v>728</v>
      </c>
      <c r="AW18" s="513" t="s">
        <v>729</v>
      </c>
    </row>
    <row r="19" spans="1:49">
      <c r="A19" s="407" t="s">
        <v>74</v>
      </c>
      <c r="B19" s="407"/>
      <c r="C19" s="465">
        <v>9900</v>
      </c>
      <c r="D19" s="322">
        <f t="shared" si="23"/>
        <v>9751.5</v>
      </c>
      <c r="E19" s="322">
        <f t="shared" si="23"/>
        <v>9605.2274999999991</v>
      </c>
      <c r="F19" s="322">
        <f t="shared" si="23"/>
        <v>9461.1490874999981</v>
      </c>
      <c r="G19" s="322">
        <f t="shared" si="23"/>
        <v>9319.2318511874983</v>
      </c>
      <c r="H19" s="322">
        <f t="shared" si="23"/>
        <v>9179.4433734196864</v>
      </c>
      <c r="I19" s="322">
        <f t="shared" ref="I19:R19" si="28">H19*(1+$AI19)</f>
        <v>8949.9572890841937</v>
      </c>
      <c r="J19" s="322">
        <f t="shared" si="28"/>
        <v>8726.2083568570888</v>
      </c>
      <c r="K19" s="322">
        <f t="shared" si="28"/>
        <v>8508.0531479356614</v>
      </c>
      <c r="L19" s="322">
        <f t="shared" si="28"/>
        <v>8295.3518192372703</v>
      </c>
      <c r="M19" s="322">
        <f t="shared" si="28"/>
        <v>8087.968023756338</v>
      </c>
      <c r="N19" s="322">
        <f t="shared" si="28"/>
        <v>7885.7688231624297</v>
      </c>
      <c r="O19" s="322">
        <f t="shared" si="28"/>
        <v>7688.6246025833689</v>
      </c>
      <c r="P19" s="322">
        <f t="shared" si="28"/>
        <v>7496.4089875187847</v>
      </c>
      <c r="Q19" s="322">
        <f t="shared" si="28"/>
        <v>7308.9987628308145</v>
      </c>
      <c r="R19" s="322">
        <f t="shared" si="28"/>
        <v>7126.2737937600441</v>
      </c>
      <c r="S19" s="322">
        <f t="shared" ref="S19:AB19" si="29">R19*(1+$AJ19)</f>
        <v>7055.0110558224433</v>
      </c>
      <c r="T19" s="322">
        <f t="shared" si="29"/>
        <v>6984.4609452642189</v>
      </c>
      <c r="U19" s="322">
        <f t="shared" si="29"/>
        <v>6914.6163358115764</v>
      </c>
      <c r="V19" s="322">
        <f t="shared" si="29"/>
        <v>6845.4701724534607</v>
      </c>
      <c r="W19" s="322">
        <f t="shared" si="29"/>
        <v>6777.0154707289257</v>
      </c>
      <c r="X19" s="322">
        <f t="shared" si="29"/>
        <v>6709.2453160216364</v>
      </c>
      <c r="Y19" s="322">
        <f t="shared" si="29"/>
        <v>6642.1528628614196</v>
      </c>
      <c r="Z19" s="322">
        <f t="shared" si="29"/>
        <v>6575.7313342328052</v>
      </c>
      <c r="AA19" s="322">
        <f t="shared" si="29"/>
        <v>6509.9740208904768</v>
      </c>
      <c r="AB19" s="322">
        <f t="shared" si="29"/>
        <v>6444.8742806815717</v>
      </c>
      <c r="AC19" s="322">
        <f t="shared" si="26"/>
        <v>6509.3230234883877</v>
      </c>
      <c r="AD19" s="322">
        <f t="shared" si="26"/>
        <v>6574.4162537232714</v>
      </c>
      <c r="AE19" s="322">
        <f t="shared" si="26"/>
        <v>6640.1604162605045</v>
      </c>
      <c r="AF19" s="322">
        <f t="shared" si="26"/>
        <v>6706.56202042311</v>
      </c>
      <c r="AG19" s="322">
        <f t="shared" si="26"/>
        <v>6773.627640627341</v>
      </c>
      <c r="AH19" s="466">
        <v>-1.4999999999999999E-2</v>
      </c>
      <c r="AI19" s="466">
        <v>-2.5000000000000001E-2</v>
      </c>
      <c r="AJ19" s="466">
        <v>-0.01</v>
      </c>
      <c r="AK19" s="466">
        <v>0.01</v>
      </c>
      <c r="AL19" s="43"/>
      <c r="AN19" s="333">
        <f>AG19*(1+$AK19)</f>
        <v>6841.3639170336146</v>
      </c>
      <c r="AO19" s="333">
        <f>AN19*(1+$AK19)</f>
        <v>6909.7775562039506</v>
      </c>
      <c r="AP19" s="333">
        <f t="shared" ref="AP19:AW20" si="30">AO19*(1+$AK19)</f>
        <v>6978.8753317659903</v>
      </c>
      <c r="AQ19" s="333">
        <f t="shared" si="30"/>
        <v>7048.6640850836502</v>
      </c>
      <c r="AR19" s="333">
        <f t="shared" si="30"/>
        <v>7119.1507259344871</v>
      </c>
      <c r="AS19" s="333">
        <f t="shared" si="30"/>
        <v>7190.3422331938318</v>
      </c>
      <c r="AT19" s="333">
        <f t="shared" si="30"/>
        <v>7262.2456555257704</v>
      </c>
      <c r="AU19" s="333">
        <f t="shared" si="30"/>
        <v>7334.8681120810279</v>
      </c>
      <c r="AV19" s="333">
        <f t="shared" si="30"/>
        <v>7408.2167932018383</v>
      </c>
      <c r="AW19" s="333">
        <f t="shared" si="30"/>
        <v>7482.2989611338571</v>
      </c>
    </row>
    <row r="20" spans="1:49">
      <c r="A20" s="407" t="s">
        <v>75</v>
      </c>
      <c r="B20" s="407"/>
      <c r="C20" s="463">
        <v>36000</v>
      </c>
      <c r="D20" s="322">
        <f t="shared" si="23"/>
        <v>34920</v>
      </c>
      <c r="E20" s="322">
        <f t="shared" si="23"/>
        <v>33872.400000000001</v>
      </c>
      <c r="F20" s="322">
        <f t="shared" si="23"/>
        <v>32856.228000000003</v>
      </c>
      <c r="G20" s="322">
        <f t="shared" si="23"/>
        <v>31870.541160000001</v>
      </c>
      <c r="H20" s="322">
        <f t="shared" si="23"/>
        <v>30914.424925200001</v>
      </c>
      <c r="I20" s="322">
        <f t="shared" ref="I20:R20" si="31">H20*(1+$AI20)</f>
        <v>29986.992177444001</v>
      </c>
      <c r="J20" s="322">
        <f t="shared" si="31"/>
        <v>29087.382412120682</v>
      </c>
      <c r="K20" s="322">
        <f t="shared" si="31"/>
        <v>28214.76093975706</v>
      </c>
      <c r="L20" s="322">
        <f t="shared" si="31"/>
        <v>27368.318111564346</v>
      </c>
      <c r="M20" s="322">
        <f t="shared" si="31"/>
        <v>26547.268568217416</v>
      </c>
      <c r="N20" s="322">
        <f t="shared" si="31"/>
        <v>25750.850511170895</v>
      </c>
      <c r="O20" s="322">
        <f t="shared" si="31"/>
        <v>24978.324995835766</v>
      </c>
      <c r="P20" s="322">
        <f t="shared" si="31"/>
        <v>24228.975245960693</v>
      </c>
      <c r="Q20" s="322">
        <f t="shared" si="31"/>
        <v>23502.105988581872</v>
      </c>
      <c r="R20" s="322">
        <f t="shared" si="31"/>
        <v>22797.042808924416</v>
      </c>
      <c r="S20" s="322">
        <f t="shared" ref="S20:AB20" si="32">R20*(1+$AJ20)</f>
        <v>22341.101952745928</v>
      </c>
      <c r="T20" s="322">
        <f t="shared" si="32"/>
        <v>21894.279913691011</v>
      </c>
      <c r="U20" s="322">
        <f t="shared" si="32"/>
        <v>21456.39431541719</v>
      </c>
      <c r="V20" s="322">
        <f t="shared" si="32"/>
        <v>21027.266429108848</v>
      </c>
      <c r="W20" s="322">
        <f t="shared" si="32"/>
        <v>20606.721100526669</v>
      </c>
      <c r="X20" s="322">
        <f t="shared" si="32"/>
        <v>20194.586678516134</v>
      </c>
      <c r="Y20" s="322">
        <f t="shared" si="32"/>
        <v>19790.694944945812</v>
      </c>
      <c r="Z20" s="322">
        <f t="shared" si="32"/>
        <v>19394.881046046896</v>
      </c>
      <c r="AA20" s="322">
        <f t="shared" si="32"/>
        <v>19006.983425125956</v>
      </c>
      <c r="AB20" s="322">
        <f t="shared" si="32"/>
        <v>18626.843756623435</v>
      </c>
      <c r="AC20" s="322">
        <f t="shared" si="26"/>
        <v>18813.112194189671</v>
      </c>
      <c r="AD20" s="322">
        <f t="shared" si="26"/>
        <v>19001.243316131568</v>
      </c>
      <c r="AE20" s="322">
        <f t="shared" si="26"/>
        <v>19191.255749292883</v>
      </c>
      <c r="AF20" s="322">
        <f t="shared" si="26"/>
        <v>19383.16830678581</v>
      </c>
      <c r="AG20" s="322">
        <f t="shared" si="26"/>
        <v>19576.99998985367</v>
      </c>
      <c r="AH20" s="466">
        <v>-0.03</v>
      </c>
      <c r="AI20" s="466">
        <v>-0.03</v>
      </c>
      <c r="AJ20" s="466">
        <v>-0.02</v>
      </c>
      <c r="AK20" s="466">
        <v>0.01</v>
      </c>
      <c r="AL20" s="43"/>
      <c r="AN20" s="333">
        <f>AG20*(1+$AK20)</f>
        <v>19772.769989752207</v>
      </c>
      <c r="AO20" s="333">
        <f>AN20*(1+$AK20)</f>
        <v>19970.497689649728</v>
      </c>
      <c r="AP20" s="333">
        <f t="shared" si="30"/>
        <v>20170.202666546225</v>
      </c>
      <c r="AQ20" s="333">
        <f t="shared" si="30"/>
        <v>20371.904693211687</v>
      </c>
      <c r="AR20" s="333">
        <f t="shared" si="30"/>
        <v>20575.623740143805</v>
      </c>
      <c r="AS20" s="333">
        <f t="shared" si="30"/>
        <v>20781.379977545243</v>
      </c>
      <c r="AT20" s="333">
        <f t="shared" si="30"/>
        <v>20989.193777320696</v>
      </c>
      <c r="AU20" s="333">
        <f t="shared" si="30"/>
        <v>21199.085715093901</v>
      </c>
      <c r="AV20" s="333">
        <f t="shared" si="30"/>
        <v>21411.076572244841</v>
      </c>
      <c r="AW20" s="333">
        <f t="shared" si="30"/>
        <v>21625.187337967291</v>
      </c>
    </row>
    <row r="21" spans="1:49">
      <c r="A21" s="407" t="s">
        <v>76</v>
      </c>
      <c r="B21" s="407"/>
      <c r="C21" s="463">
        <v>3050</v>
      </c>
      <c r="D21" s="322">
        <f t="shared" si="23"/>
        <v>3080.5</v>
      </c>
      <c r="E21" s="322">
        <f t="shared" si="23"/>
        <v>3111.3049999999998</v>
      </c>
      <c r="F21" s="322">
        <f t="shared" si="23"/>
        <v>3142.4180499999998</v>
      </c>
      <c r="G21" s="322">
        <f t="shared" si="23"/>
        <v>3173.8422304999999</v>
      </c>
      <c r="H21" s="322">
        <f t="shared" si="23"/>
        <v>3205.5806528049998</v>
      </c>
      <c r="I21" s="322">
        <f t="shared" ref="I21:R21" si="33">H21*(1+$AI21)</f>
        <v>3237.63645933305</v>
      </c>
      <c r="J21" s="322">
        <f t="shared" si="33"/>
        <v>3270.0128239263804</v>
      </c>
      <c r="K21" s="322">
        <f t="shared" si="33"/>
        <v>3302.7129521656443</v>
      </c>
      <c r="L21" s="322">
        <f t="shared" si="33"/>
        <v>3335.740081687301</v>
      </c>
      <c r="M21" s="322">
        <f t="shared" si="33"/>
        <v>3369.097482504174</v>
      </c>
      <c r="N21" s="322">
        <f t="shared" si="33"/>
        <v>3402.7884573292158</v>
      </c>
      <c r="O21" s="322">
        <f t="shared" si="33"/>
        <v>3436.8163419025082</v>
      </c>
      <c r="P21" s="322">
        <f t="shared" si="33"/>
        <v>3471.1845053215334</v>
      </c>
      <c r="Q21" s="322">
        <f t="shared" si="33"/>
        <v>3505.8963503747486</v>
      </c>
      <c r="R21" s="322">
        <f t="shared" si="33"/>
        <v>3540.9553138784963</v>
      </c>
      <c r="S21" s="322">
        <f t="shared" ref="S21:AB21" si="34">R21*(1+$AJ21)</f>
        <v>3576.3648670172815</v>
      </c>
      <c r="T21" s="322">
        <f t="shared" si="34"/>
        <v>3612.1285156874542</v>
      </c>
      <c r="U21" s="322">
        <f t="shared" si="34"/>
        <v>3648.2498008443285</v>
      </c>
      <c r="V21" s="322">
        <f t="shared" si="34"/>
        <v>3684.7322988527717</v>
      </c>
      <c r="W21" s="322">
        <f t="shared" si="34"/>
        <v>3721.5796218412993</v>
      </c>
      <c r="X21" s="322">
        <f t="shared" si="34"/>
        <v>3758.7954180597121</v>
      </c>
      <c r="Y21" s="322">
        <f t="shared" si="34"/>
        <v>3796.3833722403092</v>
      </c>
      <c r="Z21" s="322">
        <f t="shared" si="34"/>
        <v>3834.3472059627125</v>
      </c>
      <c r="AA21" s="322">
        <f t="shared" si="34"/>
        <v>3872.6906780223394</v>
      </c>
      <c r="AB21" s="322">
        <f t="shared" si="34"/>
        <v>3911.4175848025629</v>
      </c>
      <c r="AC21" s="322">
        <f t="shared" si="26"/>
        <v>3950.5317606505887</v>
      </c>
      <c r="AD21" s="322">
        <f t="shared" si="26"/>
        <v>3990.0370782570944</v>
      </c>
      <c r="AE21" s="322">
        <f t="shared" si="26"/>
        <v>4029.9374490396654</v>
      </c>
      <c r="AF21" s="322">
        <f t="shared" si="26"/>
        <v>4070.2368235300619</v>
      </c>
      <c r="AG21" s="322">
        <f t="shared" si="26"/>
        <v>4110.9391917653629</v>
      </c>
      <c r="AH21" s="466">
        <v>0.01</v>
      </c>
      <c r="AI21" s="466">
        <v>0.01</v>
      </c>
      <c r="AJ21" s="466">
        <v>0.01</v>
      </c>
      <c r="AK21" s="466">
        <v>0.01</v>
      </c>
      <c r="AL21" s="43"/>
    </row>
    <row r="22" spans="1:49">
      <c r="A22" s="407" t="s">
        <v>77</v>
      </c>
      <c r="B22" s="407"/>
      <c r="C22" s="463">
        <v>100000</v>
      </c>
      <c r="D22" s="322">
        <f t="shared" si="23"/>
        <v>101000</v>
      </c>
      <c r="E22" s="322">
        <f t="shared" si="23"/>
        <v>102010</v>
      </c>
      <c r="F22" s="322">
        <f t="shared" si="23"/>
        <v>103030.1</v>
      </c>
      <c r="G22" s="322">
        <f t="shared" si="23"/>
        <v>104060.40100000001</v>
      </c>
      <c r="H22" s="322">
        <f t="shared" si="23"/>
        <v>105101.00501000001</v>
      </c>
      <c r="I22" s="322">
        <f t="shared" ref="I22:R22" si="35">H22*(1+$AI22)</f>
        <v>106152.01506010001</v>
      </c>
      <c r="J22" s="322">
        <f t="shared" si="35"/>
        <v>107213.53521070101</v>
      </c>
      <c r="K22" s="322">
        <f t="shared" si="35"/>
        <v>108285.67056280802</v>
      </c>
      <c r="L22" s="322">
        <f t="shared" si="35"/>
        <v>109368.52726843611</v>
      </c>
      <c r="M22" s="322">
        <f t="shared" si="35"/>
        <v>110462.21254112048</v>
      </c>
      <c r="N22" s="322">
        <f t="shared" si="35"/>
        <v>111566.83466653168</v>
      </c>
      <c r="O22" s="322">
        <f t="shared" si="35"/>
        <v>112682.503013197</v>
      </c>
      <c r="P22" s="322">
        <f t="shared" si="35"/>
        <v>113809.32804332896</v>
      </c>
      <c r="Q22" s="322">
        <f t="shared" si="35"/>
        <v>114947.42132376225</v>
      </c>
      <c r="R22" s="322">
        <f t="shared" si="35"/>
        <v>116096.89553699987</v>
      </c>
      <c r="S22" s="322">
        <f t="shared" ref="S22:AB22" si="36">R22*(1+$AJ22)</f>
        <v>117257.86449236987</v>
      </c>
      <c r="T22" s="322">
        <f t="shared" si="36"/>
        <v>118430.44313729358</v>
      </c>
      <c r="U22" s="322">
        <f t="shared" si="36"/>
        <v>119614.74756866651</v>
      </c>
      <c r="V22" s="322">
        <f t="shared" si="36"/>
        <v>120810.89504435318</v>
      </c>
      <c r="W22" s="322">
        <f t="shared" si="36"/>
        <v>122019.00399479672</v>
      </c>
      <c r="X22" s="322">
        <f t="shared" si="36"/>
        <v>123239.19403474468</v>
      </c>
      <c r="Y22" s="322">
        <f t="shared" si="36"/>
        <v>124471.58597509212</v>
      </c>
      <c r="Z22" s="322">
        <f t="shared" si="36"/>
        <v>125716.30183484305</v>
      </c>
      <c r="AA22" s="322">
        <f t="shared" si="36"/>
        <v>126973.46485319149</v>
      </c>
      <c r="AB22" s="322">
        <f t="shared" si="36"/>
        <v>128243.1995017234</v>
      </c>
      <c r="AC22" s="322">
        <f t="shared" si="26"/>
        <v>129525.63149674064</v>
      </c>
      <c r="AD22" s="322">
        <f t="shared" si="26"/>
        <v>130820.88781170805</v>
      </c>
      <c r="AE22" s="322">
        <f t="shared" si="26"/>
        <v>132129.09668982512</v>
      </c>
      <c r="AF22" s="322">
        <f t="shared" si="26"/>
        <v>133450.38765672338</v>
      </c>
      <c r="AG22" s="322">
        <f t="shared" si="26"/>
        <v>134784.89153329062</v>
      </c>
      <c r="AH22" s="466">
        <v>0.01</v>
      </c>
      <c r="AI22" s="466">
        <v>0.01</v>
      </c>
      <c r="AJ22" s="466">
        <v>0.01</v>
      </c>
      <c r="AK22" s="466">
        <v>0.01</v>
      </c>
      <c r="AL22" s="43"/>
    </row>
    <row r="23" spans="1:49">
      <c r="A23" s="407" t="s">
        <v>78</v>
      </c>
      <c r="B23" s="407"/>
      <c r="C23" s="463">
        <v>56000</v>
      </c>
      <c r="D23" s="322">
        <f t="shared" si="23"/>
        <v>53200</v>
      </c>
      <c r="E23" s="322">
        <f t="shared" si="23"/>
        <v>50540</v>
      </c>
      <c r="F23" s="322">
        <f t="shared" si="23"/>
        <v>48013</v>
      </c>
      <c r="G23" s="322">
        <f t="shared" si="23"/>
        <v>45612.35</v>
      </c>
      <c r="H23" s="322">
        <f t="shared" si="23"/>
        <v>43331.732499999998</v>
      </c>
      <c r="I23" s="322">
        <f t="shared" ref="I23:R23" si="37">H23*(1+$AI23)</f>
        <v>41598.463199999998</v>
      </c>
      <c r="J23" s="322">
        <f t="shared" si="37"/>
        <v>39934.524672</v>
      </c>
      <c r="K23" s="322">
        <f t="shared" si="37"/>
        <v>38337.143685119998</v>
      </c>
      <c r="L23" s="322">
        <f t="shared" si="37"/>
        <v>36803.657937715194</v>
      </c>
      <c r="M23" s="322">
        <f t="shared" si="37"/>
        <v>35331.511620206584</v>
      </c>
      <c r="N23" s="322">
        <f t="shared" si="37"/>
        <v>33918.25115539832</v>
      </c>
      <c r="O23" s="322">
        <f t="shared" si="37"/>
        <v>32561.521109182388</v>
      </c>
      <c r="P23" s="322">
        <f t="shared" si="37"/>
        <v>31259.060264815093</v>
      </c>
      <c r="Q23" s="322">
        <f t="shared" si="37"/>
        <v>30008.697854222486</v>
      </c>
      <c r="R23" s="322">
        <f t="shared" si="37"/>
        <v>28808.349940053584</v>
      </c>
      <c r="S23" s="322">
        <f t="shared" ref="S23:AB23" si="38">R23*(1+$AJ23)</f>
        <v>29096.433439454118</v>
      </c>
      <c r="T23" s="322">
        <f t="shared" si="38"/>
        <v>29387.397773848661</v>
      </c>
      <c r="U23" s="322">
        <f t="shared" si="38"/>
        <v>29681.271751587148</v>
      </c>
      <c r="V23" s="322">
        <f t="shared" si="38"/>
        <v>29978.084469103022</v>
      </c>
      <c r="W23" s="322">
        <f t="shared" si="38"/>
        <v>30277.865313794053</v>
      </c>
      <c r="X23" s="322">
        <f t="shared" si="38"/>
        <v>30580.643966931995</v>
      </c>
      <c r="Y23" s="322">
        <f t="shared" si="38"/>
        <v>30886.450406601314</v>
      </c>
      <c r="Z23" s="322">
        <f t="shared" si="38"/>
        <v>31195.314910667326</v>
      </c>
      <c r="AA23" s="322">
        <f t="shared" si="38"/>
        <v>31507.268059774</v>
      </c>
      <c r="AB23" s="322">
        <f t="shared" si="38"/>
        <v>31822.340740371739</v>
      </c>
      <c r="AC23" s="322">
        <f t="shared" si="26"/>
        <v>32140.564147775458</v>
      </c>
      <c r="AD23" s="322">
        <f t="shared" si="26"/>
        <v>32461.969789253213</v>
      </c>
      <c r="AE23" s="322">
        <f t="shared" si="26"/>
        <v>32786.589487145742</v>
      </c>
      <c r="AF23" s="322">
        <f t="shared" si="26"/>
        <v>33114.4553820172</v>
      </c>
      <c r="AG23" s="322">
        <f t="shared" si="26"/>
        <v>33445.599935837374</v>
      </c>
      <c r="AH23" s="466">
        <v>-0.05</v>
      </c>
      <c r="AI23" s="466">
        <v>-0.04</v>
      </c>
      <c r="AJ23" s="466">
        <v>0.01</v>
      </c>
      <c r="AK23" s="466">
        <v>0.01</v>
      </c>
      <c r="AL23" s="43"/>
    </row>
    <row r="24" spans="1:49">
      <c r="A24" s="408"/>
      <c r="B24" s="408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  <c r="AD24" s="323"/>
      <c r="AE24" s="323"/>
      <c r="AF24" s="323"/>
      <c r="AG24" s="323"/>
      <c r="AH24" s="409"/>
      <c r="AI24" s="409"/>
      <c r="AJ24" s="409"/>
      <c r="AK24" s="409"/>
      <c r="AL24" s="148"/>
    </row>
    <row r="25" spans="1:49" s="4" customFormat="1">
      <c r="A25" s="903" t="s">
        <v>79</v>
      </c>
      <c r="B25" s="904"/>
      <c r="C25" s="399">
        <v>2025</v>
      </c>
      <c r="D25" s="399">
        <v>2026</v>
      </c>
      <c r="E25" s="399">
        <v>2027</v>
      </c>
      <c r="F25" s="399">
        <v>2028</v>
      </c>
      <c r="G25" s="399">
        <v>2029</v>
      </c>
      <c r="H25" s="399">
        <v>2030</v>
      </c>
      <c r="I25" s="399">
        <v>2031</v>
      </c>
      <c r="J25" s="399">
        <v>2032</v>
      </c>
      <c r="K25" s="399">
        <v>2033</v>
      </c>
      <c r="L25" s="399">
        <v>2034</v>
      </c>
      <c r="M25" s="399">
        <v>2035</v>
      </c>
      <c r="N25" s="399">
        <v>2036</v>
      </c>
      <c r="O25" s="399">
        <v>2037</v>
      </c>
      <c r="P25" s="399">
        <v>2038</v>
      </c>
      <c r="Q25" s="399">
        <v>2039</v>
      </c>
      <c r="R25" s="399">
        <v>2040</v>
      </c>
      <c r="S25" s="399">
        <v>2041</v>
      </c>
      <c r="T25" s="399">
        <v>2042</v>
      </c>
      <c r="U25" s="399">
        <v>2043</v>
      </c>
      <c r="V25" s="399">
        <v>2044</v>
      </c>
      <c r="W25" s="399">
        <v>2045</v>
      </c>
      <c r="X25" s="399">
        <v>2046</v>
      </c>
      <c r="Y25" s="399">
        <v>2047</v>
      </c>
      <c r="Z25" s="399">
        <v>2048</v>
      </c>
      <c r="AA25" s="399">
        <v>2049</v>
      </c>
      <c r="AB25" s="399">
        <v>2050</v>
      </c>
      <c r="AC25" s="399">
        <v>2051</v>
      </c>
      <c r="AD25" s="399">
        <v>2052</v>
      </c>
      <c r="AE25" s="399">
        <v>2053</v>
      </c>
      <c r="AF25" s="399">
        <v>2054</v>
      </c>
      <c r="AG25" s="399">
        <v>2055</v>
      </c>
      <c r="AH25" s="399"/>
      <c r="AI25" s="521"/>
      <c r="AJ25" s="521"/>
      <c r="AK25" s="521"/>
      <c r="AL25" s="521"/>
    </row>
    <row r="26" spans="1:49">
      <c r="A26" s="408" t="s">
        <v>19</v>
      </c>
      <c r="B26" s="408"/>
      <c r="C26" s="468">
        <v>525000</v>
      </c>
      <c r="D26" s="410">
        <f t="shared" ref="D26:H34" si="39">C26*(1+$AH26)</f>
        <v>535500</v>
      </c>
      <c r="E26" s="410">
        <f t="shared" si="39"/>
        <v>546210</v>
      </c>
      <c r="F26" s="410">
        <f t="shared" si="39"/>
        <v>557134.19999999995</v>
      </c>
      <c r="G26" s="410">
        <f t="shared" si="39"/>
        <v>568276.88399999996</v>
      </c>
      <c r="H26" s="410">
        <f t="shared" si="39"/>
        <v>579642.42168000003</v>
      </c>
      <c r="I26" s="410">
        <f t="shared" ref="I26:R26" si="40">H26*(1+$AI26)</f>
        <v>591235.27011360007</v>
      </c>
      <c r="J26" s="410">
        <f t="shared" si="40"/>
        <v>603059.97551587212</v>
      </c>
      <c r="K26" s="410">
        <f t="shared" si="40"/>
        <v>615121.17502618954</v>
      </c>
      <c r="L26" s="410">
        <f t="shared" si="40"/>
        <v>627423.59852671332</v>
      </c>
      <c r="M26" s="410">
        <f t="shared" si="40"/>
        <v>639972.07049724762</v>
      </c>
      <c r="N26" s="410">
        <f t="shared" si="40"/>
        <v>652771.51190719253</v>
      </c>
      <c r="O26" s="410">
        <f t="shared" si="40"/>
        <v>665826.94214533642</v>
      </c>
      <c r="P26" s="410">
        <f t="shared" si="40"/>
        <v>679143.48098824313</v>
      </c>
      <c r="Q26" s="410">
        <f t="shared" si="40"/>
        <v>692726.35060800798</v>
      </c>
      <c r="R26" s="410">
        <f t="shared" si="40"/>
        <v>706580.87762016815</v>
      </c>
      <c r="S26" s="410">
        <f t="shared" ref="S26:AB26" si="41">R26*(1+$AJ26)</f>
        <v>720712.49517257151</v>
      </c>
      <c r="T26" s="410">
        <f t="shared" si="41"/>
        <v>735126.74507602293</v>
      </c>
      <c r="U26" s="410">
        <f t="shared" si="41"/>
        <v>749829.2799775434</v>
      </c>
      <c r="V26" s="410">
        <f t="shared" si="41"/>
        <v>764825.86557709426</v>
      </c>
      <c r="W26" s="410">
        <f t="shared" si="41"/>
        <v>780122.3828886362</v>
      </c>
      <c r="X26" s="410">
        <f t="shared" si="41"/>
        <v>795724.83054640889</v>
      </c>
      <c r="Y26" s="410">
        <f t="shared" si="41"/>
        <v>811639.3271573371</v>
      </c>
      <c r="Z26" s="410">
        <f t="shared" si="41"/>
        <v>827872.11370048381</v>
      </c>
      <c r="AA26" s="410">
        <f t="shared" si="41"/>
        <v>844429.5559744935</v>
      </c>
      <c r="AB26" s="410">
        <f t="shared" si="41"/>
        <v>861318.14709398337</v>
      </c>
      <c r="AC26" s="410">
        <f>AB26*(1+$AK26)</f>
        <v>878544.51003586303</v>
      </c>
      <c r="AD26" s="410">
        <f>AC26*(1+$AK26)</f>
        <v>896115.40023658029</v>
      </c>
      <c r="AE26" s="410">
        <f>AD26*(1+$AK26)</f>
        <v>914037.70824131195</v>
      </c>
      <c r="AF26" s="410">
        <f>AE26*(1+$AK26)</f>
        <v>932318.46240613819</v>
      </c>
      <c r="AG26" s="410">
        <f>AF26*(1+$AK26)</f>
        <v>950964.83165426098</v>
      </c>
      <c r="AH26" s="470">
        <v>0.02</v>
      </c>
      <c r="AI26" s="470">
        <v>0.02</v>
      </c>
      <c r="AJ26" s="470">
        <v>0.02</v>
      </c>
      <c r="AK26" s="470">
        <v>0.02</v>
      </c>
      <c r="AL26" s="43"/>
    </row>
    <row r="27" spans="1:49">
      <c r="A27" s="408" t="s">
        <v>9</v>
      </c>
      <c r="B27" s="408"/>
      <c r="C27" s="468">
        <v>625000</v>
      </c>
      <c r="D27" s="410">
        <f t="shared" si="39"/>
        <v>637500</v>
      </c>
      <c r="E27" s="410">
        <f t="shared" si="39"/>
        <v>650250</v>
      </c>
      <c r="F27" s="410">
        <f t="shared" si="39"/>
        <v>663255</v>
      </c>
      <c r="G27" s="410">
        <f t="shared" si="39"/>
        <v>676520.1</v>
      </c>
      <c r="H27" s="410">
        <f t="shared" si="39"/>
        <v>690050.50199999998</v>
      </c>
      <c r="I27" s="410">
        <f t="shared" ref="I27:AG27" si="42">H27*(1+$AH27)</f>
        <v>703851.51203999994</v>
      </c>
      <c r="J27" s="410">
        <f t="shared" si="42"/>
        <v>717928.54228079994</v>
      </c>
      <c r="K27" s="410">
        <f t="shared" si="42"/>
        <v>732287.11312641599</v>
      </c>
      <c r="L27" s="410">
        <f t="shared" si="42"/>
        <v>746932.85538894427</v>
      </c>
      <c r="M27" s="410">
        <f t="shared" si="42"/>
        <v>761871.51249672321</v>
      </c>
      <c r="N27" s="410">
        <f t="shared" si="42"/>
        <v>777108.94274665765</v>
      </c>
      <c r="O27" s="410">
        <f t="shared" si="42"/>
        <v>792651.12160159077</v>
      </c>
      <c r="P27" s="410">
        <f t="shared" si="42"/>
        <v>808504.14403362258</v>
      </c>
      <c r="Q27" s="410">
        <f t="shared" si="42"/>
        <v>824674.226914295</v>
      </c>
      <c r="R27" s="410">
        <f t="shared" si="42"/>
        <v>841167.71145258087</v>
      </c>
      <c r="S27" s="410">
        <f t="shared" si="42"/>
        <v>857991.06568163249</v>
      </c>
      <c r="T27" s="410">
        <f t="shared" si="42"/>
        <v>875150.88699526514</v>
      </c>
      <c r="U27" s="410">
        <f t="shared" si="42"/>
        <v>892653.90473517042</v>
      </c>
      <c r="V27" s="410">
        <f t="shared" si="42"/>
        <v>910506.9828298738</v>
      </c>
      <c r="W27" s="410">
        <f t="shared" si="42"/>
        <v>928717.12248647131</v>
      </c>
      <c r="X27" s="410">
        <f t="shared" si="42"/>
        <v>947291.46493620076</v>
      </c>
      <c r="Y27" s="410">
        <f t="shared" si="42"/>
        <v>966237.29423492483</v>
      </c>
      <c r="Z27" s="410">
        <f t="shared" si="42"/>
        <v>985562.0401196233</v>
      </c>
      <c r="AA27" s="410">
        <f t="shared" si="42"/>
        <v>1005273.2809220158</v>
      </c>
      <c r="AB27" s="410">
        <f t="shared" si="42"/>
        <v>1025378.7465404561</v>
      </c>
      <c r="AC27" s="410">
        <f t="shared" si="42"/>
        <v>1045886.3214712652</v>
      </c>
      <c r="AD27" s="410">
        <f t="shared" si="42"/>
        <v>1066804.0479006905</v>
      </c>
      <c r="AE27" s="410">
        <f t="shared" si="42"/>
        <v>1088140.1288587044</v>
      </c>
      <c r="AF27" s="410">
        <f t="shared" si="42"/>
        <v>1109902.9314358784</v>
      </c>
      <c r="AG27" s="410">
        <f t="shared" si="42"/>
        <v>1132100.9900645961</v>
      </c>
      <c r="AH27" s="470">
        <v>0.02</v>
      </c>
      <c r="AI27" s="470">
        <v>0.02</v>
      </c>
      <c r="AJ27" s="470">
        <v>0.02</v>
      </c>
      <c r="AK27" s="470">
        <v>0.02</v>
      </c>
      <c r="AL27" s="43"/>
    </row>
    <row r="28" spans="1:49">
      <c r="A28" s="408" t="s">
        <v>11</v>
      </c>
      <c r="B28" s="408"/>
      <c r="C28" s="468">
        <v>650000</v>
      </c>
      <c r="D28" s="410">
        <f t="shared" si="39"/>
        <v>663000</v>
      </c>
      <c r="E28" s="410">
        <f t="shared" si="39"/>
        <v>676260</v>
      </c>
      <c r="F28" s="410">
        <f t="shared" si="39"/>
        <v>689785.20000000007</v>
      </c>
      <c r="G28" s="410">
        <f t="shared" si="39"/>
        <v>703580.9040000001</v>
      </c>
      <c r="H28" s="410">
        <f t="shared" si="39"/>
        <v>717652.52208000014</v>
      </c>
      <c r="I28" s="410">
        <f t="shared" ref="I28:AG28" si="43">H28*(1+$AH28)</f>
        <v>732005.57252160017</v>
      </c>
      <c r="J28" s="410">
        <f t="shared" si="43"/>
        <v>746645.68397203216</v>
      </c>
      <c r="K28" s="410">
        <f t="shared" si="43"/>
        <v>761578.59765147278</v>
      </c>
      <c r="L28" s="410">
        <f t="shared" si="43"/>
        <v>776810.16960450227</v>
      </c>
      <c r="M28" s="410">
        <f t="shared" si="43"/>
        <v>792346.37299659231</v>
      </c>
      <c r="N28" s="410">
        <f t="shared" si="43"/>
        <v>808193.30045652413</v>
      </c>
      <c r="O28" s="410">
        <f t="shared" si="43"/>
        <v>824357.16646565462</v>
      </c>
      <c r="P28" s="410">
        <f t="shared" si="43"/>
        <v>840844.30979496776</v>
      </c>
      <c r="Q28" s="410">
        <f t="shared" si="43"/>
        <v>857661.1959908671</v>
      </c>
      <c r="R28" s="410">
        <f t="shared" si="43"/>
        <v>874814.41991068446</v>
      </c>
      <c r="S28" s="410">
        <f t="shared" si="43"/>
        <v>892310.70830889815</v>
      </c>
      <c r="T28" s="410">
        <f t="shared" si="43"/>
        <v>910156.92247507616</v>
      </c>
      <c r="U28" s="410">
        <f t="shared" si="43"/>
        <v>928360.06092457776</v>
      </c>
      <c r="V28" s="410">
        <f t="shared" si="43"/>
        <v>946927.2621430693</v>
      </c>
      <c r="W28" s="410">
        <f t="shared" si="43"/>
        <v>965865.80738593068</v>
      </c>
      <c r="X28" s="410">
        <f t="shared" si="43"/>
        <v>985183.12353364925</v>
      </c>
      <c r="Y28" s="410">
        <f t="shared" si="43"/>
        <v>1004886.7860043222</v>
      </c>
      <c r="Z28" s="410">
        <f t="shared" si="43"/>
        <v>1024984.5217244087</v>
      </c>
      <c r="AA28" s="410">
        <f t="shared" si="43"/>
        <v>1045484.212158897</v>
      </c>
      <c r="AB28" s="410">
        <f t="shared" si="43"/>
        <v>1066393.896402075</v>
      </c>
      <c r="AC28" s="410">
        <f t="shared" si="43"/>
        <v>1087721.7743301166</v>
      </c>
      <c r="AD28" s="410">
        <f t="shared" si="43"/>
        <v>1109476.2098167189</v>
      </c>
      <c r="AE28" s="410">
        <f t="shared" si="43"/>
        <v>1131665.7340130534</v>
      </c>
      <c r="AF28" s="410">
        <f t="shared" si="43"/>
        <v>1154299.0486933144</v>
      </c>
      <c r="AG28" s="410">
        <f t="shared" si="43"/>
        <v>1177385.0296671807</v>
      </c>
      <c r="AH28" s="470">
        <v>0.02</v>
      </c>
      <c r="AI28" s="470">
        <v>0.02</v>
      </c>
      <c r="AJ28" s="470">
        <v>0.02</v>
      </c>
      <c r="AK28" s="470">
        <v>0.02</v>
      </c>
      <c r="AL28" s="43"/>
    </row>
    <row r="29" spans="1:49" ht="18.75" customHeight="1">
      <c r="A29" s="408" t="s">
        <v>80</v>
      </c>
      <c r="B29" s="408"/>
      <c r="C29" s="468">
        <v>650000</v>
      </c>
      <c r="D29" s="410">
        <f t="shared" si="39"/>
        <v>663000</v>
      </c>
      <c r="E29" s="410">
        <f t="shared" si="39"/>
        <v>676260</v>
      </c>
      <c r="F29" s="410">
        <f t="shared" si="39"/>
        <v>689785.20000000007</v>
      </c>
      <c r="G29" s="410">
        <f t="shared" si="39"/>
        <v>703580.9040000001</v>
      </c>
      <c r="H29" s="410">
        <f t="shared" si="39"/>
        <v>717652.52208000014</v>
      </c>
      <c r="I29" s="410">
        <f t="shared" ref="I29:AG29" si="44">H29*(1+$AH29)</f>
        <v>732005.57252160017</v>
      </c>
      <c r="J29" s="410">
        <f t="shared" si="44"/>
        <v>746645.68397203216</v>
      </c>
      <c r="K29" s="410">
        <f t="shared" si="44"/>
        <v>761578.59765147278</v>
      </c>
      <c r="L29" s="410">
        <f t="shared" si="44"/>
        <v>776810.16960450227</v>
      </c>
      <c r="M29" s="410">
        <f t="shared" si="44"/>
        <v>792346.37299659231</v>
      </c>
      <c r="N29" s="410">
        <f t="shared" si="44"/>
        <v>808193.30045652413</v>
      </c>
      <c r="O29" s="410">
        <f t="shared" si="44"/>
        <v>824357.16646565462</v>
      </c>
      <c r="P29" s="410">
        <f t="shared" si="44"/>
        <v>840844.30979496776</v>
      </c>
      <c r="Q29" s="410">
        <f t="shared" si="44"/>
        <v>857661.1959908671</v>
      </c>
      <c r="R29" s="410">
        <f t="shared" si="44"/>
        <v>874814.41991068446</v>
      </c>
      <c r="S29" s="410">
        <f t="shared" si="44"/>
        <v>892310.70830889815</v>
      </c>
      <c r="T29" s="410">
        <f t="shared" si="44"/>
        <v>910156.92247507616</v>
      </c>
      <c r="U29" s="410">
        <f t="shared" si="44"/>
        <v>928360.06092457776</v>
      </c>
      <c r="V29" s="410">
        <f t="shared" si="44"/>
        <v>946927.2621430693</v>
      </c>
      <c r="W29" s="410">
        <f t="shared" si="44"/>
        <v>965865.80738593068</v>
      </c>
      <c r="X29" s="410">
        <f t="shared" si="44"/>
        <v>985183.12353364925</v>
      </c>
      <c r="Y29" s="410">
        <f t="shared" si="44"/>
        <v>1004886.7860043222</v>
      </c>
      <c r="Z29" s="410">
        <f t="shared" si="44"/>
        <v>1024984.5217244087</v>
      </c>
      <c r="AA29" s="410">
        <f t="shared" si="44"/>
        <v>1045484.212158897</v>
      </c>
      <c r="AB29" s="410">
        <f t="shared" si="44"/>
        <v>1066393.896402075</v>
      </c>
      <c r="AC29" s="410">
        <f t="shared" si="44"/>
        <v>1087721.7743301166</v>
      </c>
      <c r="AD29" s="410">
        <f t="shared" si="44"/>
        <v>1109476.2098167189</v>
      </c>
      <c r="AE29" s="410">
        <f t="shared" si="44"/>
        <v>1131665.7340130534</v>
      </c>
      <c r="AF29" s="410">
        <f t="shared" si="44"/>
        <v>1154299.0486933144</v>
      </c>
      <c r="AG29" s="410">
        <f t="shared" si="44"/>
        <v>1177385.0296671807</v>
      </c>
      <c r="AH29" s="470">
        <v>0.02</v>
      </c>
      <c r="AI29" s="470">
        <v>0.02</v>
      </c>
      <c r="AJ29" s="470">
        <v>0.02</v>
      </c>
      <c r="AK29" s="470">
        <v>0.02</v>
      </c>
      <c r="AL29" s="43"/>
    </row>
    <row r="30" spans="1:49">
      <c r="A30" s="408" t="s">
        <v>13</v>
      </c>
      <c r="B30" s="408"/>
      <c r="C30" s="469">
        <v>750000</v>
      </c>
      <c r="D30" s="410">
        <f t="shared" si="39"/>
        <v>765000</v>
      </c>
      <c r="E30" s="410">
        <f t="shared" si="39"/>
        <v>780300</v>
      </c>
      <c r="F30" s="410">
        <f t="shared" si="39"/>
        <v>795906</v>
      </c>
      <c r="G30" s="410">
        <f t="shared" si="39"/>
        <v>811824.12</v>
      </c>
      <c r="H30" s="410">
        <f t="shared" si="39"/>
        <v>828060.60239999997</v>
      </c>
      <c r="I30" s="410">
        <f t="shared" ref="I30:AG30" si="45">H30*(1+$AH30)</f>
        <v>844621.81444799993</v>
      </c>
      <c r="J30" s="410">
        <f t="shared" si="45"/>
        <v>861514.25073695998</v>
      </c>
      <c r="K30" s="410">
        <f t="shared" si="45"/>
        <v>878744.53575169924</v>
      </c>
      <c r="L30" s="410">
        <f t="shared" si="45"/>
        <v>896319.42646673322</v>
      </c>
      <c r="M30" s="410">
        <f t="shared" si="45"/>
        <v>914245.8149960679</v>
      </c>
      <c r="N30" s="410">
        <f t="shared" si="45"/>
        <v>932530.73129598924</v>
      </c>
      <c r="O30" s="410">
        <f t="shared" si="45"/>
        <v>951181.34592190909</v>
      </c>
      <c r="P30" s="410">
        <f t="shared" si="45"/>
        <v>970204.97284034733</v>
      </c>
      <c r="Q30" s="410">
        <f t="shared" si="45"/>
        <v>989609.07229715434</v>
      </c>
      <c r="R30" s="410">
        <f t="shared" si="45"/>
        <v>1009401.2537430974</v>
      </c>
      <c r="S30" s="410">
        <f t="shared" si="45"/>
        <v>1029589.2788179594</v>
      </c>
      <c r="T30" s="410">
        <f t="shared" si="45"/>
        <v>1050181.0643943185</v>
      </c>
      <c r="U30" s="410">
        <f t="shared" si="45"/>
        <v>1071184.6856822048</v>
      </c>
      <c r="V30" s="410">
        <f t="shared" si="45"/>
        <v>1092608.3793958488</v>
      </c>
      <c r="W30" s="410">
        <f t="shared" si="45"/>
        <v>1114460.5469837659</v>
      </c>
      <c r="X30" s="410">
        <f t="shared" si="45"/>
        <v>1136749.7579234412</v>
      </c>
      <c r="Y30" s="410">
        <f t="shared" si="45"/>
        <v>1159484.7530819101</v>
      </c>
      <c r="Z30" s="410">
        <f t="shared" si="45"/>
        <v>1182674.4481435483</v>
      </c>
      <c r="AA30" s="410">
        <f t="shared" si="45"/>
        <v>1206327.9371064194</v>
      </c>
      <c r="AB30" s="410">
        <f t="shared" si="45"/>
        <v>1230454.4958485477</v>
      </c>
      <c r="AC30" s="410">
        <f t="shared" si="45"/>
        <v>1255063.5857655187</v>
      </c>
      <c r="AD30" s="410">
        <f t="shared" si="45"/>
        <v>1280164.8574808291</v>
      </c>
      <c r="AE30" s="410">
        <f t="shared" si="45"/>
        <v>1305768.1546304456</v>
      </c>
      <c r="AF30" s="410">
        <f t="shared" si="45"/>
        <v>1331883.5177230546</v>
      </c>
      <c r="AG30" s="410">
        <f t="shared" si="45"/>
        <v>1358521.1880775157</v>
      </c>
      <c r="AH30" s="470">
        <v>0.02</v>
      </c>
      <c r="AI30" s="470">
        <v>0.02</v>
      </c>
      <c r="AJ30" s="470">
        <v>0.02</v>
      </c>
      <c r="AK30" s="470">
        <v>0.02</v>
      </c>
      <c r="AL30" s="148"/>
    </row>
    <row r="31" spans="1:49">
      <c r="A31" s="408" t="s">
        <v>81</v>
      </c>
      <c r="B31" s="408"/>
      <c r="C31" s="469">
        <v>650000</v>
      </c>
      <c r="D31" s="410">
        <f t="shared" si="39"/>
        <v>663000</v>
      </c>
      <c r="E31" s="410">
        <f t="shared" si="39"/>
        <v>676260</v>
      </c>
      <c r="F31" s="410">
        <f t="shared" si="39"/>
        <v>689785.20000000007</v>
      </c>
      <c r="G31" s="410">
        <f t="shared" si="39"/>
        <v>703580.9040000001</v>
      </c>
      <c r="H31" s="410">
        <f t="shared" si="39"/>
        <v>717652.52208000014</v>
      </c>
      <c r="I31" s="410">
        <f t="shared" ref="I31:AG31" si="46">H31*(1+$AH31)</f>
        <v>732005.57252160017</v>
      </c>
      <c r="J31" s="410">
        <f t="shared" si="46"/>
        <v>746645.68397203216</v>
      </c>
      <c r="K31" s="410">
        <f t="shared" si="46"/>
        <v>761578.59765147278</v>
      </c>
      <c r="L31" s="410">
        <f t="shared" si="46"/>
        <v>776810.16960450227</v>
      </c>
      <c r="M31" s="410">
        <f t="shared" si="46"/>
        <v>792346.37299659231</v>
      </c>
      <c r="N31" s="410">
        <f t="shared" si="46"/>
        <v>808193.30045652413</v>
      </c>
      <c r="O31" s="410">
        <f t="shared" si="46"/>
        <v>824357.16646565462</v>
      </c>
      <c r="P31" s="410">
        <f t="shared" si="46"/>
        <v>840844.30979496776</v>
      </c>
      <c r="Q31" s="410">
        <f t="shared" si="46"/>
        <v>857661.1959908671</v>
      </c>
      <c r="R31" s="410">
        <f t="shared" si="46"/>
        <v>874814.41991068446</v>
      </c>
      <c r="S31" s="410">
        <f t="shared" si="46"/>
        <v>892310.70830889815</v>
      </c>
      <c r="T31" s="410">
        <f t="shared" si="46"/>
        <v>910156.92247507616</v>
      </c>
      <c r="U31" s="410">
        <f t="shared" si="46"/>
        <v>928360.06092457776</v>
      </c>
      <c r="V31" s="410">
        <f t="shared" si="46"/>
        <v>946927.2621430693</v>
      </c>
      <c r="W31" s="410">
        <f t="shared" si="46"/>
        <v>965865.80738593068</v>
      </c>
      <c r="X31" s="410">
        <f t="shared" si="46"/>
        <v>985183.12353364925</v>
      </c>
      <c r="Y31" s="410">
        <f t="shared" si="46"/>
        <v>1004886.7860043222</v>
      </c>
      <c r="Z31" s="410">
        <f t="shared" si="46"/>
        <v>1024984.5217244087</v>
      </c>
      <c r="AA31" s="410">
        <f t="shared" si="46"/>
        <v>1045484.212158897</v>
      </c>
      <c r="AB31" s="410">
        <f t="shared" si="46"/>
        <v>1066393.896402075</v>
      </c>
      <c r="AC31" s="410">
        <f t="shared" si="46"/>
        <v>1087721.7743301166</v>
      </c>
      <c r="AD31" s="410">
        <f t="shared" si="46"/>
        <v>1109476.2098167189</v>
      </c>
      <c r="AE31" s="410">
        <f t="shared" si="46"/>
        <v>1131665.7340130534</v>
      </c>
      <c r="AF31" s="410">
        <f t="shared" si="46"/>
        <v>1154299.0486933144</v>
      </c>
      <c r="AG31" s="410">
        <f t="shared" si="46"/>
        <v>1177385.0296671807</v>
      </c>
      <c r="AH31" s="470">
        <v>0.02</v>
      </c>
      <c r="AI31" s="470">
        <v>0.02</v>
      </c>
      <c r="AJ31" s="470">
        <v>0.02</v>
      </c>
      <c r="AK31" s="470">
        <v>0.02</v>
      </c>
      <c r="AL31" s="148"/>
    </row>
    <row r="32" spans="1:49">
      <c r="A32" s="408" t="s">
        <v>82</v>
      </c>
      <c r="B32" s="408"/>
      <c r="C32" s="469">
        <v>750000</v>
      </c>
      <c r="D32" s="410">
        <f t="shared" si="39"/>
        <v>765000</v>
      </c>
      <c r="E32" s="410">
        <f t="shared" si="39"/>
        <v>780300</v>
      </c>
      <c r="F32" s="410">
        <f t="shared" si="39"/>
        <v>795906</v>
      </c>
      <c r="G32" s="410">
        <f t="shared" si="39"/>
        <v>811824.12</v>
      </c>
      <c r="H32" s="410">
        <f t="shared" si="39"/>
        <v>828060.60239999997</v>
      </c>
      <c r="I32" s="410">
        <f t="shared" ref="I32:AG32" si="47">H32*(1+$AH32)</f>
        <v>844621.81444799993</v>
      </c>
      <c r="J32" s="410">
        <f t="shared" si="47"/>
        <v>861514.25073695998</v>
      </c>
      <c r="K32" s="410">
        <f t="shared" si="47"/>
        <v>878744.53575169924</v>
      </c>
      <c r="L32" s="410">
        <f t="shared" si="47"/>
        <v>896319.42646673322</v>
      </c>
      <c r="M32" s="410">
        <f t="shared" si="47"/>
        <v>914245.8149960679</v>
      </c>
      <c r="N32" s="410">
        <f t="shared" si="47"/>
        <v>932530.73129598924</v>
      </c>
      <c r="O32" s="410">
        <f t="shared" si="47"/>
        <v>951181.34592190909</v>
      </c>
      <c r="P32" s="410">
        <f t="shared" si="47"/>
        <v>970204.97284034733</v>
      </c>
      <c r="Q32" s="410">
        <f t="shared" si="47"/>
        <v>989609.07229715434</v>
      </c>
      <c r="R32" s="410">
        <f t="shared" si="47"/>
        <v>1009401.2537430974</v>
      </c>
      <c r="S32" s="410">
        <f t="shared" si="47"/>
        <v>1029589.2788179594</v>
      </c>
      <c r="T32" s="410">
        <f t="shared" si="47"/>
        <v>1050181.0643943185</v>
      </c>
      <c r="U32" s="410">
        <f t="shared" si="47"/>
        <v>1071184.6856822048</v>
      </c>
      <c r="V32" s="410">
        <f t="shared" si="47"/>
        <v>1092608.3793958488</v>
      </c>
      <c r="W32" s="410">
        <f t="shared" si="47"/>
        <v>1114460.5469837659</v>
      </c>
      <c r="X32" s="410">
        <f t="shared" si="47"/>
        <v>1136749.7579234412</v>
      </c>
      <c r="Y32" s="410">
        <f t="shared" si="47"/>
        <v>1159484.7530819101</v>
      </c>
      <c r="Z32" s="410">
        <f t="shared" si="47"/>
        <v>1182674.4481435483</v>
      </c>
      <c r="AA32" s="410">
        <f t="shared" si="47"/>
        <v>1206327.9371064194</v>
      </c>
      <c r="AB32" s="410">
        <f t="shared" si="47"/>
        <v>1230454.4958485477</v>
      </c>
      <c r="AC32" s="410">
        <f t="shared" si="47"/>
        <v>1255063.5857655187</v>
      </c>
      <c r="AD32" s="410">
        <f t="shared" si="47"/>
        <v>1280164.8574808291</v>
      </c>
      <c r="AE32" s="410">
        <f t="shared" si="47"/>
        <v>1305768.1546304456</v>
      </c>
      <c r="AF32" s="410">
        <f t="shared" si="47"/>
        <v>1331883.5177230546</v>
      </c>
      <c r="AG32" s="410">
        <f t="shared" si="47"/>
        <v>1358521.1880775157</v>
      </c>
      <c r="AH32" s="470">
        <v>0.02</v>
      </c>
      <c r="AI32" s="470">
        <v>0.02</v>
      </c>
      <c r="AJ32" s="470">
        <v>0.02</v>
      </c>
      <c r="AK32" s="470">
        <v>0.02</v>
      </c>
      <c r="AL32" s="148"/>
    </row>
    <row r="33" spans="1:38">
      <c r="A33" s="408" t="s">
        <v>37</v>
      </c>
      <c r="B33" s="408"/>
      <c r="C33" s="469">
        <v>650000</v>
      </c>
      <c r="D33" s="410">
        <f t="shared" si="39"/>
        <v>663000</v>
      </c>
      <c r="E33" s="410">
        <f t="shared" si="39"/>
        <v>676260</v>
      </c>
      <c r="F33" s="410">
        <f t="shared" si="39"/>
        <v>689785.20000000007</v>
      </c>
      <c r="G33" s="410">
        <f t="shared" si="39"/>
        <v>703580.9040000001</v>
      </c>
      <c r="H33" s="410">
        <f t="shared" si="39"/>
        <v>717652.52208000014</v>
      </c>
      <c r="I33" s="410">
        <f t="shared" ref="I33:AG33" si="48">H33*(1+$AH33)</f>
        <v>732005.57252160017</v>
      </c>
      <c r="J33" s="410">
        <f t="shared" si="48"/>
        <v>746645.68397203216</v>
      </c>
      <c r="K33" s="410">
        <f t="shared" si="48"/>
        <v>761578.59765147278</v>
      </c>
      <c r="L33" s="410">
        <f t="shared" si="48"/>
        <v>776810.16960450227</v>
      </c>
      <c r="M33" s="410">
        <f t="shared" si="48"/>
        <v>792346.37299659231</v>
      </c>
      <c r="N33" s="410">
        <f t="shared" si="48"/>
        <v>808193.30045652413</v>
      </c>
      <c r="O33" s="410">
        <f t="shared" si="48"/>
        <v>824357.16646565462</v>
      </c>
      <c r="P33" s="410">
        <f t="shared" si="48"/>
        <v>840844.30979496776</v>
      </c>
      <c r="Q33" s="410">
        <f t="shared" si="48"/>
        <v>857661.1959908671</v>
      </c>
      <c r="R33" s="410">
        <f t="shared" si="48"/>
        <v>874814.41991068446</v>
      </c>
      <c r="S33" s="410">
        <f t="shared" si="48"/>
        <v>892310.70830889815</v>
      </c>
      <c r="T33" s="410">
        <f t="shared" si="48"/>
        <v>910156.92247507616</v>
      </c>
      <c r="U33" s="410">
        <f t="shared" si="48"/>
        <v>928360.06092457776</v>
      </c>
      <c r="V33" s="410">
        <f t="shared" si="48"/>
        <v>946927.2621430693</v>
      </c>
      <c r="W33" s="410">
        <f t="shared" si="48"/>
        <v>965865.80738593068</v>
      </c>
      <c r="X33" s="410">
        <f t="shared" si="48"/>
        <v>985183.12353364925</v>
      </c>
      <c r="Y33" s="410">
        <f t="shared" si="48"/>
        <v>1004886.7860043222</v>
      </c>
      <c r="Z33" s="410">
        <f t="shared" si="48"/>
        <v>1024984.5217244087</v>
      </c>
      <c r="AA33" s="410">
        <f t="shared" si="48"/>
        <v>1045484.212158897</v>
      </c>
      <c r="AB33" s="410">
        <f t="shared" si="48"/>
        <v>1066393.896402075</v>
      </c>
      <c r="AC33" s="410">
        <f t="shared" si="48"/>
        <v>1087721.7743301166</v>
      </c>
      <c r="AD33" s="410">
        <f t="shared" si="48"/>
        <v>1109476.2098167189</v>
      </c>
      <c r="AE33" s="410">
        <f t="shared" si="48"/>
        <v>1131665.7340130534</v>
      </c>
      <c r="AF33" s="410">
        <f t="shared" si="48"/>
        <v>1154299.0486933144</v>
      </c>
      <c r="AG33" s="410">
        <f t="shared" si="48"/>
        <v>1177385.0296671807</v>
      </c>
      <c r="AH33" s="470">
        <v>0.02</v>
      </c>
      <c r="AI33" s="470">
        <v>0.02</v>
      </c>
      <c r="AJ33" s="470">
        <v>0.02</v>
      </c>
      <c r="AK33" s="470">
        <v>0.02</v>
      </c>
      <c r="AL33" s="148"/>
    </row>
    <row r="34" spans="1:38">
      <c r="A34" s="408" t="s">
        <v>28</v>
      </c>
      <c r="B34" s="408"/>
      <c r="C34" s="469">
        <v>750000</v>
      </c>
      <c r="D34" s="410">
        <f t="shared" si="39"/>
        <v>765000</v>
      </c>
      <c r="E34" s="410">
        <f t="shared" si="39"/>
        <v>780300</v>
      </c>
      <c r="F34" s="410">
        <f t="shared" si="39"/>
        <v>795906</v>
      </c>
      <c r="G34" s="410">
        <f t="shared" si="39"/>
        <v>811824.12</v>
      </c>
      <c r="H34" s="410">
        <f t="shared" si="39"/>
        <v>828060.60239999997</v>
      </c>
      <c r="I34" s="410">
        <f t="shared" ref="I34:AG34" si="49">H34*(1+$AH34)</f>
        <v>844621.81444799993</v>
      </c>
      <c r="J34" s="410">
        <f t="shared" si="49"/>
        <v>861514.25073695998</v>
      </c>
      <c r="K34" s="410">
        <f t="shared" si="49"/>
        <v>878744.53575169924</v>
      </c>
      <c r="L34" s="410">
        <f t="shared" si="49"/>
        <v>896319.42646673322</v>
      </c>
      <c r="M34" s="410">
        <f t="shared" si="49"/>
        <v>914245.8149960679</v>
      </c>
      <c r="N34" s="410">
        <f t="shared" si="49"/>
        <v>932530.73129598924</v>
      </c>
      <c r="O34" s="410">
        <f t="shared" si="49"/>
        <v>951181.34592190909</v>
      </c>
      <c r="P34" s="410">
        <f t="shared" si="49"/>
        <v>970204.97284034733</v>
      </c>
      <c r="Q34" s="410">
        <f t="shared" si="49"/>
        <v>989609.07229715434</v>
      </c>
      <c r="R34" s="410">
        <f t="shared" si="49"/>
        <v>1009401.2537430974</v>
      </c>
      <c r="S34" s="410">
        <f t="shared" si="49"/>
        <v>1029589.2788179594</v>
      </c>
      <c r="T34" s="410">
        <f t="shared" si="49"/>
        <v>1050181.0643943185</v>
      </c>
      <c r="U34" s="410">
        <f t="shared" si="49"/>
        <v>1071184.6856822048</v>
      </c>
      <c r="V34" s="410">
        <f t="shared" si="49"/>
        <v>1092608.3793958488</v>
      </c>
      <c r="W34" s="410">
        <f t="shared" si="49"/>
        <v>1114460.5469837659</v>
      </c>
      <c r="X34" s="410">
        <f t="shared" si="49"/>
        <v>1136749.7579234412</v>
      </c>
      <c r="Y34" s="410">
        <f t="shared" si="49"/>
        <v>1159484.7530819101</v>
      </c>
      <c r="Z34" s="410">
        <f t="shared" si="49"/>
        <v>1182674.4481435483</v>
      </c>
      <c r="AA34" s="410">
        <f t="shared" si="49"/>
        <v>1206327.9371064194</v>
      </c>
      <c r="AB34" s="410">
        <f t="shared" si="49"/>
        <v>1230454.4958485477</v>
      </c>
      <c r="AC34" s="410">
        <f t="shared" si="49"/>
        <v>1255063.5857655187</v>
      </c>
      <c r="AD34" s="410">
        <f t="shared" si="49"/>
        <v>1280164.8574808291</v>
      </c>
      <c r="AE34" s="410">
        <f t="shared" si="49"/>
        <v>1305768.1546304456</v>
      </c>
      <c r="AF34" s="410">
        <f t="shared" si="49"/>
        <v>1331883.5177230546</v>
      </c>
      <c r="AG34" s="410">
        <f t="shared" si="49"/>
        <v>1358521.1880775157</v>
      </c>
      <c r="AH34" s="470">
        <v>0.02</v>
      </c>
      <c r="AI34" s="470">
        <v>0.02</v>
      </c>
      <c r="AJ34" s="470">
        <v>0.02</v>
      </c>
      <c r="AK34" s="470">
        <v>0.02</v>
      </c>
      <c r="AL34" s="148"/>
    </row>
    <row r="35" spans="1:38">
      <c r="A35" s="408"/>
      <c r="B35" s="408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409"/>
      <c r="AI35" s="409"/>
      <c r="AJ35" s="409"/>
      <c r="AK35" s="409"/>
      <c r="AL35" s="148"/>
    </row>
    <row r="36" spans="1:38" s="4" customFormat="1">
      <c r="A36" s="903" t="s">
        <v>83</v>
      </c>
      <c r="B36" s="904"/>
      <c r="C36" s="399">
        <v>2025</v>
      </c>
      <c r="D36" s="399">
        <v>2026</v>
      </c>
      <c r="E36" s="399">
        <v>2027</v>
      </c>
      <c r="F36" s="399">
        <v>2028</v>
      </c>
      <c r="G36" s="399">
        <v>2029</v>
      </c>
      <c r="H36" s="399">
        <v>2030</v>
      </c>
      <c r="I36" s="399">
        <v>2031</v>
      </c>
      <c r="J36" s="399">
        <v>2032</v>
      </c>
      <c r="K36" s="399">
        <v>2033</v>
      </c>
      <c r="L36" s="399">
        <v>2034</v>
      </c>
      <c r="M36" s="399">
        <v>2035</v>
      </c>
      <c r="N36" s="399">
        <v>2036</v>
      </c>
      <c r="O36" s="399">
        <v>2037</v>
      </c>
      <c r="P36" s="399">
        <v>2038</v>
      </c>
      <c r="Q36" s="399">
        <v>2039</v>
      </c>
      <c r="R36" s="399">
        <v>2040</v>
      </c>
      <c r="S36" s="399">
        <v>2041</v>
      </c>
      <c r="T36" s="399">
        <v>2042</v>
      </c>
      <c r="U36" s="399">
        <v>2043</v>
      </c>
      <c r="V36" s="399">
        <v>2044</v>
      </c>
      <c r="W36" s="399">
        <v>2045</v>
      </c>
      <c r="X36" s="399">
        <v>2046</v>
      </c>
      <c r="Y36" s="399">
        <v>2047</v>
      </c>
      <c r="Z36" s="399">
        <v>2048</v>
      </c>
      <c r="AA36" s="399">
        <v>2049</v>
      </c>
      <c r="AB36" s="399">
        <v>2050</v>
      </c>
      <c r="AC36" s="399">
        <v>2051</v>
      </c>
      <c r="AD36" s="399">
        <v>2052</v>
      </c>
      <c r="AE36" s="399">
        <v>2053</v>
      </c>
      <c r="AF36" s="399">
        <v>2054</v>
      </c>
      <c r="AG36" s="399">
        <v>2055</v>
      </c>
      <c r="AH36" s="399"/>
      <c r="AI36" s="521"/>
      <c r="AJ36" s="521"/>
      <c r="AK36" s="521"/>
      <c r="AL36" s="521"/>
    </row>
    <row r="37" spans="1:38">
      <c r="A37" s="408" t="s">
        <v>19</v>
      </c>
      <c r="B37" s="408"/>
      <c r="C37" s="471">
        <v>1400000</v>
      </c>
      <c r="D37" s="410">
        <f t="shared" ref="D37:H45" si="50">C37*(1+$AH37)</f>
        <v>1344000</v>
      </c>
      <c r="E37" s="410">
        <f t="shared" si="50"/>
        <v>1290240</v>
      </c>
      <c r="F37" s="410">
        <f t="shared" si="50"/>
        <v>1238630.3999999999</v>
      </c>
      <c r="G37" s="410">
        <f t="shared" si="50"/>
        <v>1189085.1839999999</v>
      </c>
      <c r="H37" s="410">
        <f t="shared" si="50"/>
        <v>1141521.7766399998</v>
      </c>
      <c r="I37" s="410">
        <f t="shared" ref="I37:R37" si="51">H37*(1+$AI37)</f>
        <v>1130106.5588735999</v>
      </c>
      <c r="J37" s="410">
        <f t="shared" si="51"/>
        <v>1118805.4932848639</v>
      </c>
      <c r="K37" s="410">
        <f t="shared" si="51"/>
        <v>1107617.4383520153</v>
      </c>
      <c r="L37" s="410">
        <f t="shared" si="51"/>
        <v>1096541.2639684952</v>
      </c>
      <c r="M37" s="410">
        <f t="shared" si="51"/>
        <v>1085575.8513288102</v>
      </c>
      <c r="N37" s="410">
        <f t="shared" si="51"/>
        <v>1074720.0928155221</v>
      </c>
      <c r="O37" s="410">
        <f t="shared" si="51"/>
        <v>1063972.8918873668</v>
      </c>
      <c r="P37" s="410">
        <f t="shared" si="51"/>
        <v>1053333.1629684931</v>
      </c>
      <c r="Q37" s="410">
        <f t="shared" si="51"/>
        <v>1042799.8313388082</v>
      </c>
      <c r="R37" s="410">
        <f t="shared" si="51"/>
        <v>1032371.8330254201</v>
      </c>
      <c r="S37" s="410">
        <f t="shared" ref="S37:AB37" si="52">R37*(1+$AJ37)</f>
        <v>1042695.5513556743</v>
      </c>
      <c r="T37" s="410">
        <f t="shared" si="52"/>
        <v>1053122.5068692311</v>
      </c>
      <c r="U37" s="410">
        <f t="shared" si="52"/>
        <v>1063653.7319379235</v>
      </c>
      <c r="V37" s="410">
        <f t="shared" si="52"/>
        <v>1074290.2692573026</v>
      </c>
      <c r="W37" s="410">
        <f t="shared" si="52"/>
        <v>1085033.1719498758</v>
      </c>
      <c r="X37" s="410">
        <f t="shared" si="52"/>
        <v>1095883.5036693746</v>
      </c>
      <c r="Y37" s="410">
        <f t="shared" si="52"/>
        <v>1106842.3387060685</v>
      </c>
      <c r="Z37" s="410">
        <f t="shared" si="52"/>
        <v>1117910.7620931291</v>
      </c>
      <c r="AA37" s="410">
        <f t="shared" si="52"/>
        <v>1129089.8697140603</v>
      </c>
      <c r="AB37" s="410">
        <f t="shared" si="52"/>
        <v>1140380.768411201</v>
      </c>
      <c r="AC37" s="410">
        <f t="shared" ref="AC37:AG45" si="53">AB37*(1+$AK37)</f>
        <v>1151784.5760953131</v>
      </c>
      <c r="AD37" s="410">
        <f t="shared" si="53"/>
        <v>1163302.4218562662</v>
      </c>
      <c r="AE37" s="410">
        <f t="shared" si="53"/>
        <v>1174935.446074829</v>
      </c>
      <c r="AF37" s="410">
        <f t="shared" si="53"/>
        <v>1186684.8005355773</v>
      </c>
      <c r="AG37" s="410">
        <f t="shared" si="53"/>
        <v>1198551.6485409332</v>
      </c>
      <c r="AH37" s="409">
        <v>-0.04</v>
      </c>
      <c r="AI37" s="409">
        <v>-0.01</v>
      </c>
      <c r="AJ37" s="409">
        <v>0.01</v>
      </c>
      <c r="AK37" s="409">
        <v>0.01</v>
      </c>
      <c r="AL37" s="43"/>
    </row>
    <row r="38" spans="1:38">
      <c r="A38" s="408" t="s">
        <v>9</v>
      </c>
      <c r="B38" s="408"/>
      <c r="C38" s="471">
        <v>1400000</v>
      </c>
      <c r="D38" s="410">
        <f t="shared" si="50"/>
        <v>1344000</v>
      </c>
      <c r="E38" s="410">
        <f t="shared" si="50"/>
        <v>1290240</v>
      </c>
      <c r="F38" s="410">
        <f t="shared" si="50"/>
        <v>1238630.3999999999</v>
      </c>
      <c r="G38" s="410">
        <f t="shared" si="50"/>
        <v>1189085.1839999999</v>
      </c>
      <c r="H38" s="410">
        <f t="shared" si="50"/>
        <v>1141521.7766399998</v>
      </c>
      <c r="I38" s="410">
        <f t="shared" ref="I38:R38" si="54">H38*(1+$AI38)</f>
        <v>1130106.5588735999</v>
      </c>
      <c r="J38" s="410">
        <f t="shared" si="54"/>
        <v>1118805.4932848639</v>
      </c>
      <c r="K38" s="410">
        <f t="shared" si="54"/>
        <v>1107617.4383520153</v>
      </c>
      <c r="L38" s="410">
        <f t="shared" si="54"/>
        <v>1096541.2639684952</v>
      </c>
      <c r="M38" s="410">
        <f t="shared" si="54"/>
        <v>1085575.8513288102</v>
      </c>
      <c r="N38" s="410">
        <f t="shared" si="54"/>
        <v>1074720.0928155221</v>
      </c>
      <c r="O38" s="410">
        <f t="shared" si="54"/>
        <v>1063972.8918873668</v>
      </c>
      <c r="P38" s="410">
        <f t="shared" si="54"/>
        <v>1053333.1629684931</v>
      </c>
      <c r="Q38" s="410">
        <f t="shared" si="54"/>
        <v>1042799.8313388082</v>
      </c>
      <c r="R38" s="410">
        <f t="shared" si="54"/>
        <v>1032371.8330254201</v>
      </c>
      <c r="S38" s="410">
        <f t="shared" ref="S38:AB38" si="55">R38*(1+$AJ38)</f>
        <v>1042695.5513556743</v>
      </c>
      <c r="T38" s="410">
        <f t="shared" si="55"/>
        <v>1053122.5068692311</v>
      </c>
      <c r="U38" s="410">
        <f t="shared" si="55"/>
        <v>1063653.7319379235</v>
      </c>
      <c r="V38" s="410">
        <f t="shared" si="55"/>
        <v>1074290.2692573026</v>
      </c>
      <c r="W38" s="410">
        <f t="shared" si="55"/>
        <v>1085033.1719498758</v>
      </c>
      <c r="X38" s="410">
        <f t="shared" si="55"/>
        <v>1095883.5036693746</v>
      </c>
      <c r="Y38" s="410">
        <f t="shared" si="55"/>
        <v>1106842.3387060685</v>
      </c>
      <c r="Z38" s="410">
        <f t="shared" si="55"/>
        <v>1117910.7620931291</v>
      </c>
      <c r="AA38" s="410">
        <f t="shared" si="55"/>
        <v>1129089.8697140603</v>
      </c>
      <c r="AB38" s="410">
        <f t="shared" si="55"/>
        <v>1140380.768411201</v>
      </c>
      <c r="AC38" s="410">
        <f t="shared" si="53"/>
        <v>1151784.5760953131</v>
      </c>
      <c r="AD38" s="410">
        <f t="shared" si="53"/>
        <v>1163302.4218562662</v>
      </c>
      <c r="AE38" s="410">
        <f t="shared" si="53"/>
        <v>1174935.446074829</v>
      </c>
      <c r="AF38" s="410">
        <f t="shared" si="53"/>
        <v>1186684.8005355773</v>
      </c>
      <c r="AG38" s="410">
        <f t="shared" si="53"/>
        <v>1198551.6485409332</v>
      </c>
      <c r="AH38" s="409">
        <v>-0.04</v>
      </c>
      <c r="AI38" s="409">
        <v>-0.01</v>
      </c>
      <c r="AJ38" s="409">
        <v>0.01</v>
      </c>
      <c r="AK38" s="409">
        <v>0.01</v>
      </c>
      <c r="AL38" s="43"/>
    </row>
    <row r="39" spans="1:38">
      <c r="A39" s="408" t="s">
        <v>11</v>
      </c>
      <c r="B39" s="408"/>
      <c r="C39" s="471">
        <v>1400000</v>
      </c>
      <c r="D39" s="410">
        <f t="shared" si="50"/>
        <v>1344000</v>
      </c>
      <c r="E39" s="410">
        <f t="shared" si="50"/>
        <v>1290240</v>
      </c>
      <c r="F39" s="410">
        <f t="shared" si="50"/>
        <v>1238630.3999999999</v>
      </c>
      <c r="G39" s="410">
        <f t="shared" si="50"/>
        <v>1189085.1839999999</v>
      </c>
      <c r="H39" s="410">
        <f t="shared" si="50"/>
        <v>1141521.7766399998</v>
      </c>
      <c r="I39" s="410">
        <f t="shared" ref="I39:R39" si="56">H39*(1+$AI39)</f>
        <v>1130106.5588735999</v>
      </c>
      <c r="J39" s="410">
        <f t="shared" si="56"/>
        <v>1118805.4932848639</v>
      </c>
      <c r="K39" s="410">
        <f t="shared" si="56"/>
        <v>1107617.4383520153</v>
      </c>
      <c r="L39" s="410">
        <f t="shared" si="56"/>
        <v>1096541.2639684952</v>
      </c>
      <c r="M39" s="410">
        <f t="shared" si="56"/>
        <v>1085575.8513288102</v>
      </c>
      <c r="N39" s="410">
        <f t="shared" si="56"/>
        <v>1074720.0928155221</v>
      </c>
      <c r="O39" s="410">
        <f t="shared" si="56"/>
        <v>1063972.8918873668</v>
      </c>
      <c r="P39" s="410">
        <f t="shared" si="56"/>
        <v>1053333.1629684931</v>
      </c>
      <c r="Q39" s="410">
        <f t="shared" si="56"/>
        <v>1042799.8313388082</v>
      </c>
      <c r="R39" s="410">
        <f t="shared" si="56"/>
        <v>1032371.8330254201</v>
      </c>
      <c r="S39" s="410">
        <f t="shared" ref="S39:AB39" si="57">R39*(1+$AJ39)</f>
        <v>1042695.5513556743</v>
      </c>
      <c r="T39" s="410">
        <f t="shared" si="57"/>
        <v>1053122.5068692311</v>
      </c>
      <c r="U39" s="410">
        <f t="shared" si="57"/>
        <v>1063653.7319379235</v>
      </c>
      <c r="V39" s="410">
        <f t="shared" si="57"/>
        <v>1074290.2692573026</v>
      </c>
      <c r="W39" s="410">
        <f t="shared" si="57"/>
        <v>1085033.1719498758</v>
      </c>
      <c r="X39" s="410">
        <f t="shared" si="57"/>
        <v>1095883.5036693746</v>
      </c>
      <c r="Y39" s="410">
        <f t="shared" si="57"/>
        <v>1106842.3387060685</v>
      </c>
      <c r="Z39" s="410">
        <f t="shared" si="57"/>
        <v>1117910.7620931291</v>
      </c>
      <c r="AA39" s="410">
        <f t="shared" si="57"/>
        <v>1129089.8697140603</v>
      </c>
      <c r="AB39" s="410">
        <f t="shared" si="57"/>
        <v>1140380.768411201</v>
      </c>
      <c r="AC39" s="410">
        <f t="shared" si="53"/>
        <v>1151784.5760953131</v>
      </c>
      <c r="AD39" s="410">
        <f t="shared" si="53"/>
        <v>1163302.4218562662</v>
      </c>
      <c r="AE39" s="410">
        <f t="shared" si="53"/>
        <v>1174935.446074829</v>
      </c>
      <c r="AF39" s="410">
        <f t="shared" si="53"/>
        <v>1186684.8005355773</v>
      </c>
      <c r="AG39" s="410">
        <f t="shared" si="53"/>
        <v>1198551.6485409332</v>
      </c>
      <c r="AH39" s="409">
        <v>-0.04</v>
      </c>
      <c r="AI39" s="409">
        <v>-0.01</v>
      </c>
      <c r="AJ39" s="409">
        <v>0.01</v>
      </c>
      <c r="AK39" s="409">
        <v>0.01</v>
      </c>
      <c r="AL39" s="43"/>
    </row>
    <row r="40" spans="1:38">
      <c r="A40" s="408" t="s">
        <v>80</v>
      </c>
      <c r="B40" s="408"/>
      <c r="C40" s="471">
        <v>1700000</v>
      </c>
      <c r="D40" s="410">
        <f t="shared" si="50"/>
        <v>1632000</v>
      </c>
      <c r="E40" s="410">
        <f t="shared" si="50"/>
        <v>1566720</v>
      </c>
      <c r="F40" s="410">
        <f t="shared" si="50"/>
        <v>1504051.2</v>
      </c>
      <c r="G40" s="410">
        <f t="shared" si="50"/>
        <v>1443889.152</v>
      </c>
      <c r="H40" s="410">
        <f t="shared" si="50"/>
        <v>1386133.58592</v>
      </c>
      <c r="I40" s="410">
        <f t="shared" ref="I40:R40" si="58">H40*(1+$AI40)</f>
        <v>1372272.2500608</v>
      </c>
      <c r="J40" s="410">
        <f t="shared" si="58"/>
        <v>1358549.5275601919</v>
      </c>
      <c r="K40" s="410">
        <f t="shared" si="58"/>
        <v>1344964.0322845899</v>
      </c>
      <c r="L40" s="410">
        <f t="shared" si="58"/>
        <v>1331514.3919617441</v>
      </c>
      <c r="M40" s="410">
        <f t="shared" si="58"/>
        <v>1318199.2480421267</v>
      </c>
      <c r="N40" s="410">
        <f t="shared" si="58"/>
        <v>1305017.2555617054</v>
      </c>
      <c r="O40" s="410">
        <f t="shared" si="58"/>
        <v>1291967.0830060884</v>
      </c>
      <c r="P40" s="410">
        <f t="shared" si="58"/>
        <v>1279047.4121760274</v>
      </c>
      <c r="Q40" s="410">
        <f t="shared" si="58"/>
        <v>1266256.9380542671</v>
      </c>
      <c r="R40" s="410">
        <f t="shared" si="58"/>
        <v>1253594.3686737244</v>
      </c>
      <c r="S40" s="410">
        <f t="shared" ref="S40:AB40" si="59">R40*(1+$AJ40)</f>
        <v>1266130.3123604616</v>
      </c>
      <c r="T40" s="410">
        <f t="shared" si="59"/>
        <v>1278791.6154840663</v>
      </c>
      <c r="U40" s="410">
        <f t="shared" si="59"/>
        <v>1291579.531638907</v>
      </c>
      <c r="V40" s="410">
        <f t="shared" si="59"/>
        <v>1304495.3269552961</v>
      </c>
      <c r="W40" s="410">
        <f t="shared" si="59"/>
        <v>1317540.280224849</v>
      </c>
      <c r="X40" s="410">
        <f t="shared" si="59"/>
        <v>1330715.6830270975</v>
      </c>
      <c r="Y40" s="410">
        <f t="shared" si="59"/>
        <v>1344022.8398573685</v>
      </c>
      <c r="Z40" s="410">
        <f t="shared" si="59"/>
        <v>1357463.0682559421</v>
      </c>
      <c r="AA40" s="410">
        <f t="shared" si="59"/>
        <v>1371037.6989385015</v>
      </c>
      <c r="AB40" s="410">
        <f t="shared" si="59"/>
        <v>1384748.0759278866</v>
      </c>
      <c r="AC40" s="410">
        <f t="shared" si="53"/>
        <v>1398595.5566871655</v>
      </c>
      <c r="AD40" s="410">
        <f t="shared" si="53"/>
        <v>1412581.5122540372</v>
      </c>
      <c r="AE40" s="410">
        <f t="shared" si="53"/>
        <v>1426707.3273765775</v>
      </c>
      <c r="AF40" s="410">
        <f t="shared" si="53"/>
        <v>1440974.4006503434</v>
      </c>
      <c r="AG40" s="410">
        <f t="shared" si="53"/>
        <v>1455384.1446568468</v>
      </c>
      <c r="AH40" s="409">
        <v>-0.04</v>
      </c>
      <c r="AI40" s="409">
        <v>-0.01</v>
      </c>
      <c r="AJ40" s="409">
        <v>0.01</v>
      </c>
      <c r="AK40" s="409">
        <v>0.01</v>
      </c>
      <c r="AL40" s="43"/>
    </row>
    <row r="41" spans="1:38">
      <c r="A41" s="408" t="s">
        <v>13</v>
      </c>
      <c r="B41" s="408"/>
      <c r="C41" s="471">
        <v>1700000</v>
      </c>
      <c r="D41" s="410">
        <f t="shared" si="50"/>
        <v>1632000</v>
      </c>
      <c r="E41" s="410">
        <f t="shared" si="50"/>
        <v>1566720</v>
      </c>
      <c r="F41" s="410">
        <f t="shared" si="50"/>
        <v>1504051.2</v>
      </c>
      <c r="G41" s="410">
        <f t="shared" si="50"/>
        <v>1443889.152</v>
      </c>
      <c r="H41" s="410">
        <f t="shared" si="50"/>
        <v>1386133.58592</v>
      </c>
      <c r="I41" s="410">
        <f t="shared" ref="I41:R41" si="60">H41*(1+$AI41)</f>
        <v>1372272.2500608</v>
      </c>
      <c r="J41" s="410">
        <f t="shared" si="60"/>
        <v>1358549.5275601919</v>
      </c>
      <c r="K41" s="410">
        <f t="shared" si="60"/>
        <v>1344964.0322845899</v>
      </c>
      <c r="L41" s="410">
        <f t="shared" si="60"/>
        <v>1331514.3919617441</v>
      </c>
      <c r="M41" s="410">
        <f t="shared" si="60"/>
        <v>1318199.2480421267</v>
      </c>
      <c r="N41" s="410">
        <f t="shared" si="60"/>
        <v>1305017.2555617054</v>
      </c>
      <c r="O41" s="410">
        <f t="shared" si="60"/>
        <v>1291967.0830060884</v>
      </c>
      <c r="P41" s="410">
        <f t="shared" si="60"/>
        <v>1279047.4121760274</v>
      </c>
      <c r="Q41" s="410">
        <f t="shared" si="60"/>
        <v>1266256.9380542671</v>
      </c>
      <c r="R41" s="410">
        <f t="shared" si="60"/>
        <v>1253594.3686737244</v>
      </c>
      <c r="S41" s="410">
        <f t="shared" ref="S41:AB41" si="61">R41*(1+$AJ41)</f>
        <v>1266130.3123604616</v>
      </c>
      <c r="T41" s="410">
        <f t="shared" si="61"/>
        <v>1278791.6154840663</v>
      </c>
      <c r="U41" s="410">
        <f t="shared" si="61"/>
        <v>1291579.531638907</v>
      </c>
      <c r="V41" s="410">
        <f t="shared" si="61"/>
        <v>1304495.3269552961</v>
      </c>
      <c r="W41" s="410">
        <f t="shared" si="61"/>
        <v>1317540.280224849</v>
      </c>
      <c r="X41" s="410">
        <f t="shared" si="61"/>
        <v>1330715.6830270975</v>
      </c>
      <c r="Y41" s="410">
        <f t="shared" si="61"/>
        <v>1344022.8398573685</v>
      </c>
      <c r="Z41" s="410">
        <f t="shared" si="61"/>
        <v>1357463.0682559421</v>
      </c>
      <c r="AA41" s="410">
        <f t="shared" si="61"/>
        <v>1371037.6989385015</v>
      </c>
      <c r="AB41" s="410">
        <f t="shared" si="61"/>
        <v>1384748.0759278866</v>
      </c>
      <c r="AC41" s="410">
        <f t="shared" si="53"/>
        <v>1398595.5566871655</v>
      </c>
      <c r="AD41" s="410">
        <f t="shared" si="53"/>
        <v>1412581.5122540372</v>
      </c>
      <c r="AE41" s="410">
        <f t="shared" si="53"/>
        <v>1426707.3273765775</v>
      </c>
      <c r="AF41" s="410">
        <f t="shared" si="53"/>
        <v>1440974.4006503434</v>
      </c>
      <c r="AG41" s="410">
        <f t="shared" si="53"/>
        <v>1455384.1446568468</v>
      </c>
      <c r="AH41" s="409">
        <v>-0.04</v>
      </c>
      <c r="AI41" s="409">
        <v>-0.01</v>
      </c>
      <c r="AJ41" s="409">
        <v>0.01</v>
      </c>
      <c r="AK41" s="409">
        <v>0.01</v>
      </c>
      <c r="AL41" s="148"/>
    </row>
    <row r="42" spans="1:38">
      <c r="A42" s="408" t="s">
        <v>81</v>
      </c>
      <c r="B42" s="408"/>
      <c r="C42" s="471">
        <v>1700000</v>
      </c>
      <c r="D42" s="410">
        <f t="shared" si="50"/>
        <v>1632000</v>
      </c>
      <c r="E42" s="410">
        <f t="shared" si="50"/>
        <v>1566720</v>
      </c>
      <c r="F42" s="410">
        <f t="shared" si="50"/>
        <v>1504051.2</v>
      </c>
      <c r="G42" s="410">
        <f t="shared" si="50"/>
        <v>1443889.152</v>
      </c>
      <c r="H42" s="410">
        <f t="shared" si="50"/>
        <v>1386133.58592</v>
      </c>
      <c r="I42" s="410">
        <f t="shared" ref="I42:R42" si="62">H42*(1+$AI42)</f>
        <v>1372272.2500608</v>
      </c>
      <c r="J42" s="410">
        <f t="shared" si="62"/>
        <v>1358549.5275601919</v>
      </c>
      <c r="K42" s="410">
        <f t="shared" si="62"/>
        <v>1344964.0322845899</v>
      </c>
      <c r="L42" s="410">
        <f t="shared" si="62"/>
        <v>1331514.3919617441</v>
      </c>
      <c r="M42" s="410">
        <f t="shared" si="62"/>
        <v>1318199.2480421267</v>
      </c>
      <c r="N42" s="410">
        <f t="shared" si="62"/>
        <v>1305017.2555617054</v>
      </c>
      <c r="O42" s="410">
        <f t="shared" si="62"/>
        <v>1291967.0830060884</v>
      </c>
      <c r="P42" s="410">
        <f t="shared" si="62"/>
        <v>1279047.4121760274</v>
      </c>
      <c r="Q42" s="410">
        <f t="shared" si="62"/>
        <v>1266256.9380542671</v>
      </c>
      <c r="R42" s="410">
        <f t="shared" si="62"/>
        <v>1253594.3686737244</v>
      </c>
      <c r="S42" s="410">
        <f t="shared" ref="S42:AB42" si="63">R42*(1+$AJ42)</f>
        <v>1266130.3123604616</v>
      </c>
      <c r="T42" s="410">
        <f t="shared" si="63"/>
        <v>1278791.6154840663</v>
      </c>
      <c r="U42" s="410">
        <f t="shared" si="63"/>
        <v>1291579.531638907</v>
      </c>
      <c r="V42" s="410">
        <f t="shared" si="63"/>
        <v>1304495.3269552961</v>
      </c>
      <c r="W42" s="410">
        <f t="shared" si="63"/>
        <v>1317540.280224849</v>
      </c>
      <c r="X42" s="410">
        <f t="shared" si="63"/>
        <v>1330715.6830270975</v>
      </c>
      <c r="Y42" s="410">
        <f t="shared" si="63"/>
        <v>1344022.8398573685</v>
      </c>
      <c r="Z42" s="410">
        <f t="shared" si="63"/>
        <v>1357463.0682559421</v>
      </c>
      <c r="AA42" s="410">
        <f t="shared" si="63"/>
        <v>1371037.6989385015</v>
      </c>
      <c r="AB42" s="410">
        <f t="shared" si="63"/>
        <v>1384748.0759278866</v>
      </c>
      <c r="AC42" s="410">
        <f t="shared" si="53"/>
        <v>1398595.5566871655</v>
      </c>
      <c r="AD42" s="410">
        <f t="shared" si="53"/>
        <v>1412581.5122540372</v>
      </c>
      <c r="AE42" s="410">
        <f t="shared" si="53"/>
        <v>1426707.3273765775</v>
      </c>
      <c r="AF42" s="410">
        <f t="shared" si="53"/>
        <v>1440974.4006503434</v>
      </c>
      <c r="AG42" s="410">
        <f t="shared" si="53"/>
        <v>1455384.1446568468</v>
      </c>
      <c r="AH42" s="409">
        <v>-0.04</v>
      </c>
      <c r="AI42" s="409">
        <v>-0.01</v>
      </c>
      <c r="AJ42" s="409">
        <v>0.01</v>
      </c>
      <c r="AK42" s="409">
        <v>0.01</v>
      </c>
      <c r="AL42" s="148"/>
    </row>
    <row r="43" spans="1:38">
      <c r="A43" s="408" t="s">
        <v>82</v>
      </c>
      <c r="B43" s="408"/>
      <c r="C43" s="471">
        <v>1700000</v>
      </c>
      <c r="D43" s="410">
        <f t="shared" si="50"/>
        <v>1632000</v>
      </c>
      <c r="E43" s="410">
        <f t="shared" si="50"/>
        <v>1566720</v>
      </c>
      <c r="F43" s="410">
        <f t="shared" si="50"/>
        <v>1504051.2</v>
      </c>
      <c r="G43" s="410">
        <f t="shared" si="50"/>
        <v>1443889.152</v>
      </c>
      <c r="H43" s="410">
        <f t="shared" si="50"/>
        <v>1386133.58592</v>
      </c>
      <c r="I43" s="410">
        <f t="shared" ref="I43:R43" si="64">H43*(1+$AI43)</f>
        <v>1372272.2500608</v>
      </c>
      <c r="J43" s="410">
        <f t="shared" si="64"/>
        <v>1358549.5275601919</v>
      </c>
      <c r="K43" s="410">
        <f t="shared" si="64"/>
        <v>1344964.0322845899</v>
      </c>
      <c r="L43" s="410">
        <f t="shared" si="64"/>
        <v>1331514.3919617441</v>
      </c>
      <c r="M43" s="410">
        <f t="shared" si="64"/>
        <v>1318199.2480421267</v>
      </c>
      <c r="N43" s="410">
        <f t="shared" si="64"/>
        <v>1305017.2555617054</v>
      </c>
      <c r="O43" s="410">
        <f t="shared" si="64"/>
        <v>1291967.0830060884</v>
      </c>
      <c r="P43" s="410">
        <f t="shared" si="64"/>
        <v>1279047.4121760274</v>
      </c>
      <c r="Q43" s="410">
        <f t="shared" si="64"/>
        <v>1266256.9380542671</v>
      </c>
      <c r="R43" s="410">
        <f t="shared" si="64"/>
        <v>1253594.3686737244</v>
      </c>
      <c r="S43" s="410">
        <f t="shared" ref="S43:AB43" si="65">R43*(1+$AJ43)</f>
        <v>1266130.3123604616</v>
      </c>
      <c r="T43" s="410">
        <f t="shared" si="65"/>
        <v>1278791.6154840663</v>
      </c>
      <c r="U43" s="410">
        <f t="shared" si="65"/>
        <v>1291579.531638907</v>
      </c>
      <c r="V43" s="410">
        <f t="shared" si="65"/>
        <v>1304495.3269552961</v>
      </c>
      <c r="W43" s="410">
        <f t="shared" si="65"/>
        <v>1317540.280224849</v>
      </c>
      <c r="X43" s="410">
        <f t="shared" si="65"/>
        <v>1330715.6830270975</v>
      </c>
      <c r="Y43" s="410">
        <f t="shared" si="65"/>
        <v>1344022.8398573685</v>
      </c>
      <c r="Z43" s="410">
        <f t="shared" si="65"/>
        <v>1357463.0682559421</v>
      </c>
      <c r="AA43" s="410">
        <f t="shared" si="65"/>
        <v>1371037.6989385015</v>
      </c>
      <c r="AB43" s="410">
        <f t="shared" si="65"/>
        <v>1384748.0759278866</v>
      </c>
      <c r="AC43" s="410">
        <f t="shared" si="53"/>
        <v>1398595.5566871655</v>
      </c>
      <c r="AD43" s="410">
        <f t="shared" si="53"/>
        <v>1412581.5122540372</v>
      </c>
      <c r="AE43" s="410">
        <f t="shared" si="53"/>
        <v>1426707.3273765775</v>
      </c>
      <c r="AF43" s="410">
        <f t="shared" si="53"/>
        <v>1440974.4006503434</v>
      </c>
      <c r="AG43" s="410">
        <f t="shared" si="53"/>
        <v>1455384.1446568468</v>
      </c>
      <c r="AH43" s="409">
        <v>-0.04</v>
      </c>
      <c r="AI43" s="409">
        <v>-0.01</v>
      </c>
      <c r="AJ43" s="409">
        <v>0.01</v>
      </c>
      <c r="AK43" s="409">
        <v>0.01</v>
      </c>
      <c r="AL43" s="148"/>
    </row>
    <row r="44" spans="1:38">
      <c r="A44" s="408" t="s">
        <v>37</v>
      </c>
      <c r="B44" s="408"/>
      <c r="C44" s="472">
        <v>1400000</v>
      </c>
      <c r="D44" s="410">
        <f t="shared" si="50"/>
        <v>1344000</v>
      </c>
      <c r="E44" s="410">
        <f t="shared" si="50"/>
        <v>1290240</v>
      </c>
      <c r="F44" s="410">
        <f t="shared" si="50"/>
        <v>1238630.3999999999</v>
      </c>
      <c r="G44" s="410">
        <f t="shared" si="50"/>
        <v>1189085.1839999999</v>
      </c>
      <c r="H44" s="410">
        <f t="shared" si="50"/>
        <v>1141521.7766399998</v>
      </c>
      <c r="I44" s="410">
        <f t="shared" ref="I44:R44" si="66">H44*(1+$AI44)</f>
        <v>1130106.5588735999</v>
      </c>
      <c r="J44" s="410">
        <f t="shared" si="66"/>
        <v>1118805.4932848639</v>
      </c>
      <c r="K44" s="410">
        <f t="shared" si="66"/>
        <v>1107617.4383520153</v>
      </c>
      <c r="L44" s="410">
        <f t="shared" si="66"/>
        <v>1096541.2639684952</v>
      </c>
      <c r="M44" s="410">
        <f t="shared" si="66"/>
        <v>1085575.8513288102</v>
      </c>
      <c r="N44" s="410">
        <f t="shared" si="66"/>
        <v>1074720.0928155221</v>
      </c>
      <c r="O44" s="410">
        <f t="shared" si="66"/>
        <v>1063972.8918873668</v>
      </c>
      <c r="P44" s="410">
        <f t="shared" si="66"/>
        <v>1053333.1629684931</v>
      </c>
      <c r="Q44" s="410">
        <f t="shared" si="66"/>
        <v>1042799.8313388082</v>
      </c>
      <c r="R44" s="410">
        <f t="shared" si="66"/>
        <v>1032371.8330254201</v>
      </c>
      <c r="S44" s="410">
        <f t="shared" ref="S44:AB44" si="67">R44*(1+$AJ44)</f>
        <v>1042695.5513556743</v>
      </c>
      <c r="T44" s="410">
        <f t="shared" si="67"/>
        <v>1053122.5068692311</v>
      </c>
      <c r="U44" s="410">
        <f t="shared" si="67"/>
        <v>1063653.7319379235</v>
      </c>
      <c r="V44" s="410">
        <f t="shared" si="67"/>
        <v>1074290.2692573026</v>
      </c>
      <c r="W44" s="410">
        <f t="shared" si="67"/>
        <v>1085033.1719498758</v>
      </c>
      <c r="X44" s="410">
        <f t="shared" si="67"/>
        <v>1095883.5036693746</v>
      </c>
      <c r="Y44" s="410">
        <f t="shared" si="67"/>
        <v>1106842.3387060685</v>
      </c>
      <c r="Z44" s="410">
        <f t="shared" si="67"/>
        <v>1117910.7620931291</v>
      </c>
      <c r="AA44" s="410">
        <f t="shared" si="67"/>
        <v>1129089.8697140603</v>
      </c>
      <c r="AB44" s="410">
        <f t="shared" si="67"/>
        <v>1140380.768411201</v>
      </c>
      <c r="AC44" s="410">
        <f t="shared" si="53"/>
        <v>1151784.5760953131</v>
      </c>
      <c r="AD44" s="410">
        <f t="shared" si="53"/>
        <v>1163302.4218562662</v>
      </c>
      <c r="AE44" s="410">
        <f t="shared" si="53"/>
        <v>1174935.446074829</v>
      </c>
      <c r="AF44" s="410">
        <f t="shared" si="53"/>
        <v>1186684.8005355773</v>
      </c>
      <c r="AG44" s="410">
        <f t="shared" si="53"/>
        <v>1198551.6485409332</v>
      </c>
      <c r="AH44" s="409">
        <v>-0.04</v>
      </c>
      <c r="AI44" s="409">
        <v>-0.01</v>
      </c>
      <c r="AJ44" s="409">
        <v>0.01</v>
      </c>
      <c r="AK44" s="409">
        <v>0.01</v>
      </c>
      <c r="AL44" s="148"/>
    </row>
    <row r="45" spans="1:38">
      <c r="A45" s="408" t="s">
        <v>28</v>
      </c>
      <c r="B45" s="408"/>
      <c r="C45" s="472">
        <v>1700000</v>
      </c>
      <c r="D45" s="410">
        <f t="shared" si="50"/>
        <v>1632000</v>
      </c>
      <c r="E45" s="410">
        <f t="shared" si="50"/>
        <v>1566720</v>
      </c>
      <c r="F45" s="410">
        <f t="shared" si="50"/>
        <v>1504051.2</v>
      </c>
      <c r="G45" s="410">
        <f t="shared" si="50"/>
        <v>1443889.152</v>
      </c>
      <c r="H45" s="410">
        <f t="shared" si="50"/>
        <v>1386133.58592</v>
      </c>
      <c r="I45" s="410">
        <f t="shared" ref="I45:R45" si="68">H45*(1+$AI45)</f>
        <v>1372272.2500608</v>
      </c>
      <c r="J45" s="410">
        <f t="shared" si="68"/>
        <v>1358549.5275601919</v>
      </c>
      <c r="K45" s="410">
        <f t="shared" si="68"/>
        <v>1344964.0322845899</v>
      </c>
      <c r="L45" s="410">
        <f t="shared" si="68"/>
        <v>1331514.3919617441</v>
      </c>
      <c r="M45" s="410">
        <f t="shared" si="68"/>
        <v>1318199.2480421267</v>
      </c>
      <c r="N45" s="410">
        <f t="shared" si="68"/>
        <v>1305017.2555617054</v>
      </c>
      <c r="O45" s="410">
        <f t="shared" si="68"/>
        <v>1291967.0830060884</v>
      </c>
      <c r="P45" s="410">
        <f t="shared" si="68"/>
        <v>1279047.4121760274</v>
      </c>
      <c r="Q45" s="410">
        <f t="shared" si="68"/>
        <v>1266256.9380542671</v>
      </c>
      <c r="R45" s="410">
        <f t="shared" si="68"/>
        <v>1253594.3686737244</v>
      </c>
      <c r="S45" s="410">
        <f t="shared" ref="S45:AB45" si="69">R45*(1+$AJ45)</f>
        <v>1266130.3123604616</v>
      </c>
      <c r="T45" s="410">
        <f t="shared" si="69"/>
        <v>1278791.6154840663</v>
      </c>
      <c r="U45" s="410">
        <f t="shared" si="69"/>
        <v>1291579.531638907</v>
      </c>
      <c r="V45" s="410">
        <f t="shared" si="69"/>
        <v>1304495.3269552961</v>
      </c>
      <c r="W45" s="410">
        <f t="shared" si="69"/>
        <v>1317540.280224849</v>
      </c>
      <c r="X45" s="410">
        <f t="shared" si="69"/>
        <v>1330715.6830270975</v>
      </c>
      <c r="Y45" s="410">
        <f t="shared" si="69"/>
        <v>1344022.8398573685</v>
      </c>
      <c r="Z45" s="410">
        <f t="shared" si="69"/>
        <v>1357463.0682559421</v>
      </c>
      <c r="AA45" s="410">
        <f t="shared" si="69"/>
        <v>1371037.6989385015</v>
      </c>
      <c r="AB45" s="410">
        <f t="shared" si="69"/>
        <v>1384748.0759278866</v>
      </c>
      <c r="AC45" s="410">
        <f t="shared" si="53"/>
        <v>1398595.5566871655</v>
      </c>
      <c r="AD45" s="410">
        <f t="shared" si="53"/>
        <v>1412581.5122540372</v>
      </c>
      <c r="AE45" s="410">
        <f t="shared" si="53"/>
        <v>1426707.3273765775</v>
      </c>
      <c r="AF45" s="410">
        <f t="shared" si="53"/>
        <v>1440974.4006503434</v>
      </c>
      <c r="AG45" s="410">
        <f t="shared" si="53"/>
        <v>1455384.1446568468</v>
      </c>
      <c r="AH45" s="409">
        <v>-0.04</v>
      </c>
      <c r="AI45" s="409">
        <v>-0.01</v>
      </c>
      <c r="AJ45" s="409">
        <v>0.01</v>
      </c>
      <c r="AK45" s="409">
        <v>0.01</v>
      </c>
      <c r="AL45" s="148"/>
    </row>
    <row r="46" spans="1:38">
      <c r="A46" s="408"/>
      <c r="B46" s="408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409"/>
      <c r="AI46" s="409"/>
      <c r="AJ46" s="409"/>
      <c r="AK46" s="409"/>
      <c r="AL46" s="148"/>
    </row>
    <row r="47" spans="1:38" s="1" customFormat="1">
      <c r="A47" s="522" t="s">
        <v>84</v>
      </c>
      <c r="B47" s="522" t="s">
        <v>85</v>
      </c>
      <c r="C47" s="399">
        <v>2025</v>
      </c>
      <c r="D47" s="399">
        <v>2026</v>
      </c>
      <c r="E47" s="399">
        <v>2027</v>
      </c>
      <c r="F47" s="399">
        <v>2028</v>
      </c>
      <c r="G47" s="399">
        <v>2029</v>
      </c>
      <c r="H47" s="399">
        <v>2030</v>
      </c>
      <c r="I47" s="399">
        <v>2031</v>
      </c>
      <c r="J47" s="399">
        <v>2032</v>
      </c>
      <c r="K47" s="399">
        <v>2033</v>
      </c>
      <c r="L47" s="399">
        <v>2034</v>
      </c>
      <c r="M47" s="399">
        <v>2035</v>
      </c>
      <c r="N47" s="399">
        <v>2036</v>
      </c>
      <c r="O47" s="399">
        <v>2037</v>
      </c>
      <c r="P47" s="399">
        <v>2038</v>
      </c>
      <c r="Q47" s="399">
        <v>2039</v>
      </c>
      <c r="R47" s="399">
        <v>2040</v>
      </c>
      <c r="S47" s="399">
        <v>2041</v>
      </c>
      <c r="T47" s="399">
        <v>2042</v>
      </c>
      <c r="U47" s="399">
        <v>2043</v>
      </c>
      <c r="V47" s="399">
        <v>2044</v>
      </c>
      <c r="W47" s="399">
        <v>2045</v>
      </c>
      <c r="X47" s="399">
        <v>2046</v>
      </c>
      <c r="Y47" s="399">
        <v>2047</v>
      </c>
      <c r="Z47" s="399">
        <v>2048</v>
      </c>
      <c r="AA47" s="399">
        <v>2049</v>
      </c>
      <c r="AB47" s="399">
        <v>2050</v>
      </c>
      <c r="AC47" s="399">
        <v>2051</v>
      </c>
      <c r="AD47" s="399">
        <v>2052</v>
      </c>
      <c r="AE47" s="399">
        <v>2053</v>
      </c>
      <c r="AF47" s="399">
        <v>2054</v>
      </c>
      <c r="AG47" s="399">
        <v>2055</v>
      </c>
      <c r="AH47" s="399"/>
      <c r="AI47" s="522"/>
      <c r="AJ47" s="522"/>
      <c r="AK47" s="522"/>
      <c r="AL47" s="522"/>
    </row>
    <row r="48" spans="1:38">
      <c r="A48" s="408" t="s">
        <v>19</v>
      </c>
      <c r="B48" s="408">
        <f>'No change with year'!G10</f>
        <v>200</v>
      </c>
      <c r="C48" s="411">
        <f t="shared" ref="C48:AG48" si="70">C$19*$B$48</f>
        <v>1980000</v>
      </c>
      <c r="D48" s="411">
        <f t="shared" si="70"/>
        <v>1950300</v>
      </c>
      <c r="E48" s="411">
        <f t="shared" si="70"/>
        <v>1921045.4999999998</v>
      </c>
      <c r="F48" s="411">
        <f t="shared" si="70"/>
        <v>1892229.8174999997</v>
      </c>
      <c r="G48" s="411">
        <f t="shared" si="70"/>
        <v>1863846.3702374997</v>
      </c>
      <c r="H48" s="411">
        <f t="shared" si="70"/>
        <v>1835888.6746839373</v>
      </c>
      <c r="I48" s="411">
        <f t="shared" si="70"/>
        <v>1789991.4578168388</v>
      </c>
      <c r="J48" s="411">
        <f t="shared" si="70"/>
        <v>1745241.6713714178</v>
      </c>
      <c r="K48" s="411">
        <f t="shared" si="70"/>
        <v>1701610.6295871323</v>
      </c>
      <c r="L48" s="411">
        <f t="shared" si="70"/>
        <v>1659070.3638474541</v>
      </c>
      <c r="M48" s="411">
        <f t="shared" si="70"/>
        <v>1617593.6047512677</v>
      </c>
      <c r="N48" s="411">
        <f t="shared" si="70"/>
        <v>1577153.764632486</v>
      </c>
      <c r="O48" s="411">
        <f t="shared" si="70"/>
        <v>1537724.9205166737</v>
      </c>
      <c r="P48" s="411">
        <f t="shared" si="70"/>
        <v>1499281.7975037568</v>
      </c>
      <c r="Q48" s="411">
        <f t="shared" si="70"/>
        <v>1461799.752566163</v>
      </c>
      <c r="R48" s="411">
        <f t="shared" si="70"/>
        <v>1425254.7587520089</v>
      </c>
      <c r="S48" s="411">
        <f t="shared" si="70"/>
        <v>1411002.2111644887</v>
      </c>
      <c r="T48" s="411">
        <f t="shared" si="70"/>
        <v>1396892.1890528437</v>
      </c>
      <c r="U48" s="411">
        <f t="shared" si="70"/>
        <v>1382923.2671623153</v>
      </c>
      <c r="V48" s="411">
        <f t="shared" si="70"/>
        <v>1369094.0344906922</v>
      </c>
      <c r="W48" s="411">
        <f t="shared" si="70"/>
        <v>1355403.0941457851</v>
      </c>
      <c r="X48" s="411">
        <f t="shared" si="70"/>
        <v>1341849.0632043274</v>
      </c>
      <c r="Y48" s="411">
        <f t="shared" si="70"/>
        <v>1328430.5725722839</v>
      </c>
      <c r="Z48" s="411">
        <f t="shared" si="70"/>
        <v>1315146.2668465611</v>
      </c>
      <c r="AA48" s="411">
        <f t="shared" si="70"/>
        <v>1301994.8041780954</v>
      </c>
      <c r="AB48" s="411">
        <f t="shared" si="70"/>
        <v>1288974.8561363143</v>
      </c>
      <c r="AC48" s="411">
        <f t="shared" si="70"/>
        <v>1301864.6046976775</v>
      </c>
      <c r="AD48" s="411">
        <f t="shared" si="70"/>
        <v>1314883.2507446543</v>
      </c>
      <c r="AE48" s="411">
        <f t="shared" si="70"/>
        <v>1328032.083252101</v>
      </c>
      <c r="AF48" s="411">
        <f t="shared" si="70"/>
        <v>1341312.4040846219</v>
      </c>
      <c r="AG48" s="411">
        <f t="shared" si="70"/>
        <v>1354725.5281254682</v>
      </c>
      <c r="AH48" s="409"/>
      <c r="AI48" s="409"/>
      <c r="AJ48" s="409"/>
      <c r="AK48" s="409"/>
      <c r="AL48" s="43"/>
    </row>
    <row r="49" spans="1:38">
      <c r="A49" s="408" t="s">
        <v>9</v>
      </c>
      <c r="B49" s="408">
        <f>'No change with year'!G5</f>
        <v>200</v>
      </c>
      <c r="C49" s="411">
        <f t="shared" ref="C49:AG49" si="71">C$19*$B$49</f>
        <v>1980000</v>
      </c>
      <c r="D49" s="411">
        <f t="shared" si="71"/>
        <v>1950300</v>
      </c>
      <c r="E49" s="411">
        <f t="shared" si="71"/>
        <v>1921045.4999999998</v>
      </c>
      <c r="F49" s="411">
        <f t="shared" si="71"/>
        <v>1892229.8174999997</v>
      </c>
      <c r="G49" s="411">
        <f t="shared" si="71"/>
        <v>1863846.3702374997</v>
      </c>
      <c r="H49" s="411">
        <f t="shared" si="71"/>
        <v>1835888.6746839373</v>
      </c>
      <c r="I49" s="411">
        <f t="shared" si="71"/>
        <v>1789991.4578168388</v>
      </c>
      <c r="J49" s="411">
        <f t="shared" si="71"/>
        <v>1745241.6713714178</v>
      </c>
      <c r="K49" s="411">
        <f t="shared" si="71"/>
        <v>1701610.6295871323</v>
      </c>
      <c r="L49" s="411">
        <f t="shared" si="71"/>
        <v>1659070.3638474541</v>
      </c>
      <c r="M49" s="411">
        <f t="shared" si="71"/>
        <v>1617593.6047512677</v>
      </c>
      <c r="N49" s="411">
        <f t="shared" si="71"/>
        <v>1577153.764632486</v>
      </c>
      <c r="O49" s="411">
        <f t="shared" si="71"/>
        <v>1537724.9205166737</v>
      </c>
      <c r="P49" s="411">
        <f t="shared" si="71"/>
        <v>1499281.7975037568</v>
      </c>
      <c r="Q49" s="411">
        <f t="shared" si="71"/>
        <v>1461799.752566163</v>
      </c>
      <c r="R49" s="411">
        <f t="shared" si="71"/>
        <v>1425254.7587520089</v>
      </c>
      <c r="S49" s="411">
        <f t="shared" si="71"/>
        <v>1411002.2111644887</v>
      </c>
      <c r="T49" s="411">
        <f t="shared" si="71"/>
        <v>1396892.1890528437</v>
      </c>
      <c r="U49" s="411">
        <f t="shared" si="71"/>
        <v>1382923.2671623153</v>
      </c>
      <c r="V49" s="411">
        <f t="shared" si="71"/>
        <v>1369094.0344906922</v>
      </c>
      <c r="W49" s="411">
        <f t="shared" si="71"/>
        <v>1355403.0941457851</v>
      </c>
      <c r="X49" s="411">
        <f t="shared" si="71"/>
        <v>1341849.0632043274</v>
      </c>
      <c r="Y49" s="411">
        <f t="shared" si="71"/>
        <v>1328430.5725722839</v>
      </c>
      <c r="Z49" s="411">
        <f t="shared" si="71"/>
        <v>1315146.2668465611</v>
      </c>
      <c r="AA49" s="411">
        <f t="shared" si="71"/>
        <v>1301994.8041780954</v>
      </c>
      <c r="AB49" s="411">
        <f t="shared" si="71"/>
        <v>1288974.8561363143</v>
      </c>
      <c r="AC49" s="411">
        <f t="shared" si="71"/>
        <v>1301864.6046976775</v>
      </c>
      <c r="AD49" s="411">
        <f t="shared" si="71"/>
        <v>1314883.2507446543</v>
      </c>
      <c r="AE49" s="411">
        <f t="shared" si="71"/>
        <v>1328032.083252101</v>
      </c>
      <c r="AF49" s="411">
        <f t="shared" si="71"/>
        <v>1341312.4040846219</v>
      </c>
      <c r="AG49" s="411">
        <f t="shared" si="71"/>
        <v>1354725.5281254682</v>
      </c>
      <c r="AH49" s="409"/>
      <c r="AI49" s="409"/>
      <c r="AJ49" s="409"/>
      <c r="AK49" s="409"/>
      <c r="AL49" s="43"/>
    </row>
    <row r="50" spans="1:38">
      <c r="A50" s="408" t="s">
        <v>11</v>
      </c>
      <c r="B50" s="408">
        <f>'No change with year'!G6</f>
        <v>250</v>
      </c>
      <c r="C50" s="411">
        <f t="shared" ref="C50:AG50" si="72">C$19*$B$50</f>
        <v>2475000</v>
      </c>
      <c r="D50" s="411">
        <f t="shared" si="72"/>
        <v>2437875</v>
      </c>
      <c r="E50" s="411">
        <f t="shared" si="72"/>
        <v>2401306.8749999995</v>
      </c>
      <c r="F50" s="411">
        <f t="shared" si="72"/>
        <v>2365287.2718749996</v>
      </c>
      <c r="G50" s="411">
        <f t="shared" si="72"/>
        <v>2329807.9627968743</v>
      </c>
      <c r="H50" s="411">
        <f t="shared" si="72"/>
        <v>2294860.8433549218</v>
      </c>
      <c r="I50" s="411">
        <f t="shared" si="72"/>
        <v>2237489.3222710486</v>
      </c>
      <c r="J50" s="411">
        <f t="shared" si="72"/>
        <v>2181552.0892142723</v>
      </c>
      <c r="K50" s="411">
        <f t="shared" si="72"/>
        <v>2127013.2869839151</v>
      </c>
      <c r="L50" s="411">
        <f t="shared" si="72"/>
        <v>2073837.9548093176</v>
      </c>
      <c r="M50" s="411">
        <f t="shared" si="72"/>
        <v>2021992.0059390846</v>
      </c>
      <c r="N50" s="411">
        <f t="shared" si="72"/>
        <v>1971442.2057906075</v>
      </c>
      <c r="O50" s="411">
        <f t="shared" si="72"/>
        <v>1922156.1506458423</v>
      </c>
      <c r="P50" s="411">
        <f t="shared" si="72"/>
        <v>1874102.2468796961</v>
      </c>
      <c r="Q50" s="411">
        <f t="shared" si="72"/>
        <v>1827249.6907077036</v>
      </c>
      <c r="R50" s="411">
        <f t="shared" si="72"/>
        <v>1781568.4484400111</v>
      </c>
      <c r="S50" s="411">
        <f t="shared" si="72"/>
        <v>1763752.7639556108</v>
      </c>
      <c r="T50" s="411">
        <f t="shared" si="72"/>
        <v>1746115.2363160548</v>
      </c>
      <c r="U50" s="411">
        <f t="shared" si="72"/>
        <v>1728654.0839528942</v>
      </c>
      <c r="V50" s="411">
        <f t="shared" si="72"/>
        <v>1711367.5431133651</v>
      </c>
      <c r="W50" s="411">
        <f t="shared" si="72"/>
        <v>1694253.8676822314</v>
      </c>
      <c r="X50" s="411">
        <f t="shared" si="72"/>
        <v>1677311.329005409</v>
      </c>
      <c r="Y50" s="411">
        <f t="shared" si="72"/>
        <v>1660538.215715355</v>
      </c>
      <c r="Z50" s="411">
        <f t="shared" si="72"/>
        <v>1643932.8335582013</v>
      </c>
      <c r="AA50" s="411">
        <f t="shared" si="72"/>
        <v>1627493.5052226193</v>
      </c>
      <c r="AB50" s="411">
        <f t="shared" si="72"/>
        <v>1611218.570170393</v>
      </c>
      <c r="AC50" s="411">
        <f t="shared" si="72"/>
        <v>1627330.7558720969</v>
      </c>
      <c r="AD50" s="411">
        <f t="shared" si="72"/>
        <v>1643604.0634308178</v>
      </c>
      <c r="AE50" s="411">
        <f t="shared" si="72"/>
        <v>1660040.104065126</v>
      </c>
      <c r="AF50" s="411">
        <f t="shared" si="72"/>
        <v>1676640.5051057774</v>
      </c>
      <c r="AG50" s="411">
        <f t="shared" si="72"/>
        <v>1693406.9101568353</v>
      </c>
      <c r="AH50" s="409"/>
      <c r="AI50" s="409"/>
      <c r="AJ50" s="409"/>
      <c r="AK50" s="409"/>
      <c r="AL50" s="43"/>
    </row>
    <row r="51" spans="1:38">
      <c r="A51" s="408" t="s">
        <v>80</v>
      </c>
      <c r="B51" s="408">
        <f>'No change with year'!G17</f>
        <v>250</v>
      </c>
      <c r="C51" s="411">
        <f t="shared" ref="C51:AG51" si="73">C$19*$B$51</f>
        <v>2475000</v>
      </c>
      <c r="D51" s="411">
        <f t="shared" si="73"/>
        <v>2437875</v>
      </c>
      <c r="E51" s="411">
        <f t="shared" si="73"/>
        <v>2401306.8749999995</v>
      </c>
      <c r="F51" s="411">
        <f t="shared" si="73"/>
        <v>2365287.2718749996</v>
      </c>
      <c r="G51" s="411">
        <f t="shared" si="73"/>
        <v>2329807.9627968743</v>
      </c>
      <c r="H51" s="411">
        <f t="shared" si="73"/>
        <v>2294860.8433549218</v>
      </c>
      <c r="I51" s="411">
        <f t="shared" si="73"/>
        <v>2237489.3222710486</v>
      </c>
      <c r="J51" s="411">
        <f t="shared" si="73"/>
        <v>2181552.0892142723</v>
      </c>
      <c r="K51" s="411">
        <f t="shared" si="73"/>
        <v>2127013.2869839151</v>
      </c>
      <c r="L51" s="411">
        <f t="shared" si="73"/>
        <v>2073837.9548093176</v>
      </c>
      <c r="M51" s="411">
        <f t="shared" si="73"/>
        <v>2021992.0059390846</v>
      </c>
      <c r="N51" s="411">
        <f t="shared" si="73"/>
        <v>1971442.2057906075</v>
      </c>
      <c r="O51" s="411">
        <f t="shared" si="73"/>
        <v>1922156.1506458423</v>
      </c>
      <c r="P51" s="411">
        <f t="shared" si="73"/>
        <v>1874102.2468796961</v>
      </c>
      <c r="Q51" s="411">
        <f t="shared" si="73"/>
        <v>1827249.6907077036</v>
      </c>
      <c r="R51" s="411">
        <f t="shared" si="73"/>
        <v>1781568.4484400111</v>
      </c>
      <c r="S51" s="411">
        <f t="shared" si="73"/>
        <v>1763752.7639556108</v>
      </c>
      <c r="T51" s="411">
        <f t="shared" si="73"/>
        <v>1746115.2363160548</v>
      </c>
      <c r="U51" s="411">
        <f t="shared" si="73"/>
        <v>1728654.0839528942</v>
      </c>
      <c r="V51" s="411">
        <f t="shared" si="73"/>
        <v>1711367.5431133651</v>
      </c>
      <c r="W51" s="411">
        <f t="shared" si="73"/>
        <v>1694253.8676822314</v>
      </c>
      <c r="X51" s="411">
        <f t="shared" si="73"/>
        <v>1677311.329005409</v>
      </c>
      <c r="Y51" s="411">
        <f t="shared" si="73"/>
        <v>1660538.215715355</v>
      </c>
      <c r="Z51" s="411">
        <f t="shared" si="73"/>
        <v>1643932.8335582013</v>
      </c>
      <c r="AA51" s="411">
        <f t="shared" si="73"/>
        <v>1627493.5052226193</v>
      </c>
      <c r="AB51" s="411">
        <f t="shared" si="73"/>
        <v>1611218.570170393</v>
      </c>
      <c r="AC51" s="411">
        <f t="shared" si="73"/>
        <v>1627330.7558720969</v>
      </c>
      <c r="AD51" s="411">
        <f t="shared" si="73"/>
        <v>1643604.0634308178</v>
      </c>
      <c r="AE51" s="411">
        <f t="shared" si="73"/>
        <v>1660040.104065126</v>
      </c>
      <c r="AF51" s="411">
        <f t="shared" si="73"/>
        <v>1676640.5051057774</v>
      </c>
      <c r="AG51" s="411">
        <f t="shared" si="73"/>
        <v>1693406.9101568353</v>
      </c>
      <c r="AH51" s="409"/>
      <c r="AI51" s="409"/>
      <c r="AJ51" s="409"/>
      <c r="AK51" s="409"/>
      <c r="AL51" s="148"/>
    </row>
    <row r="52" spans="1:38">
      <c r="A52" s="408" t="s">
        <v>13</v>
      </c>
      <c r="B52" s="408">
        <f>'No change with year'!G7</f>
        <v>350</v>
      </c>
      <c r="C52" s="411">
        <f t="shared" ref="C52:AG52" si="74">C$19*$B$52</f>
        <v>3465000</v>
      </c>
      <c r="D52" s="411">
        <f t="shared" si="74"/>
        <v>3413025</v>
      </c>
      <c r="E52" s="411">
        <f t="shared" si="74"/>
        <v>3361829.6249999995</v>
      </c>
      <c r="F52" s="411">
        <f t="shared" si="74"/>
        <v>3311402.1806249996</v>
      </c>
      <c r="G52" s="411">
        <f t="shared" si="74"/>
        <v>3261731.1479156245</v>
      </c>
      <c r="H52" s="411">
        <f t="shared" si="74"/>
        <v>3212805.1806968902</v>
      </c>
      <c r="I52" s="411">
        <f t="shared" si="74"/>
        <v>3132485.0511794677</v>
      </c>
      <c r="J52" s="411">
        <f t="shared" si="74"/>
        <v>3054172.9248999809</v>
      </c>
      <c r="K52" s="411">
        <f t="shared" si="74"/>
        <v>2977818.6017774814</v>
      </c>
      <c r="L52" s="411">
        <f t="shared" si="74"/>
        <v>2903373.1367330444</v>
      </c>
      <c r="M52" s="411">
        <f t="shared" si="74"/>
        <v>2830788.8083147183</v>
      </c>
      <c r="N52" s="411">
        <f t="shared" si="74"/>
        <v>2760019.0881068506</v>
      </c>
      <c r="O52" s="411">
        <f t="shared" si="74"/>
        <v>2691018.610904179</v>
      </c>
      <c r="P52" s="411">
        <f t="shared" si="74"/>
        <v>2623743.1456315746</v>
      </c>
      <c r="Q52" s="411">
        <f t="shared" si="74"/>
        <v>2558149.5669907853</v>
      </c>
      <c r="R52" s="411">
        <f t="shared" si="74"/>
        <v>2494195.8278160156</v>
      </c>
      <c r="S52" s="411">
        <f t="shared" si="74"/>
        <v>2469253.869537855</v>
      </c>
      <c r="T52" s="411">
        <f t="shared" si="74"/>
        <v>2444561.3308424768</v>
      </c>
      <c r="U52" s="411">
        <f t="shared" si="74"/>
        <v>2420115.7175340517</v>
      </c>
      <c r="V52" s="411">
        <f t="shared" si="74"/>
        <v>2395914.5603587111</v>
      </c>
      <c r="W52" s="411">
        <f t="shared" si="74"/>
        <v>2371955.4147551241</v>
      </c>
      <c r="X52" s="411">
        <f t="shared" si="74"/>
        <v>2348235.8606075728</v>
      </c>
      <c r="Y52" s="411">
        <f t="shared" si="74"/>
        <v>2324753.502001497</v>
      </c>
      <c r="Z52" s="411">
        <f t="shared" si="74"/>
        <v>2301505.9669814818</v>
      </c>
      <c r="AA52" s="411">
        <f t="shared" si="74"/>
        <v>2278490.9073116668</v>
      </c>
      <c r="AB52" s="411">
        <f t="shared" si="74"/>
        <v>2255705.99823855</v>
      </c>
      <c r="AC52" s="411">
        <f t="shared" si="74"/>
        <v>2278263.0582209355</v>
      </c>
      <c r="AD52" s="411">
        <f t="shared" si="74"/>
        <v>2301045.6888031452</v>
      </c>
      <c r="AE52" s="411">
        <f t="shared" si="74"/>
        <v>2324056.1456911764</v>
      </c>
      <c r="AF52" s="411">
        <f t="shared" si="74"/>
        <v>2347296.7071480886</v>
      </c>
      <c r="AG52" s="411">
        <f t="shared" si="74"/>
        <v>2370769.6742195692</v>
      </c>
      <c r="AH52" s="409"/>
      <c r="AI52" s="409"/>
      <c r="AJ52" s="409"/>
      <c r="AK52" s="409"/>
      <c r="AL52" s="148"/>
    </row>
    <row r="53" spans="1:38">
      <c r="A53" s="408" t="s">
        <v>81</v>
      </c>
      <c r="B53" s="408">
        <f>'No change with year'!G11</f>
        <v>250</v>
      </c>
      <c r="C53" s="411">
        <f t="shared" ref="C53:AG53" si="75">C$19*$B$53</f>
        <v>2475000</v>
      </c>
      <c r="D53" s="411">
        <f t="shared" si="75"/>
        <v>2437875</v>
      </c>
      <c r="E53" s="411">
        <f t="shared" si="75"/>
        <v>2401306.8749999995</v>
      </c>
      <c r="F53" s="411">
        <f t="shared" si="75"/>
        <v>2365287.2718749996</v>
      </c>
      <c r="G53" s="411">
        <f t="shared" si="75"/>
        <v>2329807.9627968743</v>
      </c>
      <c r="H53" s="411">
        <f t="shared" si="75"/>
        <v>2294860.8433549218</v>
      </c>
      <c r="I53" s="411">
        <f t="shared" si="75"/>
        <v>2237489.3222710486</v>
      </c>
      <c r="J53" s="411">
        <f t="shared" si="75"/>
        <v>2181552.0892142723</v>
      </c>
      <c r="K53" s="411">
        <f t="shared" si="75"/>
        <v>2127013.2869839151</v>
      </c>
      <c r="L53" s="411">
        <f t="shared" si="75"/>
        <v>2073837.9548093176</v>
      </c>
      <c r="M53" s="411">
        <f t="shared" si="75"/>
        <v>2021992.0059390846</v>
      </c>
      <c r="N53" s="411">
        <f t="shared" si="75"/>
        <v>1971442.2057906075</v>
      </c>
      <c r="O53" s="411">
        <f t="shared" si="75"/>
        <v>1922156.1506458423</v>
      </c>
      <c r="P53" s="411">
        <f t="shared" si="75"/>
        <v>1874102.2468796961</v>
      </c>
      <c r="Q53" s="411">
        <f t="shared" si="75"/>
        <v>1827249.6907077036</v>
      </c>
      <c r="R53" s="411">
        <f t="shared" si="75"/>
        <v>1781568.4484400111</v>
      </c>
      <c r="S53" s="411">
        <f t="shared" si="75"/>
        <v>1763752.7639556108</v>
      </c>
      <c r="T53" s="411">
        <f t="shared" si="75"/>
        <v>1746115.2363160548</v>
      </c>
      <c r="U53" s="411">
        <f t="shared" si="75"/>
        <v>1728654.0839528942</v>
      </c>
      <c r="V53" s="411">
        <f t="shared" si="75"/>
        <v>1711367.5431133651</v>
      </c>
      <c r="W53" s="411">
        <f t="shared" si="75"/>
        <v>1694253.8676822314</v>
      </c>
      <c r="X53" s="411">
        <f t="shared" si="75"/>
        <v>1677311.329005409</v>
      </c>
      <c r="Y53" s="411">
        <f t="shared" si="75"/>
        <v>1660538.215715355</v>
      </c>
      <c r="Z53" s="411">
        <f t="shared" si="75"/>
        <v>1643932.8335582013</v>
      </c>
      <c r="AA53" s="411">
        <f t="shared" si="75"/>
        <v>1627493.5052226193</v>
      </c>
      <c r="AB53" s="411">
        <f t="shared" si="75"/>
        <v>1611218.570170393</v>
      </c>
      <c r="AC53" s="411">
        <f t="shared" si="75"/>
        <v>1627330.7558720969</v>
      </c>
      <c r="AD53" s="411">
        <f t="shared" si="75"/>
        <v>1643604.0634308178</v>
      </c>
      <c r="AE53" s="411">
        <f t="shared" si="75"/>
        <v>1660040.104065126</v>
      </c>
      <c r="AF53" s="411">
        <f t="shared" si="75"/>
        <v>1676640.5051057774</v>
      </c>
      <c r="AG53" s="411">
        <f t="shared" si="75"/>
        <v>1693406.9101568353</v>
      </c>
      <c r="AH53" s="409"/>
      <c r="AI53" s="409"/>
      <c r="AJ53" s="409"/>
      <c r="AK53" s="409"/>
      <c r="AL53" s="148"/>
    </row>
    <row r="54" spans="1:38">
      <c r="A54" s="408" t="s">
        <v>82</v>
      </c>
      <c r="B54" s="408">
        <f>'No change with year'!G12</f>
        <v>300</v>
      </c>
      <c r="C54" s="411">
        <f t="shared" ref="C54:AG54" si="76">C$19*$B$54</f>
        <v>2970000</v>
      </c>
      <c r="D54" s="411">
        <f t="shared" si="76"/>
        <v>2925450</v>
      </c>
      <c r="E54" s="411">
        <f t="shared" si="76"/>
        <v>2881568.2499999995</v>
      </c>
      <c r="F54" s="411">
        <f t="shared" si="76"/>
        <v>2838344.7262499994</v>
      </c>
      <c r="G54" s="411">
        <f t="shared" si="76"/>
        <v>2795769.5553562497</v>
      </c>
      <c r="H54" s="411">
        <f t="shared" si="76"/>
        <v>2753833.0120259058</v>
      </c>
      <c r="I54" s="411">
        <f t="shared" si="76"/>
        <v>2684987.1867252579</v>
      </c>
      <c r="J54" s="411">
        <f t="shared" si="76"/>
        <v>2617862.5070571266</v>
      </c>
      <c r="K54" s="411">
        <f t="shared" si="76"/>
        <v>2552415.9443806983</v>
      </c>
      <c r="L54" s="411">
        <f t="shared" si="76"/>
        <v>2488605.5457711811</v>
      </c>
      <c r="M54" s="411">
        <f t="shared" si="76"/>
        <v>2426390.4071269012</v>
      </c>
      <c r="N54" s="411">
        <f t="shared" si="76"/>
        <v>2365730.6469487287</v>
      </c>
      <c r="O54" s="411">
        <f t="shared" si="76"/>
        <v>2306587.3807750107</v>
      </c>
      <c r="P54" s="411">
        <f t="shared" si="76"/>
        <v>2248922.6962556355</v>
      </c>
      <c r="Q54" s="411">
        <f t="shared" si="76"/>
        <v>2192699.6288492442</v>
      </c>
      <c r="R54" s="411">
        <f t="shared" si="76"/>
        <v>2137882.1381280134</v>
      </c>
      <c r="S54" s="411">
        <f t="shared" si="76"/>
        <v>2116503.3167467332</v>
      </c>
      <c r="T54" s="411">
        <f t="shared" si="76"/>
        <v>2095338.2835792657</v>
      </c>
      <c r="U54" s="411">
        <f t="shared" si="76"/>
        <v>2074384.9007434729</v>
      </c>
      <c r="V54" s="411">
        <f t="shared" si="76"/>
        <v>2053641.0517360382</v>
      </c>
      <c r="W54" s="411">
        <f t="shared" si="76"/>
        <v>2033104.6412186776</v>
      </c>
      <c r="X54" s="411">
        <f t="shared" si="76"/>
        <v>2012773.5948064909</v>
      </c>
      <c r="Y54" s="411">
        <f t="shared" si="76"/>
        <v>1992645.8588584259</v>
      </c>
      <c r="Z54" s="411">
        <f t="shared" si="76"/>
        <v>1972719.4002698415</v>
      </c>
      <c r="AA54" s="411">
        <f t="shared" si="76"/>
        <v>1952992.2062671431</v>
      </c>
      <c r="AB54" s="411">
        <f t="shared" si="76"/>
        <v>1933462.2842044714</v>
      </c>
      <c r="AC54" s="411">
        <f t="shared" si="76"/>
        <v>1952796.9070465162</v>
      </c>
      <c r="AD54" s="411">
        <f t="shared" si="76"/>
        <v>1972324.8761169815</v>
      </c>
      <c r="AE54" s="411">
        <f t="shared" si="76"/>
        <v>1992048.1248781513</v>
      </c>
      <c r="AF54" s="411">
        <f t="shared" si="76"/>
        <v>2011968.6061269329</v>
      </c>
      <c r="AG54" s="411">
        <f t="shared" si="76"/>
        <v>2032088.2921882023</v>
      </c>
      <c r="AH54" s="409"/>
      <c r="AI54" s="409"/>
      <c r="AJ54" s="409"/>
      <c r="AK54" s="409"/>
      <c r="AL54" s="148"/>
    </row>
    <row r="55" spans="1:38">
      <c r="A55" s="408" t="s">
        <v>37</v>
      </c>
      <c r="B55" s="408">
        <f>'No change with year'!G18</f>
        <v>300</v>
      </c>
      <c r="C55" s="411">
        <f t="shared" ref="C55:AG55" si="77">C$19*$B$55</f>
        <v>2970000</v>
      </c>
      <c r="D55" s="411">
        <f t="shared" si="77"/>
        <v>2925450</v>
      </c>
      <c r="E55" s="411">
        <f t="shared" si="77"/>
        <v>2881568.2499999995</v>
      </c>
      <c r="F55" s="411">
        <f t="shared" si="77"/>
        <v>2838344.7262499994</v>
      </c>
      <c r="G55" s="411">
        <f t="shared" si="77"/>
        <v>2795769.5553562497</v>
      </c>
      <c r="H55" s="411">
        <f t="shared" si="77"/>
        <v>2753833.0120259058</v>
      </c>
      <c r="I55" s="411">
        <f t="shared" si="77"/>
        <v>2684987.1867252579</v>
      </c>
      <c r="J55" s="411">
        <f t="shared" si="77"/>
        <v>2617862.5070571266</v>
      </c>
      <c r="K55" s="411">
        <f t="shared" si="77"/>
        <v>2552415.9443806983</v>
      </c>
      <c r="L55" s="411">
        <f t="shared" si="77"/>
        <v>2488605.5457711811</v>
      </c>
      <c r="M55" s="411">
        <f t="shared" si="77"/>
        <v>2426390.4071269012</v>
      </c>
      <c r="N55" s="411">
        <f t="shared" si="77"/>
        <v>2365730.6469487287</v>
      </c>
      <c r="O55" s="411">
        <f t="shared" si="77"/>
        <v>2306587.3807750107</v>
      </c>
      <c r="P55" s="411">
        <f t="shared" si="77"/>
        <v>2248922.6962556355</v>
      </c>
      <c r="Q55" s="411">
        <f t="shared" si="77"/>
        <v>2192699.6288492442</v>
      </c>
      <c r="R55" s="411">
        <f t="shared" si="77"/>
        <v>2137882.1381280134</v>
      </c>
      <c r="S55" s="411">
        <f t="shared" si="77"/>
        <v>2116503.3167467332</v>
      </c>
      <c r="T55" s="411">
        <f t="shared" si="77"/>
        <v>2095338.2835792657</v>
      </c>
      <c r="U55" s="411">
        <f t="shared" si="77"/>
        <v>2074384.9007434729</v>
      </c>
      <c r="V55" s="411">
        <f t="shared" si="77"/>
        <v>2053641.0517360382</v>
      </c>
      <c r="W55" s="411">
        <f t="shared" si="77"/>
        <v>2033104.6412186776</v>
      </c>
      <c r="X55" s="411">
        <f t="shared" si="77"/>
        <v>2012773.5948064909</v>
      </c>
      <c r="Y55" s="411">
        <f t="shared" si="77"/>
        <v>1992645.8588584259</v>
      </c>
      <c r="Z55" s="411">
        <f t="shared" si="77"/>
        <v>1972719.4002698415</v>
      </c>
      <c r="AA55" s="411">
        <f t="shared" si="77"/>
        <v>1952992.2062671431</v>
      </c>
      <c r="AB55" s="411">
        <f t="shared" si="77"/>
        <v>1933462.2842044714</v>
      </c>
      <c r="AC55" s="411">
        <f t="shared" si="77"/>
        <v>1952796.9070465162</v>
      </c>
      <c r="AD55" s="411">
        <f t="shared" si="77"/>
        <v>1972324.8761169815</v>
      </c>
      <c r="AE55" s="411">
        <f t="shared" si="77"/>
        <v>1992048.1248781513</v>
      </c>
      <c r="AF55" s="411">
        <f t="shared" si="77"/>
        <v>2011968.6061269329</v>
      </c>
      <c r="AG55" s="411">
        <f t="shared" si="77"/>
        <v>2032088.2921882023</v>
      </c>
      <c r="AH55" s="409"/>
      <c r="AI55" s="409"/>
      <c r="AJ55" s="409"/>
      <c r="AK55" s="409"/>
      <c r="AL55" s="148"/>
    </row>
    <row r="56" spans="1:38">
      <c r="A56" s="408" t="s">
        <v>28</v>
      </c>
      <c r="B56" s="408">
        <f>'No change with year'!G15</f>
        <v>300</v>
      </c>
      <c r="C56" s="411">
        <f t="shared" ref="C56:AG56" si="78">C$19*$B$56</f>
        <v>2970000</v>
      </c>
      <c r="D56" s="411">
        <f t="shared" si="78"/>
        <v>2925450</v>
      </c>
      <c r="E56" s="411">
        <f t="shared" si="78"/>
        <v>2881568.2499999995</v>
      </c>
      <c r="F56" s="411">
        <f t="shared" si="78"/>
        <v>2838344.7262499994</v>
      </c>
      <c r="G56" s="411">
        <f t="shared" si="78"/>
        <v>2795769.5553562497</v>
      </c>
      <c r="H56" s="411">
        <f t="shared" si="78"/>
        <v>2753833.0120259058</v>
      </c>
      <c r="I56" s="411">
        <f t="shared" si="78"/>
        <v>2684987.1867252579</v>
      </c>
      <c r="J56" s="411">
        <f t="shared" si="78"/>
        <v>2617862.5070571266</v>
      </c>
      <c r="K56" s="411">
        <f t="shared" si="78"/>
        <v>2552415.9443806983</v>
      </c>
      <c r="L56" s="411">
        <f t="shared" si="78"/>
        <v>2488605.5457711811</v>
      </c>
      <c r="M56" s="411">
        <f t="shared" si="78"/>
        <v>2426390.4071269012</v>
      </c>
      <c r="N56" s="411">
        <f t="shared" si="78"/>
        <v>2365730.6469487287</v>
      </c>
      <c r="O56" s="411">
        <f t="shared" si="78"/>
        <v>2306587.3807750107</v>
      </c>
      <c r="P56" s="411">
        <f t="shared" si="78"/>
        <v>2248922.6962556355</v>
      </c>
      <c r="Q56" s="411">
        <f t="shared" si="78"/>
        <v>2192699.6288492442</v>
      </c>
      <c r="R56" s="411">
        <f t="shared" si="78"/>
        <v>2137882.1381280134</v>
      </c>
      <c r="S56" s="411">
        <f t="shared" si="78"/>
        <v>2116503.3167467332</v>
      </c>
      <c r="T56" s="411">
        <f t="shared" si="78"/>
        <v>2095338.2835792657</v>
      </c>
      <c r="U56" s="411">
        <f t="shared" si="78"/>
        <v>2074384.9007434729</v>
      </c>
      <c r="V56" s="411">
        <f t="shared" si="78"/>
        <v>2053641.0517360382</v>
      </c>
      <c r="W56" s="411">
        <f t="shared" si="78"/>
        <v>2033104.6412186776</v>
      </c>
      <c r="X56" s="411">
        <f t="shared" si="78"/>
        <v>2012773.5948064909</v>
      </c>
      <c r="Y56" s="411">
        <f t="shared" si="78"/>
        <v>1992645.8588584259</v>
      </c>
      <c r="Z56" s="411">
        <f t="shared" si="78"/>
        <v>1972719.4002698415</v>
      </c>
      <c r="AA56" s="411">
        <f t="shared" si="78"/>
        <v>1952992.2062671431</v>
      </c>
      <c r="AB56" s="411">
        <f t="shared" si="78"/>
        <v>1933462.2842044714</v>
      </c>
      <c r="AC56" s="411">
        <f t="shared" si="78"/>
        <v>1952796.9070465162</v>
      </c>
      <c r="AD56" s="411">
        <f t="shared" si="78"/>
        <v>1972324.8761169815</v>
      </c>
      <c r="AE56" s="411">
        <f t="shared" si="78"/>
        <v>1992048.1248781513</v>
      </c>
      <c r="AF56" s="411">
        <f t="shared" si="78"/>
        <v>2011968.6061269329</v>
      </c>
      <c r="AG56" s="411">
        <f t="shared" si="78"/>
        <v>2032088.2921882023</v>
      </c>
      <c r="AH56" s="409"/>
      <c r="AI56" s="409"/>
      <c r="AJ56" s="409"/>
      <c r="AK56" s="409"/>
      <c r="AL56" s="148"/>
    </row>
    <row r="57" spans="1:38">
      <c r="A57" s="408"/>
      <c r="B57" s="408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409"/>
      <c r="AI57" s="409"/>
      <c r="AJ57" s="409"/>
      <c r="AK57" s="409"/>
      <c r="AL57" s="148"/>
    </row>
    <row r="58" spans="1:38" s="1" customFormat="1">
      <c r="A58" s="522" t="s">
        <v>86</v>
      </c>
      <c r="B58" s="522" t="s">
        <v>85</v>
      </c>
      <c r="C58" s="399">
        <v>2025</v>
      </c>
      <c r="D58" s="399">
        <v>2026</v>
      </c>
      <c r="E58" s="399">
        <v>2027</v>
      </c>
      <c r="F58" s="399">
        <v>2028</v>
      </c>
      <c r="G58" s="399">
        <v>2029</v>
      </c>
      <c r="H58" s="399">
        <v>2030</v>
      </c>
      <c r="I58" s="399">
        <v>2031</v>
      </c>
      <c r="J58" s="399">
        <v>2032</v>
      </c>
      <c r="K58" s="399">
        <v>2033</v>
      </c>
      <c r="L58" s="399">
        <v>2034</v>
      </c>
      <c r="M58" s="399">
        <v>2035</v>
      </c>
      <c r="N58" s="399">
        <v>2036</v>
      </c>
      <c r="O58" s="399">
        <v>2037</v>
      </c>
      <c r="P58" s="399">
        <v>2038</v>
      </c>
      <c r="Q58" s="399">
        <v>2039</v>
      </c>
      <c r="R58" s="399">
        <v>2040</v>
      </c>
      <c r="S58" s="399">
        <v>2041</v>
      </c>
      <c r="T58" s="399">
        <v>2042</v>
      </c>
      <c r="U58" s="399">
        <v>2043</v>
      </c>
      <c r="V58" s="399">
        <v>2044</v>
      </c>
      <c r="W58" s="399">
        <v>2045</v>
      </c>
      <c r="X58" s="399">
        <v>2046</v>
      </c>
      <c r="Y58" s="399">
        <v>2047</v>
      </c>
      <c r="Z58" s="399">
        <v>2048</v>
      </c>
      <c r="AA58" s="399">
        <v>2049</v>
      </c>
      <c r="AB58" s="399">
        <v>2050</v>
      </c>
      <c r="AC58" s="399">
        <v>2051</v>
      </c>
      <c r="AD58" s="399">
        <v>2052</v>
      </c>
      <c r="AE58" s="399">
        <v>2053</v>
      </c>
      <c r="AF58" s="399">
        <v>2054</v>
      </c>
      <c r="AG58" s="399">
        <v>2055</v>
      </c>
      <c r="AH58" s="399"/>
      <c r="AI58" s="522"/>
      <c r="AJ58" s="522"/>
      <c r="AK58" s="522"/>
      <c r="AL58" s="522"/>
    </row>
    <row r="59" spans="1:38">
      <c r="A59" s="408" t="s">
        <v>19</v>
      </c>
      <c r="B59" s="408">
        <f>'No change with year'!I10</f>
        <v>70</v>
      </c>
      <c r="C59" s="410">
        <f t="shared" ref="C59:AG59" si="79">C$19*$B$59</f>
        <v>693000</v>
      </c>
      <c r="D59" s="410">
        <f t="shared" si="79"/>
        <v>682605</v>
      </c>
      <c r="E59" s="410">
        <f t="shared" si="79"/>
        <v>672365.92499999993</v>
      </c>
      <c r="F59" s="410">
        <f t="shared" si="79"/>
        <v>662280.43612499989</v>
      </c>
      <c r="G59" s="410">
        <f t="shared" si="79"/>
        <v>652346.22958312486</v>
      </c>
      <c r="H59" s="410">
        <f t="shared" si="79"/>
        <v>642561.03613937809</v>
      </c>
      <c r="I59" s="410">
        <f t="shared" si="79"/>
        <v>626497.01023589354</v>
      </c>
      <c r="J59" s="410">
        <f t="shared" si="79"/>
        <v>610834.5849799962</v>
      </c>
      <c r="K59" s="410">
        <f t="shared" si="79"/>
        <v>595563.72035549628</v>
      </c>
      <c r="L59" s="410">
        <f t="shared" si="79"/>
        <v>580674.6273466089</v>
      </c>
      <c r="M59" s="410">
        <f t="shared" si="79"/>
        <v>566157.76166294364</v>
      </c>
      <c r="N59" s="410">
        <f t="shared" si="79"/>
        <v>552003.81762137008</v>
      </c>
      <c r="O59" s="410">
        <f t="shared" si="79"/>
        <v>538203.72218083579</v>
      </c>
      <c r="P59" s="410">
        <f t="shared" si="79"/>
        <v>524748.62912631489</v>
      </c>
      <c r="Q59" s="410">
        <f t="shared" si="79"/>
        <v>511629.91339815699</v>
      </c>
      <c r="R59" s="410">
        <f t="shared" si="79"/>
        <v>498839.1655632031</v>
      </c>
      <c r="S59" s="410">
        <f t="shared" si="79"/>
        <v>493850.77390757104</v>
      </c>
      <c r="T59" s="410">
        <f t="shared" si="79"/>
        <v>488912.26616849535</v>
      </c>
      <c r="U59" s="410">
        <f t="shared" si="79"/>
        <v>484023.14350681036</v>
      </c>
      <c r="V59" s="410">
        <f t="shared" si="79"/>
        <v>479182.91207174223</v>
      </c>
      <c r="W59" s="410">
        <f t="shared" si="79"/>
        <v>474391.08295102481</v>
      </c>
      <c r="X59" s="410">
        <f t="shared" si="79"/>
        <v>469647.17212151457</v>
      </c>
      <c r="Y59" s="410">
        <f t="shared" si="79"/>
        <v>464950.70040029939</v>
      </c>
      <c r="Z59" s="410">
        <f t="shared" si="79"/>
        <v>460301.19339629635</v>
      </c>
      <c r="AA59" s="410">
        <f t="shared" si="79"/>
        <v>455698.18146233336</v>
      </c>
      <c r="AB59" s="410">
        <f t="shared" si="79"/>
        <v>451141.19964771002</v>
      </c>
      <c r="AC59" s="410">
        <f t="shared" si="79"/>
        <v>455652.61164418713</v>
      </c>
      <c r="AD59" s="410">
        <f t="shared" si="79"/>
        <v>460209.137760629</v>
      </c>
      <c r="AE59" s="410">
        <f t="shared" si="79"/>
        <v>464811.22913823533</v>
      </c>
      <c r="AF59" s="410">
        <f t="shared" si="79"/>
        <v>469459.34142961772</v>
      </c>
      <c r="AG59" s="410">
        <f t="shared" si="79"/>
        <v>474153.93484391388</v>
      </c>
      <c r="AH59" s="409"/>
      <c r="AI59" s="409"/>
      <c r="AJ59" s="409"/>
      <c r="AK59" s="409"/>
      <c r="AL59" s="43"/>
    </row>
    <row r="60" spans="1:38">
      <c r="A60" s="408" t="s">
        <v>9</v>
      </c>
      <c r="B60" s="408">
        <f>'No change with year'!I5</f>
        <v>70</v>
      </c>
      <c r="C60" s="410">
        <f t="shared" ref="C60:AG60" si="80">C$19*$B$60</f>
        <v>693000</v>
      </c>
      <c r="D60" s="410">
        <f t="shared" si="80"/>
        <v>682605</v>
      </c>
      <c r="E60" s="410">
        <f t="shared" si="80"/>
        <v>672365.92499999993</v>
      </c>
      <c r="F60" s="410">
        <f t="shared" si="80"/>
        <v>662280.43612499989</v>
      </c>
      <c r="G60" s="410">
        <f t="shared" si="80"/>
        <v>652346.22958312486</v>
      </c>
      <c r="H60" s="410">
        <f t="shared" si="80"/>
        <v>642561.03613937809</v>
      </c>
      <c r="I60" s="410">
        <f t="shared" si="80"/>
        <v>626497.01023589354</v>
      </c>
      <c r="J60" s="410">
        <f t="shared" si="80"/>
        <v>610834.5849799962</v>
      </c>
      <c r="K60" s="410">
        <f t="shared" si="80"/>
        <v>595563.72035549628</v>
      </c>
      <c r="L60" s="410">
        <f t="shared" si="80"/>
        <v>580674.6273466089</v>
      </c>
      <c r="M60" s="410">
        <f t="shared" si="80"/>
        <v>566157.76166294364</v>
      </c>
      <c r="N60" s="410">
        <f t="shared" si="80"/>
        <v>552003.81762137008</v>
      </c>
      <c r="O60" s="410">
        <f t="shared" si="80"/>
        <v>538203.72218083579</v>
      </c>
      <c r="P60" s="410">
        <f t="shared" si="80"/>
        <v>524748.62912631489</v>
      </c>
      <c r="Q60" s="410">
        <f t="shared" si="80"/>
        <v>511629.91339815699</v>
      </c>
      <c r="R60" s="410">
        <f t="shared" si="80"/>
        <v>498839.1655632031</v>
      </c>
      <c r="S60" s="410">
        <f t="shared" si="80"/>
        <v>493850.77390757104</v>
      </c>
      <c r="T60" s="410">
        <f t="shared" si="80"/>
        <v>488912.26616849535</v>
      </c>
      <c r="U60" s="410">
        <f t="shared" si="80"/>
        <v>484023.14350681036</v>
      </c>
      <c r="V60" s="410">
        <f t="shared" si="80"/>
        <v>479182.91207174223</v>
      </c>
      <c r="W60" s="410">
        <f t="shared" si="80"/>
        <v>474391.08295102481</v>
      </c>
      <c r="X60" s="410">
        <f t="shared" si="80"/>
        <v>469647.17212151457</v>
      </c>
      <c r="Y60" s="410">
        <f t="shared" si="80"/>
        <v>464950.70040029939</v>
      </c>
      <c r="Z60" s="410">
        <f t="shared" si="80"/>
        <v>460301.19339629635</v>
      </c>
      <c r="AA60" s="410">
        <f t="shared" si="80"/>
        <v>455698.18146233336</v>
      </c>
      <c r="AB60" s="410">
        <f t="shared" si="80"/>
        <v>451141.19964771002</v>
      </c>
      <c r="AC60" s="410">
        <f t="shared" si="80"/>
        <v>455652.61164418713</v>
      </c>
      <c r="AD60" s="410">
        <f t="shared" si="80"/>
        <v>460209.137760629</v>
      </c>
      <c r="AE60" s="410">
        <f t="shared" si="80"/>
        <v>464811.22913823533</v>
      </c>
      <c r="AF60" s="410">
        <f t="shared" si="80"/>
        <v>469459.34142961772</v>
      </c>
      <c r="AG60" s="410">
        <f t="shared" si="80"/>
        <v>474153.93484391388</v>
      </c>
      <c r="AH60" s="409"/>
      <c r="AI60" s="409"/>
      <c r="AJ60" s="409"/>
      <c r="AK60" s="409"/>
      <c r="AL60" s="43"/>
    </row>
    <row r="61" spans="1:38">
      <c r="A61" s="408" t="s">
        <v>11</v>
      </c>
      <c r="B61" s="408">
        <f>'No change with year'!I6</f>
        <v>70</v>
      </c>
      <c r="C61" s="410">
        <f t="shared" ref="C61:AG61" si="81">C$19*$B$61</f>
        <v>693000</v>
      </c>
      <c r="D61" s="410">
        <f t="shared" si="81"/>
        <v>682605</v>
      </c>
      <c r="E61" s="410">
        <f t="shared" si="81"/>
        <v>672365.92499999993</v>
      </c>
      <c r="F61" s="410">
        <f t="shared" si="81"/>
        <v>662280.43612499989</v>
      </c>
      <c r="G61" s="410">
        <f t="shared" si="81"/>
        <v>652346.22958312486</v>
      </c>
      <c r="H61" s="410">
        <f t="shared" si="81"/>
        <v>642561.03613937809</v>
      </c>
      <c r="I61" s="410">
        <f t="shared" si="81"/>
        <v>626497.01023589354</v>
      </c>
      <c r="J61" s="410">
        <f t="shared" si="81"/>
        <v>610834.5849799962</v>
      </c>
      <c r="K61" s="410">
        <f t="shared" si="81"/>
        <v>595563.72035549628</v>
      </c>
      <c r="L61" s="410">
        <f t="shared" si="81"/>
        <v>580674.6273466089</v>
      </c>
      <c r="M61" s="410">
        <f t="shared" si="81"/>
        <v>566157.76166294364</v>
      </c>
      <c r="N61" s="410">
        <f t="shared" si="81"/>
        <v>552003.81762137008</v>
      </c>
      <c r="O61" s="410">
        <f t="shared" si="81"/>
        <v>538203.72218083579</v>
      </c>
      <c r="P61" s="410">
        <f t="shared" si="81"/>
        <v>524748.62912631489</v>
      </c>
      <c r="Q61" s="410">
        <f t="shared" si="81"/>
        <v>511629.91339815699</v>
      </c>
      <c r="R61" s="410">
        <f t="shared" si="81"/>
        <v>498839.1655632031</v>
      </c>
      <c r="S61" s="410">
        <f t="shared" si="81"/>
        <v>493850.77390757104</v>
      </c>
      <c r="T61" s="410">
        <f t="shared" si="81"/>
        <v>488912.26616849535</v>
      </c>
      <c r="U61" s="410">
        <f t="shared" si="81"/>
        <v>484023.14350681036</v>
      </c>
      <c r="V61" s="410">
        <f t="shared" si="81"/>
        <v>479182.91207174223</v>
      </c>
      <c r="W61" s="410">
        <f t="shared" si="81"/>
        <v>474391.08295102481</v>
      </c>
      <c r="X61" s="410">
        <f t="shared" si="81"/>
        <v>469647.17212151457</v>
      </c>
      <c r="Y61" s="410">
        <f t="shared" si="81"/>
        <v>464950.70040029939</v>
      </c>
      <c r="Z61" s="410">
        <f t="shared" si="81"/>
        <v>460301.19339629635</v>
      </c>
      <c r="AA61" s="410">
        <f t="shared" si="81"/>
        <v>455698.18146233336</v>
      </c>
      <c r="AB61" s="410">
        <f t="shared" si="81"/>
        <v>451141.19964771002</v>
      </c>
      <c r="AC61" s="410">
        <f t="shared" si="81"/>
        <v>455652.61164418713</v>
      </c>
      <c r="AD61" s="410">
        <f t="shared" si="81"/>
        <v>460209.137760629</v>
      </c>
      <c r="AE61" s="410">
        <f t="shared" si="81"/>
        <v>464811.22913823533</v>
      </c>
      <c r="AF61" s="410">
        <f t="shared" si="81"/>
        <v>469459.34142961772</v>
      </c>
      <c r="AG61" s="410">
        <f t="shared" si="81"/>
        <v>474153.93484391388</v>
      </c>
      <c r="AH61" s="409"/>
      <c r="AI61" s="409"/>
      <c r="AJ61" s="409"/>
      <c r="AK61" s="409"/>
      <c r="AL61" s="43"/>
    </row>
    <row r="62" spans="1:38">
      <c r="A62" s="408" t="s">
        <v>80</v>
      </c>
      <c r="B62" s="408">
        <f>'No change with year'!I12</f>
        <v>70</v>
      </c>
      <c r="C62" s="410">
        <f t="shared" ref="C62:AG62" si="82">C$19*$B$62</f>
        <v>693000</v>
      </c>
      <c r="D62" s="410">
        <f t="shared" si="82"/>
        <v>682605</v>
      </c>
      <c r="E62" s="410">
        <f t="shared" si="82"/>
        <v>672365.92499999993</v>
      </c>
      <c r="F62" s="410">
        <f t="shared" si="82"/>
        <v>662280.43612499989</v>
      </c>
      <c r="G62" s="410">
        <f t="shared" si="82"/>
        <v>652346.22958312486</v>
      </c>
      <c r="H62" s="410">
        <f t="shared" si="82"/>
        <v>642561.03613937809</v>
      </c>
      <c r="I62" s="410">
        <f t="shared" si="82"/>
        <v>626497.01023589354</v>
      </c>
      <c r="J62" s="410">
        <f t="shared" si="82"/>
        <v>610834.5849799962</v>
      </c>
      <c r="K62" s="410">
        <f t="shared" si="82"/>
        <v>595563.72035549628</v>
      </c>
      <c r="L62" s="410">
        <f t="shared" si="82"/>
        <v>580674.6273466089</v>
      </c>
      <c r="M62" s="410">
        <f t="shared" si="82"/>
        <v>566157.76166294364</v>
      </c>
      <c r="N62" s="410">
        <f t="shared" si="82"/>
        <v>552003.81762137008</v>
      </c>
      <c r="O62" s="410">
        <f t="shared" si="82"/>
        <v>538203.72218083579</v>
      </c>
      <c r="P62" s="410">
        <f t="shared" si="82"/>
        <v>524748.62912631489</v>
      </c>
      <c r="Q62" s="410">
        <f t="shared" si="82"/>
        <v>511629.91339815699</v>
      </c>
      <c r="R62" s="410">
        <f t="shared" si="82"/>
        <v>498839.1655632031</v>
      </c>
      <c r="S62" s="410">
        <f t="shared" si="82"/>
        <v>493850.77390757104</v>
      </c>
      <c r="T62" s="410">
        <f t="shared" si="82"/>
        <v>488912.26616849535</v>
      </c>
      <c r="U62" s="410">
        <f t="shared" si="82"/>
        <v>484023.14350681036</v>
      </c>
      <c r="V62" s="410">
        <f t="shared" si="82"/>
        <v>479182.91207174223</v>
      </c>
      <c r="W62" s="410">
        <f t="shared" si="82"/>
        <v>474391.08295102481</v>
      </c>
      <c r="X62" s="410">
        <f t="shared" si="82"/>
        <v>469647.17212151457</v>
      </c>
      <c r="Y62" s="410">
        <f t="shared" si="82"/>
        <v>464950.70040029939</v>
      </c>
      <c r="Z62" s="410">
        <f t="shared" si="82"/>
        <v>460301.19339629635</v>
      </c>
      <c r="AA62" s="410">
        <f t="shared" si="82"/>
        <v>455698.18146233336</v>
      </c>
      <c r="AB62" s="410">
        <f t="shared" si="82"/>
        <v>451141.19964771002</v>
      </c>
      <c r="AC62" s="410">
        <f t="shared" si="82"/>
        <v>455652.61164418713</v>
      </c>
      <c r="AD62" s="410">
        <f t="shared" si="82"/>
        <v>460209.137760629</v>
      </c>
      <c r="AE62" s="410">
        <f t="shared" si="82"/>
        <v>464811.22913823533</v>
      </c>
      <c r="AF62" s="410">
        <f t="shared" si="82"/>
        <v>469459.34142961772</v>
      </c>
      <c r="AG62" s="410">
        <f t="shared" si="82"/>
        <v>474153.93484391388</v>
      </c>
      <c r="AH62" s="409"/>
      <c r="AI62" s="409"/>
      <c r="AJ62" s="409"/>
      <c r="AK62" s="409"/>
      <c r="AL62" s="148"/>
    </row>
    <row r="63" spans="1:38">
      <c r="A63" s="408" t="s">
        <v>13</v>
      </c>
      <c r="B63" s="408">
        <f>'No change with year'!I13</f>
        <v>80</v>
      </c>
      <c r="C63" s="410">
        <f t="shared" ref="C63:AG63" si="83">C$19*$B$63</f>
        <v>792000</v>
      </c>
      <c r="D63" s="410">
        <f t="shared" si="83"/>
        <v>780120</v>
      </c>
      <c r="E63" s="410">
        <f t="shared" si="83"/>
        <v>768418.2</v>
      </c>
      <c r="F63" s="410">
        <f t="shared" si="83"/>
        <v>756891.92699999991</v>
      </c>
      <c r="G63" s="410">
        <f t="shared" si="83"/>
        <v>745538.54809499986</v>
      </c>
      <c r="H63" s="410">
        <f t="shared" si="83"/>
        <v>734355.46987357491</v>
      </c>
      <c r="I63" s="410">
        <f t="shared" si="83"/>
        <v>715996.58312673552</v>
      </c>
      <c r="J63" s="410">
        <f t="shared" si="83"/>
        <v>698096.6685485671</v>
      </c>
      <c r="K63" s="410">
        <f t="shared" si="83"/>
        <v>680644.25183485285</v>
      </c>
      <c r="L63" s="410">
        <f t="shared" si="83"/>
        <v>663628.14553898165</v>
      </c>
      <c r="M63" s="410">
        <f t="shared" si="83"/>
        <v>647037.44190050708</v>
      </c>
      <c r="N63" s="410">
        <f t="shared" si="83"/>
        <v>630861.50585299439</v>
      </c>
      <c r="O63" s="410">
        <f t="shared" si="83"/>
        <v>615089.96820666955</v>
      </c>
      <c r="P63" s="410">
        <f t="shared" si="83"/>
        <v>599712.71900150273</v>
      </c>
      <c r="Q63" s="410">
        <f t="shared" si="83"/>
        <v>584719.90102646512</v>
      </c>
      <c r="R63" s="410">
        <f t="shared" si="83"/>
        <v>570101.90350080351</v>
      </c>
      <c r="S63" s="410">
        <f t="shared" si="83"/>
        <v>564400.88446579548</v>
      </c>
      <c r="T63" s="410">
        <f t="shared" si="83"/>
        <v>558756.87562113756</v>
      </c>
      <c r="U63" s="410">
        <f t="shared" si="83"/>
        <v>553169.30686492613</v>
      </c>
      <c r="V63" s="410">
        <f t="shared" si="83"/>
        <v>547637.61379627686</v>
      </c>
      <c r="W63" s="410">
        <f t="shared" si="83"/>
        <v>542161.23765831406</v>
      </c>
      <c r="X63" s="410">
        <f t="shared" si="83"/>
        <v>536739.6252817309</v>
      </c>
      <c r="Y63" s="410">
        <f t="shared" si="83"/>
        <v>531372.22902891354</v>
      </c>
      <c r="Z63" s="410">
        <f t="shared" si="83"/>
        <v>526058.50673862442</v>
      </c>
      <c r="AA63" s="410">
        <f t="shared" si="83"/>
        <v>520797.92167123815</v>
      </c>
      <c r="AB63" s="410">
        <f t="shared" si="83"/>
        <v>515589.94245452574</v>
      </c>
      <c r="AC63" s="410">
        <f t="shared" si="83"/>
        <v>520745.84187907103</v>
      </c>
      <c r="AD63" s="410">
        <f t="shared" si="83"/>
        <v>525953.30029786169</v>
      </c>
      <c r="AE63" s="410">
        <f t="shared" si="83"/>
        <v>531212.83330084034</v>
      </c>
      <c r="AF63" s="410">
        <f t="shared" si="83"/>
        <v>536524.96163384884</v>
      </c>
      <c r="AG63" s="410">
        <f t="shared" si="83"/>
        <v>541890.21125018725</v>
      </c>
      <c r="AH63" s="409"/>
      <c r="AI63" s="409"/>
      <c r="AJ63" s="409"/>
      <c r="AK63" s="409"/>
      <c r="AL63" s="148"/>
    </row>
    <row r="64" spans="1:38">
      <c r="A64" s="408" t="s">
        <v>81</v>
      </c>
      <c r="B64" s="408">
        <f>'No change with year'!I11</f>
        <v>70</v>
      </c>
      <c r="C64" s="410">
        <f t="shared" ref="C64:AG64" si="84">C$19*$B$64</f>
        <v>693000</v>
      </c>
      <c r="D64" s="410">
        <f t="shared" si="84"/>
        <v>682605</v>
      </c>
      <c r="E64" s="410">
        <f t="shared" si="84"/>
        <v>672365.92499999993</v>
      </c>
      <c r="F64" s="410">
        <f t="shared" si="84"/>
        <v>662280.43612499989</v>
      </c>
      <c r="G64" s="410">
        <f t="shared" si="84"/>
        <v>652346.22958312486</v>
      </c>
      <c r="H64" s="410">
        <f t="shared" si="84"/>
        <v>642561.03613937809</v>
      </c>
      <c r="I64" s="410">
        <f t="shared" si="84"/>
        <v>626497.01023589354</v>
      </c>
      <c r="J64" s="410">
        <f t="shared" si="84"/>
        <v>610834.5849799962</v>
      </c>
      <c r="K64" s="410">
        <f t="shared" si="84"/>
        <v>595563.72035549628</v>
      </c>
      <c r="L64" s="410">
        <f t="shared" si="84"/>
        <v>580674.6273466089</v>
      </c>
      <c r="M64" s="410">
        <f t="shared" si="84"/>
        <v>566157.76166294364</v>
      </c>
      <c r="N64" s="410">
        <f t="shared" si="84"/>
        <v>552003.81762137008</v>
      </c>
      <c r="O64" s="410">
        <f t="shared" si="84"/>
        <v>538203.72218083579</v>
      </c>
      <c r="P64" s="410">
        <f t="shared" si="84"/>
        <v>524748.62912631489</v>
      </c>
      <c r="Q64" s="410">
        <f t="shared" si="84"/>
        <v>511629.91339815699</v>
      </c>
      <c r="R64" s="410">
        <f t="shared" si="84"/>
        <v>498839.1655632031</v>
      </c>
      <c r="S64" s="410">
        <f t="shared" si="84"/>
        <v>493850.77390757104</v>
      </c>
      <c r="T64" s="410">
        <f t="shared" si="84"/>
        <v>488912.26616849535</v>
      </c>
      <c r="U64" s="410">
        <f t="shared" si="84"/>
        <v>484023.14350681036</v>
      </c>
      <c r="V64" s="410">
        <f t="shared" si="84"/>
        <v>479182.91207174223</v>
      </c>
      <c r="W64" s="410">
        <f t="shared" si="84"/>
        <v>474391.08295102481</v>
      </c>
      <c r="X64" s="410">
        <f t="shared" si="84"/>
        <v>469647.17212151457</v>
      </c>
      <c r="Y64" s="410">
        <f t="shared" si="84"/>
        <v>464950.70040029939</v>
      </c>
      <c r="Z64" s="410">
        <f t="shared" si="84"/>
        <v>460301.19339629635</v>
      </c>
      <c r="AA64" s="410">
        <f t="shared" si="84"/>
        <v>455698.18146233336</v>
      </c>
      <c r="AB64" s="410">
        <f t="shared" si="84"/>
        <v>451141.19964771002</v>
      </c>
      <c r="AC64" s="410">
        <f t="shared" si="84"/>
        <v>455652.61164418713</v>
      </c>
      <c r="AD64" s="410">
        <f t="shared" si="84"/>
        <v>460209.137760629</v>
      </c>
      <c r="AE64" s="410">
        <f t="shared" si="84"/>
        <v>464811.22913823533</v>
      </c>
      <c r="AF64" s="410">
        <f t="shared" si="84"/>
        <v>469459.34142961772</v>
      </c>
      <c r="AG64" s="410">
        <f t="shared" si="84"/>
        <v>474153.93484391388</v>
      </c>
      <c r="AH64" s="409"/>
      <c r="AI64" s="409"/>
      <c r="AJ64" s="409"/>
      <c r="AK64" s="409"/>
      <c r="AL64" s="148"/>
    </row>
    <row r="65" spans="1:38">
      <c r="A65" s="408" t="s">
        <v>82</v>
      </c>
      <c r="B65" s="408">
        <f>'No change with year'!I12</f>
        <v>70</v>
      </c>
      <c r="C65" s="410">
        <f t="shared" ref="C65:AG65" si="85">C$19*$B$65</f>
        <v>693000</v>
      </c>
      <c r="D65" s="410">
        <f t="shared" si="85"/>
        <v>682605</v>
      </c>
      <c r="E65" s="410">
        <f t="shared" si="85"/>
        <v>672365.92499999993</v>
      </c>
      <c r="F65" s="410">
        <f t="shared" si="85"/>
        <v>662280.43612499989</v>
      </c>
      <c r="G65" s="410">
        <f t="shared" si="85"/>
        <v>652346.22958312486</v>
      </c>
      <c r="H65" s="410">
        <f t="shared" si="85"/>
        <v>642561.03613937809</v>
      </c>
      <c r="I65" s="410">
        <f t="shared" si="85"/>
        <v>626497.01023589354</v>
      </c>
      <c r="J65" s="410">
        <f t="shared" si="85"/>
        <v>610834.5849799962</v>
      </c>
      <c r="K65" s="410">
        <f t="shared" si="85"/>
        <v>595563.72035549628</v>
      </c>
      <c r="L65" s="410">
        <f t="shared" si="85"/>
        <v>580674.6273466089</v>
      </c>
      <c r="M65" s="410">
        <f t="shared" si="85"/>
        <v>566157.76166294364</v>
      </c>
      <c r="N65" s="410">
        <f t="shared" si="85"/>
        <v>552003.81762137008</v>
      </c>
      <c r="O65" s="410">
        <f t="shared" si="85"/>
        <v>538203.72218083579</v>
      </c>
      <c r="P65" s="410">
        <f t="shared" si="85"/>
        <v>524748.62912631489</v>
      </c>
      <c r="Q65" s="410">
        <f t="shared" si="85"/>
        <v>511629.91339815699</v>
      </c>
      <c r="R65" s="410">
        <f t="shared" si="85"/>
        <v>498839.1655632031</v>
      </c>
      <c r="S65" s="410">
        <f t="shared" si="85"/>
        <v>493850.77390757104</v>
      </c>
      <c r="T65" s="410">
        <f t="shared" si="85"/>
        <v>488912.26616849535</v>
      </c>
      <c r="U65" s="410">
        <f t="shared" si="85"/>
        <v>484023.14350681036</v>
      </c>
      <c r="V65" s="410">
        <f t="shared" si="85"/>
        <v>479182.91207174223</v>
      </c>
      <c r="W65" s="410">
        <f t="shared" si="85"/>
        <v>474391.08295102481</v>
      </c>
      <c r="X65" s="410">
        <f t="shared" si="85"/>
        <v>469647.17212151457</v>
      </c>
      <c r="Y65" s="410">
        <f t="shared" si="85"/>
        <v>464950.70040029939</v>
      </c>
      <c r="Z65" s="410">
        <f t="shared" si="85"/>
        <v>460301.19339629635</v>
      </c>
      <c r="AA65" s="410">
        <f t="shared" si="85"/>
        <v>455698.18146233336</v>
      </c>
      <c r="AB65" s="410">
        <f t="shared" si="85"/>
        <v>451141.19964771002</v>
      </c>
      <c r="AC65" s="410">
        <f t="shared" si="85"/>
        <v>455652.61164418713</v>
      </c>
      <c r="AD65" s="410">
        <f t="shared" si="85"/>
        <v>460209.137760629</v>
      </c>
      <c r="AE65" s="410">
        <f t="shared" si="85"/>
        <v>464811.22913823533</v>
      </c>
      <c r="AF65" s="410">
        <f t="shared" si="85"/>
        <v>469459.34142961772</v>
      </c>
      <c r="AG65" s="410">
        <f t="shared" si="85"/>
        <v>474153.93484391388</v>
      </c>
      <c r="AH65" s="409"/>
      <c r="AI65" s="409"/>
      <c r="AJ65" s="409"/>
      <c r="AK65" s="409"/>
      <c r="AL65" s="148"/>
    </row>
    <row r="66" spans="1:38">
      <c r="A66" s="408" t="s">
        <v>37</v>
      </c>
      <c r="B66" s="408">
        <f>'No change with year'!I18</f>
        <v>70</v>
      </c>
      <c r="C66" s="410">
        <f t="shared" ref="C66:AG66" si="86">C$19*$B$66</f>
        <v>693000</v>
      </c>
      <c r="D66" s="410">
        <f t="shared" si="86"/>
        <v>682605</v>
      </c>
      <c r="E66" s="410">
        <f t="shared" si="86"/>
        <v>672365.92499999993</v>
      </c>
      <c r="F66" s="410">
        <f t="shared" si="86"/>
        <v>662280.43612499989</v>
      </c>
      <c r="G66" s="410">
        <f t="shared" si="86"/>
        <v>652346.22958312486</v>
      </c>
      <c r="H66" s="410">
        <f t="shared" si="86"/>
        <v>642561.03613937809</v>
      </c>
      <c r="I66" s="410">
        <f t="shared" si="86"/>
        <v>626497.01023589354</v>
      </c>
      <c r="J66" s="410">
        <f t="shared" si="86"/>
        <v>610834.5849799962</v>
      </c>
      <c r="K66" s="410">
        <f t="shared" si="86"/>
        <v>595563.72035549628</v>
      </c>
      <c r="L66" s="410">
        <f t="shared" si="86"/>
        <v>580674.6273466089</v>
      </c>
      <c r="M66" s="410">
        <f t="shared" si="86"/>
        <v>566157.76166294364</v>
      </c>
      <c r="N66" s="410">
        <f t="shared" si="86"/>
        <v>552003.81762137008</v>
      </c>
      <c r="O66" s="410">
        <f t="shared" si="86"/>
        <v>538203.72218083579</v>
      </c>
      <c r="P66" s="410">
        <f t="shared" si="86"/>
        <v>524748.62912631489</v>
      </c>
      <c r="Q66" s="410">
        <f t="shared" si="86"/>
        <v>511629.91339815699</v>
      </c>
      <c r="R66" s="410">
        <f t="shared" si="86"/>
        <v>498839.1655632031</v>
      </c>
      <c r="S66" s="410">
        <f t="shared" si="86"/>
        <v>493850.77390757104</v>
      </c>
      <c r="T66" s="410">
        <f t="shared" si="86"/>
        <v>488912.26616849535</v>
      </c>
      <c r="U66" s="410">
        <f t="shared" si="86"/>
        <v>484023.14350681036</v>
      </c>
      <c r="V66" s="410">
        <f t="shared" si="86"/>
        <v>479182.91207174223</v>
      </c>
      <c r="W66" s="410">
        <f t="shared" si="86"/>
        <v>474391.08295102481</v>
      </c>
      <c r="X66" s="410">
        <f t="shared" si="86"/>
        <v>469647.17212151457</v>
      </c>
      <c r="Y66" s="410">
        <f t="shared" si="86"/>
        <v>464950.70040029939</v>
      </c>
      <c r="Z66" s="410">
        <f t="shared" si="86"/>
        <v>460301.19339629635</v>
      </c>
      <c r="AA66" s="410">
        <f t="shared" si="86"/>
        <v>455698.18146233336</v>
      </c>
      <c r="AB66" s="410">
        <f t="shared" si="86"/>
        <v>451141.19964771002</v>
      </c>
      <c r="AC66" s="410">
        <f t="shared" si="86"/>
        <v>455652.61164418713</v>
      </c>
      <c r="AD66" s="410">
        <f t="shared" si="86"/>
        <v>460209.137760629</v>
      </c>
      <c r="AE66" s="410">
        <f t="shared" si="86"/>
        <v>464811.22913823533</v>
      </c>
      <c r="AF66" s="410">
        <f t="shared" si="86"/>
        <v>469459.34142961772</v>
      </c>
      <c r="AG66" s="410">
        <f t="shared" si="86"/>
        <v>474153.93484391388</v>
      </c>
      <c r="AH66" s="409"/>
      <c r="AI66" s="409"/>
      <c r="AJ66" s="409"/>
      <c r="AK66" s="409"/>
      <c r="AL66" s="148"/>
    </row>
    <row r="67" spans="1:38">
      <c r="A67" s="408" t="s">
        <v>28</v>
      </c>
      <c r="B67" s="408">
        <f>'No change with year'!I15</f>
        <v>80</v>
      </c>
      <c r="C67" s="410">
        <f t="shared" ref="C67:AG67" si="87">C$19*$B$67</f>
        <v>792000</v>
      </c>
      <c r="D67" s="410">
        <f t="shared" si="87"/>
        <v>780120</v>
      </c>
      <c r="E67" s="410">
        <f t="shared" si="87"/>
        <v>768418.2</v>
      </c>
      <c r="F67" s="410">
        <f t="shared" si="87"/>
        <v>756891.92699999991</v>
      </c>
      <c r="G67" s="410">
        <f t="shared" si="87"/>
        <v>745538.54809499986</v>
      </c>
      <c r="H67" s="410">
        <f t="shared" si="87"/>
        <v>734355.46987357491</v>
      </c>
      <c r="I67" s="410">
        <f t="shared" si="87"/>
        <v>715996.58312673552</v>
      </c>
      <c r="J67" s="410">
        <f t="shared" si="87"/>
        <v>698096.6685485671</v>
      </c>
      <c r="K67" s="410">
        <f t="shared" si="87"/>
        <v>680644.25183485285</v>
      </c>
      <c r="L67" s="410">
        <f t="shared" si="87"/>
        <v>663628.14553898165</v>
      </c>
      <c r="M67" s="410">
        <f t="shared" si="87"/>
        <v>647037.44190050708</v>
      </c>
      <c r="N67" s="410">
        <f t="shared" si="87"/>
        <v>630861.50585299439</v>
      </c>
      <c r="O67" s="410">
        <f t="shared" si="87"/>
        <v>615089.96820666955</v>
      </c>
      <c r="P67" s="410">
        <f t="shared" si="87"/>
        <v>599712.71900150273</v>
      </c>
      <c r="Q67" s="410">
        <f t="shared" si="87"/>
        <v>584719.90102646512</v>
      </c>
      <c r="R67" s="410">
        <f t="shared" si="87"/>
        <v>570101.90350080351</v>
      </c>
      <c r="S67" s="410">
        <f t="shared" si="87"/>
        <v>564400.88446579548</v>
      </c>
      <c r="T67" s="410">
        <f t="shared" si="87"/>
        <v>558756.87562113756</v>
      </c>
      <c r="U67" s="410">
        <f t="shared" si="87"/>
        <v>553169.30686492613</v>
      </c>
      <c r="V67" s="410">
        <f t="shared" si="87"/>
        <v>547637.61379627686</v>
      </c>
      <c r="W67" s="410">
        <f t="shared" si="87"/>
        <v>542161.23765831406</v>
      </c>
      <c r="X67" s="410">
        <f t="shared" si="87"/>
        <v>536739.6252817309</v>
      </c>
      <c r="Y67" s="410">
        <f t="shared" si="87"/>
        <v>531372.22902891354</v>
      </c>
      <c r="Z67" s="410">
        <f t="shared" si="87"/>
        <v>526058.50673862442</v>
      </c>
      <c r="AA67" s="410">
        <f t="shared" si="87"/>
        <v>520797.92167123815</v>
      </c>
      <c r="AB67" s="410">
        <f t="shared" si="87"/>
        <v>515589.94245452574</v>
      </c>
      <c r="AC67" s="410">
        <f t="shared" si="87"/>
        <v>520745.84187907103</v>
      </c>
      <c r="AD67" s="410">
        <f t="shared" si="87"/>
        <v>525953.30029786169</v>
      </c>
      <c r="AE67" s="410">
        <f t="shared" si="87"/>
        <v>531212.83330084034</v>
      </c>
      <c r="AF67" s="410">
        <f t="shared" si="87"/>
        <v>536524.96163384884</v>
      </c>
      <c r="AG67" s="410">
        <f t="shared" si="87"/>
        <v>541890.21125018725</v>
      </c>
      <c r="AH67" s="409"/>
      <c r="AI67" s="409"/>
      <c r="AJ67" s="409"/>
      <c r="AK67" s="409"/>
      <c r="AL67" s="148"/>
    </row>
    <row r="68" spans="1:38">
      <c r="A68" s="408"/>
      <c r="B68" s="408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409"/>
      <c r="AI68" s="409"/>
      <c r="AJ68" s="409"/>
      <c r="AK68" s="409"/>
      <c r="AL68" s="148"/>
    </row>
    <row r="69" spans="1:38" s="1" customFormat="1" ht="28.8">
      <c r="A69" s="522" t="s">
        <v>1151</v>
      </c>
      <c r="B69" s="399" t="s">
        <v>765</v>
      </c>
      <c r="C69" s="399">
        <v>2025</v>
      </c>
      <c r="D69" s="399">
        <v>2026</v>
      </c>
      <c r="E69" s="399">
        <v>2027</v>
      </c>
      <c r="F69" s="399">
        <v>2028</v>
      </c>
      <c r="G69" s="399">
        <v>2029</v>
      </c>
      <c r="H69" s="399">
        <v>2030</v>
      </c>
      <c r="I69" s="399">
        <v>2031</v>
      </c>
      <c r="J69" s="399">
        <v>2032</v>
      </c>
      <c r="K69" s="399">
        <v>2033</v>
      </c>
      <c r="L69" s="399">
        <v>2034</v>
      </c>
      <c r="M69" s="399">
        <v>2035</v>
      </c>
      <c r="N69" s="399">
        <v>2036</v>
      </c>
      <c r="O69" s="399">
        <v>2037</v>
      </c>
      <c r="P69" s="399">
        <v>2038</v>
      </c>
      <c r="Q69" s="399">
        <v>2039</v>
      </c>
      <c r="R69" s="399">
        <v>2040</v>
      </c>
      <c r="S69" s="399">
        <v>2041</v>
      </c>
      <c r="T69" s="399">
        <v>2042</v>
      </c>
      <c r="U69" s="399">
        <v>2043</v>
      </c>
      <c r="V69" s="399">
        <v>2044</v>
      </c>
      <c r="W69" s="399">
        <v>2045</v>
      </c>
      <c r="X69" s="399">
        <v>2046</v>
      </c>
      <c r="Y69" s="399">
        <v>2047</v>
      </c>
      <c r="Z69" s="399">
        <v>2048</v>
      </c>
      <c r="AA69" s="399">
        <v>2049</v>
      </c>
      <c r="AB69" s="399">
        <v>2050</v>
      </c>
      <c r="AC69" s="399">
        <v>2051</v>
      </c>
      <c r="AD69" s="399">
        <v>2052</v>
      </c>
      <c r="AE69" s="399">
        <v>2053</v>
      </c>
      <c r="AF69" s="399">
        <v>2054</v>
      </c>
      <c r="AG69" s="399">
        <v>2055</v>
      </c>
      <c r="AH69" s="399"/>
      <c r="AI69" s="522"/>
      <c r="AJ69" s="522"/>
      <c r="AK69" s="522"/>
      <c r="AL69" s="522"/>
    </row>
    <row r="70" spans="1:38">
      <c r="A70" s="408" t="s">
        <v>19</v>
      </c>
      <c r="B70" s="408">
        <f>'No change with year'!J10</f>
        <v>80</v>
      </c>
      <c r="C70" s="410">
        <f t="shared" ref="C70:AG70" si="88">C$20*$B$70</f>
        <v>2880000</v>
      </c>
      <c r="D70" s="410">
        <f t="shared" si="88"/>
        <v>2793600</v>
      </c>
      <c r="E70" s="410">
        <f t="shared" si="88"/>
        <v>2709792</v>
      </c>
      <c r="F70" s="410">
        <f t="shared" si="88"/>
        <v>2628498.2400000002</v>
      </c>
      <c r="G70" s="410">
        <f t="shared" si="88"/>
        <v>2549643.2927999999</v>
      </c>
      <c r="H70" s="410">
        <f t="shared" si="88"/>
        <v>2473153.9940160001</v>
      </c>
      <c r="I70" s="410">
        <f t="shared" si="88"/>
        <v>2398959.3741955198</v>
      </c>
      <c r="J70" s="410">
        <f t="shared" si="88"/>
        <v>2326990.5929696546</v>
      </c>
      <c r="K70" s="410">
        <f t="shared" si="88"/>
        <v>2257180.8751805648</v>
      </c>
      <c r="L70" s="410">
        <f t="shared" si="88"/>
        <v>2189465.4489251478</v>
      </c>
      <c r="M70" s="410">
        <f t="shared" si="88"/>
        <v>2123781.4854573933</v>
      </c>
      <c r="N70" s="410">
        <f t="shared" si="88"/>
        <v>2060068.0408936716</v>
      </c>
      <c r="O70" s="410">
        <f t="shared" si="88"/>
        <v>1998265.9996668613</v>
      </c>
      <c r="P70" s="410">
        <f t="shared" si="88"/>
        <v>1938318.0196768555</v>
      </c>
      <c r="Q70" s="410">
        <f t="shared" si="88"/>
        <v>1880168.4790865497</v>
      </c>
      <c r="R70" s="410">
        <f t="shared" si="88"/>
        <v>1823763.4247139534</v>
      </c>
      <c r="S70" s="410">
        <f t="shared" si="88"/>
        <v>1787288.1562196743</v>
      </c>
      <c r="T70" s="410">
        <f t="shared" si="88"/>
        <v>1751542.393095281</v>
      </c>
      <c r="U70" s="410">
        <f t="shared" si="88"/>
        <v>1716511.5452333752</v>
      </c>
      <c r="V70" s="410">
        <f t="shared" si="88"/>
        <v>1682181.3143287078</v>
      </c>
      <c r="W70" s="410">
        <f t="shared" si="88"/>
        <v>1648537.6880421336</v>
      </c>
      <c r="X70" s="410">
        <f t="shared" si="88"/>
        <v>1615566.9342812907</v>
      </c>
      <c r="Y70" s="410">
        <f t="shared" si="88"/>
        <v>1583255.5955956648</v>
      </c>
      <c r="Z70" s="410">
        <f t="shared" si="88"/>
        <v>1551590.4836837517</v>
      </c>
      <c r="AA70" s="410">
        <f t="shared" si="88"/>
        <v>1520558.6740100766</v>
      </c>
      <c r="AB70" s="410">
        <f t="shared" si="88"/>
        <v>1490147.5005298748</v>
      </c>
      <c r="AC70" s="410">
        <f t="shared" si="88"/>
        <v>1505048.9755351737</v>
      </c>
      <c r="AD70" s="410">
        <f t="shared" si="88"/>
        <v>1520099.4652905255</v>
      </c>
      <c r="AE70" s="410">
        <f t="shared" si="88"/>
        <v>1535300.4599434305</v>
      </c>
      <c r="AF70" s="410">
        <f t="shared" si="88"/>
        <v>1550653.4645428648</v>
      </c>
      <c r="AG70" s="410">
        <f t="shared" si="88"/>
        <v>1566159.9991882937</v>
      </c>
      <c r="AH70" s="409"/>
      <c r="AI70" s="409"/>
      <c r="AJ70" s="409"/>
      <c r="AK70" s="409"/>
      <c r="AL70" s="43"/>
    </row>
    <row r="71" spans="1:38">
      <c r="A71" s="408" t="s">
        <v>9</v>
      </c>
      <c r="B71" s="408">
        <f>'No change with year'!J5</f>
        <v>80</v>
      </c>
      <c r="C71" s="410">
        <f t="shared" ref="C71:AG71" si="89">C$20*$B$71</f>
        <v>2880000</v>
      </c>
      <c r="D71" s="410">
        <f t="shared" si="89"/>
        <v>2793600</v>
      </c>
      <c r="E71" s="410">
        <f t="shared" si="89"/>
        <v>2709792</v>
      </c>
      <c r="F71" s="410">
        <f t="shared" si="89"/>
        <v>2628498.2400000002</v>
      </c>
      <c r="G71" s="410">
        <f t="shared" si="89"/>
        <v>2549643.2927999999</v>
      </c>
      <c r="H71" s="410">
        <f t="shared" si="89"/>
        <v>2473153.9940160001</v>
      </c>
      <c r="I71" s="410">
        <f t="shared" si="89"/>
        <v>2398959.3741955198</v>
      </c>
      <c r="J71" s="410">
        <f t="shared" si="89"/>
        <v>2326990.5929696546</v>
      </c>
      <c r="K71" s="410">
        <f t="shared" si="89"/>
        <v>2257180.8751805648</v>
      </c>
      <c r="L71" s="410">
        <f t="shared" si="89"/>
        <v>2189465.4489251478</v>
      </c>
      <c r="M71" s="410">
        <f t="shared" si="89"/>
        <v>2123781.4854573933</v>
      </c>
      <c r="N71" s="410">
        <f t="shared" si="89"/>
        <v>2060068.0408936716</v>
      </c>
      <c r="O71" s="410">
        <f t="shared" si="89"/>
        <v>1998265.9996668613</v>
      </c>
      <c r="P71" s="410">
        <f t="shared" si="89"/>
        <v>1938318.0196768555</v>
      </c>
      <c r="Q71" s="410">
        <f t="shared" si="89"/>
        <v>1880168.4790865497</v>
      </c>
      <c r="R71" s="410">
        <f t="shared" si="89"/>
        <v>1823763.4247139534</v>
      </c>
      <c r="S71" s="410">
        <f t="shared" si="89"/>
        <v>1787288.1562196743</v>
      </c>
      <c r="T71" s="410">
        <f t="shared" si="89"/>
        <v>1751542.393095281</v>
      </c>
      <c r="U71" s="410">
        <f t="shared" si="89"/>
        <v>1716511.5452333752</v>
      </c>
      <c r="V71" s="410">
        <f t="shared" si="89"/>
        <v>1682181.3143287078</v>
      </c>
      <c r="W71" s="410">
        <f t="shared" si="89"/>
        <v>1648537.6880421336</v>
      </c>
      <c r="X71" s="410">
        <f t="shared" si="89"/>
        <v>1615566.9342812907</v>
      </c>
      <c r="Y71" s="410">
        <f t="shared" si="89"/>
        <v>1583255.5955956648</v>
      </c>
      <c r="Z71" s="410">
        <f t="shared" si="89"/>
        <v>1551590.4836837517</v>
      </c>
      <c r="AA71" s="410">
        <f t="shared" si="89"/>
        <v>1520558.6740100766</v>
      </c>
      <c r="AB71" s="410">
        <f t="shared" si="89"/>
        <v>1490147.5005298748</v>
      </c>
      <c r="AC71" s="410">
        <f t="shared" si="89"/>
        <v>1505048.9755351737</v>
      </c>
      <c r="AD71" s="410">
        <f t="shared" si="89"/>
        <v>1520099.4652905255</v>
      </c>
      <c r="AE71" s="410">
        <f t="shared" si="89"/>
        <v>1535300.4599434305</v>
      </c>
      <c r="AF71" s="410">
        <f t="shared" si="89"/>
        <v>1550653.4645428648</v>
      </c>
      <c r="AG71" s="410">
        <f t="shared" si="89"/>
        <v>1566159.9991882937</v>
      </c>
      <c r="AH71" s="409"/>
      <c r="AI71" s="409"/>
      <c r="AJ71" s="409"/>
      <c r="AK71" s="409"/>
      <c r="AL71" s="43"/>
    </row>
    <row r="72" spans="1:38">
      <c r="A72" s="408" t="s">
        <v>11</v>
      </c>
      <c r="B72" s="408">
        <f>'No change with year'!J6</f>
        <v>80</v>
      </c>
      <c r="C72" s="410">
        <f t="shared" ref="C72:AG72" si="90">C$20*$B$72</f>
        <v>2880000</v>
      </c>
      <c r="D72" s="410">
        <f t="shared" si="90"/>
        <v>2793600</v>
      </c>
      <c r="E72" s="410">
        <f t="shared" si="90"/>
        <v>2709792</v>
      </c>
      <c r="F72" s="410">
        <f t="shared" si="90"/>
        <v>2628498.2400000002</v>
      </c>
      <c r="G72" s="410">
        <f t="shared" si="90"/>
        <v>2549643.2927999999</v>
      </c>
      <c r="H72" s="410">
        <f t="shared" si="90"/>
        <v>2473153.9940160001</v>
      </c>
      <c r="I72" s="410">
        <f t="shared" si="90"/>
        <v>2398959.3741955198</v>
      </c>
      <c r="J72" s="410">
        <f t="shared" si="90"/>
        <v>2326990.5929696546</v>
      </c>
      <c r="K72" s="410">
        <f t="shared" si="90"/>
        <v>2257180.8751805648</v>
      </c>
      <c r="L72" s="410">
        <f t="shared" si="90"/>
        <v>2189465.4489251478</v>
      </c>
      <c r="M72" s="410">
        <f t="shared" si="90"/>
        <v>2123781.4854573933</v>
      </c>
      <c r="N72" s="410">
        <f t="shared" si="90"/>
        <v>2060068.0408936716</v>
      </c>
      <c r="O72" s="410">
        <f t="shared" si="90"/>
        <v>1998265.9996668613</v>
      </c>
      <c r="P72" s="410">
        <f t="shared" si="90"/>
        <v>1938318.0196768555</v>
      </c>
      <c r="Q72" s="410">
        <f t="shared" si="90"/>
        <v>1880168.4790865497</v>
      </c>
      <c r="R72" s="410">
        <f t="shared" si="90"/>
        <v>1823763.4247139534</v>
      </c>
      <c r="S72" s="410">
        <f t="shared" si="90"/>
        <v>1787288.1562196743</v>
      </c>
      <c r="T72" s="410">
        <f t="shared" si="90"/>
        <v>1751542.393095281</v>
      </c>
      <c r="U72" s="410">
        <f t="shared" si="90"/>
        <v>1716511.5452333752</v>
      </c>
      <c r="V72" s="410">
        <f t="shared" si="90"/>
        <v>1682181.3143287078</v>
      </c>
      <c r="W72" s="410">
        <f t="shared" si="90"/>
        <v>1648537.6880421336</v>
      </c>
      <c r="X72" s="410">
        <f t="shared" si="90"/>
        <v>1615566.9342812907</v>
      </c>
      <c r="Y72" s="410">
        <f t="shared" si="90"/>
        <v>1583255.5955956648</v>
      </c>
      <c r="Z72" s="410">
        <f t="shared" si="90"/>
        <v>1551590.4836837517</v>
      </c>
      <c r="AA72" s="410">
        <f t="shared" si="90"/>
        <v>1520558.6740100766</v>
      </c>
      <c r="AB72" s="410">
        <f t="shared" si="90"/>
        <v>1490147.5005298748</v>
      </c>
      <c r="AC72" s="410">
        <f t="shared" si="90"/>
        <v>1505048.9755351737</v>
      </c>
      <c r="AD72" s="410">
        <f t="shared" si="90"/>
        <v>1520099.4652905255</v>
      </c>
      <c r="AE72" s="410">
        <f t="shared" si="90"/>
        <v>1535300.4599434305</v>
      </c>
      <c r="AF72" s="410">
        <f t="shared" si="90"/>
        <v>1550653.4645428648</v>
      </c>
      <c r="AG72" s="410">
        <f t="shared" si="90"/>
        <v>1566159.9991882937</v>
      </c>
      <c r="AH72" s="409"/>
      <c r="AI72" s="409"/>
      <c r="AJ72" s="409"/>
      <c r="AK72" s="409"/>
      <c r="AL72" s="43"/>
    </row>
    <row r="73" spans="1:38">
      <c r="A73" s="408" t="s">
        <v>80</v>
      </c>
      <c r="B73" s="408">
        <f>'No change with year'!J12</f>
        <v>80</v>
      </c>
      <c r="C73" s="410">
        <f t="shared" ref="C73:AG73" si="91">C$20*$B$73</f>
        <v>2880000</v>
      </c>
      <c r="D73" s="410">
        <f t="shared" si="91"/>
        <v>2793600</v>
      </c>
      <c r="E73" s="410">
        <f t="shared" si="91"/>
        <v>2709792</v>
      </c>
      <c r="F73" s="410">
        <f t="shared" si="91"/>
        <v>2628498.2400000002</v>
      </c>
      <c r="G73" s="410">
        <f t="shared" si="91"/>
        <v>2549643.2927999999</v>
      </c>
      <c r="H73" s="410">
        <f t="shared" si="91"/>
        <v>2473153.9940160001</v>
      </c>
      <c r="I73" s="410">
        <f t="shared" si="91"/>
        <v>2398959.3741955198</v>
      </c>
      <c r="J73" s="410">
        <f t="shared" si="91"/>
        <v>2326990.5929696546</v>
      </c>
      <c r="K73" s="410">
        <f t="shared" si="91"/>
        <v>2257180.8751805648</v>
      </c>
      <c r="L73" s="410">
        <f t="shared" si="91"/>
        <v>2189465.4489251478</v>
      </c>
      <c r="M73" s="410">
        <f t="shared" si="91"/>
        <v>2123781.4854573933</v>
      </c>
      <c r="N73" s="410">
        <f t="shared" si="91"/>
        <v>2060068.0408936716</v>
      </c>
      <c r="O73" s="410">
        <f t="shared" si="91"/>
        <v>1998265.9996668613</v>
      </c>
      <c r="P73" s="410">
        <f t="shared" si="91"/>
        <v>1938318.0196768555</v>
      </c>
      <c r="Q73" s="410">
        <f t="shared" si="91"/>
        <v>1880168.4790865497</v>
      </c>
      <c r="R73" s="410">
        <f t="shared" si="91"/>
        <v>1823763.4247139534</v>
      </c>
      <c r="S73" s="410">
        <f t="shared" si="91"/>
        <v>1787288.1562196743</v>
      </c>
      <c r="T73" s="410">
        <f t="shared" si="91"/>
        <v>1751542.393095281</v>
      </c>
      <c r="U73" s="410">
        <f t="shared" si="91"/>
        <v>1716511.5452333752</v>
      </c>
      <c r="V73" s="410">
        <f t="shared" si="91"/>
        <v>1682181.3143287078</v>
      </c>
      <c r="W73" s="410">
        <f t="shared" si="91"/>
        <v>1648537.6880421336</v>
      </c>
      <c r="X73" s="410">
        <f t="shared" si="91"/>
        <v>1615566.9342812907</v>
      </c>
      <c r="Y73" s="410">
        <f t="shared" si="91"/>
        <v>1583255.5955956648</v>
      </c>
      <c r="Z73" s="410">
        <f t="shared" si="91"/>
        <v>1551590.4836837517</v>
      </c>
      <c r="AA73" s="410">
        <f t="shared" si="91"/>
        <v>1520558.6740100766</v>
      </c>
      <c r="AB73" s="410">
        <f t="shared" si="91"/>
        <v>1490147.5005298748</v>
      </c>
      <c r="AC73" s="410">
        <f t="shared" si="91"/>
        <v>1505048.9755351737</v>
      </c>
      <c r="AD73" s="410">
        <f t="shared" si="91"/>
        <v>1520099.4652905255</v>
      </c>
      <c r="AE73" s="410">
        <f t="shared" si="91"/>
        <v>1535300.4599434305</v>
      </c>
      <c r="AF73" s="410">
        <f t="shared" si="91"/>
        <v>1550653.4645428648</v>
      </c>
      <c r="AG73" s="410">
        <f t="shared" si="91"/>
        <v>1566159.9991882937</v>
      </c>
      <c r="AH73" s="409"/>
      <c r="AI73" s="409"/>
      <c r="AJ73" s="409"/>
      <c r="AK73" s="409"/>
      <c r="AL73" s="148"/>
    </row>
    <row r="74" spans="1:38">
      <c r="A74" s="408" t="s">
        <v>13</v>
      </c>
      <c r="B74" s="408">
        <f>'No change with year'!J7</f>
        <v>120</v>
      </c>
      <c r="C74" s="410">
        <f t="shared" ref="C74:AG74" si="92">C$20*$B$74</f>
        <v>4320000</v>
      </c>
      <c r="D74" s="410">
        <f t="shared" si="92"/>
        <v>4190400</v>
      </c>
      <c r="E74" s="410">
        <f t="shared" si="92"/>
        <v>4064688</v>
      </c>
      <c r="F74" s="410">
        <f t="shared" si="92"/>
        <v>3942747.3600000003</v>
      </c>
      <c r="G74" s="410">
        <f t="shared" si="92"/>
        <v>3824464.9391999999</v>
      </c>
      <c r="H74" s="410">
        <f t="shared" si="92"/>
        <v>3709730.9910240001</v>
      </c>
      <c r="I74" s="410">
        <f t="shared" si="92"/>
        <v>3598439.0612932802</v>
      </c>
      <c r="J74" s="410">
        <f t="shared" si="92"/>
        <v>3490485.8894544817</v>
      </c>
      <c r="K74" s="410">
        <f t="shared" si="92"/>
        <v>3385771.3127708472</v>
      </c>
      <c r="L74" s="410">
        <f t="shared" si="92"/>
        <v>3284198.1733877216</v>
      </c>
      <c r="M74" s="410">
        <f t="shared" si="92"/>
        <v>3185672.22818609</v>
      </c>
      <c r="N74" s="410">
        <f t="shared" si="92"/>
        <v>3090102.0613405071</v>
      </c>
      <c r="O74" s="410">
        <f t="shared" si="92"/>
        <v>2997398.9995002919</v>
      </c>
      <c r="P74" s="410">
        <f t="shared" si="92"/>
        <v>2907477.0295152832</v>
      </c>
      <c r="Q74" s="410">
        <f t="shared" si="92"/>
        <v>2820252.7186298245</v>
      </c>
      <c r="R74" s="410">
        <f t="shared" si="92"/>
        <v>2735645.1370709301</v>
      </c>
      <c r="S74" s="410">
        <f t="shared" si="92"/>
        <v>2680932.2343295114</v>
      </c>
      <c r="T74" s="410">
        <f t="shared" si="92"/>
        <v>2627313.5896429215</v>
      </c>
      <c r="U74" s="410">
        <f t="shared" si="92"/>
        <v>2574767.3178500626</v>
      </c>
      <c r="V74" s="410">
        <f t="shared" si="92"/>
        <v>2523271.9714930616</v>
      </c>
      <c r="W74" s="410">
        <f t="shared" si="92"/>
        <v>2472806.5320632001</v>
      </c>
      <c r="X74" s="410">
        <f t="shared" si="92"/>
        <v>2423350.4014219362</v>
      </c>
      <c r="Y74" s="410">
        <f t="shared" si="92"/>
        <v>2374883.3933934974</v>
      </c>
      <c r="Z74" s="410">
        <f t="shared" si="92"/>
        <v>2327385.7255256274</v>
      </c>
      <c r="AA74" s="410">
        <f t="shared" si="92"/>
        <v>2280838.0110151148</v>
      </c>
      <c r="AB74" s="410">
        <f t="shared" si="92"/>
        <v>2235221.2507948121</v>
      </c>
      <c r="AC74" s="410">
        <f t="shared" si="92"/>
        <v>2257573.4633027604</v>
      </c>
      <c r="AD74" s="410">
        <f t="shared" si="92"/>
        <v>2280149.197935788</v>
      </c>
      <c r="AE74" s="410">
        <f t="shared" si="92"/>
        <v>2302950.6899151457</v>
      </c>
      <c r="AF74" s="410">
        <f t="shared" si="92"/>
        <v>2325980.1968142972</v>
      </c>
      <c r="AG74" s="410">
        <f t="shared" si="92"/>
        <v>2349239.9987824406</v>
      </c>
      <c r="AH74" s="409"/>
      <c r="AI74" s="409"/>
      <c r="AJ74" s="409"/>
      <c r="AK74" s="409"/>
      <c r="AL74" s="148"/>
    </row>
    <row r="75" spans="1:38">
      <c r="A75" s="408" t="s">
        <v>81</v>
      </c>
      <c r="B75" s="408">
        <f>'No change with year'!J11</f>
        <v>80</v>
      </c>
      <c r="C75" s="410">
        <f t="shared" ref="C75:AG75" si="93">C$20*$B$75</f>
        <v>2880000</v>
      </c>
      <c r="D75" s="410">
        <f t="shared" si="93"/>
        <v>2793600</v>
      </c>
      <c r="E75" s="410">
        <f t="shared" si="93"/>
        <v>2709792</v>
      </c>
      <c r="F75" s="410">
        <f t="shared" si="93"/>
        <v>2628498.2400000002</v>
      </c>
      <c r="G75" s="410">
        <f t="shared" si="93"/>
        <v>2549643.2927999999</v>
      </c>
      <c r="H75" s="410">
        <f t="shared" si="93"/>
        <v>2473153.9940160001</v>
      </c>
      <c r="I75" s="410">
        <f t="shared" si="93"/>
        <v>2398959.3741955198</v>
      </c>
      <c r="J75" s="410">
        <f t="shared" si="93"/>
        <v>2326990.5929696546</v>
      </c>
      <c r="K75" s="410">
        <f t="shared" si="93"/>
        <v>2257180.8751805648</v>
      </c>
      <c r="L75" s="410">
        <f t="shared" si="93"/>
        <v>2189465.4489251478</v>
      </c>
      <c r="M75" s="410">
        <f t="shared" si="93"/>
        <v>2123781.4854573933</v>
      </c>
      <c r="N75" s="410">
        <f t="shared" si="93"/>
        <v>2060068.0408936716</v>
      </c>
      <c r="O75" s="410">
        <f t="shared" si="93"/>
        <v>1998265.9996668613</v>
      </c>
      <c r="P75" s="410">
        <f t="shared" si="93"/>
        <v>1938318.0196768555</v>
      </c>
      <c r="Q75" s="410">
        <f t="shared" si="93"/>
        <v>1880168.4790865497</v>
      </c>
      <c r="R75" s="410">
        <f t="shared" si="93"/>
        <v>1823763.4247139534</v>
      </c>
      <c r="S75" s="410">
        <f t="shared" si="93"/>
        <v>1787288.1562196743</v>
      </c>
      <c r="T75" s="410">
        <f t="shared" si="93"/>
        <v>1751542.393095281</v>
      </c>
      <c r="U75" s="410">
        <f t="shared" si="93"/>
        <v>1716511.5452333752</v>
      </c>
      <c r="V75" s="410">
        <f t="shared" si="93"/>
        <v>1682181.3143287078</v>
      </c>
      <c r="W75" s="410">
        <f t="shared" si="93"/>
        <v>1648537.6880421336</v>
      </c>
      <c r="X75" s="410">
        <f t="shared" si="93"/>
        <v>1615566.9342812907</v>
      </c>
      <c r="Y75" s="410">
        <f t="shared" si="93"/>
        <v>1583255.5955956648</v>
      </c>
      <c r="Z75" s="410">
        <f t="shared" si="93"/>
        <v>1551590.4836837517</v>
      </c>
      <c r="AA75" s="410">
        <f t="shared" si="93"/>
        <v>1520558.6740100766</v>
      </c>
      <c r="AB75" s="410">
        <f t="shared" si="93"/>
        <v>1490147.5005298748</v>
      </c>
      <c r="AC75" s="410">
        <f t="shared" si="93"/>
        <v>1505048.9755351737</v>
      </c>
      <c r="AD75" s="410">
        <f t="shared" si="93"/>
        <v>1520099.4652905255</v>
      </c>
      <c r="AE75" s="410">
        <f t="shared" si="93"/>
        <v>1535300.4599434305</v>
      </c>
      <c r="AF75" s="410">
        <f t="shared" si="93"/>
        <v>1550653.4645428648</v>
      </c>
      <c r="AG75" s="410">
        <f t="shared" si="93"/>
        <v>1566159.9991882937</v>
      </c>
      <c r="AH75" s="409"/>
      <c r="AI75" s="409"/>
      <c r="AJ75" s="409"/>
      <c r="AK75" s="409"/>
      <c r="AL75" s="148"/>
    </row>
    <row r="76" spans="1:38">
      <c r="A76" s="408" t="s">
        <v>82</v>
      </c>
      <c r="B76" s="408">
        <f>'No change with year'!J12</f>
        <v>80</v>
      </c>
      <c r="C76" s="410">
        <f t="shared" ref="C76:AG76" si="94">C$20*$B$76</f>
        <v>2880000</v>
      </c>
      <c r="D76" s="410">
        <f t="shared" si="94"/>
        <v>2793600</v>
      </c>
      <c r="E76" s="410">
        <f t="shared" si="94"/>
        <v>2709792</v>
      </c>
      <c r="F76" s="410">
        <f t="shared" si="94"/>
        <v>2628498.2400000002</v>
      </c>
      <c r="G76" s="410">
        <f t="shared" si="94"/>
        <v>2549643.2927999999</v>
      </c>
      <c r="H76" s="410">
        <f t="shared" si="94"/>
        <v>2473153.9940160001</v>
      </c>
      <c r="I76" s="410">
        <f t="shared" si="94"/>
        <v>2398959.3741955198</v>
      </c>
      <c r="J76" s="410">
        <f t="shared" si="94"/>
        <v>2326990.5929696546</v>
      </c>
      <c r="K76" s="410">
        <f t="shared" si="94"/>
        <v>2257180.8751805648</v>
      </c>
      <c r="L76" s="410">
        <f t="shared" si="94"/>
        <v>2189465.4489251478</v>
      </c>
      <c r="M76" s="410">
        <f t="shared" si="94"/>
        <v>2123781.4854573933</v>
      </c>
      <c r="N76" s="410">
        <f t="shared" si="94"/>
        <v>2060068.0408936716</v>
      </c>
      <c r="O76" s="410">
        <f t="shared" si="94"/>
        <v>1998265.9996668613</v>
      </c>
      <c r="P76" s="410">
        <f t="shared" si="94"/>
        <v>1938318.0196768555</v>
      </c>
      <c r="Q76" s="410">
        <f t="shared" si="94"/>
        <v>1880168.4790865497</v>
      </c>
      <c r="R76" s="410">
        <f t="shared" si="94"/>
        <v>1823763.4247139534</v>
      </c>
      <c r="S76" s="410">
        <f t="shared" si="94"/>
        <v>1787288.1562196743</v>
      </c>
      <c r="T76" s="410">
        <f t="shared" si="94"/>
        <v>1751542.393095281</v>
      </c>
      <c r="U76" s="410">
        <f t="shared" si="94"/>
        <v>1716511.5452333752</v>
      </c>
      <c r="V76" s="410">
        <f t="shared" si="94"/>
        <v>1682181.3143287078</v>
      </c>
      <c r="W76" s="410">
        <f t="shared" si="94"/>
        <v>1648537.6880421336</v>
      </c>
      <c r="X76" s="410">
        <f t="shared" si="94"/>
        <v>1615566.9342812907</v>
      </c>
      <c r="Y76" s="410">
        <f t="shared" si="94"/>
        <v>1583255.5955956648</v>
      </c>
      <c r="Z76" s="410">
        <f t="shared" si="94"/>
        <v>1551590.4836837517</v>
      </c>
      <c r="AA76" s="410">
        <f t="shared" si="94"/>
        <v>1520558.6740100766</v>
      </c>
      <c r="AB76" s="410">
        <f t="shared" si="94"/>
        <v>1490147.5005298748</v>
      </c>
      <c r="AC76" s="410">
        <f t="shared" si="94"/>
        <v>1505048.9755351737</v>
      </c>
      <c r="AD76" s="410">
        <f t="shared" si="94"/>
        <v>1520099.4652905255</v>
      </c>
      <c r="AE76" s="410">
        <f t="shared" si="94"/>
        <v>1535300.4599434305</v>
      </c>
      <c r="AF76" s="410">
        <f t="shared" si="94"/>
        <v>1550653.4645428648</v>
      </c>
      <c r="AG76" s="410">
        <f t="shared" si="94"/>
        <v>1566159.9991882937</v>
      </c>
      <c r="AH76" s="409"/>
      <c r="AI76" s="409"/>
      <c r="AJ76" s="409"/>
      <c r="AK76" s="409"/>
      <c r="AL76" s="148"/>
    </row>
    <row r="77" spans="1:38">
      <c r="A77" s="408" t="s">
        <v>37</v>
      </c>
      <c r="B77" s="408">
        <f>'No change with year'!J18</f>
        <v>80</v>
      </c>
      <c r="C77" s="410">
        <f t="shared" ref="C77:AG77" si="95">C$20*$B$77</f>
        <v>2880000</v>
      </c>
      <c r="D77" s="410">
        <f t="shared" si="95"/>
        <v>2793600</v>
      </c>
      <c r="E77" s="410">
        <f t="shared" si="95"/>
        <v>2709792</v>
      </c>
      <c r="F77" s="410">
        <f t="shared" si="95"/>
        <v>2628498.2400000002</v>
      </c>
      <c r="G77" s="410">
        <f t="shared" si="95"/>
        <v>2549643.2927999999</v>
      </c>
      <c r="H77" s="410">
        <f t="shared" si="95"/>
        <v>2473153.9940160001</v>
      </c>
      <c r="I77" s="410">
        <f t="shared" si="95"/>
        <v>2398959.3741955198</v>
      </c>
      <c r="J77" s="410">
        <f t="shared" si="95"/>
        <v>2326990.5929696546</v>
      </c>
      <c r="K77" s="410">
        <f t="shared" si="95"/>
        <v>2257180.8751805648</v>
      </c>
      <c r="L77" s="410">
        <f t="shared" si="95"/>
        <v>2189465.4489251478</v>
      </c>
      <c r="M77" s="410">
        <f t="shared" si="95"/>
        <v>2123781.4854573933</v>
      </c>
      <c r="N77" s="410">
        <f t="shared" si="95"/>
        <v>2060068.0408936716</v>
      </c>
      <c r="O77" s="410">
        <f t="shared" si="95"/>
        <v>1998265.9996668613</v>
      </c>
      <c r="P77" s="410">
        <f t="shared" si="95"/>
        <v>1938318.0196768555</v>
      </c>
      <c r="Q77" s="410">
        <f t="shared" si="95"/>
        <v>1880168.4790865497</v>
      </c>
      <c r="R77" s="410">
        <f t="shared" si="95"/>
        <v>1823763.4247139534</v>
      </c>
      <c r="S77" s="410">
        <f t="shared" si="95"/>
        <v>1787288.1562196743</v>
      </c>
      <c r="T77" s="410">
        <f t="shared" si="95"/>
        <v>1751542.393095281</v>
      </c>
      <c r="U77" s="410">
        <f t="shared" si="95"/>
        <v>1716511.5452333752</v>
      </c>
      <c r="V77" s="410">
        <f t="shared" si="95"/>
        <v>1682181.3143287078</v>
      </c>
      <c r="W77" s="410">
        <f t="shared" si="95"/>
        <v>1648537.6880421336</v>
      </c>
      <c r="X77" s="410">
        <f t="shared" si="95"/>
        <v>1615566.9342812907</v>
      </c>
      <c r="Y77" s="410">
        <f t="shared" si="95"/>
        <v>1583255.5955956648</v>
      </c>
      <c r="Z77" s="410">
        <f t="shared" si="95"/>
        <v>1551590.4836837517</v>
      </c>
      <c r="AA77" s="410">
        <f t="shared" si="95"/>
        <v>1520558.6740100766</v>
      </c>
      <c r="AB77" s="410">
        <f t="shared" si="95"/>
        <v>1490147.5005298748</v>
      </c>
      <c r="AC77" s="410">
        <f t="shared" si="95"/>
        <v>1505048.9755351737</v>
      </c>
      <c r="AD77" s="410">
        <f t="shared" si="95"/>
        <v>1520099.4652905255</v>
      </c>
      <c r="AE77" s="410">
        <f t="shared" si="95"/>
        <v>1535300.4599434305</v>
      </c>
      <c r="AF77" s="410">
        <f t="shared" si="95"/>
        <v>1550653.4645428648</v>
      </c>
      <c r="AG77" s="410">
        <f t="shared" si="95"/>
        <v>1566159.9991882937</v>
      </c>
      <c r="AH77" s="409"/>
      <c r="AI77" s="409"/>
      <c r="AJ77" s="409"/>
      <c r="AK77" s="409"/>
      <c r="AL77" s="148"/>
    </row>
    <row r="78" spans="1:38">
      <c r="A78" s="408" t="s">
        <v>28</v>
      </c>
      <c r="B78" s="408">
        <f>'No change with year'!J15</f>
        <v>120</v>
      </c>
      <c r="C78" s="410">
        <f t="shared" ref="C78:AG78" si="96">C$20*$B$78</f>
        <v>4320000</v>
      </c>
      <c r="D78" s="410">
        <f t="shared" si="96"/>
        <v>4190400</v>
      </c>
      <c r="E78" s="410">
        <f t="shared" si="96"/>
        <v>4064688</v>
      </c>
      <c r="F78" s="410">
        <f t="shared" si="96"/>
        <v>3942747.3600000003</v>
      </c>
      <c r="G78" s="410">
        <f t="shared" si="96"/>
        <v>3824464.9391999999</v>
      </c>
      <c r="H78" s="410">
        <f t="shared" si="96"/>
        <v>3709730.9910240001</v>
      </c>
      <c r="I78" s="410">
        <f t="shared" si="96"/>
        <v>3598439.0612932802</v>
      </c>
      <c r="J78" s="410">
        <f t="shared" si="96"/>
        <v>3490485.8894544817</v>
      </c>
      <c r="K78" s="410">
        <f t="shared" si="96"/>
        <v>3385771.3127708472</v>
      </c>
      <c r="L78" s="410">
        <f t="shared" si="96"/>
        <v>3284198.1733877216</v>
      </c>
      <c r="M78" s="410">
        <f t="shared" si="96"/>
        <v>3185672.22818609</v>
      </c>
      <c r="N78" s="410">
        <f t="shared" si="96"/>
        <v>3090102.0613405071</v>
      </c>
      <c r="O78" s="410">
        <f t="shared" si="96"/>
        <v>2997398.9995002919</v>
      </c>
      <c r="P78" s="410">
        <f t="shared" si="96"/>
        <v>2907477.0295152832</v>
      </c>
      <c r="Q78" s="410">
        <f t="shared" si="96"/>
        <v>2820252.7186298245</v>
      </c>
      <c r="R78" s="410">
        <f t="shared" si="96"/>
        <v>2735645.1370709301</v>
      </c>
      <c r="S78" s="410">
        <f t="shared" si="96"/>
        <v>2680932.2343295114</v>
      </c>
      <c r="T78" s="410">
        <f t="shared" si="96"/>
        <v>2627313.5896429215</v>
      </c>
      <c r="U78" s="410">
        <f t="shared" si="96"/>
        <v>2574767.3178500626</v>
      </c>
      <c r="V78" s="410">
        <f t="shared" si="96"/>
        <v>2523271.9714930616</v>
      </c>
      <c r="W78" s="410">
        <f t="shared" si="96"/>
        <v>2472806.5320632001</v>
      </c>
      <c r="X78" s="410">
        <f t="shared" si="96"/>
        <v>2423350.4014219362</v>
      </c>
      <c r="Y78" s="410">
        <f t="shared" si="96"/>
        <v>2374883.3933934974</v>
      </c>
      <c r="Z78" s="410">
        <f t="shared" si="96"/>
        <v>2327385.7255256274</v>
      </c>
      <c r="AA78" s="410">
        <f t="shared" si="96"/>
        <v>2280838.0110151148</v>
      </c>
      <c r="AB78" s="410">
        <f t="shared" si="96"/>
        <v>2235221.2507948121</v>
      </c>
      <c r="AC78" s="410">
        <f t="shared" si="96"/>
        <v>2257573.4633027604</v>
      </c>
      <c r="AD78" s="410">
        <f t="shared" si="96"/>
        <v>2280149.197935788</v>
      </c>
      <c r="AE78" s="410">
        <f t="shared" si="96"/>
        <v>2302950.6899151457</v>
      </c>
      <c r="AF78" s="410">
        <f t="shared" si="96"/>
        <v>2325980.1968142972</v>
      </c>
      <c r="AG78" s="410">
        <f t="shared" si="96"/>
        <v>2349239.9987824406</v>
      </c>
      <c r="AH78" s="409"/>
      <c r="AI78" s="409"/>
      <c r="AJ78" s="409"/>
      <c r="AK78" s="409"/>
      <c r="AL78" s="148"/>
    </row>
    <row r="79" spans="1:38">
      <c r="A79" s="408"/>
      <c r="B79" s="408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  <c r="AC79" s="332"/>
      <c r="AD79" s="332"/>
      <c r="AE79" s="332"/>
      <c r="AF79" s="332"/>
      <c r="AG79" s="332"/>
      <c r="AH79" s="409"/>
      <c r="AI79" s="409"/>
      <c r="AJ79" s="409"/>
      <c r="AK79" s="409"/>
      <c r="AL79" s="148"/>
    </row>
    <row r="80" spans="1:38" s="4" customFormat="1">
      <c r="A80" s="903" t="s">
        <v>87</v>
      </c>
      <c r="B80" s="904"/>
      <c r="C80" s="399">
        <v>2025</v>
      </c>
      <c r="D80" s="399">
        <v>2026</v>
      </c>
      <c r="E80" s="399">
        <v>2027</v>
      </c>
      <c r="F80" s="399">
        <v>2028</v>
      </c>
      <c r="G80" s="399">
        <v>2029</v>
      </c>
      <c r="H80" s="399">
        <v>2030</v>
      </c>
      <c r="I80" s="399">
        <v>2031</v>
      </c>
      <c r="J80" s="399">
        <v>2032</v>
      </c>
      <c r="K80" s="399">
        <v>2033</v>
      </c>
      <c r="L80" s="399">
        <v>2034</v>
      </c>
      <c r="M80" s="399">
        <v>2035</v>
      </c>
      <c r="N80" s="399">
        <v>2036</v>
      </c>
      <c r="O80" s="399">
        <v>2037</v>
      </c>
      <c r="P80" s="399">
        <v>2038</v>
      </c>
      <c r="Q80" s="399">
        <v>2039</v>
      </c>
      <c r="R80" s="399">
        <v>2040</v>
      </c>
      <c r="S80" s="399">
        <v>2041</v>
      </c>
      <c r="T80" s="399">
        <v>2042</v>
      </c>
      <c r="U80" s="399">
        <v>2043</v>
      </c>
      <c r="V80" s="399">
        <v>2044</v>
      </c>
      <c r="W80" s="399">
        <v>2045</v>
      </c>
      <c r="X80" s="399">
        <v>2046</v>
      </c>
      <c r="Y80" s="399">
        <v>2047</v>
      </c>
      <c r="Z80" s="399">
        <v>2048</v>
      </c>
      <c r="AA80" s="399">
        <v>2049</v>
      </c>
      <c r="AB80" s="399">
        <v>2050</v>
      </c>
      <c r="AC80" s="399">
        <v>2051</v>
      </c>
      <c r="AD80" s="399">
        <v>2052</v>
      </c>
      <c r="AE80" s="399">
        <v>2053</v>
      </c>
      <c r="AF80" s="399">
        <v>2054</v>
      </c>
      <c r="AG80" s="399">
        <v>2055</v>
      </c>
      <c r="AH80" s="399"/>
      <c r="AI80" s="397"/>
      <c r="AJ80" s="397"/>
      <c r="AK80" s="397"/>
      <c r="AL80" s="524" t="s">
        <v>672</v>
      </c>
    </row>
    <row r="81" spans="1:39">
      <c r="A81" s="408" t="s">
        <v>88</v>
      </c>
      <c r="B81" s="408"/>
      <c r="C81" s="472">
        <v>2000000</v>
      </c>
      <c r="D81" s="323">
        <f t="shared" ref="D81:G89" si="97">ROUND((C81*(1+$AH81))/100,0)*100</f>
        <v>2060000</v>
      </c>
      <c r="E81" s="323">
        <f t="shared" si="97"/>
        <v>2121800</v>
      </c>
      <c r="F81" s="323">
        <f t="shared" si="97"/>
        <v>2185500</v>
      </c>
      <c r="G81" s="323">
        <f t="shared" si="97"/>
        <v>2251100</v>
      </c>
      <c r="H81" s="323">
        <f t="shared" ref="H81:H89" si="98">ROUND((G81*(1+$AH81)+AL81)/100,0)*100</f>
        <v>2718600</v>
      </c>
      <c r="I81" s="323">
        <f t="shared" ref="I81:R81" si="99">ROUND((H81*(1+$AI81))/100,0)*100</f>
        <v>2800200</v>
      </c>
      <c r="J81" s="323">
        <f t="shared" si="99"/>
        <v>2884200</v>
      </c>
      <c r="K81" s="323">
        <f t="shared" si="99"/>
        <v>2970700</v>
      </c>
      <c r="L81" s="323">
        <f t="shared" si="99"/>
        <v>3059800</v>
      </c>
      <c r="M81" s="323">
        <f t="shared" si="99"/>
        <v>3151600</v>
      </c>
      <c r="N81" s="323">
        <f t="shared" si="99"/>
        <v>3246100</v>
      </c>
      <c r="O81" s="323">
        <f t="shared" si="99"/>
        <v>3343500</v>
      </c>
      <c r="P81" s="323">
        <f t="shared" si="99"/>
        <v>3443800</v>
      </c>
      <c r="Q81" s="323">
        <f t="shared" si="99"/>
        <v>3547100</v>
      </c>
      <c r="R81" s="323">
        <f t="shared" si="99"/>
        <v>3653500</v>
      </c>
      <c r="S81" s="323">
        <f t="shared" ref="S81:AB81" si="100">ROUND((R81*(1+$AJ81))/100,0)*100</f>
        <v>3763100</v>
      </c>
      <c r="T81" s="323">
        <f t="shared" si="100"/>
        <v>3876000</v>
      </c>
      <c r="U81" s="323">
        <f t="shared" si="100"/>
        <v>3992300</v>
      </c>
      <c r="V81" s="323">
        <f t="shared" si="100"/>
        <v>4112100</v>
      </c>
      <c r="W81" s="323">
        <f t="shared" si="100"/>
        <v>4235500</v>
      </c>
      <c r="X81" s="323">
        <f t="shared" si="100"/>
        <v>4362600</v>
      </c>
      <c r="Y81" s="323">
        <f t="shared" si="100"/>
        <v>4493500</v>
      </c>
      <c r="Z81" s="323">
        <f t="shared" si="100"/>
        <v>4628300</v>
      </c>
      <c r="AA81" s="323">
        <f t="shared" si="100"/>
        <v>4767100</v>
      </c>
      <c r="AB81" s="323">
        <f t="shared" si="100"/>
        <v>4910100</v>
      </c>
      <c r="AC81" s="323">
        <f t="shared" ref="AC81:AG89" si="101">ROUND((AB81*(1+$AK81))/100,0)*100</f>
        <v>5057400</v>
      </c>
      <c r="AD81" s="323">
        <f t="shared" si="101"/>
        <v>5209100</v>
      </c>
      <c r="AE81" s="323">
        <f t="shared" si="101"/>
        <v>5365400</v>
      </c>
      <c r="AF81" s="323">
        <f t="shared" si="101"/>
        <v>5526400</v>
      </c>
      <c r="AG81" s="323">
        <f t="shared" si="101"/>
        <v>5692200</v>
      </c>
      <c r="AH81" s="409">
        <v>0.03</v>
      </c>
      <c r="AI81" s="409">
        <v>0.03</v>
      </c>
      <c r="AJ81" s="409">
        <v>0.03</v>
      </c>
      <c r="AK81" s="409">
        <v>0.03</v>
      </c>
      <c r="AL81" s="473">
        <v>400000</v>
      </c>
      <c r="AM81" s="907" t="s">
        <v>89</v>
      </c>
    </row>
    <row r="82" spans="1:39">
      <c r="A82" s="408" t="s">
        <v>90</v>
      </c>
      <c r="B82" s="408"/>
      <c r="C82" s="472">
        <v>2750000</v>
      </c>
      <c r="D82" s="323">
        <f t="shared" si="97"/>
        <v>2832500</v>
      </c>
      <c r="E82" s="323">
        <f t="shared" si="97"/>
        <v>2917500</v>
      </c>
      <c r="F82" s="323">
        <f t="shared" si="97"/>
        <v>3005000</v>
      </c>
      <c r="G82" s="323">
        <f t="shared" si="97"/>
        <v>3095200</v>
      </c>
      <c r="H82" s="323">
        <f t="shared" si="98"/>
        <v>3588100</v>
      </c>
      <c r="I82" s="323">
        <f t="shared" ref="I82:R82" si="102">ROUND((H82*(1+$AI82))/100,0)*100</f>
        <v>3695700</v>
      </c>
      <c r="J82" s="323">
        <f t="shared" si="102"/>
        <v>3806600</v>
      </c>
      <c r="K82" s="323">
        <f t="shared" si="102"/>
        <v>3920800</v>
      </c>
      <c r="L82" s="323">
        <f t="shared" si="102"/>
        <v>4038400</v>
      </c>
      <c r="M82" s="323">
        <f t="shared" si="102"/>
        <v>4159600</v>
      </c>
      <c r="N82" s="323">
        <f t="shared" si="102"/>
        <v>4284400</v>
      </c>
      <c r="O82" s="323">
        <f t="shared" si="102"/>
        <v>4412900</v>
      </c>
      <c r="P82" s="323">
        <f t="shared" si="102"/>
        <v>4545300</v>
      </c>
      <c r="Q82" s="323">
        <f t="shared" si="102"/>
        <v>4681700</v>
      </c>
      <c r="R82" s="323">
        <f t="shared" si="102"/>
        <v>4822200</v>
      </c>
      <c r="S82" s="323">
        <f t="shared" ref="S82:AB82" si="103">ROUND((R82*(1+$AJ82))/100,0)*100</f>
        <v>4966900</v>
      </c>
      <c r="T82" s="323">
        <f t="shared" si="103"/>
        <v>5115900</v>
      </c>
      <c r="U82" s="323">
        <f t="shared" si="103"/>
        <v>5269400</v>
      </c>
      <c r="V82" s="323">
        <f t="shared" si="103"/>
        <v>5427500</v>
      </c>
      <c r="W82" s="323">
        <f t="shared" si="103"/>
        <v>5590300</v>
      </c>
      <c r="X82" s="323">
        <f t="shared" si="103"/>
        <v>5758000</v>
      </c>
      <c r="Y82" s="323">
        <f t="shared" si="103"/>
        <v>5930700</v>
      </c>
      <c r="Z82" s="323">
        <f t="shared" si="103"/>
        <v>6108600</v>
      </c>
      <c r="AA82" s="323">
        <f t="shared" si="103"/>
        <v>6291900</v>
      </c>
      <c r="AB82" s="323">
        <f t="shared" si="103"/>
        <v>6480700</v>
      </c>
      <c r="AC82" s="323">
        <f t="shared" si="101"/>
        <v>6675100</v>
      </c>
      <c r="AD82" s="323">
        <f t="shared" si="101"/>
        <v>6875400</v>
      </c>
      <c r="AE82" s="323">
        <f t="shared" si="101"/>
        <v>7081700</v>
      </c>
      <c r="AF82" s="323">
        <f t="shared" si="101"/>
        <v>7294200</v>
      </c>
      <c r="AG82" s="323">
        <f t="shared" si="101"/>
        <v>7513000</v>
      </c>
      <c r="AH82" s="409">
        <v>0.03</v>
      </c>
      <c r="AI82" s="409">
        <v>0.03</v>
      </c>
      <c r="AJ82" s="409">
        <v>0.03</v>
      </c>
      <c r="AK82" s="409">
        <v>0.03</v>
      </c>
      <c r="AL82" s="473">
        <v>400000</v>
      </c>
      <c r="AM82" s="907"/>
    </row>
    <row r="83" spans="1:39">
      <c r="A83" s="408" t="s">
        <v>91</v>
      </c>
      <c r="B83" s="408"/>
      <c r="C83" s="472">
        <v>3600000</v>
      </c>
      <c r="D83" s="323">
        <f t="shared" si="97"/>
        <v>3708000</v>
      </c>
      <c r="E83" s="323">
        <f t="shared" si="97"/>
        <v>3819200</v>
      </c>
      <c r="F83" s="323">
        <f t="shared" si="97"/>
        <v>3933800</v>
      </c>
      <c r="G83" s="323">
        <f t="shared" si="97"/>
        <v>4051800</v>
      </c>
      <c r="H83" s="323">
        <f t="shared" si="98"/>
        <v>4573400</v>
      </c>
      <c r="I83" s="323">
        <f t="shared" ref="I83:R83" si="104">ROUND((H83*(1+$AI83))/100,0)*100</f>
        <v>4710600</v>
      </c>
      <c r="J83" s="323">
        <f t="shared" si="104"/>
        <v>4851900</v>
      </c>
      <c r="K83" s="323">
        <f t="shared" si="104"/>
        <v>4997500</v>
      </c>
      <c r="L83" s="323">
        <f t="shared" si="104"/>
        <v>5147400</v>
      </c>
      <c r="M83" s="323">
        <f t="shared" si="104"/>
        <v>5301800</v>
      </c>
      <c r="N83" s="323">
        <f t="shared" si="104"/>
        <v>5460900</v>
      </c>
      <c r="O83" s="323">
        <f t="shared" si="104"/>
        <v>5624700</v>
      </c>
      <c r="P83" s="323">
        <f t="shared" si="104"/>
        <v>5793400</v>
      </c>
      <c r="Q83" s="323">
        <f t="shared" si="104"/>
        <v>5967200</v>
      </c>
      <c r="R83" s="323">
        <f t="shared" si="104"/>
        <v>6146200</v>
      </c>
      <c r="S83" s="323">
        <f t="shared" ref="S83:AB83" si="105">ROUND((R83*(1+$AJ83))/100,0)*100</f>
        <v>6330600</v>
      </c>
      <c r="T83" s="323">
        <f t="shared" si="105"/>
        <v>6520500</v>
      </c>
      <c r="U83" s="323">
        <f t="shared" si="105"/>
        <v>6716100</v>
      </c>
      <c r="V83" s="323">
        <f t="shared" si="105"/>
        <v>6917600</v>
      </c>
      <c r="W83" s="323">
        <f t="shared" si="105"/>
        <v>7125100</v>
      </c>
      <c r="X83" s="323">
        <f t="shared" si="105"/>
        <v>7338900</v>
      </c>
      <c r="Y83" s="323">
        <f t="shared" si="105"/>
        <v>7559100</v>
      </c>
      <c r="Z83" s="323">
        <f t="shared" si="105"/>
        <v>7785900</v>
      </c>
      <c r="AA83" s="323">
        <f t="shared" si="105"/>
        <v>8019500</v>
      </c>
      <c r="AB83" s="323">
        <f t="shared" si="105"/>
        <v>8260100</v>
      </c>
      <c r="AC83" s="323">
        <f t="shared" si="101"/>
        <v>8507900</v>
      </c>
      <c r="AD83" s="323">
        <f t="shared" si="101"/>
        <v>8763100</v>
      </c>
      <c r="AE83" s="323">
        <f t="shared" si="101"/>
        <v>9026000</v>
      </c>
      <c r="AF83" s="323">
        <f t="shared" si="101"/>
        <v>9296800</v>
      </c>
      <c r="AG83" s="323">
        <f t="shared" si="101"/>
        <v>9575700</v>
      </c>
      <c r="AH83" s="409">
        <v>0.03</v>
      </c>
      <c r="AI83" s="409">
        <v>0.03</v>
      </c>
      <c r="AJ83" s="409">
        <v>0.03</v>
      </c>
      <c r="AK83" s="409">
        <v>0.03</v>
      </c>
      <c r="AL83" s="473">
        <v>400000</v>
      </c>
      <c r="AM83" s="907"/>
    </row>
    <row r="84" spans="1:39">
      <c r="A84" s="408" t="s">
        <v>92</v>
      </c>
      <c r="B84" s="408"/>
      <c r="C84" s="472">
        <v>4000000</v>
      </c>
      <c r="D84" s="323">
        <f t="shared" si="97"/>
        <v>4120000</v>
      </c>
      <c r="E84" s="323">
        <f t="shared" si="97"/>
        <v>4243600</v>
      </c>
      <c r="F84" s="323">
        <f t="shared" si="97"/>
        <v>4370900</v>
      </c>
      <c r="G84" s="323">
        <f t="shared" si="97"/>
        <v>4502000</v>
      </c>
      <c r="H84" s="323">
        <f t="shared" si="98"/>
        <v>5037100</v>
      </c>
      <c r="I84" s="323">
        <f t="shared" ref="I84:R84" si="106">ROUND((H84*(1+$AI84))/100,0)*100</f>
        <v>5188200</v>
      </c>
      <c r="J84" s="323">
        <f t="shared" si="106"/>
        <v>5343800</v>
      </c>
      <c r="K84" s="323">
        <f t="shared" si="106"/>
        <v>5504100</v>
      </c>
      <c r="L84" s="323">
        <f t="shared" si="106"/>
        <v>5669200</v>
      </c>
      <c r="M84" s="323">
        <f t="shared" si="106"/>
        <v>5839300</v>
      </c>
      <c r="N84" s="323">
        <f t="shared" si="106"/>
        <v>6014500</v>
      </c>
      <c r="O84" s="323">
        <f t="shared" si="106"/>
        <v>6194900</v>
      </c>
      <c r="P84" s="323">
        <f t="shared" si="106"/>
        <v>6380700</v>
      </c>
      <c r="Q84" s="323">
        <f t="shared" si="106"/>
        <v>6572100</v>
      </c>
      <c r="R84" s="323">
        <f t="shared" si="106"/>
        <v>6769300</v>
      </c>
      <c r="S84" s="323">
        <f t="shared" ref="S84:AB84" si="107">ROUND((R84*(1+$AJ84))/100,0)*100</f>
        <v>6972400</v>
      </c>
      <c r="T84" s="323">
        <f t="shared" si="107"/>
        <v>7181600</v>
      </c>
      <c r="U84" s="323">
        <f t="shared" si="107"/>
        <v>7397000</v>
      </c>
      <c r="V84" s="323">
        <f t="shared" si="107"/>
        <v>7618900</v>
      </c>
      <c r="W84" s="323">
        <f t="shared" si="107"/>
        <v>7847500</v>
      </c>
      <c r="X84" s="323">
        <f t="shared" si="107"/>
        <v>8082900</v>
      </c>
      <c r="Y84" s="323">
        <f t="shared" si="107"/>
        <v>8325400</v>
      </c>
      <c r="Z84" s="323">
        <f t="shared" si="107"/>
        <v>8575200</v>
      </c>
      <c r="AA84" s="323">
        <f t="shared" si="107"/>
        <v>8832500</v>
      </c>
      <c r="AB84" s="323">
        <f t="shared" si="107"/>
        <v>9097500</v>
      </c>
      <c r="AC84" s="323">
        <f t="shared" si="101"/>
        <v>9370400</v>
      </c>
      <c r="AD84" s="323">
        <f t="shared" si="101"/>
        <v>9651500</v>
      </c>
      <c r="AE84" s="323">
        <f t="shared" si="101"/>
        <v>9941000</v>
      </c>
      <c r="AF84" s="323">
        <f t="shared" si="101"/>
        <v>10239200</v>
      </c>
      <c r="AG84" s="323">
        <f t="shared" si="101"/>
        <v>10546400</v>
      </c>
      <c r="AH84" s="409">
        <v>0.03</v>
      </c>
      <c r="AI84" s="409">
        <v>0.03</v>
      </c>
      <c r="AJ84" s="409">
        <v>0.03</v>
      </c>
      <c r="AK84" s="409">
        <v>0.03</v>
      </c>
      <c r="AL84" s="473">
        <v>400000</v>
      </c>
      <c r="AM84" s="907"/>
    </row>
    <row r="85" spans="1:39">
      <c r="A85" s="408" t="s">
        <v>93</v>
      </c>
      <c r="B85" s="408"/>
      <c r="C85" s="472">
        <v>4700000</v>
      </c>
      <c r="D85" s="323">
        <f t="shared" si="97"/>
        <v>4841000</v>
      </c>
      <c r="E85" s="323">
        <f t="shared" si="97"/>
        <v>4986200</v>
      </c>
      <c r="F85" s="323">
        <f t="shared" si="97"/>
        <v>5135800</v>
      </c>
      <c r="G85" s="323">
        <f t="shared" si="97"/>
        <v>5289900</v>
      </c>
      <c r="H85" s="323">
        <f t="shared" si="98"/>
        <v>5848600</v>
      </c>
      <c r="I85" s="323">
        <f t="shared" ref="I85:R85" si="108">ROUND((H85*(1+$AI85))/100,0)*100</f>
        <v>6024100</v>
      </c>
      <c r="J85" s="323">
        <f t="shared" si="108"/>
        <v>6204800</v>
      </c>
      <c r="K85" s="323">
        <f t="shared" si="108"/>
        <v>6390900</v>
      </c>
      <c r="L85" s="323">
        <f t="shared" si="108"/>
        <v>6582600</v>
      </c>
      <c r="M85" s="323">
        <f t="shared" si="108"/>
        <v>6780100</v>
      </c>
      <c r="N85" s="323">
        <f t="shared" si="108"/>
        <v>6983500</v>
      </c>
      <c r="O85" s="323">
        <f t="shared" si="108"/>
        <v>7193000</v>
      </c>
      <c r="P85" s="323">
        <f t="shared" si="108"/>
        <v>7408800</v>
      </c>
      <c r="Q85" s="323">
        <f t="shared" si="108"/>
        <v>7631100</v>
      </c>
      <c r="R85" s="323">
        <f t="shared" si="108"/>
        <v>7860000</v>
      </c>
      <c r="S85" s="323">
        <f t="shared" ref="S85:AB85" si="109">ROUND((R85*(1+$AJ85))/100,0)*100</f>
        <v>8095800</v>
      </c>
      <c r="T85" s="323">
        <f t="shared" si="109"/>
        <v>8338700</v>
      </c>
      <c r="U85" s="323">
        <f t="shared" si="109"/>
        <v>8588900</v>
      </c>
      <c r="V85" s="323">
        <f t="shared" si="109"/>
        <v>8846600</v>
      </c>
      <c r="W85" s="323">
        <f t="shared" si="109"/>
        <v>9112000</v>
      </c>
      <c r="X85" s="323">
        <f t="shared" si="109"/>
        <v>9385400</v>
      </c>
      <c r="Y85" s="323">
        <f t="shared" si="109"/>
        <v>9667000</v>
      </c>
      <c r="Z85" s="323">
        <f t="shared" si="109"/>
        <v>9957000</v>
      </c>
      <c r="AA85" s="323">
        <f t="shared" si="109"/>
        <v>10255700</v>
      </c>
      <c r="AB85" s="323">
        <f t="shared" si="109"/>
        <v>10563400</v>
      </c>
      <c r="AC85" s="323">
        <f t="shared" si="101"/>
        <v>10880300</v>
      </c>
      <c r="AD85" s="323">
        <f t="shared" si="101"/>
        <v>11206700</v>
      </c>
      <c r="AE85" s="323">
        <f t="shared" si="101"/>
        <v>11542900</v>
      </c>
      <c r="AF85" s="323">
        <f t="shared" si="101"/>
        <v>11889200</v>
      </c>
      <c r="AG85" s="323">
        <f t="shared" si="101"/>
        <v>12245900</v>
      </c>
      <c r="AH85" s="409">
        <v>0.03</v>
      </c>
      <c r="AI85" s="409">
        <v>0.03</v>
      </c>
      <c r="AJ85" s="409">
        <v>0.03</v>
      </c>
      <c r="AK85" s="409">
        <v>0.03</v>
      </c>
      <c r="AL85" s="473">
        <v>400000</v>
      </c>
      <c r="AM85" s="907"/>
    </row>
    <row r="86" spans="1:39">
      <c r="A86" s="408" t="s">
        <v>94</v>
      </c>
      <c r="B86" s="408"/>
      <c r="C86" s="472">
        <v>4200000</v>
      </c>
      <c r="D86" s="323">
        <f t="shared" si="97"/>
        <v>4326000</v>
      </c>
      <c r="E86" s="323">
        <f t="shared" si="97"/>
        <v>4455800</v>
      </c>
      <c r="F86" s="323">
        <f t="shared" si="97"/>
        <v>4589500</v>
      </c>
      <c r="G86" s="323">
        <f t="shared" si="97"/>
        <v>4727200</v>
      </c>
      <c r="H86" s="323">
        <f t="shared" si="98"/>
        <v>5269000</v>
      </c>
      <c r="I86" s="323">
        <f t="shared" ref="I86:R86" si="110">ROUND((H86*(1+$AI86))/100,0)*100</f>
        <v>5427100</v>
      </c>
      <c r="J86" s="323">
        <f t="shared" si="110"/>
        <v>5589900</v>
      </c>
      <c r="K86" s="323">
        <f t="shared" si="110"/>
        <v>5757600</v>
      </c>
      <c r="L86" s="323">
        <f t="shared" si="110"/>
        <v>5930300</v>
      </c>
      <c r="M86" s="323">
        <f t="shared" si="110"/>
        <v>6108200</v>
      </c>
      <c r="N86" s="323">
        <f t="shared" si="110"/>
        <v>6291400</v>
      </c>
      <c r="O86" s="323">
        <f t="shared" si="110"/>
        <v>6480100</v>
      </c>
      <c r="P86" s="323">
        <f t="shared" si="110"/>
        <v>6674500</v>
      </c>
      <c r="Q86" s="323">
        <f t="shared" si="110"/>
        <v>6874700</v>
      </c>
      <c r="R86" s="323">
        <f t="shared" si="110"/>
        <v>7080900</v>
      </c>
      <c r="S86" s="323">
        <f t="shared" ref="S86:AB86" si="111">ROUND((R86*(1+$AJ86))/100,0)*100</f>
        <v>7293300</v>
      </c>
      <c r="T86" s="323">
        <f t="shared" si="111"/>
        <v>7512100</v>
      </c>
      <c r="U86" s="323">
        <f t="shared" si="111"/>
        <v>7737500</v>
      </c>
      <c r="V86" s="323">
        <f t="shared" si="111"/>
        <v>7969600</v>
      </c>
      <c r="W86" s="323">
        <f t="shared" si="111"/>
        <v>8208700</v>
      </c>
      <c r="X86" s="323">
        <f t="shared" si="111"/>
        <v>8455000</v>
      </c>
      <c r="Y86" s="323">
        <f t="shared" si="111"/>
        <v>8708700</v>
      </c>
      <c r="Z86" s="323">
        <f t="shared" si="111"/>
        <v>8970000</v>
      </c>
      <c r="AA86" s="323">
        <f t="shared" si="111"/>
        <v>9239100</v>
      </c>
      <c r="AB86" s="323">
        <f t="shared" si="111"/>
        <v>9516300</v>
      </c>
      <c r="AC86" s="323">
        <f t="shared" si="101"/>
        <v>9801800</v>
      </c>
      <c r="AD86" s="323">
        <f t="shared" si="101"/>
        <v>10095900</v>
      </c>
      <c r="AE86" s="323">
        <f t="shared" si="101"/>
        <v>10398800</v>
      </c>
      <c r="AF86" s="323">
        <f t="shared" si="101"/>
        <v>10710800</v>
      </c>
      <c r="AG86" s="323">
        <f t="shared" si="101"/>
        <v>11032100</v>
      </c>
      <c r="AH86" s="409">
        <v>0.03</v>
      </c>
      <c r="AI86" s="409">
        <v>0.03</v>
      </c>
      <c r="AJ86" s="409">
        <v>0.03</v>
      </c>
      <c r="AK86" s="409">
        <v>0.03</v>
      </c>
      <c r="AL86" s="473">
        <v>400000</v>
      </c>
      <c r="AM86" s="907"/>
    </row>
    <row r="87" spans="1:39">
      <c r="A87" s="408" t="s">
        <v>95</v>
      </c>
      <c r="B87" s="408"/>
      <c r="C87" s="472">
        <v>4800000</v>
      </c>
      <c r="D87" s="323">
        <f t="shared" si="97"/>
        <v>4944000</v>
      </c>
      <c r="E87" s="323">
        <f t="shared" si="97"/>
        <v>5092300</v>
      </c>
      <c r="F87" s="323">
        <f t="shared" si="97"/>
        <v>5245100</v>
      </c>
      <c r="G87" s="323">
        <f t="shared" si="97"/>
        <v>5402500</v>
      </c>
      <c r="H87" s="323">
        <f t="shared" si="98"/>
        <v>5964600</v>
      </c>
      <c r="I87" s="323">
        <f t="shared" ref="I87:R87" si="112">ROUND((H87*(1+$AI87))/100,0)*100</f>
        <v>6143500</v>
      </c>
      <c r="J87" s="323">
        <f t="shared" si="112"/>
        <v>6327800</v>
      </c>
      <c r="K87" s="323">
        <f t="shared" si="112"/>
        <v>6517600</v>
      </c>
      <c r="L87" s="323">
        <f t="shared" si="112"/>
        <v>6713100</v>
      </c>
      <c r="M87" s="323">
        <f t="shared" si="112"/>
        <v>6914500</v>
      </c>
      <c r="N87" s="323">
        <f t="shared" si="112"/>
        <v>7121900</v>
      </c>
      <c r="O87" s="323">
        <f t="shared" si="112"/>
        <v>7335600</v>
      </c>
      <c r="P87" s="323">
        <f t="shared" si="112"/>
        <v>7555700</v>
      </c>
      <c r="Q87" s="323">
        <f t="shared" si="112"/>
        <v>7782400</v>
      </c>
      <c r="R87" s="323">
        <f t="shared" si="112"/>
        <v>8015900</v>
      </c>
      <c r="S87" s="323">
        <f t="shared" ref="S87:AB87" si="113">ROUND((R87*(1+$AJ87))/100,0)*100</f>
        <v>8256400</v>
      </c>
      <c r="T87" s="323">
        <f t="shared" si="113"/>
        <v>8504100</v>
      </c>
      <c r="U87" s="323">
        <f t="shared" si="113"/>
        <v>8759200</v>
      </c>
      <c r="V87" s="323">
        <f t="shared" si="113"/>
        <v>9022000</v>
      </c>
      <c r="W87" s="323">
        <f t="shared" si="113"/>
        <v>9292700</v>
      </c>
      <c r="X87" s="323">
        <f t="shared" si="113"/>
        <v>9571500</v>
      </c>
      <c r="Y87" s="323">
        <f t="shared" si="113"/>
        <v>9858600</v>
      </c>
      <c r="Z87" s="323">
        <f t="shared" si="113"/>
        <v>10154400</v>
      </c>
      <c r="AA87" s="323">
        <f t="shared" si="113"/>
        <v>10459000</v>
      </c>
      <c r="AB87" s="323">
        <f t="shared" si="113"/>
        <v>10772800</v>
      </c>
      <c r="AC87" s="323">
        <f t="shared" si="101"/>
        <v>11096000</v>
      </c>
      <c r="AD87" s="323">
        <f t="shared" si="101"/>
        <v>11428900</v>
      </c>
      <c r="AE87" s="323">
        <f t="shared" si="101"/>
        <v>11771800</v>
      </c>
      <c r="AF87" s="323">
        <f t="shared" si="101"/>
        <v>12125000</v>
      </c>
      <c r="AG87" s="323">
        <f t="shared" si="101"/>
        <v>12488800</v>
      </c>
      <c r="AH87" s="409">
        <v>0.03</v>
      </c>
      <c r="AI87" s="409">
        <v>0.03</v>
      </c>
      <c r="AJ87" s="409">
        <v>0.03</v>
      </c>
      <c r="AK87" s="409">
        <v>0.03</v>
      </c>
      <c r="AL87" s="473">
        <v>400000</v>
      </c>
      <c r="AM87" s="907"/>
    </row>
    <row r="88" spans="1:39">
      <c r="A88" s="408" t="s">
        <v>96</v>
      </c>
      <c r="B88" s="408"/>
      <c r="C88" s="472">
        <v>4300000</v>
      </c>
      <c r="D88" s="323">
        <f t="shared" si="97"/>
        <v>4429000</v>
      </c>
      <c r="E88" s="323">
        <f t="shared" si="97"/>
        <v>4561900</v>
      </c>
      <c r="F88" s="323">
        <f t="shared" si="97"/>
        <v>4698800</v>
      </c>
      <c r="G88" s="323">
        <f t="shared" si="97"/>
        <v>4839800</v>
      </c>
      <c r="H88" s="323">
        <f t="shared" si="98"/>
        <v>5385000</v>
      </c>
      <c r="I88" s="323">
        <f t="shared" ref="I88:R88" si="114">ROUND((H88*(1+$AI88))/100,0)*100</f>
        <v>5546600</v>
      </c>
      <c r="J88" s="323">
        <f t="shared" si="114"/>
        <v>5713000</v>
      </c>
      <c r="K88" s="323">
        <f t="shared" si="114"/>
        <v>5884400</v>
      </c>
      <c r="L88" s="323">
        <f t="shared" si="114"/>
        <v>6060900</v>
      </c>
      <c r="M88" s="323">
        <f t="shared" si="114"/>
        <v>6242700</v>
      </c>
      <c r="N88" s="323">
        <f t="shared" si="114"/>
        <v>6430000</v>
      </c>
      <c r="O88" s="323">
        <f t="shared" si="114"/>
        <v>6622900</v>
      </c>
      <c r="P88" s="323">
        <f t="shared" si="114"/>
        <v>6821600</v>
      </c>
      <c r="Q88" s="323">
        <f t="shared" si="114"/>
        <v>7026200</v>
      </c>
      <c r="R88" s="323">
        <f t="shared" si="114"/>
        <v>7237000</v>
      </c>
      <c r="S88" s="323">
        <f t="shared" ref="S88:AB88" si="115">ROUND((R88*(1+$AJ88))/100,0)*100</f>
        <v>7454100</v>
      </c>
      <c r="T88" s="323">
        <f t="shared" si="115"/>
        <v>7677700</v>
      </c>
      <c r="U88" s="323">
        <f t="shared" si="115"/>
        <v>7908000</v>
      </c>
      <c r="V88" s="323">
        <f t="shared" si="115"/>
        <v>8145200</v>
      </c>
      <c r="W88" s="323">
        <f t="shared" si="115"/>
        <v>8389600</v>
      </c>
      <c r="X88" s="323">
        <f t="shared" si="115"/>
        <v>8641300</v>
      </c>
      <c r="Y88" s="323">
        <f t="shared" si="115"/>
        <v>8900500</v>
      </c>
      <c r="Z88" s="323">
        <f t="shared" si="115"/>
        <v>9167500</v>
      </c>
      <c r="AA88" s="323">
        <f t="shared" si="115"/>
        <v>9442500</v>
      </c>
      <c r="AB88" s="323">
        <f t="shared" si="115"/>
        <v>9725800</v>
      </c>
      <c r="AC88" s="323">
        <f t="shared" si="101"/>
        <v>10017600</v>
      </c>
      <c r="AD88" s="323">
        <f t="shared" si="101"/>
        <v>10318100</v>
      </c>
      <c r="AE88" s="323">
        <f t="shared" si="101"/>
        <v>10627600</v>
      </c>
      <c r="AF88" s="323">
        <f t="shared" si="101"/>
        <v>10946400</v>
      </c>
      <c r="AG88" s="323">
        <f t="shared" si="101"/>
        <v>11274800</v>
      </c>
      <c r="AH88" s="409">
        <v>0.03</v>
      </c>
      <c r="AI88" s="409">
        <v>0.03</v>
      </c>
      <c r="AJ88" s="409">
        <v>0.03</v>
      </c>
      <c r="AK88" s="409">
        <v>0.03</v>
      </c>
      <c r="AL88" s="473">
        <v>400000</v>
      </c>
      <c r="AM88" s="907"/>
    </row>
    <row r="89" spans="1:39">
      <c r="A89" s="408" t="s">
        <v>97</v>
      </c>
      <c r="B89" s="408"/>
      <c r="C89" s="472">
        <v>5000000</v>
      </c>
      <c r="D89" s="323">
        <f t="shared" si="97"/>
        <v>5150000</v>
      </c>
      <c r="E89" s="323">
        <f t="shared" si="97"/>
        <v>5304500</v>
      </c>
      <c r="F89" s="323">
        <f t="shared" si="97"/>
        <v>5463600</v>
      </c>
      <c r="G89" s="323">
        <f t="shared" si="97"/>
        <v>5627500</v>
      </c>
      <c r="H89" s="323">
        <f t="shared" si="98"/>
        <v>6196300</v>
      </c>
      <c r="I89" s="323">
        <f t="shared" ref="I89:R89" si="116">ROUND((H89*(1+$AI89))/100,0)*100</f>
        <v>6382200</v>
      </c>
      <c r="J89" s="323">
        <f t="shared" si="116"/>
        <v>6573700</v>
      </c>
      <c r="K89" s="323">
        <f t="shared" si="116"/>
        <v>6770900</v>
      </c>
      <c r="L89" s="323">
        <f t="shared" si="116"/>
        <v>6974000</v>
      </c>
      <c r="M89" s="323">
        <f t="shared" si="116"/>
        <v>7183200</v>
      </c>
      <c r="N89" s="323">
        <f t="shared" si="116"/>
        <v>7398700</v>
      </c>
      <c r="O89" s="323">
        <f t="shared" si="116"/>
        <v>7620700</v>
      </c>
      <c r="P89" s="323">
        <f t="shared" si="116"/>
        <v>7849300</v>
      </c>
      <c r="Q89" s="323">
        <f t="shared" si="116"/>
        <v>8084800</v>
      </c>
      <c r="R89" s="323">
        <f t="shared" si="116"/>
        <v>8327300</v>
      </c>
      <c r="S89" s="323">
        <f t="shared" ref="S89:AB89" si="117">ROUND((R89*(1+$AJ89))/100,0)*100</f>
        <v>8577100</v>
      </c>
      <c r="T89" s="323">
        <f t="shared" si="117"/>
        <v>8834400</v>
      </c>
      <c r="U89" s="323">
        <f t="shared" si="117"/>
        <v>9099400</v>
      </c>
      <c r="V89" s="323">
        <f t="shared" si="117"/>
        <v>9372400</v>
      </c>
      <c r="W89" s="323">
        <f t="shared" si="117"/>
        <v>9653600</v>
      </c>
      <c r="X89" s="323">
        <f t="shared" si="117"/>
        <v>9943200</v>
      </c>
      <c r="Y89" s="323">
        <f t="shared" si="117"/>
        <v>10241500</v>
      </c>
      <c r="Z89" s="323">
        <f t="shared" si="117"/>
        <v>10548700</v>
      </c>
      <c r="AA89" s="323">
        <f t="shared" si="117"/>
        <v>10865200</v>
      </c>
      <c r="AB89" s="323">
        <f t="shared" si="117"/>
        <v>11191200</v>
      </c>
      <c r="AC89" s="323">
        <f t="shared" si="101"/>
        <v>11526900</v>
      </c>
      <c r="AD89" s="323">
        <f t="shared" si="101"/>
        <v>11872700</v>
      </c>
      <c r="AE89" s="323">
        <f t="shared" si="101"/>
        <v>12228900</v>
      </c>
      <c r="AF89" s="323">
        <f t="shared" si="101"/>
        <v>12595800</v>
      </c>
      <c r="AG89" s="323">
        <f t="shared" si="101"/>
        <v>12973700</v>
      </c>
      <c r="AH89" s="409">
        <v>0.03</v>
      </c>
      <c r="AI89" s="409">
        <v>0.03</v>
      </c>
      <c r="AJ89" s="409">
        <v>0.03</v>
      </c>
      <c r="AK89" s="409">
        <v>0.03</v>
      </c>
      <c r="AL89" s="473">
        <v>400000</v>
      </c>
      <c r="AM89" s="907"/>
    </row>
    <row r="90" spans="1:39">
      <c r="A90" s="408"/>
      <c r="B90" s="408"/>
      <c r="C90" s="323"/>
      <c r="D90" s="323"/>
      <c r="E90" s="323"/>
      <c r="F90" s="323"/>
      <c r="G90" s="323"/>
      <c r="H90" s="323"/>
      <c r="I90" s="323"/>
      <c r="J90" s="323"/>
      <c r="K90" s="323"/>
      <c r="L90" s="323"/>
      <c r="M90" s="323"/>
      <c r="N90" s="323"/>
      <c r="O90" s="323"/>
      <c r="P90" s="323"/>
      <c r="Q90" s="323"/>
      <c r="R90" s="323"/>
      <c r="S90" s="323"/>
      <c r="T90" s="323"/>
      <c r="U90" s="323"/>
      <c r="V90" s="323"/>
      <c r="W90" s="323"/>
      <c r="X90" s="323"/>
      <c r="Y90" s="323"/>
      <c r="Z90" s="323"/>
      <c r="AA90" s="323"/>
      <c r="AB90" s="323"/>
      <c r="AC90" s="323"/>
      <c r="AD90" s="323"/>
      <c r="AE90" s="323"/>
      <c r="AF90" s="323"/>
      <c r="AG90" s="323"/>
      <c r="AH90" s="409"/>
      <c r="AI90" s="409"/>
      <c r="AJ90" s="409"/>
      <c r="AK90" s="409"/>
      <c r="AL90" s="148"/>
    </row>
    <row r="91" spans="1:39" s="1" customFormat="1">
      <c r="A91" s="525" t="s">
        <v>98</v>
      </c>
      <c r="B91" s="525" t="s">
        <v>99</v>
      </c>
      <c r="C91" s="399">
        <v>2025</v>
      </c>
      <c r="D91" s="399">
        <v>2026</v>
      </c>
      <c r="E91" s="399">
        <v>2027</v>
      </c>
      <c r="F91" s="399">
        <v>2028</v>
      </c>
      <c r="G91" s="399">
        <v>2029</v>
      </c>
      <c r="H91" s="399">
        <v>2030</v>
      </c>
      <c r="I91" s="399">
        <v>2031</v>
      </c>
      <c r="J91" s="399">
        <v>2032</v>
      </c>
      <c r="K91" s="399">
        <v>2033</v>
      </c>
      <c r="L91" s="399">
        <v>2034</v>
      </c>
      <c r="M91" s="399">
        <v>2035</v>
      </c>
      <c r="N91" s="399">
        <v>2036</v>
      </c>
      <c r="O91" s="399">
        <v>2037</v>
      </c>
      <c r="P91" s="399">
        <v>2038</v>
      </c>
      <c r="Q91" s="399">
        <v>2039</v>
      </c>
      <c r="R91" s="399">
        <v>2040</v>
      </c>
      <c r="S91" s="399">
        <v>2041</v>
      </c>
      <c r="T91" s="399">
        <v>2042</v>
      </c>
      <c r="U91" s="399">
        <v>2043</v>
      </c>
      <c r="V91" s="399">
        <v>2044</v>
      </c>
      <c r="W91" s="399">
        <v>2045</v>
      </c>
      <c r="X91" s="399">
        <v>2046</v>
      </c>
      <c r="Y91" s="399">
        <v>2047</v>
      </c>
      <c r="Z91" s="399">
        <v>2048</v>
      </c>
      <c r="AA91" s="399">
        <v>2049</v>
      </c>
      <c r="AB91" s="399">
        <v>2050</v>
      </c>
      <c r="AC91" s="399">
        <v>2051</v>
      </c>
      <c r="AD91" s="399">
        <v>2052</v>
      </c>
      <c r="AE91" s="399">
        <v>2053</v>
      </c>
      <c r="AF91" s="399">
        <v>2054</v>
      </c>
      <c r="AG91" s="399">
        <v>2055</v>
      </c>
      <c r="AH91" s="399"/>
      <c r="AI91" s="525"/>
      <c r="AJ91" s="525"/>
      <c r="AK91" s="525"/>
      <c r="AL91" s="525" t="s">
        <v>672</v>
      </c>
    </row>
    <row r="92" spans="1:39">
      <c r="A92" s="408" t="s">
        <v>100</v>
      </c>
      <c r="B92" s="408">
        <f>'No change with year'!D38</f>
        <v>480</v>
      </c>
      <c r="C92" s="323">
        <f>C81+'No change with year'!D41</f>
        <v>2150000</v>
      </c>
      <c r="D92" s="323">
        <f t="shared" ref="D92:G100" si="118">C92*(1+$AH92)</f>
        <v>2214500</v>
      </c>
      <c r="E92" s="323">
        <f t="shared" si="118"/>
        <v>2280935</v>
      </c>
      <c r="F92" s="323">
        <f t="shared" si="118"/>
        <v>2349363.0500000003</v>
      </c>
      <c r="G92" s="323">
        <f t="shared" si="118"/>
        <v>2419843.9415000002</v>
      </c>
      <c r="H92" s="323">
        <f t="shared" ref="H92:H100" si="119">G92*(1+$AH92)+AL92</f>
        <v>2892439.2597450004</v>
      </c>
      <c r="I92" s="323">
        <f t="shared" ref="I92:R92" si="120">H92*(1+$AI92)</f>
        <v>2979212.4375373507</v>
      </c>
      <c r="J92" s="323">
        <f t="shared" si="120"/>
        <v>3068588.8106634715</v>
      </c>
      <c r="K92" s="323">
        <f t="shared" si="120"/>
        <v>3160646.4749833755</v>
      </c>
      <c r="L92" s="323">
        <f t="shared" si="120"/>
        <v>3255465.8692328767</v>
      </c>
      <c r="M92" s="323">
        <f t="shared" si="120"/>
        <v>3353129.8453098629</v>
      </c>
      <c r="N92" s="323">
        <f t="shared" si="120"/>
        <v>3453723.7406691588</v>
      </c>
      <c r="O92" s="323">
        <f t="shared" si="120"/>
        <v>3557335.4528892338</v>
      </c>
      <c r="P92" s="323">
        <f t="shared" si="120"/>
        <v>3664055.5164759108</v>
      </c>
      <c r="Q92" s="323">
        <f t="shared" si="120"/>
        <v>3773977.1819701884</v>
      </c>
      <c r="R92" s="323">
        <f t="shared" si="120"/>
        <v>3887196.497429294</v>
      </c>
      <c r="S92" s="323">
        <f t="shared" ref="S92:AB92" si="121">R92*(1+$AJ92)</f>
        <v>4003812.3923521731</v>
      </c>
      <c r="T92" s="323">
        <f t="shared" si="121"/>
        <v>4123926.7641227385</v>
      </c>
      <c r="U92" s="323">
        <f t="shared" si="121"/>
        <v>4247644.5670464206</v>
      </c>
      <c r="V92" s="323">
        <f t="shared" si="121"/>
        <v>4375073.9040578138</v>
      </c>
      <c r="W92" s="323">
        <f t="shared" si="121"/>
        <v>4506326.1211795481</v>
      </c>
      <c r="X92" s="323">
        <f t="shared" si="121"/>
        <v>4641515.9048149344</v>
      </c>
      <c r="Y92" s="323">
        <f t="shared" si="121"/>
        <v>4780761.3819593824</v>
      </c>
      <c r="Z92" s="323">
        <f t="shared" si="121"/>
        <v>4924184.2234181641</v>
      </c>
      <c r="AA92" s="323">
        <f t="shared" si="121"/>
        <v>5071909.7501207087</v>
      </c>
      <c r="AB92" s="323">
        <f t="shared" si="121"/>
        <v>5224067.0426243301</v>
      </c>
      <c r="AC92" s="323">
        <f t="shared" ref="AC92:AG100" si="122">AB92*(1+$AK92)</f>
        <v>5380789.05390306</v>
      </c>
      <c r="AD92" s="323">
        <f t="shared" si="122"/>
        <v>5542212.7255201517</v>
      </c>
      <c r="AE92" s="323">
        <f t="shared" si="122"/>
        <v>5708479.1072857566</v>
      </c>
      <c r="AF92" s="323">
        <f t="shared" si="122"/>
        <v>5879733.4805043293</v>
      </c>
      <c r="AG92" s="323">
        <f t="shared" si="122"/>
        <v>6056125.4849194596</v>
      </c>
      <c r="AH92" s="409">
        <v>0.03</v>
      </c>
      <c r="AI92" s="409">
        <v>0.03</v>
      </c>
      <c r="AJ92" s="409">
        <v>0.03</v>
      </c>
      <c r="AK92" s="409">
        <v>0.03</v>
      </c>
      <c r="AL92" s="148">
        <v>400000</v>
      </c>
      <c r="AM92" s="907" t="s">
        <v>670</v>
      </c>
    </row>
    <row r="93" spans="1:39">
      <c r="A93" s="408" t="s">
        <v>101</v>
      </c>
      <c r="B93" s="408">
        <f>'No change with year'!$E$38</f>
        <v>960</v>
      </c>
      <c r="C93" s="323">
        <f>C82+'No change with year'!$E$41</f>
        <v>3000000</v>
      </c>
      <c r="D93" s="323">
        <f t="shared" si="118"/>
        <v>3090000</v>
      </c>
      <c r="E93" s="323">
        <f t="shared" si="118"/>
        <v>3182700</v>
      </c>
      <c r="F93" s="323">
        <f t="shared" si="118"/>
        <v>3278181</v>
      </c>
      <c r="G93" s="323">
        <f t="shared" si="118"/>
        <v>3376526.43</v>
      </c>
      <c r="H93" s="323">
        <f t="shared" si="119"/>
        <v>3877822.2229000004</v>
      </c>
      <c r="I93" s="323">
        <f t="shared" ref="I93:R93" si="123">H93*(1+$AI93)</f>
        <v>3994156.8895870005</v>
      </c>
      <c r="J93" s="323">
        <f t="shared" si="123"/>
        <v>4113981.5962746106</v>
      </c>
      <c r="K93" s="323">
        <f t="shared" si="123"/>
        <v>4237401.044162849</v>
      </c>
      <c r="L93" s="323">
        <f t="shared" si="123"/>
        <v>4364523.0754877347</v>
      </c>
      <c r="M93" s="323">
        <f t="shared" si="123"/>
        <v>4495458.7677523671</v>
      </c>
      <c r="N93" s="323">
        <f t="shared" si="123"/>
        <v>4630322.5307849385</v>
      </c>
      <c r="O93" s="323">
        <f t="shared" si="123"/>
        <v>4769232.2067084871</v>
      </c>
      <c r="P93" s="323">
        <f t="shared" si="123"/>
        <v>4912309.1729097422</v>
      </c>
      <c r="Q93" s="323">
        <f t="shared" si="123"/>
        <v>5059678.4480970344</v>
      </c>
      <c r="R93" s="323">
        <f t="shared" si="123"/>
        <v>5211468.8015399454</v>
      </c>
      <c r="S93" s="323">
        <f t="shared" ref="S93:AB93" si="124">R93*(1+$AJ93)</f>
        <v>5367812.8655861439</v>
      </c>
      <c r="T93" s="323">
        <f t="shared" si="124"/>
        <v>5528847.2515537282</v>
      </c>
      <c r="U93" s="323">
        <f t="shared" si="124"/>
        <v>5694712.6691003405</v>
      </c>
      <c r="V93" s="323">
        <f t="shared" si="124"/>
        <v>5865554.0491733504</v>
      </c>
      <c r="W93" s="323">
        <f t="shared" si="124"/>
        <v>6041520.6706485515</v>
      </c>
      <c r="X93" s="323">
        <f t="shared" si="124"/>
        <v>6222766.2907680087</v>
      </c>
      <c r="Y93" s="323">
        <f t="shared" si="124"/>
        <v>6409449.2794910492</v>
      </c>
      <c r="Z93" s="323">
        <f t="shared" si="124"/>
        <v>6601732.7578757806</v>
      </c>
      <c r="AA93" s="323">
        <f t="shared" si="124"/>
        <v>6799784.7406120542</v>
      </c>
      <c r="AB93" s="323">
        <f t="shared" si="124"/>
        <v>7003778.2828304162</v>
      </c>
      <c r="AC93" s="323">
        <f t="shared" si="122"/>
        <v>7213891.6313153291</v>
      </c>
      <c r="AD93" s="323">
        <f t="shared" si="122"/>
        <v>7430308.3802547893</v>
      </c>
      <c r="AE93" s="323">
        <f t="shared" si="122"/>
        <v>7653217.631662433</v>
      </c>
      <c r="AF93" s="323">
        <f t="shared" si="122"/>
        <v>7882814.1606123066</v>
      </c>
      <c r="AG93" s="323">
        <f t="shared" si="122"/>
        <v>8119298.5854306761</v>
      </c>
      <c r="AH93" s="409">
        <v>0.03</v>
      </c>
      <c r="AI93" s="409">
        <v>0.03</v>
      </c>
      <c r="AJ93" s="409">
        <v>0.03</v>
      </c>
      <c r="AK93" s="409">
        <v>0.03</v>
      </c>
      <c r="AL93" s="148">
        <v>400000</v>
      </c>
      <c r="AM93" s="907"/>
    </row>
    <row r="94" spans="1:39">
      <c r="A94" s="408" t="s">
        <v>102</v>
      </c>
      <c r="B94" s="408">
        <f>'No change with year'!$E$38</f>
        <v>960</v>
      </c>
      <c r="C94" s="323">
        <f>C83+'No change with year'!$E$41</f>
        <v>3850000</v>
      </c>
      <c r="D94" s="323">
        <f t="shared" si="118"/>
        <v>3965500</v>
      </c>
      <c r="E94" s="323">
        <f t="shared" si="118"/>
        <v>4084465</v>
      </c>
      <c r="F94" s="323">
        <f t="shared" si="118"/>
        <v>4206998.95</v>
      </c>
      <c r="G94" s="323">
        <f t="shared" si="118"/>
        <v>4333208.9185000006</v>
      </c>
      <c r="H94" s="323">
        <f t="shared" si="119"/>
        <v>4863205.1860550009</v>
      </c>
      <c r="I94" s="323">
        <f t="shared" ref="I94:R94" si="125">H94*(1+$AI94)</f>
        <v>5009101.3416366512</v>
      </c>
      <c r="J94" s="323">
        <f t="shared" si="125"/>
        <v>5159374.3818857512</v>
      </c>
      <c r="K94" s="323">
        <f t="shared" si="125"/>
        <v>5314155.6133423243</v>
      </c>
      <c r="L94" s="323">
        <f t="shared" si="125"/>
        <v>5473580.2817425942</v>
      </c>
      <c r="M94" s="323">
        <f t="shared" si="125"/>
        <v>5637787.6901948722</v>
      </c>
      <c r="N94" s="323">
        <f t="shared" si="125"/>
        <v>5806921.3209007187</v>
      </c>
      <c r="O94" s="323">
        <f t="shared" si="125"/>
        <v>5981128.9605277404</v>
      </c>
      <c r="P94" s="323">
        <f t="shared" si="125"/>
        <v>6160562.8293435732</v>
      </c>
      <c r="Q94" s="323">
        <f t="shared" si="125"/>
        <v>6345379.7142238803</v>
      </c>
      <c r="R94" s="323">
        <f t="shared" si="125"/>
        <v>6535741.1056505973</v>
      </c>
      <c r="S94" s="323">
        <f t="shared" ref="S94:AB94" si="126">R94*(1+$AJ94)</f>
        <v>6731813.3388201157</v>
      </c>
      <c r="T94" s="323">
        <f t="shared" si="126"/>
        <v>6933767.7389847189</v>
      </c>
      <c r="U94" s="323">
        <f t="shared" si="126"/>
        <v>7141780.7711542603</v>
      </c>
      <c r="V94" s="323">
        <f t="shared" si="126"/>
        <v>7356034.194288888</v>
      </c>
      <c r="W94" s="323">
        <f t="shared" si="126"/>
        <v>7576715.220117555</v>
      </c>
      <c r="X94" s="323">
        <f t="shared" si="126"/>
        <v>7804016.6767210821</v>
      </c>
      <c r="Y94" s="323">
        <f t="shared" si="126"/>
        <v>8038137.1770227151</v>
      </c>
      <c r="Z94" s="323">
        <f t="shared" si="126"/>
        <v>8279281.2923333971</v>
      </c>
      <c r="AA94" s="323">
        <f t="shared" si="126"/>
        <v>8527659.7311033998</v>
      </c>
      <c r="AB94" s="323">
        <f t="shared" si="126"/>
        <v>8783489.5230365023</v>
      </c>
      <c r="AC94" s="323">
        <f t="shared" si="122"/>
        <v>9046994.2087275982</v>
      </c>
      <c r="AD94" s="323">
        <f t="shared" si="122"/>
        <v>9318404.0349894259</v>
      </c>
      <c r="AE94" s="323">
        <f t="shared" si="122"/>
        <v>9597956.1560391095</v>
      </c>
      <c r="AF94" s="323">
        <f t="shared" si="122"/>
        <v>9885894.8407202829</v>
      </c>
      <c r="AG94" s="323">
        <f t="shared" si="122"/>
        <v>10182471.685941892</v>
      </c>
      <c r="AH94" s="409">
        <v>0.03</v>
      </c>
      <c r="AI94" s="409">
        <v>0.03</v>
      </c>
      <c r="AJ94" s="409">
        <v>0.03</v>
      </c>
      <c r="AK94" s="409">
        <v>0.03</v>
      </c>
      <c r="AL94" s="148">
        <v>400000</v>
      </c>
      <c r="AM94" s="907"/>
    </row>
    <row r="95" spans="1:39">
      <c r="A95" s="408" t="s">
        <v>103</v>
      </c>
      <c r="B95" s="408">
        <f>'No change with year'!$E$38</f>
        <v>960</v>
      </c>
      <c r="C95" s="323">
        <f>C84+'No change with year'!$E$41</f>
        <v>4250000</v>
      </c>
      <c r="D95" s="323">
        <f t="shared" si="118"/>
        <v>4377500</v>
      </c>
      <c r="E95" s="323">
        <f t="shared" si="118"/>
        <v>4508825</v>
      </c>
      <c r="F95" s="323">
        <f t="shared" si="118"/>
        <v>4644089.75</v>
      </c>
      <c r="G95" s="323">
        <f t="shared" si="118"/>
        <v>4783412.4424999999</v>
      </c>
      <c r="H95" s="323">
        <f t="shared" si="119"/>
        <v>5326914.8157749996</v>
      </c>
      <c r="I95" s="323">
        <f t="shared" ref="I95:R95" si="127">H95*(1+$AI95)</f>
        <v>5486722.2602482494</v>
      </c>
      <c r="J95" s="323">
        <f t="shared" si="127"/>
        <v>5651323.9280556971</v>
      </c>
      <c r="K95" s="323">
        <f t="shared" si="127"/>
        <v>5820863.645897368</v>
      </c>
      <c r="L95" s="323">
        <f t="shared" si="127"/>
        <v>5995489.5552742891</v>
      </c>
      <c r="M95" s="323">
        <f t="shared" si="127"/>
        <v>6175354.2419325178</v>
      </c>
      <c r="N95" s="323">
        <f t="shared" si="127"/>
        <v>6360614.8691904936</v>
      </c>
      <c r="O95" s="323">
        <f t="shared" si="127"/>
        <v>6551433.3152662087</v>
      </c>
      <c r="P95" s="323">
        <f t="shared" si="127"/>
        <v>6747976.3147241948</v>
      </c>
      <c r="Q95" s="323">
        <f t="shared" si="127"/>
        <v>6950415.604165921</v>
      </c>
      <c r="R95" s="323">
        <f t="shared" si="127"/>
        <v>7158928.0722908992</v>
      </c>
      <c r="S95" s="323">
        <f t="shared" ref="S95:AB95" si="128">R95*(1+$AJ95)</f>
        <v>7373695.9144596262</v>
      </c>
      <c r="T95" s="323">
        <f t="shared" si="128"/>
        <v>7594906.7918934152</v>
      </c>
      <c r="U95" s="323">
        <f t="shared" si="128"/>
        <v>7822753.9956502179</v>
      </c>
      <c r="V95" s="323">
        <f t="shared" si="128"/>
        <v>8057436.6155197248</v>
      </c>
      <c r="W95" s="323">
        <f t="shared" si="128"/>
        <v>8299159.7139853165</v>
      </c>
      <c r="X95" s="323">
        <f t="shared" si="128"/>
        <v>8548134.5054048765</v>
      </c>
      <c r="Y95" s="323">
        <f t="shared" si="128"/>
        <v>8804578.5405670237</v>
      </c>
      <c r="Z95" s="323">
        <f t="shared" si="128"/>
        <v>9068715.8967840355</v>
      </c>
      <c r="AA95" s="323">
        <f t="shared" si="128"/>
        <v>9340777.373687556</v>
      </c>
      <c r="AB95" s="323">
        <f t="shared" si="128"/>
        <v>9621000.6948981825</v>
      </c>
      <c r="AC95" s="323">
        <f t="shared" si="122"/>
        <v>9909630.7157451287</v>
      </c>
      <c r="AD95" s="323">
        <f t="shared" si="122"/>
        <v>10206919.637217483</v>
      </c>
      <c r="AE95" s="323">
        <f t="shared" si="122"/>
        <v>10513127.226334007</v>
      </c>
      <c r="AF95" s="323">
        <f t="shared" si="122"/>
        <v>10828521.043124028</v>
      </c>
      <c r="AG95" s="323">
        <f t="shared" si="122"/>
        <v>11153376.674417749</v>
      </c>
      <c r="AH95" s="409">
        <v>0.03</v>
      </c>
      <c r="AI95" s="409">
        <v>0.03</v>
      </c>
      <c r="AJ95" s="409">
        <v>0.03</v>
      </c>
      <c r="AK95" s="409">
        <v>0.03</v>
      </c>
      <c r="AL95" s="148">
        <v>400000</v>
      </c>
      <c r="AM95" s="907"/>
    </row>
    <row r="96" spans="1:39">
      <c r="A96" s="408" t="s">
        <v>104</v>
      </c>
      <c r="B96" s="408">
        <f>'No change with year'!$E$38</f>
        <v>960</v>
      </c>
      <c r="C96" s="323">
        <f>C85+'No change with year'!$E$41</f>
        <v>4950000</v>
      </c>
      <c r="D96" s="323">
        <f t="shared" si="118"/>
        <v>5098500</v>
      </c>
      <c r="E96" s="323">
        <f t="shared" si="118"/>
        <v>5251455</v>
      </c>
      <c r="F96" s="323">
        <f t="shared" si="118"/>
        <v>5408998.6500000004</v>
      </c>
      <c r="G96" s="323">
        <f t="shared" si="118"/>
        <v>5571268.6095000003</v>
      </c>
      <c r="H96" s="323">
        <f t="shared" si="119"/>
        <v>6138406.6677850001</v>
      </c>
      <c r="I96" s="323">
        <f t="shared" ref="I96:R96" si="129">H96*(1+$AI96)</f>
        <v>6322558.8678185502</v>
      </c>
      <c r="J96" s="323">
        <f t="shared" si="129"/>
        <v>6512235.6338531068</v>
      </c>
      <c r="K96" s="323">
        <f t="shared" si="129"/>
        <v>6707602.7028687</v>
      </c>
      <c r="L96" s="323">
        <f t="shared" si="129"/>
        <v>6908830.783954761</v>
      </c>
      <c r="M96" s="323">
        <f t="shared" si="129"/>
        <v>7116095.7074734038</v>
      </c>
      <c r="N96" s="323">
        <f t="shared" si="129"/>
        <v>7329578.578697606</v>
      </c>
      <c r="O96" s="323">
        <f t="shared" si="129"/>
        <v>7549465.9360585343</v>
      </c>
      <c r="P96" s="323">
        <f t="shared" si="129"/>
        <v>7775949.9141402906</v>
      </c>
      <c r="Q96" s="323">
        <f t="shared" si="129"/>
        <v>8009228.4115644991</v>
      </c>
      <c r="R96" s="323">
        <f t="shared" si="129"/>
        <v>8249505.2639114344</v>
      </c>
      <c r="S96" s="323">
        <f t="shared" ref="S96:AB96" si="130">R96*(1+$AJ96)</f>
        <v>8496990.4218287785</v>
      </c>
      <c r="T96" s="323">
        <f t="shared" si="130"/>
        <v>8751900.1344836429</v>
      </c>
      <c r="U96" s="323">
        <f t="shared" si="130"/>
        <v>9014457.1385181528</v>
      </c>
      <c r="V96" s="323">
        <f t="shared" si="130"/>
        <v>9284890.8526736982</v>
      </c>
      <c r="W96" s="323">
        <f t="shared" si="130"/>
        <v>9563437.5782539099</v>
      </c>
      <c r="X96" s="323">
        <f t="shared" si="130"/>
        <v>9850340.7056015283</v>
      </c>
      <c r="Y96" s="323">
        <f t="shared" si="130"/>
        <v>10145850.926769575</v>
      </c>
      <c r="Z96" s="323">
        <f t="shared" si="130"/>
        <v>10450226.454572663</v>
      </c>
      <c r="AA96" s="323">
        <f t="shared" si="130"/>
        <v>10763733.248209843</v>
      </c>
      <c r="AB96" s="323">
        <f t="shared" si="130"/>
        <v>11086645.245656138</v>
      </c>
      <c r="AC96" s="323">
        <f t="shared" si="122"/>
        <v>11419244.603025822</v>
      </c>
      <c r="AD96" s="323">
        <f t="shared" si="122"/>
        <v>11761821.941116598</v>
      </c>
      <c r="AE96" s="323">
        <f t="shared" si="122"/>
        <v>12114676.599350097</v>
      </c>
      <c r="AF96" s="323">
        <f t="shared" si="122"/>
        <v>12478116.897330601</v>
      </c>
      <c r="AG96" s="323">
        <f t="shared" si="122"/>
        <v>12852460.404250519</v>
      </c>
      <c r="AH96" s="409">
        <v>0.03</v>
      </c>
      <c r="AI96" s="409">
        <v>0.03</v>
      </c>
      <c r="AJ96" s="409">
        <v>0.03</v>
      </c>
      <c r="AK96" s="409">
        <v>0.03</v>
      </c>
      <c r="AL96" s="148">
        <v>400000</v>
      </c>
      <c r="AM96" s="907"/>
    </row>
    <row r="97" spans="1:39">
      <c r="A97" s="408" t="s">
        <v>105</v>
      </c>
      <c r="B97" s="408">
        <f>'No change with year'!$E$38</f>
        <v>960</v>
      </c>
      <c r="C97" s="323">
        <f>C86+'No change with year'!$E$41</f>
        <v>4450000</v>
      </c>
      <c r="D97" s="323">
        <f t="shared" si="118"/>
        <v>4583500</v>
      </c>
      <c r="E97" s="323">
        <f t="shared" si="118"/>
        <v>4721005</v>
      </c>
      <c r="F97" s="323">
        <f t="shared" si="118"/>
        <v>4862635.1500000004</v>
      </c>
      <c r="G97" s="323">
        <f t="shared" si="118"/>
        <v>5008514.2045000009</v>
      </c>
      <c r="H97" s="323">
        <f t="shared" si="119"/>
        <v>5558769.6306350008</v>
      </c>
      <c r="I97" s="323">
        <f t="shared" ref="I97:R97" si="131">H97*(1+$AI97)</f>
        <v>5725532.7195540508</v>
      </c>
      <c r="J97" s="323">
        <f t="shared" si="131"/>
        <v>5897298.7011406729</v>
      </c>
      <c r="K97" s="323">
        <f t="shared" si="131"/>
        <v>6074217.6621748935</v>
      </c>
      <c r="L97" s="323">
        <f t="shared" si="131"/>
        <v>6256444.1920401407</v>
      </c>
      <c r="M97" s="323">
        <f t="shared" si="131"/>
        <v>6444137.5178013453</v>
      </c>
      <c r="N97" s="323">
        <f t="shared" si="131"/>
        <v>6637461.6433353862</v>
      </c>
      <c r="O97" s="323">
        <f t="shared" si="131"/>
        <v>6836585.4926354475</v>
      </c>
      <c r="P97" s="323">
        <f t="shared" si="131"/>
        <v>7041683.0574145112</v>
      </c>
      <c r="Q97" s="323">
        <f t="shared" si="131"/>
        <v>7252933.5491369469</v>
      </c>
      <c r="R97" s="323">
        <f t="shared" si="131"/>
        <v>7470521.5556110553</v>
      </c>
      <c r="S97" s="323">
        <f t="shared" ref="S97:AB97" si="132">R97*(1+$AJ97)</f>
        <v>7694637.202279387</v>
      </c>
      <c r="T97" s="323">
        <f t="shared" si="132"/>
        <v>7925476.3183477689</v>
      </c>
      <c r="U97" s="323">
        <f t="shared" si="132"/>
        <v>8163240.6078982018</v>
      </c>
      <c r="V97" s="323">
        <f t="shared" si="132"/>
        <v>8408137.8261351474</v>
      </c>
      <c r="W97" s="323">
        <f t="shared" si="132"/>
        <v>8660381.9609192014</v>
      </c>
      <c r="X97" s="323">
        <f t="shared" si="132"/>
        <v>8920193.419746777</v>
      </c>
      <c r="Y97" s="323">
        <f t="shared" si="132"/>
        <v>9187799.2223391812</v>
      </c>
      <c r="Z97" s="323">
        <f t="shared" si="132"/>
        <v>9463433.199009357</v>
      </c>
      <c r="AA97" s="323">
        <f t="shared" si="132"/>
        <v>9747336.1949796379</v>
      </c>
      <c r="AB97" s="323">
        <f t="shared" si="132"/>
        <v>10039756.280829027</v>
      </c>
      <c r="AC97" s="323">
        <f t="shared" si="122"/>
        <v>10340948.969253898</v>
      </c>
      <c r="AD97" s="323">
        <f t="shared" si="122"/>
        <v>10651177.438331515</v>
      </c>
      <c r="AE97" s="323">
        <f t="shared" si="122"/>
        <v>10970712.76148146</v>
      </c>
      <c r="AF97" s="323">
        <f t="shared" si="122"/>
        <v>11299834.144325905</v>
      </c>
      <c r="AG97" s="323">
        <f t="shared" si="122"/>
        <v>11638829.168655682</v>
      </c>
      <c r="AH97" s="409">
        <v>0.03</v>
      </c>
      <c r="AI97" s="409">
        <v>0.03</v>
      </c>
      <c r="AJ97" s="409">
        <v>0.03</v>
      </c>
      <c r="AK97" s="409">
        <v>0.03</v>
      </c>
      <c r="AL97" s="148">
        <v>400000</v>
      </c>
      <c r="AM97" s="907"/>
    </row>
    <row r="98" spans="1:39">
      <c r="A98" s="408" t="s">
        <v>106</v>
      </c>
      <c r="B98" s="408">
        <f>'No change with year'!$E$38</f>
        <v>960</v>
      </c>
      <c r="C98" s="323">
        <f>C87+'No change with year'!$E$41</f>
        <v>5050000</v>
      </c>
      <c r="D98" s="323">
        <f t="shared" si="118"/>
        <v>5201500</v>
      </c>
      <c r="E98" s="323">
        <f t="shared" si="118"/>
        <v>5357545</v>
      </c>
      <c r="F98" s="323">
        <f t="shared" si="118"/>
        <v>5518271.3500000006</v>
      </c>
      <c r="G98" s="323">
        <f t="shared" si="118"/>
        <v>5683819.4905000003</v>
      </c>
      <c r="H98" s="323">
        <f t="shared" si="119"/>
        <v>6254334.0752150007</v>
      </c>
      <c r="I98" s="323">
        <f t="shared" ref="I98:R98" si="133">H98*(1+$AI98)</f>
        <v>6441964.0974714505</v>
      </c>
      <c r="J98" s="323">
        <f t="shared" si="133"/>
        <v>6635223.0203955937</v>
      </c>
      <c r="K98" s="323">
        <f t="shared" si="133"/>
        <v>6834279.7110074619</v>
      </c>
      <c r="L98" s="323">
        <f t="shared" si="133"/>
        <v>7039308.1023376863</v>
      </c>
      <c r="M98" s="323">
        <f t="shared" si="133"/>
        <v>7250487.3454078175</v>
      </c>
      <c r="N98" s="323">
        <f t="shared" si="133"/>
        <v>7468001.9657700518</v>
      </c>
      <c r="O98" s="323">
        <f t="shared" si="133"/>
        <v>7692042.0247431537</v>
      </c>
      <c r="P98" s="323">
        <f t="shared" si="133"/>
        <v>7922803.2854854483</v>
      </c>
      <c r="Q98" s="323">
        <f t="shared" si="133"/>
        <v>8160487.3840500116</v>
      </c>
      <c r="R98" s="323">
        <f t="shared" si="133"/>
        <v>8405302.0055715125</v>
      </c>
      <c r="S98" s="323">
        <f t="shared" ref="S98:AB98" si="134">R98*(1+$AJ98)</f>
        <v>8657461.0657386575</v>
      </c>
      <c r="T98" s="323">
        <f t="shared" si="134"/>
        <v>8917184.8977108169</v>
      </c>
      <c r="U98" s="323">
        <f t="shared" si="134"/>
        <v>9184700.4446421415</v>
      </c>
      <c r="V98" s="323">
        <f t="shared" si="134"/>
        <v>9460241.4579814058</v>
      </c>
      <c r="W98" s="323">
        <f t="shared" si="134"/>
        <v>9744048.7017208487</v>
      </c>
      <c r="X98" s="323">
        <f t="shared" si="134"/>
        <v>10036370.162772475</v>
      </c>
      <c r="Y98" s="323">
        <f t="shared" si="134"/>
        <v>10337461.26765565</v>
      </c>
      <c r="Z98" s="323">
        <f t="shared" si="134"/>
        <v>10647585.10568532</v>
      </c>
      <c r="AA98" s="323">
        <f t="shared" si="134"/>
        <v>10967012.65885588</v>
      </c>
      <c r="AB98" s="323">
        <f t="shared" si="134"/>
        <v>11296023.038621556</v>
      </c>
      <c r="AC98" s="323">
        <f t="shared" si="122"/>
        <v>11634903.729780203</v>
      </c>
      <c r="AD98" s="323">
        <f t="shared" si="122"/>
        <v>11983950.841673609</v>
      </c>
      <c r="AE98" s="323">
        <f t="shared" si="122"/>
        <v>12343469.366923818</v>
      </c>
      <c r="AF98" s="323">
        <f t="shared" si="122"/>
        <v>12713773.447931534</v>
      </c>
      <c r="AG98" s="323">
        <f t="shared" si="122"/>
        <v>13095186.65136948</v>
      </c>
      <c r="AH98" s="409">
        <v>0.03</v>
      </c>
      <c r="AI98" s="409">
        <v>0.03</v>
      </c>
      <c r="AJ98" s="409">
        <v>0.03</v>
      </c>
      <c r="AK98" s="409">
        <v>0.03</v>
      </c>
      <c r="AL98" s="148">
        <v>400000</v>
      </c>
      <c r="AM98" s="907"/>
    </row>
    <row r="99" spans="1:39">
      <c r="A99" s="408" t="s">
        <v>107</v>
      </c>
      <c r="B99" s="408">
        <f>'No change with year'!$E$38</f>
        <v>960</v>
      </c>
      <c r="C99" s="323">
        <f>C88+'No change with year'!$E$41</f>
        <v>4550000</v>
      </c>
      <c r="D99" s="323">
        <f t="shared" si="118"/>
        <v>4686500</v>
      </c>
      <c r="E99" s="323">
        <f t="shared" si="118"/>
        <v>4827095</v>
      </c>
      <c r="F99" s="323">
        <f t="shared" si="118"/>
        <v>4971907.8500000006</v>
      </c>
      <c r="G99" s="323">
        <f t="shared" si="118"/>
        <v>5121065.085500001</v>
      </c>
      <c r="H99" s="323">
        <f t="shared" si="119"/>
        <v>5674697.0380650014</v>
      </c>
      <c r="I99" s="323">
        <f t="shared" ref="I99:R99" si="135">H99*(1+$AI99)</f>
        <v>5844937.949206952</v>
      </c>
      <c r="J99" s="323">
        <f t="shared" si="135"/>
        <v>6020286.0876831608</v>
      </c>
      <c r="K99" s="323">
        <f t="shared" si="135"/>
        <v>6200894.6703136554</v>
      </c>
      <c r="L99" s="323">
        <f t="shared" si="135"/>
        <v>6386921.5104230652</v>
      </c>
      <c r="M99" s="323">
        <f t="shared" si="135"/>
        <v>6578529.1557357572</v>
      </c>
      <c r="N99" s="323">
        <f t="shared" si="135"/>
        <v>6775885.0304078301</v>
      </c>
      <c r="O99" s="323">
        <f t="shared" si="135"/>
        <v>6979161.5813200651</v>
      </c>
      <c r="P99" s="323">
        <f t="shared" si="135"/>
        <v>7188536.4287596671</v>
      </c>
      <c r="Q99" s="323">
        <f t="shared" si="135"/>
        <v>7404192.5216224575</v>
      </c>
      <c r="R99" s="323">
        <f t="shared" si="135"/>
        <v>7626318.2972711315</v>
      </c>
      <c r="S99" s="323">
        <f t="shared" ref="S99:AB99" si="136">R99*(1+$AJ99)</f>
        <v>7855107.8461892661</v>
      </c>
      <c r="T99" s="323">
        <f t="shared" si="136"/>
        <v>8090761.0815749438</v>
      </c>
      <c r="U99" s="323">
        <f t="shared" si="136"/>
        <v>8333483.9140221924</v>
      </c>
      <c r="V99" s="323">
        <f t="shared" si="136"/>
        <v>8583488.4314428587</v>
      </c>
      <c r="W99" s="323">
        <f t="shared" si="136"/>
        <v>8840993.0843861438</v>
      </c>
      <c r="X99" s="323">
        <f t="shared" si="136"/>
        <v>9106222.8769177292</v>
      </c>
      <c r="Y99" s="323">
        <f t="shared" si="136"/>
        <v>9379409.5632252619</v>
      </c>
      <c r="Z99" s="323">
        <f t="shared" si="136"/>
        <v>9660791.8501220196</v>
      </c>
      <c r="AA99" s="323">
        <f t="shared" si="136"/>
        <v>9950615.6056256797</v>
      </c>
      <c r="AB99" s="323">
        <f t="shared" si="136"/>
        <v>10249134.073794451</v>
      </c>
      <c r="AC99" s="323">
        <f t="shared" si="122"/>
        <v>10556608.096008284</v>
      </c>
      <c r="AD99" s="323">
        <f t="shared" si="122"/>
        <v>10873306.338888533</v>
      </c>
      <c r="AE99" s="323">
        <f t="shared" si="122"/>
        <v>11199505.529055189</v>
      </c>
      <c r="AF99" s="323">
        <f t="shared" si="122"/>
        <v>11535490.694926845</v>
      </c>
      <c r="AG99" s="323">
        <f t="shared" si="122"/>
        <v>11881555.415774651</v>
      </c>
      <c r="AH99" s="409">
        <v>0.03</v>
      </c>
      <c r="AI99" s="409">
        <v>0.03</v>
      </c>
      <c r="AJ99" s="409">
        <v>0.03</v>
      </c>
      <c r="AK99" s="409">
        <v>0.03</v>
      </c>
      <c r="AL99" s="148">
        <v>400000</v>
      </c>
      <c r="AM99" s="907"/>
    </row>
    <row r="100" spans="1:39">
      <c r="A100" s="408" t="s">
        <v>108</v>
      </c>
      <c r="B100" s="408">
        <f>'No change with year'!$E$38</f>
        <v>960</v>
      </c>
      <c r="C100" s="323">
        <f>C89+'No change with year'!$E$41</f>
        <v>5250000</v>
      </c>
      <c r="D100" s="323">
        <f t="shared" si="118"/>
        <v>5407500</v>
      </c>
      <c r="E100" s="323">
        <f t="shared" si="118"/>
        <v>5569725</v>
      </c>
      <c r="F100" s="323">
        <f t="shared" si="118"/>
        <v>5736816.75</v>
      </c>
      <c r="G100" s="323">
        <f t="shared" si="118"/>
        <v>5908921.2525000004</v>
      </c>
      <c r="H100" s="323">
        <f t="shared" si="119"/>
        <v>6486188.8900750009</v>
      </c>
      <c r="I100" s="323">
        <f t="shared" ref="I100:R100" si="137">H100*(1+$AI100)</f>
        <v>6680774.556777251</v>
      </c>
      <c r="J100" s="323">
        <f t="shared" si="137"/>
        <v>6881197.7934805686</v>
      </c>
      <c r="K100" s="323">
        <f t="shared" si="137"/>
        <v>7087633.7272849856</v>
      </c>
      <c r="L100" s="323">
        <f t="shared" si="137"/>
        <v>7300262.7391035352</v>
      </c>
      <c r="M100" s="323">
        <f t="shared" si="137"/>
        <v>7519270.6212766413</v>
      </c>
      <c r="N100" s="323">
        <f t="shared" si="137"/>
        <v>7744848.7399149407</v>
      </c>
      <c r="O100" s="323">
        <f t="shared" si="137"/>
        <v>7977194.2021123888</v>
      </c>
      <c r="P100" s="323">
        <f t="shared" si="137"/>
        <v>8216510.028175761</v>
      </c>
      <c r="Q100" s="323">
        <f t="shared" si="137"/>
        <v>8463005.3290210348</v>
      </c>
      <c r="R100" s="323">
        <f t="shared" si="137"/>
        <v>8716895.4888916668</v>
      </c>
      <c r="S100" s="323">
        <f t="shared" ref="S100:AB100" si="138">R100*(1+$AJ100)</f>
        <v>8978402.3535584174</v>
      </c>
      <c r="T100" s="323">
        <f t="shared" si="138"/>
        <v>9247754.4241651706</v>
      </c>
      <c r="U100" s="323">
        <f t="shared" si="138"/>
        <v>9525187.0568901263</v>
      </c>
      <c r="V100" s="323">
        <f t="shared" si="138"/>
        <v>9810942.6685968302</v>
      </c>
      <c r="W100" s="323">
        <f t="shared" si="138"/>
        <v>10105270.948654735</v>
      </c>
      <c r="X100" s="323">
        <f t="shared" si="138"/>
        <v>10408429.077114377</v>
      </c>
      <c r="Y100" s="323">
        <f t="shared" si="138"/>
        <v>10720681.94942781</v>
      </c>
      <c r="Z100" s="323">
        <f t="shared" si="138"/>
        <v>11042302.407910645</v>
      </c>
      <c r="AA100" s="323">
        <f t="shared" si="138"/>
        <v>11373571.480147965</v>
      </c>
      <c r="AB100" s="323">
        <f t="shared" si="138"/>
        <v>11714778.624552405</v>
      </c>
      <c r="AC100" s="323">
        <f t="shared" si="122"/>
        <v>12066221.983288977</v>
      </c>
      <c r="AD100" s="323">
        <f t="shared" si="122"/>
        <v>12428208.642787647</v>
      </c>
      <c r="AE100" s="323">
        <f t="shared" si="122"/>
        <v>12801054.902071277</v>
      </c>
      <c r="AF100" s="323">
        <f t="shared" si="122"/>
        <v>13185086.549133414</v>
      </c>
      <c r="AG100" s="323">
        <f t="shared" si="122"/>
        <v>13580639.145607417</v>
      </c>
      <c r="AH100" s="409">
        <v>0.03</v>
      </c>
      <c r="AI100" s="409">
        <v>0.03</v>
      </c>
      <c r="AJ100" s="409">
        <v>0.03</v>
      </c>
      <c r="AK100" s="409">
        <v>0.03</v>
      </c>
      <c r="AL100" s="148">
        <v>400000</v>
      </c>
      <c r="AM100" s="907"/>
    </row>
    <row r="101" spans="1:39">
      <c r="A101" s="408"/>
      <c r="B101" s="408"/>
      <c r="C101" s="323"/>
      <c r="D101" s="323"/>
      <c r="E101" s="323"/>
      <c r="F101" s="323"/>
      <c r="G101" s="323"/>
      <c r="H101" s="323"/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3"/>
      <c r="T101" s="323"/>
      <c r="U101" s="323"/>
      <c r="V101" s="323"/>
      <c r="W101" s="323"/>
      <c r="X101" s="323"/>
      <c r="Y101" s="323"/>
      <c r="Z101" s="323"/>
      <c r="AA101" s="323"/>
      <c r="AB101" s="323"/>
      <c r="AC101" s="323"/>
      <c r="AD101" s="323"/>
      <c r="AE101" s="323"/>
      <c r="AF101" s="323"/>
      <c r="AG101" s="323"/>
      <c r="AH101" s="409"/>
      <c r="AI101" s="409"/>
      <c r="AJ101" s="409"/>
      <c r="AK101" s="409"/>
      <c r="AL101" s="148"/>
    </row>
    <row r="102" spans="1:39" s="1" customFormat="1">
      <c r="A102" s="525" t="s">
        <v>109</v>
      </c>
      <c r="B102" s="525" t="s">
        <v>99</v>
      </c>
      <c r="C102" s="399">
        <v>2025</v>
      </c>
      <c r="D102" s="399">
        <v>2026</v>
      </c>
      <c r="E102" s="399">
        <v>2027</v>
      </c>
      <c r="F102" s="399">
        <v>2028</v>
      </c>
      <c r="G102" s="399">
        <v>2029</v>
      </c>
      <c r="H102" s="399">
        <v>2030</v>
      </c>
      <c r="I102" s="399">
        <v>2031</v>
      </c>
      <c r="J102" s="399">
        <v>2032</v>
      </c>
      <c r="K102" s="399">
        <v>2033</v>
      </c>
      <c r="L102" s="399">
        <v>2034</v>
      </c>
      <c r="M102" s="399">
        <v>2035</v>
      </c>
      <c r="N102" s="399">
        <v>2036</v>
      </c>
      <c r="O102" s="399">
        <v>2037</v>
      </c>
      <c r="P102" s="399">
        <v>2038</v>
      </c>
      <c r="Q102" s="399">
        <v>2039</v>
      </c>
      <c r="R102" s="399">
        <v>2040</v>
      </c>
      <c r="S102" s="399">
        <v>2041</v>
      </c>
      <c r="T102" s="399">
        <v>2042</v>
      </c>
      <c r="U102" s="399">
        <v>2043</v>
      </c>
      <c r="V102" s="399">
        <v>2044</v>
      </c>
      <c r="W102" s="399">
        <v>2045</v>
      </c>
      <c r="X102" s="399">
        <v>2046</v>
      </c>
      <c r="Y102" s="399">
        <v>2047</v>
      </c>
      <c r="Z102" s="399">
        <v>2048</v>
      </c>
      <c r="AA102" s="399">
        <v>2049</v>
      </c>
      <c r="AB102" s="399">
        <v>2050</v>
      </c>
      <c r="AC102" s="399">
        <v>2051</v>
      </c>
      <c r="AD102" s="399">
        <v>2052</v>
      </c>
      <c r="AE102" s="399">
        <v>2053</v>
      </c>
      <c r="AF102" s="399">
        <v>2054</v>
      </c>
      <c r="AG102" s="399">
        <v>2055</v>
      </c>
      <c r="AH102" s="399"/>
      <c r="AI102" s="525"/>
      <c r="AJ102" s="525"/>
      <c r="AK102" s="525"/>
      <c r="AL102" s="525" t="s">
        <v>672</v>
      </c>
    </row>
    <row r="103" spans="1:39">
      <c r="A103" s="412" t="s">
        <v>110</v>
      </c>
      <c r="B103" s="440">
        <f>'No change with year'!$D$43</f>
        <v>450</v>
      </c>
      <c r="C103" s="331">
        <f t="shared" ref="C103:AG103" si="139">C21*$AL103+C$22</f>
        <v>580375</v>
      </c>
      <c r="D103" s="331">
        <f t="shared" si="139"/>
        <v>586178.75</v>
      </c>
      <c r="E103" s="331">
        <f t="shared" si="139"/>
        <v>592040.53749999998</v>
      </c>
      <c r="F103" s="331">
        <f t="shared" si="139"/>
        <v>597960.94287499995</v>
      </c>
      <c r="G103" s="331">
        <f t="shared" si="139"/>
        <v>603940.55230375007</v>
      </c>
      <c r="H103" s="331">
        <f t="shared" si="139"/>
        <v>609979.95782678749</v>
      </c>
      <c r="I103" s="331">
        <f t="shared" si="139"/>
        <v>616079.75740505545</v>
      </c>
      <c r="J103" s="331">
        <f t="shared" si="139"/>
        <v>622240.55497910595</v>
      </c>
      <c r="K103" s="331">
        <f t="shared" si="139"/>
        <v>628462.96052889701</v>
      </c>
      <c r="L103" s="331">
        <f t="shared" si="139"/>
        <v>634747.59013418609</v>
      </c>
      <c r="M103" s="331">
        <f t="shared" si="139"/>
        <v>641095.06603552785</v>
      </c>
      <c r="N103" s="331">
        <f t="shared" si="139"/>
        <v>647506.01669588313</v>
      </c>
      <c r="O103" s="331">
        <f t="shared" si="139"/>
        <v>653981.07686284196</v>
      </c>
      <c r="P103" s="331">
        <f t="shared" si="139"/>
        <v>660520.88763147045</v>
      </c>
      <c r="Q103" s="331">
        <f t="shared" si="139"/>
        <v>667126.09650778514</v>
      </c>
      <c r="R103" s="331">
        <f t="shared" si="139"/>
        <v>673797.35747286305</v>
      </c>
      <c r="S103" s="331">
        <f t="shared" si="139"/>
        <v>680535.33104759175</v>
      </c>
      <c r="T103" s="331">
        <f t="shared" si="139"/>
        <v>687340.68435806758</v>
      </c>
      <c r="U103" s="331">
        <f t="shared" si="139"/>
        <v>694214.09120164823</v>
      </c>
      <c r="V103" s="331">
        <f t="shared" si="139"/>
        <v>701156.23211366474</v>
      </c>
      <c r="W103" s="331">
        <f t="shared" si="139"/>
        <v>708167.79443480144</v>
      </c>
      <c r="X103" s="331">
        <f t="shared" si="139"/>
        <v>715249.47237914929</v>
      </c>
      <c r="Y103" s="331">
        <f t="shared" si="139"/>
        <v>722401.96710294089</v>
      </c>
      <c r="Z103" s="331">
        <f t="shared" si="139"/>
        <v>729625.98677397019</v>
      </c>
      <c r="AA103" s="331">
        <f t="shared" si="139"/>
        <v>736922.24664170993</v>
      </c>
      <c r="AB103" s="331">
        <f t="shared" si="139"/>
        <v>744291.46910812706</v>
      </c>
      <c r="AC103" s="331">
        <f t="shared" si="139"/>
        <v>751734.38379920833</v>
      </c>
      <c r="AD103" s="331">
        <f t="shared" si="139"/>
        <v>759251.72763720038</v>
      </c>
      <c r="AE103" s="331">
        <f t="shared" si="139"/>
        <v>766844.24491357245</v>
      </c>
      <c r="AF103" s="331">
        <f t="shared" si="139"/>
        <v>774512.68736270815</v>
      </c>
      <c r="AG103" s="331">
        <f t="shared" si="139"/>
        <v>782257.81423633522</v>
      </c>
      <c r="AH103" s="409"/>
      <c r="AI103" s="409"/>
      <c r="AJ103" s="409"/>
      <c r="AK103" s="409"/>
      <c r="AL103" s="413">
        <f>'No change with year'!D45</f>
        <v>157.5</v>
      </c>
      <c r="AM103" s="908" t="s">
        <v>111</v>
      </c>
    </row>
    <row r="104" spans="1:39">
      <c r="A104" s="412" t="s">
        <v>112</v>
      </c>
      <c r="B104" s="408">
        <f>'No change with year'!$E$43</f>
        <v>990</v>
      </c>
      <c r="C104" s="331">
        <f t="shared" ref="C104:AG104" si="140">C21*$AL104+C$22</f>
        <v>1156825</v>
      </c>
      <c r="D104" s="331">
        <f t="shared" si="140"/>
        <v>1168393.25</v>
      </c>
      <c r="E104" s="331">
        <f t="shared" si="140"/>
        <v>1180077.1824999999</v>
      </c>
      <c r="F104" s="331">
        <f t="shared" si="140"/>
        <v>1191877.9543250001</v>
      </c>
      <c r="G104" s="331">
        <f t="shared" si="140"/>
        <v>1203796.7338682499</v>
      </c>
      <c r="H104" s="331">
        <f t="shared" si="140"/>
        <v>1215834.7012069323</v>
      </c>
      <c r="I104" s="331">
        <f t="shared" si="140"/>
        <v>1227993.0482190019</v>
      </c>
      <c r="J104" s="331">
        <f t="shared" si="140"/>
        <v>1240272.9787011917</v>
      </c>
      <c r="K104" s="331">
        <f t="shared" si="140"/>
        <v>1252675.7084882036</v>
      </c>
      <c r="L104" s="331">
        <f t="shared" si="140"/>
        <v>1265202.4655730859</v>
      </c>
      <c r="M104" s="331">
        <f t="shared" si="140"/>
        <v>1277854.4902288169</v>
      </c>
      <c r="N104" s="331">
        <f t="shared" si="140"/>
        <v>1290633.035131105</v>
      </c>
      <c r="O104" s="331">
        <f t="shared" si="140"/>
        <v>1303539.3654824162</v>
      </c>
      <c r="P104" s="331">
        <f t="shared" si="140"/>
        <v>1316574.7591372405</v>
      </c>
      <c r="Q104" s="331">
        <f t="shared" si="140"/>
        <v>1329740.5067286126</v>
      </c>
      <c r="R104" s="331">
        <f t="shared" si="140"/>
        <v>1343037.9117958988</v>
      </c>
      <c r="S104" s="331">
        <f t="shared" si="140"/>
        <v>1356468.290913858</v>
      </c>
      <c r="T104" s="331">
        <f t="shared" si="140"/>
        <v>1370032.9738229965</v>
      </c>
      <c r="U104" s="331">
        <f t="shared" si="140"/>
        <v>1383733.3035612262</v>
      </c>
      <c r="V104" s="331">
        <f t="shared" si="140"/>
        <v>1397570.6365968385</v>
      </c>
      <c r="W104" s="331">
        <f t="shared" si="140"/>
        <v>1411546.3429628068</v>
      </c>
      <c r="X104" s="331">
        <f t="shared" si="140"/>
        <v>1425661.806392435</v>
      </c>
      <c r="Y104" s="331">
        <f t="shared" si="140"/>
        <v>1439918.4244563594</v>
      </c>
      <c r="Z104" s="331">
        <f t="shared" si="140"/>
        <v>1454317.6087009229</v>
      </c>
      <c r="AA104" s="331">
        <f t="shared" si="140"/>
        <v>1468860.7847879322</v>
      </c>
      <c r="AB104" s="331">
        <f t="shared" si="140"/>
        <v>1483549.3926358116</v>
      </c>
      <c r="AC104" s="331">
        <f t="shared" si="140"/>
        <v>1498384.8865621698</v>
      </c>
      <c r="AD104" s="331">
        <f t="shared" si="140"/>
        <v>1513368.7354277913</v>
      </c>
      <c r="AE104" s="331">
        <f t="shared" si="140"/>
        <v>1528502.4227820693</v>
      </c>
      <c r="AF104" s="331">
        <f t="shared" si="140"/>
        <v>1543787.4470098899</v>
      </c>
      <c r="AG104" s="331">
        <f t="shared" si="140"/>
        <v>1559225.3214799888</v>
      </c>
      <c r="AH104" s="409"/>
      <c r="AI104" s="409"/>
      <c r="AJ104" s="409"/>
      <c r="AK104" s="409"/>
      <c r="AL104" s="413">
        <f>'No change with year'!E45</f>
        <v>346.5</v>
      </c>
      <c r="AM104" s="909"/>
    </row>
    <row r="105" spans="1:39" ht="15.75" customHeight="1">
      <c r="A105" s="408" t="s">
        <v>113</v>
      </c>
      <c r="B105" s="440">
        <f>'No change with year'!$D$43</f>
        <v>450</v>
      </c>
      <c r="C105" s="323">
        <f t="shared" ref="C105:AG105" si="141">C81+C$103</f>
        <v>2580375</v>
      </c>
      <c r="D105" s="323">
        <f t="shared" si="141"/>
        <v>2646178.75</v>
      </c>
      <c r="E105" s="323">
        <f t="shared" si="141"/>
        <v>2713840.5375000001</v>
      </c>
      <c r="F105" s="323">
        <f t="shared" si="141"/>
        <v>2783460.9428749997</v>
      </c>
      <c r="G105" s="323">
        <f t="shared" si="141"/>
        <v>2855040.5523037501</v>
      </c>
      <c r="H105" s="323">
        <f t="shared" si="141"/>
        <v>3328579.9578267876</v>
      </c>
      <c r="I105" s="323">
        <f t="shared" si="141"/>
        <v>3416279.7574050557</v>
      </c>
      <c r="J105" s="323">
        <f t="shared" si="141"/>
        <v>3506440.5549791059</v>
      </c>
      <c r="K105" s="323">
        <f t="shared" si="141"/>
        <v>3599162.9605288971</v>
      </c>
      <c r="L105" s="323">
        <f t="shared" si="141"/>
        <v>3694547.5901341862</v>
      </c>
      <c r="M105" s="323">
        <f t="shared" si="141"/>
        <v>3792695.0660355277</v>
      </c>
      <c r="N105" s="323">
        <f t="shared" si="141"/>
        <v>3893606.0166958831</v>
      </c>
      <c r="O105" s="323">
        <f t="shared" si="141"/>
        <v>3997481.0768628418</v>
      </c>
      <c r="P105" s="323">
        <f t="shared" si="141"/>
        <v>4104320.8876314703</v>
      </c>
      <c r="Q105" s="323">
        <f t="shared" si="141"/>
        <v>4214226.0965077849</v>
      </c>
      <c r="R105" s="323">
        <f t="shared" si="141"/>
        <v>4327297.357472863</v>
      </c>
      <c r="S105" s="323">
        <f t="shared" si="141"/>
        <v>4443635.3310475918</v>
      </c>
      <c r="T105" s="323">
        <f t="shared" si="141"/>
        <v>4563340.6843580678</v>
      </c>
      <c r="U105" s="323">
        <f t="shared" si="141"/>
        <v>4686514.0912016481</v>
      </c>
      <c r="V105" s="323">
        <f t="shared" si="141"/>
        <v>4813256.232113665</v>
      </c>
      <c r="W105" s="323">
        <f t="shared" si="141"/>
        <v>4943667.7944348017</v>
      </c>
      <c r="X105" s="323">
        <f t="shared" si="141"/>
        <v>5077849.4723791489</v>
      </c>
      <c r="Y105" s="323">
        <f t="shared" si="141"/>
        <v>5215901.9671029411</v>
      </c>
      <c r="Z105" s="323">
        <f t="shared" si="141"/>
        <v>5357925.9867739705</v>
      </c>
      <c r="AA105" s="323">
        <f t="shared" si="141"/>
        <v>5504022.2466417104</v>
      </c>
      <c r="AB105" s="323">
        <f t="shared" si="141"/>
        <v>5654391.4691081271</v>
      </c>
      <c r="AC105" s="323">
        <f t="shared" si="141"/>
        <v>5809134.3837992083</v>
      </c>
      <c r="AD105" s="323">
        <f t="shared" si="141"/>
        <v>5968351.7276372006</v>
      </c>
      <c r="AE105" s="323">
        <f t="shared" si="141"/>
        <v>6132244.2449135724</v>
      </c>
      <c r="AF105" s="323">
        <f t="shared" si="141"/>
        <v>6300912.6873627082</v>
      </c>
      <c r="AG105" s="323">
        <f t="shared" si="141"/>
        <v>6474457.8142363355</v>
      </c>
      <c r="AH105" s="409"/>
      <c r="AI105" s="409"/>
      <c r="AJ105" s="409"/>
      <c r="AK105" s="409"/>
      <c r="AL105" s="148">
        <v>400000</v>
      </c>
      <c r="AM105" s="907" t="s">
        <v>670</v>
      </c>
    </row>
    <row r="106" spans="1:39">
      <c r="A106" s="408" t="s">
        <v>114</v>
      </c>
      <c r="B106" s="440">
        <f>'No change with year'!$D$43</f>
        <v>450</v>
      </c>
      <c r="C106" s="323">
        <f t="shared" ref="C106:AG106" si="142">C82+C$103</f>
        <v>3330375</v>
      </c>
      <c r="D106" s="323">
        <f t="shared" si="142"/>
        <v>3418678.75</v>
      </c>
      <c r="E106" s="323">
        <f t="shared" si="142"/>
        <v>3509540.5375000001</v>
      </c>
      <c r="F106" s="323">
        <f t="shared" si="142"/>
        <v>3602960.9428749997</v>
      </c>
      <c r="G106" s="323">
        <f t="shared" si="142"/>
        <v>3699140.5523037501</v>
      </c>
      <c r="H106" s="323">
        <f t="shared" si="142"/>
        <v>4198079.9578267876</v>
      </c>
      <c r="I106" s="323">
        <f t="shared" si="142"/>
        <v>4311779.7574050557</v>
      </c>
      <c r="J106" s="323">
        <f t="shared" si="142"/>
        <v>4428840.5549791064</v>
      </c>
      <c r="K106" s="323">
        <f t="shared" si="142"/>
        <v>4549262.9605288971</v>
      </c>
      <c r="L106" s="323">
        <f t="shared" si="142"/>
        <v>4673147.5901341857</v>
      </c>
      <c r="M106" s="323">
        <f t="shared" si="142"/>
        <v>4800695.0660355277</v>
      </c>
      <c r="N106" s="323">
        <f t="shared" si="142"/>
        <v>4931906.0166958831</v>
      </c>
      <c r="O106" s="323">
        <f t="shared" si="142"/>
        <v>5066881.0768628418</v>
      </c>
      <c r="P106" s="323">
        <f t="shared" si="142"/>
        <v>5205820.8876314703</v>
      </c>
      <c r="Q106" s="323">
        <f t="shared" si="142"/>
        <v>5348826.0965077849</v>
      </c>
      <c r="R106" s="323">
        <f t="shared" si="142"/>
        <v>5495997.357472863</v>
      </c>
      <c r="S106" s="323">
        <f t="shared" si="142"/>
        <v>5647435.3310475918</v>
      </c>
      <c r="T106" s="323">
        <f t="shared" si="142"/>
        <v>5803240.6843580678</v>
      </c>
      <c r="U106" s="323">
        <f t="shared" si="142"/>
        <v>5963614.0912016481</v>
      </c>
      <c r="V106" s="323">
        <f t="shared" si="142"/>
        <v>6128656.232113665</v>
      </c>
      <c r="W106" s="323">
        <f t="shared" si="142"/>
        <v>6298467.7944348017</v>
      </c>
      <c r="X106" s="323">
        <f t="shared" si="142"/>
        <v>6473249.4723791489</v>
      </c>
      <c r="Y106" s="323">
        <f t="shared" si="142"/>
        <v>6653101.9671029411</v>
      </c>
      <c r="Z106" s="323">
        <f t="shared" si="142"/>
        <v>6838225.9867739705</v>
      </c>
      <c r="AA106" s="323">
        <f t="shared" si="142"/>
        <v>7028822.2466417104</v>
      </c>
      <c r="AB106" s="323">
        <f t="shared" si="142"/>
        <v>7224991.4691081271</v>
      </c>
      <c r="AC106" s="323">
        <f t="shared" si="142"/>
        <v>7426834.3837992083</v>
      </c>
      <c r="AD106" s="323">
        <f t="shared" si="142"/>
        <v>7634651.7276372006</v>
      </c>
      <c r="AE106" s="323">
        <f t="shared" si="142"/>
        <v>7848544.2449135724</v>
      </c>
      <c r="AF106" s="323">
        <f t="shared" si="142"/>
        <v>8068712.6873627082</v>
      </c>
      <c r="AG106" s="323">
        <f t="shared" si="142"/>
        <v>8295257.8142363355</v>
      </c>
      <c r="AH106" s="409"/>
      <c r="AI106" s="409"/>
      <c r="AJ106" s="409"/>
      <c r="AK106" s="409"/>
      <c r="AL106" s="148">
        <v>400000</v>
      </c>
      <c r="AM106" s="907"/>
    </row>
    <row r="107" spans="1:39">
      <c r="A107" s="408" t="s">
        <v>115</v>
      </c>
      <c r="B107" s="440">
        <f>'No change with year'!$D$43</f>
        <v>450</v>
      </c>
      <c r="C107" s="323">
        <f t="shared" ref="C107:AG107" si="143">C83+C$103</f>
        <v>4180375</v>
      </c>
      <c r="D107" s="323">
        <f t="shared" si="143"/>
        <v>4294178.75</v>
      </c>
      <c r="E107" s="323">
        <f t="shared" si="143"/>
        <v>4411240.5374999996</v>
      </c>
      <c r="F107" s="323">
        <f t="shared" si="143"/>
        <v>4531760.9428749997</v>
      </c>
      <c r="G107" s="323">
        <f t="shared" si="143"/>
        <v>4655740.5523037501</v>
      </c>
      <c r="H107" s="323">
        <f t="shared" si="143"/>
        <v>5183379.9578267876</v>
      </c>
      <c r="I107" s="323">
        <f t="shared" si="143"/>
        <v>5326679.7574050557</v>
      </c>
      <c r="J107" s="323">
        <f t="shared" si="143"/>
        <v>5474140.5549791064</v>
      </c>
      <c r="K107" s="323">
        <f t="shared" si="143"/>
        <v>5625962.9605288971</v>
      </c>
      <c r="L107" s="323">
        <f t="shared" si="143"/>
        <v>5782147.5901341857</v>
      </c>
      <c r="M107" s="323">
        <f t="shared" si="143"/>
        <v>5942895.0660355277</v>
      </c>
      <c r="N107" s="323">
        <f t="shared" si="143"/>
        <v>6108406.0166958831</v>
      </c>
      <c r="O107" s="323">
        <f t="shared" si="143"/>
        <v>6278681.0768628418</v>
      </c>
      <c r="P107" s="323">
        <f t="shared" si="143"/>
        <v>6453920.8876314703</v>
      </c>
      <c r="Q107" s="323">
        <f t="shared" si="143"/>
        <v>6634326.0965077849</v>
      </c>
      <c r="R107" s="323">
        <f t="shared" si="143"/>
        <v>6819997.357472863</v>
      </c>
      <c r="S107" s="323">
        <f t="shared" si="143"/>
        <v>7011135.3310475918</v>
      </c>
      <c r="T107" s="323">
        <f t="shared" si="143"/>
        <v>7207840.6843580678</v>
      </c>
      <c r="U107" s="323">
        <f t="shared" si="143"/>
        <v>7410314.0912016481</v>
      </c>
      <c r="V107" s="323">
        <f t="shared" si="143"/>
        <v>7618756.232113665</v>
      </c>
      <c r="W107" s="323">
        <f t="shared" si="143"/>
        <v>7833267.7944348017</v>
      </c>
      <c r="X107" s="323">
        <f t="shared" si="143"/>
        <v>8054149.4723791489</v>
      </c>
      <c r="Y107" s="323">
        <f t="shared" si="143"/>
        <v>8281501.9671029411</v>
      </c>
      <c r="Z107" s="323">
        <f t="shared" si="143"/>
        <v>8515525.9867739696</v>
      </c>
      <c r="AA107" s="323">
        <f t="shared" si="143"/>
        <v>8756422.2466417104</v>
      </c>
      <c r="AB107" s="323">
        <f t="shared" si="143"/>
        <v>9004391.4691081271</v>
      </c>
      <c r="AC107" s="323">
        <f t="shared" si="143"/>
        <v>9259634.3837992083</v>
      </c>
      <c r="AD107" s="323">
        <f t="shared" si="143"/>
        <v>9522351.7276371997</v>
      </c>
      <c r="AE107" s="323">
        <f t="shared" si="143"/>
        <v>9792844.2449135724</v>
      </c>
      <c r="AF107" s="323">
        <f t="shared" si="143"/>
        <v>10071312.687362708</v>
      </c>
      <c r="AG107" s="323">
        <f t="shared" si="143"/>
        <v>10357957.814236335</v>
      </c>
      <c r="AH107" s="409"/>
      <c r="AI107" s="409"/>
      <c r="AJ107" s="409"/>
      <c r="AK107" s="409"/>
      <c r="AL107" s="148">
        <v>400000</v>
      </c>
      <c r="AM107" s="907"/>
    </row>
    <row r="108" spans="1:39">
      <c r="A108" s="408" t="s">
        <v>116</v>
      </c>
      <c r="B108" s="440">
        <f>'No change with year'!$D$43</f>
        <v>450</v>
      </c>
      <c r="C108" s="323">
        <f t="shared" ref="C108:AG108" si="144">C84+C$103</f>
        <v>4580375</v>
      </c>
      <c r="D108" s="323">
        <f t="shared" si="144"/>
        <v>4706178.75</v>
      </c>
      <c r="E108" s="323">
        <f t="shared" si="144"/>
        <v>4835640.5374999996</v>
      </c>
      <c r="F108" s="323">
        <f t="shared" si="144"/>
        <v>4968860.9428749997</v>
      </c>
      <c r="G108" s="323">
        <f t="shared" si="144"/>
        <v>5105940.5523037501</v>
      </c>
      <c r="H108" s="323">
        <f t="shared" si="144"/>
        <v>5647079.9578267876</v>
      </c>
      <c r="I108" s="323">
        <f t="shared" si="144"/>
        <v>5804279.7574050557</v>
      </c>
      <c r="J108" s="323">
        <f t="shared" si="144"/>
        <v>5966040.5549791064</v>
      </c>
      <c r="K108" s="323">
        <f t="shared" si="144"/>
        <v>6132562.9605288971</v>
      </c>
      <c r="L108" s="323">
        <f t="shared" si="144"/>
        <v>6303947.5901341857</v>
      </c>
      <c r="M108" s="323">
        <f t="shared" si="144"/>
        <v>6480395.0660355277</v>
      </c>
      <c r="N108" s="323">
        <f t="shared" si="144"/>
        <v>6662006.0166958831</v>
      </c>
      <c r="O108" s="323">
        <f t="shared" si="144"/>
        <v>6848881.0768628418</v>
      </c>
      <c r="P108" s="323">
        <f t="shared" si="144"/>
        <v>7041220.8876314703</v>
      </c>
      <c r="Q108" s="323">
        <f t="shared" si="144"/>
        <v>7239226.0965077849</v>
      </c>
      <c r="R108" s="323">
        <f t="shared" si="144"/>
        <v>7443097.357472863</v>
      </c>
      <c r="S108" s="323">
        <f t="shared" si="144"/>
        <v>7652935.3310475918</v>
      </c>
      <c r="T108" s="323">
        <f t="shared" si="144"/>
        <v>7868940.6843580678</v>
      </c>
      <c r="U108" s="323">
        <f t="shared" si="144"/>
        <v>8091214.0912016481</v>
      </c>
      <c r="V108" s="323">
        <f t="shared" si="144"/>
        <v>8320056.232113665</v>
      </c>
      <c r="W108" s="323">
        <f t="shared" si="144"/>
        <v>8555667.7944348007</v>
      </c>
      <c r="X108" s="323">
        <f t="shared" si="144"/>
        <v>8798149.4723791499</v>
      </c>
      <c r="Y108" s="323">
        <f t="shared" si="144"/>
        <v>9047801.9671029411</v>
      </c>
      <c r="Z108" s="323">
        <f t="shared" si="144"/>
        <v>9304825.9867739696</v>
      </c>
      <c r="AA108" s="323">
        <f t="shared" si="144"/>
        <v>9569422.2466417104</v>
      </c>
      <c r="AB108" s="323">
        <f t="shared" si="144"/>
        <v>9841791.4691081271</v>
      </c>
      <c r="AC108" s="323">
        <f t="shared" si="144"/>
        <v>10122134.383799208</v>
      </c>
      <c r="AD108" s="323">
        <f t="shared" si="144"/>
        <v>10410751.7276372</v>
      </c>
      <c r="AE108" s="323">
        <f t="shared" si="144"/>
        <v>10707844.244913572</v>
      </c>
      <c r="AF108" s="323">
        <f t="shared" si="144"/>
        <v>11013712.687362708</v>
      </c>
      <c r="AG108" s="323">
        <f t="shared" si="144"/>
        <v>11328657.814236335</v>
      </c>
      <c r="AH108" s="409"/>
      <c r="AI108" s="409"/>
      <c r="AJ108" s="409"/>
      <c r="AK108" s="409"/>
      <c r="AL108" s="148">
        <v>400000</v>
      </c>
      <c r="AM108" s="907"/>
    </row>
    <row r="109" spans="1:39">
      <c r="A109" s="408" t="s">
        <v>117</v>
      </c>
      <c r="B109" s="440">
        <f>'No change with year'!$D$43</f>
        <v>450</v>
      </c>
      <c r="C109" s="323">
        <f t="shared" ref="C109:AG109" si="145">C85+C$103</f>
        <v>5280375</v>
      </c>
      <c r="D109" s="323">
        <f t="shared" si="145"/>
        <v>5427178.75</v>
      </c>
      <c r="E109" s="323">
        <f t="shared" si="145"/>
        <v>5578240.5374999996</v>
      </c>
      <c r="F109" s="323">
        <f t="shared" si="145"/>
        <v>5733760.9428749997</v>
      </c>
      <c r="G109" s="323">
        <f t="shared" si="145"/>
        <v>5893840.5523037501</v>
      </c>
      <c r="H109" s="323">
        <f t="shared" si="145"/>
        <v>6458579.9578267876</v>
      </c>
      <c r="I109" s="323">
        <f t="shared" si="145"/>
        <v>6640179.7574050557</v>
      </c>
      <c r="J109" s="323">
        <f t="shared" si="145"/>
        <v>6827040.5549791064</v>
      </c>
      <c r="K109" s="323">
        <f t="shared" si="145"/>
        <v>7019362.9605288971</v>
      </c>
      <c r="L109" s="323">
        <f t="shared" si="145"/>
        <v>7217347.5901341857</v>
      </c>
      <c r="M109" s="323">
        <f t="shared" si="145"/>
        <v>7421195.0660355277</v>
      </c>
      <c r="N109" s="323">
        <f t="shared" si="145"/>
        <v>7631006.0166958831</v>
      </c>
      <c r="O109" s="323">
        <f t="shared" si="145"/>
        <v>7846981.0768628418</v>
      </c>
      <c r="P109" s="323">
        <f t="shared" si="145"/>
        <v>8069320.8876314703</v>
      </c>
      <c r="Q109" s="323">
        <f t="shared" si="145"/>
        <v>8298226.0965077849</v>
      </c>
      <c r="R109" s="323">
        <f t="shared" si="145"/>
        <v>8533797.357472863</v>
      </c>
      <c r="S109" s="323">
        <f t="shared" si="145"/>
        <v>8776335.3310475908</v>
      </c>
      <c r="T109" s="323">
        <f t="shared" si="145"/>
        <v>9026040.6843580678</v>
      </c>
      <c r="U109" s="323">
        <f t="shared" si="145"/>
        <v>9283114.0912016481</v>
      </c>
      <c r="V109" s="323">
        <f t="shared" si="145"/>
        <v>9547756.232113665</v>
      </c>
      <c r="W109" s="323">
        <f t="shared" si="145"/>
        <v>9820167.7944348007</v>
      </c>
      <c r="X109" s="323">
        <f t="shared" si="145"/>
        <v>10100649.47237915</v>
      </c>
      <c r="Y109" s="323">
        <f t="shared" si="145"/>
        <v>10389401.967102941</v>
      </c>
      <c r="Z109" s="323">
        <f t="shared" si="145"/>
        <v>10686625.98677397</v>
      </c>
      <c r="AA109" s="323">
        <f t="shared" si="145"/>
        <v>10992622.24664171</v>
      </c>
      <c r="AB109" s="323">
        <f t="shared" si="145"/>
        <v>11307691.469108127</v>
      </c>
      <c r="AC109" s="323">
        <f t="shared" si="145"/>
        <v>11632034.383799208</v>
      </c>
      <c r="AD109" s="323">
        <f t="shared" si="145"/>
        <v>11965951.7276372</v>
      </c>
      <c r="AE109" s="323">
        <f t="shared" si="145"/>
        <v>12309744.244913572</v>
      </c>
      <c r="AF109" s="323">
        <f t="shared" si="145"/>
        <v>12663712.687362708</v>
      </c>
      <c r="AG109" s="323">
        <f t="shared" si="145"/>
        <v>13028157.814236335</v>
      </c>
      <c r="AH109" s="409"/>
      <c r="AI109" s="409"/>
      <c r="AJ109" s="409"/>
      <c r="AK109" s="409"/>
      <c r="AL109" s="148">
        <v>400000</v>
      </c>
      <c r="AM109" s="907"/>
    </row>
    <row r="110" spans="1:39">
      <c r="A110" s="408" t="s">
        <v>118</v>
      </c>
      <c r="B110" s="440">
        <f>'No change with year'!$D$43</f>
        <v>450</v>
      </c>
      <c r="C110" s="323">
        <f t="shared" ref="C110:AG110" si="146">C86+C$103</f>
        <v>4780375</v>
      </c>
      <c r="D110" s="323">
        <f t="shared" si="146"/>
        <v>4912178.75</v>
      </c>
      <c r="E110" s="323">
        <f t="shared" si="146"/>
        <v>5047840.5374999996</v>
      </c>
      <c r="F110" s="323">
        <f t="shared" si="146"/>
        <v>5187460.9428749997</v>
      </c>
      <c r="G110" s="323">
        <f t="shared" si="146"/>
        <v>5331140.5523037501</v>
      </c>
      <c r="H110" s="323">
        <f t="shared" si="146"/>
        <v>5878979.9578267876</v>
      </c>
      <c r="I110" s="323">
        <f t="shared" si="146"/>
        <v>6043179.7574050557</v>
      </c>
      <c r="J110" s="323">
        <f t="shared" si="146"/>
        <v>6212140.5549791064</v>
      </c>
      <c r="K110" s="323">
        <f t="shared" si="146"/>
        <v>6386062.9605288971</v>
      </c>
      <c r="L110" s="323">
        <f t="shared" si="146"/>
        <v>6565047.5901341857</v>
      </c>
      <c r="M110" s="323">
        <f t="shared" si="146"/>
        <v>6749295.0660355277</v>
      </c>
      <c r="N110" s="323">
        <f t="shared" si="146"/>
        <v>6938906.0166958831</v>
      </c>
      <c r="O110" s="323">
        <f t="shared" si="146"/>
        <v>7134081.0768628418</v>
      </c>
      <c r="P110" s="323">
        <f t="shared" si="146"/>
        <v>7335020.8876314703</v>
      </c>
      <c r="Q110" s="323">
        <f t="shared" si="146"/>
        <v>7541826.0965077849</v>
      </c>
      <c r="R110" s="323">
        <f t="shared" si="146"/>
        <v>7754697.357472863</v>
      </c>
      <c r="S110" s="323">
        <f t="shared" si="146"/>
        <v>7973835.3310475918</v>
      </c>
      <c r="T110" s="323">
        <f t="shared" si="146"/>
        <v>8199440.6843580678</v>
      </c>
      <c r="U110" s="323">
        <f t="shared" si="146"/>
        <v>8431714.0912016481</v>
      </c>
      <c r="V110" s="323">
        <f t="shared" si="146"/>
        <v>8670756.232113665</v>
      </c>
      <c r="W110" s="323">
        <f t="shared" si="146"/>
        <v>8916867.7944348007</v>
      </c>
      <c r="X110" s="323">
        <f t="shared" si="146"/>
        <v>9170249.4723791499</v>
      </c>
      <c r="Y110" s="323">
        <f t="shared" si="146"/>
        <v>9431101.9671029411</v>
      </c>
      <c r="Z110" s="323">
        <f t="shared" si="146"/>
        <v>9699625.9867739696</v>
      </c>
      <c r="AA110" s="323">
        <f t="shared" si="146"/>
        <v>9976022.2466417104</v>
      </c>
      <c r="AB110" s="323">
        <f t="shared" si="146"/>
        <v>10260591.469108127</v>
      </c>
      <c r="AC110" s="323">
        <f t="shared" si="146"/>
        <v>10553534.383799208</v>
      </c>
      <c r="AD110" s="323">
        <f t="shared" si="146"/>
        <v>10855151.7276372</v>
      </c>
      <c r="AE110" s="323">
        <f t="shared" si="146"/>
        <v>11165644.244913572</v>
      </c>
      <c r="AF110" s="323">
        <f t="shared" si="146"/>
        <v>11485312.687362708</v>
      </c>
      <c r="AG110" s="323">
        <f t="shared" si="146"/>
        <v>11814357.814236335</v>
      </c>
      <c r="AH110" s="409"/>
      <c r="AI110" s="409"/>
      <c r="AJ110" s="409"/>
      <c r="AK110" s="409"/>
      <c r="AL110" s="148">
        <v>400000</v>
      </c>
      <c r="AM110" s="907"/>
    </row>
    <row r="111" spans="1:39">
      <c r="A111" s="408" t="s">
        <v>119</v>
      </c>
      <c r="B111" s="440">
        <f>'No change with year'!$D$43</f>
        <v>450</v>
      </c>
      <c r="C111" s="323">
        <f t="shared" ref="C111:AG111" si="147">C87+C$103</f>
        <v>5380375</v>
      </c>
      <c r="D111" s="323">
        <f t="shared" si="147"/>
        <v>5530178.75</v>
      </c>
      <c r="E111" s="323">
        <f t="shared" si="147"/>
        <v>5684340.5374999996</v>
      </c>
      <c r="F111" s="323">
        <f t="shared" si="147"/>
        <v>5843060.9428749997</v>
      </c>
      <c r="G111" s="323">
        <f t="shared" si="147"/>
        <v>6006440.5523037501</v>
      </c>
      <c r="H111" s="323">
        <f t="shared" si="147"/>
        <v>6574579.9578267876</v>
      </c>
      <c r="I111" s="323">
        <f t="shared" si="147"/>
        <v>6759579.7574050557</v>
      </c>
      <c r="J111" s="323">
        <f t="shared" si="147"/>
        <v>6950040.5549791064</v>
      </c>
      <c r="K111" s="323">
        <f t="shared" si="147"/>
        <v>7146062.9605288971</v>
      </c>
      <c r="L111" s="323">
        <f t="shared" si="147"/>
        <v>7347847.5901341857</v>
      </c>
      <c r="M111" s="323">
        <f t="shared" si="147"/>
        <v>7555595.0660355277</v>
      </c>
      <c r="N111" s="323">
        <f t="shared" si="147"/>
        <v>7769406.0166958831</v>
      </c>
      <c r="O111" s="323">
        <f t="shared" si="147"/>
        <v>7989581.0768628418</v>
      </c>
      <c r="P111" s="323">
        <f t="shared" si="147"/>
        <v>8216220.8876314703</v>
      </c>
      <c r="Q111" s="323">
        <f t="shared" si="147"/>
        <v>8449526.0965077858</v>
      </c>
      <c r="R111" s="323">
        <f t="shared" si="147"/>
        <v>8689697.357472863</v>
      </c>
      <c r="S111" s="323">
        <f t="shared" si="147"/>
        <v>8936935.3310475908</v>
      </c>
      <c r="T111" s="323">
        <f t="shared" si="147"/>
        <v>9191440.6843580678</v>
      </c>
      <c r="U111" s="323">
        <f t="shared" si="147"/>
        <v>9453414.0912016481</v>
      </c>
      <c r="V111" s="323">
        <f t="shared" si="147"/>
        <v>9723156.232113665</v>
      </c>
      <c r="W111" s="323">
        <f t="shared" si="147"/>
        <v>10000867.794434801</v>
      </c>
      <c r="X111" s="323">
        <f t="shared" si="147"/>
        <v>10286749.47237915</v>
      </c>
      <c r="Y111" s="323">
        <f t="shared" si="147"/>
        <v>10581001.967102941</v>
      </c>
      <c r="Z111" s="323">
        <f t="shared" si="147"/>
        <v>10884025.98677397</v>
      </c>
      <c r="AA111" s="323">
        <f t="shared" si="147"/>
        <v>11195922.24664171</v>
      </c>
      <c r="AB111" s="323">
        <f t="shared" si="147"/>
        <v>11517091.469108127</v>
      </c>
      <c r="AC111" s="323">
        <f t="shared" si="147"/>
        <v>11847734.383799208</v>
      </c>
      <c r="AD111" s="323">
        <f t="shared" si="147"/>
        <v>12188151.7276372</v>
      </c>
      <c r="AE111" s="323">
        <f t="shared" si="147"/>
        <v>12538644.244913572</v>
      </c>
      <c r="AF111" s="323">
        <f t="shared" si="147"/>
        <v>12899512.687362708</v>
      </c>
      <c r="AG111" s="323">
        <f t="shared" si="147"/>
        <v>13271057.814236335</v>
      </c>
      <c r="AH111" s="409"/>
      <c r="AI111" s="409"/>
      <c r="AJ111" s="409"/>
      <c r="AK111" s="409"/>
      <c r="AL111" s="148">
        <v>400000</v>
      </c>
      <c r="AM111" s="907"/>
    </row>
    <row r="112" spans="1:39">
      <c r="A112" s="408" t="s">
        <v>120</v>
      </c>
      <c r="B112" s="408">
        <f>'No change with year'!$E$43</f>
        <v>990</v>
      </c>
      <c r="C112" s="323">
        <f t="shared" ref="C112:AG112" si="148">C88+C$104</f>
        <v>5456825</v>
      </c>
      <c r="D112" s="323">
        <f t="shared" si="148"/>
        <v>5597393.25</v>
      </c>
      <c r="E112" s="323">
        <f t="shared" si="148"/>
        <v>5741977.1825000001</v>
      </c>
      <c r="F112" s="323">
        <f t="shared" si="148"/>
        <v>5890677.9543249998</v>
      </c>
      <c r="G112" s="323">
        <f t="shared" si="148"/>
        <v>6043596.7338682497</v>
      </c>
      <c r="H112" s="323">
        <f t="shared" si="148"/>
        <v>6600834.7012069318</v>
      </c>
      <c r="I112" s="323">
        <f t="shared" si="148"/>
        <v>6774593.0482190019</v>
      </c>
      <c r="J112" s="323">
        <f t="shared" si="148"/>
        <v>6953272.978701192</v>
      </c>
      <c r="K112" s="323">
        <f t="shared" si="148"/>
        <v>7137075.7084882036</v>
      </c>
      <c r="L112" s="323">
        <f t="shared" si="148"/>
        <v>7326102.4655730855</v>
      </c>
      <c r="M112" s="323">
        <f t="shared" si="148"/>
        <v>7520554.4902288169</v>
      </c>
      <c r="N112" s="323">
        <f t="shared" si="148"/>
        <v>7720633.0351311052</v>
      </c>
      <c r="O112" s="323">
        <f t="shared" si="148"/>
        <v>7926439.365482416</v>
      </c>
      <c r="P112" s="323">
        <f t="shared" si="148"/>
        <v>8138174.7591372402</v>
      </c>
      <c r="Q112" s="323">
        <f t="shared" si="148"/>
        <v>8355940.5067286128</v>
      </c>
      <c r="R112" s="323">
        <f t="shared" si="148"/>
        <v>8580037.9117958993</v>
      </c>
      <c r="S112" s="323">
        <f t="shared" si="148"/>
        <v>8810568.2909138575</v>
      </c>
      <c r="T112" s="323">
        <f t="shared" si="148"/>
        <v>9047732.973822996</v>
      </c>
      <c r="U112" s="323">
        <f t="shared" si="148"/>
        <v>9291733.3035612255</v>
      </c>
      <c r="V112" s="323">
        <f t="shared" si="148"/>
        <v>9542770.636596838</v>
      </c>
      <c r="W112" s="323">
        <f t="shared" si="148"/>
        <v>9801146.342962807</v>
      </c>
      <c r="X112" s="323">
        <f t="shared" si="148"/>
        <v>10066961.806392435</v>
      </c>
      <c r="Y112" s="323">
        <f t="shared" si="148"/>
        <v>10340418.42445636</v>
      </c>
      <c r="Z112" s="323">
        <f t="shared" si="148"/>
        <v>10621817.608700924</v>
      </c>
      <c r="AA112" s="323">
        <f t="shared" si="148"/>
        <v>10911360.784787932</v>
      </c>
      <c r="AB112" s="323">
        <f t="shared" si="148"/>
        <v>11209349.392635811</v>
      </c>
      <c r="AC112" s="323">
        <f t="shared" si="148"/>
        <v>11515984.88656217</v>
      </c>
      <c r="AD112" s="323">
        <f t="shared" si="148"/>
        <v>11831468.735427791</v>
      </c>
      <c r="AE112" s="323">
        <f t="shared" si="148"/>
        <v>12156102.422782069</v>
      </c>
      <c r="AF112" s="323">
        <f t="shared" si="148"/>
        <v>12490187.447009889</v>
      </c>
      <c r="AG112" s="323">
        <f t="shared" si="148"/>
        <v>12834025.321479989</v>
      </c>
      <c r="AH112" s="409"/>
      <c r="AI112" s="409"/>
      <c r="AJ112" s="409"/>
      <c r="AK112" s="409"/>
      <c r="AL112" s="148">
        <v>400000</v>
      </c>
      <c r="AM112" s="907"/>
    </row>
    <row r="113" spans="1:39">
      <c r="A113" s="408" t="s">
        <v>121</v>
      </c>
      <c r="B113" s="408">
        <f>'No change with year'!$E$43</f>
        <v>990</v>
      </c>
      <c r="C113" s="323">
        <f t="shared" ref="C113:AG113" si="149">C89+C$104</f>
        <v>6156825</v>
      </c>
      <c r="D113" s="323">
        <f t="shared" si="149"/>
        <v>6318393.25</v>
      </c>
      <c r="E113" s="323">
        <f t="shared" si="149"/>
        <v>6484577.1825000001</v>
      </c>
      <c r="F113" s="323">
        <f t="shared" si="149"/>
        <v>6655477.9543249998</v>
      </c>
      <c r="G113" s="323">
        <f t="shared" si="149"/>
        <v>6831296.7338682497</v>
      </c>
      <c r="H113" s="323">
        <f t="shared" si="149"/>
        <v>7412134.7012069318</v>
      </c>
      <c r="I113" s="323">
        <f t="shared" si="149"/>
        <v>7610193.0482190019</v>
      </c>
      <c r="J113" s="323">
        <f t="shared" si="149"/>
        <v>7813972.978701192</v>
      </c>
      <c r="K113" s="323">
        <f t="shared" si="149"/>
        <v>8023575.7084882036</v>
      </c>
      <c r="L113" s="323">
        <f t="shared" si="149"/>
        <v>8239202.4655730855</v>
      </c>
      <c r="M113" s="323">
        <f t="shared" si="149"/>
        <v>8461054.4902288169</v>
      </c>
      <c r="N113" s="323">
        <f t="shared" si="149"/>
        <v>8689333.0351311043</v>
      </c>
      <c r="O113" s="323">
        <f t="shared" si="149"/>
        <v>8924239.365482416</v>
      </c>
      <c r="P113" s="323">
        <f t="shared" si="149"/>
        <v>9165874.7591372412</v>
      </c>
      <c r="Q113" s="323">
        <f t="shared" si="149"/>
        <v>9414540.5067286119</v>
      </c>
      <c r="R113" s="323">
        <f t="shared" si="149"/>
        <v>9670337.9117958993</v>
      </c>
      <c r="S113" s="323">
        <f t="shared" si="149"/>
        <v>9933568.2909138575</v>
      </c>
      <c r="T113" s="323">
        <f t="shared" si="149"/>
        <v>10204432.973822996</v>
      </c>
      <c r="U113" s="323">
        <f t="shared" si="149"/>
        <v>10483133.303561226</v>
      </c>
      <c r="V113" s="323">
        <f t="shared" si="149"/>
        <v>10769970.636596838</v>
      </c>
      <c r="W113" s="323">
        <f t="shared" si="149"/>
        <v>11065146.342962807</v>
      </c>
      <c r="X113" s="323">
        <f t="shared" si="149"/>
        <v>11368861.806392435</v>
      </c>
      <c r="Y113" s="323">
        <f t="shared" si="149"/>
        <v>11681418.42445636</v>
      </c>
      <c r="Z113" s="323">
        <f t="shared" si="149"/>
        <v>12003017.608700924</v>
      </c>
      <c r="AA113" s="323">
        <f t="shared" si="149"/>
        <v>12334060.784787932</v>
      </c>
      <c r="AB113" s="323">
        <f t="shared" si="149"/>
        <v>12674749.392635811</v>
      </c>
      <c r="AC113" s="323">
        <f t="shared" si="149"/>
        <v>13025284.88656217</v>
      </c>
      <c r="AD113" s="323">
        <f t="shared" si="149"/>
        <v>13386068.735427791</v>
      </c>
      <c r="AE113" s="323">
        <f t="shared" si="149"/>
        <v>13757402.422782069</v>
      </c>
      <c r="AF113" s="323">
        <f t="shared" si="149"/>
        <v>14139587.447009889</v>
      </c>
      <c r="AG113" s="323">
        <f t="shared" si="149"/>
        <v>14532925.321479989</v>
      </c>
      <c r="AH113" s="409"/>
      <c r="AI113" s="409"/>
      <c r="AJ113" s="409"/>
      <c r="AK113" s="409"/>
      <c r="AL113" s="148">
        <v>400000</v>
      </c>
      <c r="AM113" s="907"/>
    </row>
    <row r="114" spans="1:39">
      <c r="A114" s="408"/>
      <c r="B114" s="408"/>
      <c r="C114" s="323"/>
      <c r="D114" s="323"/>
      <c r="E114" s="323"/>
      <c r="F114" s="323"/>
      <c r="G114" s="323"/>
      <c r="H114" s="323"/>
      <c r="I114" s="323"/>
      <c r="J114" s="323"/>
      <c r="K114" s="323"/>
      <c r="L114" s="323"/>
      <c r="M114" s="323"/>
      <c r="N114" s="323"/>
      <c r="O114" s="323"/>
      <c r="P114" s="323"/>
      <c r="Q114" s="323"/>
      <c r="R114" s="323"/>
      <c r="S114" s="323"/>
      <c r="T114" s="323"/>
      <c r="U114" s="323"/>
      <c r="V114" s="323"/>
      <c r="W114" s="323"/>
      <c r="X114" s="323"/>
      <c r="Y114" s="323"/>
      <c r="Z114" s="323"/>
      <c r="AA114" s="323"/>
      <c r="AB114" s="323"/>
      <c r="AC114" s="323"/>
      <c r="AD114" s="323"/>
      <c r="AE114" s="323"/>
      <c r="AF114" s="323"/>
      <c r="AG114" s="323"/>
      <c r="AH114" s="409"/>
      <c r="AI114" s="409"/>
      <c r="AJ114" s="409"/>
      <c r="AK114" s="409"/>
      <c r="AL114" s="148"/>
    </row>
    <row r="115" spans="1:39" s="1" customFormat="1">
      <c r="A115" s="525" t="s">
        <v>122</v>
      </c>
      <c r="B115" s="525" t="s">
        <v>99</v>
      </c>
      <c r="C115" s="399">
        <v>2025</v>
      </c>
      <c r="D115" s="399">
        <v>2026</v>
      </c>
      <c r="E115" s="399">
        <v>2027</v>
      </c>
      <c r="F115" s="399">
        <v>2028</v>
      </c>
      <c r="G115" s="399">
        <v>2029</v>
      </c>
      <c r="H115" s="399">
        <v>2030</v>
      </c>
      <c r="I115" s="399">
        <v>2031</v>
      </c>
      <c r="J115" s="399">
        <v>2032</v>
      </c>
      <c r="K115" s="399">
        <v>2033</v>
      </c>
      <c r="L115" s="399">
        <v>2034</v>
      </c>
      <c r="M115" s="399">
        <v>2035</v>
      </c>
      <c r="N115" s="399">
        <v>2036</v>
      </c>
      <c r="O115" s="399">
        <v>2037</v>
      </c>
      <c r="P115" s="399">
        <v>2038</v>
      </c>
      <c r="Q115" s="399">
        <v>2039</v>
      </c>
      <c r="R115" s="399">
        <v>2040</v>
      </c>
      <c r="S115" s="399">
        <v>2041</v>
      </c>
      <c r="T115" s="399">
        <v>2042</v>
      </c>
      <c r="U115" s="399">
        <v>2043</v>
      </c>
      <c r="V115" s="399">
        <v>2044</v>
      </c>
      <c r="W115" s="399">
        <v>2045</v>
      </c>
      <c r="X115" s="399">
        <v>2046</v>
      </c>
      <c r="Y115" s="399">
        <v>2047</v>
      </c>
      <c r="Z115" s="399">
        <v>2048</v>
      </c>
      <c r="AA115" s="399">
        <v>2049</v>
      </c>
      <c r="AB115" s="399">
        <v>2050</v>
      </c>
      <c r="AC115" s="399">
        <v>2051</v>
      </c>
      <c r="AD115" s="399">
        <v>2052</v>
      </c>
      <c r="AE115" s="399">
        <v>2053</v>
      </c>
      <c r="AF115" s="399">
        <v>2054</v>
      </c>
      <c r="AG115" s="399">
        <v>2055</v>
      </c>
      <c r="AH115" s="399"/>
      <c r="AI115" s="525"/>
      <c r="AJ115" s="525"/>
      <c r="AK115" s="525"/>
      <c r="AL115" s="525" t="s">
        <v>672</v>
      </c>
    </row>
    <row r="116" spans="1:39" s="4" customFormat="1">
      <c r="A116" s="414" t="s">
        <v>123</v>
      </c>
      <c r="B116" s="414"/>
      <c r="C116" s="323">
        <f t="shared" ref="C116:AG116" si="150">C23*$AL$116</f>
        <v>1579200</v>
      </c>
      <c r="D116" s="323">
        <f t="shared" si="150"/>
        <v>1500240</v>
      </c>
      <c r="E116" s="323">
        <f t="shared" si="150"/>
        <v>1425228</v>
      </c>
      <c r="F116" s="323">
        <f t="shared" si="150"/>
        <v>1353966.5999999999</v>
      </c>
      <c r="G116" s="323">
        <f t="shared" si="150"/>
        <v>1286268.27</v>
      </c>
      <c r="H116" s="323">
        <f t="shared" si="150"/>
        <v>1221954.8565</v>
      </c>
      <c r="I116" s="323">
        <f t="shared" si="150"/>
        <v>1173076.66224</v>
      </c>
      <c r="J116" s="323">
        <f t="shared" si="150"/>
        <v>1126153.5957503999</v>
      </c>
      <c r="K116" s="323">
        <f t="shared" si="150"/>
        <v>1081107.4519203838</v>
      </c>
      <c r="L116" s="323">
        <f t="shared" si="150"/>
        <v>1037863.1538435684</v>
      </c>
      <c r="M116" s="323">
        <f t="shared" si="150"/>
        <v>996348.6276898256</v>
      </c>
      <c r="N116" s="323">
        <f t="shared" si="150"/>
        <v>956494.68258223264</v>
      </c>
      <c r="O116" s="323">
        <f t="shared" si="150"/>
        <v>918234.89527894335</v>
      </c>
      <c r="P116" s="323">
        <f t="shared" si="150"/>
        <v>881505.49946778559</v>
      </c>
      <c r="Q116" s="323">
        <f t="shared" si="150"/>
        <v>846245.27948907414</v>
      </c>
      <c r="R116" s="323">
        <f t="shared" si="150"/>
        <v>812395.46830951108</v>
      </c>
      <c r="S116" s="323">
        <f t="shared" si="150"/>
        <v>820519.42299260607</v>
      </c>
      <c r="T116" s="323">
        <f t="shared" si="150"/>
        <v>828724.61722253216</v>
      </c>
      <c r="U116" s="323">
        <f t="shared" si="150"/>
        <v>837011.8633947575</v>
      </c>
      <c r="V116" s="323">
        <f t="shared" si="150"/>
        <v>845381.98202870518</v>
      </c>
      <c r="W116" s="323">
        <f t="shared" si="150"/>
        <v>853835.80184899224</v>
      </c>
      <c r="X116" s="323">
        <f t="shared" si="150"/>
        <v>862374.15986748226</v>
      </c>
      <c r="Y116" s="323">
        <f t="shared" si="150"/>
        <v>870997.90146615705</v>
      </c>
      <c r="Z116" s="323">
        <f t="shared" si="150"/>
        <v>879707.88048081857</v>
      </c>
      <c r="AA116" s="323">
        <f t="shared" si="150"/>
        <v>888504.95928562677</v>
      </c>
      <c r="AB116" s="323">
        <f t="shared" si="150"/>
        <v>897390.00887848297</v>
      </c>
      <c r="AC116" s="323">
        <f t="shared" si="150"/>
        <v>906363.90896726784</v>
      </c>
      <c r="AD116" s="323">
        <f t="shared" si="150"/>
        <v>915427.54805694055</v>
      </c>
      <c r="AE116" s="323">
        <f t="shared" si="150"/>
        <v>924581.82353750989</v>
      </c>
      <c r="AF116" s="323">
        <f t="shared" si="150"/>
        <v>933827.64177288499</v>
      </c>
      <c r="AG116" s="323">
        <f t="shared" si="150"/>
        <v>943165.91819061397</v>
      </c>
      <c r="AH116" s="409"/>
      <c r="AI116" s="409"/>
      <c r="AJ116" s="409"/>
      <c r="AK116" s="409"/>
      <c r="AL116" s="415">
        <f>'No change with year'!D49</f>
        <v>28.2</v>
      </c>
      <c r="AM116" s="441" t="s">
        <v>124</v>
      </c>
    </row>
    <row r="117" spans="1:39" ht="15.75" customHeight="1">
      <c r="A117" s="408" t="s">
        <v>125</v>
      </c>
      <c r="B117" s="408">
        <f>'No change with year'!$D$47</f>
        <v>1200</v>
      </c>
      <c r="C117" s="323">
        <f t="shared" ref="C117:AG117" si="151">C81+C$116</f>
        <v>3579200</v>
      </c>
      <c r="D117" s="323">
        <f t="shared" si="151"/>
        <v>3560240</v>
      </c>
      <c r="E117" s="323">
        <f t="shared" si="151"/>
        <v>3547028</v>
      </c>
      <c r="F117" s="323">
        <f t="shared" si="151"/>
        <v>3539466.5999999996</v>
      </c>
      <c r="G117" s="323">
        <f t="shared" si="151"/>
        <v>3537368.27</v>
      </c>
      <c r="H117" s="323">
        <f t="shared" si="151"/>
        <v>3940554.8564999998</v>
      </c>
      <c r="I117" s="323">
        <f t="shared" si="151"/>
        <v>3973276.66224</v>
      </c>
      <c r="J117" s="323">
        <f t="shared" si="151"/>
        <v>4010353.5957503999</v>
      </c>
      <c r="K117" s="323">
        <f t="shared" si="151"/>
        <v>4051807.4519203836</v>
      </c>
      <c r="L117" s="323">
        <f t="shared" si="151"/>
        <v>4097663.1538435686</v>
      </c>
      <c r="M117" s="323">
        <f t="shared" si="151"/>
        <v>4147948.6276898254</v>
      </c>
      <c r="N117" s="323">
        <f t="shared" si="151"/>
        <v>4202594.6825822331</v>
      </c>
      <c r="O117" s="323">
        <f t="shared" si="151"/>
        <v>4261734.8952789437</v>
      </c>
      <c r="P117" s="323">
        <f t="shared" si="151"/>
        <v>4325305.4994677855</v>
      </c>
      <c r="Q117" s="323">
        <f t="shared" si="151"/>
        <v>4393345.2794890739</v>
      </c>
      <c r="R117" s="323">
        <f t="shared" si="151"/>
        <v>4465895.4683095114</v>
      </c>
      <c r="S117" s="323">
        <f t="shared" si="151"/>
        <v>4583619.4229926057</v>
      </c>
      <c r="T117" s="323">
        <f t="shared" si="151"/>
        <v>4704724.6172225326</v>
      </c>
      <c r="U117" s="323">
        <f t="shared" si="151"/>
        <v>4829311.8633947577</v>
      </c>
      <c r="V117" s="323">
        <f t="shared" si="151"/>
        <v>4957481.9820287051</v>
      </c>
      <c r="W117" s="323">
        <f t="shared" si="151"/>
        <v>5089335.8018489927</v>
      </c>
      <c r="X117" s="323">
        <f t="shared" si="151"/>
        <v>5224974.1598674823</v>
      </c>
      <c r="Y117" s="323">
        <f t="shared" si="151"/>
        <v>5364497.9014661573</v>
      </c>
      <c r="Z117" s="323">
        <f t="shared" si="151"/>
        <v>5508007.8804808185</v>
      </c>
      <c r="AA117" s="323">
        <f t="shared" si="151"/>
        <v>5655604.9592856271</v>
      </c>
      <c r="AB117" s="323">
        <f t="shared" si="151"/>
        <v>5807490.0088784825</v>
      </c>
      <c r="AC117" s="323">
        <f t="shared" si="151"/>
        <v>5963763.9089672677</v>
      </c>
      <c r="AD117" s="323">
        <f t="shared" si="151"/>
        <v>6124527.5480569405</v>
      </c>
      <c r="AE117" s="323">
        <f t="shared" si="151"/>
        <v>6289981.8235375099</v>
      </c>
      <c r="AF117" s="323">
        <f t="shared" si="151"/>
        <v>6460227.6417728849</v>
      </c>
      <c r="AG117" s="323">
        <f t="shared" si="151"/>
        <v>6635365.9181906143</v>
      </c>
      <c r="AH117" s="409"/>
      <c r="AI117" s="409"/>
      <c r="AJ117" s="409"/>
      <c r="AK117" s="409"/>
      <c r="AL117" s="148">
        <v>400000</v>
      </c>
      <c r="AM117" s="907" t="s">
        <v>670</v>
      </c>
    </row>
    <row r="118" spans="1:39">
      <c r="A118" s="408" t="s">
        <v>126</v>
      </c>
      <c r="B118" s="408">
        <f>'No change with year'!$D$47</f>
        <v>1200</v>
      </c>
      <c r="C118" s="323">
        <f t="shared" ref="C118:AG118" si="152">C82+C$116</f>
        <v>4329200</v>
      </c>
      <c r="D118" s="323">
        <f t="shared" si="152"/>
        <v>4332740</v>
      </c>
      <c r="E118" s="323">
        <f t="shared" si="152"/>
        <v>4342728</v>
      </c>
      <c r="F118" s="323">
        <f t="shared" si="152"/>
        <v>4358966.5999999996</v>
      </c>
      <c r="G118" s="323">
        <f t="shared" si="152"/>
        <v>4381468.2699999996</v>
      </c>
      <c r="H118" s="323">
        <f t="shared" si="152"/>
        <v>4810054.8564999998</v>
      </c>
      <c r="I118" s="323">
        <f t="shared" si="152"/>
        <v>4868776.6622400004</v>
      </c>
      <c r="J118" s="323">
        <f t="shared" si="152"/>
        <v>4932753.5957503999</v>
      </c>
      <c r="K118" s="323">
        <f t="shared" si="152"/>
        <v>5001907.4519203836</v>
      </c>
      <c r="L118" s="323">
        <f t="shared" si="152"/>
        <v>5076263.1538435686</v>
      </c>
      <c r="M118" s="323">
        <f t="shared" si="152"/>
        <v>5155948.6276898254</v>
      </c>
      <c r="N118" s="323">
        <f t="shared" si="152"/>
        <v>5240894.6825822331</v>
      </c>
      <c r="O118" s="323">
        <f t="shared" si="152"/>
        <v>5331134.8952789437</v>
      </c>
      <c r="P118" s="323">
        <f t="shared" si="152"/>
        <v>5426805.4994677855</v>
      </c>
      <c r="Q118" s="323">
        <f t="shared" si="152"/>
        <v>5527945.2794890739</v>
      </c>
      <c r="R118" s="323">
        <f t="shared" si="152"/>
        <v>5634595.4683095114</v>
      </c>
      <c r="S118" s="323">
        <f t="shared" si="152"/>
        <v>5787419.4229926057</v>
      </c>
      <c r="T118" s="323">
        <f t="shared" si="152"/>
        <v>5944624.6172225326</v>
      </c>
      <c r="U118" s="323">
        <f t="shared" si="152"/>
        <v>6106411.8633947577</v>
      </c>
      <c r="V118" s="323">
        <f t="shared" si="152"/>
        <v>6272881.9820287051</v>
      </c>
      <c r="W118" s="323">
        <f t="shared" si="152"/>
        <v>6444135.8018489927</v>
      </c>
      <c r="X118" s="323">
        <f t="shared" si="152"/>
        <v>6620374.1598674823</v>
      </c>
      <c r="Y118" s="323">
        <f t="shared" si="152"/>
        <v>6801697.9014661573</v>
      </c>
      <c r="Z118" s="323">
        <f t="shared" si="152"/>
        <v>6988307.8804808185</v>
      </c>
      <c r="AA118" s="323">
        <f t="shared" si="152"/>
        <v>7180404.9592856271</v>
      </c>
      <c r="AB118" s="323">
        <f t="shared" si="152"/>
        <v>7378090.0088784825</v>
      </c>
      <c r="AC118" s="323">
        <f t="shared" si="152"/>
        <v>7581463.9089672677</v>
      </c>
      <c r="AD118" s="323">
        <f t="shared" si="152"/>
        <v>7790827.5480569405</v>
      </c>
      <c r="AE118" s="323">
        <f t="shared" si="152"/>
        <v>8006281.8235375099</v>
      </c>
      <c r="AF118" s="323">
        <f t="shared" si="152"/>
        <v>8228027.6417728849</v>
      </c>
      <c r="AG118" s="323">
        <f t="shared" si="152"/>
        <v>8456165.9181906134</v>
      </c>
      <c r="AH118" s="409"/>
      <c r="AI118" s="409"/>
      <c r="AJ118" s="409"/>
      <c r="AK118" s="409"/>
      <c r="AL118" s="148">
        <v>400000</v>
      </c>
      <c r="AM118" s="907"/>
    </row>
    <row r="119" spans="1:39">
      <c r="A119" s="408" t="s">
        <v>127</v>
      </c>
      <c r="B119" s="408">
        <f>'No change with year'!$D$47</f>
        <v>1200</v>
      </c>
      <c r="C119" s="323">
        <f t="shared" ref="C119:AG119" si="153">C83+C$116</f>
        <v>5179200</v>
      </c>
      <c r="D119" s="323">
        <f t="shared" si="153"/>
        <v>5208240</v>
      </c>
      <c r="E119" s="323">
        <f t="shared" si="153"/>
        <v>5244428</v>
      </c>
      <c r="F119" s="323">
        <f t="shared" si="153"/>
        <v>5287766.5999999996</v>
      </c>
      <c r="G119" s="323">
        <f t="shared" si="153"/>
        <v>5338068.2699999996</v>
      </c>
      <c r="H119" s="323">
        <f t="shared" si="153"/>
        <v>5795354.8564999998</v>
      </c>
      <c r="I119" s="323">
        <f t="shared" si="153"/>
        <v>5883676.6622400004</v>
      </c>
      <c r="J119" s="323">
        <f t="shared" si="153"/>
        <v>5978053.5957503999</v>
      </c>
      <c r="K119" s="323">
        <f t="shared" si="153"/>
        <v>6078607.4519203836</v>
      </c>
      <c r="L119" s="323">
        <f t="shared" si="153"/>
        <v>6185263.1538435686</v>
      </c>
      <c r="M119" s="323">
        <f t="shared" si="153"/>
        <v>6298148.6276898254</v>
      </c>
      <c r="N119" s="323">
        <f t="shared" si="153"/>
        <v>6417394.6825822331</v>
      </c>
      <c r="O119" s="323">
        <f t="shared" si="153"/>
        <v>6542934.8952789437</v>
      </c>
      <c r="P119" s="323">
        <f t="shared" si="153"/>
        <v>6674905.4994677855</v>
      </c>
      <c r="Q119" s="323">
        <f t="shared" si="153"/>
        <v>6813445.2794890739</v>
      </c>
      <c r="R119" s="323">
        <f t="shared" si="153"/>
        <v>6958595.4683095114</v>
      </c>
      <c r="S119" s="323">
        <f t="shared" si="153"/>
        <v>7151119.4229926057</v>
      </c>
      <c r="T119" s="323">
        <f t="shared" si="153"/>
        <v>7349224.6172225326</v>
      </c>
      <c r="U119" s="323">
        <f t="shared" si="153"/>
        <v>7553111.8633947577</v>
      </c>
      <c r="V119" s="323">
        <f t="shared" si="153"/>
        <v>7762981.9820287051</v>
      </c>
      <c r="W119" s="323">
        <f t="shared" si="153"/>
        <v>7978935.8018489927</v>
      </c>
      <c r="X119" s="323">
        <f t="shared" si="153"/>
        <v>8201274.1598674823</v>
      </c>
      <c r="Y119" s="323">
        <f t="shared" si="153"/>
        <v>8430097.9014661573</v>
      </c>
      <c r="Z119" s="323">
        <f t="shared" si="153"/>
        <v>8665607.8804808185</v>
      </c>
      <c r="AA119" s="323">
        <f t="shared" si="153"/>
        <v>8908004.9592856262</v>
      </c>
      <c r="AB119" s="323">
        <f t="shared" si="153"/>
        <v>9157490.0088784825</v>
      </c>
      <c r="AC119" s="323">
        <f t="shared" si="153"/>
        <v>9414263.9089672677</v>
      </c>
      <c r="AD119" s="323">
        <f t="shared" si="153"/>
        <v>9678527.5480569415</v>
      </c>
      <c r="AE119" s="323">
        <f t="shared" si="153"/>
        <v>9950581.8235375099</v>
      </c>
      <c r="AF119" s="323">
        <f t="shared" si="153"/>
        <v>10230627.641772885</v>
      </c>
      <c r="AG119" s="323">
        <f t="shared" si="153"/>
        <v>10518865.918190613</v>
      </c>
      <c r="AH119" s="409"/>
      <c r="AI119" s="409"/>
      <c r="AJ119" s="409"/>
      <c r="AK119" s="409"/>
      <c r="AL119" s="148">
        <v>400000</v>
      </c>
      <c r="AM119" s="907"/>
    </row>
    <row r="120" spans="1:39">
      <c r="A120" s="408" t="s">
        <v>128</v>
      </c>
      <c r="B120" s="408">
        <f>'No change with year'!$D$47</f>
        <v>1200</v>
      </c>
      <c r="C120" s="323">
        <f t="shared" ref="C120:AG120" si="154">C84+C$116</f>
        <v>5579200</v>
      </c>
      <c r="D120" s="323">
        <f t="shared" si="154"/>
        <v>5620240</v>
      </c>
      <c r="E120" s="323">
        <f t="shared" si="154"/>
        <v>5668828</v>
      </c>
      <c r="F120" s="323">
        <f t="shared" si="154"/>
        <v>5724866.5999999996</v>
      </c>
      <c r="G120" s="323">
        <f t="shared" si="154"/>
        <v>5788268.2699999996</v>
      </c>
      <c r="H120" s="323">
        <f t="shared" si="154"/>
        <v>6259054.8564999998</v>
      </c>
      <c r="I120" s="323">
        <f t="shared" si="154"/>
        <v>6361276.6622400004</v>
      </c>
      <c r="J120" s="323">
        <f t="shared" si="154"/>
        <v>6469953.5957503999</v>
      </c>
      <c r="K120" s="323">
        <f t="shared" si="154"/>
        <v>6585207.4519203836</v>
      </c>
      <c r="L120" s="323">
        <f t="shared" si="154"/>
        <v>6707063.1538435686</v>
      </c>
      <c r="M120" s="323">
        <f t="shared" si="154"/>
        <v>6835648.6276898254</v>
      </c>
      <c r="N120" s="323">
        <f t="shared" si="154"/>
        <v>6970994.6825822331</v>
      </c>
      <c r="O120" s="323">
        <f t="shared" si="154"/>
        <v>7113134.8952789437</v>
      </c>
      <c r="P120" s="323">
        <f t="shared" si="154"/>
        <v>7262205.4994677855</v>
      </c>
      <c r="Q120" s="323">
        <f t="shared" si="154"/>
        <v>7418345.2794890739</v>
      </c>
      <c r="R120" s="323">
        <f t="shared" si="154"/>
        <v>7581695.4683095114</v>
      </c>
      <c r="S120" s="323">
        <f t="shared" si="154"/>
        <v>7792919.4229926057</v>
      </c>
      <c r="T120" s="323">
        <f t="shared" si="154"/>
        <v>8010324.6172225326</v>
      </c>
      <c r="U120" s="323">
        <f t="shared" si="154"/>
        <v>8234011.8633947577</v>
      </c>
      <c r="V120" s="323">
        <f t="shared" si="154"/>
        <v>8464281.982028706</v>
      </c>
      <c r="W120" s="323">
        <f t="shared" si="154"/>
        <v>8701335.8018489927</v>
      </c>
      <c r="X120" s="323">
        <f t="shared" si="154"/>
        <v>8945274.1598674823</v>
      </c>
      <c r="Y120" s="323">
        <f t="shared" si="154"/>
        <v>9196397.9014661573</v>
      </c>
      <c r="Z120" s="323">
        <f t="shared" si="154"/>
        <v>9454907.8804808185</v>
      </c>
      <c r="AA120" s="323">
        <f t="shared" si="154"/>
        <v>9721004.9592856262</v>
      </c>
      <c r="AB120" s="323">
        <f t="shared" si="154"/>
        <v>9994890.0088784825</v>
      </c>
      <c r="AC120" s="323">
        <f t="shared" si="154"/>
        <v>10276763.908967268</v>
      </c>
      <c r="AD120" s="323">
        <f t="shared" si="154"/>
        <v>10566927.548056941</v>
      </c>
      <c r="AE120" s="323">
        <f t="shared" si="154"/>
        <v>10865581.82353751</v>
      </c>
      <c r="AF120" s="323">
        <f t="shared" si="154"/>
        <v>11173027.641772885</v>
      </c>
      <c r="AG120" s="323">
        <f t="shared" si="154"/>
        <v>11489565.918190613</v>
      </c>
      <c r="AH120" s="409"/>
      <c r="AI120" s="409"/>
      <c r="AJ120" s="409"/>
      <c r="AK120" s="409"/>
      <c r="AL120" s="148">
        <v>400000</v>
      </c>
      <c r="AM120" s="907"/>
    </row>
    <row r="121" spans="1:39">
      <c r="A121" s="408" t="s">
        <v>129</v>
      </c>
      <c r="B121" s="408">
        <f>'No change with year'!$D$47</f>
        <v>1200</v>
      </c>
      <c r="C121" s="323">
        <f t="shared" ref="C121:AG121" si="155">C85+C$116</f>
        <v>6279200</v>
      </c>
      <c r="D121" s="323">
        <f t="shared" si="155"/>
        <v>6341240</v>
      </c>
      <c r="E121" s="323">
        <f t="shared" si="155"/>
        <v>6411428</v>
      </c>
      <c r="F121" s="323">
        <f t="shared" si="155"/>
        <v>6489766.5999999996</v>
      </c>
      <c r="G121" s="323">
        <f t="shared" si="155"/>
        <v>6576168.2699999996</v>
      </c>
      <c r="H121" s="323">
        <f t="shared" si="155"/>
        <v>7070554.8564999998</v>
      </c>
      <c r="I121" s="323">
        <f t="shared" si="155"/>
        <v>7197176.6622400004</v>
      </c>
      <c r="J121" s="323">
        <f t="shared" si="155"/>
        <v>7330953.5957503999</v>
      </c>
      <c r="K121" s="323">
        <f t="shared" si="155"/>
        <v>7472007.4519203836</v>
      </c>
      <c r="L121" s="323">
        <f t="shared" si="155"/>
        <v>7620463.1538435686</v>
      </c>
      <c r="M121" s="323">
        <f t="shared" si="155"/>
        <v>7776448.6276898254</v>
      </c>
      <c r="N121" s="323">
        <f t="shared" si="155"/>
        <v>7939994.6825822331</v>
      </c>
      <c r="O121" s="323">
        <f t="shared" si="155"/>
        <v>8111234.8952789437</v>
      </c>
      <c r="P121" s="323">
        <f t="shared" si="155"/>
        <v>8290305.4994677855</v>
      </c>
      <c r="Q121" s="323">
        <f t="shared" si="155"/>
        <v>8477345.2794890739</v>
      </c>
      <c r="R121" s="323">
        <f t="shared" si="155"/>
        <v>8672395.4683095105</v>
      </c>
      <c r="S121" s="323">
        <f t="shared" si="155"/>
        <v>8916319.4229926057</v>
      </c>
      <c r="T121" s="323">
        <f t="shared" si="155"/>
        <v>9167424.6172225326</v>
      </c>
      <c r="U121" s="323">
        <f t="shared" si="155"/>
        <v>9425911.8633947577</v>
      </c>
      <c r="V121" s="323">
        <f t="shared" si="155"/>
        <v>9691981.982028706</v>
      </c>
      <c r="W121" s="323">
        <f t="shared" si="155"/>
        <v>9965835.8018489927</v>
      </c>
      <c r="X121" s="323">
        <f t="shared" si="155"/>
        <v>10247774.159867482</v>
      </c>
      <c r="Y121" s="323">
        <f t="shared" si="155"/>
        <v>10537997.901466157</v>
      </c>
      <c r="Z121" s="323">
        <f t="shared" si="155"/>
        <v>10836707.880480818</v>
      </c>
      <c r="AA121" s="323">
        <f t="shared" si="155"/>
        <v>11144204.959285626</v>
      </c>
      <c r="AB121" s="323">
        <f t="shared" si="155"/>
        <v>11460790.008878483</v>
      </c>
      <c r="AC121" s="323">
        <f t="shared" si="155"/>
        <v>11786663.908967268</v>
      </c>
      <c r="AD121" s="323">
        <f t="shared" si="155"/>
        <v>12122127.548056941</v>
      </c>
      <c r="AE121" s="323">
        <f t="shared" si="155"/>
        <v>12467481.82353751</v>
      </c>
      <c r="AF121" s="323">
        <f t="shared" si="155"/>
        <v>12823027.641772885</v>
      </c>
      <c r="AG121" s="323">
        <f t="shared" si="155"/>
        <v>13189065.918190613</v>
      </c>
      <c r="AH121" s="409"/>
      <c r="AI121" s="409"/>
      <c r="AJ121" s="409"/>
      <c r="AK121" s="409"/>
      <c r="AL121" s="148">
        <v>400000</v>
      </c>
      <c r="AM121" s="907"/>
    </row>
    <row r="122" spans="1:39">
      <c r="A122" s="408" t="s">
        <v>130</v>
      </c>
      <c r="B122" s="408">
        <f>'No change with year'!$D$47</f>
        <v>1200</v>
      </c>
      <c r="C122" s="323">
        <f t="shared" ref="C122:AG122" si="156">C86+C$116</f>
        <v>5779200</v>
      </c>
      <c r="D122" s="323">
        <f t="shared" si="156"/>
        <v>5826240</v>
      </c>
      <c r="E122" s="323">
        <f t="shared" si="156"/>
        <v>5881028</v>
      </c>
      <c r="F122" s="323">
        <f t="shared" si="156"/>
        <v>5943466.5999999996</v>
      </c>
      <c r="G122" s="323">
        <f t="shared" si="156"/>
        <v>6013468.2699999996</v>
      </c>
      <c r="H122" s="323">
        <f t="shared" si="156"/>
        <v>6490954.8564999998</v>
      </c>
      <c r="I122" s="323">
        <f t="shared" si="156"/>
        <v>6600176.6622400004</v>
      </c>
      <c r="J122" s="323">
        <f t="shared" si="156"/>
        <v>6716053.5957503999</v>
      </c>
      <c r="K122" s="323">
        <f t="shared" si="156"/>
        <v>6838707.4519203836</v>
      </c>
      <c r="L122" s="323">
        <f t="shared" si="156"/>
        <v>6968163.1538435686</v>
      </c>
      <c r="M122" s="323">
        <f t="shared" si="156"/>
        <v>7104548.6276898254</v>
      </c>
      <c r="N122" s="323">
        <f t="shared" si="156"/>
        <v>7247894.6825822331</v>
      </c>
      <c r="O122" s="323">
        <f t="shared" si="156"/>
        <v>7398334.8952789437</v>
      </c>
      <c r="P122" s="323">
        <f t="shared" si="156"/>
        <v>7556005.4994677855</v>
      </c>
      <c r="Q122" s="323">
        <f t="shared" si="156"/>
        <v>7720945.2794890739</v>
      </c>
      <c r="R122" s="323">
        <f t="shared" si="156"/>
        <v>7893295.4683095114</v>
      </c>
      <c r="S122" s="323">
        <f t="shared" si="156"/>
        <v>8113819.4229926057</v>
      </c>
      <c r="T122" s="323">
        <f t="shared" si="156"/>
        <v>8340824.6172225326</v>
      </c>
      <c r="U122" s="323">
        <f t="shared" si="156"/>
        <v>8574511.8633947577</v>
      </c>
      <c r="V122" s="323">
        <f t="shared" si="156"/>
        <v>8814981.982028706</v>
      </c>
      <c r="W122" s="323">
        <f t="shared" si="156"/>
        <v>9062535.8018489927</v>
      </c>
      <c r="X122" s="323">
        <f t="shared" si="156"/>
        <v>9317374.1598674823</v>
      </c>
      <c r="Y122" s="323">
        <f t="shared" si="156"/>
        <v>9579697.9014661573</v>
      </c>
      <c r="Z122" s="323">
        <f t="shared" si="156"/>
        <v>9849707.8804808185</v>
      </c>
      <c r="AA122" s="323">
        <f t="shared" si="156"/>
        <v>10127604.959285626</v>
      </c>
      <c r="AB122" s="323">
        <f t="shared" si="156"/>
        <v>10413690.008878483</v>
      </c>
      <c r="AC122" s="323">
        <f t="shared" si="156"/>
        <v>10708163.908967268</v>
      </c>
      <c r="AD122" s="323">
        <f t="shared" si="156"/>
        <v>11011327.548056941</v>
      </c>
      <c r="AE122" s="323">
        <f t="shared" si="156"/>
        <v>11323381.82353751</v>
      </c>
      <c r="AF122" s="323">
        <f t="shared" si="156"/>
        <v>11644627.641772885</v>
      </c>
      <c r="AG122" s="323">
        <f t="shared" si="156"/>
        <v>11975265.918190613</v>
      </c>
      <c r="AH122" s="409"/>
      <c r="AI122" s="409"/>
      <c r="AJ122" s="409"/>
      <c r="AK122" s="409"/>
      <c r="AL122" s="148">
        <v>400000</v>
      </c>
      <c r="AM122" s="907"/>
    </row>
    <row r="123" spans="1:39">
      <c r="A123" s="408" t="s">
        <v>131</v>
      </c>
      <c r="B123" s="408">
        <f>'No change with year'!$D$47</f>
        <v>1200</v>
      </c>
      <c r="C123" s="323">
        <f t="shared" ref="C123:AG123" si="157">C87+C$116</f>
        <v>6379200</v>
      </c>
      <c r="D123" s="323">
        <f t="shared" si="157"/>
        <v>6444240</v>
      </c>
      <c r="E123" s="323">
        <f t="shared" si="157"/>
        <v>6517528</v>
      </c>
      <c r="F123" s="323">
        <f t="shared" si="157"/>
        <v>6599066.5999999996</v>
      </c>
      <c r="G123" s="323">
        <f t="shared" si="157"/>
        <v>6688768.2699999996</v>
      </c>
      <c r="H123" s="323">
        <f t="shared" si="157"/>
        <v>7186554.8564999998</v>
      </c>
      <c r="I123" s="323">
        <f t="shared" si="157"/>
        <v>7316576.6622400004</v>
      </c>
      <c r="J123" s="323">
        <f t="shared" si="157"/>
        <v>7453953.5957503999</v>
      </c>
      <c r="K123" s="323">
        <f t="shared" si="157"/>
        <v>7598707.4519203836</v>
      </c>
      <c r="L123" s="323">
        <f t="shared" si="157"/>
        <v>7750963.1538435686</v>
      </c>
      <c r="M123" s="323">
        <f t="shared" si="157"/>
        <v>7910848.6276898254</v>
      </c>
      <c r="N123" s="323">
        <f t="shared" si="157"/>
        <v>8078394.6825822331</v>
      </c>
      <c r="O123" s="323">
        <f t="shared" si="157"/>
        <v>8253834.8952789437</v>
      </c>
      <c r="P123" s="323">
        <f t="shared" si="157"/>
        <v>8437205.4994677864</v>
      </c>
      <c r="Q123" s="323">
        <f t="shared" si="157"/>
        <v>8628645.2794890739</v>
      </c>
      <c r="R123" s="323">
        <f t="shared" si="157"/>
        <v>8828295.4683095105</v>
      </c>
      <c r="S123" s="323">
        <f t="shared" si="157"/>
        <v>9076919.4229926057</v>
      </c>
      <c r="T123" s="323">
        <f t="shared" si="157"/>
        <v>9332824.6172225326</v>
      </c>
      <c r="U123" s="323">
        <f t="shared" si="157"/>
        <v>9596211.8633947577</v>
      </c>
      <c r="V123" s="323">
        <f t="shared" si="157"/>
        <v>9867381.982028706</v>
      </c>
      <c r="W123" s="323">
        <f t="shared" si="157"/>
        <v>10146535.801848993</v>
      </c>
      <c r="X123" s="323">
        <f t="shared" si="157"/>
        <v>10433874.159867482</v>
      </c>
      <c r="Y123" s="323">
        <f t="shared" si="157"/>
        <v>10729597.901466157</v>
      </c>
      <c r="Z123" s="323">
        <f t="shared" si="157"/>
        <v>11034107.880480818</v>
      </c>
      <c r="AA123" s="323">
        <f t="shared" si="157"/>
        <v>11347504.959285626</v>
      </c>
      <c r="AB123" s="323">
        <f t="shared" si="157"/>
        <v>11670190.008878483</v>
      </c>
      <c r="AC123" s="323">
        <f t="shared" si="157"/>
        <v>12002363.908967268</v>
      </c>
      <c r="AD123" s="323">
        <f t="shared" si="157"/>
        <v>12344327.548056941</v>
      </c>
      <c r="AE123" s="323">
        <f t="shared" si="157"/>
        <v>12696381.82353751</v>
      </c>
      <c r="AF123" s="323">
        <f t="shared" si="157"/>
        <v>13058827.641772885</v>
      </c>
      <c r="AG123" s="323">
        <f t="shared" si="157"/>
        <v>13431965.918190613</v>
      </c>
      <c r="AH123" s="409"/>
      <c r="AI123" s="409"/>
      <c r="AJ123" s="409"/>
      <c r="AK123" s="409"/>
      <c r="AL123" s="148">
        <v>400000</v>
      </c>
      <c r="AM123" s="907"/>
    </row>
    <row r="124" spans="1:39">
      <c r="A124" s="408" t="s">
        <v>132</v>
      </c>
      <c r="B124" s="408">
        <f>'No change with year'!$D$47</f>
        <v>1200</v>
      </c>
      <c r="C124" s="323">
        <f t="shared" ref="C124:AG124" si="158">C88+C$116</f>
        <v>5879200</v>
      </c>
      <c r="D124" s="323">
        <f t="shared" si="158"/>
        <v>5929240</v>
      </c>
      <c r="E124" s="323">
        <f t="shared" si="158"/>
        <v>5987128</v>
      </c>
      <c r="F124" s="323">
        <f t="shared" si="158"/>
        <v>6052766.5999999996</v>
      </c>
      <c r="G124" s="323">
        <f t="shared" si="158"/>
        <v>6126068.2699999996</v>
      </c>
      <c r="H124" s="323">
        <f t="shared" si="158"/>
        <v>6606954.8564999998</v>
      </c>
      <c r="I124" s="323">
        <f t="shared" si="158"/>
        <v>6719676.6622400004</v>
      </c>
      <c r="J124" s="323">
        <f t="shared" si="158"/>
        <v>6839153.5957503999</v>
      </c>
      <c r="K124" s="323">
        <f t="shared" si="158"/>
        <v>6965507.4519203836</v>
      </c>
      <c r="L124" s="323">
        <f t="shared" si="158"/>
        <v>7098763.1538435686</v>
      </c>
      <c r="M124" s="323">
        <f t="shared" si="158"/>
        <v>7239048.6276898254</v>
      </c>
      <c r="N124" s="323">
        <f t="shared" si="158"/>
        <v>7386494.6825822331</v>
      </c>
      <c r="O124" s="323">
        <f t="shared" si="158"/>
        <v>7541134.8952789437</v>
      </c>
      <c r="P124" s="323">
        <f t="shared" si="158"/>
        <v>7703105.4994677855</v>
      </c>
      <c r="Q124" s="323">
        <f t="shared" si="158"/>
        <v>7872445.2794890739</v>
      </c>
      <c r="R124" s="323">
        <f t="shared" si="158"/>
        <v>8049395.4683095114</v>
      </c>
      <c r="S124" s="323">
        <f t="shared" si="158"/>
        <v>8274619.4229926057</v>
      </c>
      <c r="T124" s="323">
        <f t="shared" si="158"/>
        <v>8506424.6172225326</v>
      </c>
      <c r="U124" s="323">
        <f t="shared" si="158"/>
        <v>8745011.8633947577</v>
      </c>
      <c r="V124" s="323">
        <f t="shared" si="158"/>
        <v>8990581.982028706</v>
      </c>
      <c r="W124" s="323">
        <f t="shared" si="158"/>
        <v>9243435.8018489927</v>
      </c>
      <c r="X124" s="323">
        <f t="shared" si="158"/>
        <v>9503674.1598674823</v>
      </c>
      <c r="Y124" s="323">
        <f t="shared" si="158"/>
        <v>9771497.9014661573</v>
      </c>
      <c r="Z124" s="323">
        <f t="shared" si="158"/>
        <v>10047207.880480818</v>
      </c>
      <c r="AA124" s="323">
        <f t="shared" si="158"/>
        <v>10331004.959285626</v>
      </c>
      <c r="AB124" s="323">
        <f t="shared" si="158"/>
        <v>10623190.008878483</v>
      </c>
      <c r="AC124" s="323">
        <f t="shared" si="158"/>
        <v>10923963.908967268</v>
      </c>
      <c r="AD124" s="323">
        <f t="shared" si="158"/>
        <v>11233527.548056941</v>
      </c>
      <c r="AE124" s="323">
        <f t="shared" si="158"/>
        <v>11552181.82353751</v>
      </c>
      <c r="AF124" s="323">
        <f t="shared" si="158"/>
        <v>11880227.641772885</v>
      </c>
      <c r="AG124" s="323">
        <f t="shared" si="158"/>
        <v>12217965.918190613</v>
      </c>
      <c r="AH124" s="409"/>
      <c r="AI124" s="409"/>
      <c r="AJ124" s="409"/>
      <c r="AK124" s="409"/>
      <c r="AL124" s="148">
        <v>400000</v>
      </c>
      <c r="AM124" s="907"/>
    </row>
    <row r="125" spans="1:39">
      <c r="A125" s="408" t="s">
        <v>133</v>
      </c>
      <c r="B125" s="408">
        <f>'No change with year'!$D$47</f>
        <v>1200</v>
      </c>
      <c r="C125" s="323">
        <f t="shared" ref="C125:AG125" si="159">C89+C$116</f>
        <v>6579200</v>
      </c>
      <c r="D125" s="323">
        <f t="shared" si="159"/>
        <v>6650240</v>
      </c>
      <c r="E125" s="323">
        <f t="shared" si="159"/>
        <v>6729728</v>
      </c>
      <c r="F125" s="323">
        <f t="shared" si="159"/>
        <v>6817566.5999999996</v>
      </c>
      <c r="G125" s="323">
        <f t="shared" si="159"/>
        <v>6913768.2699999996</v>
      </c>
      <c r="H125" s="323">
        <f t="shared" si="159"/>
        <v>7418254.8564999998</v>
      </c>
      <c r="I125" s="323">
        <f t="shared" si="159"/>
        <v>7555276.6622400004</v>
      </c>
      <c r="J125" s="323">
        <f t="shared" si="159"/>
        <v>7699853.5957503999</v>
      </c>
      <c r="K125" s="323">
        <f t="shared" si="159"/>
        <v>7852007.4519203836</v>
      </c>
      <c r="L125" s="323">
        <f t="shared" si="159"/>
        <v>8011863.1538435686</v>
      </c>
      <c r="M125" s="323">
        <f t="shared" si="159"/>
        <v>8179548.6276898254</v>
      </c>
      <c r="N125" s="323">
        <f t="shared" si="159"/>
        <v>8355194.6825822331</v>
      </c>
      <c r="O125" s="323">
        <f t="shared" si="159"/>
        <v>8538934.8952789437</v>
      </c>
      <c r="P125" s="323">
        <f t="shared" si="159"/>
        <v>8730805.4994677864</v>
      </c>
      <c r="Q125" s="323">
        <f t="shared" si="159"/>
        <v>8931045.2794890739</v>
      </c>
      <c r="R125" s="323">
        <f t="shared" si="159"/>
        <v>9139695.4683095105</v>
      </c>
      <c r="S125" s="323">
        <f t="shared" si="159"/>
        <v>9397619.4229926057</v>
      </c>
      <c r="T125" s="323">
        <f t="shared" si="159"/>
        <v>9663124.6172225326</v>
      </c>
      <c r="U125" s="323">
        <f t="shared" si="159"/>
        <v>9936411.8633947577</v>
      </c>
      <c r="V125" s="323">
        <f t="shared" si="159"/>
        <v>10217781.982028706</v>
      </c>
      <c r="W125" s="323">
        <f t="shared" si="159"/>
        <v>10507435.801848993</v>
      </c>
      <c r="X125" s="323">
        <f t="shared" si="159"/>
        <v>10805574.159867482</v>
      </c>
      <c r="Y125" s="323">
        <f t="shared" si="159"/>
        <v>11112497.901466157</v>
      </c>
      <c r="Z125" s="323">
        <f t="shared" si="159"/>
        <v>11428407.880480818</v>
      </c>
      <c r="AA125" s="323">
        <f t="shared" si="159"/>
        <v>11753704.959285626</v>
      </c>
      <c r="AB125" s="323">
        <f t="shared" si="159"/>
        <v>12088590.008878483</v>
      </c>
      <c r="AC125" s="323">
        <f t="shared" si="159"/>
        <v>12433263.908967268</v>
      </c>
      <c r="AD125" s="323">
        <f t="shared" si="159"/>
        <v>12788127.548056941</v>
      </c>
      <c r="AE125" s="323">
        <f t="shared" si="159"/>
        <v>13153481.82353751</v>
      </c>
      <c r="AF125" s="323">
        <f t="shared" si="159"/>
        <v>13529627.641772885</v>
      </c>
      <c r="AG125" s="323">
        <f t="shared" si="159"/>
        <v>13916865.918190613</v>
      </c>
      <c r="AH125" s="409"/>
      <c r="AI125" s="409"/>
      <c r="AJ125" s="409"/>
      <c r="AK125" s="409"/>
      <c r="AL125" s="148">
        <v>400000</v>
      </c>
      <c r="AM125" s="907"/>
    </row>
    <row r="126" spans="1:39">
      <c r="A126" s="408"/>
      <c r="B126" s="408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  <c r="S126" s="323"/>
      <c r="T126" s="323"/>
      <c r="U126" s="323"/>
      <c r="V126" s="323"/>
      <c r="W126" s="323"/>
      <c r="X126" s="323"/>
      <c r="Y126" s="323"/>
      <c r="Z126" s="323"/>
      <c r="AA126" s="323"/>
      <c r="AB126" s="323"/>
      <c r="AC126" s="323"/>
      <c r="AD126" s="323"/>
      <c r="AE126" s="323"/>
      <c r="AF126" s="323"/>
      <c r="AG126" s="323"/>
      <c r="AH126" s="409"/>
      <c r="AI126" s="409"/>
      <c r="AJ126" s="409"/>
      <c r="AK126" s="409"/>
      <c r="AL126" s="148"/>
    </row>
    <row r="127" spans="1:39" s="1" customFormat="1">
      <c r="A127" s="525" t="s">
        <v>134</v>
      </c>
      <c r="B127" s="522" t="s">
        <v>85</v>
      </c>
      <c r="C127" s="399">
        <v>2025</v>
      </c>
      <c r="D127" s="399">
        <v>2026</v>
      </c>
      <c r="E127" s="399">
        <v>2027</v>
      </c>
      <c r="F127" s="399">
        <v>2028</v>
      </c>
      <c r="G127" s="399">
        <v>2029</v>
      </c>
      <c r="H127" s="399">
        <v>2030</v>
      </c>
      <c r="I127" s="399">
        <v>2031</v>
      </c>
      <c r="J127" s="399">
        <v>2032</v>
      </c>
      <c r="K127" s="399">
        <v>2033</v>
      </c>
      <c r="L127" s="399">
        <v>2034</v>
      </c>
      <c r="M127" s="399">
        <v>2035</v>
      </c>
      <c r="N127" s="399">
        <v>2036</v>
      </c>
      <c r="O127" s="399">
        <v>2037</v>
      </c>
      <c r="P127" s="399">
        <v>2038</v>
      </c>
      <c r="Q127" s="399">
        <v>2039</v>
      </c>
      <c r="R127" s="399">
        <v>2040</v>
      </c>
      <c r="S127" s="399">
        <v>2041</v>
      </c>
      <c r="T127" s="399">
        <v>2042</v>
      </c>
      <c r="U127" s="399">
        <v>2043</v>
      </c>
      <c r="V127" s="399">
        <v>2044</v>
      </c>
      <c r="W127" s="399">
        <v>2045</v>
      </c>
      <c r="X127" s="399">
        <v>2046</v>
      </c>
      <c r="Y127" s="399">
        <v>2047</v>
      </c>
      <c r="Z127" s="399">
        <v>2048</v>
      </c>
      <c r="AA127" s="399">
        <v>2049</v>
      </c>
      <c r="AB127" s="399">
        <v>2050</v>
      </c>
      <c r="AC127" s="399">
        <v>2051</v>
      </c>
      <c r="AD127" s="399">
        <v>2052</v>
      </c>
      <c r="AE127" s="399">
        <v>2053</v>
      </c>
      <c r="AF127" s="399">
        <v>2054</v>
      </c>
      <c r="AG127" s="399">
        <v>2055</v>
      </c>
      <c r="AH127" s="481" t="s">
        <v>677</v>
      </c>
      <c r="AI127" s="482" t="s">
        <v>676</v>
      </c>
      <c r="AJ127" s="482"/>
      <c r="AK127" s="523"/>
    </row>
    <row r="128" spans="1:39" s="4" customFormat="1" ht="28.8">
      <c r="A128" s="414" t="s">
        <v>135</v>
      </c>
      <c r="B128" s="414"/>
      <c r="C128" s="334">
        <f>'No change with year'!D34</f>
        <v>0.5</v>
      </c>
      <c r="D128" s="334">
        <f>C128</f>
        <v>0.5</v>
      </c>
      <c r="E128" s="334">
        <f t="shared" ref="E128:AG128" si="160">D128</f>
        <v>0.5</v>
      </c>
      <c r="F128" s="334">
        <f>'No change with year'!E34</f>
        <v>0.45</v>
      </c>
      <c r="G128" s="334">
        <f>'No change with year'!F34</f>
        <v>0.4</v>
      </c>
      <c r="H128" s="334">
        <f>'No change with year'!G34</f>
        <v>0.35</v>
      </c>
      <c r="I128" s="334">
        <f>'No change with year'!H34</f>
        <v>0.3</v>
      </c>
      <c r="J128" s="334">
        <f t="shared" si="160"/>
        <v>0.3</v>
      </c>
      <c r="K128" s="334">
        <f t="shared" si="160"/>
        <v>0.3</v>
      </c>
      <c r="L128" s="334">
        <f t="shared" si="160"/>
        <v>0.3</v>
      </c>
      <c r="M128" s="334">
        <f t="shared" si="160"/>
        <v>0.3</v>
      </c>
      <c r="N128" s="334">
        <f t="shared" si="160"/>
        <v>0.3</v>
      </c>
      <c r="O128" s="334">
        <f t="shared" si="160"/>
        <v>0.3</v>
      </c>
      <c r="P128" s="334">
        <f t="shared" si="160"/>
        <v>0.3</v>
      </c>
      <c r="Q128" s="334">
        <f t="shared" si="160"/>
        <v>0.3</v>
      </c>
      <c r="R128" s="334">
        <f t="shared" si="160"/>
        <v>0.3</v>
      </c>
      <c r="S128" s="334">
        <f>'No change with year'!I34</f>
        <v>0.25</v>
      </c>
      <c r="T128" s="334">
        <f t="shared" si="160"/>
        <v>0.25</v>
      </c>
      <c r="U128" s="334">
        <f t="shared" si="160"/>
        <v>0.25</v>
      </c>
      <c r="V128" s="334">
        <f t="shared" si="160"/>
        <v>0.25</v>
      </c>
      <c r="W128" s="334">
        <f t="shared" si="160"/>
        <v>0.25</v>
      </c>
      <c r="X128" s="334">
        <f t="shared" si="160"/>
        <v>0.25</v>
      </c>
      <c r="Y128" s="334">
        <f t="shared" si="160"/>
        <v>0.25</v>
      </c>
      <c r="Z128" s="334">
        <f t="shared" si="160"/>
        <v>0.25</v>
      </c>
      <c r="AA128" s="334">
        <f t="shared" si="160"/>
        <v>0.25</v>
      </c>
      <c r="AB128" s="334">
        <f t="shared" si="160"/>
        <v>0.25</v>
      </c>
      <c r="AC128" s="334">
        <f t="shared" si="160"/>
        <v>0.25</v>
      </c>
      <c r="AD128" s="334">
        <f t="shared" si="160"/>
        <v>0.25</v>
      </c>
      <c r="AE128" s="334">
        <f t="shared" si="160"/>
        <v>0.25</v>
      </c>
      <c r="AF128" s="334">
        <f t="shared" si="160"/>
        <v>0.25</v>
      </c>
      <c r="AG128" s="334">
        <f t="shared" si="160"/>
        <v>0.25</v>
      </c>
      <c r="AH128" s="483">
        <v>0</v>
      </c>
      <c r="AI128" s="483">
        <v>0</v>
      </c>
      <c r="AJ128" s="483"/>
      <c r="AK128" s="483"/>
      <c r="AL128" s="505" t="s">
        <v>675</v>
      </c>
      <c r="AM128" s="441"/>
    </row>
    <row r="129" spans="1:39" ht="15.75" customHeight="1">
      <c r="A129" s="408" t="s">
        <v>136</v>
      </c>
      <c r="B129" s="408">
        <f>B48</f>
        <v>200</v>
      </c>
      <c r="C129" s="323">
        <f t="shared" ref="C129:G130" si="161">(C81-C26+C37+C48)+C$128*(C48+C37)-$AH129</f>
        <v>6545000</v>
      </c>
      <c r="D129" s="323">
        <f t="shared" si="161"/>
        <v>6465950</v>
      </c>
      <c r="E129" s="323">
        <f t="shared" si="161"/>
        <v>6392518.25</v>
      </c>
      <c r="F129" s="323">
        <f t="shared" si="161"/>
        <v>6168113.1153750001</v>
      </c>
      <c r="G129" s="323">
        <f t="shared" si="161"/>
        <v>5956927.291932499</v>
      </c>
      <c r="H129" s="323">
        <f>(H81-H26+H37+H48)+H$128*(H48+H37)-(AL81-AL129)-$AH129</f>
        <v>5958461.6876073144</v>
      </c>
      <c r="I129" s="323">
        <f t="shared" ref="I129:J132" si="162">(I81-I26+I37+I48)+I$128*(I48+I37)-($AL81-$AL129)*(1+$AH81)-$AI129</f>
        <v>5799092.1515839696</v>
      </c>
      <c r="J129" s="323">
        <f t="shared" si="162"/>
        <v>5798401.3385372935</v>
      </c>
      <c r="K129" s="323">
        <f t="shared" ref="K129:M132" si="163">(K81-K26+K37+K48)+K$128*(K48+K37)-($AL81-$AL129)*(1+$AH81)-$AI129</f>
        <v>5801575.3132947022</v>
      </c>
      <c r="L129" s="323">
        <f t="shared" si="163"/>
        <v>5808671.5176340211</v>
      </c>
      <c r="M129" s="323">
        <f t="shared" si="163"/>
        <v>5819748.2224068539</v>
      </c>
      <c r="N129" s="323">
        <f t="shared" ref="N129:AG129" si="164">(N81-N26+N37+N48)+N$128*(N48+N37)-($AL81-$AL129)*(1+$AH81)</f>
        <v>5834764.5027752183</v>
      </c>
      <c r="O129" s="323">
        <f t="shared" si="164"/>
        <v>5853880.2139799157</v>
      </c>
      <c r="P129" s="323">
        <f t="shared" si="164"/>
        <v>5877055.9676256813</v>
      </c>
      <c r="Q129" s="323">
        <f t="shared" si="164"/>
        <v>5904353.1084684543</v>
      </c>
      <c r="R129" s="323">
        <f t="shared" si="164"/>
        <v>5935833.6916904896</v>
      </c>
      <c r="S129" s="323">
        <f t="shared" si="164"/>
        <v>5903509.707977633</v>
      </c>
      <c r="T129" s="323">
        <f t="shared" si="164"/>
        <v>5997391.624826571</v>
      </c>
      <c r="U129" s="323">
        <f t="shared" si="164"/>
        <v>6094691.9688977553</v>
      </c>
      <c r="V129" s="323">
        <f t="shared" si="164"/>
        <v>6195504.5141078997</v>
      </c>
      <c r="W129" s="323">
        <f t="shared" si="164"/>
        <v>6299922.9497309402</v>
      </c>
      <c r="X129" s="323">
        <f t="shared" si="164"/>
        <v>6408040.8780457191</v>
      </c>
      <c r="Y129" s="323">
        <f t="shared" si="164"/>
        <v>6519951.811940603</v>
      </c>
      <c r="Z129" s="323">
        <f t="shared" si="164"/>
        <v>6635749.1724741291</v>
      </c>
      <c r="AA129" s="323">
        <f t="shared" si="164"/>
        <v>6755526.2863907004</v>
      </c>
      <c r="AB129" s="323">
        <f t="shared" si="164"/>
        <v>6879476.3835904105</v>
      </c>
      <c r="AC129" s="323">
        <f t="shared" si="164"/>
        <v>7039916.9659553748</v>
      </c>
      <c r="AD129" s="323">
        <f t="shared" si="164"/>
        <v>7204716.690514571</v>
      </c>
      <c r="AE129" s="323">
        <f t="shared" si="164"/>
        <v>7374071.7034173505</v>
      </c>
      <c r="AF129" s="323">
        <f t="shared" si="164"/>
        <v>7548078.0433691107</v>
      </c>
      <c r="AG129" s="323">
        <f t="shared" si="164"/>
        <v>7726831.6391787417</v>
      </c>
      <c r="AH129" s="485">
        <f>$AH$128*$B129</f>
        <v>0</v>
      </c>
      <c r="AI129" s="485">
        <f>$AI$128*$B129</f>
        <v>0</v>
      </c>
      <c r="AJ129" s="483"/>
      <c r="AK129" s="483"/>
      <c r="AL129" s="484">
        <v>200000</v>
      </c>
      <c r="AM129" s="907" t="s">
        <v>671</v>
      </c>
    </row>
    <row r="130" spans="1:39">
      <c r="A130" s="408" t="s">
        <v>137</v>
      </c>
      <c r="B130" s="408">
        <f t="shared" ref="B130:B137" si="165">B49</f>
        <v>200</v>
      </c>
      <c r="C130" s="323">
        <f t="shared" si="161"/>
        <v>7195000</v>
      </c>
      <c r="D130" s="323">
        <f t="shared" si="161"/>
        <v>7136450</v>
      </c>
      <c r="E130" s="323">
        <f t="shared" si="161"/>
        <v>7084178.25</v>
      </c>
      <c r="F130" s="323">
        <f t="shared" si="161"/>
        <v>6881492.3153749993</v>
      </c>
      <c r="G130" s="323">
        <f t="shared" si="161"/>
        <v>6692784.075932499</v>
      </c>
      <c r="H130" s="323">
        <f t="shared" ref="H130:H137" si="166">(H82-H27+H38+H49)+H$128*(H49+H38)-(AL82-AL130)-$AH130</f>
        <v>6717553.6072873157</v>
      </c>
      <c r="I130" s="323">
        <f t="shared" si="162"/>
        <v>6581975.9096575696</v>
      </c>
      <c r="J130" s="323">
        <f t="shared" si="162"/>
        <v>6605932.771772366</v>
      </c>
      <c r="K130" s="323">
        <f t="shared" si="163"/>
        <v>6634509.375194476</v>
      </c>
      <c r="L130" s="323">
        <f t="shared" si="163"/>
        <v>6667762.2607717896</v>
      </c>
      <c r="M130" s="323">
        <f t="shared" si="163"/>
        <v>6705848.7804073775</v>
      </c>
      <c r="N130" s="323">
        <f t="shared" ref="N130:AG130" si="167">(N82-N27+N38+N49)+N$128*(N49+N38)-($AL82-$AL130)*(1+$AH82)</f>
        <v>6748727.0719357524</v>
      </c>
      <c r="O130" s="323">
        <f t="shared" si="167"/>
        <v>6796456.0345236612</v>
      </c>
      <c r="P130" s="323">
        <f t="shared" si="167"/>
        <v>6849195.304580301</v>
      </c>
      <c r="Q130" s="323">
        <f t="shared" si="167"/>
        <v>6907005.2321621682</v>
      </c>
      <c r="R130" s="323">
        <f t="shared" si="167"/>
        <v>6969946.8578580767</v>
      </c>
      <c r="S130" s="323">
        <f t="shared" si="167"/>
        <v>6970031.1374685708</v>
      </c>
      <c r="T130" s="323">
        <f t="shared" si="167"/>
        <v>7097267.4829073288</v>
      </c>
      <c r="U130" s="323">
        <f t="shared" si="167"/>
        <v>7228967.3441401282</v>
      </c>
      <c r="V130" s="323">
        <f t="shared" si="167"/>
        <v>7365223.3968551196</v>
      </c>
      <c r="W130" s="323">
        <f t="shared" si="167"/>
        <v>7506128.2101331046</v>
      </c>
      <c r="X130" s="323">
        <f t="shared" si="167"/>
        <v>7651874.2436559275</v>
      </c>
      <c r="Y130" s="323">
        <f t="shared" si="167"/>
        <v>7802553.8448630162</v>
      </c>
      <c r="Z130" s="323">
        <f t="shared" si="167"/>
        <v>7958359.2460549884</v>
      </c>
      <c r="AA130" s="323">
        <f t="shared" si="167"/>
        <v>8119482.5614431789</v>
      </c>
      <c r="AB130" s="323">
        <f t="shared" si="167"/>
        <v>8286015.7841439396</v>
      </c>
      <c r="AC130" s="323">
        <f t="shared" si="167"/>
        <v>8490275.1545199715</v>
      </c>
      <c r="AD130" s="323">
        <f t="shared" si="167"/>
        <v>8700328.042850459</v>
      </c>
      <c r="AE130" s="323">
        <f t="shared" si="167"/>
        <v>8916269.2827999573</v>
      </c>
      <c r="AF130" s="323">
        <f t="shared" si="167"/>
        <v>9138293.5743393712</v>
      </c>
      <c r="AG130" s="323">
        <f t="shared" si="167"/>
        <v>9366495.4807684068</v>
      </c>
      <c r="AH130" s="485">
        <f>$AH$128*$B130</f>
        <v>0</v>
      </c>
      <c r="AI130" s="485">
        <f t="shared" ref="AI130:AI137" si="168">$AI$128*$B130</f>
        <v>0</v>
      </c>
      <c r="AJ130" s="483"/>
      <c r="AK130" s="483"/>
      <c r="AL130" s="484">
        <v>200000</v>
      </c>
      <c r="AM130" s="907"/>
    </row>
    <row r="131" spans="1:39">
      <c r="A131" s="408" t="s">
        <v>138</v>
      </c>
      <c r="B131" s="408">
        <f t="shared" si="165"/>
        <v>250</v>
      </c>
      <c r="C131" s="323">
        <f t="shared" ref="C131:G137" si="169">(C83-C28+C39+C50)+C$128*(C50+C39)-$AH131</f>
        <v>8762500</v>
      </c>
      <c r="D131" s="323">
        <f t="shared" ref="D131:G132" si="170">(D83-D28+D39+D50)+D$128*(D50+D39)-$AH131</f>
        <v>8717812.5</v>
      </c>
      <c r="E131" s="323">
        <f t="shared" si="170"/>
        <v>8680260.3125</v>
      </c>
      <c r="F131" s="323">
        <f t="shared" si="170"/>
        <v>8469695.4242187478</v>
      </c>
      <c r="G131" s="323">
        <f t="shared" si="170"/>
        <v>8274669.5015156232</v>
      </c>
      <c r="H131" s="323">
        <f t="shared" si="166"/>
        <v>8294864.0149131436</v>
      </c>
      <c r="I131" s="323">
        <f t="shared" si="162"/>
        <v>8150469.0729664434</v>
      </c>
      <c r="J131" s="323">
        <f t="shared" si="162"/>
        <v>8189719.1732768454</v>
      </c>
      <c r="K131" s="323">
        <f t="shared" si="163"/>
        <v>8234941.3452852368</v>
      </c>
      <c r="L131" s="323">
        <f t="shared" si="163"/>
        <v>8286082.814806655</v>
      </c>
      <c r="M131" s="323">
        <f t="shared" si="163"/>
        <v>8343291.841451671</v>
      </c>
      <c r="N131" s="323">
        <f t="shared" ref="N131:AG131" si="171">(N83-N28+N39+N50)+N$128*(N50+N39)-($AL83-$AL131)*(1+$AH83)</f>
        <v>8406717.6877314448</v>
      </c>
      <c r="O131" s="323">
        <f t="shared" si="171"/>
        <v>8476310.5888275169</v>
      </c>
      <c r="P131" s="323">
        <f t="shared" si="171"/>
        <v>8552221.7230076771</v>
      </c>
      <c r="Q131" s="323">
        <f t="shared" si="171"/>
        <v>8634603.1826695986</v>
      </c>
      <c r="R131" s="323">
        <f t="shared" si="171"/>
        <v>8723507.9459943771</v>
      </c>
      <c r="S131" s="323">
        <f t="shared" si="171"/>
        <v>8740349.6858302075</v>
      </c>
      <c r="T131" s="323">
        <f t="shared" si="171"/>
        <v>8903390.2565065324</v>
      </c>
      <c r="U131" s="323">
        <f t="shared" si="171"/>
        <v>9072124.7089389451</v>
      </c>
      <c r="V131" s="323">
        <f t="shared" si="171"/>
        <v>9246745.0033202656</v>
      </c>
      <c r="W131" s="323">
        <f t="shared" si="171"/>
        <v>9427342.9921542015</v>
      </c>
      <c r="X131" s="323">
        <f t="shared" si="171"/>
        <v>9614210.4173098318</v>
      </c>
      <c r="Y131" s="323">
        <f t="shared" si="171"/>
        <v>9807438.9070224576</v>
      </c>
      <c r="Z131" s="323">
        <f t="shared" si="171"/>
        <v>10007219.972839754</v>
      </c>
      <c r="AA131" s="323">
        <f t="shared" si="171"/>
        <v>10213745.006511951</v>
      </c>
      <c r="AB131" s="323">
        <f t="shared" si="171"/>
        <v>10427205.276824918</v>
      </c>
      <c r="AC131" s="323">
        <f t="shared" si="171"/>
        <v>10688072.390629146</v>
      </c>
      <c r="AD131" s="323">
        <f t="shared" si="171"/>
        <v>10956256.896792136</v>
      </c>
      <c r="AE131" s="323">
        <f t="shared" si="171"/>
        <v>11232053.703661891</v>
      </c>
      <c r="AF131" s="323">
        <f t="shared" si="171"/>
        <v>11515657.583358379</v>
      </c>
      <c r="AG131" s="323">
        <f t="shared" si="171"/>
        <v>11807263.168705029</v>
      </c>
      <c r="AH131" s="485">
        <f t="shared" ref="AH131:AH137" si="172">$AH$128*$B131</f>
        <v>0</v>
      </c>
      <c r="AI131" s="485">
        <f t="shared" si="168"/>
        <v>0</v>
      </c>
      <c r="AJ131" s="483"/>
      <c r="AK131" s="483"/>
      <c r="AL131" s="484">
        <v>200000</v>
      </c>
      <c r="AM131" s="907"/>
    </row>
    <row r="132" spans="1:39">
      <c r="A132" s="408" t="s">
        <v>139</v>
      </c>
      <c r="B132" s="408">
        <f t="shared" si="165"/>
        <v>250</v>
      </c>
      <c r="C132" s="323">
        <f t="shared" si="169"/>
        <v>9612500</v>
      </c>
      <c r="D132" s="323">
        <f t="shared" si="170"/>
        <v>9561812.5</v>
      </c>
      <c r="E132" s="323">
        <f t="shared" si="170"/>
        <v>9519380.3125</v>
      </c>
      <c r="F132" s="323">
        <f t="shared" si="170"/>
        <v>9291655.5842187498</v>
      </c>
      <c r="G132" s="323">
        <f t="shared" si="170"/>
        <v>9081595.0567156244</v>
      </c>
      <c r="H132" s="323">
        <f t="shared" si="166"/>
        <v>9088789.9574411437</v>
      </c>
      <c r="I132" s="323">
        <f t="shared" si="162"/>
        <v>8942884.4715098031</v>
      </c>
      <c r="J132" s="323">
        <f t="shared" si="162"/>
        <v>8993286.4178347718</v>
      </c>
      <c r="K132" s="323">
        <f t="shared" si="163"/>
        <v>9050091.9173975829</v>
      </c>
      <c r="L132" s="323">
        <f t="shared" si="163"/>
        <v>9113347.8811978772</v>
      </c>
      <c r="M132" s="323">
        <f t="shared" si="163"/>
        <v>9183202.2571789827</v>
      </c>
      <c r="N132" s="323">
        <f t="shared" ref="N132:AG132" si="173">(N84-N29+N40+N51)+N$128*(N51+N40)-($AL84-$AL132)*(1+$AH84)</f>
        <v>9259703.999301482</v>
      </c>
      <c r="O132" s="323">
        <f t="shared" si="173"/>
        <v>9342903.0372818541</v>
      </c>
      <c r="P132" s="323">
        <f t="shared" si="173"/>
        <v>9432950.2469774745</v>
      </c>
      <c r="Q132" s="323">
        <f t="shared" si="173"/>
        <v>9529997.4213996939</v>
      </c>
      <c r="R132" s="323">
        <f t="shared" si="173"/>
        <v>9634197.242337171</v>
      </c>
      <c r="S132" s="323">
        <f t="shared" si="173"/>
        <v>9661443.137086194</v>
      </c>
      <c r="T132" s="323">
        <f t="shared" si="173"/>
        <v>9846576.6422750745</v>
      </c>
      <c r="U132" s="323">
        <f t="shared" si="173"/>
        <v>10037931.958565174</v>
      </c>
      <c r="V132" s="323">
        <f t="shared" si="173"/>
        <v>10235801.325442757</v>
      </c>
      <c r="W132" s="323">
        <f t="shared" si="173"/>
        <v>10440376.877497919</v>
      </c>
      <c r="X132" s="323">
        <f t="shared" si="173"/>
        <v>10651750.641506985</v>
      </c>
      <c r="Y132" s="323">
        <f t="shared" si="173"/>
        <v>10870214.533461582</v>
      </c>
      <c r="Z132" s="323">
        <f t="shared" si="173"/>
        <v>11095960.355543271</v>
      </c>
      <c r="AA132" s="323">
        <f t="shared" si="173"/>
        <v>11329179.793042503</v>
      </c>
      <c r="AB132" s="323">
        <f t="shared" si="173"/>
        <v>11570064.411220774</v>
      </c>
      <c r="AC132" s="323">
        <f t="shared" si="173"/>
        <v>11859086.116368961</v>
      </c>
      <c r="AD132" s="323">
        <f t="shared" si="173"/>
        <v>12156255.75978935</v>
      </c>
      <c r="AE132" s="323">
        <f t="shared" si="173"/>
        <v>12461768.555289077</v>
      </c>
      <c r="AF132" s="323">
        <f t="shared" si="173"/>
        <v>12775919.583501836</v>
      </c>
      <c r="AG132" s="323">
        <f t="shared" si="173"/>
        <v>13099003.788849922</v>
      </c>
      <c r="AH132" s="485">
        <f t="shared" si="172"/>
        <v>0</v>
      </c>
      <c r="AI132" s="485">
        <f t="shared" si="168"/>
        <v>0</v>
      </c>
      <c r="AJ132" s="483"/>
      <c r="AK132" s="483"/>
      <c r="AL132" s="484">
        <v>200000</v>
      </c>
      <c r="AM132" s="907"/>
    </row>
    <row r="133" spans="1:39">
      <c r="A133" s="408" t="s">
        <v>140</v>
      </c>
      <c r="B133" s="408">
        <f t="shared" si="165"/>
        <v>350</v>
      </c>
      <c r="C133" s="323">
        <f t="shared" si="169"/>
        <v>11697500</v>
      </c>
      <c r="D133" s="323">
        <f t="shared" si="169"/>
        <v>11643537.5</v>
      </c>
      <c r="E133" s="323">
        <f t="shared" si="169"/>
        <v>11598724.4375</v>
      </c>
      <c r="F133" s="323">
        <f t="shared" si="169"/>
        <v>11322301.40190625</v>
      </c>
      <c r="G133" s="323">
        <f t="shared" si="169"/>
        <v>11065944.299881874</v>
      </c>
      <c r="H133" s="323">
        <f t="shared" si="166"/>
        <v>11029106.732532801</v>
      </c>
      <c r="I133" s="323">
        <f t="shared" ref="I133:M133" si="174">(I85-I30+I41+I52)+I$128*(I52+I41)-($AL85-$AL133)*(1+$AH85)-$AI133</f>
        <v>10829662.677164346</v>
      </c>
      <c r="J133" s="323">
        <f t="shared" si="174"/>
        <v>10873824.937461264</v>
      </c>
      <c r="K133" s="323">
        <f t="shared" si="174"/>
        <v>10925772.888528993</v>
      </c>
      <c r="L133" s="323">
        <f t="shared" si="174"/>
        <v>10985634.360836491</v>
      </c>
      <c r="M133" s="323">
        <f t="shared" si="174"/>
        <v>11053538.658267831</v>
      </c>
      <c r="N133" s="323">
        <f t="shared" ref="N133:AG133" si="175">(N85-N30+N41+N52)+N$128*(N52+N41)-($AL85-$AL133)*(1+$AH85)</f>
        <v>11129516.515473135</v>
      </c>
      <c r="O133" s="323">
        <f t="shared" si="175"/>
        <v>11213700.056161437</v>
      </c>
      <c r="P133" s="323">
        <f t="shared" si="175"/>
        <v>11306222.752309535</v>
      </c>
      <c r="Q133" s="323">
        <f t="shared" si="175"/>
        <v>11407219.384261414</v>
      </c>
      <c r="R133" s="323">
        <f t="shared" si="175"/>
        <v>11516726.001693565</v>
      </c>
      <c r="S133" s="323">
        <f t="shared" si="175"/>
        <v>11529440.948554937</v>
      </c>
      <c r="T133" s="323">
        <f t="shared" si="175"/>
        <v>11736710.118513862</v>
      </c>
      <c r="U133" s="323">
        <f t="shared" si="175"/>
        <v>11951334.375783993</v>
      </c>
      <c r="V133" s="323">
        <f t="shared" si="175"/>
        <v>12173503.979746658</v>
      </c>
      <c r="W133" s="323">
        <f t="shared" si="175"/>
        <v>12403409.071741201</v>
      </c>
      <c r="X133" s="323">
        <f t="shared" si="175"/>
        <v>12641339.671619896</v>
      </c>
      <c r="Y133" s="323">
        <f t="shared" si="175"/>
        <v>12887485.674241669</v>
      </c>
      <c r="Z133" s="323">
        <f t="shared" si="175"/>
        <v>13142036.845903231</v>
      </c>
      <c r="AA133" s="323">
        <f t="shared" si="175"/>
        <v>13405282.820706291</v>
      </c>
      <c r="AB133" s="323">
        <f t="shared" si="175"/>
        <v>13677513.0968595</v>
      </c>
      <c r="AC133" s="323">
        <f t="shared" si="175"/>
        <v>14015309.682869608</v>
      </c>
      <c r="AD133" s="323">
        <f t="shared" si="175"/>
        <v>14362569.143840648</v>
      </c>
      <c r="AE133" s="323">
        <f t="shared" si="175"/>
        <v>14719586.186704248</v>
      </c>
      <c r="AF133" s="323">
        <f t="shared" si="175"/>
        <v>15086655.367024986</v>
      </c>
      <c r="AG133" s="323">
        <f t="shared" si="175"/>
        <v>15464071.085518004</v>
      </c>
      <c r="AH133" s="485">
        <f t="shared" si="172"/>
        <v>0</v>
      </c>
      <c r="AI133" s="485">
        <f t="shared" si="168"/>
        <v>0</v>
      </c>
      <c r="AJ133" s="483"/>
      <c r="AK133" s="483"/>
      <c r="AL133" s="484">
        <v>200000</v>
      </c>
      <c r="AM133" s="907"/>
    </row>
    <row r="134" spans="1:39">
      <c r="A134" s="408" t="s">
        <v>141</v>
      </c>
      <c r="B134" s="408">
        <f t="shared" si="165"/>
        <v>250</v>
      </c>
      <c r="C134" s="323">
        <f t="shared" si="169"/>
        <v>9812500</v>
      </c>
      <c r="D134" s="323">
        <f t="shared" si="169"/>
        <v>9767812.5</v>
      </c>
      <c r="E134" s="323">
        <f t="shared" si="169"/>
        <v>9731580.3125</v>
      </c>
      <c r="F134" s="323">
        <f t="shared" si="169"/>
        <v>9510255.5842187498</v>
      </c>
      <c r="G134" s="323">
        <f t="shared" si="169"/>
        <v>9306795.0567156244</v>
      </c>
      <c r="H134" s="323">
        <f t="shared" si="166"/>
        <v>9320689.9574411437</v>
      </c>
      <c r="I134" s="323">
        <f t="shared" ref="I134:M134" si="176">(I86-I31+I42+I53)+I$128*(I53+I42)-($AL86-$AL134)*(1+$AH86)-$AI134</f>
        <v>9181784.4715098031</v>
      </c>
      <c r="J134" s="323">
        <f t="shared" si="176"/>
        <v>9239386.4178347718</v>
      </c>
      <c r="K134" s="323">
        <f t="shared" si="176"/>
        <v>9303591.9173975829</v>
      </c>
      <c r="L134" s="323">
        <f t="shared" si="176"/>
        <v>9374447.8811978772</v>
      </c>
      <c r="M134" s="323">
        <f t="shared" si="176"/>
        <v>9452102.2571789827</v>
      </c>
      <c r="N134" s="323">
        <f t="shared" ref="N134:AG134" si="177">(N86-N31+N42+N53)+N$128*(N53+N42)-($AL86-$AL134)*(1+$AH86)</f>
        <v>9536603.999301482</v>
      </c>
      <c r="O134" s="323">
        <f t="shared" si="177"/>
        <v>9628103.0372818541</v>
      </c>
      <c r="P134" s="323">
        <f t="shared" si="177"/>
        <v>9726750.2469774745</v>
      </c>
      <c r="Q134" s="323">
        <f t="shared" si="177"/>
        <v>9832597.4213996939</v>
      </c>
      <c r="R134" s="323">
        <f t="shared" si="177"/>
        <v>9945797.242337171</v>
      </c>
      <c r="S134" s="323">
        <f t="shared" si="177"/>
        <v>9982343.137086194</v>
      </c>
      <c r="T134" s="323">
        <f t="shared" si="177"/>
        <v>10177076.642275074</v>
      </c>
      <c r="U134" s="323">
        <f t="shared" si="177"/>
        <v>10378431.958565174</v>
      </c>
      <c r="V134" s="323">
        <f t="shared" si="177"/>
        <v>10586501.325442757</v>
      </c>
      <c r="W134" s="323">
        <f t="shared" si="177"/>
        <v>10801576.877497919</v>
      </c>
      <c r="X134" s="323">
        <f t="shared" si="177"/>
        <v>11023850.641506985</v>
      </c>
      <c r="Y134" s="323">
        <f t="shared" si="177"/>
        <v>11253514.533461582</v>
      </c>
      <c r="Z134" s="323">
        <f t="shared" si="177"/>
        <v>11490760.355543271</v>
      </c>
      <c r="AA134" s="323">
        <f t="shared" si="177"/>
        <v>11735779.793042503</v>
      </c>
      <c r="AB134" s="323">
        <f t="shared" si="177"/>
        <v>11988864.411220774</v>
      </c>
      <c r="AC134" s="323">
        <f t="shared" si="177"/>
        <v>12290486.116368961</v>
      </c>
      <c r="AD134" s="323">
        <f t="shared" si="177"/>
        <v>12600655.75978935</v>
      </c>
      <c r="AE134" s="323">
        <f t="shared" si="177"/>
        <v>12919568.555289077</v>
      </c>
      <c r="AF134" s="323">
        <f t="shared" si="177"/>
        <v>13247519.583501836</v>
      </c>
      <c r="AG134" s="323">
        <f t="shared" si="177"/>
        <v>13584703.788849922</v>
      </c>
      <c r="AH134" s="485">
        <f t="shared" si="172"/>
        <v>0</v>
      </c>
      <c r="AI134" s="485">
        <f t="shared" si="168"/>
        <v>0</v>
      </c>
      <c r="AJ134" s="483"/>
      <c r="AK134" s="483"/>
      <c r="AL134" s="484">
        <v>200000</v>
      </c>
      <c r="AM134" s="907"/>
    </row>
    <row r="135" spans="1:39">
      <c r="A135" s="408" t="s">
        <v>142</v>
      </c>
      <c r="B135" s="408">
        <f t="shared" si="165"/>
        <v>300</v>
      </c>
      <c r="C135" s="323">
        <f t="shared" si="169"/>
        <v>11055000</v>
      </c>
      <c r="D135" s="323">
        <f t="shared" si="169"/>
        <v>11015175</v>
      </c>
      <c r="E135" s="323">
        <f t="shared" si="169"/>
        <v>10984432.375</v>
      </c>
      <c r="F135" s="323">
        <f t="shared" si="169"/>
        <v>10745668.0930625</v>
      </c>
      <c r="G135" s="323">
        <f t="shared" si="169"/>
        <v>10526198.07029875</v>
      </c>
      <c r="H135" s="323">
        <f t="shared" si="166"/>
        <v>10525494.304826971</v>
      </c>
      <c r="I135" s="323">
        <f t="shared" ref="I135:M135" si="178">(I87-I32+I43+I54)+I$128*(I54+I43)-($AL87-$AL135)*(1+$AH87)-$AI135</f>
        <v>10367315.453373874</v>
      </c>
      <c r="J135" s="323">
        <f t="shared" si="178"/>
        <v>10429621.394265555</v>
      </c>
      <c r="K135" s="323">
        <f t="shared" si="178"/>
        <v>10499449.433913177</v>
      </c>
      <c r="L135" s="323">
        <f t="shared" si="178"/>
        <v>10576936.492586071</v>
      </c>
      <c r="M135" s="323">
        <f t="shared" si="178"/>
        <v>10662220.736723669</v>
      </c>
      <c r="N135" s="323">
        <f t="shared" ref="N135:AG135" si="179">(N87-N32+N43+N54)+N$128*(N54+N43)-($AL87-$AL135)*(1+$AH87)</f>
        <v>10755341.541967576</v>
      </c>
      <c r="O135" s="323">
        <f t="shared" si="179"/>
        <v>10856539.45699352</v>
      </c>
      <c r="P135" s="323">
        <f t="shared" si="179"/>
        <v>10965856.168120814</v>
      </c>
      <c r="Q135" s="323">
        <f t="shared" si="179"/>
        <v>11083434.46467741</v>
      </c>
      <c r="R135" s="323">
        <f t="shared" si="179"/>
        <v>11209418.205099162</v>
      </c>
      <c r="S135" s="323">
        <f t="shared" si="179"/>
        <v>11249102.757566035</v>
      </c>
      <c r="T135" s="323">
        <f t="shared" si="179"/>
        <v>11465581.309434848</v>
      </c>
      <c r="U135" s="323">
        <f t="shared" si="179"/>
        <v>11689470.854795771</v>
      </c>
      <c r="V135" s="323">
        <f t="shared" si="179"/>
        <v>11921062.093968317</v>
      </c>
      <c r="W135" s="323">
        <f t="shared" si="179"/>
        <v>12160545.604820643</v>
      </c>
      <c r="X135" s="323">
        <f t="shared" si="179"/>
        <v>12408111.839368545</v>
      </c>
      <c r="Y135" s="323">
        <f t="shared" si="179"/>
        <v>12663951.12031283</v>
      </c>
      <c r="Z135" s="323">
        <f t="shared" si="179"/>
        <v>12928453.63751368</v>
      </c>
      <c r="AA135" s="323">
        <f t="shared" si="179"/>
        <v>13201709.444400636</v>
      </c>
      <c r="AB135" s="323">
        <f t="shared" si="179"/>
        <v>13484108.454316901</v>
      </c>
      <c r="AC135" s="323">
        <f t="shared" si="179"/>
        <v>13824176.993901582</v>
      </c>
      <c r="AD135" s="323">
        <f t="shared" si="179"/>
        <v>14173868.127982944</v>
      </c>
      <c r="AE135" s="323">
        <f t="shared" si="179"/>
        <v>14533476.160687966</v>
      </c>
      <c r="AF135" s="323">
        <f t="shared" si="179"/>
        <v>14903295.240748541</v>
      </c>
      <c r="AG135" s="323">
        <f t="shared" si="179"/>
        <v>15283619.357978797</v>
      </c>
      <c r="AH135" s="485">
        <f t="shared" si="172"/>
        <v>0</v>
      </c>
      <c r="AI135" s="485">
        <f t="shared" si="168"/>
        <v>0</v>
      </c>
      <c r="AJ135" s="483"/>
      <c r="AK135" s="483"/>
      <c r="AL135" s="484">
        <v>200000</v>
      </c>
      <c r="AM135" s="907"/>
    </row>
    <row r="136" spans="1:39">
      <c r="A136" s="408" t="s">
        <v>143</v>
      </c>
      <c r="B136" s="408">
        <f t="shared" si="165"/>
        <v>300</v>
      </c>
      <c r="C136" s="323">
        <f t="shared" si="169"/>
        <v>10205000</v>
      </c>
      <c r="D136" s="323">
        <f t="shared" si="169"/>
        <v>10170175</v>
      </c>
      <c r="E136" s="323">
        <f t="shared" si="169"/>
        <v>10143352.375</v>
      </c>
      <c r="F136" s="323">
        <f t="shared" si="169"/>
        <v>9920628.7330624983</v>
      </c>
      <c r="G136" s="323">
        <f t="shared" si="169"/>
        <v>9715015.7310987487</v>
      </c>
      <c r="H136" s="323">
        <f t="shared" si="166"/>
        <v>9726076.4426189717</v>
      </c>
      <c r="I136" s="323">
        <f t="shared" ref="I136:M136" si="180">(I88-I33+I44+I55)+I$128*(I55+I44)-($AL88-$AL136)*(1+$AH88)-$AI136</f>
        <v>9568216.2967569157</v>
      </c>
      <c r="J136" s="323">
        <f t="shared" si="180"/>
        <v>9618022.716472555</v>
      </c>
      <c r="K136" s="323">
        <f t="shared" si="180"/>
        <v>9674864.7999010552</v>
      </c>
      <c r="L136" s="323">
        <f t="shared" si="180"/>
        <v>9738780.6830570772</v>
      </c>
      <c r="M136" s="323">
        <f t="shared" si="180"/>
        <v>9809909.7629958335</v>
      </c>
      <c r="N136" s="323">
        <f t="shared" ref="N136:AG136" si="181">(N88-N33+N44+N55)+N$128*(N55+N44)-($AL88-$AL136)*(1+$AH88)</f>
        <v>9888392.6612370014</v>
      </c>
      <c r="O136" s="323">
        <f t="shared" si="181"/>
        <v>9974271.1879954357</v>
      </c>
      <c r="P136" s="323">
        <f t="shared" si="181"/>
        <v>10067688.307196397</v>
      </c>
      <c r="Q136" s="323">
        <f t="shared" si="181"/>
        <v>10168688.102253601</v>
      </c>
      <c r="R136" s="323">
        <f t="shared" si="181"/>
        <v>10277515.742588781</v>
      </c>
      <c r="S136" s="323">
        <f t="shared" si="181"/>
        <v>10304787.876819111</v>
      </c>
      <c r="T136" s="323">
        <f t="shared" si="181"/>
        <v>10497119.065585544</v>
      </c>
      <c r="U136" s="323">
        <f t="shared" si="181"/>
        <v>10696188.229927169</v>
      </c>
      <c r="V136" s="323">
        <f t="shared" si="181"/>
        <v>10902186.889098607</v>
      </c>
      <c r="W136" s="323">
        <f t="shared" si="181"/>
        <v>11115406.459074762</v>
      </c>
      <c r="X136" s="323">
        <f t="shared" si="181"/>
        <v>11335938.249561183</v>
      </c>
      <c r="Y136" s="323">
        <f t="shared" si="181"/>
        <v>11563973.460951295</v>
      </c>
      <c r="Z136" s="323">
        <f t="shared" si="181"/>
        <v>11799803.181229305</v>
      </c>
      <c r="AA136" s="323">
        <f t="shared" si="181"/>
        <v>12043618.382817607</v>
      </c>
      <c r="AB136" s="323">
        <f t="shared" si="181"/>
        <v>12295709.919367515</v>
      </c>
      <c r="AC136" s="323">
        <f t="shared" si="181"/>
        <v>12604605.07959717</v>
      </c>
      <c r="AD136" s="323">
        <f t="shared" si="181"/>
        <v>12922157.91264984</v>
      </c>
      <c r="AE136" s="323">
        <f t="shared" si="181"/>
        <v>13248663.729678173</v>
      </c>
      <c r="AF136" s="323">
        <f t="shared" si="181"/>
        <v>13584417.709634824</v>
      </c>
      <c r="AG136" s="323">
        <f t="shared" si="181"/>
        <v>13929714.896244239</v>
      </c>
      <c r="AH136" s="485">
        <f t="shared" si="172"/>
        <v>0</v>
      </c>
      <c r="AI136" s="485">
        <f t="shared" si="168"/>
        <v>0</v>
      </c>
      <c r="AJ136" s="483"/>
      <c r="AK136" s="483"/>
      <c r="AL136" s="484">
        <v>200000</v>
      </c>
      <c r="AM136" s="907"/>
    </row>
    <row r="137" spans="1:39">
      <c r="A137" s="408" t="s">
        <v>144</v>
      </c>
      <c r="B137" s="408">
        <f t="shared" si="165"/>
        <v>300</v>
      </c>
      <c r="C137" s="323">
        <f t="shared" si="169"/>
        <v>11255000</v>
      </c>
      <c r="D137" s="323">
        <f t="shared" si="169"/>
        <v>11221175</v>
      </c>
      <c r="E137" s="323">
        <f t="shared" si="169"/>
        <v>11196632.375</v>
      </c>
      <c r="F137" s="323">
        <f t="shared" si="169"/>
        <v>10964168.0930625</v>
      </c>
      <c r="G137" s="323">
        <f t="shared" si="169"/>
        <v>10751198.07029875</v>
      </c>
      <c r="H137" s="323">
        <f t="shared" si="166"/>
        <v>10757194.304826971</v>
      </c>
      <c r="I137" s="323">
        <f t="shared" ref="I137:M137" si="182">(I89-I34+I45+I56)+I$128*(I56+I45)-($AL89-$AL137)*(1+$AH89)-$AI137</f>
        <v>10606015.453373874</v>
      </c>
      <c r="J137" s="323">
        <f t="shared" si="182"/>
        <v>10675521.394265555</v>
      </c>
      <c r="K137" s="323">
        <f t="shared" si="182"/>
        <v>10752749.433913177</v>
      </c>
      <c r="L137" s="323">
        <f t="shared" si="182"/>
        <v>10837836.492586071</v>
      </c>
      <c r="M137" s="323">
        <f t="shared" si="182"/>
        <v>10930920.736723669</v>
      </c>
      <c r="N137" s="323">
        <f t="shared" ref="N137:AG137" si="183">(N89-N34+N45+N56)+N$128*(N56+N45)-($AL89-$AL137)*(1+$AH89)</f>
        <v>11032141.541967576</v>
      </c>
      <c r="O137" s="323">
        <f t="shared" si="183"/>
        <v>11141639.45699352</v>
      </c>
      <c r="P137" s="323">
        <f t="shared" si="183"/>
        <v>11259456.168120814</v>
      </c>
      <c r="Q137" s="323">
        <f t="shared" si="183"/>
        <v>11385834.46467741</v>
      </c>
      <c r="R137" s="323">
        <f t="shared" si="183"/>
        <v>11520818.205099164</v>
      </c>
      <c r="S137" s="323">
        <f t="shared" si="183"/>
        <v>11569802.757566035</v>
      </c>
      <c r="T137" s="323">
        <f t="shared" si="183"/>
        <v>11795881.309434848</v>
      </c>
      <c r="U137" s="323">
        <f t="shared" si="183"/>
        <v>12029670.854795771</v>
      </c>
      <c r="V137" s="323">
        <f t="shared" si="183"/>
        <v>12271462.093968317</v>
      </c>
      <c r="W137" s="323">
        <f t="shared" si="183"/>
        <v>12521445.604820643</v>
      </c>
      <c r="X137" s="323">
        <f t="shared" si="183"/>
        <v>12779811.839368545</v>
      </c>
      <c r="Y137" s="323">
        <f t="shared" si="183"/>
        <v>13046851.12031283</v>
      </c>
      <c r="Z137" s="323">
        <f t="shared" si="183"/>
        <v>13322753.63751368</v>
      </c>
      <c r="AA137" s="323">
        <f t="shared" si="183"/>
        <v>13607909.444400636</v>
      </c>
      <c r="AB137" s="323">
        <f t="shared" si="183"/>
        <v>13902508.454316901</v>
      </c>
      <c r="AC137" s="323">
        <f t="shared" si="183"/>
        <v>14255076.993901582</v>
      </c>
      <c r="AD137" s="323">
        <f t="shared" si="183"/>
        <v>14617668.127982944</v>
      </c>
      <c r="AE137" s="323">
        <f t="shared" si="183"/>
        <v>14990576.160687966</v>
      </c>
      <c r="AF137" s="323">
        <f t="shared" si="183"/>
        <v>15374095.240748541</v>
      </c>
      <c r="AG137" s="323">
        <f t="shared" si="183"/>
        <v>15768519.357978797</v>
      </c>
      <c r="AH137" s="485">
        <f t="shared" si="172"/>
        <v>0</v>
      </c>
      <c r="AI137" s="485">
        <f t="shared" si="168"/>
        <v>0</v>
      </c>
      <c r="AJ137" s="483"/>
      <c r="AK137" s="483"/>
      <c r="AL137" s="484">
        <v>200000</v>
      </c>
      <c r="AM137" s="907"/>
    </row>
    <row r="138" spans="1:39">
      <c r="A138" s="408"/>
      <c r="B138" s="408"/>
      <c r="C138" s="323"/>
      <c r="D138" s="323"/>
      <c r="E138" s="323"/>
      <c r="F138" s="323"/>
      <c r="G138" s="323"/>
      <c r="H138" s="323"/>
      <c r="I138" s="323"/>
      <c r="J138" s="323"/>
      <c r="K138" s="323"/>
      <c r="L138" s="323"/>
      <c r="M138" s="323"/>
      <c r="N138" s="323"/>
      <c r="O138" s="323"/>
      <c r="P138" s="323"/>
      <c r="Q138" s="323"/>
      <c r="R138" s="323"/>
      <c r="S138" s="323"/>
      <c r="T138" s="323"/>
      <c r="U138" s="323"/>
      <c r="V138" s="323"/>
      <c r="W138" s="323"/>
      <c r="X138" s="323"/>
      <c r="Y138" s="323"/>
      <c r="Z138" s="323"/>
      <c r="AA138" s="323"/>
      <c r="AB138" s="323"/>
      <c r="AC138" s="323"/>
      <c r="AD138" s="323"/>
      <c r="AE138" s="323"/>
      <c r="AF138" s="323"/>
      <c r="AG138" s="323"/>
      <c r="AH138" s="409"/>
      <c r="AI138" s="409"/>
      <c r="AJ138" s="409"/>
      <c r="AK138" s="409"/>
      <c r="AL138" s="148"/>
    </row>
    <row r="139" spans="1:39" s="1" customFormat="1">
      <c r="A139" s="525" t="s">
        <v>145</v>
      </c>
      <c r="B139" s="522" t="s">
        <v>85</v>
      </c>
      <c r="C139" s="399">
        <v>2025</v>
      </c>
      <c r="D139" s="399">
        <v>2026</v>
      </c>
      <c r="E139" s="399">
        <v>2027</v>
      </c>
      <c r="F139" s="399">
        <v>2028</v>
      </c>
      <c r="G139" s="399">
        <v>2029</v>
      </c>
      <c r="H139" s="399">
        <v>2030</v>
      </c>
      <c r="I139" s="399">
        <v>2031</v>
      </c>
      <c r="J139" s="399">
        <v>2032</v>
      </c>
      <c r="K139" s="399">
        <v>2033</v>
      </c>
      <c r="L139" s="399">
        <v>2034</v>
      </c>
      <c r="M139" s="399">
        <v>2035</v>
      </c>
      <c r="N139" s="399">
        <v>2036</v>
      </c>
      <c r="O139" s="399">
        <v>2037</v>
      </c>
      <c r="P139" s="399">
        <v>2038</v>
      </c>
      <c r="Q139" s="399">
        <v>2039</v>
      </c>
      <c r="R139" s="399">
        <v>2040</v>
      </c>
      <c r="S139" s="399">
        <v>2041</v>
      </c>
      <c r="T139" s="399">
        <v>2042</v>
      </c>
      <c r="U139" s="399">
        <v>2043</v>
      </c>
      <c r="V139" s="399">
        <v>2044</v>
      </c>
      <c r="W139" s="399">
        <v>2045</v>
      </c>
      <c r="X139" s="399">
        <v>2046</v>
      </c>
      <c r="Y139" s="399">
        <v>2047</v>
      </c>
      <c r="Z139" s="399">
        <v>2048</v>
      </c>
      <c r="AA139" s="399">
        <v>2049</v>
      </c>
      <c r="AB139" s="399">
        <v>2050</v>
      </c>
      <c r="AC139" s="399">
        <v>2051</v>
      </c>
      <c r="AD139" s="399">
        <v>2052</v>
      </c>
      <c r="AE139" s="399">
        <v>2053</v>
      </c>
      <c r="AF139" s="399">
        <v>2054</v>
      </c>
      <c r="AG139" s="399">
        <v>2055</v>
      </c>
      <c r="AH139" s="399"/>
      <c r="AI139" s="525"/>
      <c r="AJ139" s="525"/>
      <c r="AK139" s="525"/>
      <c r="AL139" s="148"/>
    </row>
    <row r="140" spans="1:39" s="4" customFormat="1">
      <c r="A140" s="414" t="s">
        <v>146</v>
      </c>
      <c r="B140" s="414"/>
      <c r="C140" s="323">
        <f t="shared" ref="C140:AG140" si="184">C23*$AL$140</f>
        <v>1579200</v>
      </c>
      <c r="D140" s="323">
        <f t="shared" si="184"/>
        <v>1500240</v>
      </c>
      <c r="E140" s="323">
        <f t="shared" si="184"/>
        <v>1425228</v>
      </c>
      <c r="F140" s="323">
        <f t="shared" si="184"/>
        <v>1353966.5999999999</v>
      </c>
      <c r="G140" s="323">
        <f t="shared" si="184"/>
        <v>1286268.27</v>
      </c>
      <c r="H140" s="323">
        <f t="shared" si="184"/>
        <v>1221954.8565</v>
      </c>
      <c r="I140" s="323">
        <f t="shared" si="184"/>
        <v>1173076.66224</v>
      </c>
      <c r="J140" s="323">
        <f t="shared" si="184"/>
        <v>1126153.5957503999</v>
      </c>
      <c r="K140" s="323">
        <f t="shared" si="184"/>
        <v>1081107.4519203838</v>
      </c>
      <c r="L140" s="323">
        <f t="shared" si="184"/>
        <v>1037863.1538435684</v>
      </c>
      <c r="M140" s="323">
        <f t="shared" si="184"/>
        <v>996348.6276898256</v>
      </c>
      <c r="N140" s="323">
        <f t="shared" si="184"/>
        <v>956494.68258223264</v>
      </c>
      <c r="O140" s="323">
        <f t="shared" si="184"/>
        <v>918234.89527894335</v>
      </c>
      <c r="P140" s="323">
        <f t="shared" si="184"/>
        <v>881505.49946778559</v>
      </c>
      <c r="Q140" s="323">
        <f t="shared" si="184"/>
        <v>846245.27948907414</v>
      </c>
      <c r="R140" s="323">
        <f t="shared" si="184"/>
        <v>812395.46830951108</v>
      </c>
      <c r="S140" s="323">
        <f t="shared" si="184"/>
        <v>820519.42299260607</v>
      </c>
      <c r="T140" s="323">
        <f t="shared" si="184"/>
        <v>828724.61722253216</v>
      </c>
      <c r="U140" s="323">
        <f t="shared" si="184"/>
        <v>837011.8633947575</v>
      </c>
      <c r="V140" s="323">
        <f t="shared" si="184"/>
        <v>845381.98202870518</v>
      </c>
      <c r="W140" s="323">
        <f t="shared" si="184"/>
        <v>853835.80184899224</v>
      </c>
      <c r="X140" s="323">
        <f t="shared" si="184"/>
        <v>862374.15986748226</v>
      </c>
      <c r="Y140" s="323">
        <f t="shared" si="184"/>
        <v>870997.90146615705</v>
      </c>
      <c r="Z140" s="323">
        <f t="shared" si="184"/>
        <v>879707.88048081857</v>
      </c>
      <c r="AA140" s="323">
        <f t="shared" si="184"/>
        <v>888504.95928562677</v>
      </c>
      <c r="AB140" s="323">
        <f t="shared" si="184"/>
        <v>897390.00887848297</v>
      </c>
      <c r="AC140" s="323">
        <f t="shared" si="184"/>
        <v>906363.90896726784</v>
      </c>
      <c r="AD140" s="323">
        <f t="shared" si="184"/>
        <v>915427.54805694055</v>
      </c>
      <c r="AE140" s="323">
        <f t="shared" si="184"/>
        <v>924581.82353750989</v>
      </c>
      <c r="AF140" s="323">
        <f t="shared" si="184"/>
        <v>933827.64177288499</v>
      </c>
      <c r="AG140" s="323">
        <f t="shared" si="184"/>
        <v>943165.91819061397</v>
      </c>
      <c r="AH140" s="409"/>
      <c r="AI140" s="409"/>
      <c r="AJ140" s="409"/>
      <c r="AK140" s="409"/>
      <c r="AL140" s="415">
        <f>'No change with year'!D49</f>
        <v>28.2</v>
      </c>
      <c r="AM140" s="441" t="s">
        <v>124</v>
      </c>
    </row>
    <row r="141" spans="1:39" s="4" customFormat="1" ht="28.8">
      <c r="A141" s="414" t="s">
        <v>147</v>
      </c>
      <c r="B141" s="414"/>
      <c r="C141" s="334">
        <f>'No change with year'!D36</f>
        <v>0.4</v>
      </c>
      <c r="D141" s="334">
        <f>C141</f>
        <v>0.4</v>
      </c>
      <c r="E141" s="334">
        <f t="shared" ref="E141:I141" si="185">D141</f>
        <v>0.4</v>
      </c>
      <c r="F141" s="334">
        <f t="shared" si="185"/>
        <v>0.4</v>
      </c>
      <c r="G141" s="334">
        <f t="shared" si="185"/>
        <v>0.4</v>
      </c>
      <c r="H141" s="334">
        <f t="shared" si="185"/>
        <v>0.4</v>
      </c>
      <c r="I141" s="334">
        <f t="shared" si="185"/>
        <v>0.4</v>
      </c>
      <c r="J141" s="334">
        <f>I141</f>
        <v>0.4</v>
      </c>
      <c r="K141" s="334">
        <f t="shared" ref="K141:R141" si="186">J141</f>
        <v>0.4</v>
      </c>
      <c r="L141" s="334">
        <f t="shared" si="186"/>
        <v>0.4</v>
      </c>
      <c r="M141" s="334">
        <f t="shared" si="186"/>
        <v>0.4</v>
      </c>
      <c r="N141" s="334">
        <f t="shared" si="186"/>
        <v>0.4</v>
      </c>
      <c r="O141" s="334">
        <f t="shared" si="186"/>
        <v>0.4</v>
      </c>
      <c r="P141" s="334">
        <f t="shared" si="186"/>
        <v>0.4</v>
      </c>
      <c r="Q141" s="334">
        <f t="shared" si="186"/>
        <v>0.4</v>
      </c>
      <c r="R141" s="334">
        <f t="shared" si="186"/>
        <v>0.4</v>
      </c>
      <c r="S141" s="334">
        <f>'No change with year'!I36</f>
        <v>0.35</v>
      </c>
      <c r="T141" s="334">
        <f>S141</f>
        <v>0.35</v>
      </c>
      <c r="U141" s="334">
        <f t="shared" ref="U141:AG141" si="187">T141</f>
        <v>0.35</v>
      </c>
      <c r="V141" s="334">
        <f t="shared" si="187"/>
        <v>0.35</v>
      </c>
      <c r="W141" s="334">
        <f t="shared" si="187"/>
        <v>0.35</v>
      </c>
      <c r="X141" s="334">
        <v>0.3</v>
      </c>
      <c r="Y141" s="334">
        <f t="shared" si="187"/>
        <v>0.3</v>
      </c>
      <c r="Z141" s="334">
        <f t="shared" si="187"/>
        <v>0.3</v>
      </c>
      <c r="AA141" s="334">
        <f t="shared" si="187"/>
        <v>0.3</v>
      </c>
      <c r="AB141" s="334">
        <f t="shared" si="187"/>
        <v>0.3</v>
      </c>
      <c r="AC141" s="334">
        <v>0.25</v>
      </c>
      <c r="AD141" s="334">
        <f t="shared" si="187"/>
        <v>0.25</v>
      </c>
      <c r="AE141" s="334">
        <f t="shared" si="187"/>
        <v>0.25</v>
      </c>
      <c r="AF141" s="334">
        <f t="shared" si="187"/>
        <v>0.25</v>
      </c>
      <c r="AG141" s="334">
        <f t="shared" si="187"/>
        <v>0.25</v>
      </c>
      <c r="AH141" s="483">
        <v>0</v>
      </c>
      <c r="AI141" s="483">
        <v>0</v>
      </c>
      <c r="AJ141" s="409"/>
      <c r="AK141" s="409"/>
      <c r="AL141" s="505" t="s">
        <v>675</v>
      </c>
      <c r="AM141" s="441"/>
    </row>
    <row r="142" spans="1:39" ht="15.75" customHeight="1">
      <c r="A142" s="408" t="s">
        <v>136</v>
      </c>
      <c r="B142" s="408">
        <f>B59</f>
        <v>70</v>
      </c>
      <c r="C142" s="323">
        <f>C81-C26+C37+C59+C70+C$140+C$141*(C37+C59+C70)-$AH142</f>
        <v>10016400</v>
      </c>
      <c r="D142" s="323">
        <f t="shared" ref="D142:G143" si="188">D81-D26+D37+D59+D70+D$140+D$141*(D37+D59+D70)-$AH142</f>
        <v>9773027</v>
      </c>
      <c r="E142" s="323">
        <f t="shared" si="188"/>
        <v>9542175.0949999988</v>
      </c>
      <c r="F142" s="323">
        <f t="shared" si="188"/>
        <v>9323505.106575001</v>
      </c>
      <c r="G142" s="323">
        <f t="shared" si="188"/>
        <v>9116595.9749363735</v>
      </c>
      <c r="H142" s="323">
        <f>H81-H26+H37+H59+H70+H$140+H$141*(H37+H59+H70)-(AL81-AL142)-AH142</f>
        <v>9121043.9643335287</v>
      </c>
      <c r="I142" s="323">
        <f>I81-I26+I37+I59+I70+I$140+I$141*(I37+I59+I70)-(AL81-AL142)*(1+$AH81)-$AI142</f>
        <v>8993829.5127534196</v>
      </c>
      <c r="J142" s="323">
        <f t="shared" ref="J142:M143" si="189">J81-J26+J37+J59+J70+J$140+J$141*(J37+J59+J70)-200000*(1+$AH81)-$AI142</f>
        <v>8880576.5599628482</v>
      </c>
      <c r="K142" s="323">
        <f t="shared" si="189"/>
        <v>8775193.1243375018</v>
      </c>
      <c r="L142" s="323">
        <f t="shared" si="189"/>
        <v>8677593.431653209</v>
      </c>
      <c r="M142" s="323">
        <f t="shared" si="189"/>
        <v>8587697.6950213835</v>
      </c>
      <c r="N142" s="323">
        <f t="shared" ref="N142:AG142" si="190">N81-N26+N37+N59+N70+N$140+N$141*(N37+N59+N70)-200000*(1+$AH81)</f>
        <v>8505331.9025378302</v>
      </c>
      <c r="O142" s="323">
        <f t="shared" si="190"/>
        <v>8430527.6123626977</v>
      </c>
      <c r="P142" s="323">
        <f t="shared" si="190"/>
        <v>8363121.754959872</v>
      </c>
      <c r="Q142" s="323">
        <f t="shared" si="190"/>
        <v>8303056.4422339872</v>
      </c>
      <c r="R142" s="323">
        <f t="shared" si="190"/>
        <v>8250278.7833129503</v>
      </c>
      <c r="S142" s="323">
        <f t="shared" si="190"/>
        <v>8144083.477821975</v>
      </c>
      <c r="T142" s="323">
        <f t="shared" si="190"/>
        <v>8209927.046426069</v>
      </c>
      <c r="U142" s="323">
        <f t="shared" si="190"/>
        <v>8280136.9513326623</v>
      </c>
      <c r="V142" s="323">
        <f t="shared" si="190"/>
        <v>8354789.6855895761</v>
      </c>
      <c r="W142" s="323">
        <f t="shared" si="190"/>
        <v>8433962.0419334546</v>
      </c>
      <c r="X142" s="323">
        <f t="shared" si="190"/>
        <v>8358676.2224149071</v>
      </c>
      <c r="Y142" s="323">
        <f t="shared" si="190"/>
        <v>8448421.7994214632</v>
      </c>
      <c r="Z142" s="323">
        <f t="shared" si="190"/>
        <v>8542878.9377054647</v>
      </c>
      <c r="AA142" s="323">
        <f t="shared" si="190"/>
        <v>8642126.1460535452</v>
      </c>
      <c r="AB142" s="323">
        <f t="shared" si="190"/>
        <v>8746342.170949921</v>
      </c>
      <c r="AC142" s="323">
        <f t="shared" si="190"/>
        <v>8769827.1030247472</v>
      </c>
      <c r="AD142" s="323">
        <f t="shared" si="190"/>
        <v>8951925.9289546367</v>
      </c>
      <c r="AE142" s="323">
        <f t="shared" si="190"/>
        <v>9138753.0342418179</v>
      </c>
      <c r="AF142" s="323">
        <f t="shared" si="190"/>
        <v>9330406.1875018235</v>
      </c>
      <c r="AG142" s="323">
        <f t="shared" si="190"/>
        <v>9526983.064752778</v>
      </c>
      <c r="AH142" s="485">
        <f>$AH$141*$B142</f>
        <v>0</v>
      </c>
      <c r="AI142" s="485">
        <f>$AI$141*$B142</f>
        <v>0</v>
      </c>
      <c r="AJ142" s="409"/>
      <c r="AK142" s="409"/>
      <c r="AL142" s="148">
        <v>200000</v>
      </c>
      <c r="AM142" s="907" t="s">
        <v>89</v>
      </c>
    </row>
    <row r="143" spans="1:39">
      <c r="A143" s="408" t="s">
        <v>137</v>
      </c>
      <c r="B143" s="408">
        <f t="shared" ref="B143:B150" si="191">B60</f>
        <v>70</v>
      </c>
      <c r="C143" s="323">
        <f>C82-C27+C38+C60+C71+C$140+C$141*(C38+C60+C71)-$AH143</f>
        <v>10666400</v>
      </c>
      <c r="D143" s="323">
        <f t="shared" si="188"/>
        <v>10443527</v>
      </c>
      <c r="E143" s="323">
        <f t="shared" si="188"/>
        <v>10233835.094999999</v>
      </c>
      <c r="F143" s="323">
        <f t="shared" si="188"/>
        <v>10036884.306575</v>
      </c>
      <c r="G143" s="323">
        <f t="shared" si="188"/>
        <v>9852452.7589363735</v>
      </c>
      <c r="H143" s="323">
        <f t="shared" ref="H143:H150" si="192">H82-H27+H38+H60+H71+H$140+H$141*(H38+H60+H71)-(AL82-AL143)-AH143</f>
        <v>9880135.8840135299</v>
      </c>
      <c r="I143" s="323">
        <f>I82-I27+I38+I60+I71+I$140+I$141*(I38+I60+I71)-(AL82-AL143)*(1+$AH82)-$AI143</f>
        <v>9776713.2708270196</v>
      </c>
      <c r="J143" s="323">
        <f t="shared" si="189"/>
        <v>9688107.9931979198</v>
      </c>
      <c r="K143" s="323">
        <f t="shared" si="189"/>
        <v>9608127.1862372737</v>
      </c>
      <c r="L143" s="323">
        <f t="shared" si="189"/>
        <v>9536684.1747909766</v>
      </c>
      <c r="M143" s="323">
        <f t="shared" si="189"/>
        <v>9473798.2530219071</v>
      </c>
      <c r="N143" s="323">
        <f t="shared" ref="N143:AG143" si="193">N82-N27+N38+N60+N71+N$140+N$141*(N38+N60+N71)-200000*(1+$AH82)</f>
        <v>9419294.4716983642</v>
      </c>
      <c r="O143" s="323">
        <f t="shared" si="193"/>
        <v>9373103.4329064414</v>
      </c>
      <c r="P143" s="323">
        <f t="shared" si="193"/>
        <v>9335261.0919144917</v>
      </c>
      <c r="Q143" s="323">
        <f t="shared" si="193"/>
        <v>9305708.5659276992</v>
      </c>
      <c r="R143" s="323">
        <f t="shared" si="193"/>
        <v>9284391.9494805373</v>
      </c>
      <c r="S143" s="323">
        <f t="shared" si="193"/>
        <v>9210604.9073129147</v>
      </c>
      <c r="T143" s="323">
        <f t="shared" si="193"/>
        <v>9309802.9045068268</v>
      </c>
      <c r="U143" s="323">
        <f t="shared" si="193"/>
        <v>9414412.3265750334</v>
      </c>
      <c r="V143" s="323">
        <f t="shared" si="193"/>
        <v>9524508.5683367979</v>
      </c>
      <c r="W143" s="323">
        <f t="shared" si="193"/>
        <v>9640167.3023356162</v>
      </c>
      <c r="X143" s="323">
        <f t="shared" si="193"/>
        <v>9602509.5880251136</v>
      </c>
      <c r="Y143" s="323">
        <f t="shared" si="193"/>
        <v>9731023.8323438764</v>
      </c>
      <c r="Z143" s="323">
        <f t="shared" si="193"/>
        <v>9865489.0112863239</v>
      </c>
      <c r="AA143" s="323">
        <f t="shared" si="193"/>
        <v>10006082.421106022</v>
      </c>
      <c r="AB143" s="323">
        <f t="shared" si="193"/>
        <v>10152881.571503447</v>
      </c>
      <c r="AC143" s="323">
        <f t="shared" si="193"/>
        <v>10220185.291589344</v>
      </c>
      <c r="AD143" s="323">
        <f t="shared" si="193"/>
        <v>10447537.281290526</v>
      </c>
      <c r="AE143" s="323">
        <f t="shared" si="193"/>
        <v>10680950.613624424</v>
      </c>
      <c r="AF143" s="323">
        <f t="shared" si="193"/>
        <v>10920621.718472082</v>
      </c>
      <c r="AG143" s="323">
        <f t="shared" si="193"/>
        <v>11166646.906342443</v>
      </c>
      <c r="AH143" s="485">
        <f t="shared" ref="AH143:AH145" si="194">$AH$141*$B143</f>
        <v>0</v>
      </c>
      <c r="AI143" s="485">
        <f t="shared" ref="AI143:AI145" si="195">$AI$141*$B143</f>
        <v>0</v>
      </c>
      <c r="AJ143" s="409"/>
      <c r="AK143" s="409"/>
      <c r="AL143" s="148">
        <v>200000</v>
      </c>
      <c r="AM143" s="907"/>
    </row>
    <row r="144" spans="1:39">
      <c r="A144" s="408" t="s">
        <v>138</v>
      </c>
      <c r="B144" s="408">
        <f t="shared" si="191"/>
        <v>70</v>
      </c>
      <c r="C144" s="323">
        <f t="shared" ref="C144:G144" si="196">C83-C28+C39+C61+C72+C$140+C$141*(C39+C61+C72)-$AH144</f>
        <v>11491400</v>
      </c>
      <c r="D144" s="323">
        <f t="shared" si="196"/>
        <v>11293527</v>
      </c>
      <c r="E144" s="323">
        <f t="shared" si="196"/>
        <v>11109525.095000001</v>
      </c>
      <c r="F144" s="323">
        <f t="shared" si="196"/>
        <v>10939154.106575001</v>
      </c>
      <c r="G144" s="323">
        <f t="shared" si="196"/>
        <v>10781991.954936374</v>
      </c>
      <c r="H144" s="323">
        <f t="shared" si="192"/>
        <v>10837833.86393353</v>
      </c>
      <c r="I144" s="323">
        <f t="shared" ref="I144:I150" si="197">I83-I28+I39+I61+I72+I$140+I$141*(I39+I61+I72)-(AL83-AL144)*(1+$AH83)-$AI144</f>
        <v>10763459.210345419</v>
      </c>
      <c r="J144" s="323">
        <f t="shared" ref="J144:M144" si="198">J83-J28+J39+J61+J72+J$140+J$141*(J39+J61+J72)-200000*(1+$AH83)-$AI144</f>
        <v>10704690.851506688</v>
      </c>
      <c r="K144" s="323">
        <f t="shared" si="198"/>
        <v>10655535.701712219</v>
      </c>
      <c r="L144" s="323">
        <f t="shared" si="198"/>
        <v>10615806.860575419</v>
      </c>
      <c r="M144" s="323">
        <f t="shared" si="198"/>
        <v>10585523.392522041</v>
      </c>
      <c r="N144" s="323">
        <f t="shared" ref="N144:AG144" si="199">N83-N28+N39+N61+N72+N$140+N$141*(N39+N61+N72)-200000*(1+$AH83)</f>
        <v>10564710.113988498</v>
      </c>
      <c r="O144" s="323">
        <f t="shared" si="199"/>
        <v>10553197.388042379</v>
      </c>
      <c r="P144" s="323">
        <f t="shared" si="199"/>
        <v>10551020.926153148</v>
      </c>
      <c r="Q144" s="323">
        <f t="shared" si="199"/>
        <v>10558221.596851127</v>
      </c>
      <c r="R144" s="323">
        <f t="shared" si="199"/>
        <v>10574745.241022434</v>
      </c>
      <c r="S144" s="323">
        <f t="shared" si="199"/>
        <v>10539985.264685649</v>
      </c>
      <c r="T144" s="323">
        <f t="shared" si="199"/>
        <v>10679396.869027017</v>
      </c>
      <c r="U144" s="323">
        <f t="shared" si="199"/>
        <v>10825406.170385625</v>
      </c>
      <c r="V144" s="323">
        <f t="shared" si="199"/>
        <v>10978188.289023602</v>
      </c>
      <c r="W144" s="323">
        <f t="shared" si="199"/>
        <v>11137818.617436159</v>
      </c>
      <c r="X144" s="323">
        <f t="shared" si="199"/>
        <v>11145517.929427667</v>
      </c>
      <c r="Y144" s="323">
        <f t="shared" si="199"/>
        <v>11320774.340574477</v>
      </c>
      <c r="Z144" s="323">
        <f t="shared" si="199"/>
        <v>11503366.529681539</v>
      </c>
      <c r="AA144" s="323">
        <f t="shared" si="199"/>
        <v>11693471.489869138</v>
      </c>
      <c r="AB144" s="323">
        <f t="shared" si="199"/>
        <v>11891266.421641828</v>
      </c>
      <c r="AC144" s="323">
        <f t="shared" si="199"/>
        <v>12011149.838730494</v>
      </c>
      <c r="AD144" s="323">
        <f t="shared" si="199"/>
        <v>12292565.119374497</v>
      </c>
      <c r="AE144" s="323">
        <f t="shared" si="199"/>
        <v>12581725.008470075</v>
      </c>
      <c r="AF144" s="323">
        <f t="shared" si="199"/>
        <v>12878825.601214647</v>
      </c>
      <c r="AG144" s="323">
        <f t="shared" si="199"/>
        <v>13184062.86673986</v>
      </c>
      <c r="AH144" s="485">
        <f t="shared" si="194"/>
        <v>0</v>
      </c>
      <c r="AI144" s="485">
        <f t="shared" si="195"/>
        <v>0</v>
      </c>
      <c r="AJ144" s="409"/>
      <c r="AK144" s="409"/>
      <c r="AL144" s="148">
        <v>200000</v>
      </c>
      <c r="AM144" s="907"/>
    </row>
    <row r="145" spans="1:39">
      <c r="A145" s="408" t="s">
        <v>139</v>
      </c>
      <c r="B145" s="408">
        <f t="shared" si="191"/>
        <v>70</v>
      </c>
      <c r="C145" s="323">
        <f t="shared" ref="C145:G145" si="200">C84-C29+C40+C62+C73+C$140+C$141*(C40+C62+C73)-$AH145</f>
        <v>12311400</v>
      </c>
      <c r="D145" s="323">
        <f t="shared" si="200"/>
        <v>12108727</v>
      </c>
      <c r="E145" s="323">
        <f t="shared" si="200"/>
        <v>11920997.095000001</v>
      </c>
      <c r="F145" s="323">
        <f t="shared" si="200"/>
        <v>11747843.226575002</v>
      </c>
      <c r="G145" s="323">
        <f t="shared" si="200"/>
        <v>11588917.510136373</v>
      </c>
      <c r="H145" s="323">
        <f t="shared" si="192"/>
        <v>11643990.396925528</v>
      </c>
      <c r="I145" s="323">
        <f t="shared" si="197"/>
        <v>11580091.1780075</v>
      </c>
      <c r="J145" s="323">
        <f t="shared" ref="J145:M145" si="201">J84-J29+J40+J62+J73+J$140+J$141*(J40+J62+J73)-200000*(1+$AH84)-$AI145</f>
        <v>11532232.499492146</v>
      </c>
      <c r="K145" s="323">
        <f t="shared" si="201"/>
        <v>11494420.933217824</v>
      </c>
      <c r="L145" s="323">
        <f t="shared" si="201"/>
        <v>11466569.239765966</v>
      </c>
      <c r="M145" s="323">
        <f t="shared" si="201"/>
        <v>11448696.147920681</v>
      </c>
      <c r="N145" s="323">
        <f t="shared" ref="N145:AG145" si="202">N84-N29+N40+N62+N73+N$140+N$141*(N40+N62+N73)-200000*(1+$AH84)</f>
        <v>11440726.141833154</v>
      </c>
      <c r="O145" s="323">
        <f t="shared" si="202"/>
        <v>11442589.255608588</v>
      </c>
      <c r="P145" s="323">
        <f t="shared" si="202"/>
        <v>11454320.875043696</v>
      </c>
      <c r="Q145" s="323">
        <f t="shared" si="202"/>
        <v>11475961.54625277</v>
      </c>
      <c r="R145" s="323">
        <f t="shared" si="202"/>
        <v>11507556.790930059</v>
      </c>
      <c r="S145" s="323">
        <f t="shared" si="202"/>
        <v>11483422.192042112</v>
      </c>
      <c r="T145" s="323">
        <f t="shared" si="202"/>
        <v>11645150.165657045</v>
      </c>
      <c r="U145" s="323">
        <f t="shared" si="202"/>
        <v>11814005.999981955</v>
      </c>
      <c r="V145" s="323">
        <f t="shared" si="202"/>
        <v>11990265.116915895</v>
      </c>
      <c r="W145" s="323">
        <f t="shared" si="202"/>
        <v>12174103.213607371</v>
      </c>
      <c r="X145" s="323">
        <f t="shared" si="202"/>
        <v>12194799.762592707</v>
      </c>
      <c r="Y145" s="323">
        <f t="shared" si="202"/>
        <v>12395408.992071168</v>
      </c>
      <c r="Z145" s="323">
        <f t="shared" si="202"/>
        <v>12604084.527693197</v>
      </c>
      <c r="AA145" s="323">
        <f t="shared" si="202"/>
        <v>12821003.667860912</v>
      </c>
      <c r="AB145" s="323">
        <f t="shared" si="202"/>
        <v>13046343.921413518</v>
      </c>
      <c r="AC145" s="323">
        <f t="shared" si="202"/>
        <v>13182163.564470308</v>
      </c>
      <c r="AD145" s="323">
        <f t="shared" si="202"/>
        <v>13492563.982371712</v>
      </c>
      <c r="AE145" s="323">
        <f t="shared" si="202"/>
        <v>13811439.860097261</v>
      </c>
      <c r="AF145" s="323">
        <f t="shared" si="202"/>
        <v>14139087.601358101</v>
      </c>
      <c r="AG145" s="323">
        <f t="shared" si="202"/>
        <v>14475803.48688475</v>
      </c>
      <c r="AH145" s="485">
        <f t="shared" si="194"/>
        <v>0</v>
      </c>
      <c r="AI145" s="485">
        <f t="shared" si="195"/>
        <v>0</v>
      </c>
      <c r="AJ145" s="409"/>
      <c r="AK145" s="409"/>
      <c r="AL145" s="148">
        <v>200000</v>
      </c>
      <c r="AM145" s="907"/>
    </row>
    <row r="146" spans="1:39">
      <c r="A146" s="408" t="s">
        <v>140</v>
      </c>
      <c r="B146" s="408">
        <f t="shared" si="191"/>
        <v>80</v>
      </c>
      <c r="C146" s="323">
        <f t="shared" ref="C146:G146" si="203">C85-C30+C41+C63+C74+C$140+C$141*(C41+C63+C74)-$AH146</f>
        <v>15066000</v>
      </c>
      <c r="D146" s="323">
        <f t="shared" si="203"/>
        <v>14819768</v>
      </c>
      <c r="E146" s="323">
        <f t="shared" si="203"/>
        <v>14590884.68</v>
      </c>
      <c r="F146" s="323">
        <f t="shared" si="203"/>
        <v>14379027.2818</v>
      </c>
      <c r="G146" s="323">
        <f t="shared" si="203"/>
        <v>14183793.845013</v>
      </c>
      <c r="H146" s="323">
        <f t="shared" si="192"/>
        <v>14204802.319644604</v>
      </c>
      <c r="I146" s="323">
        <f t="shared" si="197"/>
        <v>14107945.900065143</v>
      </c>
      <c r="J146" s="323">
        <f t="shared" ref="J146:M146" si="204">J85-J30+J41+J63+J74+J$140+J$141*(J41+J63+J74)-200000*(1+$AH85)-$AI146</f>
        <v>14029424.264801979</v>
      </c>
      <c r="K146" s="323">
        <f t="shared" si="204"/>
        <v>13963194.351815091</v>
      </c>
      <c r="L146" s="323">
        <f t="shared" si="204"/>
        <v>13909220.722620662</v>
      </c>
      <c r="M146" s="323">
        <f t="shared" si="204"/>
        <v>13867475.29807397</v>
      </c>
      <c r="N146" s="323">
        <f t="shared" ref="N146:AG146" si="205">N85-N30+N41+N63+N74+N$140+N$141*(N41+N63+N74)-200000*(1+$AH85)</f>
        <v>13837837.103143534</v>
      </c>
      <c r="O146" s="323">
        <f t="shared" si="205"/>
        <v>13820292.020355303</v>
      </c>
      <c r="P146" s="323">
        <f t="shared" si="205"/>
        <v>13814832.551597375</v>
      </c>
      <c r="Q146" s="323">
        <f t="shared" si="205"/>
        <v>13821457.587986698</v>
      </c>
      <c r="R146" s="323">
        <f t="shared" si="205"/>
        <v>13840072.187510055</v>
      </c>
      <c r="S146" s="323">
        <f t="shared" si="205"/>
        <v>13771205.776234932</v>
      </c>
      <c r="T146" s="323">
        <f t="shared" si="205"/>
        <v>13938807.361838184</v>
      </c>
      <c r="U146" s="323">
        <f t="shared" si="205"/>
        <v>14115073.988790313</v>
      </c>
      <c r="V146" s="323">
        <f t="shared" si="205"/>
        <v>14300170.234163113</v>
      </c>
      <c r="W146" s="323">
        <f t="shared" si="205"/>
        <v>14494261.122292817</v>
      </c>
      <c r="X146" s="323">
        <f t="shared" si="205"/>
        <v>14483071.824594036</v>
      </c>
      <c r="Y146" s="323">
        <f t="shared" si="205"/>
        <v>14697875.149347961</v>
      </c>
      <c r="Z146" s="323">
        <f t="shared" si="205"/>
        <v>14922212.923013519</v>
      </c>
      <c r="AA146" s="323">
        <f t="shared" si="205"/>
        <v>15156352.743291518</v>
      </c>
      <c r="AB146" s="323">
        <f t="shared" si="205"/>
        <v>15400562.562960327</v>
      </c>
      <c r="AC146" s="323">
        <f t="shared" si="205"/>
        <v>15546743.900537996</v>
      </c>
      <c r="AD146" s="323">
        <f t="shared" si="205"/>
        <v>15909317.70368572</v>
      </c>
      <c r="AE146" s="323">
        <f t="shared" si="205"/>
        <v>16281802.23214777</v>
      </c>
      <c r="AF146" s="323">
        <f t="shared" si="205"/>
        <v>16664493.572922941</v>
      </c>
      <c r="AG146" s="323">
        <f t="shared" si="205"/>
        <v>17057687.673474941</v>
      </c>
      <c r="AH146" s="485">
        <f>$AH$141*$B146</f>
        <v>0</v>
      </c>
      <c r="AI146" s="485">
        <f>$AI$141*$B146</f>
        <v>0</v>
      </c>
      <c r="AJ146" s="409"/>
      <c r="AK146" s="409"/>
      <c r="AL146" s="148">
        <v>200000</v>
      </c>
      <c r="AM146" s="907"/>
    </row>
    <row r="147" spans="1:39">
      <c r="A147" s="408" t="s">
        <v>141</v>
      </c>
      <c r="B147" s="408">
        <f t="shared" si="191"/>
        <v>70</v>
      </c>
      <c r="C147" s="323">
        <f t="shared" ref="C147:G147" si="206">C86-C31+C42+C64+C75+C$140+C$141*(C42+C64+C75)-$AH147</f>
        <v>12511400</v>
      </c>
      <c r="D147" s="323">
        <f t="shared" si="206"/>
        <v>12314727</v>
      </c>
      <c r="E147" s="323">
        <f t="shared" si="206"/>
        <v>12133197.095000001</v>
      </c>
      <c r="F147" s="323">
        <f t="shared" si="206"/>
        <v>11966443.226575002</v>
      </c>
      <c r="G147" s="323">
        <f t="shared" si="206"/>
        <v>11814117.510136373</v>
      </c>
      <c r="H147" s="323">
        <f t="shared" si="192"/>
        <v>11875890.396925528</v>
      </c>
      <c r="I147" s="323">
        <f t="shared" si="197"/>
        <v>11818991.1780075</v>
      </c>
      <c r="J147" s="323">
        <f t="shared" ref="J147:M147" si="207">J86-J31+J42+J64+J75+J$140+J$141*(J42+J64+J75)-200000*(1+$AH86)-$AI147</f>
        <v>11778332.499492146</v>
      </c>
      <c r="K147" s="323">
        <f t="shared" si="207"/>
        <v>11747920.933217824</v>
      </c>
      <c r="L147" s="323">
        <f t="shared" si="207"/>
        <v>11727669.239765966</v>
      </c>
      <c r="M147" s="323">
        <f t="shared" si="207"/>
        <v>11717596.147920681</v>
      </c>
      <c r="N147" s="323">
        <f t="shared" ref="N147:AG147" si="208">N86-N31+N42+N64+N75+N$140+N$141*(N42+N64+N75)-200000*(1+$AH86)</f>
        <v>11717626.141833154</v>
      </c>
      <c r="O147" s="323">
        <f t="shared" si="208"/>
        <v>11727789.255608588</v>
      </c>
      <c r="P147" s="323">
        <f t="shared" si="208"/>
        <v>11748120.875043696</v>
      </c>
      <c r="Q147" s="323">
        <f t="shared" si="208"/>
        <v>11778561.54625277</v>
      </c>
      <c r="R147" s="323">
        <f t="shared" si="208"/>
        <v>11819156.790930059</v>
      </c>
      <c r="S147" s="323">
        <f t="shared" si="208"/>
        <v>11804322.192042112</v>
      </c>
      <c r="T147" s="323">
        <f t="shared" si="208"/>
        <v>11975650.165657045</v>
      </c>
      <c r="U147" s="323">
        <f t="shared" si="208"/>
        <v>12154505.999981955</v>
      </c>
      <c r="V147" s="323">
        <f t="shared" si="208"/>
        <v>12340965.116915895</v>
      </c>
      <c r="W147" s="323">
        <f t="shared" si="208"/>
        <v>12535303.213607371</v>
      </c>
      <c r="X147" s="323">
        <f t="shared" si="208"/>
        <v>12566899.762592707</v>
      </c>
      <c r="Y147" s="323">
        <f t="shared" si="208"/>
        <v>12778708.992071168</v>
      </c>
      <c r="Z147" s="323">
        <f t="shared" si="208"/>
        <v>12998884.527693197</v>
      </c>
      <c r="AA147" s="323">
        <f t="shared" si="208"/>
        <v>13227603.667860912</v>
      </c>
      <c r="AB147" s="323">
        <f t="shared" si="208"/>
        <v>13465143.921413518</v>
      </c>
      <c r="AC147" s="323">
        <f t="shared" si="208"/>
        <v>13613563.564470308</v>
      </c>
      <c r="AD147" s="323">
        <f t="shared" si="208"/>
        <v>13936963.982371712</v>
      </c>
      <c r="AE147" s="323">
        <f t="shared" si="208"/>
        <v>14269239.860097261</v>
      </c>
      <c r="AF147" s="323">
        <f t="shared" si="208"/>
        <v>14610687.601358101</v>
      </c>
      <c r="AG147" s="323">
        <f t="shared" si="208"/>
        <v>14961503.48688475</v>
      </c>
      <c r="AH147" s="485">
        <f>$AH$141*$B147</f>
        <v>0</v>
      </c>
      <c r="AI147" s="485">
        <f>$AI$141*$B147</f>
        <v>0</v>
      </c>
      <c r="AJ147" s="409"/>
      <c r="AK147" s="409"/>
      <c r="AL147" s="148">
        <v>200000</v>
      </c>
      <c r="AM147" s="907"/>
    </row>
    <row r="148" spans="1:39">
      <c r="A148" s="408" t="s">
        <v>142</v>
      </c>
      <c r="B148" s="408">
        <f t="shared" si="191"/>
        <v>70</v>
      </c>
      <c r="C148" s="323">
        <f t="shared" ref="C148:G148" si="209">C87-C32+C43+C65+C76+C$140+C$141*(C43+C65+C76)-$AH148</f>
        <v>13011400</v>
      </c>
      <c r="D148" s="323">
        <f t="shared" si="209"/>
        <v>12830727</v>
      </c>
      <c r="E148" s="323">
        <f t="shared" si="209"/>
        <v>12665657.095000001</v>
      </c>
      <c r="F148" s="323">
        <f t="shared" si="209"/>
        <v>12515922.426575001</v>
      </c>
      <c r="G148" s="323">
        <f t="shared" si="209"/>
        <v>12381174.294136375</v>
      </c>
      <c r="H148" s="323">
        <f t="shared" si="192"/>
        <v>12461082.316605527</v>
      </c>
      <c r="I148" s="323">
        <f t="shared" si="197"/>
        <v>12422774.936081098</v>
      </c>
      <c r="J148" s="323">
        <f t="shared" ref="J148:M148" si="210">J87-J32+J43+J65+J76+J$140+J$141*(J43+J65+J76)-200000*(1+$AH87)-$AI148</f>
        <v>12401363.932727218</v>
      </c>
      <c r="K148" s="323">
        <f t="shared" si="210"/>
        <v>12390754.995117597</v>
      </c>
      <c r="L148" s="323">
        <f t="shared" si="210"/>
        <v>12390959.982903736</v>
      </c>
      <c r="M148" s="323">
        <f t="shared" si="210"/>
        <v>12401996.705921208</v>
      </c>
      <c r="N148" s="323">
        <f t="shared" ref="N148:AG148" si="211">N87-N32+N43+N65+N76+N$140+N$141*(N43+N65+N76)-200000*(1+$AH87)</f>
        <v>12423788.71099369</v>
      </c>
      <c r="O148" s="323">
        <f t="shared" si="211"/>
        <v>12456465.076152334</v>
      </c>
      <c r="P148" s="323">
        <f t="shared" si="211"/>
        <v>12499960.211998314</v>
      </c>
      <c r="Q148" s="323">
        <f t="shared" si="211"/>
        <v>12554313.669946484</v>
      </c>
      <c r="R148" s="323">
        <f t="shared" si="211"/>
        <v>12619569.957097646</v>
      </c>
      <c r="S148" s="323">
        <f t="shared" si="211"/>
        <v>12630143.621533051</v>
      </c>
      <c r="T148" s="323">
        <f t="shared" si="211"/>
        <v>12827626.023737803</v>
      </c>
      <c r="U148" s="323">
        <f t="shared" si="211"/>
        <v>13033381.375224326</v>
      </c>
      <c r="V148" s="323">
        <f t="shared" si="211"/>
        <v>13247683.999663113</v>
      </c>
      <c r="W148" s="323">
        <f t="shared" si="211"/>
        <v>13470708.474009536</v>
      </c>
      <c r="X148" s="323">
        <f t="shared" si="211"/>
        <v>13531833.128202915</v>
      </c>
      <c r="Y148" s="323">
        <f t="shared" si="211"/>
        <v>13774011.024993578</v>
      </c>
      <c r="Z148" s="323">
        <f t="shared" si="211"/>
        <v>14025594.601274056</v>
      </c>
      <c r="AA148" s="323">
        <f t="shared" si="211"/>
        <v>14286659.942913393</v>
      </c>
      <c r="AB148" s="323">
        <f t="shared" si="211"/>
        <v>14557583.321967047</v>
      </c>
      <c r="AC148" s="323">
        <f t="shared" si="211"/>
        <v>14740421.753034906</v>
      </c>
      <c r="AD148" s="323">
        <f t="shared" si="211"/>
        <v>15099275.334707601</v>
      </c>
      <c r="AE148" s="323">
        <f t="shared" si="211"/>
        <v>15468137.439479869</v>
      </c>
      <c r="AF148" s="323">
        <f t="shared" si="211"/>
        <v>15847303.132328361</v>
      </c>
      <c r="AG148" s="323">
        <f t="shared" si="211"/>
        <v>16237067.328474417</v>
      </c>
      <c r="AH148" s="485">
        <f t="shared" ref="AH148:AH150" si="212">$AH$141*$B148</f>
        <v>0</v>
      </c>
      <c r="AI148" s="485">
        <f t="shared" ref="AI148:AI150" si="213">$AI$141*$B148</f>
        <v>0</v>
      </c>
      <c r="AJ148" s="409"/>
      <c r="AK148" s="409"/>
      <c r="AL148" s="148">
        <v>200000</v>
      </c>
      <c r="AM148" s="907"/>
    </row>
    <row r="149" spans="1:39">
      <c r="A149" s="408" t="s">
        <v>143</v>
      </c>
      <c r="B149" s="408">
        <f t="shared" si="191"/>
        <v>70</v>
      </c>
      <c r="C149" s="323">
        <f t="shared" ref="C149:G149" si="214">C88-C33+C44+C66+C77+C$140+C$141*(C44+C66+C77)-$AH149</f>
        <v>12191400</v>
      </c>
      <c r="D149" s="323">
        <f t="shared" si="214"/>
        <v>12014527</v>
      </c>
      <c r="E149" s="323">
        <f t="shared" si="214"/>
        <v>11852225.095000001</v>
      </c>
      <c r="F149" s="323">
        <f t="shared" si="214"/>
        <v>11704154.106575001</v>
      </c>
      <c r="G149" s="323">
        <f t="shared" si="214"/>
        <v>11569991.954936374</v>
      </c>
      <c r="H149" s="323">
        <f t="shared" si="192"/>
        <v>11649433.863933528</v>
      </c>
      <c r="I149" s="323">
        <f t="shared" si="197"/>
        <v>11599459.210345421</v>
      </c>
      <c r="J149" s="323">
        <f t="shared" ref="J149:M149" si="215">J88-J33+J44+J66+J77+J$140+J$141*(J44+J66+J77)-200000*(1+$AH88)-$AI149</f>
        <v>11565790.851506688</v>
      </c>
      <c r="K149" s="323">
        <f t="shared" si="215"/>
        <v>11542435.701712219</v>
      </c>
      <c r="L149" s="323">
        <f t="shared" si="215"/>
        <v>11529306.860575419</v>
      </c>
      <c r="M149" s="323">
        <f t="shared" si="215"/>
        <v>11526423.392522037</v>
      </c>
      <c r="N149" s="323">
        <f t="shared" ref="N149:AG149" si="216">N88-N33+N44+N66+N77+N$140+N$141*(N44+N66+N77)-200000*(1+$AH88)</f>
        <v>11533810.113988498</v>
      </c>
      <c r="O149" s="323">
        <f t="shared" si="216"/>
        <v>11551397.388042379</v>
      </c>
      <c r="P149" s="323">
        <f t="shared" si="216"/>
        <v>11579220.926153148</v>
      </c>
      <c r="Q149" s="323">
        <f t="shared" si="216"/>
        <v>11617221.596851127</v>
      </c>
      <c r="R149" s="323">
        <f t="shared" si="216"/>
        <v>11665545.241022434</v>
      </c>
      <c r="S149" s="323">
        <f t="shared" si="216"/>
        <v>11663485.264685649</v>
      </c>
      <c r="T149" s="323">
        <f t="shared" si="216"/>
        <v>11836596.869027017</v>
      </c>
      <c r="U149" s="323">
        <f t="shared" si="216"/>
        <v>12017306.170385625</v>
      </c>
      <c r="V149" s="323">
        <f t="shared" si="216"/>
        <v>12205788.289023602</v>
      </c>
      <c r="W149" s="323">
        <f t="shared" si="216"/>
        <v>12402318.617436159</v>
      </c>
      <c r="X149" s="323">
        <f t="shared" si="216"/>
        <v>12447917.929427667</v>
      </c>
      <c r="Y149" s="323">
        <f t="shared" si="216"/>
        <v>12662174.340574477</v>
      </c>
      <c r="Z149" s="323">
        <f t="shared" si="216"/>
        <v>12884966.529681539</v>
      </c>
      <c r="AA149" s="323">
        <f t="shared" si="216"/>
        <v>13116471.489869142</v>
      </c>
      <c r="AB149" s="323">
        <f t="shared" si="216"/>
        <v>13356966.421641827</v>
      </c>
      <c r="AC149" s="323">
        <f t="shared" si="216"/>
        <v>13520849.838730494</v>
      </c>
      <c r="AD149" s="323">
        <f t="shared" si="216"/>
        <v>13847565.119374497</v>
      </c>
      <c r="AE149" s="323">
        <f t="shared" si="216"/>
        <v>14183325.008470075</v>
      </c>
      <c r="AF149" s="323">
        <f t="shared" si="216"/>
        <v>14528425.601214647</v>
      </c>
      <c r="AG149" s="323">
        <f t="shared" si="216"/>
        <v>14883162.86673986</v>
      </c>
      <c r="AH149" s="485">
        <f t="shared" si="212"/>
        <v>0</v>
      </c>
      <c r="AI149" s="485">
        <f t="shared" si="213"/>
        <v>0</v>
      </c>
      <c r="AJ149" s="409"/>
      <c r="AK149" s="409"/>
      <c r="AL149" s="148">
        <v>200000</v>
      </c>
      <c r="AM149" s="907"/>
    </row>
    <row r="150" spans="1:39">
      <c r="A150" s="408" t="s">
        <v>144</v>
      </c>
      <c r="B150" s="408">
        <f t="shared" si="191"/>
        <v>80</v>
      </c>
      <c r="C150" s="323">
        <f t="shared" ref="C150:G150" si="217">C89-C34+C45+C67+C78+C$140+C$141*(C45+C67+C78)-$AH150</f>
        <v>15366000</v>
      </c>
      <c r="D150" s="323">
        <f t="shared" si="217"/>
        <v>15128768</v>
      </c>
      <c r="E150" s="323">
        <f t="shared" si="217"/>
        <v>14909184.68</v>
      </c>
      <c r="F150" s="323">
        <f t="shared" si="217"/>
        <v>14706827.2818</v>
      </c>
      <c r="G150" s="323">
        <f t="shared" si="217"/>
        <v>14521393.845013</v>
      </c>
      <c r="H150" s="323">
        <f t="shared" si="192"/>
        <v>14552502.319644604</v>
      </c>
      <c r="I150" s="323">
        <f t="shared" si="197"/>
        <v>14466045.900065143</v>
      </c>
      <c r="J150" s="323">
        <f t="shared" ref="J150:M150" si="218">J89-J34+J45+J67+J78+J$140+J$141*(J45+J67+J78)-200000*(1+$AH89)-$AI150</f>
        <v>14398324.264801979</v>
      </c>
      <c r="K150" s="323">
        <f t="shared" si="218"/>
        <v>14343194.351815091</v>
      </c>
      <c r="L150" s="323">
        <f t="shared" si="218"/>
        <v>14300620.722620662</v>
      </c>
      <c r="M150" s="323">
        <f t="shared" si="218"/>
        <v>14270575.29807397</v>
      </c>
      <c r="N150" s="323">
        <f t="shared" ref="N150:AG150" si="219">N89-N34+N45+N67+N78+N$140+N$141*(N45+N67+N78)-200000*(1+$AH89)</f>
        <v>14253037.103143534</v>
      </c>
      <c r="O150" s="323">
        <f t="shared" si="219"/>
        <v>14247992.020355303</v>
      </c>
      <c r="P150" s="323">
        <f t="shared" si="219"/>
        <v>14255332.551597379</v>
      </c>
      <c r="Q150" s="323">
        <f t="shared" si="219"/>
        <v>14275157.587986698</v>
      </c>
      <c r="R150" s="323">
        <f t="shared" si="219"/>
        <v>14307372.187510055</v>
      </c>
      <c r="S150" s="323">
        <f t="shared" si="219"/>
        <v>14252505.776234932</v>
      </c>
      <c r="T150" s="323">
        <f t="shared" si="219"/>
        <v>14434507.361838184</v>
      </c>
      <c r="U150" s="323">
        <f t="shared" si="219"/>
        <v>14625573.988790313</v>
      </c>
      <c r="V150" s="323">
        <f t="shared" si="219"/>
        <v>14825970.234163113</v>
      </c>
      <c r="W150" s="323">
        <f t="shared" si="219"/>
        <v>15035861.122292817</v>
      </c>
      <c r="X150" s="323">
        <f t="shared" si="219"/>
        <v>15040871.824594036</v>
      </c>
      <c r="Y150" s="323">
        <f t="shared" si="219"/>
        <v>15272375.149347961</v>
      </c>
      <c r="Z150" s="323">
        <f t="shared" si="219"/>
        <v>15513912.923013519</v>
      </c>
      <c r="AA150" s="323">
        <f t="shared" si="219"/>
        <v>15765852.743291518</v>
      </c>
      <c r="AB150" s="323">
        <f t="shared" si="219"/>
        <v>16028362.562960327</v>
      </c>
      <c r="AC150" s="323">
        <f t="shared" si="219"/>
        <v>16193343.900537996</v>
      </c>
      <c r="AD150" s="323">
        <f t="shared" si="219"/>
        <v>16575317.70368572</v>
      </c>
      <c r="AE150" s="323">
        <f t="shared" si="219"/>
        <v>16967802.232147772</v>
      </c>
      <c r="AF150" s="323">
        <f t="shared" si="219"/>
        <v>17371093.572922941</v>
      </c>
      <c r="AG150" s="323">
        <f t="shared" si="219"/>
        <v>17785487.673474945</v>
      </c>
      <c r="AH150" s="485">
        <f t="shared" si="212"/>
        <v>0</v>
      </c>
      <c r="AI150" s="485">
        <f t="shared" si="213"/>
        <v>0</v>
      </c>
      <c r="AJ150" s="409"/>
      <c r="AK150" s="409"/>
      <c r="AL150" s="148">
        <v>200000</v>
      </c>
      <c r="AM150" s="907"/>
    </row>
    <row r="151" spans="1:39">
      <c r="A151" s="408"/>
      <c r="B151" s="408"/>
      <c r="C151" s="323"/>
      <c r="D151" s="323"/>
      <c r="E151" s="323"/>
      <c r="F151" s="323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409"/>
      <c r="AI151" s="409"/>
      <c r="AJ151" s="409"/>
      <c r="AK151" s="409"/>
      <c r="AL151" s="148"/>
    </row>
    <row r="152" spans="1:39" s="4" customFormat="1">
      <c r="A152" s="903" t="s">
        <v>148</v>
      </c>
      <c r="B152" s="904"/>
      <c r="C152" s="399">
        <v>2025</v>
      </c>
      <c r="D152" s="399">
        <v>2026</v>
      </c>
      <c r="E152" s="399">
        <v>2027</v>
      </c>
      <c r="F152" s="399">
        <v>2028</v>
      </c>
      <c r="G152" s="399">
        <v>2029</v>
      </c>
      <c r="H152" s="399">
        <v>2030</v>
      </c>
      <c r="I152" s="399">
        <v>2031</v>
      </c>
      <c r="J152" s="399">
        <v>2032</v>
      </c>
      <c r="K152" s="399">
        <v>2033</v>
      </c>
      <c r="L152" s="399">
        <v>2034</v>
      </c>
      <c r="M152" s="399">
        <v>2035</v>
      </c>
      <c r="N152" s="399">
        <v>2036</v>
      </c>
      <c r="O152" s="399">
        <v>2037</v>
      </c>
      <c r="P152" s="399">
        <v>2038</v>
      </c>
      <c r="Q152" s="399">
        <v>2039</v>
      </c>
      <c r="R152" s="399">
        <v>2040</v>
      </c>
      <c r="S152" s="399">
        <v>2041</v>
      </c>
      <c r="T152" s="399">
        <v>2042</v>
      </c>
      <c r="U152" s="399">
        <v>2043</v>
      </c>
      <c r="V152" s="399">
        <v>2044</v>
      </c>
      <c r="W152" s="399">
        <v>2045</v>
      </c>
      <c r="X152" s="399">
        <v>2046</v>
      </c>
      <c r="Y152" s="399">
        <v>2047</v>
      </c>
      <c r="Z152" s="399">
        <v>2048</v>
      </c>
      <c r="AA152" s="399">
        <v>2049</v>
      </c>
      <c r="AB152" s="399">
        <v>2050</v>
      </c>
      <c r="AC152" s="399">
        <v>2051</v>
      </c>
      <c r="AD152" s="399">
        <v>2052</v>
      </c>
      <c r="AE152" s="399">
        <v>2053</v>
      </c>
      <c r="AF152" s="399">
        <v>2054</v>
      </c>
      <c r="AG152" s="399">
        <v>2055</v>
      </c>
      <c r="AH152" s="399"/>
      <c r="AI152" s="521"/>
      <c r="AJ152" s="521"/>
      <c r="AK152" s="521"/>
      <c r="AL152" s="521"/>
    </row>
    <row r="153" spans="1:39">
      <c r="A153" s="408" t="s">
        <v>8</v>
      </c>
      <c r="B153" s="408" t="s">
        <v>9</v>
      </c>
      <c r="C153" s="416">
        <f>'No change with year'!BM5</f>
        <v>2.8</v>
      </c>
      <c r="D153" s="416">
        <f t="shared" ref="D153:H166" si="220">C153*(1+$AH153)</f>
        <v>2.9119999999999999</v>
      </c>
      <c r="E153" s="416">
        <f t="shared" si="220"/>
        <v>3.0284800000000001</v>
      </c>
      <c r="F153" s="416">
        <f t="shared" si="220"/>
        <v>3.1496192000000001</v>
      </c>
      <c r="G153" s="416">
        <f t="shared" si="220"/>
        <v>3.275603968</v>
      </c>
      <c r="H153" s="416">
        <f t="shared" si="220"/>
        <v>3.4066281267200003</v>
      </c>
      <c r="I153" s="416">
        <f t="shared" ref="I153:AG153" si="221">H153*(1+$AI153)</f>
        <v>3.5428932517888003</v>
      </c>
      <c r="J153" s="416">
        <f t="shared" si="221"/>
        <v>3.6846089818603525</v>
      </c>
      <c r="K153" s="416">
        <f t="shared" si="221"/>
        <v>3.8319933411347669</v>
      </c>
      <c r="L153" s="416">
        <f t="shared" si="221"/>
        <v>3.9852730747801575</v>
      </c>
      <c r="M153" s="416">
        <f t="shared" si="221"/>
        <v>4.1446839977713639</v>
      </c>
      <c r="N153" s="416">
        <f t="shared" si="221"/>
        <v>4.3104713576822187</v>
      </c>
      <c r="O153" s="416">
        <f t="shared" si="221"/>
        <v>4.482890211989508</v>
      </c>
      <c r="P153" s="416">
        <f t="shared" si="221"/>
        <v>4.6622058204690884</v>
      </c>
      <c r="Q153" s="416">
        <f t="shared" si="221"/>
        <v>4.8486940532878524</v>
      </c>
      <c r="R153" s="416">
        <f t="shared" si="221"/>
        <v>5.0426418154193664</v>
      </c>
      <c r="S153" s="416">
        <f t="shared" si="221"/>
        <v>5.2443474880361416</v>
      </c>
      <c r="T153" s="416">
        <f t="shared" si="221"/>
        <v>5.4541213875575876</v>
      </c>
      <c r="U153" s="416">
        <f t="shared" si="221"/>
        <v>5.672286243059891</v>
      </c>
      <c r="V153" s="416">
        <f t="shared" si="221"/>
        <v>5.8991776927822865</v>
      </c>
      <c r="W153" s="416">
        <f t="shared" si="221"/>
        <v>6.1351448004935785</v>
      </c>
      <c r="X153" s="416">
        <f t="shared" si="221"/>
        <v>6.3805505925133215</v>
      </c>
      <c r="Y153" s="416">
        <f t="shared" si="221"/>
        <v>6.6357726162138544</v>
      </c>
      <c r="Z153" s="416">
        <f t="shared" si="221"/>
        <v>6.901203520862409</v>
      </c>
      <c r="AA153" s="416">
        <f t="shared" si="221"/>
        <v>7.1772516616969053</v>
      </c>
      <c r="AB153" s="416">
        <f t="shared" si="221"/>
        <v>7.4643417281647819</v>
      </c>
      <c r="AC153" s="416">
        <f t="shared" si="221"/>
        <v>7.7629153972913736</v>
      </c>
      <c r="AD153" s="416">
        <f t="shared" si="221"/>
        <v>8.0734320131830284</v>
      </c>
      <c r="AE153" s="416">
        <f t="shared" si="221"/>
        <v>8.3963692937103502</v>
      </c>
      <c r="AF153" s="416">
        <f t="shared" si="221"/>
        <v>8.7322240654587642</v>
      </c>
      <c r="AG153" s="416">
        <f t="shared" si="221"/>
        <v>9.081513028077115</v>
      </c>
      <c r="AH153" s="400">
        <v>0.04</v>
      </c>
      <c r="AI153" s="400">
        <v>0.04</v>
      </c>
      <c r="AJ153" s="400">
        <v>0.04</v>
      </c>
      <c r="AK153" s="400">
        <v>0.04</v>
      </c>
      <c r="AL153" s="43"/>
    </row>
    <row r="154" spans="1:39">
      <c r="A154" s="408" t="s">
        <v>8</v>
      </c>
      <c r="B154" s="408" t="s">
        <v>11</v>
      </c>
      <c r="C154" s="416">
        <f>'No change with year'!BM6</f>
        <v>4.2</v>
      </c>
      <c r="D154" s="416">
        <f t="shared" si="220"/>
        <v>4.3680000000000003</v>
      </c>
      <c r="E154" s="416">
        <f t="shared" si="220"/>
        <v>4.5427200000000001</v>
      </c>
      <c r="F154" s="416">
        <f t="shared" si="220"/>
        <v>4.7244288000000001</v>
      </c>
      <c r="G154" s="416">
        <f t="shared" si="220"/>
        <v>4.9134059520000006</v>
      </c>
      <c r="H154" s="416">
        <f t="shared" si="220"/>
        <v>5.1099421900800008</v>
      </c>
      <c r="I154" s="416">
        <f t="shared" ref="I154:AG154" si="222">H154*(1+$AI154)</f>
        <v>5.3143398776832012</v>
      </c>
      <c r="J154" s="416">
        <f t="shared" si="222"/>
        <v>5.5269134727905298</v>
      </c>
      <c r="K154" s="416">
        <f t="shared" si="222"/>
        <v>5.747990011702151</v>
      </c>
      <c r="L154" s="416">
        <f t="shared" si="222"/>
        <v>5.9779096121702375</v>
      </c>
      <c r="M154" s="416">
        <f t="shared" si="222"/>
        <v>6.2170259966570471</v>
      </c>
      <c r="N154" s="416">
        <f t="shared" si="222"/>
        <v>6.4657070365233293</v>
      </c>
      <c r="O154" s="416">
        <f t="shared" si="222"/>
        <v>6.7243353179842629</v>
      </c>
      <c r="P154" s="416">
        <f t="shared" si="222"/>
        <v>6.9933087307036335</v>
      </c>
      <c r="Q154" s="416">
        <f t="shared" si="222"/>
        <v>7.2730410799317786</v>
      </c>
      <c r="R154" s="416">
        <f t="shared" si="222"/>
        <v>7.56396272312905</v>
      </c>
      <c r="S154" s="416">
        <f t="shared" si="222"/>
        <v>7.8665212320542119</v>
      </c>
      <c r="T154" s="416">
        <f t="shared" si="222"/>
        <v>8.1811820813363809</v>
      </c>
      <c r="U154" s="416">
        <f t="shared" si="222"/>
        <v>8.508429364589837</v>
      </c>
      <c r="V154" s="416">
        <f t="shared" si="222"/>
        <v>8.8487665391734307</v>
      </c>
      <c r="W154" s="416">
        <f t="shared" si="222"/>
        <v>9.2027172007403681</v>
      </c>
      <c r="X154" s="416">
        <f t="shared" si="222"/>
        <v>9.5708258887699831</v>
      </c>
      <c r="Y154" s="416">
        <f t="shared" si="222"/>
        <v>9.9536589243207825</v>
      </c>
      <c r="Z154" s="416">
        <f t="shared" si="222"/>
        <v>10.351805281293615</v>
      </c>
      <c r="AA154" s="416">
        <f t="shared" si="222"/>
        <v>10.765877492545359</v>
      </c>
      <c r="AB154" s="416">
        <f t="shared" si="222"/>
        <v>11.196512592247174</v>
      </c>
      <c r="AC154" s="416">
        <f t="shared" si="222"/>
        <v>11.644373095937061</v>
      </c>
      <c r="AD154" s="416">
        <f t="shared" si="222"/>
        <v>12.110148019774543</v>
      </c>
      <c r="AE154" s="416">
        <f t="shared" si="222"/>
        <v>12.594553940565525</v>
      </c>
      <c r="AF154" s="416">
        <f t="shared" si="222"/>
        <v>13.098336098188147</v>
      </c>
      <c r="AG154" s="416">
        <f t="shared" si="222"/>
        <v>13.622269542115674</v>
      </c>
      <c r="AH154" s="400">
        <v>0.04</v>
      </c>
      <c r="AI154" s="400">
        <v>0.04</v>
      </c>
      <c r="AJ154" s="400">
        <v>0.04</v>
      </c>
      <c r="AK154" s="400">
        <v>0.04</v>
      </c>
      <c r="AL154" s="43"/>
    </row>
    <row r="155" spans="1:39">
      <c r="A155" s="408" t="s">
        <v>8</v>
      </c>
      <c r="B155" s="408" t="s">
        <v>13</v>
      </c>
      <c r="C155" s="416">
        <f>'No change with year'!BM7</f>
        <v>7.7</v>
      </c>
      <c r="D155" s="416">
        <f t="shared" si="220"/>
        <v>8.0080000000000009</v>
      </c>
      <c r="E155" s="416">
        <f t="shared" si="220"/>
        <v>8.3283200000000015</v>
      </c>
      <c r="F155" s="416">
        <f t="shared" si="220"/>
        <v>8.6614528000000011</v>
      </c>
      <c r="G155" s="416">
        <f t="shared" si="220"/>
        <v>9.0079109120000016</v>
      </c>
      <c r="H155" s="416">
        <f t="shared" si="220"/>
        <v>9.3682273484800014</v>
      </c>
      <c r="I155" s="416">
        <f t="shared" ref="I155:AG155" si="223">H155*(1+$AI155)</f>
        <v>9.7429564424192012</v>
      </c>
      <c r="J155" s="416">
        <f t="shared" si="223"/>
        <v>10.13267470011597</v>
      </c>
      <c r="K155" s="416">
        <f t="shared" si="223"/>
        <v>10.53798168812061</v>
      </c>
      <c r="L155" s="416">
        <f t="shared" si="223"/>
        <v>10.959500955645435</v>
      </c>
      <c r="M155" s="416">
        <f t="shared" si="223"/>
        <v>11.397880993871253</v>
      </c>
      <c r="N155" s="416">
        <f t="shared" si="223"/>
        <v>11.853796233626102</v>
      </c>
      <c r="O155" s="416">
        <f t="shared" si="223"/>
        <v>12.327948082971147</v>
      </c>
      <c r="P155" s="416">
        <f t="shared" si="223"/>
        <v>12.821066006289994</v>
      </c>
      <c r="Q155" s="416">
        <f t="shared" si="223"/>
        <v>13.333908646541595</v>
      </c>
      <c r="R155" s="416">
        <f t="shared" si="223"/>
        <v>13.867264992403259</v>
      </c>
      <c r="S155" s="416">
        <f t="shared" si="223"/>
        <v>14.421955592099389</v>
      </c>
      <c r="T155" s="416">
        <f t="shared" si="223"/>
        <v>14.998833815783366</v>
      </c>
      <c r="U155" s="416">
        <f t="shared" si="223"/>
        <v>15.598787168414701</v>
      </c>
      <c r="V155" s="416">
        <f t="shared" si="223"/>
        <v>16.222738655151289</v>
      </c>
      <c r="W155" s="416">
        <f t="shared" si="223"/>
        <v>16.871648201357342</v>
      </c>
      <c r="X155" s="416">
        <f t="shared" si="223"/>
        <v>17.546514129411637</v>
      </c>
      <c r="Y155" s="416">
        <f t="shared" si="223"/>
        <v>18.248374694588104</v>
      </c>
      <c r="Z155" s="416">
        <f t="shared" si="223"/>
        <v>18.978309682371631</v>
      </c>
      <c r="AA155" s="416">
        <f t="shared" si="223"/>
        <v>19.737442069666496</v>
      </c>
      <c r="AB155" s="416">
        <f t="shared" si="223"/>
        <v>20.526939752453156</v>
      </c>
      <c r="AC155" s="416">
        <f t="shared" si="223"/>
        <v>21.348017342551284</v>
      </c>
      <c r="AD155" s="416">
        <f t="shared" si="223"/>
        <v>22.201938036253335</v>
      </c>
      <c r="AE155" s="416">
        <f t="shared" si="223"/>
        <v>23.09001555770347</v>
      </c>
      <c r="AF155" s="416">
        <f t="shared" si="223"/>
        <v>24.01361618001161</v>
      </c>
      <c r="AG155" s="416">
        <f t="shared" si="223"/>
        <v>24.974160827212074</v>
      </c>
      <c r="AH155" s="400">
        <v>0.04</v>
      </c>
      <c r="AI155" s="400">
        <v>0.04</v>
      </c>
      <c r="AJ155" s="400">
        <v>0.04</v>
      </c>
      <c r="AK155" s="400">
        <v>0.04</v>
      </c>
      <c r="AL155" s="43"/>
    </row>
    <row r="156" spans="1:39">
      <c r="A156" s="408" t="s">
        <v>15</v>
      </c>
      <c r="B156" s="408" t="s">
        <v>9</v>
      </c>
      <c r="C156" s="416">
        <f>'No change with year'!BM8</f>
        <v>2.8</v>
      </c>
      <c r="D156" s="416">
        <f t="shared" si="220"/>
        <v>2.9119999999999999</v>
      </c>
      <c r="E156" s="416">
        <f t="shared" si="220"/>
        <v>3.0284800000000001</v>
      </c>
      <c r="F156" s="416">
        <f t="shared" si="220"/>
        <v>3.1496192000000001</v>
      </c>
      <c r="G156" s="416">
        <f t="shared" si="220"/>
        <v>3.275603968</v>
      </c>
      <c r="H156" s="416">
        <f t="shared" si="220"/>
        <v>3.4066281267200003</v>
      </c>
      <c r="I156" s="416">
        <f t="shared" ref="I156:AG156" si="224">H156*(1+$AI156)</f>
        <v>3.5428932517888003</v>
      </c>
      <c r="J156" s="416">
        <f t="shared" si="224"/>
        <v>3.6846089818603525</v>
      </c>
      <c r="K156" s="416">
        <f t="shared" si="224"/>
        <v>3.8319933411347669</v>
      </c>
      <c r="L156" s="416">
        <f t="shared" si="224"/>
        <v>3.9852730747801575</v>
      </c>
      <c r="M156" s="416">
        <f t="shared" si="224"/>
        <v>4.1446839977713639</v>
      </c>
      <c r="N156" s="416">
        <f t="shared" si="224"/>
        <v>4.3104713576822187</v>
      </c>
      <c r="O156" s="416">
        <f t="shared" si="224"/>
        <v>4.482890211989508</v>
      </c>
      <c r="P156" s="416">
        <f t="shared" si="224"/>
        <v>4.6622058204690884</v>
      </c>
      <c r="Q156" s="416">
        <f t="shared" si="224"/>
        <v>4.8486940532878524</v>
      </c>
      <c r="R156" s="416">
        <f t="shared" si="224"/>
        <v>5.0426418154193664</v>
      </c>
      <c r="S156" s="416">
        <f t="shared" si="224"/>
        <v>5.2443474880361416</v>
      </c>
      <c r="T156" s="416">
        <f t="shared" si="224"/>
        <v>5.4541213875575876</v>
      </c>
      <c r="U156" s="416">
        <f t="shared" si="224"/>
        <v>5.672286243059891</v>
      </c>
      <c r="V156" s="416">
        <f t="shared" si="224"/>
        <v>5.8991776927822865</v>
      </c>
      <c r="W156" s="416">
        <f t="shared" si="224"/>
        <v>6.1351448004935785</v>
      </c>
      <c r="X156" s="416">
        <f t="shared" si="224"/>
        <v>6.3805505925133215</v>
      </c>
      <c r="Y156" s="416">
        <f t="shared" si="224"/>
        <v>6.6357726162138544</v>
      </c>
      <c r="Z156" s="416">
        <f t="shared" si="224"/>
        <v>6.901203520862409</v>
      </c>
      <c r="AA156" s="416">
        <f t="shared" si="224"/>
        <v>7.1772516616969053</v>
      </c>
      <c r="AB156" s="416">
        <f t="shared" si="224"/>
        <v>7.4643417281647819</v>
      </c>
      <c r="AC156" s="416">
        <f t="shared" si="224"/>
        <v>7.7629153972913736</v>
      </c>
      <c r="AD156" s="416">
        <f t="shared" si="224"/>
        <v>8.0734320131830284</v>
      </c>
      <c r="AE156" s="416">
        <f t="shared" si="224"/>
        <v>8.3963692937103502</v>
      </c>
      <c r="AF156" s="416">
        <f t="shared" si="224"/>
        <v>8.7322240654587642</v>
      </c>
      <c r="AG156" s="416">
        <f t="shared" si="224"/>
        <v>9.081513028077115</v>
      </c>
      <c r="AH156" s="400">
        <v>0.04</v>
      </c>
      <c r="AI156" s="400">
        <v>0.04</v>
      </c>
      <c r="AJ156" s="400">
        <v>0.04</v>
      </c>
      <c r="AK156" s="400">
        <v>0.04</v>
      </c>
      <c r="AL156" s="43"/>
    </row>
    <row r="157" spans="1:39">
      <c r="A157" s="408" t="s">
        <v>15</v>
      </c>
      <c r="B157" s="408" t="s">
        <v>11</v>
      </c>
      <c r="C157" s="416">
        <f>'No change with year'!BM9</f>
        <v>4.2</v>
      </c>
      <c r="D157" s="416">
        <f t="shared" si="220"/>
        <v>4.3680000000000003</v>
      </c>
      <c r="E157" s="416">
        <f t="shared" si="220"/>
        <v>4.5427200000000001</v>
      </c>
      <c r="F157" s="416">
        <f t="shared" si="220"/>
        <v>4.7244288000000001</v>
      </c>
      <c r="G157" s="416">
        <f t="shared" si="220"/>
        <v>4.9134059520000006</v>
      </c>
      <c r="H157" s="416">
        <f t="shared" si="220"/>
        <v>5.1099421900800008</v>
      </c>
      <c r="I157" s="416">
        <f t="shared" ref="I157:AG157" si="225">H157*(1+$AI157)</f>
        <v>5.3143398776832012</v>
      </c>
      <c r="J157" s="416">
        <f t="shared" si="225"/>
        <v>5.5269134727905298</v>
      </c>
      <c r="K157" s="416">
        <f t="shared" si="225"/>
        <v>5.747990011702151</v>
      </c>
      <c r="L157" s="416">
        <f t="shared" si="225"/>
        <v>5.9779096121702375</v>
      </c>
      <c r="M157" s="416">
        <f t="shared" si="225"/>
        <v>6.2170259966570471</v>
      </c>
      <c r="N157" s="416">
        <f t="shared" si="225"/>
        <v>6.4657070365233293</v>
      </c>
      <c r="O157" s="416">
        <f t="shared" si="225"/>
        <v>6.7243353179842629</v>
      </c>
      <c r="P157" s="416">
        <f t="shared" si="225"/>
        <v>6.9933087307036335</v>
      </c>
      <c r="Q157" s="416">
        <f t="shared" si="225"/>
        <v>7.2730410799317786</v>
      </c>
      <c r="R157" s="416">
        <f t="shared" si="225"/>
        <v>7.56396272312905</v>
      </c>
      <c r="S157" s="416">
        <f t="shared" si="225"/>
        <v>7.8665212320542119</v>
      </c>
      <c r="T157" s="416">
        <f t="shared" si="225"/>
        <v>8.1811820813363809</v>
      </c>
      <c r="U157" s="416">
        <f t="shared" si="225"/>
        <v>8.508429364589837</v>
      </c>
      <c r="V157" s="416">
        <f t="shared" si="225"/>
        <v>8.8487665391734307</v>
      </c>
      <c r="W157" s="416">
        <f t="shared" si="225"/>
        <v>9.2027172007403681</v>
      </c>
      <c r="X157" s="416">
        <f t="shared" si="225"/>
        <v>9.5708258887699831</v>
      </c>
      <c r="Y157" s="416">
        <f t="shared" si="225"/>
        <v>9.9536589243207825</v>
      </c>
      <c r="Z157" s="416">
        <f t="shared" si="225"/>
        <v>10.351805281293615</v>
      </c>
      <c r="AA157" s="416">
        <f t="shared" si="225"/>
        <v>10.765877492545359</v>
      </c>
      <c r="AB157" s="416">
        <f t="shared" si="225"/>
        <v>11.196512592247174</v>
      </c>
      <c r="AC157" s="416">
        <f t="shared" si="225"/>
        <v>11.644373095937061</v>
      </c>
      <c r="AD157" s="416">
        <f t="shared" si="225"/>
        <v>12.110148019774543</v>
      </c>
      <c r="AE157" s="416">
        <f t="shared" si="225"/>
        <v>12.594553940565525</v>
      </c>
      <c r="AF157" s="416">
        <f t="shared" si="225"/>
        <v>13.098336098188147</v>
      </c>
      <c r="AG157" s="416">
        <f t="shared" si="225"/>
        <v>13.622269542115674</v>
      </c>
      <c r="AH157" s="400">
        <v>0.04</v>
      </c>
      <c r="AI157" s="400">
        <v>0.04</v>
      </c>
      <c r="AJ157" s="400">
        <v>0.04</v>
      </c>
      <c r="AK157" s="400">
        <v>0.04</v>
      </c>
      <c r="AL157" s="43"/>
    </row>
    <row r="158" spans="1:39">
      <c r="A158" s="408" t="s">
        <v>18</v>
      </c>
      <c r="B158" s="408" t="s">
        <v>19</v>
      </c>
      <c r="C158" s="416">
        <f>'No change with year'!BM10</f>
        <v>3.1</v>
      </c>
      <c r="D158" s="416">
        <f t="shared" si="220"/>
        <v>3.2240000000000002</v>
      </c>
      <c r="E158" s="416">
        <f t="shared" si="220"/>
        <v>3.3529600000000004</v>
      </c>
      <c r="F158" s="416">
        <f t="shared" si="220"/>
        <v>3.4870784000000006</v>
      </c>
      <c r="G158" s="416">
        <f t="shared" si="220"/>
        <v>3.6265615360000005</v>
      </c>
      <c r="H158" s="416">
        <f t="shared" si="220"/>
        <v>3.7716239974400008</v>
      </c>
      <c r="I158" s="416">
        <f t="shared" ref="I158:AG158" si="226">H158*(1+$AI158)</f>
        <v>3.9224889573376007</v>
      </c>
      <c r="J158" s="416">
        <f t="shared" si="226"/>
        <v>4.0793885156311047</v>
      </c>
      <c r="K158" s="416">
        <f t="shared" si="226"/>
        <v>4.2425640562563487</v>
      </c>
      <c r="L158" s="416">
        <f t="shared" si="226"/>
        <v>4.4122666185066031</v>
      </c>
      <c r="M158" s="416">
        <f t="shared" si="226"/>
        <v>4.588757283246867</v>
      </c>
      <c r="N158" s="416">
        <f t="shared" si="226"/>
        <v>4.7723075745767423</v>
      </c>
      <c r="O158" s="416">
        <f t="shared" si="226"/>
        <v>4.9631998775598118</v>
      </c>
      <c r="P158" s="416">
        <f t="shared" si="226"/>
        <v>5.1617278726622047</v>
      </c>
      <c r="Q158" s="416">
        <f t="shared" si="226"/>
        <v>5.3681969875686928</v>
      </c>
      <c r="R158" s="416">
        <f t="shared" si="226"/>
        <v>5.5829248670714406</v>
      </c>
      <c r="S158" s="416">
        <f t="shared" si="226"/>
        <v>5.8062418617542981</v>
      </c>
      <c r="T158" s="416">
        <f t="shared" si="226"/>
        <v>6.0384915362244707</v>
      </c>
      <c r="U158" s="416">
        <f t="shared" si="226"/>
        <v>6.2800311976734493</v>
      </c>
      <c r="V158" s="416">
        <f t="shared" si="226"/>
        <v>6.5312324455803878</v>
      </c>
      <c r="W158" s="416">
        <f t="shared" si="226"/>
        <v>6.792481743403604</v>
      </c>
      <c r="X158" s="416">
        <f t="shared" si="226"/>
        <v>7.0641810131397484</v>
      </c>
      <c r="Y158" s="416">
        <f t="shared" si="226"/>
        <v>7.3467482536653383</v>
      </c>
      <c r="Z158" s="416">
        <f t="shared" si="226"/>
        <v>7.6406181838119522</v>
      </c>
      <c r="AA158" s="416">
        <f t="shared" si="226"/>
        <v>7.9462429111644308</v>
      </c>
      <c r="AB158" s="416">
        <f t="shared" si="226"/>
        <v>8.2640926276110083</v>
      </c>
      <c r="AC158" s="416">
        <f t="shared" si="226"/>
        <v>8.5946563327154486</v>
      </c>
      <c r="AD158" s="416">
        <f t="shared" si="226"/>
        <v>8.9384425860240668</v>
      </c>
      <c r="AE158" s="416">
        <f t="shared" si="226"/>
        <v>9.2959802894650299</v>
      </c>
      <c r="AF158" s="416">
        <f t="shared" si="226"/>
        <v>9.6678195010436312</v>
      </c>
      <c r="AG158" s="416">
        <f t="shared" si="226"/>
        <v>10.054532281085377</v>
      </c>
      <c r="AH158" s="400">
        <v>0.04</v>
      </c>
      <c r="AI158" s="400">
        <v>0.04</v>
      </c>
      <c r="AJ158" s="400">
        <v>0.04</v>
      </c>
      <c r="AK158" s="400">
        <v>0.04</v>
      </c>
      <c r="AL158" s="43"/>
    </row>
    <row r="159" spans="1:39">
      <c r="A159" s="408" t="s">
        <v>21</v>
      </c>
      <c r="B159" s="408" t="s">
        <v>22</v>
      </c>
      <c r="C159" s="416">
        <f>'No change with year'!BM11</f>
        <v>8.6</v>
      </c>
      <c r="D159" s="416">
        <f t="shared" si="220"/>
        <v>8.9439999999999991</v>
      </c>
      <c r="E159" s="416">
        <f t="shared" si="220"/>
        <v>9.3017599999999998</v>
      </c>
      <c r="F159" s="416">
        <f t="shared" si="220"/>
        <v>9.6738303999999999</v>
      </c>
      <c r="G159" s="416">
        <f t="shared" si="220"/>
        <v>10.060783616</v>
      </c>
      <c r="H159" s="416">
        <f t="shared" si="220"/>
        <v>10.46321496064</v>
      </c>
      <c r="I159" s="416">
        <f t="shared" ref="I159:AG159" si="227">H159*(1+$AI159)</f>
        <v>10.881743559065601</v>
      </c>
      <c r="J159" s="416">
        <f t="shared" si="227"/>
        <v>11.317013301428226</v>
      </c>
      <c r="K159" s="416">
        <f t="shared" si="227"/>
        <v>11.769693833485356</v>
      </c>
      <c r="L159" s="416">
        <f t="shared" si="227"/>
        <v>12.240481586824771</v>
      </c>
      <c r="M159" s="416">
        <f t="shared" si="227"/>
        <v>12.730100850297763</v>
      </c>
      <c r="N159" s="416">
        <f t="shared" si="227"/>
        <v>13.239304884309673</v>
      </c>
      <c r="O159" s="416">
        <f t="shared" si="227"/>
        <v>13.76887707968206</v>
      </c>
      <c r="P159" s="416">
        <f t="shared" si="227"/>
        <v>14.319632162869343</v>
      </c>
      <c r="Q159" s="416">
        <f t="shared" si="227"/>
        <v>14.892417449384117</v>
      </c>
      <c r="R159" s="416">
        <f t="shared" si="227"/>
        <v>15.488114147359482</v>
      </c>
      <c r="S159" s="416">
        <f t="shared" si="227"/>
        <v>16.107638713253863</v>
      </c>
      <c r="T159" s="416">
        <f t="shared" si="227"/>
        <v>16.751944261784018</v>
      </c>
      <c r="U159" s="416">
        <f t="shared" si="227"/>
        <v>17.422022032255381</v>
      </c>
      <c r="V159" s="416">
        <f t="shared" si="227"/>
        <v>18.118902913545597</v>
      </c>
      <c r="W159" s="416">
        <f t="shared" si="227"/>
        <v>18.843659030087423</v>
      </c>
      <c r="X159" s="416">
        <f t="shared" si="227"/>
        <v>19.59740539129092</v>
      </c>
      <c r="Y159" s="416">
        <f t="shared" si="227"/>
        <v>20.381301606942557</v>
      </c>
      <c r="Z159" s="416">
        <f t="shared" si="227"/>
        <v>21.196553671220261</v>
      </c>
      <c r="AA159" s="416">
        <f t="shared" si="227"/>
        <v>22.044415818069073</v>
      </c>
      <c r="AB159" s="416">
        <f t="shared" si="227"/>
        <v>22.926192450791838</v>
      </c>
      <c r="AC159" s="416">
        <f t="shared" si="227"/>
        <v>23.843240148823512</v>
      </c>
      <c r="AD159" s="416">
        <f t="shared" si="227"/>
        <v>24.796969754776452</v>
      </c>
      <c r="AE159" s="416">
        <f t="shared" si="227"/>
        <v>25.788848544967511</v>
      </c>
      <c r="AF159" s="416">
        <f t="shared" si="227"/>
        <v>26.820402486766213</v>
      </c>
      <c r="AG159" s="416">
        <f t="shared" si="227"/>
        <v>27.893218586236863</v>
      </c>
      <c r="AH159" s="400">
        <v>0.04</v>
      </c>
      <c r="AI159" s="400">
        <v>0.04</v>
      </c>
      <c r="AJ159" s="400">
        <v>0.04</v>
      </c>
      <c r="AK159" s="400">
        <v>0.04</v>
      </c>
      <c r="AL159" s="43"/>
    </row>
    <row r="160" spans="1:39">
      <c r="A160" s="408" t="s">
        <v>21</v>
      </c>
      <c r="B160" s="408" t="s">
        <v>24</v>
      </c>
      <c r="C160" s="416">
        <f>'No change with year'!BM12</f>
        <v>10.9</v>
      </c>
      <c r="D160" s="416">
        <f t="shared" si="220"/>
        <v>11.336</v>
      </c>
      <c r="E160" s="416">
        <f t="shared" si="220"/>
        <v>11.789440000000001</v>
      </c>
      <c r="F160" s="416">
        <f t="shared" si="220"/>
        <v>12.261017600000001</v>
      </c>
      <c r="G160" s="416">
        <f t="shared" si="220"/>
        <v>12.751458304000002</v>
      </c>
      <c r="H160" s="416">
        <f t="shared" si="220"/>
        <v>13.261516636160001</v>
      </c>
      <c r="I160" s="416">
        <f t="shared" ref="I160:AG160" si="228">H160*(1+$AI160)</f>
        <v>13.791977301606401</v>
      </c>
      <c r="J160" s="416">
        <f t="shared" si="228"/>
        <v>14.343656393670658</v>
      </c>
      <c r="K160" s="416">
        <f t="shared" si="228"/>
        <v>14.917402649417484</v>
      </c>
      <c r="L160" s="416">
        <f t="shared" si="228"/>
        <v>15.514098755394183</v>
      </c>
      <c r="M160" s="416">
        <f t="shared" si="228"/>
        <v>16.134662705609951</v>
      </c>
      <c r="N160" s="416">
        <f t="shared" si="228"/>
        <v>16.780049213834349</v>
      </c>
      <c r="O160" s="416">
        <f t="shared" si="228"/>
        <v>17.451251182387725</v>
      </c>
      <c r="P160" s="416">
        <f t="shared" si="228"/>
        <v>18.149301229683235</v>
      </c>
      <c r="Q160" s="416">
        <f t="shared" si="228"/>
        <v>18.875273278870566</v>
      </c>
      <c r="R160" s="416">
        <f t="shared" si="228"/>
        <v>19.63028421002539</v>
      </c>
      <c r="S160" s="416">
        <f t="shared" si="228"/>
        <v>20.415495578426405</v>
      </c>
      <c r="T160" s="416">
        <f t="shared" si="228"/>
        <v>21.232115401563462</v>
      </c>
      <c r="U160" s="416">
        <f t="shared" si="228"/>
        <v>22.081400017626002</v>
      </c>
      <c r="V160" s="416">
        <f t="shared" si="228"/>
        <v>22.964656018331045</v>
      </c>
      <c r="W160" s="416">
        <f t="shared" si="228"/>
        <v>23.883242259064289</v>
      </c>
      <c r="X160" s="416">
        <f t="shared" si="228"/>
        <v>24.838571949426861</v>
      </c>
      <c r="Y160" s="416">
        <f t="shared" si="228"/>
        <v>25.832114827403934</v>
      </c>
      <c r="Z160" s="416">
        <f t="shared" si="228"/>
        <v>26.865399420500093</v>
      </c>
      <c r="AA160" s="416">
        <f t="shared" si="228"/>
        <v>27.940015397320099</v>
      </c>
      <c r="AB160" s="416">
        <f t="shared" si="228"/>
        <v>29.057616013212904</v>
      </c>
      <c r="AC160" s="416">
        <f t="shared" si="228"/>
        <v>30.219920653741422</v>
      </c>
      <c r="AD160" s="416">
        <f t="shared" si="228"/>
        <v>31.42871747989108</v>
      </c>
      <c r="AE160" s="416">
        <f t="shared" si="228"/>
        <v>32.685866179086723</v>
      </c>
      <c r="AF160" s="416">
        <f t="shared" si="228"/>
        <v>33.993300826250191</v>
      </c>
      <c r="AG160" s="416">
        <f t="shared" si="228"/>
        <v>35.3530328593002</v>
      </c>
      <c r="AH160" s="400">
        <v>0.04</v>
      </c>
      <c r="AI160" s="400">
        <v>0.04</v>
      </c>
      <c r="AJ160" s="400">
        <v>0.04</v>
      </c>
      <c r="AK160" s="400">
        <v>0.04</v>
      </c>
      <c r="AL160" s="43"/>
    </row>
    <row r="161" spans="1:38">
      <c r="A161" s="408" t="s">
        <v>26</v>
      </c>
      <c r="B161" s="408" t="s">
        <v>13</v>
      </c>
      <c r="C161" s="416">
        <f>'No change with year'!BM13</f>
        <v>7.7</v>
      </c>
      <c r="D161" s="416">
        <f t="shared" si="220"/>
        <v>8.0080000000000009</v>
      </c>
      <c r="E161" s="416">
        <f t="shared" si="220"/>
        <v>8.3283200000000015</v>
      </c>
      <c r="F161" s="416">
        <f t="shared" si="220"/>
        <v>8.6614528000000011</v>
      </c>
      <c r="G161" s="416">
        <f t="shared" si="220"/>
        <v>9.0079109120000016</v>
      </c>
      <c r="H161" s="416">
        <f t="shared" si="220"/>
        <v>9.3682273484800014</v>
      </c>
      <c r="I161" s="416">
        <f t="shared" ref="I161:AG161" si="229">H161*(1+$AI161)</f>
        <v>9.7429564424192012</v>
      </c>
      <c r="J161" s="416">
        <f t="shared" si="229"/>
        <v>10.13267470011597</v>
      </c>
      <c r="K161" s="416">
        <f t="shared" si="229"/>
        <v>10.53798168812061</v>
      </c>
      <c r="L161" s="416">
        <f t="shared" si="229"/>
        <v>10.959500955645435</v>
      </c>
      <c r="M161" s="416">
        <f t="shared" si="229"/>
        <v>11.397880993871253</v>
      </c>
      <c r="N161" s="416">
        <f t="shared" si="229"/>
        <v>11.853796233626102</v>
      </c>
      <c r="O161" s="416">
        <f t="shared" si="229"/>
        <v>12.327948082971147</v>
      </c>
      <c r="P161" s="416">
        <f t="shared" si="229"/>
        <v>12.821066006289994</v>
      </c>
      <c r="Q161" s="416">
        <f t="shared" si="229"/>
        <v>13.333908646541595</v>
      </c>
      <c r="R161" s="416">
        <f t="shared" si="229"/>
        <v>13.867264992403259</v>
      </c>
      <c r="S161" s="416">
        <f t="shared" si="229"/>
        <v>14.421955592099389</v>
      </c>
      <c r="T161" s="416">
        <f t="shared" si="229"/>
        <v>14.998833815783366</v>
      </c>
      <c r="U161" s="416">
        <f t="shared" si="229"/>
        <v>15.598787168414701</v>
      </c>
      <c r="V161" s="416">
        <f t="shared" si="229"/>
        <v>16.222738655151289</v>
      </c>
      <c r="W161" s="416">
        <f t="shared" si="229"/>
        <v>16.871648201357342</v>
      </c>
      <c r="X161" s="416">
        <f t="shared" si="229"/>
        <v>17.546514129411637</v>
      </c>
      <c r="Y161" s="416">
        <f t="shared" si="229"/>
        <v>18.248374694588104</v>
      </c>
      <c r="Z161" s="416">
        <f t="shared" si="229"/>
        <v>18.978309682371631</v>
      </c>
      <c r="AA161" s="416">
        <f t="shared" si="229"/>
        <v>19.737442069666496</v>
      </c>
      <c r="AB161" s="416">
        <f t="shared" si="229"/>
        <v>20.526939752453156</v>
      </c>
      <c r="AC161" s="416">
        <f t="shared" si="229"/>
        <v>21.348017342551284</v>
      </c>
      <c r="AD161" s="416">
        <f t="shared" si="229"/>
        <v>22.201938036253335</v>
      </c>
      <c r="AE161" s="416">
        <f t="shared" si="229"/>
        <v>23.09001555770347</v>
      </c>
      <c r="AF161" s="416">
        <f t="shared" si="229"/>
        <v>24.01361618001161</v>
      </c>
      <c r="AG161" s="416">
        <f t="shared" si="229"/>
        <v>24.974160827212074</v>
      </c>
      <c r="AH161" s="400">
        <v>0.04</v>
      </c>
      <c r="AI161" s="400">
        <v>0.04</v>
      </c>
      <c r="AJ161" s="400">
        <v>0.04</v>
      </c>
      <c r="AK161" s="400">
        <v>0.04</v>
      </c>
      <c r="AL161" s="43"/>
    </row>
    <row r="162" spans="1:38">
      <c r="A162" s="408" t="s">
        <v>26</v>
      </c>
      <c r="B162" s="408" t="s">
        <v>28</v>
      </c>
      <c r="C162" s="416">
        <f>'No change with year'!BM14</f>
        <v>6.5</v>
      </c>
      <c r="D162" s="416">
        <f t="shared" si="220"/>
        <v>6.76</v>
      </c>
      <c r="E162" s="416">
        <f t="shared" si="220"/>
        <v>7.0304000000000002</v>
      </c>
      <c r="F162" s="416">
        <f t="shared" si="220"/>
        <v>7.3116160000000008</v>
      </c>
      <c r="G162" s="416">
        <f t="shared" si="220"/>
        <v>7.6040806400000012</v>
      </c>
      <c r="H162" s="416">
        <f t="shared" si="220"/>
        <v>7.9082438656000011</v>
      </c>
      <c r="I162" s="416">
        <f t="shared" ref="I162:AG162" si="230">H162*(1+$AI162)</f>
        <v>8.2245736202240014</v>
      </c>
      <c r="J162" s="416">
        <f t="shared" si="230"/>
        <v>8.5535565650329612</v>
      </c>
      <c r="K162" s="416">
        <f t="shared" si="230"/>
        <v>8.8956988276342805</v>
      </c>
      <c r="L162" s="416">
        <f t="shared" si="230"/>
        <v>9.2515267807396526</v>
      </c>
      <c r="M162" s="416">
        <f t="shared" si="230"/>
        <v>9.6215878519692399</v>
      </c>
      <c r="N162" s="416">
        <f t="shared" si="230"/>
        <v>10.00645136604801</v>
      </c>
      <c r="O162" s="416">
        <f t="shared" si="230"/>
        <v>10.40670942068993</v>
      </c>
      <c r="P162" s="416">
        <f t="shared" si="230"/>
        <v>10.822977797517527</v>
      </c>
      <c r="Q162" s="416">
        <f t="shared" si="230"/>
        <v>11.25589690941823</v>
      </c>
      <c r="R162" s="416">
        <f t="shared" si="230"/>
        <v>11.70613278579496</v>
      </c>
      <c r="S162" s="416">
        <f t="shared" si="230"/>
        <v>12.174378097226759</v>
      </c>
      <c r="T162" s="416">
        <f t="shared" si="230"/>
        <v>12.66135322111583</v>
      </c>
      <c r="U162" s="416">
        <f t="shared" si="230"/>
        <v>13.167807349960464</v>
      </c>
      <c r="V162" s="416">
        <f t="shared" si="230"/>
        <v>13.694519643958882</v>
      </c>
      <c r="W162" s="416">
        <f t="shared" si="230"/>
        <v>14.242300429717238</v>
      </c>
      <c r="X162" s="416">
        <f t="shared" si="230"/>
        <v>14.811992446905927</v>
      </c>
      <c r="Y162" s="416">
        <f t="shared" si="230"/>
        <v>15.404472144782165</v>
      </c>
      <c r="Z162" s="416">
        <f t="shared" si="230"/>
        <v>16.020651030573454</v>
      </c>
      <c r="AA162" s="416">
        <f t="shared" si="230"/>
        <v>16.661477071796394</v>
      </c>
      <c r="AB162" s="416">
        <f t="shared" si="230"/>
        <v>17.327936154668251</v>
      </c>
      <c r="AC162" s="416">
        <f t="shared" si="230"/>
        <v>18.02105360085498</v>
      </c>
      <c r="AD162" s="416">
        <f t="shared" si="230"/>
        <v>18.741895744889181</v>
      </c>
      <c r="AE162" s="416">
        <f t="shared" si="230"/>
        <v>19.491571574684748</v>
      </c>
      <c r="AF162" s="416">
        <f t="shared" si="230"/>
        <v>20.271234437672138</v>
      </c>
      <c r="AG162" s="416">
        <f t="shared" si="230"/>
        <v>21.082083815179026</v>
      </c>
      <c r="AH162" s="400">
        <v>0.04</v>
      </c>
      <c r="AI162" s="400">
        <v>0.04</v>
      </c>
      <c r="AJ162" s="400">
        <v>0.04</v>
      </c>
      <c r="AK162" s="400">
        <v>0.04</v>
      </c>
      <c r="AL162" s="43"/>
    </row>
    <row r="163" spans="1:38">
      <c r="A163" s="408" t="s">
        <v>30</v>
      </c>
      <c r="B163" s="408" t="s">
        <v>28</v>
      </c>
      <c r="C163" s="416">
        <f>'No change with year'!BM15</f>
        <v>8.3000000000000007</v>
      </c>
      <c r="D163" s="416">
        <f t="shared" si="220"/>
        <v>8.6320000000000014</v>
      </c>
      <c r="E163" s="416">
        <f t="shared" si="220"/>
        <v>8.9772800000000021</v>
      </c>
      <c r="F163" s="416">
        <f t="shared" si="220"/>
        <v>9.3363712000000021</v>
      </c>
      <c r="G163" s="416">
        <f t="shared" si="220"/>
        <v>9.7098260480000018</v>
      </c>
      <c r="H163" s="416">
        <f t="shared" si="220"/>
        <v>10.098219089920002</v>
      </c>
      <c r="I163" s="416">
        <f t="shared" ref="I163:AG163" si="231">H163*(1+$AI163)</f>
        <v>10.502147853516803</v>
      </c>
      <c r="J163" s="416">
        <f t="shared" si="231"/>
        <v>10.922233767657476</v>
      </c>
      <c r="K163" s="416">
        <f t="shared" si="231"/>
        <v>11.359123118363774</v>
      </c>
      <c r="L163" s="416">
        <f t="shared" si="231"/>
        <v>11.813488043098326</v>
      </c>
      <c r="M163" s="416">
        <f t="shared" si="231"/>
        <v>12.286027564822259</v>
      </c>
      <c r="N163" s="416">
        <f t="shared" si="231"/>
        <v>12.77746866741515</v>
      </c>
      <c r="O163" s="416">
        <f t="shared" si="231"/>
        <v>13.288567414111757</v>
      </c>
      <c r="P163" s="416">
        <f t="shared" si="231"/>
        <v>13.820110110676227</v>
      </c>
      <c r="Q163" s="416">
        <f t="shared" si="231"/>
        <v>14.372914515103277</v>
      </c>
      <c r="R163" s="416">
        <f t="shared" si="231"/>
        <v>14.947831095707409</v>
      </c>
      <c r="S163" s="416">
        <f t="shared" si="231"/>
        <v>15.545744339535705</v>
      </c>
      <c r="T163" s="416">
        <f t="shared" si="231"/>
        <v>16.167574113117134</v>
      </c>
      <c r="U163" s="416">
        <f t="shared" si="231"/>
        <v>16.814277077641819</v>
      </c>
      <c r="V163" s="416">
        <f t="shared" si="231"/>
        <v>17.486848160747492</v>
      </c>
      <c r="W163" s="416">
        <f t="shared" si="231"/>
        <v>18.186322087177391</v>
      </c>
      <c r="X163" s="416">
        <f t="shared" si="231"/>
        <v>18.913774970664488</v>
      </c>
      <c r="Y163" s="416">
        <f t="shared" si="231"/>
        <v>19.670325969491067</v>
      </c>
      <c r="Z163" s="416">
        <f t="shared" si="231"/>
        <v>20.457139008270712</v>
      </c>
      <c r="AA163" s="416">
        <f t="shared" si="231"/>
        <v>21.27542456860154</v>
      </c>
      <c r="AB163" s="416">
        <f t="shared" si="231"/>
        <v>22.126441551345604</v>
      </c>
      <c r="AC163" s="416">
        <f t="shared" si="231"/>
        <v>23.011499213399428</v>
      </c>
      <c r="AD163" s="416">
        <f t="shared" si="231"/>
        <v>23.931959181935408</v>
      </c>
      <c r="AE163" s="416">
        <f t="shared" si="231"/>
        <v>24.889237549212826</v>
      </c>
      <c r="AF163" s="416">
        <f t="shared" si="231"/>
        <v>25.88480705118134</v>
      </c>
      <c r="AG163" s="416">
        <f t="shared" si="231"/>
        <v>26.920199333228595</v>
      </c>
      <c r="AH163" s="400">
        <v>0.04</v>
      </c>
      <c r="AI163" s="400">
        <v>0.04</v>
      </c>
      <c r="AJ163" s="400">
        <v>0.04</v>
      </c>
      <c r="AK163" s="400">
        <v>0.04</v>
      </c>
      <c r="AL163" s="43"/>
    </row>
    <row r="164" spans="1:38" s="4" customFormat="1">
      <c r="A164" s="408" t="s">
        <v>149</v>
      </c>
      <c r="B164" s="408" t="s">
        <v>11</v>
      </c>
      <c r="C164" s="416">
        <f>'No change with year'!BM16</f>
        <v>3.5</v>
      </c>
      <c r="D164" s="417">
        <f t="shared" si="220"/>
        <v>3.64</v>
      </c>
      <c r="E164" s="417">
        <f t="shared" si="220"/>
        <v>3.7856000000000001</v>
      </c>
      <c r="F164" s="417">
        <f t="shared" si="220"/>
        <v>3.9370240000000001</v>
      </c>
      <c r="G164" s="417">
        <f t="shared" si="220"/>
        <v>4.0945049600000001</v>
      </c>
      <c r="H164" s="417">
        <f t="shared" si="220"/>
        <v>4.2582851584000005</v>
      </c>
      <c r="I164" s="417">
        <f t="shared" ref="I164:AG164" si="232">H164*(1+$AI164)</f>
        <v>4.428616564736001</v>
      </c>
      <c r="J164" s="417">
        <f t="shared" si="232"/>
        <v>4.6057612273254414</v>
      </c>
      <c r="K164" s="417">
        <f t="shared" si="232"/>
        <v>4.7899916764184596</v>
      </c>
      <c r="L164" s="417">
        <f t="shared" si="232"/>
        <v>4.9815913434751984</v>
      </c>
      <c r="M164" s="417">
        <f t="shared" si="232"/>
        <v>5.1808549972142064</v>
      </c>
      <c r="N164" s="417">
        <f t="shared" si="232"/>
        <v>5.3880891971027749</v>
      </c>
      <c r="O164" s="417">
        <f t="shared" si="232"/>
        <v>5.6036127649868863</v>
      </c>
      <c r="P164" s="417">
        <f t="shared" si="232"/>
        <v>5.8277572755863618</v>
      </c>
      <c r="Q164" s="417">
        <f t="shared" si="232"/>
        <v>6.0608675666098168</v>
      </c>
      <c r="R164" s="417">
        <f t="shared" si="232"/>
        <v>6.3033022692742096</v>
      </c>
      <c r="S164" s="417">
        <f t="shared" si="232"/>
        <v>6.5554343600451785</v>
      </c>
      <c r="T164" s="417">
        <f t="shared" si="232"/>
        <v>6.8176517344469856</v>
      </c>
      <c r="U164" s="417">
        <f t="shared" si="232"/>
        <v>7.0903578038248654</v>
      </c>
      <c r="V164" s="417">
        <f t="shared" si="232"/>
        <v>7.3739721159778604</v>
      </c>
      <c r="W164" s="417">
        <f t="shared" si="232"/>
        <v>7.6689310006169746</v>
      </c>
      <c r="X164" s="417">
        <f t="shared" si="232"/>
        <v>7.975688240641654</v>
      </c>
      <c r="Y164" s="417">
        <f t="shared" si="232"/>
        <v>8.2947157702673202</v>
      </c>
      <c r="Z164" s="417">
        <f t="shared" si="232"/>
        <v>8.6265044010780141</v>
      </c>
      <c r="AA164" s="417">
        <f t="shared" si="232"/>
        <v>8.9715645771211356</v>
      </c>
      <c r="AB164" s="417">
        <f t="shared" si="232"/>
        <v>9.3304271602059821</v>
      </c>
      <c r="AC164" s="417">
        <f t="shared" si="232"/>
        <v>9.7036442466142212</v>
      </c>
      <c r="AD164" s="417">
        <f t="shared" si="232"/>
        <v>10.091790016478791</v>
      </c>
      <c r="AE164" s="417">
        <f t="shared" si="232"/>
        <v>10.495461617137943</v>
      </c>
      <c r="AF164" s="417">
        <f t="shared" si="232"/>
        <v>10.915280081823461</v>
      </c>
      <c r="AG164" s="417">
        <f t="shared" si="232"/>
        <v>11.3518912850964</v>
      </c>
      <c r="AH164" s="400">
        <v>0.04</v>
      </c>
      <c r="AI164" s="400">
        <v>0.04</v>
      </c>
      <c r="AJ164" s="400">
        <v>0.04</v>
      </c>
      <c r="AK164" s="400">
        <v>0.04</v>
      </c>
      <c r="AL164" s="198"/>
    </row>
    <row r="165" spans="1:38">
      <c r="A165" s="408" t="s">
        <v>34</v>
      </c>
      <c r="B165" s="408" t="s">
        <v>11</v>
      </c>
      <c r="C165" s="416">
        <f>'No change with year'!BM17</f>
        <v>3.5</v>
      </c>
      <c r="D165" s="416">
        <f t="shared" si="220"/>
        <v>3.64</v>
      </c>
      <c r="E165" s="416">
        <f t="shared" si="220"/>
        <v>3.7856000000000001</v>
      </c>
      <c r="F165" s="416">
        <f t="shared" si="220"/>
        <v>3.9370240000000001</v>
      </c>
      <c r="G165" s="416">
        <f t="shared" si="220"/>
        <v>4.0945049600000001</v>
      </c>
      <c r="H165" s="416">
        <f t="shared" si="220"/>
        <v>4.2582851584000005</v>
      </c>
      <c r="I165" s="416">
        <f t="shared" ref="I165:AG165" si="233">H165*(1+$AI165)</f>
        <v>4.428616564736001</v>
      </c>
      <c r="J165" s="416">
        <f t="shared" si="233"/>
        <v>4.6057612273254414</v>
      </c>
      <c r="K165" s="416">
        <f t="shared" si="233"/>
        <v>4.7899916764184596</v>
      </c>
      <c r="L165" s="416">
        <f t="shared" si="233"/>
        <v>4.9815913434751984</v>
      </c>
      <c r="M165" s="416">
        <f t="shared" si="233"/>
        <v>5.1808549972142064</v>
      </c>
      <c r="N165" s="416">
        <f t="shared" si="233"/>
        <v>5.3880891971027749</v>
      </c>
      <c r="O165" s="416">
        <f t="shared" si="233"/>
        <v>5.6036127649868863</v>
      </c>
      <c r="P165" s="416">
        <f t="shared" si="233"/>
        <v>5.8277572755863618</v>
      </c>
      <c r="Q165" s="416">
        <f t="shared" si="233"/>
        <v>6.0608675666098168</v>
      </c>
      <c r="R165" s="416">
        <f t="shared" si="233"/>
        <v>6.3033022692742096</v>
      </c>
      <c r="S165" s="416">
        <f t="shared" si="233"/>
        <v>6.5554343600451785</v>
      </c>
      <c r="T165" s="416">
        <f t="shared" si="233"/>
        <v>6.8176517344469856</v>
      </c>
      <c r="U165" s="416">
        <f t="shared" si="233"/>
        <v>7.0903578038248654</v>
      </c>
      <c r="V165" s="416">
        <f t="shared" si="233"/>
        <v>7.3739721159778604</v>
      </c>
      <c r="W165" s="416">
        <f t="shared" si="233"/>
        <v>7.6689310006169746</v>
      </c>
      <c r="X165" s="416">
        <f t="shared" si="233"/>
        <v>7.975688240641654</v>
      </c>
      <c r="Y165" s="416">
        <f t="shared" si="233"/>
        <v>8.2947157702673202</v>
      </c>
      <c r="Z165" s="416">
        <f t="shared" si="233"/>
        <v>8.6265044010780141</v>
      </c>
      <c r="AA165" s="416">
        <f t="shared" si="233"/>
        <v>8.9715645771211356</v>
      </c>
      <c r="AB165" s="416">
        <f t="shared" si="233"/>
        <v>9.3304271602059821</v>
      </c>
      <c r="AC165" s="416">
        <f t="shared" si="233"/>
        <v>9.7036442466142212</v>
      </c>
      <c r="AD165" s="416">
        <f t="shared" si="233"/>
        <v>10.091790016478791</v>
      </c>
      <c r="AE165" s="416">
        <f t="shared" si="233"/>
        <v>10.495461617137943</v>
      </c>
      <c r="AF165" s="416">
        <f t="shared" si="233"/>
        <v>10.915280081823461</v>
      </c>
      <c r="AG165" s="416">
        <f t="shared" si="233"/>
        <v>11.3518912850964</v>
      </c>
      <c r="AH165" s="400">
        <v>0.04</v>
      </c>
      <c r="AI165" s="400">
        <v>0.04</v>
      </c>
      <c r="AJ165" s="400">
        <v>0.04</v>
      </c>
      <c r="AK165" s="400">
        <v>0.04</v>
      </c>
      <c r="AL165" s="43"/>
    </row>
    <row r="166" spans="1:38">
      <c r="A166" s="408" t="s">
        <v>36</v>
      </c>
      <c r="B166" s="408" t="s">
        <v>37</v>
      </c>
      <c r="C166" s="416">
        <f>'No change with year'!BM18</f>
        <v>4.3</v>
      </c>
      <c r="D166" s="416">
        <f t="shared" si="220"/>
        <v>4.4719999999999995</v>
      </c>
      <c r="E166" s="416">
        <f t="shared" si="220"/>
        <v>4.6508799999999999</v>
      </c>
      <c r="F166" s="416">
        <f t="shared" si="220"/>
        <v>4.8369152</v>
      </c>
      <c r="G166" s="416">
        <f t="shared" si="220"/>
        <v>5.0303918080000001</v>
      </c>
      <c r="H166" s="416">
        <f t="shared" si="220"/>
        <v>5.2316074803200001</v>
      </c>
      <c r="I166" s="416">
        <f t="shared" ref="I166:AG166" si="234">H166*(1+$AI166)</f>
        <v>5.4408717795328005</v>
      </c>
      <c r="J166" s="416">
        <f t="shared" si="234"/>
        <v>5.6585066507141129</v>
      </c>
      <c r="K166" s="416">
        <f t="shared" si="234"/>
        <v>5.8848469167426778</v>
      </c>
      <c r="L166" s="416">
        <f t="shared" si="234"/>
        <v>6.1202407934123855</v>
      </c>
      <c r="M166" s="416">
        <f t="shared" si="234"/>
        <v>6.3650504251488815</v>
      </c>
      <c r="N166" s="416">
        <f t="shared" si="234"/>
        <v>6.6196524421548366</v>
      </c>
      <c r="O166" s="416">
        <f t="shared" si="234"/>
        <v>6.8844385398410299</v>
      </c>
      <c r="P166" s="416">
        <f t="shared" si="234"/>
        <v>7.1598160814346716</v>
      </c>
      <c r="Q166" s="416">
        <f t="shared" si="234"/>
        <v>7.4462087246920587</v>
      </c>
      <c r="R166" s="416">
        <f t="shared" si="234"/>
        <v>7.7440570736797412</v>
      </c>
      <c r="S166" s="416">
        <f t="shared" si="234"/>
        <v>8.0538193566269314</v>
      </c>
      <c r="T166" s="416">
        <f t="shared" si="234"/>
        <v>8.3759721308920092</v>
      </c>
      <c r="U166" s="416">
        <f t="shared" si="234"/>
        <v>8.7110110161276904</v>
      </c>
      <c r="V166" s="416">
        <f t="shared" si="234"/>
        <v>9.0594514567727984</v>
      </c>
      <c r="W166" s="416">
        <f t="shared" si="234"/>
        <v>9.4218295150437115</v>
      </c>
      <c r="X166" s="416">
        <f t="shared" si="234"/>
        <v>9.7987026956454599</v>
      </c>
      <c r="Y166" s="416">
        <f t="shared" si="234"/>
        <v>10.190650803471279</v>
      </c>
      <c r="Z166" s="416">
        <f t="shared" si="234"/>
        <v>10.598276835610131</v>
      </c>
      <c r="AA166" s="416">
        <f t="shared" si="234"/>
        <v>11.022207909034536</v>
      </c>
      <c r="AB166" s="416">
        <f t="shared" si="234"/>
        <v>11.463096225395919</v>
      </c>
      <c r="AC166" s="416">
        <f t="shared" si="234"/>
        <v>11.921620074411756</v>
      </c>
      <c r="AD166" s="416">
        <f t="shared" si="234"/>
        <v>12.398484877388226</v>
      </c>
      <c r="AE166" s="416">
        <f t="shared" si="234"/>
        <v>12.894424272483755</v>
      </c>
      <c r="AF166" s="416">
        <f t="shared" si="234"/>
        <v>13.410201243383106</v>
      </c>
      <c r="AG166" s="416">
        <f t="shared" si="234"/>
        <v>13.946609293118431</v>
      </c>
      <c r="AH166" s="400">
        <v>0.04</v>
      </c>
      <c r="AI166" s="400">
        <v>0.04</v>
      </c>
      <c r="AJ166" s="400">
        <v>0.04</v>
      </c>
      <c r="AK166" s="400">
        <v>0.04</v>
      </c>
      <c r="AL166" s="43"/>
    </row>
    <row r="167" spans="1:38">
      <c r="A167" s="408"/>
      <c r="B167" s="408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  <c r="AA167" s="335"/>
      <c r="AB167" s="335"/>
      <c r="AC167" s="335"/>
      <c r="AD167" s="335"/>
      <c r="AE167" s="335"/>
      <c r="AF167" s="335"/>
      <c r="AG167" s="335"/>
      <c r="AH167" s="409"/>
      <c r="AI167" s="409"/>
      <c r="AJ167" s="409"/>
      <c r="AK167" s="409"/>
      <c r="AL167" s="148"/>
    </row>
    <row r="168" spans="1:38" s="4" customFormat="1">
      <c r="A168" s="903" t="s">
        <v>764</v>
      </c>
      <c r="B168" s="904"/>
      <c r="C168" s="399">
        <v>2025</v>
      </c>
      <c r="D168" s="399">
        <v>2026</v>
      </c>
      <c r="E168" s="399">
        <v>2027</v>
      </c>
      <c r="F168" s="399">
        <v>2028</v>
      </c>
      <c r="G168" s="399">
        <v>2029</v>
      </c>
      <c r="H168" s="399">
        <v>2030</v>
      </c>
      <c r="I168" s="399">
        <v>2031</v>
      </c>
      <c r="J168" s="399">
        <v>2032</v>
      </c>
      <c r="K168" s="399">
        <v>2033</v>
      </c>
      <c r="L168" s="399">
        <v>2034</v>
      </c>
      <c r="M168" s="399">
        <v>2035</v>
      </c>
      <c r="N168" s="399">
        <v>2036</v>
      </c>
      <c r="O168" s="399">
        <v>2037</v>
      </c>
      <c r="P168" s="399">
        <v>2038</v>
      </c>
      <c r="Q168" s="399">
        <v>2039</v>
      </c>
      <c r="R168" s="399">
        <v>2040</v>
      </c>
      <c r="S168" s="399">
        <v>2041</v>
      </c>
      <c r="T168" s="399">
        <v>2042</v>
      </c>
      <c r="U168" s="399">
        <v>2043</v>
      </c>
      <c r="V168" s="399">
        <v>2044</v>
      </c>
      <c r="W168" s="399">
        <v>2045</v>
      </c>
      <c r="X168" s="399">
        <v>2046</v>
      </c>
      <c r="Y168" s="399">
        <v>2047</v>
      </c>
      <c r="Z168" s="399">
        <v>2048</v>
      </c>
      <c r="AA168" s="399">
        <v>2049</v>
      </c>
      <c r="AB168" s="399">
        <v>2050</v>
      </c>
      <c r="AC168" s="399">
        <v>2051</v>
      </c>
      <c r="AD168" s="399">
        <v>2052</v>
      </c>
      <c r="AE168" s="399">
        <v>2053</v>
      </c>
      <c r="AF168" s="399">
        <v>2054</v>
      </c>
      <c r="AG168" s="399">
        <v>2055</v>
      </c>
      <c r="AH168" s="399"/>
      <c r="AI168" s="521"/>
      <c r="AJ168" s="521"/>
      <c r="AK168" s="521"/>
      <c r="AL168" s="521"/>
    </row>
    <row r="169" spans="1:38">
      <c r="A169" s="408" t="s">
        <v>8</v>
      </c>
      <c r="B169" s="408" t="s">
        <v>9</v>
      </c>
      <c r="C169" s="416">
        <f>'No change with year'!BD5</f>
        <v>0.72000000000000008</v>
      </c>
      <c r="D169" s="416">
        <f t="shared" ref="D169:D182" si="235">C169*(1+$AH169)</f>
        <v>0.74880000000000013</v>
      </c>
      <c r="E169" s="416">
        <f t="shared" ref="E169:E182" si="236">D169*(1+$AH169)</f>
        <v>0.77875200000000011</v>
      </c>
      <c r="F169" s="416">
        <f t="shared" ref="F169:F182" si="237">E169*(1+$AH169)</f>
        <v>0.80990208000000019</v>
      </c>
      <c r="G169" s="416">
        <f t="shared" ref="G169:G182" si="238">F169*(1+$AH169)</f>
        <v>0.84229816320000017</v>
      </c>
      <c r="H169" s="416">
        <f t="shared" ref="H169:H182" si="239">G169*(1+$AH169)</f>
        <v>0.87599008972800019</v>
      </c>
      <c r="I169" s="416">
        <f t="shared" ref="I169:I182" si="240">H169*(1+$AI169)</f>
        <v>0.91102969331712025</v>
      </c>
      <c r="J169" s="416">
        <f t="shared" ref="J169:J182" si="241">I169*(1+$AI169)</f>
        <v>0.94747088104980504</v>
      </c>
      <c r="K169" s="416">
        <f t="shared" ref="K169:K182" si="242">J169*(1+$AI169)</f>
        <v>0.98536971629179726</v>
      </c>
      <c r="L169" s="416">
        <f t="shared" ref="L169:L182" si="243">K169*(1+$AI169)</f>
        <v>1.0247845049434692</v>
      </c>
      <c r="M169" s="416">
        <f t="shared" ref="M169:M182" si="244">L169*(1+$AI169)</f>
        <v>1.065775885141208</v>
      </c>
      <c r="N169" s="416">
        <f t="shared" ref="N169:N182" si="245">M169*(1+$AI169)</f>
        <v>1.1084069205468563</v>
      </c>
      <c r="O169" s="416">
        <f t="shared" ref="O169:O182" si="246">N169*(1+$AI169)</f>
        <v>1.1527431973687305</v>
      </c>
      <c r="P169" s="416">
        <f t="shared" ref="P169:P182" si="247">O169*(1+$AI169)</f>
        <v>1.1988529252634799</v>
      </c>
      <c r="Q169" s="416">
        <f t="shared" ref="Q169:Q182" si="248">P169*(1+$AI169)</f>
        <v>1.2468070422740192</v>
      </c>
      <c r="R169" s="416">
        <f t="shared" ref="R169:R182" si="249">Q169*(1+$AI169)</f>
        <v>1.2966793239649801</v>
      </c>
      <c r="S169" s="416">
        <f t="shared" ref="S169:S182" si="250">R169*(1+$AI169)</f>
        <v>1.3485464969235794</v>
      </c>
      <c r="T169" s="416">
        <f t="shared" ref="T169:T182" si="251">S169*(1+$AI169)</f>
        <v>1.4024883568005226</v>
      </c>
      <c r="U169" s="416">
        <f t="shared" ref="U169:U182" si="252">T169*(1+$AI169)</f>
        <v>1.4585878910725436</v>
      </c>
      <c r="V169" s="416">
        <f t="shared" ref="V169:V182" si="253">U169*(1+$AI169)</f>
        <v>1.5169314067154454</v>
      </c>
      <c r="W169" s="416">
        <f t="shared" ref="W169:W182" si="254">V169*(1+$AI169)</f>
        <v>1.5776086629840633</v>
      </c>
      <c r="X169" s="416">
        <f t="shared" ref="X169:X182" si="255">W169*(1+$AI169)</f>
        <v>1.6407130095034259</v>
      </c>
      <c r="Y169" s="416">
        <f t="shared" ref="Y169:Y182" si="256">X169*(1+$AI169)</f>
        <v>1.7063415298835629</v>
      </c>
      <c r="Z169" s="416">
        <f t="shared" ref="Z169:Z182" si="257">Y169*(1+$AI169)</f>
        <v>1.7745951910789055</v>
      </c>
      <c r="AA169" s="416">
        <f t="shared" ref="AA169:AA182" si="258">Z169*(1+$AI169)</f>
        <v>1.8455789987220619</v>
      </c>
      <c r="AB169" s="416">
        <f t="shared" ref="AB169:AB182" si="259">AA169*(1+$AI169)</f>
        <v>1.9194021586709444</v>
      </c>
      <c r="AC169" s="416">
        <f t="shared" ref="AC169:AC182" si="260">AB169*(1+$AI169)</f>
        <v>1.9961782450177823</v>
      </c>
      <c r="AD169" s="416">
        <f t="shared" ref="AD169:AD182" si="261">AC169*(1+$AI169)</f>
        <v>2.0760253748184936</v>
      </c>
      <c r="AE169" s="416">
        <f t="shared" ref="AE169:AE182" si="262">AD169*(1+$AI169)</f>
        <v>2.1590663898112332</v>
      </c>
      <c r="AF169" s="416">
        <f t="shared" ref="AF169:AF182" si="263">AE169*(1+$AI169)</f>
        <v>2.2454290454036827</v>
      </c>
      <c r="AG169" s="416">
        <f t="shared" ref="AG169:AG182" si="264">AF169*(1+$AI169)</f>
        <v>2.3352462072198299</v>
      </c>
      <c r="AH169" s="400">
        <v>0.04</v>
      </c>
      <c r="AI169" s="400">
        <v>0.04</v>
      </c>
      <c r="AJ169" s="400">
        <v>0.04</v>
      </c>
      <c r="AK169" s="400">
        <v>0.04</v>
      </c>
      <c r="AL169" s="43"/>
    </row>
    <row r="170" spans="1:38">
      <c r="A170" s="408" t="s">
        <v>8</v>
      </c>
      <c r="B170" s="408" t="s">
        <v>11</v>
      </c>
      <c r="C170" s="416">
        <f>'No change with year'!BD6</f>
        <v>0.88000000000000012</v>
      </c>
      <c r="D170" s="416">
        <f t="shared" si="235"/>
        <v>0.91520000000000012</v>
      </c>
      <c r="E170" s="416">
        <f t="shared" si="236"/>
        <v>0.95180800000000021</v>
      </c>
      <c r="F170" s="416">
        <f t="shared" si="237"/>
        <v>0.98988032000000026</v>
      </c>
      <c r="G170" s="416">
        <f t="shared" si="238"/>
        <v>1.0294755328000003</v>
      </c>
      <c r="H170" s="416">
        <f t="shared" si="239"/>
        <v>1.0706545541120003</v>
      </c>
      <c r="I170" s="416">
        <f t="shared" si="240"/>
        <v>1.1134807362764803</v>
      </c>
      <c r="J170" s="416">
        <f t="shared" si="241"/>
        <v>1.1580199657275394</v>
      </c>
      <c r="K170" s="416">
        <f t="shared" si="242"/>
        <v>1.2043407643566411</v>
      </c>
      <c r="L170" s="416">
        <f t="shared" si="243"/>
        <v>1.2525143949309068</v>
      </c>
      <c r="M170" s="416">
        <f t="shared" si="244"/>
        <v>1.3026149707281431</v>
      </c>
      <c r="N170" s="416">
        <f t="shared" si="245"/>
        <v>1.3547195695572689</v>
      </c>
      <c r="O170" s="416">
        <f t="shared" si="246"/>
        <v>1.4089083523395598</v>
      </c>
      <c r="P170" s="416">
        <f t="shared" si="247"/>
        <v>1.4652646864331422</v>
      </c>
      <c r="Q170" s="416">
        <f t="shared" si="248"/>
        <v>1.523875273890468</v>
      </c>
      <c r="R170" s="416">
        <f t="shared" si="249"/>
        <v>1.5848302848460867</v>
      </c>
      <c r="S170" s="416">
        <f t="shared" si="250"/>
        <v>1.6482234962399303</v>
      </c>
      <c r="T170" s="416">
        <f t="shared" si="251"/>
        <v>1.7141524360895275</v>
      </c>
      <c r="U170" s="416">
        <f t="shared" si="252"/>
        <v>1.7827185335331086</v>
      </c>
      <c r="V170" s="416">
        <f t="shared" si="253"/>
        <v>1.8540272748744331</v>
      </c>
      <c r="W170" s="416">
        <f t="shared" si="254"/>
        <v>1.9281883658694106</v>
      </c>
      <c r="X170" s="416">
        <f t="shared" si="255"/>
        <v>2.0053159005041872</v>
      </c>
      <c r="Y170" s="416">
        <f t="shared" si="256"/>
        <v>2.0855285365243548</v>
      </c>
      <c r="Z170" s="416">
        <f t="shared" si="257"/>
        <v>2.1689496779853292</v>
      </c>
      <c r="AA170" s="416">
        <f t="shared" si="258"/>
        <v>2.2557076651047425</v>
      </c>
      <c r="AB170" s="416">
        <f t="shared" si="259"/>
        <v>2.3459359717089323</v>
      </c>
      <c r="AC170" s="416">
        <f t="shared" si="260"/>
        <v>2.4397734105772897</v>
      </c>
      <c r="AD170" s="416">
        <f t="shared" si="261"/>
        <v>2.5373643470003815</v>
      </c>
      <c r="AE170" s="416">
        <f t="shared" si="262"/>
        <v>2.6388589208803968</v>
      </c>
      <c r="AF170" s="416">
        <f t="shared" si="263"/>
        <v>2.7444132777156125</v>
      </c>
      <c r="AG170" s="416">
        <f t="shared" si="264"/>
        <v>2.8541898088242372</v>
      </c>
      <c r="AH170" s="400">
        <v>0.04</v>
      </c>
      <c r="AI170" s="400">
        <v>0.04</v>
      </c>
      <c r="AJ170" s="400">
        <v>0.04</v>
      </c>
      <c r="AK170" s="400">
        <v>0.04</v>
      </c>
      <c r="AL170" s="43"/>
    </row>
    <row r="171" spans="1:38">
      <c r="A171" s="408" t="s">
        <v>8</v>
      </c>
      <c r="B171" s="408" t="s">
        <v>13</v>
      </c>
      <c r="C171" s="416">
        <f>'No change with year'!BD7</f>
        <v>1.04</v>
      </c>
      <c r="D171" s="416">
        <f t="shared" si="235"/>
        <v>1.0816000000000001</v>
      </c>
      <c r="E171" s="416">
        <f t="shared" si="236"/>
        <v>1.1248640000000001</v>
      </c>
      <c r="F171" s="416">
        <f t="shared" si="237"/>
        <v>1.1698585600000002</v>
      </c>
      <c r="G171" s="416">
        <f t="shared" si="238"/>
        <v>1.2166529024000003</v>
      </c>
      <c r="H171" s="416">
        <f t="shared" si="239"/>
        <v>1.2653190184960004</v>
      </c>
      <c r="I171" s="416">
        <f t="shared" si="240"/>
        <v>1.3159317792358405</v>
      </c>
      <c r="J171" s="416">
        <f t="shared" si="241"/>
        <v>1.3685690504052741</v>
      </c>
      <c r="K171" s="416">
        <f t="shared" si="242"/>
        <v>1.4233118124214852</v>
      </c>
      <c r="L171" s="416">
        <f t="shared" si="243"/>
        <v>1.4802442849183446</v>
      </c>
      <c r="M171" s="416">
        <f t="shared" si="244"/>
        <v>1.5394540563150785</v>
      </c>
      <c r="N171" s="416">
        <f t="shared" si="245"/>
        <v>1.6010322185676817</v>
      </c>
      <c r="O171" s="416">
        <f t="shared" si="246"/>
        <v>1.6650735073103891</v>
      </c>
      <c r="P171" s="416">
        <f t="shared" si="247"/>
        <v>1.7316764476028046</v>
      </c>
      <c r="Q171" s="416">
        <f t="shared" si="248"/>
        <v>1.8009435055069167</v>
      </c>
      <c r="R171" s="416">
        <f t="shared" si="249"/>
        <v>1.8729812457271935</v>
      </c>
      <c r="S171" s="416">
        <f t="shared" si="250"/>
        <v>1.9479004955562813</v>
      </c>
      <c r="T171" s="416">
        <f t="shared" si="251"/>
        <v>2.0258165153785326</v>
      </c>
      <c r="U171" s="416">
        <f t="shared" si="252"/>
        <v>2.1068491759936738</v>
      </c>
      <c r="V171" s="416">
        <f t="shared" si="253"/>
        <v>2.1911231430334208</v>
      </c>
      <c r="W171" s="416">
        <f t="shared" si="254"/>
        <v>2.2787680687547578</v>
      </c>
      <c r="X171" s="416">
        <f t="shared" si="255"/>
        <v>2.369918791504948</v>
      </c>
      <c r="Y171" s="416">
        <f t="shared" si="256"/>
        <v>2.4647155431651462</v>
      </c>
      <c r="Z171" s="416">
        <f t="shared" si="257"/>
        <v>2.5633041648917523</v>
      </c>
      <c r="AA171" s="416">
        <f t="shared" si="258"/>
        <v>2.6658363314874225</v>
      </c>
      <c r="AB171" s="416">
        <f t="shared" si="259"/>
        <v>2.7724697847469195</v>
      </c>
      <c r="AC171" s="416">
        <f t="shared" si="260"/>
        <v>2.8833685761367964</v>
      </c>
      <c r="AD171" s="416">
        <f t="shared" si="261"/>
        <v>2.9987033191822685</v>
      </c>
      <c r="AE171" s="416">
        <f t="shared" si="262"/>
        <v>3.1186514519495594</v>
      </c>
      <c r="AF171" s="416">
        <f t="shared" si="263"/>
        <v>3.2433975100275418</v>
      </c>
      <c r="AG171" s="416">
        <f t="shared" si="264"/>
        <v>3.3731334104286437</v>
      </c>
      <c r="AH171" s="400">
        <v>0.04</v>
      </c>
      <c r="AI171" s="400">
        <v>0.04</v>
      </c>
      <c r="AJ171" s="400">
        <v>0.04</v>
      </c>
      <c r="AK171" s="400">
        <v>0.04</v>
      </c>
      <c r="AL171" s="43"/>
    </row>
    <row r="172" spans="1:38">
      <c r="A172" s="408" t="s">
        <v>15</v>
      </c>
      <c r="B172" s="408" t="s">
        <v>9</v>
      </c>
      <c r="C172" s="416">
        <f>'No change with year'!BD8</f>
        <v>0.72000000000000008</v>
      </c>
      <c r="D172" s="416">
        <f t="shared" si="235"/>
        <v>0.74880000000000013</v>
      </c>
      <c r="E172" s="416">
        <f t="shared" si="236"/>
        <v>0.77875200000000011</v>
      </c>
      <c r="F172" s="416">
        <f t="shared" si="237"/>
        <v>0.80990208000000019</v>
      </c>
      <c r="G172" s="416">
        <f t="shared" si="238"/>
        <v>0.84229816320000017</v>
      </c>
      <c r="H172" s="416">
        <f t="shared" si="239"/>
        <v>0.87599008972800019</v>
      </c>
      <c r="I172" s="416">
        <f t="shared" si="240"/>
        <v>0.91102969331712025</v>
      </c>
      <c r="J172" s="416">
        <f t="shared" si="241"/>
        <v>0.94747088104980504</v>
      </c>
      <c r="K172" s="416">
        <f t="shared" si="242"/>
        <v>0.98536971629179726</v>
      </c>
      <c r="L172" s="416">
        <f t="shared" si="243"/>
        <v>1.0247845049434692</v>
      </c>
      <c r="M172" s="416">
        <f t="shared" si="244"/>
        <v>1.065775885141208</v>
      </c>
      <c r="N172" s="416">
        <f t="shared" si="245"/>
        <v>1.1084069205468563</v>
      </c>
      <c r="O172" s="416">
        <f t="shared" si="246"/>
        <v>1.1527431973687305</v>
      </c>
      <c r="P172" s="416">
        <f t="shared" si="247"/>
        <v>1.1988529252634799</v>
      </c>
      <c r="Q172" s="416">
        <f t="shared" si="248"/>
        <v>1.2468070422740192</v>
      </c>
      <c r="R172" s="416">
        <f t="shared" si="249"/>
        <v>1.2966793239649801</v>
      </c>
      <c r="S172" s="416">
        <f t="shared" si="250"/>
        <v>1.3485464969235794</v>
      </c>
      <c r="T172" s="416">
        <f t="shared" si="251"/>
        <v>1.4024883568005226</v>
      </c>
      <c r="U172" s="416">
        <f t="shared" si="252"/>
        <v>1.4585878910725436</v>
      </c>
      <c r="V172" s="416">
        <f t="shared" si="253"/>
        <v>1.5169314067154454</v>
      </c>
      <c r="W172" s="416">
        <f t="shared" si="254"/>
        <v>1.5776086629840633</v>
      </c>
      <c r="X172" s="416">
        <f t="shared" si="255"/>
        <v>1.6407130095034259</v>
      </c>
      <c r="Y172" s="416">
        <f t="shared" si="256"/>
        <v>1.7063415298835629</v>
      </c>
      <c r="Z172" s="416">
        <f t="shared" si="257"/>
        <v>1.7745951910789055</v>
      </c>
      <c r="AA172" s="416">
        <f t="shared" si="258"/>
        <v>1.8455789987220619</v>
      </c>
      <c r="AB172" s="416">
        <f t="shared" si="259"/>
        <v>1.9194021586709444</v>
      </c>
      <c r="AC172" s="416">
        <f t="shared" si="260"/>
        <v>1.9961782450177823</v>
      </c>
      <c r="AD172" s="416">
        <f t="shared" si="261"/>
        <v>2.0760253748184936</v>
      </c>
      <c r="AE172" s="416">
        <f t="shared" si="262"/>
        <v>2.1590663898112332</v>
      </c>
      <c r="AF172" s="416">
        <f t="shared" si="263"/>
        <v>2.2454290454036827</v>
      </c>
      <c r="AG172" s="416">
        <f t="shared" si="264"/>
        <v>2.3352462072198299</v>
      </c>
      <c r="AH172" s="400">
        <v>0.04</v>
      </c>
      <c r="AI172" s="400">
        <v>0.04</v>
      </c>
      <c r="AJ172" s="400">
        <v>0.04</v>
      </c>
      <c r="AK172" s="400">
        <v>0.04</v>
      </c>
      <c r="AL172" s="43"/>
    </row>
    <row r="173" spans="1:38">
      <c r="A173" s="408" t="s">
        <v>15</v>
      </c>
      <c r="B173" s="408" t="s">
        <v>11</v>
      </c>
      <c r="C173" s="416">
        <f>'No change with year'!BD9</f>
        <v>0.88000000000000012</v>
      </c>
      <c r="D173" s="416">
        <f t="shared" si="235"/>
        <v>0.91520000000000012</v>
      </c>
      <c r="E173" s="416">
        <f t="shared" si="236"/>
        <v>0.95180800000000021</v>
      </c>
      <c r="F173" s="416">
        <f t="shared" si="237"/>
        <v>0.98988032000000026</v>
      </c>
      <c r="G173" s="416">
        <f t="shared" si="238"/>
        <v>1.0294755328000003</v>
      </c>
      <c r="H173" s="416">
        <f t="shared" si="239"/>
        <v>1.0706545541120003</v>
      </c>
      <c r="I173" s="416">
        <f t="shared" si="240"/>
        <v>1.1134807362764803</v>
      </c>
      <c r="J173" s="416">
        <f t="shared" si="241"/>
        <v>1.1580199657275394</v>
      </c>
      <c r="K173" s="416">
        <f t="shared" si="242"/>
        <v>1.2043407643566411</v>
      </c>
      <c r="L173" s="416">
        <f t="shared" si="243"/>
        <v>1.2525143949309068</v>
      </c>
      <c r="M173" s="416">
        <f t="shared" si="244"/>
        <v>1.3026149707281431</v>
      </c>
      <c r="N173" s="416">
        <f t="shared" si="245"/>
        <v>1.3547195695572689</v>
      </c>
      <c r="O173" s="416">
        <f t="shared" si="246"/>
        <v>1.4089083523395598</v>
      </c>
      <c r="P173" s="416">
        <f t="shared" si="247"/>
        <v>1.4652646864331422</v>
      </c>
      <c r="Q173" s="416">
        <f t="shared" si="248"/>
        <v>1.523875273890468</v>
      </c>
      <c r="R173" s="416">
        <f t="shared" si="249"/>
        <v>1.5848302848460867</v>
      </c>
      <c r="S173" s="416">
        <f t="shared" si="250"/>
        <v>1.6482234962399303</v>
      </c>
      <c r="T173" s="416">
        <f t="shared" si="251"/>
        <v>1.7141524360895275</v>
      </c>
      <c r="U173" s="416">
        <f t="shared" si="252"/>
        <v>1.7827185335331086</v>
      </c>
      <c r="V173" s="416">
        <f t="shared" si="253"/>
        <v>1.8540272748744331</v>
      </c>
      <c r="W173" s="416">
        <f t="shared" si="254"/>
        <v>1.9281883658694106</v>
      </c>
      <c r="X173" s="416">
        <f t="shared" si="255"/>
        <v>2.0053159005041872</v>
      </c>
      <c r="Y173" s="416">
        <f t="shared" si="256"/>
        <v>2.0855285365243548</v>
      </c>
      <c r="Z173" s="416">
        <f t="shared" si="257"/>
        <v>2.1689496779853292</v>
      </c>
      <c r="AA173" s="416">
        <f t="shared" si="258"/>
        <v>2.2557076651047425</v>
      </c>
      <c r="AB173" s="416">
        <f t="shared" si="259"/>
        <v>2.3459359717089323</v>
      </c>
      <c r="AC173" s="416">
        <f t="shared" si="260"/>
        <v>2.4397734105772897</v>
      </c>
      <c r="AD173" s="416">
        <f t="shared" si="261"/>
        <v>2.5373643470003815</v>
      </c>
      <c r="AE173" s="416">
        <f t="shared" si="262"/>
        <v>2.6388589208803968</v>
      </c>
      <c r="AF173" s="416">
        <f t="shared" si="263"/>
        <v>2.7444132777156125</v>
      </c>
      <c r="AG173" s="416">
        <f t="shared" si="264"/>
        <v>2.8541898088242372</v>
      </c>
      <c r="AH173" s="400">
        <v>0.04</v>
      </c>
      <c r="AI173" s="400">
        <v>0.04</v>
      </c>
      <c r="AJ173" s="400">
        <v>0.04</v>
      </c>
      <c r="AK173" s="400">
        <v>0.04</v>
      </c>
      <c r="AL173" s="43"/>
    </row>
    <row r="174" spans="1:38">
      <c r="A174" s="408" t="s">
        <v>18</v>
      </c>
      <c r="B174" s="408" t="s">
        <v>19</v>
      </c>
      <c r="C174" s="416">
        <f>'No change with year'!BD10</f>
        <v>0.72000000000000008</v>
      </c>
      <c r="D174" s="416">
        <f t="shared" si="235"/>
        <v>0.74880000000000013</v>
      </c>
      <c r="E174" s="416">
        <f t="shared" si="236"/>
        <v>0.77875200000000011</v>
      </c>
      <c r="F174" s="416">
        <f t="shared" si="237"/>
        <v>0.80990208000000019</v>
      </c>
      <c r="G174" s="416">
        <f t="shared" si="238"/>
        <v>0.84229816320000017</v>
      </c>
      <c r="H174" s="416">
        <f t="shared" si="239"/>
        <v>0.87599008972800019</v>
      </c>
      <c r="I174" s="416">
        <f t="shared" si="240"/>
        <v>0.91102969331712025</v>
      </c>
      <c r="J174" s="416">
        <f t="shared" si="241"/>
        <v>0.94747088104980504</v>
      </c>
      <c r="K174" s="416">
        <f t="shared" si="242"/>
        <v>0.98536971629179726</v>
      </c>
      <c r="L174" s="416">
        <f t="shared" si="243"/>
        <v>1.0247845049434692</v>
      </c>
      <c r="M174" s="416">
        <f t="shared" si="244"/>
        <v>1.065775885141208</v>
      </c>
      <c r="N174" s="416">
        <f t="shared" si="245"/>
        <v>1.1084069205468563</v>
      </c>
      <c r="O174" s="416">
        <f t="shared" si="246"/>
        <v>1.1527431973687305</v>
      </c>
      <c r="P174" s="416">
        <f t="shared" si="247"/>
        <v>1.1988529252634799</v>
      </c>
      <c r="Q174" s="416">
        <f t="shared" si="248"/>
        <v>1.2468070422740192</v>
      </c>
      <c r="R174" s="416">
        <f t="shared" si="249"/>
        <v>1.2966793239649801</v>
      </c>
      <c r="S174" s="416">
        <f t="shared" si="250"/>
        <v>1.3485464969235794</v>
      </c>
      <c r="T174" s="416">
        <f t="shared" si="251"/>
        <v>1.4024883568005226</v>
      </c>
      <c r="U174" s="416">
        <f t="shared" si="252"/>
        <v>1.4585878910725436</v>
      </c>
      <c r="V174" s="416">
        <f t="shared" si="253"/>
        <v>1.5169314067154454</v>
      </c>
      <c r="W174" s="416">
        <f t="shared" si="254"/>
        <v>1.5776086629840633</v>
      </c>
      <c r="X174" s="416">
        <f t="shared" si="255"/>
        <v>1.6407130095034259</v>
      </c>
      <c r="Y174" s="416">
        <f t="shared" si="256"/>
        <v>1.7063415298835629</v>
      </c>
      <c r="Z174" s="416">
        <f t="shared" si="257"/>
        <v>1.7745951910789055</v>
      </c>
      <c r="AA174" s="416">
        <f t="shared" si="258"/>
        <v>1.8455789987220619</v>
      </c>
      <c r="AB174" s="416">
        <f t="shared" si="259"/>
        <v>1.9194021586709444</v>
      </c>
      <c r="AC174" s="416">
        <f t="shared" si="260"/>
        <v>1.9961782450177823</v>
      </c>
      <c r="AD174" s="416">
        <f t="shared" si="261"/>
        <v>2.0760253748184936</v>
      </c>
      <c r="AE174" s="416">
        <f t="shared" si="262"/>
        <v>2.1590663898112332</v>
      </c>
      <c r="AF174" s="416">
        <f t="shared" si="263"/>
        <v>2.2454290454036827</v>
      </c>
      <c r="AG174" s="416">
        <f t="shared" si="264"/>
        <v>2.3352462072198299</v>
      </c>
      <c r="AH174" s="400">
        <v>0.04</v>
      </c>
      <c r="AI174" s="400">
        <v>0.04</v>
      </c>
      <c r="AJ174" s="400">
        <v>0.04</v>
      </c>
      <c r="AK174" s="400">
        <v>0.04</v>
      </c>
      <c r="AL174" s="43"/>
    </row>
    <row r="175" spans="1:38">
      <c r="A175" s="408" t="s">
        <v>21</v>
      </c>
      <c r="B175" s="408" t="s">
        <v>22</v>
      </c>
      <c r="C175" s="416">
        <f>'No change with year'!BD11</f>
        <v>2.8800000000000003</v>
      </c>
      <c r="D175" s="416">
        <f t="shared" si="235"/>
        <v>2.9952000000000005</v>
      </c>
      <c r="E175" s="416">
        <f t="shared" si="236"/>
        <v>3.1150080000000004</v>
      </c>
      <c r="F175" s="416">
        <f t="shared" si="237"/>
        <v>3.2396083200000008</v>
      </c>
      <c r="G175" s="416">
        <f t="shared" si="238"/>
        <v>3.3691926528000007</v>
      </c>
      <c r="H175" s="416">
        <f t="shared" si="239"/>
        <v>3.5039603589120007</v>
      </c>
      <c r="I175" s="416">
        <f t="shared" si="240"/>
        <v>3.644118773268481</v>
      </c>
      <c r="J175" s="416">
        <f t="shared" si="241"/>
        <v>3.7898835241992201</v>
      </c>
      <c r="K175" s="416">
        <f t="shared" si="242"/>
        <v>3.941478865167189</v>
      </c>
      <c r="L175" s="416">
        <f t="shared" si="243"/>
        <v>4.0991380197738767</v>
      </c>
      <c r="M175" s="416">
        <f t="shared" si="244"/>
        <v>4.2631035405648321</v>
      </c>
      <c r="N175" s="416">
        <f t="shared" si="245"/>
        <v>4.4336276821874252</v>
      </c>
      <c r="O175" s="416">
        <f t="shared" si="246"/>
        <v>4.6109727894749222</v>
      </c>
      <c r="P175" s="416">
        <f t="shared" si="247"/>
        <v>4.7954117010539195</v>
      </c>
      <c r="Q175" s="416">
        <f t="shared" si="248"/>
        <v>4.9872281690960767</v>
      </c>
      <c r="R175" s="416">
        <f t="shared" si="249"/>
        <v>5.1867172958599204</v>
      </c>
      <c r="S175" s="416">
        <f t="shared" si="250"/>
        <v>5.3941859876943177</v>
      </c>
      <c r="T175" s="416">
        <f t="shared" si="251"/>
        <v>5.6099534272020906</v>
      </c>
      <c r="U175" s="416">
        <f t="shared" si="252"/>
        <v>5.8343515642901744</v>
      </c>
      <c r="V175" s="416">
        <f t="shared" si="253"/>
        <v>6.0677256268617814</v>
      </c>
      <c r="W175" s="416">
        <f t="shared" si="254"/>
        <v>6.3104346519362533</v>
      </c>
      <c r="X175" s="416">
        <f t="shared" si="255"/>
        <v>6.5628520380137036</v>
      </c>
      <c r="Y175" s="416">
        <f t="shared" si="256"/>
        <v>6.8253661195342517</v>
      </c>
      <c r="Z175" s="416">
        <f t="shared" si="257"/>
        <v>7.098380764315622</v>
      </c>
      <c r="AA175" s="416">
        <f t="shared" si="258"/>
        <v>7.3823159948882475</v>
      </c>
      <c r="AB175" s="416">
        <f t="shared" si="259"/>
        <v>7.6776086346837777</v>
      </c>
      <c r="AC175" s="416">
        <f t="shared" si="260"/>
        <v>7.9847129800711292</v>
      </c>
      <c r="AD175" s="416">
        <f t="shared" si="261"/>
        <v>8.3041014992739743</v>
      </c>
      <c r="AE175" s="416">
        <f t="shared" si="262"/>
        <v>8.6362655592449329</v>
      </c>
      <c r="AF175" s="416">
        <f t="shared" si="263"/>
        <v>8.9817161816147308</v>
      </c>
      <c r="AG175" s="416">
        <f t="shared" si="264"/>
        <v>9.3409848288793196</v>
      </c>
      <c r="AH175" s="400">
        <v>0.04</v>
      </c>
      <c r="AI175" s="400">
        <v>0.04</v>
      </c>
      <c r="AJ175" s="400">
        <v>0.04</v>
      </c>
      <c r="AK175" s="400">
        <v>0.04</v>
      </c>
      <c r="AL175" s="43"/>
    </row>
    <row r="176" spans="1:38">
      <c r="A176" s="408" t="s">
        <v>21</v>
      </c>
      <c r="B176" s="408" t="s">
        <v>24</v>
      </c>
      <c r="C176" s="416">
        <f>'No change with year'!BD12</f>
        <v>3.04</v>
      </c>
      <c r="D176" s="416">
        <f t="shared" si="235"/>
        <v>3.1616</v>
      </c>
      <c r="E176" s="416">
        <f t="shared" si="236"/>
        <v>3.2880639999999999</v>
      </c>
      <c r="F176" s="416">
        <f t="shared" si="237"/>
        <v>3.4195865599999999</v>
      </c>
      <c r="G176" s="416">
        <f t="shared" si="238"/>
        <v>3.5563700223999999</v>
      </c>
      <c r="H176" s="416">
        <f t="shared" si="239"/>
        <v>3.698624823296</v>
      </c>
      <c r="I176" s="416">
        <f t="shared" si="240"/>
        <v>3.8465698162278401</v>
      </c>
      <c r="J176" s="416">
        <f t="shared" si="241"/>
        <v>4.0004326088769542</v>
      </c>
      <c r="K176" s="416">
        <f t="shared" si="242"/>
        <v>4.1604499132320321</v>
      </c>
      <c r="L176" s="416">
        <f t="shared" si="243"/>
        <v>4.3268679097613134</v>
      </c>
      <c r="M176" s="416">
        <f t="shared" si="244"/>
        <v>4.4999426261517659</v>
      </c>
      <c r="N176" s="416">
        <f t="shared" si="245"/>
        <v>4.6799403311978365</v>
      </c>
      <c r="O176" s="416">
        <f t="shared" si="246"/>
        <v>4.8671379444457505</v>
      </c>
      <c r="P176" s="416">
        <f t="shared" si="247"/>
        <v>5.0618234622235807</v>
      </c>
      <c r="Q176" s="416">
        <f t="shared" si="248"/>
        <v>5.2642964007125244</v>
      </c>
      <c r="R176" s="416">
        <f t="shared" si="249"/>
        <v>5.4748682567410256</v>
      </c>
      <c r="S176" s="416">
        <f t="shared" si="250"/>
        <v>5.6938629870106672</v>
      </c>
      <c r="T176" s="416">
        <f t="shared" si="251"/>
        <v>5.9216175064910939</v>
      </c>
      <c r="U176" s="416">
        <f t="shared" si="252"/>
        <v>6.1584822067507377</v>
      </c>
      <c r="V176" s="416">
        <f t="shared" si="253"/>
        <v>6.4048214950207676</v>
      </c>
      <c r="W176" s="416">
        <f t="shared" si="254"/>
        <v>6.6610143548215985</v>
      </c>
      <c r="X176" s="416">
        <f t="shared" si="255"/>
        <v>6.9274549290144627</v>
      </c>
      <c r="Y176" s="416">
        <f t="shared" si="256"/>
        <v>7.2045531261750417</v>
      </c>
      <c r="Z176" s="416">
        <f t="shared" si="257"/>
        <v>7.4927352512220438</v>
      </c>
      <c r="AA176" s="416">
        <f t="shared" si="258"/>
        <v>7.7924446612709257</v>
      </c>
      <c r="AB176" s="416">
        <f t="shared" si="259"/>
        <v>8.1041424477217632</v>
      </c>
      <c r="AC176" s="416">
        <f t="shared" si="260"/>
        <v>8.4283081456306341</v>
      </c>
      <c r="AD176" s="416">
        <f t="shared" si="261"/>
        <v>8.7654404714558591</v>
      </c>
      <c r="AE176" s="416">
        <f t="shared" si="262"/>
        <v>9.1160580903140946</v>
      </c>
      <c r="AF176" s="416">
        <f t="shared" si="263"/>
        <v>9.4807004139266589</v>
      </c>
      <c r="AG176" s="416">
        <f t="shared" si="264"/>
        <v>9.8599284304837251</v>
      </c>
      <c r="AH176" s="400">
        <v>0.04</v>
      </c>
      <c r="AI176" s="400">
        <v>0.04</v>
      </c>
      <c r="AJ176" s="400">
        <v>0.04</v>
      </c>
      <c r="AK176" s="400">
        <v>0.04</v>
      </c>
      <c r="AL176" s="43"/>
    </row>
    <row r="177" spans="1:38">
      <c r="A177" s="408" t="s">
        <v>26</v>
      </c>
      <c r="B177" s="408" t="s">
        <v>13</v>
      </c>
      <c r="C177" s="416">
        <f>'No change with year'!BD13</f>
        <v>1.04</v>
      </c>
      <c r="D177" s="416">
        <f t="shared" si="235"/>
        <v>1.0816000000000001</v>
      </c>
      <c r="E177" s="416">
        <f t="shared" si="236"/>
        <v>1.1248640000000001</v>
      </c>
      <c r="F177" s="416">
        <f t="shared" si="237"/>
        <v>1.1698585600000002</v>
      </c>
      <c r="G177" s="416">
        <f t="shared" si="238"/>
        <v>1.2166529024000003</v>
      </c>
      <c r="H177" s="416">
        <f t="shared" si="239"/>
        <v>1.2653190184960004</v>
      </c>
      <c r="I177" s="416">
        <f t="shared" si="240"/>
        <v>1.3159317792358405</v>
      </c>
      <c r="J177" s="416">
        <f t="shared" si="241"/>
        <v>1.3685690504052741</v>
      </c>
      <c r="K177" s="416">
        <f t="shared" si="242"/>
        <v>1.4233118124214852</v>
      </c>
      <c r="L177" s="416">
        <f t="shared" si="243"/>
        <v>1.4802442849183446</v>
      </c>
      <c r="M177" s="416">
        <f t="shared" si="244"/>
        <v>1.5394540563150785</v>
      </c>
      <c r="N177" s="416">
        <f t="shared" si="245"/>
        <v>1.6010322185676817</v>
      </c>
      <c r="O177" s="416">
        <f t="shared" si="246"/>
        <v>1.6650735073103891</v>
      </c>
      <c r="P177" s="416">
        <f t="shared" si="247"/>
        <v>1.7316764476028046</v>
      </c>
      <c r="Q177" s="416">
        <f t="shared" si="248"/>
        <v>1.8009435055069167</v>
      </c>
      <c r="R177" s="416">
        <f t="shared" si="249"/>
        <v>1.8729812457271935</v>
      </c>
      <c r="S177" s="416">
        <f t="shared" si="250"/>
        <v>1.9479004955562813</v>
      </c>
      <c r="T177" s="416">
        <f t="shared" si="251"/>
        <v>2.0258165153785326</v>
      </c>
      <c r="U177" s="416">
        <f t="shared" si="252"/>
        <v>2.1068491759936738</v>
      </c>
      <c r="V177" s="416">
        <f t="shared" si="253"/>
        <v>2.1911231430334208</v>
      </c>
      <c r="W177" s="416">
        <f t="shared" si="254"/>
        <v>2.2787680687547578</v>
      </c>
      <c r="X177" s="416">
        <f t="shared" si="255"/>
        <v>2.369918791504948</v>
      </c>
      <c r="Y177" s="416">
        <f t="shared" si="256"/>
        <v>2.4647155431651462</v>
      </c>
      <c r="Z177" s="416">
        <f t="shared" si="257"/>
        <v>2.5633041648917523</v>
      </c>
      <c r="AA177" s="416">
        <f t="shared" si="258"/>
        <v>2.6658363314874225</v>
      </c>
      <c r="AB177" s="416">
        <f t="shared" si="259"/>
        <v>2.7724697847469195</v>
      </c>
      <c r="AC177" s="416">
        <f t="shared" si="260"/>
        <v>2.8833685761367964</v>
      </c>
      <c r="AD177" s="416">
        <f t="shared" si="261"/>
        <v>2.9987033191822685</v>
      </c>
      <c r="AE177" s="416">
        <f t="shared" si="262"/>
        <v>3.1186514519495594</v>
      </c>
      <c r="AF177" s="416">
        <f t="shared" si="263"/>
        <v>3.2433975100275418</v>
      </c>
      <c r="AG177" s="416">
        <f t="shared" si="264"/>
        <v>3.3731334104286437</v>
      </c>
      <c r="AH177" s="400">
        <v>0.04</v>
      </c>
      <c r="AI177" s="400">
        <v>0.04</v>
      </c>
      <c r="AJ177" s="400">
        <v>0.04</v>
      </c>
      <c r="AK177" s="400">
        <v>0.04</v>
      </c>
      <c r="AL177" s="43"/>
    </row>
    <row r="178" spans="1:38">
      <c r="A178" s="408" t="s">
        <v>26</v>
      </c>
      <c r="B178" s="408" t="s">
        <v>28</v>
      </c>
      <c r="C178" s="416">
        <f>'No change with year'!BD14</f>
        <v>0.8</v>
      </c>
      <c r="D178" s="416">
        <f t="shared" si="235"/>
        <v>0.83200000000000007</v>
      </c>
      <c r="E178" s="416">
        <f t="shared" si="236"/>
        <v>0.86528000000000016</v>
      </c>
      <c r="F178" s="416">
        <f t="shared" si="237"/>
        <v>0.89989120000000022</v>
      </c>
      <c r="G178" s="416">
        <f t="shared" si="238"/>
        <v>0.93588684800000022</v>
      </c>
      <c r="H178" s="416">
        <f t="shared" si="239"/>
        <v>0.97332232192000023</v>
      </c>
      <c r="I178" s="416">
        <f t="shared" si="240"/>
        <v>1.0122552147968003</v>
      </c>
      <c r="J178" s="416">
        <f t="shared" si="241"/>
        <v>1.0527454233886724</v>
      </c>
      <c r="K178" s="416">
        <f t="shared" si="242"/>
        <v>1.0948552403242193</v>
      </c>
      <c r="L178" s="416">
        <f t="shared" si="243"/>
        <v>1.1386494499371882</v>
      </c>
      <c r="M178" s="416">
        <f t="shared" si="244"/>
        <v>1.1841954279346758</v>
      </c>
      <c r="N178" s="416">
        <f t="shared" si="245"/>
        <v>1.2315632450520628</v>
      </c>
      <c r="O178" s="416">
        <f t="shared" si="246"/>
        <v>1.2808257748541454</v>
      </c>
      <c r="P178" s="416">
        <f t="shared" si="247"/>
        <v>1.3320588058483112</v>
      </c>
      <c r="Q178" s="416">
        <f t="shared" si="248"/>
        <v>1.3853411580822437</v>
      </c>
      <c r="R178" s="416">
        <f t="shared" si="249"/>
        <v>1.4407548044055334</v>
      </c>
      <c r="S178" s="416">
        <f t="shared" si="250"/>
        <v>1.4983849965817548</v>
      </c>
      <c r="T178" s="416">
        <f t="shared" si="251"/>
        <v>1.5583203964450252</v>
      </c>
      <c r="U178" s="416">
        <f t="shared" si="252"/>
        <v>1.6206532123028263</v>
      </c>
      <c r="V178" s="416">
        <f t="shared" si="253"/>
        <v>1.6854793407949393</v>
      </c>
      <c r="W178" s="416">
        <f t="shared" si="254"/>
        <v>1.7528985144267371</v>
      </c>
      <c r="X178" s="416">
        <f t="shared" si="255"/>
        <v>1.8230144550038065</v>
      </c>
      <c r="Y178" s="416">
        <f t="shared" si="256"/>
        <v>1.8959350332039588</v>
      </c>
      <c r="Z178" s="416">
        <f t="shared" si="257"/>
        <v>1.9717724345321173</v>
      </c>
      <c r="AA178" s="416">
        <f t="shared" si="258"/>
        <v>2.0506433319134021</v>
      </c>
      <c r="AB178" s="416">
        <f t="shared" si="259"/>
        <v>2.1326690651899383</v>
      </c>
      <c r="AC178" s="416">
        <f t="shared" si="260"/>
        <v>2.2179758277975359</v>
      </c>
      <c r="AD178" s="416">
        <f t="shared" si="261"/>
        <v>2.3066948609094373</v>
      </c>
      <c r="AE178" s="416">
        <f t="shared" si="262"/>
        <v>2.398962655345815</v>
      </c>
      <c r="AF178" s="416">
        <f t="shared" si="263"/>
        <v>2.4949211615596476</v>
      </c>
      <c r="AG178" s="416">
        <f t="shared" si="264"/>
        <v>2.5947180080220336</v>
      </c>
      <c r="AH178" s="400">
        <v>0.04</v>
      </c>
      <c r="AI178" s="400">
        <v>0.04</v>
      </c>
      <c r="AJ178" s="400">
        <v>0.04</v>
      </c>
      <c r="AK178" s="400">
        <v>0.04</v>
      </c>
      <c r="AL178" s="43"/>
    </row>
    <row r="179" spans="1:38">
      <c r="A179" s="408" t="s">
        <v>30</v>
      </c>
      <c r="B179" s="408" t="s">
        <v>28</v>
      </c>
      <c r="C179" s="416">
        <f>'No change with year'!BD15</f>
        <v>0.8</v>
      </c>
      <c r="D179" s="416">
        <f t="shared" si="235"/>
        <v>0.83200000000000007</v>
      </c>
      <c r="E179" s="416">
        <f t="shared" si="236"/>
        <v>0.86528000000000016</v>
      </c>
      <c r="F179" s="416">
        <f t="shared" si="237"/>
        <v>0.89989120000000022</v>
      </c>
      <c r="G179" s="416">
        <f t="shared" si="238"/>
        <v>0.93588684800000022</v>
      </c>
      <c r="H179" s="416">
        <f t="shared" si="239"/>
        <v>0.97332232192000023</v>
      </c>
      <c r="I179" s="416">
        <f t="shared" si="240"/>
        <v>1.0122552147968003</v>
      </c>
      <c r="J179" s="416">
        <f t="shared" si="241"/>
        <v>1.0527454233886724</v>
      </c>
      <c r="K179" s="416">
        <f t="shared" si="242"/>
        <v>1.0948552403242193</v>
      </c>
      <c r="L179" s="416">
        <f t="shared" si="243"/>
        <v>1.1386494499371882</v>
      </c>
      <c r="M179" s="416">
        <f t="shared" si="244"/>
        <v>1.1841954279346758</v>
      </c>
      <c r="N179" s="416">
        <f t="shared" si="245"/>
        <v>1.2315632450520628</v>
      </c>
      <c r="O179" s="416">
        <f t="shared" si="246"/>
        <v>1.2808257748541454</v>
      </c>
      <c r="P179" s="416">
        <f t="shared" si="247"/>
        <v>1.3320588058483112</v>
      </c>
      <c r="Q179" s="416">
        <f t="shared" si="248"/>
        <v>1.3853411580822437</v>
      </c>
      <c r="R179" s="416">
        <f t="shared" si="249"/>
        <v>1.4407548044055334</v>
      </c>
      <c r="S179" s="416">
        <f t="shared" si="250"/>
        <v>1.4983849965817548</v>
      </c>
      <c r="T179" s="416">
        <f t="shared" si="251"/>
        <v>1.5583203964450252</v>
      </c>
      <c r="U179" s="416">
        <f t="shared" si="252"/>
        <v>1.6206532123028263</v>
      </c>
      <c r="V179" s="416">
        <f t="shared" si="253"/>
        <v>1.6854793407949393</v>
      </c>
      <c r="W179" s="416">
        <f t="shared" si="254"/>
        <v>1.7528985144267371</v>
      </c>
      <c r="X179" s="416">
        <f t="shared" si="255"/>
        <v>1.8230144550038065</v>
      </c>
      <c r="Y179" s="416">
        <f t="shared" si="256"/>
        <v>1.8959350332039588</v>
      </c>
      <c r="Z179" s="416">
        <f t="shared" si="257"/>
        <v>1.9717724345321173</v>
      </c>
      <c r="AA179" s="416">
        <f t="shared" si="258"/>
        <v>2.0506433319134021</v>
      </c>
      <c r="AB179" s="416">
        <f t="shared" si="259"/>
        <v>2.1326690651899383</v>
      </c>
      <c r="AC179" s="416">
        <f t="shared" si="260"/>
        <v>2.2179758277975359</v>
      </c>
      <c r="AD179" s="416">
        <f t="shared" si="261"/>
        <v>2.3066948609094373</v>
      </c>
      <c r="AE179" s="416">
        <f t="shared" si="262"/>
        <v>2.398962655345815</v>
      </c>
      <c r="AF179" s="416">
        <f t="shared" si="263"/>
        <v>2.4949211615596476</v>
      </c>
      <c r="AG179" s="416">
        <f t="shared" si="264"/>
        <v>2.5947180080220336</v>
      </c>
      <c r="AH179" s="400">
        <v>0.04</v>
      </c>
      <c r="AI179" s="400">
        <v>0.04</v>
      </c>
      <c r="AJ179" s="400">
        <v>0.04</v>
      </c>
      <c r="AK179" s="400">
        <v>0.04</v>
      </c>
      <c r="AL179" s="43"/>
    </row>
    <row r="180" spans="1:38" s="4" customFormat="1">
      <c r="A180" s="408" t="s">
        <v>149</v>
      </c>
      <c r="B180" s="408" t="s">
        <v>11</v>
      </c>
      <c r="C180" s="416">
        <f>'No change with year'!BD16</f>
        <v>0.8</v>
      </c>
      <c r="D180" s="417">
        <f t="shared" si="235"/>
        <v>0.83200000000000007</v>
      </c>
      <c r="E180" s="417">
        <f t="shared" si="236"/>
        <v>0.86528000000000016</v>
      </c>
      <c r="F180" s="417">
        <f t="shared" si="237"/>
        <v>0.89989120000000022</v>
      </c>
      <c r="G180" s="417">
        <f t="shared" si="238"/>
        <v>0.93588684800000022</v>
      </c>
      <c r="H180" s="417">
        <f t="shared" si="239"/>
        <v>0.97332232192000023</v>
      </c>
      <c r="I180" s="417">
        <f t="shared" si="240"/>
        <v>1.0122552147968003</v>
      </c>
      <c r="J180" s="417">
        <f t="shared" si="241"/>
        <v>1.0527454233886724</v>
      </c>
      <c r="K180" s="417">
        <f t="shared" si="242"/>
        <v>1.0948552403242193</v>
      </c>
      <c r="L180" s="417">
        <f t="shared" si="243"/>
        <v>1.1386494499371882</v>
      </c>
      <c r="M180" s="417">
        <f t="shared" si="244"/>
        <v>1.1841954279346758</v>
      </c>
      <c r="N180" s="417">
        <f t="shared" si="245"/>
        <v>1.2315632450520628</v>
      </c>
      <c r="O180" s="417">
        <f t="shared" si="246"/>
        <v>1.2808257748541454</v>
      </c>
      <c r="P180" s="417">
        <f t="shared" si="247"/>
        <v>1.3320588058483112</v>
      </c>
      <c r="Q180" s="417">
        <f t="shared" si="248"/>
        <v>1.3853411580822437</v>
      </c>
      <c r="R180" s="417">
        <f t="shared" si="249"/>
        <v>1.4407548044055334</v>
      </c>
      <c r="S180" s="417">
        <f t="shared" si="250"/>
        <v>1.4983849965817548</v>
      </c>
      <c r="T180" s="417">
        <f t="shared" si="251"/>
        <v>1.5583203964450252</v>
      </c>
      <c r="U180" s="417">
        <f t="shared" si="252"/>
        <v>1.6206532123028263</v>
      </c>
      <c r="V180" s="417">
        <f t="shared" si="253"/>
        <v>1.6854793407949393</v>
      </c>
      <c r="W180" s="417">
        <f t="shared" si="254"/>
        <v>1.7528985144267371</v>
      </c>
      <c r="X180" s="417">
        <f t="shared" si="255"/>
        <v>1.8230144550038065</v>
      </c>
      <c r="Y180" s="417">
        <f t="shared" si="256"/>
        <v>1.8959350332039588</v>
      </c>
      <c r="Z180" s="417">
        <f t="shared" si="257"/>
        <v>1.9717724345321173</v>
      </c>
      <c r="AA180" s="417">
        <f t="shared" si="258"/>
        <v>2.0506433319134021</v>
      </c>
      <c r="AB180" s="417">
        <f t="shared" si="259"/>
        <v>2.1326690651899383</v>
      </c>
      <c r="AC180" s="417">
        <f t="shared" si="260"/>
        <v>2.2179758277975359</v>
      </c>
      <c r="AD180" s="417">
        <f t="shared" si="261"/>
        <v>2.3066948609094373</v>
      </c>
      <c r="AE180" s="417">
        <f t="shared" si="262"/>
        <v>2.398962655345815</v>
      </c>
      <c r="AF180" s="417">
        <f t="shared" si="263"/>
        <v>2.4949211615596476</v>
      </c>
      <c r="AG180" s="417">
        <f t="shared" si="264"/>
        <v>2.5947180080220336</v>
      </c>
      <c r="AH180" s="400">
        <v>0.04</v>
      </c>
      <c r="AI180" s="400">
        <v>0.04</v>
      </c>
      <c r="AJ180" s="400">
        <v>0.04</v>
      </c>
      <c r="AK180" s="400">
        <v>0.04</v>
      </c>
      <c r="AL180" s="198"/>
    </row>
    <row r="181" spans="1:38">
      <c r="A181" s="408" t="s">
        <v>34</v>
      </c>
      <c r="B181" s="408" t="s">
        <v>11</v>
      </c>
      <c r="C181" s="416">
        <f>'No change with year'!BD17</f>
        <v>0.8</v>
      </c>
      <c r="D181" s="416">
        <f t="shared" si="235"/>
        <v>0.83200000000000007</v>
      </c>
      <c r="E181" s="416">
        <f t="shared" si="236"/>
        <v>0.86528000000000016</v>
      </c>
      <c r="F181" s="416">
        <f t="shared" si="237"/>
        <v>0.89989120000000022</v>
      </c>
      <c r="G181" s="416">
        <f t="shared" si="238"/>
        <v>0.93588684800000022</v>
      </c>
      <c r="H181" s="416">
        <f t="shared" si="239"/>
        <v>0.97332232192000023</v>
      </c>
      <c r="I181" s="416">
        <f t="shared" si="240"/>
        <v>1.0122552147968003</v>
      </c>
      <c r="J181" s="416">
        <f t="shared" si="241"/>
        <v>1.0527454233886724</v>
      </c>
      <c r="K181" s="416">
        <f t="shared" si="242"/>
        <v>1.0948552403242193</v>
      </c>
      <c r="L181" s="416">
        <f t="shared" si="243"/>
        <v>1.1386494499371882</v>
      </c>
      <c r="M181" s="416">
        <f t="shared" si="244"/>
        <v>1.1841954279346758</v>
      </c>
      <c r="N181" s="416">
        <f t="shared" si="245"/>
        <v>1.2315632450520628</v>
      </c>
      <c r="O181" s="416">
        <f t="shared" si="246"/>
        <v>1.2808257748541454</v>
      </c>
      <c r="P181" s="416">
        <f t="shared" si="247"/>
        <v>1.3320588058483112</v>
      </c>
      <c r="Q181" s="416">
        <f t="shared" si="248"/>
        <v>1.3853411580822437</v>
      </c>
      <c r="R181" s="416">
        <f t="shared" si="249"/>
        <v>1.4407548044055334</v>
      </c>
      <c r="S181" s="416">
        <f t="shared" si="250"/>
        <v>1.4983849965817548</v>
      </c>
      <c r="T181" s="416">
        <f t="shared" si="251"/>
        <v>1.5583203964450252</v>
      </c>
      <c r="U181" s="416">
        <f t="shared" si="252"/>
        <v>1.6206532123028263</v>
      </c>
      <c r="V181" s="416">
        <f t="shared" si="253"/>
        <v>1.6854793407949393</v>
      </c>
      <c r="W181" s="416">
        <f t="shared" si="254"/>
        <v>1.7528985144267371</v>
      </c>
      <c r="X181" s="416">
        <f t="shared" si="255"/>
        <v>1.8230144550038065</v>
      </c>
      <c r="Y181" s="416">
        <f t="shared" si="256"/>
        <v>1.8959350332039588</v>
      </c>
      <c r="Z181" s="416">
        <f t="shared" si="257"/>
        <v>1.9717724345321173</v>
      </c>
      <c r="AA181" s="416">
        <f t="shared" si="258"/>
        <v>2.0506433319134021</v>
      </c>
      <c r="AB181" s="416">
        <f t="shared" si="259"/>
        <v>2.1326690651899383</v>
      </c>
      <c r="AC181" s="416">
        <f t="shared" si="260"/>
        <v>2.2179758277975359</v>
      </c>
      <c r="AD181" s="416">
        <f t="shared" si="261"/>
        <v>2.3066948609094373</v>
      </c>
      <c r="AE181" s="416">
        <f t="shared" si="262"/>
        <v>2.398962655345815</v>
      </c>
      <c r="AF181" s="416">
        <f t="shared" si="263"/>
        <v>2.4949211615596476</v>
      </c>
      <c r="AG181" s="416">
        <f t="shared" si="264"/>
        <v>2.5947180080220336</v>
      </c>
      <c r="AH181" s="400">
        <v>0.04</v>
      </c>
      <c r="AI181" s="400">
        <v>0.04</v>
      </c>
      <c r="AJ181" s="400">
        <v>0.04</v>
      </c>
      <c r="AK181" s="400">
        <v>0.04</v>
      </c>
      <c r="AL181" s="43"/>
    </row>
    <row r="182" spans="1:38">
      <c r="A182" s="408" t="s">
        <v>36</v>
      </c>
      <c r="B182" s="408" t="s">
        <v>37</v>
      </c>
      <c r="C182" s="416">
        <f>'No change with year'!BD18</f>
        <v>0.72000000000000008</v>
      </c>
      <c r="D182" s="416">
        <f t="shared" si="235"/>
        <v>0.74880000000000013</v>
      </c>
      <c r="E182" s="416">
        <f t="shared" si="236"/>
        <v>0.77875200000000011</v>
      </c>
      <c r="F182" s="416">
        <f t="shared" si="237"/>
        <v>0.80990208000000019</v>
      </c>
      <c r="G182" s="416">
        <f t="shared" si="238"/>
        <v>0.84229816320000017</v>
      </c>
      <c r="H182" s="416">
        <f t="shared" si="239"/>
        <v>0.87599008972800019</v>
      </c>
      <c r="I182" s="416">
        <f t="shared" si="240"/>
        <v>0.91102969331712025</v>
      </c>
      <c r="J182" s="416">
        <f t="shared" si="241"/>
        <v>0.94747088104980504</v>
      </c>
      <c r="K182" s="416">
        <f t="shared" si="242"/>
        <v>0.98536971629179726</v>
      </c>
      <c r="L182" s="416">
        <f t="shared" si="243"/>
        <v>1.0247845049434692</v>
      </c>
      <c r="M182" s="416">
        <f t="shared" si="244"/>
        <v>1.065775885141208</v>
      </c>
      <c r="N182" s="416">
        <f t="shared" si="245"/>
        <v>1.1084069205468563</v>
      </c>
      <c r="O182" s="416">
        <f t="shared" si="246"/>
        <v>1.1527431973687305</v>
      </c>
      <c r="P182" s="416">
        <f t="shared" si="247"/>
        <v>1.1988529252634799</v>
      </c>
      <c r="Q182" s="416">
        <f t="shared" si="248"/>
        <v>1.2468070422740192</v>
      </c>
      <c r="R182" s="416">
        <f t="shared" si="249"/>
        <v>1.2966793239649801</v>
      </c>
      <c r="S182" s="416">
        <f t="shared" si="250"/>
        <v>1.3485464969235794</v>
      </c>
      <c r="T182" s="416">
        <f t="shared" si="251"/>
        <v>1.4024883568005226</v>
      </c>
      <c r="U182" s="416">
        <f t="shared" si="252"/>
        <v>1.4585878910725436</v>
      </c>
      <c r="V182" s="416">
        <f t="shared" si="253"/>
        <v>1.5169314067154454</v>
      </c>
      <c r="W182" s="416">
        <f t="shared" si="254"/>
        <v>1.5776086629840633</v>
      </c>
      <c r="X182" s="416">
        <f t="shared" si="255"/>
        <v>1.6407130095034259</v>
      </c>
      <c r="Y182" s="416">
        <f t="shared" si="256"/>
        <v>1.7063415298835629</v>
      </c>
      <c r="Z182" s="416">
        <f t="shared" si="257"/>
        <v>1.7745951910789055</v>
      </c>
      <c r="AA182" s="416">
        <f t="shared" si="258"/>
        <v>1.8455789987220619</v>
      </c>
      <c r="AB182" s="416">
        <f t="shared" si="259"/>
        <v>1.9194021586709444</v>
      </c>
      <c r="AC182" s="416">
        <f t="shared" si="260"/>
        <v>1.9961782450177823</v>
      </c>
      <c r="AD182" s="416">
        <f t="shared" si="261"/>
        <v>2.0760253748184936</v>
      </c>
      <c r="AE182" s="416">
        <f t="shared" si="262"/>
        <v>2.1590663898112332</v>
      </c>
      <c r="AF182" s="416">
        <f t="shared" si="263"/>
        <v>2.2454290454036827</v>
      </c>
      <c r="AG182" s="416">
        <f t="shared" si="264"/>
        <v>2.3352462072198299</v>
      </c>
      <c r="AH182" s="400">
        <v>0.04</v>
      </c>
      <c r="AI182" s="400">
        <v>0.04</v>
      </c>
      <c r="AJ182" s="400">
        <v>0.04</v>
      </c>
      <c r="AK182" s="400">
        <v>0.04</v>
      </c>
      <c r="AL182" s="43"/>
    </row>
    <row r="183" spans="1:38">
      <c r="A183" s="408"/>
      <c r="B183" s="408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  <c r="AA183" s="335"/>
      <c r="AB183" s="335"/>
      <c r="AC183" s="335"/>
      <c r="AD183" s="335"/>
      <c r="AE183" s="335"/>
      <c r="AF183" s="335"/>
      <c r="AG183" s="335"/>
      <c r="AH183" s="409"/>
      <c r="AI183" s="409"/>
      <c r="AJ183" s="409"/>
      <c r="AK183" s="409"/>
      <c r="AL183" s="148"/>
    </row>
    <row r="184" spans="1:38" s="4" customFormat="1" ht="27.6" customHeight="1">
      <c r="A184" s="903" t="s">
        <v>150</v>
      </c>
      <c r="B184" s="904"/>
      <c r="C184" s="399">
        <v>2025</v>
      </c>
      <c r="D184" s="399">
        <v>2026</v>
      </c>
      <c r="E184" s="399">
        <v>2027</v>
      </c>
      <c r="F184" s="399">
        <v>2028</v>
      </c>
      <c r="G184" s="399">
        <v>2029</v>
      </c>
      <c r="H184" s="399">
        <v>2030</v>
      </c>
      <c r="I184" s="399">
        <v>2031</v>
      </c>
      <c r="J184" s="399">
        <v>2032</v>
      </c>
      <c r="K184" s="399">
        <v>2033</v>
      </c>
      <c r="L184" s="399">
        <v>2034</v>
      </c>
      <c r="M184" s="399">
        <v>2035</v>
      </c>
      <c r="N184" s="399">
        <v>2036</v>
      </c>
      <c r="O184" s="399">
        <v>2037</v>
      </c>
      <c r="P184" s="399">
        <v>2038</v>
      </c>
      <c r="Q184" s="399">
        <v>2039</v>
      </c>
      <c r="R184" s="399">
        <v>2040</v>
      </c>
      <c r="S184" s="399">
        <v>2041</v>
      </c>
      <c r="T184" s="399">
        <v>2042</v>
      </c>
      <c r="U184" s="399">
        <v>2043</v>
      </c>
      <c r="V184" s="399">
        <v>2044</v>
      </c>
      <c r="W184" s="399">
        <v>2045</v>
      </c>
      <c r="X184" s="399">
        <v>2046</v>
      </c>
      <c r="Y184" s="399">
        <v>2047</v>
      </c>
      <c r="Z184" s="399">
        <v>2048</v>
      </c>
      <c r="AA184" s="399">
        <v>2049</v>
      </c>
      <c r="AB184" s="399">
        <v>2050</v>
      </c>
      <c r="AC184" s="399">
        <v>2051</v>
      </c>
      <c r="AD184" s="399">
        <v>2052</v>
      </c>
      <c r="AE184" s="399">
        <v>2053</v>
      </c>
      <c r="AF184" s="399">
        <v>2054</v>
      </c>
      <c r="AG184" s="399">
        <v>2055</v>
      </c>
      <c r="AH184" s="399"/>
      <c r="AI184" s="521"/>
      <c r="AJ184" s="521"/>
      <c r="AK184" s="521"/>
      <c r="AL184" s="521"/>
    </row>
    <row r="185" spans="1:38">
      <c r="A185" s="408" t="s">
        <v>8</v>
      </c>
      <c r="B185" s="408" t="s">
        <v>9</v>
      </c>
      <c r="C185" s="416">
        <f>'No change with year'!BO5</f>
        <v>3.3</v>
      </c>
      <c r="D185" s="416">
        <f t="shared" ref="D185:H198" si="265">C185*(1+$AH185)</f>
        <v>3.4319999999999999</v>
      </c>
      <c r="E185" s="416">
        <f t="shared" si="265"/>
        <v>3.56928</v>
      </c>
      <c r="F185" s="416">
        <f t="shared" si="265"/>
        <v>3.7120512000000003</v>
      </c>
      <c r="G185" s="416">
        <f t="shared" si="265"/>
        <v>3.8605332480000003</v>
      </c>
      <c r="H185" s="416">
        <f t="shared" si="265"/>
        <v>4.0149545779200002</v>
      </c>
      <c r="I185" s="416">
        <f t="shared" ref="I185:AG185" si="266">H185*(1+$AI185)</f>
        <v>4.1755527610368004</v>
      </c>
      <c r="J185" s="416">
        <f t="shared" si="266"/>
        <v>4.3425748714782726</v>
      </c>
      <c r="K185" s="416">
        <f t="shared" si="266"/>
        <v>4.5162778663374032</v>
      </c>
      <c r="L185" s="416">
        <f t="shared" si="266"/>
        <v>4.6969289809908998</v>
      </c>
      <c r="M185" s="416">
        <f t="shared" si="266"/>
        <v>4.8848061402305358</v>
      </c>
      <c r="N185" s="416">
        <f t="shared" si="266"/>
        <v>5.0801983858397577</v>
      </c>
      <c r="O185" s="416">
        <f t="shared" si="266"/>
        <v>5.2834063212733477</v>
      </c>
      <c r="P185" s="416">
        <f t="shared" si="266"/>
        <v>5.4947425741242819</v>
      </c>
      <c r="Q185" s="416">
        <f t="shared" si="266"/>
        <v>5.714532277089253</v>
      </c>
      <c r="R185" s="416">
        <f t="shared" si="266"/>
        <v>5.9431135681728238</v>
      </c>
      <c r="S185" s="416">
        <f t="shared" si="266"/>
        <v>6.180838110899737</v>
      </c>
      <c r="T185" s="416">
        <f t="shared" si="266"/>
        <v>6.4280716353357263</v>
      </c>
      <c r="U185" s="416">
        <f t="shared" si="266"/>
        <v>6.685194500749156</v>
      </c>
      <c r="V185" s="416">
        <f t="shared" si="266"/>
        <v>6.9526022807791223</v>
      </c>
      <c r="W185" s="416">
        <f t="shared" si="266"/>
        <v>7.2307063720102871</v>
      </c>
      <c r="X185" s="416">
        <f t="shared" si="266"/>
        <v>7.5199346268906986</v>
      </c>
      <c r="Y185" s="416">
        <f t="shared" si="266"/>
        <v>7.8207320119663271</v>
      </c>
      <c r="Z185" s="416">
        <f t="shared" si="266"/>
        <v>8.1335612924449805</v>
      </c>
      <c r="AA185" s="416">
        <f t="shared" si="266"/>
        <v>8.4589037441427806</v>
      </c>
      <c r="AB185" s="416">
        <f t="shared" si="266"/>
        <v>8.7972598939084925</v>
      </c>
      <c r="AC185" s="416">
        <f t="shared" si="266"/>
        <v>9.1491502896648331</v>
      </c>
      <c r="AD185" s="416">
        <f t="shared" si="266"/>
        <v>9.5151163012514264</v>
      </c>
      <c r="AE185" s="416">
        <f t="shared" si="266"/>
        <v>9.8957209533014829</v>
      </c>
      <c r="AF185" s="416">
        <f t="shared" si="266"/>
        <v>10.291549791433543</v>
      </c>
      <c r="AG185" s="416">
        <f t="shared" si="266"/>
        <v>10.703211783090884</v>
      </c>
      <c r="AH185" s="400">
        <v>0.04</v>
      </c>
      <c r="AI185" s="400">
        <v>0.04</v>
      </c>
      <c r="AJ185" s="400">
        <v>0.04</v>
      </c>
      <c r="AK185" s="400">
        <v>0.04</v>
      </c>
      <c r="AL185" s="43"/>
    </row>
    <row r="186" spans="1:38">
      <c r="A186" s="408" t="s">
        <v>8</v>
      </c>
      <c r="B186" s="408" t="s">
        <v>11</v>
      </c>
      <c r="C186" s="416">
        <f>'No change with year'!BO6</f>
        <v>4.7</v>
      </c>
      <c r="D186" s="416">
        <f t="shared" si="265"/>
        <v>4.8880000000000008</v>
      </c>
      <c r="E186" s="416">
        <f t="shared" si="265"/>
        <v>5.0835200000000009</v>
      </c>
      <c r="F186" s="416">
        <f t="shared" si="265"/>
        <v>5.2868608000000012</v>
      </c>
      <c r="G186" s="416">
        <f t="shared" si="265"/>
        <v>5.4983352320000014</v>
      </c>
      <c r="H186" s="416">
        <f t="shared" si="265"/>
        <v>5.7182686412800017</v>
      </c>
      <c r="I186" s="416">
        <f t="shared" ref="I186:AG186" si="267">H186*(1+$AI186)</f>
        <v>5.9469993869312017</v>
      </c>
      <c r="J186" s="416">
        <f t="shared" si="267"/>
        <v>6.1848793624084504</v>
      </c>
      <c r="K186" s="416">
        <f t="shared" si="267"/>
        <v>6.4322745369047887</v>
      </c>
      <c r="L186" s="416">
        <f t="shared" si="267"/>
        <v>6.6895655183809808</v>
      </c>
      <c r="M186" s="416">
        <f t="shared" si="267"/>
        <v>6.95714813911622</v>
      </c>
      <c r="N186" s="416">
        <f t="shared" si="267"/>
        <v>7.2354340646808692</v>
      </c>
      <c r="O186" s="416">
        <f t="shared" si="267"/>
        <v>7.5248514272681044</v>
      </c>
      <c r="P186" s="416">
        <f t="shared" si="267"/>
        <v>7.8258454843588288</v>
      </c>
      <c r="Q186" s="416">
        <f t="shared" si="267"/>
        <v>8.1388793037331819</v>
      </c>
      <c r="R186" s="416">
        <f t="shared" si="267"/>
        <v>8.4644344758825092</v>
      </c>
      <c r="S186" s="416">
        <f t="shared" si="267"/>
        <v>8.8030118549178091</v>
      </c>
      <c r="T186" s="416">
        <f t="shared" si="267"/>
        <v>9.1551323291145223</v>
      </c>
      <c r="U186" s="416">
        <f t="shared" si="267"/>
        <v>9.5213376222791037</v>
      </c>
      <c r="V186" s="416">
        <f t="shared" si="267"/>
        <v>9.9021911271702674</v>
      </c>
      <c r="W186" s="416">
        <f t="shared" si="267"/>
        <v>10.298278772257078</v>
      </c>
      <c r="X186" s="416">
        <f t="shared" si="267"/>
        <v>10.710209923147362</v>
      </c>
      <c r="Y186" s="416">
        <f t="shared" si="267"/>
        <v>11.138618320073256</v>
      </c>
      <c r="Z186" s="416">
        <f t="shared" si="267"/>
        <v>11.584163052876187</v>
      </c>
      <c r="AA186" s="416">
        <f t="shared" si="267"/>
        <v>12.047529574991236</v>
      </c>
      <c r="AB186" s="416">
        <f t="shared" si="267"/>
        <v>12.529430757990886</v>
      </c>
      <c r="AC186" s="416">
        <f t="shared" si="267"/>
        <v>13.030607988310521</v>
      </c>
      <c r="AD186" s="416">
        <f t="shared" si="267"/>
        <v>13.551832307842943</v>
      </c>
      <c r="AE186" s="416">
        <f t="shared" si="267"/>
        <v>14.093905600156662</v>
      </c>
      <c r="AF186" s="416">
        <f t="shared" si="267"/>
        <v>14.657661824162929</v>
      </c>
      <c r="AG186" s="416">
        <f t="shared" si="267"/>
        <v>15.243968297129447</v>
      </c>
      <c r="AH186" s="400">
        <v>0.04</v>
      </c>
      <c r="AI186" s="400">
        <v>0.04</v>
      </c>
      <c r="AJ186" s="400">
        <v>0.04</v>
      </c>
      <c r="AK186" s="400">
        <v>0.04</v>
      </c>
      <c r="AL186" s="43"/>
    </row>
    <row r="187" spans="1:38">
      <c r="A187" s="408" t="s">
        <v>8</v>
      </c>
      <c r="B187" s="408" t="s">
        <v>13</v>
      </c>
      <c r="C187" s="416">
        <f>'No change with year'!BO7</f>
        <v>8.1999999999999993</v>
      </c>
      <c r="D187" s="416">
        <f t="shared" si="265"/>
        <v>8.5279999999999987</v>
      </c>
      <c r="E187" s="416">
        <f t="shared" si="265"/>
        <v>8.8691199999999988</v>
      </c>
      <c r="F187" s="416">
        <f t="shared" si="265"/>
        <v>9.2238847999999987</v>
      </c>
      <c r="G187" s="416">
        <f t="shared" si="265"/>
        <v>9.5928401919999988</v>
      </c>
      <c r="H187" s="416">
        <f t="shared" si="265"/>
        <v>9.9765537996799996</v>
      </c>
      <c r="I187" s="416">
        <f t="shared" ref="I187:AG187" si="268">H187*(1+$AI187)</f>
        <v>10.3756159516672</v>
      </c>
      <c r="J187" s="416">
        <f t="shared" si="268"/>
        <v>10.790640589733888</v>
      </c>
      <c r="K187" s="416">
        <f t="shared" si="268"/>
        <v>11.222266213323245</v>
      </c>
      <c r="L187" s="416">
        <f t="shared" si="268"/>
        <v>11.671156861856176</v>
      </c>
      <c r="M187" s="416">
        <f t="shared" si="268"/>
        <v>12.138003136330424</v>
      </c>
      <c r="N187" s="416">
        <f t="shared" si="268"/>
        <v>12.623523261783641</v>
      </c>
      <c r="O187" s="416">
        <f t="shared" si="268"/>
        <v>13.128464192254986</v>
      </c>
      <c r="P187" s="416">
        <f t="shared" si="268"/>
        <v>13.653602759945187</v>
      </c>
      <c r="Q187" s="416">
        <f t="shared" si="268"/>
        <v>14.199746870342995</v>
      </c>
      <c r="R187" s="416">
        <f t="shared" si="268"/>
        <v>14.767736745156716</v>
      </c>
      <c r="S187" s="416">
        <f t="shared" si="268"/>
        <v>15.358446214962985</v>
      </c>
      <c r="T187" s="416">
        <f t="shared" si="268"/>
        <v>15.972784063561505</v>
      </c>
      <c r="U187" s="416">
        <f t="shared" si="268"/>
        <v>16.611695426103967</v>
      </c>
      <c r="V187" s="416">
        <f t="shared" si="268"/>
        <v>17.276163243148126</v>
      </c>
      <c r="W187" s="416">
        <f t="shared" si="268"/>
        <v>17.967209772874053</v>
      </c>
      <c r="X187" s="416">
        <f t="shared" si="268"/>
        <v>18.685898163789016</v>
      </c>
      <c r="Y187" s="416">
        <f t="shared" si="268"/>
        <v>19.433334090340576</v>
      </c>
      <c r="Z187" s="416">
        <f t="shared" si="268"/>
        <v>20.210667453954201</v>
      </c>
      <c r="AA187" s="416">
        <f t="shared" si="268"/>
        <v>21.01909415211237</v>
      </c>
      <c r="AB187" s="416">
        <f t="shared" si="268"/>
        <v>21.859857918196866</v>
      </c>
      <c r="AC187" s="416">
        <f t="shared" si="268"/>
        <v>22.734252234924742</v>
      </c>
      <c r="AD187" s="416">
        <f t="shared" si="268"/>
        <v>23.643622324321733</v>
      </c>
      <c r="AE187" s="416">
        <f t="shared" si="268"/>
        <v>24.589367217294601</v>
      </c>
      <c r="AF187" s="416">
        <f t="shared" si="268"/>
        <v>25.572941905986387</v>
      </c>
      <c r="AG187" s="416">
        <f t="shared" si="268"/>
        <v>26.595859582225842</v>
      </c>
      <c r="AH187" s="400">
        <v>0.04</v>
      </c>
      <c r="AI187" s="400">
        <v>0.04</v>
      </c>
      <c r="AJ187" s="400">
        <v>0.04</v>
      </c>
      <c r="AK187" s="400">
        <v>0.04</v>
      </c>
      <c r="AL187" s="43"/>
    </row>
    <row r="188" spans="1:38">
      <c r="A188" s="408" t="s">
        <v>15</v>
      </c>
      <c r="B188" s="408" t="s">
        <v>9</v>
      </c>
      <c r="C188" s="416">
        <f>'No change with year'!BO8</f>
        <v>3.3</v>
      </c>
      <c r="D188" s="416">
        <f t="shared" si="265"/>
        <v>3.4319999999999999</v>
      </c>
      <c r="E188" s="416">
        <f t="shared" si="265"/>
        <v>3.56928</v>
      </c>
      <c r="F188" s="416">
        <f t="shared" si="265"/>
        <v>3.7120512000000003</v>
      </c>
      <c r="G188" s="416">
        <f t="shared" si="265"/>
        <v>3.8605332480000003</v>
      </c>
      <c r="H188" s="416">
        <f t="shared" si="265"/>
        <v>4.0149545779200002</v>
      </c>
      <c r="I188" s="416">
        <f t="shared" ref="I188:AG188" si="269">H188*(1+$AI188)</f>
        <v>4.1755527610368004</v>
      </c>
      <c r="J188" s="416">
        <f t="shared" si="269"/>
        <v>4.3425748714782726</v>
      </c>
      <c r="K188" s="416">
        <f t="shared" si="269"/>
        <v>4.5162778663374032</v>
      </c>
      <c r="L188" s="416">
        <f t="shared" si="269"/>
        <v>4.6969289809908998</v>
      </c>
      <c r="M188" s="416">
        <f t="shared" si="269"/>
        <v>4.8848061402305358</v>
      </c>
      <c r="N188" s="416">
        <f t="shared" si="269"/>
        <v>5.0801983858397577</v>
      </c>
      <c r="O188" s="416">
        <f t="shared" si="269"/>
        <v>5.2834063212733477</v>
      </c>
      <c r="P188" s="416">
        <f t="shared" si="269"/>
        <v>5.4947425741242819</v>
      </c>
      <c r="Q188" s="416">
        <f t="shared" si="269"/>
        <v>5.714532277089253</v>
      </c>
      <c r="R188" s="416">
        <f t="shared" si="269"/>
        <v>5.9431135681728238</v>
      </c>
      <c r="S188" s="416">
        <f t="shared" si="269"/>
        <v>6.180838110899737</v>
      </c>
      <c r="T188" s="416">
        <f t="shared" si="269"/>
        <v>6.4280716353357263</v>
      </c>
      <c r="U188" s="416">
        <f t="shared" si="269"/>
        <v>6.685194500749156</v>
      </c>
      <c r="V188" s="416">
        <f t="shared" si="269"/>
        <v>6.9526022807791223</v>
      </c>
      <c r="W188" s="416">
        <f t="shared" si="269"/>
        <v>7.2307063720102871</v>
      </c>
      <c r="X188" s="416">
        <f t="shared" si="269"/>
        <v>7.5199346268906986</v>
      </c>
      <c r="Y188" s="416">
        <f t="shared" si="269"/>
        <v>7.8207320119663271</v>
      </c>
      <c r="Z188" s="416">
        <f t="shared" si="269"/>
        <v>8.1335612924449805</v>
      </c>
      <c r="AA188" s="416">
        <f t="shared" si="269"/>
        <v>8.4589037441427806</v>
      </c>
      <c r="AB188" s="416">
        <f t="shared" si="269"/>
        <v>8.7972598939084925</v>
      </c>
      <c r="AC188" s="416">
        <f t="shared" si="269"/>
        <v>9.1491502896648331</v>
      </c>
      <c r="AD188" s="416">
        <f t="shared" si="269"/>
        <v>9.5151163012514264</v>
      </c>
      <c r="AE188" s="416">
        <f t="shared" si="269"/>
        <v>9.8957209533014829</v>
      </c>
      <c r="AF188" s="416">
        <f t="shared" si="269"/>
        <v>10.291549791433543</v>
      </c>
      <c r="AG188" s="416">
        <f t="shared" si="269"/>
        <v>10.703211783090884</v>
      </c>
      <c r="AH188" s="400">
        <v>0.04</v>
      </c>
      <c r="AI188" s="400">
        <v>0.04</v>
      </c>
      <c r="AJ188" s="400">
        <v>0.04</v>
      </c>
      <c r="AK188" s="400">
        <v>0.04</v>
      </c>
      <c r="AL188" s="43"/>
    </row>
    <row r="189" spans="1:38">
      <c r="A189" s="408" t="s">
        <v>15</v>
      </c>
      <c r="B189" s="408" t="s">
        <v>11</v>
      </c>
      <c r="C189" s="416">
        <f>'No change with year'!BO9</f>
        <v>4.7</v>
      </c>
      <c r="D189" s="416">
        <f t="shared" si="265"/>
        <v>4.8880000000000008</v>
      </c>
      <c r="E189" s="416">
        <f t="shared" si="265"/>
        <v>5.0835200000000009</v>
      </c>
      <c r="F189" s="416">
        <f t="shared" si="265"/>
        <v>5.2868608000000012</v>
      </c>
      <c r="G189" s="416">
        <f t="shared" si="265"/>
        <v>5.4983352320000014</v>
      </c>
      <c r="H189" s="416">
        <f t="shared" si="265"/>
        <v>5.7182686412800017</v>
      </c>
      <c r="I189" s="416">
        <f t="shared" ref="I189:AG189" si="270">H189*(1+$AI189)</f>
        <v>5.9469993869312017</v>
      </c>
      <c r="J189" s="416">
        <f t="shared" si="270"/>
        <v>6.1848793624084504</v>
      </c>
      <c r="K189" s="416">
        <f t="shared" si="270"/>
        <v>6.4322745369047887</v>
      </c>
      <c r="L189" s="416">
        <f t="shared" si="270"/>
        <v>6.6895655183809808</v>
      </c>
      <c r="M189" s="416">
        <f t="shared" si="270"/>
        <v>6.95714813911622</v>
      </c>
      <c r="N189" s="416">
        <f t="shared" si="270"/>
        <v>7.2354340646808692</v>
      </c>
      <c r="O189" s="416">
        <f t="shared" si="270"/>
        <v>7.5248514272681044</v>
      </c>
      <c r="P189" s="416">
        <f t="shared" si="270"/>
        <v>7.8258454843588288</v>
      </c>
      <c r="Q189" s="416">
        <f t="shared" si="270"/>
        <v>8.1388793037331819</v>
      </c>
      <c r="R189" s="416">
        <f t="shared" si="270"/>
        <v>8.4644344758825092</v>
      </c>
      <c r="S189" s="416">
        <f t="shared" si="270"/>
        <v>8.8030118549178091</v>
      </c>
      <c r="T189" s="416">
        <f t="shared" si="270"/>
        <v>9.1551323291145223</v>
      </c>
      <c r="U189" s="416">
        <f t="shared" si="270"/>
        <v>9.5213376222791037</v>
      </c>
      <c r="V189" s="416">
        <f t="shared" si="270"/>
        <v>9.9021911271702674</v>
      </c>
      <c r="W189" s="416">
        <f t="shared" si="270"/>
        <v>10.298278772257078</v>
      </c>
      <c r="X189" s="416">
        <f t="shared" si="270"/>
        <v>10.710209923147362</v>
      </c>
      <c r="Y189" s="416">
        <f t="shared" si="270"/>
        <v>11.138618320073256</v>
      </c>
      <c r="Z189" s="416">
        <f t="shared" si="270"/>
        <v>11.584163052876187</v>
      </c>
      <c r="AA189" s="416">
        <f t="shared" si="270"/>
        <v>12.047529574991236</v>
      </c>
      <c r="AB189" s="416">
        <f t="shared" si="270"/>
        <v>12.529430757990886</v>
      </c>
      <c r="AC189" s="416">
        <f t="shared" si="270"/>
        <v>13.030607988310521</v>
      </c>
      <c r="AD189" s="416">
        <f t="shared" si="270"/>
        <v>13.551832307842943</v>
      </c>
      <c r="AE189" s="416">
        <f t="shared" si="270"/>
        <v>14.093905600156662</v>
      </c>
      <c r="AF189" s="416">
        <f t="shared" si="270"/>
        <v>14.657661824162929</v>
      </c>
      <c r="AG189" s="416">
        <f t="shared" si="270"/>
        <v>15.243968297129447</v>
      </c>
      <c r="AH189" s="400">
        <v>0.04</v>
      </c>
      <c r="AI189" s="400">
        <v>0.04</v>
      </c>
      <c r="AJ189" s="400">
        <v>0.04</v>
      </c>
      <c r="AK189" s="400">
        <v>0.04</v>
      </c>
      <c r="AL189" s="43"/>
    </row>
    <row r="190" spans="1:38">
      <c r="A190" s="408" t="s">
        <v>18</v>
      </c>
      <c r="B190" s="408" t="s">
        <v>19</v>
      </c>
      <c r="C190" s="416">
        <f>'No change with year'!BO10</f>
        <v>3.6</v>
      </c>
      <c r="D190" s="416">
        <f t="shared" si="265"/>
        <v>3.7440000000000002</v>
      </c>
      <c r="E190" s="416">
        <f t="shared" si="265"/>
        <v>3.8937600000000003</v>
      </c>
      <c r="F190" s="416">
        <f t="shared" si="265"/>
        <v>4.0495104000000008</v>
      </c>
      <c r="G190" s="416">
        <f t="shared" si="265"/>
        <v>4.2114908160000013</v>
      </c>
      <c r="H190" s="416">
        <f t="shared" si="265"/>
        <v>4.3799504486400016</v>
      </c>
      <c r="I190" s="416">
        <f t="shared" ref="I190:AG190" si="271">H190*(1+$AI190)</f>
        <v>4.5551484665856021</v>
      </c>
      <c r="J190" s="416">
        <f t="shared" si="271"/>
        <v>4.7373544052490262</v>
      </c>
      <c r="K190" s="416">
        <f t="shared" si="271"/>
        <v>4.9268485814589873</v>
      </c>
      <c r="L190" s="416">
        <f t="shared" si="271"/>
        <v>5.1239225247173472</v>
      </c>
      <c r="M190" s="416">
        <f t="shared" si="271"/>
        <v>5.3288794257060417</v>
      </c>
      <c r="N190" s="416">
        <f t="shared" si="271"/>
        <v>5.5420346027342839</v>
      </c>
      <c r="O190" s="416">
        <f t="shared" si="271"/>
        <v>5.7637159868436552</v>
      </c>
      <c r="P190" s="416">
        <f t="shared" si="271"/>
        <v>5.9942646263174018</v>
      </c>
      <c r="Q190" s="416">
        <f t="shared" si="271"/>
        <v>6.2340352113700979</v>
      </c>
      <c r="R190" s="416">
        <f t="shared" si="271"/>
        <v>6.4833966198249016</v>
      </c>
      <c r="S190" s="416">
        <f t="shared" si="271"/>
        <v>6.742732484617898</v>
      </c>
      <c r="T190" s="416">
        <f t="shared" si="271"/>
        <v>7.0124417840026139</v>
      </c>
      <c r="U190" s="416">
        <f t="shared" si="271"/>
        <v>7.2929394553627187</v>
      </c>
      <c r="V190" s="416">
        <f t="shared" si="271"/>
        <v>7.5846570335772281</v>
      </c>
      <c r="W190" s="416">
        <f t="shared" si="271"/>
        <v>7.8880433149203171</v>
      </c>
      <c r="X190" s="416">
        <f t="shared" si="271"/>
        <v>8.2035650475171309</v>
      </c>
      <c r="Y190" s="416">
        <f t="shared" si="271"/>
        <v>8.5317076494178163</v>
      </c>
      <c r="Z190" s="416">
        <f t="shared" si="271"/>
        <v>8.87297595539453</v>
      </c>
      <c r="AA190" s="416">
        <f t="shared" si="271"/>
        <v>9.2278949936103114</v>
      </c>
      <c r="AB190" s="416">
        <f t="shared" si="271"/>
        <v>9.5970107933547251</v>
      </c>
      <c r="AC190" s="416">
        <f t="shared" si="271"/>
        <v>9.9808912250889144</v>
      </c>
      <c r="AD190" s="416">
        <f t="shared" si="271"/>
        <v>10.380126874092472</v>
      </c>
      <c r="AE190" s="416">
        <f t="shared" si="271"/>
        <v>10.795331949056171</v>
      </c>
      <c r="AF190" s="416">
        <f t="shared" si="271"/>
        <v>11.227145227018418</v>
      </c>
      <c r="AG190" s="416">
        <f t="shared" si="271"/>
        <v>11.676231036099155</v>
      </c>
      <c r="AH190" s="400">
        <v>0.04</v>
      </c>
      <c r="AI190" s="400">
        <v>0.04</v>
      </c>
      <c r="AJ190" s="400">
        <v>0.04</v>
      </c>
      <c r="AK190" s="400">
        <v>0.04</v>
      </c>
      <c r="AL190" s="43"/>
    </row>
    <row r="191" spans="1:38">
      <c r="A191" s="408" t="s">
        <v>21</v>
      </c>
      <c r="B191" s="408" t="s">
        <v>22</v>
      </c>
      <c r="C191" s="416">
        <f>'No change with year'!BO11</f>
        <v>9.1</v>
      </c>
      <c r="D191" s="416">
        <f t="shared" si="265"/>
        <v>9.4640000000000004</v>
      </c>
      <c r="E191" s="416">
        <f t="shared" si="265"/>
        <v>9.8425600000000006</v>
      </c>
      <c r="F191" s="416">
        <f t="shared" si="265"/>
        <v>10.236262400000001</v>
      </c>
      <c r="G191" s="416">
        <f t="shared" si="265"/>
        <v>10.645712896000001</v>
      </c>
      <c r="H191" s="416">
        <f t="shared" si="265"/>
        <v>11.071541411840002</v>
      </c>
      <c r="I191" s="416">
        <f t="shared" ref="I191:AG191" si="272">H191*(1+$AI191)</f>
        <v>11.514403068313602</v>
      </c>
      <c r="J191" s="416">
        <f t="shared" si="272"/>
        <v>11.974979191046145</v>
      </c>
      <c r="K191" s="416">
        <f t="shared" si="272"/>
        <v>12.453978358687992</v>
      </c>
      <c r="L191" s="416">
        <f t="shared" si="272"/>
        <v>12.952137493035513</v>
      </c>
      <c r="M191" s="416">
        <f t="shared" si="272"/>
        <v>13.470222992756934</v>
      </c>
      <c r="N191" s="416">
        <f t="shared" si="272"/>
        <v>14.009031912467211</v>
      </c>
      <c r="O191" s="416">
        <f t="shared" si="272"/>
        <v>14.569393188965901</v>
      </c>
      <c r="P191" s="416">
        <f t="shared" si="272"/>
        <v>15.152168916524538</v>
      </c>
      <c r="Q191" s="416">
        <f t="shared" si="272"/>
        <v>15.75825567318552</v>
      </c>
      <c r="R191" s="416">
        <f t="shared" si="272"/>
        <v>16.38858590011294</v>
      </c>
      <c r="S191" s="416">
        <f t="shared" si="272"/>
        <v>17.044129336117457</v>
      </c>
      <c r="T191" s="416">
        <f t="shared" si="272"/>
        <v>17.725894509562156</v>
      </c>
      <c r="U191" s="416">
        <f t="shared" si="272"/>
        <v>18.434930289944642</v>
      </c>
      <c r="V191" s="416">
        <f t="shared" si="272"/>
        <v>19.17232750154243</v>
      </c>
      <c r="W191" s="416">
        <f t="shared" si="272"/>
        <v>19.939220601604127</v>
      </c>
      <c r="X191" s="416">
        <f t="shared" si="272"/>
        <v>20.736789425668292</v>
      </c>
      <c r="Y191" s="416">
        <f t="shared" si="272"/>
        <v>21.566261002695025</v>
      </c>
      <c r="Z191" s="416">
        <f t="shared" si="272"/>
        <v>22.428911442802828</v>
      </c>
      <c r="AA191" s="416">
        <f t="shared" si="272"/>
        <v>23.326067900514943</v>
      </c>
      <c r="AB191" s="416">
        <f t="shared" si="272"/>
        <v>24.259110616535541</v>
      </c>
      <c r="AC191" s="416">
        <f t="shared" si="272"/>
        <v>25.229475041196963</v>
      </c>
      <c r="AD191" s="416">
        <f t="shared" si="272"/>
        <v>26.238654042844843</v>
      </c>
      <c r="AE191" s="416">
        <f t="shared" si="272"/>
        <v>27.288200204558638</v>
      </c>
      <c r="AF191" s="416">
        <f t="shared" si="272"/>
        <v>28.379728212740986</v>
      </c>
      <c r="AG191" s="416">
        <f t="shared" si="272"/>
        <v>29.514917341250626</v>
      </c>
      <c r="AH191" s="400">
        <v>0.04</v>
      </c>
      <c r="AI191" s="400">
        <v>0.04</v>
      </c>
      <c r="AJ191" s="400">
        <v>0.04</v>
      </c>
      <c r="AK191" s="400">
        <v>0.04</v>
      </c>
      <c r="AL191" s="43"/>
    </row>
    <row r="192" spans="1:38" s="4" customFormat="1">
      <c r="A192" s="408" t="s">
        <v>21</v>
      </c>
      <c r="B192" s="408" t="s">
        <v>24</v>
      </c>
      <c r="C192" s="416">
        <f>'No change with year'!BO12</f>
        <v>11.4</v>
      </c>
      <c r="D192" s="417">
        <f t="shared" si="265"/>
        <v>11.856000000000002</v>
      </c>
      <c r="E192" s="417">
        <f t="shared" si="265"/>
        <v>12.330240000000002</v>
      </c>
      <c r="F192" s="417">
        <f t="shared" si="265"/>
        <v>12.823449600000002</v>
      </c>
      <c r="G192" s="417">
        <f t="shared" si="265"/>
        <v>13.336387584000002</v>
      </c>
      <c r="H192" s="417">
        <f t="shared" si="265"/>
        <v>13.869843087360003</v>
      </c>
      <c r="I192" s="417">
        <f t="shared" ref="I192:AG192" si="273">H192*(1+$AI192)</f>
        <v>14.424636810854404</v>
      </c>
      <c r="J192" s="417">
        <f t="shared" si="273"/>
        <v>15.001622283288579</v>
      </c>
      <c r="K192" s="417">
        <f t="shared" si="273"/>
        <v>15.601687174620123</v>
      </c>
      <c r="L192" s="417">
        <f t="shared" si="273"/>
        <v>16.225754661604928</v>
      </c>
      <c r="M192" s="417">
        <f t="shared" si="273"/>
        <v>16.874784848069126</v>
      </c>
      <c r="N192" s="417">
        <f t="shared" si="273"/>
        <v>17.549776241991893</v>
      </c>
      <c r="O192" s="417">
        <f t="shared" si="273"/>
        <v>18.25176729167157</v>
      </c>
      <c r="P192" s="417">
        <f t="shared" si="273"/>
        <v>18.981837983338433</v>
      </c>
      <c r="Q192" s="417">
        <f t="shared" si="273"/>
        <v>19.74111150267197</v>
      </c>
      <c r="R192" s="417">
        <f t="shared" si="273"/>
        <v>20.530755962778848</v>
      </c>
      <c r="S192" s="417">
        <f t="shared" si="273"/>
        <v>21.351986201290003</v>
      </c>
      <c r="T192" s="417">
        <f t="shared" si="273"/>
        <v>22.206065649341603</v>
      </c>
      <c r="U192" s="417">
        <f t="shared" si="273"/>
        <v>23.094308275315267</v>
      </c>
      <c r="V192" s="417">
        <f t="shared" si="273"/>
        <v>24.018080606327878</v>
      </c>
      <c r="W192" s="417">
        <f t="shared" si="273"/>
        <v>24.978803830580993</v>
      </c>
      <c r="X192" s="417">
        <f t="shared" si="273"/>
        <v>25.977955983804232</v>
      </c>
      <c r="Y192" s="417">
        <f t="shared" si="273"/>
        <v>27.017074223156403</v>
      </c>
      <c r="Z192" s="417">
        <f t="shared" si="273"/>
        <v>28.097757192082661</v>
      </c>
      <c r="AA192" s="417">
        <f t="shared" si="273"/>
        <v>29.221667479765969</v>
      </c>
      <c r="AB192" s="417">
        <f t="shared" si="273"/>
        <v>30.39053417895661</v>
      </c>
      <c r="AC192" s="417">
        <f t="shared" si="273"/>
        <v>31.606155546114877</v>
      </c>
      <c r="AD192" s="417">
        <f t="shared" si="273"/>
        <v>32.870401767959471</v>
      </c>
      <c r="AE192" s="417">
        <f t="shared" si="273"/>
        <v>34.18521783867785</v>
      </c>
      <c r="AF192" s="417">
        <f t="shared" si="273"/>
        <v>35.552626552224964</v>
      </c>
      <c r="AG192" s="417">
        <f t="shared" si="273"/>
        <v>36.974731614313967</v>
      </c>
      <c r="AH192" s="400">
        <v>0.04</v>
      </c>
      <c r="AI192" s="400">
        <v>0.04</v>
      </c>
      <c r="AJ192" s="400">
        <v>0.04</v>
      </c>
      <c r="AK192" s="400">
        <v>0.04</v>
      </c>
      <c r="AL192" s="198"/>
    </row>
    <row r="193" spans="1:38">
      <c r="A193" s="408" t="s">
        <v>26</v>
      </c>
      <c r="B193" s="408" t="s">
        <v>13</v>
      </c>
      <c r="C193" s="416">
        <f>'No change with year'!BO13</f>
        <v>8.1999999999999993</v>
      </c>
      <c r="D193" s="416">
        <f t="shared" si="265"/>
        <v>8.5279999999999987</v>
      </c>
      <c r="E193" s="416">
        <f t="shared" si="265"/>
        <v>8.8691199999999988</v>
      </c>
      <c r="F193" s="416">
        <f t="shared" si="265"/>
        <v>9.2238847999999987</v>
      </c>
      <c r="G193" s="416">
        <f t="shared" si="265"/>
        <v>9.5928401919999988</v>
      </c>
      <c r="H193" s="416">
        <f t="shared" si="265"/>
        <v>9.9765537996799996</v>
      </c>
      <c r="I193" s="416">
        <f t="shared" ref="I193:AG193" si="274">H193*(1+$AI193)</f>
        <v>10.3756159516672</v>
      </c>
      <c r="J193" s="416">
        <f t="shared" si="274"/>
        <v>10.790640589733888</v>
      </c>
      <c r="K193" s="416">
        <f t="shared" si="274"/>
        <v>11.222266213323245</v>
      </c>
      <c r="L193" s="416">
        <f t="shared" si="274"/>
        <v>11.671156861856176</v>
      </c>
      <c r="M193" s="416">
        <f t="shared" si="274"/>
        <v>12.138003136330424</v>
      </c>
      <c r="N193" s="416">
        <f t="shared" si="274"/>
        <v>12.623523261783641</v>
      </c>
      <c r="O193" s="416">
        <f t="shared" si="274"/>
        <v>13.128464192254986</v>
      </c>
      <c r="P193" s="416">
        <f t="shared" si="274"/>
        <v>13.653602759945187</v>
      </c>
      <c r="Q193" s="416">
        <f t="shared" si="274"/>
        <v>14.199746870342995</v>
      </c>
      <c r="R193" s="416">
        <f t="shared" si="274"/>
        <v>14.767736745156716</v>
      </c>
      <c r="S193" s="416">
        <f t="shared" si="274"/>
        <v>15.358446214962985</v>
      </c>
      <c r="T193" s="416">
        <f t="shared" si="274"/>
        <v>15.972784063561505</v>
      </c>
      <c r="U193" s="416">
        <f t="shared" si="274"/>
        <v>16.611695426103967</v>
      </c>
      <c r="V193" s="416">
        <f t="shared" si="274"/>
        <v>17.276163243148126</v>
      </c>
      <c r="W193" s="416">
        <f t="shared" si="274"/>
        <v>17.967209772874053</v>
      </c>
      <c r="X193" s="416">
        <f t="shared" si="274"/>
        <v>18.685898163789016</v>
      </c>
      <c r="Y193" s="416">
        <f t="shared" si="274"/>
        <v>19.433334090340576</v>
      </c>
      <c r="Z193" s="416">
        <f t="shared" si="274"/>
        <v>20.210667453954201</v>
      </c>
      <c r="AA193" s="416">
        <f t="shared" si="274"/>
        <v>21.01909415211237</v>
      </c>
      <c r="AB193" s="416">
        <f t="shared" si="274"/>
        <v>21.859857918196866</v>
      </c>
      <c r="AC193" s="416">
        <f t="shared" si="274"/>
        <v>22.734252234924742</v>
      </c>
      <c r="AD193" s="416">
        <f t="shared" si="274"/>
        <v>23.643622324321733</v>
      </c>
      <c r="AE193" s="416">
        <f t="shared" si="274"/>
        <v>24.589367217294601</v>
      </c>
      <c r="AF193" s="416">
        <f t="shared" si="274"/>
        <v>25.572941905986387</v>
      </c>
      <c r="AG193" s="416">
        <f t="shared" si="274"/>
        <v>26.595859582225842</v>
      </c>
      <c r="AH193" s="400">
        <v>0.04</v>
      </c>
      <c r="AI193" s="400">
        <v>0.04</v>
      </c>
      <c r="AJ193" s="400">
        <v>0.04</v>
      </c>
      <c r="AK193" s="400">
        <v>0.04</v>
      </c>
      <c r="AL193" s="43"/>
    </row>
    <row r="194" spans="1:38">
      <c r="A194" s="408" t="s">
        <v>26</v>
      </c>
      <c r="B194" s="408" t="s">
        <v>28</v>
      </c>
      <c r="C194" s="416">
        <f>'No change with year'!BO14</f>
        <v>7</v>
      </c>
      <c r="D194" s="416">
        <f t="shared" si="265"/>
        <v>7.28</v>
      </c>
      <c r="E194" s="416">
        <f t="shared" si="265"/>
        <v>7.5712000000000002</v>
      </c>
      <c r="F194" s="416">
        <f t="shared" si="265"/>
        <v>7.8740480000000002</v>
      </c>
      <c r="G194" s="416">
        <f t="shared" si="265"/>
        <v>8.1890099200000002</v>
      </c>
      <c r="H194" s="416">
        <f t="shared" si="265"/>
        <v>8.5165703168000011</v>
      </c>
      <c r="I194" s="416">
        <f t="shared" ref="I194:AG194" si="275">H194*(1+$AI194)</f>
        <v>8.8572331294720019</v>
      </c>
      <c r="J194" s="416">
        <f t="shared" si="275"/>
        <v>9.2115224546508827</v>
      </c>
      <c r="K194" s="416">
        <f t="shared" si="275"/>
        <v>9.5799833528369192</v>
      </c>
      <c r="L194" s="416">
        <f t="shared" si="275"/>
        <v>9.9631826869503968</v>
      </c>
      <c r="M194" s="416">
        <f t="shared" si="275"/>
        <v>10.361709994428413</v>
      </c>
      <c r="N194" s="416">
        <f t="shared" si="275"/>
        <v>10.77617839420555</v>
      </c>
      <c r="O194" s="416">
        <f t="shared" si="275"/>
        <v>11.207225529973773</v>
      </c>
      <c r="P194" s="416">
        <f t="shared" si="275"/>
        <v>11.655514551172724</v>
      </c>
      <c r="Q194" s="416">
        <f t="shared" si="275"/>
        <v>12.121735133219634</v>
      </c>
      <c r="R194" s="416">
        <f t="shared" si="275"/>
        <v>12.606604538548419</v>
      </c>
      <c r="S194" s="416">
        <f t="shared" si="275"/>
        <v>13.110868720090357</v>
      </c>
      <c r="T194" s="416">
        <f t="shared" si="275"/>
        <v>13.635303468893971</v>
      </c>
      <c r="U194" s="416">
        <f t="shared" si="275"/>
        <v>14.180715607649731</v>
      </c>
      <c r="V194" s="416">
        <f t="shared" si="275"/>
        <v>14.747944231955721</v>
      </c>
      <c r="W194" s="416">
        <f t="shared" si="275"/>
        <v>15.337862001233949</v>
      </c>
      <c r="X194" s="416">
        <f t="shared" si="275"/>
        <v>15.951376481283308</v>
      </c>
      <c r="Y194" s="416">
        <f t="shared" si="275"/>
        <v>16.58943154053464</v>
      </c>
      <c r="Z194" s="416">
        <f t="shared" si="275"/>
        <v>17.253008802156028</v>
      </c>
      <c r="AA194" s="416">
        <f t="shared" si="275"/>
        <v>17.943129154242271</v>
      </c>
      <c r="AB194" s="416">
        <f t="shared" si="275"/>
        <v>18.660854320411964</v>
      </c>
      <c r="AC194" s="416">
        <f t="shared" si="275"/>
        <v>19.407288493228442</v>
      </c>
      <c r="AD194" s="416">
        <f t="shared" si="275"/>
        <v>20.183580032957583</v>
      </c>
      <c r="AE194" s="416">
        <f t="shared" si="275"/>
        <v>20.990923234275886</v>
      </c>
      <c r="AF194" s="416">
        <f t="shared" si="275"/>
        <v>21.830560163646922</v>
      </c>
      <c r="AG194" s="416">
        <f t="shared" si="275"/>
        <v>22.7037825701928</v>
      </c>
      <c r="AH194" s="400">
        <v>0.04</v>
      </c>
      <c r="AI194" s="400">
        <v>0.04</v>
      </c>
      <c r="AJ194" s="400">
        <v>0.04</v>
      </c>
      <c r="AK194" s="400">
        <v>0.04</v>
      </c>
      <c r="AL194" s="43"/>
    </row>
    <row r="195" spans="1:38">
      <c r="A195" s="408" t="s">
        <v>30</v>
      </c>
      <c r="B195" s="408" t="s">
        <v>28</v>
      </c>
      <c r="C195" s="416">
        <f>'No change with year'!BO15</f>
        <v>8.8000000000000007</v>
      </c>
      <c r="D195" s="416">
        <f t="shared" si="265"/>
        <v>9.152000000000001</v>
      </c>
      <c r="E195" s="416">
        <f t="shared" si="265"/>
        <v>9.5180800000000012</v>
      </c>
      <c r="F195" s="416">
        <f t="shared" si="265"/>
        <v>9.8988032000000015</v>
      </c>
      <c r="G195" s="416">
        <f t="shared" si="265"/>
        <v>10.294755328000003</v>
      </c>
      <c r="H195" s="416">
        <f t="shared" si="265"/>
        <v>10.706545541120002</v>
      </c>
      <c r="I195" s="416">
        <f t="shared" ref="I195:AG195" si="276">H195*(1+$AI195)</f>
        <v>11.134807362764803</v>
      </c>
      <c r="J195" s="416">
        <f t="shared" si="276"/>
        <v>11.580199657275395</v>
      </c>
      <c r="K195" s="416">
        <f t="shared" si="276"/>
        <v>12.043407643566411</v>
      </c>
      <c r="L195" s="416">
        <f t="shared" si="276"/>
        <v>12.525143949309069</v>
      </c>
      <c r="M195" s="416">
        <f t="shared" si="276"/>
        <v>13.026149707281432</v>
      </c>
      <c r="N195" s="416">
        <f t="shared" si="276"/>
        <v>13.54719569557269</v>
      </c>
      <c r="O195" s="416">
        <f t="shared" si="276"/>
        <v>14.089083523395598</v>
      </c>
      <c r="P195" s="416">
        <f t="shared" si="276"/>
        <v>14.652646864331421</v>
      </c>
      <c r="Q195" s="416">
        <f t="shared" si="276"/>
        <v>15.23875273890468</v>
      </c>
      <c r="R195" s="416">
        <f t="shared" si="276"/>
        <v>15.848302848460868</v>
      </c>
      <c r="S195" s="416">
        <f t="shared" si="276"/>
        <v>16.482234962399303</v>
      </c>
      <c r="T195" s="416">
        <f t="shared" si="276"/>
        <v>17.141524360895275</v>
      </c>
      <c r="U195" s="416">
        <f t="shared" si="276"/>
        <v>17.827185335331087</v>
      </c>
      <c r="V195" s="416">
        <f t="shared" si="276"/>
        <v>18.540272748744332</v>
      </c>
      <c r="W195" s="416">
        <f t="shared" si="276"/>
        <v>19.281883658694106</v>
      </c>
      <c r="X195" s="416">
        <f t="shared" si="276"/>
        <v>20.05315900504187</v>
      </c>
      <c r="Y195" s="416">
        <f t="shared" si="276"/>
        <v>20.855285365243546</v>
      </c>
      <c r="Z195" s="416">
        <f t="shared" si="276"/>
        <v>21.68949677985329</v>
      </c>
      <c r="AA195" s="416">
        <f t="shared" si="276"/>
        <v>22.557076651047421</v>
      </c>
      <c r="AB195" s="416">
        <f t="shared" si="276"/>
        <v>23.459359717089317</v>
      </c>
      <c r="AC195" s="416">
        <f t="shared" si="276"/>
        <v>24.397734105772891</v>
      </c>
      <c r="AD195" s="416">
        <f t="shared" si="276"/>
        <v>25.373643470003806</v>
      </c>
      <c r="AE195" s="416">
        <f t="shared" si="276"/>
        <v>26.38858920880396</v>
      </c>
      <c r="AF195" s="416">
        <f t="shared" si="276"/>
        <v>27.444132777156121</v>
      </c>
      <c r="AG195" s="416">
        <f t="shared" si="276"/>
        <v>28.541898088242366</v>
      </c>
      <c r="AH195" s="400">
        <v>0.04</v>
      </c>
      <c r="AI195" s="400">
        <v>0.04</v>
      </c>
      <c r="AJ195" s="400">
        <v>0.04</v>
      </c>
      <c r="AK195" s="400">
        <v>0.04</v>
      </c>
      <c r="AL195" s="43"/>
    </row>
    <row r="196" spans="1:38">
      <c r="A196" s="408" t="s">
        <v>149</v>
      </c>
      <c r="B196" s="408" t="s">
        <v>11</v>
      </c>
      <c r="C196" s="416">
        <f>'No change with year'!BO16</f>
        <v>4</v>
      </c>
      <c r="D196" s="416">
        <f t="shared" si="265"/>
        <v>4.16</v>
      </c>
      <c r="E196" s="416">
        <f t="shared" si="265"/>
        <v>4.3264000000000005</v>
      </c>
      <c r="F196" s="416">
        <f t="shared" si="265"/>
        <v>4.4994560000000003</v>
      </c>
      <c r="G196" s="416">
        <f t="shared" si="265"/>
        <v>4.6794342400000009</v>
      </c>
      <c r="H196" s="416">
        <f t="shared" si="265"/>
        <v>4.8666116096000014</v>
      </c>
      <c r="I196" s="416">
        <f t="shared" ref="I196:AG196" si="277">H196*(1+$AI196)</f>
        <v>5.0612760739840015</v>
      </c>
      <c r="J196" s="416">
        <f t="shared" si="277"/>
        <v>5.2637271169433619</v>
      </c>
      <c r="K196" s="416">
        <f t="shared" si="277"/>
        <v>5.4742762016210964</v>
      </c>
      <c r="L196" s="416">
        <f t="shared" si="277"/>
        <v>5.6932472496859408</v>
      </c>
      <c r="M196" s="416">
        <f t="shared" si="277"/>
        <v>5.9209771396733784</v>
      </c>
      <c r="N196" s="416">
        <f t="shared" si="277"/>
        <v>6.1578162252603139</v>
      </c>
      <c r="O196" s="416">
        <f t="shared" si="277"/>
        <v>6.404128874270727</v>
      </c>
      <c r="P196" s="416">
        <f t="shared" si="277"/>
        <v>6.6602940292415562</v>
      </c>
      <c r="Q196" s="416">
        <f t="shared" si="277"/>
        <v>6.9267057904112184</v>
      </c>
      <c r="R196" s="416">
        <f t="shared" si="277"/>
        <v>7.2037740220276669</v>
      </c>
      <c r="S196" s="416">
        <f t="shared" si="277"/>
        <v>7.491924982908774</v>
      </c>
      <c r="T196" s="416">
        <f t="shared" si="277"/>
        <v>7.7916019822251252</v>
      </c>
      <c r="U196" s="416">
        <f t="shared" si="277"/>
        <v>8.1032660615141303</v>
      </c>
      <c r="V196" s="416">
        <f t="shared" si="277"/>
        <v>8.4273967039746953</v>
      </c>
      <c r="W196" s="416">
        <f t="shared" si="277"/>
        <v>8.7644925721336833</v>
      </c>
      <c r="X196" s="416">
        <f t="shared" si="277"/>
        <v>9.1150722750190312</v>
      </c>
      <c r="Y196" s="416">
        <f t="shared" si="277"/>
        <v>9.479675166019792</v>
      </c>
      <c r="Z196" s="416">
        <f t="shared" si="277"/>
        <v>9.8588621726605847</v>
      </c>
      <c r="AA196" s="416">
        <f t="shared" si="277"/>
        <v>10.253216659567009</v>
      </c>
      <c r="AB196" s="416">
        <f t="shared" si="277"/>
        <v>10.66334532594969</v>
      </c>
      <c r="AC196" s="416">
        <f t="shared" si="277"/>
        <v>11.089879138987678</v>
      </c>
      <c r="AD196" s="416">
        <f t="shared" si="277"/>
        <v>11.533474304547186</v>
      </c>
      <c r="AE196" s="416">
        <f t="shared" si="277"/>
        <v>11.994813276729074</v>
      </c>
      <c r="AF196" s="416">
        <f t="shared" si="277"/>
        <v>12.474605807798238</v>
      </c>
      <c r="AG196" s="416">
        <f t="shared" si="277"/>
        <v>12.973590040110167</v>
      </c>
      <c r="AH196" s="400">
        <v>0.04</v>
      </c>
      <c r="AI196" s="400">
        <v>0.04</v>
      </c>
      <c r="AJ196" s="400">
        <v>0.04</v>
      </c>
      <c r="AK196" s="400">
        <v>0.04</v>
      </c>
      <c r="AL196" s="43"/>
    </row>
    <row r="197" spans="1:38">
      <c r="A197" s="408" t="s">
        <v>34</v>
      </c>
      <c r="B197" s="408" t="s">
        <v>11</v>
      </c>
      <c r="C197" s="416">
        <f>'No change with year'!BO17</f>
        <v>4</v>
      </c>
      <c r="D197" s="416">
        <f t="shared" si="265"/>
        <v>4.16</v>
      </c>
      <c r="E197" s="416">
        <f t="shared" si="265"/>
        <v>4.3264000000000005</v>
      </c>
      <c r="F197" s="416">
        <f t="shared" si="265"/>
        <v>4.4994560000000003</v>
      </c>
      <c r="G197" s="416">
        <f t="shared" si="265"/>
        <v>4.6794342400000009</v>
      </c>
      <c r="H197" s="416">
        <f t="shared" si="265"/>
        <v>4.8666116096000014</v>
      </c>
      <c r="I197" s="416">
        <f t="shared" ref="I197:AG197" si="278">H197*(1+$AI197)</f>
        <v>5.0612760739840015</v>
      </c>
      <c r="J197" s="416">
        <f t="shared" si="278"/>
        <v>5.2637271169433619</v>
      </c>
      <c r="K197" s="416">
        <f t="shared" si="278"/>
        <v>5.4742762016210964</v>
      </c>
      <c r="L197" s="416">
        <f t="shared" si="278"/>
        <v>5.6932472496859408</v>
      </c>
      <c r="M197" s="416">
        <f t="shared" si="278"/>
        <v>5.9209771396733784</v>
      </c>
      <c r="N197" s="416">
        <f t="shared" si="278"/>
        <v>6.1578162252603139</v>
      </c>
      <c r="O197" s="416">
        <f t="shared" si="278"/>
        <v>6.404128874270727</v>
      </c>
      <c r="P197" s="416">
        <f t="shared" si="278"/>
        <v>6.6602940292415562</v>
      </c>
      <c r="Q197" s="416">
        <f t="shared" si="278"/>
        <v>6.9267057904112184</v>
      </c>
      <c r="R197" s="416">
        <f t="shared" si="278"/>
        <v>7.2037740220276669</v>
      </c>
      <c r="S197" s="416">
        <f t="shared" si="278"/>
        <v>7.491924982908774</v>
      </c>
      <c r="T197" s="416">
        <f t="shared" si="278"/>
        <v>7.7916019822251252</v>
      </c>
      <c r="U197" s="416">
        <f t="shared" si="278"/>
        <v>8.1032660615141303</v>
      </c>
      <c r="V197" s="416">
        <f t="shared" si="278"/>
        <v>8.4273967039746953</v>
      </c>
      <c r="W197" s="416">
        <f t="shared" si="278"/>
        <v>8.7644925721336833</v>
      </c>
      <c r="X197" s="416">
        <f t="shared" si="278"/>
        <v>9.1150722750190312</v>
      </c>
      <c r="Y197" s="416">
        <f t="shared" si="278"/>
        <v>9.479675166019792</v>
      </c>
      <c r="Z197" s="416">
        <f t="shared" si="278"/>
        <v>9.8588621726605847</v>
      </c>
      <c r="AA197" s="416">
        <f t="shared" si="278"/>
        <v>10.253216659567009</v>
      </c>
      <c r="AB197" s="416">
        <f t="shared" si="278"/>
        <v>10.66334532594969</v>
      </c>
      <c r="AC197" s="416">
        <f t="shared" si="278"/>
        <v>11.089879138987678</v>
      </c>
      <c r="AD197" s="416">
        <f t="shared" si="278"/>
        <v>11.533474304547186</v>
      </c>
      <c r="AE197" s="416">
        <f t="shared" si="278"/>
        <v>11.994813276729074</v>
      </c>
      <c r="AF197" s="416">
        <f t="shared" si="278"/>
        <v>12.474605807798238</v>
      </c>
      <c r="AG197" s="416">
        <f t="shared" si="278"/>
        <v>12.973590040110167</v>
      </c>
      <c r="AH197" s="400">
        <v>0.04</v>
      </c>
      <c r="AI197" s="400">
        <v>0.04</v>
      </c>
      <c r="AJ197" s="400">
        <v>0.04</v>
      </c>
      <c r="AK197" s="400">
        <v>0.04</v>
      </c>
      <c r="AL197" s="43"/>
    </row>
    <row r="198" spans="1:38">
      <c r="A198" s="408" t="s">
        <v>36</v>
      </c>
      <c r="B198" s="408" t="s">
        <v>37</v>
      </c>
      <c r="C198" s="416">
        <f>'No change with year'!BO18</f>
        <v>4.8</v>
      </c>
      <c r="D198" s="416">
        <f t="shared" si="265"/>
        <v>4.992</v>
      </c>
      <c r="E198" s="416">
        <f t="shared" si="265"/>
        <v>5.1916799999999999</v>
      </c>
      <c r="F198" s="416">
        <f t="shared" si="265"/>
        <v>5.3993472000000002</v>
      </c>
      <c r="G198" s="416">
        <f t="shared" si="265"/>
        <v>5.6153210880000008</v>
      </c>
      <c r="H198" s="416">
        <f t="shared" si="265"/>
        <v>5.839933931520001</v>
      </c>
      <c r="I198" s="416">
        <f t="shared" ref="I198:AG198" si="279">H198*(1+$AI198)</f>
        <v>6.0735312887808011</v>
      </c>
      <c r="J198" s="416">
        <f t="shared" si="279"/>
        <v>6.3164725403320334</v>
      </c>
      <c r="K198" s="416">
        <f t="shared" si="279"/>
        <v>6.5691314419453146</v>
      </c>
      <c r="L198" s="416">
        <f t="shared" si="279"/>
        <v>6.8318966996231278</v>
      </c>
      <c r="M198" s="416">
        <f t="shared" si="279"/>
        <v>7.1051725676080535</v>
      </c>
      <c r="N198" s="416">
        <f t="shared" si="279"/>
        <v>7.3893794703123756</v>
      </c>
      <c r="O198" s="416">
        <f t="shared" si="279"/>
        <v>7.6849546491248706</v>
      </c>
      <c r="P198" s="416">
        <f t="shared" si="279"/>
        <v>7.992352835089866</v>
      </c>
      <c r="Q198" s="416">
        <f t="shared" si="279"/>
        <v>8.3120469484934603</v>
      </c>
      <c r="R198" s="416">
        <f t="shared" si="279"/>
        <v>8.6445288264331985</v>
      </c>
      <c r="S198" s="416">
        <f t="shared" si="279"/>
        <v>8.9903099794905259</v>
      </c>
      <c r="T198" s="416">
        <f t="shared" si="279"/>
        <v>9.3499223786701471</v>
      </c>
      <c r="U198" s="416">
        <f t="shared" si="279"/>
        <v>9.7239192738169535</v>
      </c>
      <c r="V198" s="416">
        <f t="shared" si="279"/>
        <v>10.112876044769632</v>
      </c>
      <c r="W198" s="416">
        <f t="shared" si="279"/>
        <v>10.517391086560417</v>
      </c>
      <c r="X198" s="416">
        <f t="shared" si="279"/>
        <v>10.938086730022835</v>
      </c>
      <c r="Y198" s="416">
        <f t="shared" si="279"/>
        <v>11.375610199223749</v>
      </c>
      <c r="Z198" s="416">
        <f t="shared" si="279"/>
        <v>11.8306346071927</v>
      </c>
      <c r="AA198" s="416">
        <f t="shared" si="279"/>
        <v>12.303859991480408</v>
      </c>
      <c r="AB198" s="416">
        <f t="shared" si="279"/>
        <v>12.796014391139625</v>
      </c>
      <c r="AC198" s="416">
        <f t="shared" si="279"/>
        <v>13.307854966785211</v>
      </c>
      <c r="AD198" s="416">
        <f t="shared" si="279"/>
        <v>13.84016916545662</v>
      </c>
      <c r="AE198" s="416">
        <f t="shared" si="279"/>
        <v>14.393775932074886</v>
      </c>
      <c r="AF198" s="416">
        <f t="shared" si="279"/>
        <v>14.969526969357883</v>
      </c>
      <c r="AG198" s="416">
        <f t="shared" si="279"/>
        <v>15.568308048132199</v>
      </c>
      <c r="AH198" s="400">
        <v>0.04</v>
      </c>
      <c r="AI198" s="400">
        <v>0.04</v>
      </c>
      <c r="AJ198" s="400">
        <v>0.04</v>
      </c>
      <c r="AK198" s="400">
        <v>0.04</v>
      </c>
      <c r="AL198" s="43"/>
    </row>
    <row r="199" spans="1:38">
      <c r="A199" s="408"/>
      <c r="B199" s="408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  <c r="AA199" s="335"/>
      <c r="AB199" s="335"/>
      <c r="AC199" s="335"/>
      <c r="AD199" s="335"/>
      <c r="AE199" s="335"/>
      <c r="AF199" s="335"/>
      <c r="AG199" s="335"/>
      <c r="AH199" s="409"/>
      <c r="AI199" s="409"/>
      <c r="AJ199" s="409"/>
      <c r="AK199" s="409"/>
      <c r="AL199" s="148"/>
    </row>
    <row r="200" spans="1:38" s="4" customFormat="1" ht="28.2" customHeight="1">
      <c r="A200" s="903" t="s">
        <v>730</v>
      </c>
      <c r="B200" s="904"/>
      <c r="C200" s="399">
        <v>2025</v>
      </c>
      <c r="D200" s="399">
        <v>2026</v>
      </c>
      <c r="E200" s="399">
        <v>2027</v>
      </c>
      <c r="F200" s="399">
        <v>2028</v>
      </c>
      <c r="G200" s="399">
        <v>2029</v>
      </c>
      <c r="H200" s="399">
        <v>2030</v>
      </c>
      <c r="I200" s="399">
        <v>2031</v>
      </c>
      <c r="J200" s="399">
        <v>2032</v>
      </c>
      <c r="K200" s="399">
        <v>2033</v>
      </c>
      <c r="L200" s="399">
        <v>2034</v>
      </c>
      <c r="M200" s="399">
        <v>2035</v>
      </c>
      <c r="N200" s="399">
        <v>2036</v>
      </c>
      <c r="O200" s="399">
        <v>2037</v>
      </c>
      <c r="P200" s="399">
        <v>2038</v>
      </c>
      <c r="Q200" s="399">
        <v>2039</v>
      </c>
      <c r="R200" s="399">
        <v>2040</v>
      </c>
      <c r="S200" s="399">
        <v>2041</v>
      </c>
      <c r="T200" s="399">
        <v>2042</v>
      </c>
      <c r="U200" s="399">
        <v>2043</v>
      </c>
      <c r="V200" s="399">
        <v>2044</v>
      </c>
      <c r="W200" s="399">
        <v>2045</v>
      </c>
      <c r="X200" s="399">
        <v>2046</v>
      </c>
      <c r="Y200" s="399">
        <v>2047</v>
      </c>
      <c r="Z200" s="399">
        <v>2048</v>
      </c>
      <c r="AA200" s="399">
        <v>2049</v>
      </c>
      <c r="AB200" s="399">
        <v>2050</v>
      </c>
      <c r="AC200" s="399">
        <v>2051</v>
      </c>
      <c r="AD200" s="399">
        <v>2052</v>
      </c>
      <c r="AE200" s="399">
        <v>2053</v>
      </c>
      <c r="AF200" s="399">
        <v>2054</v>
      </c>
      <c r="AG200" s="399">
        <v>2055</v>
      </c>
      <c r="AH200" s="399"/>
      <c r="AI200" s="521"/>
      <c r="AJ200" s="521"/>
      <c r="AK200" s="521"/>
      <c r="AL200" s="521"/>
    </row>
    <row r="201" spans="1:38" s="4" customFormat="1">
      <c r="A201" s="408" t="s">
        <v>8</v>
      </c>
      <c r="B201" s="408" t="s">
        <v>9</v>
      </c>
      <c r="C201" s="416">
        <f>'No change with year'!BY5</f>
        <v>3.0423831631897058</v>
      </c>
      <c r="D201" s="417">
        <f t="shared" ref="D201:D214" si="280">C201*(1+$AH201)</f>
        <v>2.9663235841099631</v>
      </c>
      <c r="E201" s="417">
        <f t="shared" ref="E201:E214" si="281">D201*(1+$AH201)</f>
        <v>2.8921654945072142</v>
      </c>
      <c r="F201" s="417">
        <f t="shared" ref="F201:F214" si="282">E201*(1+$AH201)</f>
        <v>2.8198613571445339</v>
      </c>
      <c r="G201" s="417">
        <f t="shared" ref="G201:G214" si="283">F201*(1+$AH201)</f>
        <v>2.7493648232159207</v>
      </c>
      <c r="H201" s="417">
        <f t="shared" ref="H201:H214" si="284">G201*(1+$AH201)</f>
        <v>2.6806307026355225</v>
      </c>
      <c r="I201" s="417">
        <f t="shared" ref="I201:I214" si="285">H201*(1+$AI201)</f>
        <v>2.6270180885828118</v>
      </c>
      <c r="J201" s="417">
        <f t="shared" ref="J201:J214" si="286">I201*(1+$AI201)</f>
        <v>2.5744777268111556</v>
      </c>
      <c r="K201" s="417">
        <f t="shared" ref="K201:K214" si="287">J201*(1+$AI201)</f>
        <v>2.5229881722749323</v>
      </c>
      <c r="L201" s="417">
        <f t="shared" ref="L201:L214" si="288">K201*(1+$AI201)</f>
        <v>2.4725284088294335</v>
      </c>
      <c r="M201" s="417">
        <f t="shared" ref="M201:M214" si="289">L201*(1+$AI201)</f>
        <v>2.4230778406528448</v>
      </c>
      <c r="N201" s="417">
        <f t="shared" ref="N201:N214" si="290">M201*(1+$AI201)</f>
        <v>2.3746162838397877</v>
      </c>
      <c r="O201" s="417">
        <f t="shared" ref="O201:O214" si="291">N201*(1+$AI201)</f>
        <v>2.3271239581629919</v>
      </c>
      <c r="P201" s="417">
        <f t="shared" ref="P201:P214" si="292">O201*(1+$AI201)</f>
        <v>2.2805814789997321</v>
      </c>
      <c r="Q201" s="417">
        <f t="shared" ref="Q201:Q214" si="293">P201*(1+$AI201)</f>
        <v>2.2349698494197372</v>
      </c>
      <c r="R201" s="417">
        <f t="shared" ref="R201:R214" si="294">Q201*(1+$AI201)</f>
        <v>2.1902704524313426</v>
      </c>
      <c r="S201" s="417">
        <f t="shared" ref="S201:S214" si="295">R201*(1+$AJ201)</f>
        <v>2.1683677479070291</v>
      </c>
      <c r="T201" s="417">
        <f t="shared" ref="T201:T214" si="296">S201*(1+$AJ201)</f>
        <v>2.1466840704279586</v>
      </c>
      <c r="U201" s="417">
        <f t="shared" ref="U201:U214" si="297">T201*(1+$AJ201)</f>
        <v>2.1252172297236789</v>
      </c>
      <c r="V201" s="417">
        <f t="shared" ref="V201:V214" si="298">U201*(1+$AJ201)</f>
        <v>2.1039650574264419</v>
      </c>
      <c r="W201" s="417">
        <f t="shared" ref="W201:W214" si="299">V201*(1+$AJ201)</f>
        <v>2.0829254068521776</v>
      </c>
      <c r="X201" s="417">
        <f t="shared" ref="X201:X214" si="300">W201*(1+$AJ201)</f>
        <v>2.0620961527836559</v>
      </c>
      <c r="Y201" s="417">
        <f t="shared" ref="Y201:Y214" si="301">X201*(1+$AJ201)</f>
        <v>2.0414751912558193</v>
      </c>
      <c r="Z201" s="417">
        <f t="shared" ref="Z201:Z214" si="302">Y201*(1+$AJ201)</f>
        <v>2.0210604393432612</v>
      </c>
      <c r="AA201" s="417">
        <f t="shared" ref="AA201:AA214" si="303">Z201*(1+$AJ201)</f>
        <v>2.0008498349498285</v>
      </c>
      <c r="AB201" s="417">
        <f t="shared" ref="AB201:AB214" si="304">AA201*(1+$AJ201)</f>
        <v>1.9808413366003301</v>
      </c>
      <c r="AC201" s="417">
        <f t="shared" ref="AC201:AC214" si="305">AB201*(1+$AK201)</f>
        <v>2.0006497499663336</v>
      </c>
      <c r="AD201" s="417">
        <f t="shared" ref="AD201:AD214" si="306">AC201*(1+$AK201)</f>
        <v>2.0206562474659968</v>
      </c>
      <c r="AE201" s="417">
        <f t="shared" ref="AE201:AE214" si="307">AD201*(1+$AK201)</f>
        <v>2.0408628099406569</v>
      </c>
      <c r="AF201" s="417">
        <f t="shared" ref="AF201:AF214" si="308">AE201*(1+$AK201)</f>
        <v>2.0612714380400634</v>
      </c>
      <c r="AG201" s="417">
        <f t="shared" ref="AG201:AG214" si="309">AF201*(1+$AK201)</f>
        <v>2.0818841524204639</v>
      </c>
      <c r="AH201" s="456">
        <v>-2.5000000000000001E-2</v>
      </c>
      <c r="AI201" s="456">
        <v>-0.02</v>
      </c>
      <c r="AJ201" s="456">
        <v>-0.01</v>
      </c>
      <c r="AK201" s="456">
        <v>0.01</v>
      </c>
      <c r="AL201" s="198"/>
    </row>
    <row r="202" spans="1:38" s="4" customFormat="1">
      <c r="A202" s="408" t="s">
        <v>8</v>
      </c>
      <c r="B202" s="408" t="s">
        <v>11</v>
      </c>
      <c r="C202" s="416">
        <f>'No change with year'!BY6</f>
        <v>3.8577952225314172</v>
      </c>
      <c r="D202" s="417">
        <f t="shared" si="280"/>
        <v>3.7613503419681318</v>
      </c>
      <c r="E202" s="417">
        <f t="shared" si="281"/>
        <v>3.6673165834189283</v>
      </c>
      <c r="F202" s="417">
        <f t="shared" si="282"/>
        <v>3.5756336688334551</v>
      </c>
      <c r="G202" s="417">
        <f t="shared" si="283"/>
        <v>3.4862428271126187</v>
      </c>
      <c r="H202" s="417">
        <f t="shared" si="284"/>
        <v>3.3990867564348033</v>
      </c>
      <c r="I202" s="417">
        <f t="shared" si="285"/>
        <v>3.3311050213061071</v>
      </c>
      <c r="J202" s="417">
        <f t="shared" si="286"/>
        <v>3.2644829208799848</v>
      </c>
      <c r="K202" s="417">
        <f t="shared" si="287"/>
        <v>3.1991932624623849</v>
      </c>
      <c r="L202" s="417">
        <f t="shared" si="288"/>
        <v>3.1352093972131372</v>
      </c>
      <c r="M202" s="417">
        <f t="shared" si="289"/>
        <v>3.0725052092688743</v>
      </c>
      <c r="N202" s="417">
        <f t="shared" si="290"/>
        <v>3.0110551050834968</v>
      </c>
      <c r="O202" s="417">
        <f t="shared" si="291"/>
        <v>2.9508340029818267</v>
      </c>
      <c r="P202" s="417">
        <f t="shared" si="292"/>
        <v>2.89181732292219</v>
      </c>
      <c r="Q202" s="417">
        <f t="shared" si="293"/>
        <v>2.8339809764637462</v>
      </c>
      <c r="R202" s="417">
        <f t="shared" si="294"/>
        <v>2.7773013569344713</v>
      </c>
      <c r="S202" s="417">
        <f t="shared" si="295"/>
        <v>2.7495283433651267</v>
      </c>
      <c r="T202" s="417">
        <f t="shared" si="296"/>
        <v>2.7220330599314755</v>
      </c>
      <c r="U202" s="417">
        <f t="shared" si="297"/>
        <v>2.6948127293321607</v>
      </c>
      <c r="V202" s="417">
        <f t="shared" si="298"/>
        <v>2.667864602038839</v>
      </c>
      <c r="W202" s="417">
        <f t="shared" si="299"/>
        <v>2.6411859560184507</v>
      </c>
      <c r="X202" s="417">
        <f t="shared" si="300"/>
        <v>2.6147740964582664</v>
      </c>
      <c r="Y202" s="417">
        <f t="shared" si="301"/>
        <v>2.5886263554936839</v>
      </c>
      <c r="Z202" s="417">
        <f t="shared" si="302"/>
        <v>2.5627400919387471</v>
      </c>
      <c r="AA202" s="417">
        <f t="shared" si="303"/>
        <v>2.5371126910193595</v>
      </c>
      <c r="AB202" s="417">
        <f t="shared" si="304"/>
        <v>2.5117415641091658</v>
      </c>
      <c r="AC202" s="417">
        <f t="shared" si="305"/>
        <v>2.5368589797502574</v>
      </c>
      <c r="AD202" s="417">
        <f t="shared" si="306"/>
        <v>2.5622275695477601</v>
      </c>
      <c r="AE202" s="417">
        <f t="shared" si="307"/>
        <v>2.5878498452432379</v>
      </c>
      <c r="AF202" s="417">
        <f t="shared" si="308"/>
        <v>2.6137283436956702</v>
      </c>
      <c r="AG202" s="417">
        <f t="shared" si="309"/>
        <v>2.6398656271326271</v>
      </c>
      <c r="AH202" s="456">
        <v>-2.5000000000000001E-2</v>
      </c>
      <c r="AI202" s="456">
        <v>-0.02</v>
      </c>
      <c r="AJ202" s="456">
        <v>-0.01</v>
      </c>
      <c r="AK202" s="456">
        <v>0.01</v>
      </c>
      <c r="AL202" s="198"/>
    </row>
    <row r="203" spans="1:38" s="4" customFormat="1">
      <c r="A203" s="408" t="s">
        <v>8</v>
      </c>
      <c r="B203" s="408" t="s">
        <v>13</v>
      </c>
      <c r="C203" s="416">
        <f>'No change with year'!BY7</f>
        <v>4.8110530198449499</v>
      </c>
      <c r="D203" s="417">
        <f t="shared" si="280"/>
        <v>4.690776694348826</v>
      </c>
      <c r="E203" s="417">
        <f t="shared" si="281"/>
        <v>4.5735072769901057</v>
      </c>
      <c r="F203" s="417">
        <f t="shared" si="282"/>
        <v>4.4591695950653527</v>
      </c>
      <c r="G203" s="417">
        <f t="shared" si="283"/>
        <v>4.3476903551887185</v>
      </c>
      <c r="H203" s="417">
        <f t="shared" si="284"/>
        <v>4.2389980963090004</v>
      </c>
      <c r="I203" s="417">
        <f t="shared" si="285"/>
        <v>4.1542181343828206</v>
      </c>
      <c r="J203" s="417">
        <f t="shared" si="286"/>
        <v>4.0711337716951643</v>
      </c>
      <c r="K203" s="417">
        <f t="shared" si="287"/>
        <v>3.989711096261261</v>
      </c>
      <c r="L203" s="417">
        <f t="shared" si="288"/>
        <v>3.9099168743360355</v>
      </c>
      <c r="M203" s="417">
        <f t="shared" si="289"/>
        <v>3.8317185368493147</v>
      </c>
      <c r="N203" s="417">
        <f t="shared" si="290"/>
        <v>3.7550841661123284</v>
      </c>
      <c r="O203" s="417">
        <f t="shared" si="291"/>
        <v>3.679982482790082</v>
      </c>
      <c r="P203" s="417">
        <f t="shared" si="292"/>
        <v>3.6063828331342802</v>
      </c>
      <c r="Q203" s="417">
        <f t="shared" si="293"/>
        <v>3.5342551764715946</v>
      </c>
      <c r="R203" s="417">
        <f t="shared" si="294"/>
        <v>3.4635700729421628</v>
      </c>
      <c r="S203" s="417">
        <f t="shared" si="295"/>
        <v>3.428934372212741</v>
      </c>
      <c r="T203" s="417">
        <f t="shared" si="296"/>
        <v>3.3946450284906136</v>
      </c>
      <c r="U203" s="417">
        <f t="shared" si="297"/>
        <v>3.3606985782057075</v>
      </c>
      <c r="V203" s="417">
        <f t="shared" si="298"/>
        <v>3.3270915924236504</v>
      </c>
      <c r="W203" s="417">
        <f t="shared" si="299"/>
        <v>3.293820676499414</v>
      </c>
      <c r="X203" s="417">
        <f t="shared" si="300"/>
        <v>3.2608824697344199</v>
      </c>
      <c r="Y203" s="417">
        <f t="shared" si="301"/>
        <v>3.2282736450370755</v>
      </c>
      <c r="Z203" s="417">
        <f t="shared" si="302"/>
        <v>3.1959909085867046</v>
      </c>
      <c r="AA203" s="417">
        <f t="shared" si="303"/>
        <v>3.1640309995008375</v>
      </c>
      <c r="AB203" s="417">
        <f t="shared" si="304"/>
        <v>3.1323906895058293</v>
      </c>
      <c r="AC203" s="417">
        <f t="shared" si="305"/>
        <v>3.1637145964008875</v>
      </c>
      <c r="AD203" s="417">
        <f t="shared" si="306"/>
        <v>3.1953517423648963</v>
      </c>
      <c r="AE203" s="417">
        <f t="shared" si="307"/>
        <v>3.2273052597885452</v>
      </c>
      <c r="AF203" s="417">
        <f t="shared" si="308"/>
        <v>3.2595783123864308</v>
      </c>
      <c r="AG203" s="417">
        <f t="shared" si="309"/>
        <v>3.2921740955102949</v>
      </c>
      <c r="AH203" s="456">
        <v>-2.5000000000000001E-2</v>
      </c>
      <c r="AI203" s="456">
        <v>-0.02</v>
      </c>
      <c r="AJ203" s="456">
        <v>-0.01</v>
      </c>
      <c r="AK203" s="456">
        <v>0.01</v>
      </c>
      <c r="AL203" s="198"/>
    </row>
    <row r="204" spans="1:38" s="4" customFormat="1">
      <c r="A204" s="408" t="s">
        <v>15</v>
      </c>
      <c r="B204" s="408" t="s">
        <v>9</v>
      </c>
      <c r="C204" s="416">
        <f>'No change with year'!BY8</f>
        <v>3.242383163189706</v>
      </c>
      <c r="D204" s="417">
        <f t="shared" si="280"/>
        <v>3.1613235841099634</v>
      </c>
      <c r="E204" s="417">
        <f t="shared" si="281"/>
        <v>3.0822904945072143</v>
      </c>
      <c r="F204" s="417">
        <f t="shared" si="282"/>
        <v>3.0052332321445339</v>
      </c>
      <c r="G204" s="417">
        <f t="shared" si="283"/>
        <v>2.9301024013409203</v>
      </c>
      <c r="H204" s="417">
        <f t="shared" si="284"/>
        <v>2.8568498413073971</v>
      </c>
      <c r="I204" s="417">
        <f t="shared" si="285"/>
        <v>2.7997128444812489</v>
      </c>
      <c r="J204" s="417">
        <f t="shared" si="286"/>
        <v>2.7437185875916237</v>
      </c>
      <c r="K204" s="417">
        <f t="shared" si="287"/>
        <v>2.6888442158397909</v>
      </c>
      <c r="L204" s="417">
        <f t="shared" si="288"/>
        <v>2.6350673315229951</v>
      </c>
      <c r="M204" s="417">
        <f t="shared" si="289"/>
        <v>2.5823659848925353</v>
      </c>
      <c r="N204" s="417">
        <f t="shared" si="290"/>
        <v>2.5307186651946845</v>
      </c>
      <c r="O204" s="417">
        <f t="shared" si="291"/>
        <v>2.4801042918907905</v>
      </c>
      <c r="P204" s="417">
        <f t="shared" si="292"/>
        <v>2.4305022060529748</v>
      </c>
      <c r="Q204" s="417">
        <f t="shared" si="293"/>
        <v>2.3818921619319151</v>
      </c>
      <c r="R204" s="417">
        <f t="shared" si="294"/>
        <v>2.3342543186932767</v>
      </c>
      <c r="S204" s="417">
        <f t="shared" si="295"/>
        <v>2.310911775506344</v>
      </c>
      <c r="T204" s="417">
        <f t="shared" si="296"/>
        <v>2.2878026577512807</v>
      </c>
      <c r="U204" s="417">
        <f t="shared" si="297"/>
        <v>2.2649246311737676</v>
      </c>
      <c r="V204" s="417">
        <f t="shared" si="298"/>
        <v>2.24227538486203</v>
      </c>
      <c r="W204" s="417">
        <f t="shared" si="299"/>
        <v>2.2198526310134099</v>
      </c>
      <c r="X204" s="417">
        <f t="shared" si="300"/>
        <v>2.1976541047032758</v>
      </c>
      <c r="Y204" s="417">
        <f t="shared" si="301"/>
        <v>2.1756775636562429</v>
      </c>
      <c r="Z204" s="417">
        <f t="shared" si="302"/>
        <v>2.1539207880196805</v>
      </c>
      <c r="AA204" s="417">
        <f t="shared" si="303"/>
        <v>2.1323815801394836</v>
      </c>
      <c r="AB204" s="417">
        <f t="shared" si="304"/>
        <v>2.111057764338089</v>
      </c>
      <c r="AC204" s="417">
        <f t="shared" si="305"/>
        <v>2.1321683419814699</v>
      </c>
      <c r="AD204" s="417">
        <f t="shared" si="306"/>
        <v>2.1534900254012848</v>
      </c>
      <c r="AE204" s="417">
        <f t="shared" si="307"/>
        <v>2.1750249256552978</v>
      </c>
      <c r="AF204" s="417">
        <f t="shared" si="308"/>
        <v>2.1967751749118509</v>
      </c>
      <c r="AG204" s="417">
        <f t="shared" si="309"/>
        <v>2.2187429266609695</v>
      </c>
      <c r="AH204" s="456">
        <v>-2.5000000000000001E-2</v>
      </c>
      <c r="AI204" s="456">
        <v>-0.02</v>
      </c>
      <c r="AJ204" s="456">
        <v>-0.01</v>
      </c>
      <c r="AK204" s="456">
        <v>0.01</v>
      </c>
      <c r="AL204" s="198"/>
    </row>
    <row r="205" spans="1:38" s="4" customFormat="1">
      <c r="A205" s="408" t="s">
        <v>15</v>
      </c>
      <c r="B205" s="408" t="s">
        <v>11</v>
      </c>
      <c r="C205" s="416">
        <f>'No change with year'!BY9</f>
        <v>3.6029789539871326</v>
      </c>
      <c r="D205" s="417">
        <f t="shared" si="280"/>
        <v>3.512904480137454</v>
      </c>
      <c r="E205" s="417">
        <f t="shared" si="281"/>
        <v>3.4250818681340176</v>
      </c>
      <c r="F205" s="417">
        <f t="shared" si="282"/>
        <v>3.339454821430667</v>
      </c>
      <c r="G205" s="417">
        <f t="shared" si="283"/>
        <v>3.2559684508949003</v>
      </c>
      <c r="H205" s="417">
        <f t="shared" si="284"/>
        <v>3.1745692396225276</v>
      </c>
      <c r="I205" s="417">
        <f t="shared" si="285"/>
        <v>3.1110778548300768</v>
      </c>
      <c r="J205" s="417">
        <f t="shared" si="286"/>
        <v>3.0488562977334754</v>
      </c>
      <c r="K205" s="417">
        <f t="shared" si="287"/>
        <v>2.9878791717788058</v>
      </c>
      <c r="L205" s="417">
        <f t="shared" si="288"/>
        <v>2.9281215883432297</v>
      </c>
      <c r="M205" s="417">
        <f t="shared" si="289"/>
        <v>2.869559156576365</v>
      </c>
      <c r="N205" s="417">
        <f t="shared" si="290"/>
        <v>2.8121679734448377</v>
      </c>
      <c r="O205" s="417">
        <f t="shared" si="291"/>
        <v>2.755924613975941</v>
      </c>
      <c r="P205" s="417">
        <f t="shared" si="292"/>
        <v>2.7008061216964223</v>
      </c>
      <c r="Q205" s="417">
        <f t="shared" si="293"/>
        <v>2.6467899992624937</v>
      </c>
      <c r="R205" s="417">
        <f t="shared" si="294"/>
        <v>2.5938541992772439</v>
      </c>
      <c r="S205" s="417">
        <f t="shared" si="295"/>
        <v>2.5679156572844715</v>
      </c>
      <c r="T205" s="417">
        <f t="shared" si="296"/>
        <v>2.5422365007116268</v>
      </c>
      <c r="U205" s="417">
        <f t="shared" si="297"/>
        <v>2.5168141357045104</v>
      </c>
      <c r="V205" s="417">
        <f t="shared" si="298"/>
        <v>2.4916459943474654</v>
      </c>
      <c r="W205" s="417">
        <f t="shared" si="299"/>
        <v>2.4667295344039908</v>
      </c>
      <c r="X205" s="417">
        <f t="shared" si="300"/>
        <v>2.4420622390599509</v>
      </c>
      <c r="Y205" s="417">
        <f t="shared" si="301"/>
        <v>2.4176416166693513</v>
      </c>
      <c r="Z205" s="417">
        <f t="shared" si="302"/>
        <v>2.3934652005026575</v>
      </c>
      <c r="AA205" s="417">
        <f t="shared" si="303"/>
        <v>2.369530548497631</v>
      </c>
      <c r="AB205" s="417">
        <f t="shared" si="304"/>
        <v>2.3458352430126546</v>
      </c>
      <c r="AC205" s="417">
        <f t="shared" si="305"/>
        <v>2.3692935954427812</v>
      </c>
      <c r="AD205" s="417">
        <f t="shared" si="306"/>
        <v>2.392986531397209</v>
      </c>
      <c r="AE205" s="417">
        <f t="shared" si="307"/>
        <v>2.4169163967111809</v>
      </c>
      <c r="AF205" s="417">
        <f t="shared" si="308"/>
        <v>2.4410855606782929</v>
      </c>
      <c r="AG205" s="417">
        <f t="shared" si="309"/>
        <v>2.4654964162850757</v>
      </c>
      <c r="AH205" s="456">
        <v>-2.5000000000000001E-2</v>
      </c>
      <c r="AI205" s="456">
        <v>-0.02</v>
      </c>
      <c r="AJ205" s="456">
        <v>-0.01</v>
      </c>
      <c r="AK205" s="456">
        <v>0.01</v>
      </c>
      <c r="AL205" s="198"/>
    </row>
    <row r="206" spans="1:38" s="4" customFormat="1">
      <c r="A206" s="408" t="s">
        <v>18</v>
      </c>
      <c r="B206" s="408" t="s">
        <v>19</v>
      </c>
      <c r="C206" s="416">
        <f>'No change with year'!BY10</f>
        <v>2.8181448468707355</v>
      </c>
      <c r="D206" s="417">
        <f t="shared" si="280"/>
        <v>2.7476912256989672</v>
      </c>
      <c r="E206" s="417">
        <f t="shared" si="281"/>
        <v>2.6789989450564931</v>
      </c>
      <c r="F206" s="417">
        <f t="shared" si="282"/>
        <v>2.6120239714300806</v>
      </c>
      <c r="G206" s="417">
        <f t="shared" si="283"/>
        <v>2.5467233721443283</v>
      </c>
      <c r="H206" s="417">
        <f t="shared" si="284"/>
        <v>2.4830552878407199</v>
      </c>
      <c r="I206" s="417">
        <f t="shared" si="285"/>
        <v>2.4333941820839056</v>
      </c>
      <c r="J206" s="417">
        <f t="shared" si="286"/>
        <v>2.3847262984422275</v>
      </c>
      <c r="K206" s="417">
        <f t="shared" si="287"/>
        <v>2.3370317724733831</v>
      </c>
      <c r="L206" s="417">
        <f t="shared" si="288"/>
        <v>2.2902911370239156</v>
      </c>
      <c r="M206" s="417">
        <f t="shared" si="289"/>
        <v>2.2444853142834371</v>
      </c>
      <c r="N206" s="417">
        <f t="shared" si="290"/>
        <v>2.1995956079977685</v>
      </c>
      <c r="O206" s="417">
        <f t="shared" si="291"/>
        <v>2.1556036958378133</v>
      </c>
      <c r="P206" s="417">
        <f t="shared" si="292"/>
        <v>2.1124916219210572</v>
      </c>
      <c r="Q206" s="417">
        <f t="shared" si="293"/>
        <v>2.0702417894826359</v>
      </c>
      <c r="R206" s="417">
        <f t="shared" si="294"/>
        <v>2.0288369536929833</v>
      </c>
      <c r="S206" s="417">
        <f t="shared" si="295"/>
        <v>2.0085485841560535</v>
      </c>
      <c r="T206" s="417">
        <f t="shared" si="296"/>
        <v>1.9884630983144931</v>
      </c>
      <c r="U206" s="417">
        <f t="shared" si="297"/>
        <v>1.9685784673313482</v>
      </c>
      <c r="V206" s="417">
        <f t="shared" si="298"/>
        <v>1.9488926826580348</v>
      </c>
      <c r="W206" s="417">
        <f t="shared" si="299"/>
        <v>1.9294037558314545</v>
      </c>
      <c r="X206" s="417">
        <f t="shared" si="300"/>
        <v>1.9101097182731399</v>
      </c>
      <c r="Y206" s="417">
        <f t="shared" si="301"/>
        <v>1.8910086210904085</v>
      </c>
      <c r="Z206" s="417">
        <f t="shared" si="302"/>
        <v>1.8720985348795043</v>
      </c>
      <c r="AA206" s="417">
        <f t="shared" si="303"/>
        <v>1.8533775495307092</v>
      </c>
      <c r="AB206" s="417">
        <f t="shared" si="304"/>
        <v>1.834843774035402</v>
      </c>
      <c r="AC206" s="417">
        <f t="shared" si="305"/>
        <v>1.853192211775756</v>
      </c>
      <c r="AD206" s="417">
        <f t="shared" si="306"/>
        <v>1.8717241338935136</v>
      </c>
      <c r="AE206" s="417">
        <f t="shared" si="307"/>
        <v>1.8904413752324487</v>
      </c>
      <c r="AF206" s="417">
        <f t="shared" si="308"/>
        <v>1.9093457889847731</v>
      </c>
      <c r="AG206" s="417">
        <f t="shared" si="309"/>
        <v>1.928439246874621</v>
      </c>
      <c r="AH206" s="456">
        <v>-2.5000000000000001E-2</v>
      </c>
      <c r="AI206" s="456">
        <v>-0.02</v>
      </c>
      <c r="AJ206" s="456">
        <v>-0.01</v>
      </c>
      <c r="AK206" s="456">
        <v>0.01</v>
      </c>
      <c r="AL206" s="198"/>
    </row>
    <row r="207" spans="1:38" s="4" customFormat="1">
      <c r="A207" s="408" t="s">
        <v>21</v>
      </c>
      <c r="B207" s="408" t="s">
        <v>22</v>
      </c>
      <c r="C207" s="416">
        <f>'No change with year'!BY11</f>
        <v>4.4484913083795687</v>
      </c>
      <c r="D207" s="417">
        <f t="shared" si="280"/>
        <v>4.3372790256700791</v>
      </c>
      <c r="E207" s="417">
        <f t="shared" si="281"/>
        <v>4.2288470500283273</v>
      </c>
      <c r="F207" s="417">
        <f t="shared" si="282"/>
        <v>4.1231258737776191</v>
      </c>
      <c r="G207" s="417">
        <f t="shared" si="283"/>
        <v>4.0200477269331785</v>
      </c>
      <c r="H207" s="417">
        <f t="shared" si="284"/>
        <v>3.9195465337598487</v>
      </c>
      <c r="I207" s="417">
        <f t="shared" si="285"/>
        <v>3.8411556030846516</v>
      </c>
      <c r="J207" s="417">
        <f t="shared" si="286"/>
        <v>3.7643324910229587</v>
      </c>
      <c r="K207" s="417">
        <f t="shared" si="287"/>
        <v>3.6890458412024993</v>
      </c>
      <c r="L207" s="417">
        <f t="shared" si="288"/>
        <v>3.6152649243784492</v>
      </c>
      <c r="M207" s="417">
        <f t="shared" si="289"/>
        <v>3.5429596258908802</v>
      </c>
      <c r="N207" s="417">
        <f t="shared" si="290"/>
        <v>3.4721004333730625</v>
      </c>
      <c r="O207" s="417">
        <f t="shared" si="291"/>
        <v>3.4026584247056011</v>
      </c>
      <c r="P207" s="417">
        <f t="shared" si="292"/>
        <v>3.3346052562114892</v>
      </c>
      <c r="Q207" s="417">
        <f t="shared" si="293"/>
        <v>3.2679131510872592</v>
      </c>
      <c r="R207" s="417">
        <f t="shared" si="294"/>
        <v>3.2025548880655141</v>
      </c>
      <c r="S207" s="417">
        <f t="shared" si="295"/>
        <v>3.170529339184859</v>
      </c>
      <c r="T207" s="417">
        <f t="shared" si="296"/>
        <v>3.1388240457930103</v>
      </c>
      <c r="U207" s="417">
        <f t="shared" si="297"/>
        <v>3.1074358053350801</v>
      </c>
      <c r="V207" s="417">
        <f t="shared" si="298"/>
        <v>3.0763614472817293</v>
      </c>
      <c r="W207" s="417">
        <f t="shared" si="299"/>
        <v>3.0455978328089119</v>
      </c>
      <c r="X207" s="417">
        <f t="shared" si="300"/>
        <v>3.0151418544808228</v>
      </c>
      <c r="Y207" s="417">
        <f t="shared" si="301"/>
        <v>2.9849904359360147</v>
      </c>
      <c r="Z207" s="417">
        <f t="shared" si="302"/>
        <v>2.9551405315766544</v>
      </c>
      <c r="AA207" s="417">
        <f t="shared" si="303"/>
        <v>2.925589126260888</v>
      </c>
      <c r="AB207" s="417">
        <f t="shared" si="304"/>
        <v>2.8963332349982789</v>
      </c>
      <c r="AC207" s="417">
        <f t="shared" si="305"/>
        <v>2.9252965673482616</v>
      </c>
      <c r="AD207" s="417">
        <f t="shared" si="306"/>
        <v>2.9545495330217442</v>
      </c>
      <c r="AE207" s="417">
        <f t="shared" si="307"/>
        <v>2.9840950283519616</v>
      </c>
      <c r="AF207" s="417">
        <f t="shared" si="308"/>
        <v>3.0139359786354811</v>
      </c>
      <c r="AG207" s="417">
        <f t="shared" si="309"/>
        <v>3.0440753384218358</v>
      </c>
      <c r="AH207" s="456">
        <v>-2.5000000000000001E-2</v>
      </c>
      <c r="AI207" s="456">
        <v>-0.02</v>
      </c>
      <c r="AJ207" s="456">
        <v>-0.01</v>
      </c>
      <c r="AK207" s="456">
        <v>0.01</v>
      </c>
      <c r="AL207" s="198"/>
    </row>
    <row r="208" spans="1:38" s="4" customFormat="1">
      <c r="A208" s="408" t="s">
        <v>21</v>
      </c>
      <c r="B208" s="408" t="s">
        <v>24</v>
      </c>
      <c r="C208" s="416">
        <f>'No change with year'!BY12</f>
        <v>4.9127917910231034</v>
      </c>
      <c r="D208" s="417">
        <f t="shared" si="280"/>
        <v>4.7899719962475258</v>
      </c>
      <c r="E208" s="417">
        <f t="shared" si="281"/>
        <v>4.6702226963413374</v>
      </c>
      <c r="F208" s="417">
        <f t="shared" si="282"/>
        <v>4.5534671289328035</v>
      </c>
      <c r="G208" s="417">
        <f t="shared" si="283"/>
        <v>4.4396304507094833</v>
      </c>
      <c r="H208" s="417">
        <f t="shared" si="284"/>
        <v>4.3286396894417463</v>
      </c>
      <c r="I208" s="417">
        <f t="shared" si="285"/>
        <v>4.2420668956529113</v>
      </c>
      <c r="J208" s="417">
        <f t="shared" si="286"/>
        <v>4.1572255577398529</v>
      </c>
      <c r="K208" s="417">
        <f t="shared" si="287"/>
        <v>4.0740810465850554</v>
      </c>
      <c r="L208" s="417">
        <f t="shared" si="288"/>
        <v>3.9925994256533541</v>
      </c>
      <c r="M208" s="417">
        <f t="shared" si="289"/>
        <v>3.9127474371402871</v>
      </c>
      <c r="N208" s="417">
        <f t="shared" si="290"/>
        <v>3.8344924883974811</v>
      </c>
      <c r="O208" s="417">
        <f t="shared" si="291"/>
        <v>3.7578026386295313</v>
      </c>
      <c r="P208" s="417">
        <f t="shared" si="292"/>
        <v>3.6826465858569408</v>
      </c>
      <c r="Q208" s="417">
        <f t="shared" si="293"/>
        <v>3.6089936541398018</v>
      </c>
      <c r="R208" s="417">
        <f t="shared" si="294"/>
        <v>3.5368137810570057</v>
      </c>
      <c r="S208" s="417">
        <f t="shared" si="295"/>
        <v>3.5014456432464356</v>
      </c>
      <c r="T208" s="417">
        <f t="shared" si="296"/>
        <v>3.466431186813971</v>
      </c>
      <c r="U208" s="417">
        <f t="shared" si="297"/>
        <v>3.4317668749458314</v>
      </c>
      <c r="V208" s="417">
        <f t="shared" si="298"/>
        <v>3.3974492061963733</v>
      </c>
      <c r="W208" s="417">
        <f t="shared" si="299"/>
        <v>3.3634747141344095</v>
      </c>
      <c r="X208" s="417">
        <f t="shared" si="300"/>
        <v>3.3298399669930654</v>
      </c>
      <c r="Y208" s="417">
        <f t="shared" si="301"/>
        <v>3.2965415673231346</v>
      </c>
      <c r="Z208" s="417">
        <f t="shared" si="302"/>
        <v>3.2635761516499033</v>
      </c>
      <c r="AA208" s="417">
        <f t="shared" si="303"/>
        <v>3.2309403901334042</v>
      </c>
      <c r="AB208" s="417">
        <f t="shared" si="304"/>
        <v>3.1986309862320703</v>
      </c>
      <c r="AC208" s="417">
        <f t="shared" si="305"/>
        <v>3.2306172960943909</v>
      </c>
      <c r="AD208" s="417">
        <f t="shared" si="306"/>
        <v>3.2629234690553348</v>
      </c>
      <c r="AE208" s="417">
        <f t="shared" si="307"/>
        <v>3.295552703745888</v>
      </c>
      <c r="AF208" s="417">
        <f t="shared" si="308"/>
        <v>3.3285082307833469</v>
      </c>
      <c r="AG208" s="417">
        <f t="shared" si="309"/>
        <v>3.3617933130911806</v>
      </c>
      <c r="AH208" s="456">
        <v>-2.5000000000000001E-2</v>
      </c>
      <c r="AI208" s="456">
        <v>-0.02</v>
      </c>
      <c r="AJ208" s="456">
        <v>-0.01</v>
      </c>
      <c r="AK208" s="456">
        <v>0.01</v>
      </c>
      <c r="AL208" s="198"/>
    </row>
    <row r="209" spans="1:38" s="4" customFormat="1">
      <c r="A209" s="408" t="s">
        <v>26</v>
      </c>
      <c r="B209" s="408" t="s">
        <v>13</v>
      </c>
      <c r="C209" s="416">
        <f>'No change with year'!BY13</f>
        <v>4.6789098771081115</v>
      </c>
      <c r="D209" s="417">
        <f t="shared" si="280"/>
        <v>4.5619371301804081</v>
      </c>
      <c r="E209" s="417">
        <f t="shared" si="281"/>
        <v>4.4478887019258977</v>
      </c>
      <c r="F209" s="417">
        <f t="shared" si="282"/>
        <v>4.3366914843777504</v>
      </c>
      <c r="G209" s="417">
        <f t="shared" si="283"/>
        <v>4.2282741972683064</v>
      </c>
      <c r="H209" s="417">
        <f t="shared" si="284"/>
        <v>4.1225673423365983</v>
      </c>
      <c r="I209" s="417">
        <f t="shared" si="285"/>
        <v>4.0401159954898667</v>
      </c>
      <c r="J209" s="417">
        <f t="shared" si="286"/>
        <v>3.9593136755800691</v>
      </c>
      <c r="K209" s="417">
        <f t="shared" si="287"/>
        <v>3.8801274020684677</v>
      </c>
      <c r="L209" s="417">
        <f t="shared" si="288"/>
        <v>3.8025248540270984</v>
      </c>
      <c r="M209" s="417">
        <f t="shared" si="289"/>
        <v>3.7264743569465564</v>
      </c>
      <c r="N209" s="417">
        <f t="shared" si="290"/>
        <v>3.6519448698076253</v>
      </c>
      <c r="O209" s="417">
        <f t="shared" si="291"/>
        <v>3.5789059724114729</v>
      </c>
      <c r="P209" s="417">
        <f t="shared" si="292"/>
        <v>3.5073278529632432</v>
      </c>
      <c r="Q209" s="417">
        <f t="shared" si="293"/>
        <v>3.4371812959039785</v>
      </c>
      <c r="R209" s="417">
        <f t="shared" si="294"/>
        <v>3.3684376699858989</v>
      </c>
      <c r="S209" s="417">
        <f t="shared" si="295"/>
        <v>3.33475329328604</v>
      </c>
      <c r="T209" s="417">
        <f t="shared" si="296"/>
        <v>3.3014057603531795</v>
      </c>
      <c r="U209" s="417">
        <f t="shared" si="297"/>
        <v>3.2683917027496476</v>
      </c>
      <c r="V209" s="417">
        <f t="shared" si="298"/>
        <v>3.235707785722151</v>
      </c>
      <c r="W209" s="417">
        <f t="shared" si="299"/>
        <v>3.2033507078649293</v>
      </c>
      <c r="X209" s="417">
        <f t="shared" si="300"/>
        <v>3.1713172007862798</v>
      </c>
      <c r="Y209" s="417">
        <f t="shared" si="301"/>
        <v>3.1396040287784168</v>
      </c>
      <c r="Z209" s="417">
        <f t="shared" si="302"/>
        <v>3.1082079884906326</v>
      </c>
      <c r="AA209" s="417">
        <f t="shared" si="303"/>
        <v>3.0771259086057263</v>
      </c>
      <c r="AB209" s="417">
        <f t="shared" si="304"/>
        <v>3.0463546495196692</v>
      </c>
      <c r="AC209" s="417">
        <f t="shared" si="305"/>
        <v>3.0768181960148659</v>
      </c>
      <c r="AD209" s="417">
        <f t="shared" si="306"/>
        <v>3.1075863779750148</v>
      </c>
      <c r="AE209" s="417">
        <f t="shared" si="307"/>
        <v>3.1386622417547652</v>
      </c>
      <c r="AF209" s="417">
        <f t="shared" si="308"/>
        <v>3.1700488641723128</v>
      </c>
      <c r="AG209" s="417">
        <f t="shared" si="309"/>
        <v>3.2017493528140362</v>
      </c>
      <c r="AH209" s="456">
        <v>-2.5000000000000001E-2</v>
      </c>
      <c r="AI209" s="456">
        <v>-0.02</v>
      </c>
      <c r="AJ209" s="456">
        <v>-0.01</v>
      </c>
      <c r="AK209" s="456">
        <v>0.01</v>
      </c>
      <c r="AL209" s="198"/>
    </row>
    <row r="210" spans="1:38" s="4" customFormat="1">
      <c r="A210" s="408" t="s">
        <v>26</v>
      </c>
      <c r="B210" s="408" t="s">
        <v>28</v>
      </c>
      <c r="C210" s="416">
        <f>'No change with year'!BY14</f>
        <v>4.3635747447845592</v>
      </c>
      <c r="D210" s="417">
        <f t="shared" si="280"/>
        <v>4.2544853761649453</v>
      </c>
      <c r="E210" s="417">
        <f t="shared" si="281"/>
        <v>4.1481232417608211</v>
      </c>
      <c r="F210" s="417">
        <f t="shared" si="282"/>
        <v>4.0444201607168004</v>
      </c>
      <c r="G210" s="417">
        <f t="shared" si="283"/>
        <v>3.9433096566988803</v>
      </c>
      <c r="H210" s="417">
        <f t="shared" si="284"/>
        <v>3.8447269152814081</v>
      </c>
      <c r="I210" s="417">
        <f t="shared" si="285"/>
        <v>3.7678323769757798</v>
      </c>
      <c r="J210" s="417">
        <f t="shared" si="286"/>
        <v>3.6924757294362642</v>
      </c>
      <c r="K210" s="417">
        <f t="shared" si="287"/>
        <v>3.6186262148475388</v>
      </c>
      <c r="L210" s="417">
        <f t="shared" si="288"/>
        <v>3.5462536905505879</v>
      </c>
      <c r="M210" s="417">
        <f t="shared" si="289"/>
        <v>3.475328616739576</v>
      </c>
      <c r="N210" s="417">
        <f t="shared" si="290"/>
        <v>3.4058220444047844</v>
      </c>
      <c r="O210" s="417">
        <f t="shared" si="291"/>
        <v>3.3377056035166888</v>
      </c>
      <c r="P210" s="417">
        <f t="shared" si="292"/>
        <v>3.2709514914463549</v>
      </c>
      <c r="Q210" s="417">
        <f t="shared" si="293"/>
        <v>3.2055324616174277</v>
      </c>
      <c r="R210" s="417">
        <f t="shared" si="294"/>
        <v>3.141421812385079</v>
      </c>
      <c r="S210" s="417">
        <f t="shared" si="295"/>
        <v>3.1100075942612282</v>
      </c>
      <c r="T210" s="417">
        <f t="shared" si="296"/>
        <v>3.0789075183186161</v>
      </c>
      <c r="U210" s="417">
        <f t="shared" si="297"/>
        <v>3.0481184431354298</v>
      </c>
      <c r="V210" s="417">
        <f t="shared" si="298"/>
        <v>3.0176372587040756</v>
      </c>
      <c r="W210" s="417">
        <f t="shared" si="299"/>
        <v>2.9874608861170349</v>
      </c>
      <c r="X210" s="417">
        <f t="shared" si="300"/>
        <v>2.9575862772558645</v>
      </c>
      <c r="Y210" s="417">
        <f t="shared" si="301"/>
        <v>2.9280104144833059</v>
      </c>
      <c r="Z210" s="417">
        <f t="shared" si="302"/>
        <v>2.8987303103384727</v>
      </c>
      <c r="AA210" s="417">
        <f t="shared" si="303"/>
        <v>2.8697430072350878</v>
      </c>
      <c r="AB210" s="417">
        <f t="shared" si="304"/>
        <v>2.841045577162737</v>
      </c>
      <c r="AC210" s="417">
        <f t="shared" si="305"/>
        <v>2.8694560329343646</v>
      </c>
      <c r="AD210" s="417">
        <f t="shared" si="306"/>
        <v>2.8981505932637082</v>
      </c>
      <c r="AE210" s="417">
        <f t="shared" si="307"/>
        <v>2.9271320991963452</v>
      </c>
      <c r="AF210" s="417">
        <f t="shared" si="308"/>
        <v>2.9564034201883085</v>
      </c>
      <c r="AG210" s="417">
        <f t="shared" si="309"/>
        <v>2.9859674543901917</v>
      </c>
      <c r="AH210" s="456">
        <v>-2.5000000000000001E-2</v>
      </c>
      <c r="AI210" s="456">
        <v>-0.02</v>
      </c>
      <c r="AJ210" s="456">
        <v>-0.01</v>
      </c>
      <c r="AK210" s="456">
        <v>0.01</v>
      </c>
      <c r="AL210" s="198"/>
    </row>
    <row r="211" spans="1:38" s="4" customFormat="1">
      <c r="A211" s="408" t="s">
        <v>30</v>
      </c>
      <c r="B211" s="408" t="s">
        <v>28</v>
      </c>
      <c r="C211" s="416">
        <f>'No change with year'!BY15</f>
        <v>4.784021587882628</v>
      </c>
      <c r="D211" s="417">
        <f t="shared" si="280"/>
        <v>4.6644210481855621</v>
      </c>
      <c r="E211" s="417">
        <f t="shared" si="281"/>
        <v>4.5478105219809226</v>
      </c>
      <c r="F211" s="417">
        <f t="shared" si="282"/>
        <v>4.4341152589313992</v>
      </c>
      <c r="G211" s="417">
        <f t="shared" si="283"/>
        <v>4.3232623774581143</v>
      </c>
      <c r="H211" s="417">
        <f t="shared" si="284"/>
        <v>4.2151808180216612</v>
      </c>
      <c r="I211" s="417">
        <f t="shared" si="285"/>
        <v>4.1308772016612281</v>
      </c>
      <c r="J211" s="417">
        <f t="shared" si="286"/>
        <v>4.0482596576280034</v>
      </c>
      <c r="K211" s="417">
        <f t="shared" si="287"/>
        <v>3.9672944644754433</v>
      </c>
      <c r="L211" s="417">
        <f t="shared" si="288"/>
        <v>3.8879485751859342</v>
      </c>
      <c r="M211" s="417">
        <f t="shared" si="289"/>
        <v>3.8101896036822156</v>
      </c>
      <c r="N211" s="417">
        <f t="shared" si="290"/>
        <v>3.7339858116085711</v>
      </c>
      <c r="O211" s="417">
        <f t="shared" si="291"/>
        <v>3.6593060953763996</v>
      </c>
      <c r="P211" s="417">
        <f t="shared" si="292"/>
        <v>3.5861199734688713</v>
      </c>
      <c r="Q211" s="417">
        <f t="shared" si="293"/>
        <v>3.5143975739994939</v>
      </c>
      <c r="R211" s="417">
        <f t="shared" si="294"/>
        <v>3.444109622519504</v>
      </c>
      <c r="S211" s="417">
        <f t="shared" si="295"/>
        <v>3.4096685262943089</v>
      </c>
      <c r="T211" s="417">
        <f t="shared" si="296"/>
        <v>3.3755718410313658</v>
      </c>
      <c r="U211" s="417">
        <f t="shared" si="297"/>
        <v>3.3418161226210521</v>
      </c>
      <c r="V211" s="417">
        <f t="shared" si="298"/>
        <v>3.3083979613948418</v>
      </c>
      <c r="W211" s="417">
        <f t="shared" si="299"/>
        <v>3.2753139817808932</v>
      </c>
      <c r="X211" s="417">
        <f t="shared" si="300"/>
        <v>3.2425608419630843</v>
      </c>
      <c r="Y211" s="417">
        <f t="shared" si="301"/>
        <v>3.2101352335434532</v>
      </c>
      <c r="Z211" s="417">
        <f t="shared" si="302"/>
        <v>3.1780338812080187</v>
      </c>
      <c r="AA211" s="417">
        <f t="shared" si="303"/>
        <v>3.1462535423959386</v>
      </c>
      <c r="AB211" s="417">
        <f t="shared" si="304"/>
        <v>3.1147910069719793</v>
      </c>
      <c r="AC211" s="417">
        <f t="shared" si="305"/>
        <v>3.1459389170416991</v>
      </c>
      <c r="AD211" s="417">
        <f t="shared" si="306"/>
        <v>3.1773983062121163</v>
      </c>
      <c r="AE211" s="417">
        <f t="shared" si="307"/>
        <v>3.2091722892742376</v>
      </c>
      <c r="AF211" s="417">
        <f t="shared" si="308"/>
        <v>3.24126401216698</v>
      </c>
      <c r="AG211" s="417">
        <f t="shared" si="309"/>
        <v>3.2736766522886498</v>
      </c>
      <c r="AH211" s="456">
        <v>-2.5000000000000001E-2</v>
      </c>
      <c r="AI211" s="456">
        <v>-0.02</v>
      </c>
      <c r="AJ211" s="456">
        <v>-0.01</v>
      </c>
      <c r="AK211" s="456">
        <v>0.01</v>
      </c>
      <c r="AL211" s="198"/>
    </row>
    <row r="212" spans="1:38" s="4" customFormat="1">
      <c r="A212" s="408" t="s">
        <v>152</v>
      </c>
      <c r="B212" s="408" t="s">
        <v>11</v>
      </c>
      <c r="C212" s="416">
        <f>'No change with year'!BY16</f>
        <v>3.7351253058523626</v>
      </c>
      <c r="D212" s="417">
        <f t="shared" si="280"/>
        <v>3.6417471732060536</v>
      </c>
      <c r="E212" s="417">
        <f t="shared" si="281"/>
        <v>3.5507034938759023</v>
      </c>
      <c r="F212" s="417">
        <f t="shared" si="282"/>
        <v>3.4619359065290047</v>
      </c>
      <c r="G212" s="417">
        <f t="shared" si="283"/>
        <v>3.3753875088657797</v>
      </c>
      <c r="H212" s="417">
        <f t="shared" si="284"/>
        <v>3.2910028211441351</v>
      </c>
      <c r="I212" s="417">
        <f t="shared" si="285"/>
        <v>3.2251827647212523</v>
      </c>
      <c r="J212" s="417">
        <f t="shared" si="286"/>
        <v>3.1606791094268272</v>
      </c>
      <c r="K212" s="417">
        <f t="shared" si="287"/>
        <v>3.0974655272382905</v>
      </c>
      <c r="L212" s="417">
        <f t="shared" si="288"/>
        <v>3.0355162166935248</v>
      </c>
      <c r="M212" s="417">
        <f t="shared" si="289"/>
        <v>2.9748058923596541</v>
      </c>
      <c r="N212" s="417">
        <f t="shared" si="290"/>
        <v>2.915309774512461</v>
      </c>
      <c r="O212" s="417">
        <f t="shared" si="291"/>
        <v>2.8570035790222117</v>
      </c>
      <c r="P212" s="417">
        <f t="shared" si="292"/>
        <v>2.7998635074417675</v>
      </c>
      <c r="Q212" s="417">
        <f t="shared" si="293"/>
        <v>2.7438662372929321</v>
      </c>
      <c r="R212" s="417">
        <f t="shared" si="294"/>
        <v>2.6889889125470736</v>
      </c>
      <c r="S212" s="417">
        <f t="shared" si="295"/>
        <v>2.6620990234216029</v>
      </c>
      <c r="T212" s="417">
        <f t="shared" si="296"/>
        <v>2.6354780331873866</v>
      </c>
      <c r="U212" s="417">
        <f t="shared" si="297"/>
        <v>2.6091232528555128</v>
      </c>
      <c r="V212" s="417">
        <f t="shared" si="298"/>
        <v>2.5830320203269577</v>
      </c>
      <c r="W212" s="417">
        <f t="shared" si="299"/>
        <v>2.557201700123688</v>
      </c>
      <c r="X212" s="417">
        <f t="shared" si="300"/>
        <v>2.5316296831224512</v>
      </c>
      <c r="Y212" s="417">
        <f t="shared" si="301"/>
        <v>2.5063133862912266</v>
      </c>
      <c r="Z212" s="417">
        <f t="shared" si="302"/>
        <v>2.4812502524283144</v>
      </c>
      <c r="AA212" s="417">
        <f t="shared" si="303"/>
        <v>2.4564377499040311</v>
      </c>
      <c r="AB212" s="417">
        <f t="shared" si="304"/>
        <v>2.4318733724049908</v>
      </c>
      <c r="AC212" s="417">
        <f t="shared" si="305"/>
        <v>2.4561921061290408</v>
      </c>
      <c r="AD212" s="417">
        <f t="shared" si="306"/>
        <v>2.4807540271903314</v>
      </c>
      <c r="AE212" s="417">
        <f t="shared" si="307"/>
        <v>2.5055615674622347</v>
      </c>
      <c r="AF212" s="417">
        <f t="shared" si="308"/>
        <v>2.5306171831368571</v>
      </c>
      <c r="AG212" s="417">
        <f t="shared" si="309"/>
        <v>2.5559233549682259</v>
      </c>
      <c r="AH212" s="456">
        <v>-2.5000000000000001E-2</v>
      </c>
      <c r="AI212" s="456">
        <v>-0.02</v>
      </c>
      <c r="AJ212" s="456">
        <v>-0.01</v>
      </c>
      <c r="AK212" s="456">
        <v>0.01</v>
      </c>
      <c r="AL212" s="198"/>
    </row>
    <row r="213" spans="1:38" s="4" customFormat="1">
      <c r="A213" s="408" t="s">
        <v>34</v>
      </c>
      <c r="B213" s="408" t="s">
        <v>11</v>
      </c>
      <c r="C213" s="416">
        <f>'No change with year'!BY17</f>
        <v>3.7549665756936323</v>
      </c>
      <c r="D213" s="417">
        <f t="shared" si="280"/>
        <v>3.6610924113012913</v>
      </c>
      <c r="E213" s="417">
        <f t="shared" si="281"/>
        <v>3.569565101018759</v>
      </c>
      <c r="F213" s="417">
        <f t="shared" si="282"/>
        <v>3.4803259734932901</v>
      </c>
      <c r="G213" s="417">
        <f t="shared" si="283"/>
        <v>3.3933178241559578</v>
      </c>
      <c r="H213" s="417">
        <f t="shared" si="284"/>
        <v>3.3084848785520586</v>
      </c>
      <c r="I213" s="417">
        <f t="shared" si="285"/>
        <v>3.2423151809810173</v>
      </c>
      <c r="J213" s="417">
        <f t="shared" si="286"/>
        <v>3.177468877361397</v>
      </c>
      <c r="K213" s="417">
        <f t="shared" si="287"/>
        <v>3.1139194998141693</v>
      </c>
      <c r="L213" s="417">
        <f t="shared" si="288"/>
        <v>3.0516411098178859</v>
      </c>
      <c r="M213" s="417">
        <f t="shared" si="289"/>
        <v>2.9906082876215283</v>
      </c>
      <c r="N213" s="417">
        <f t="shared" si="290"/>
        <v>2.9307961218690979</v>
      </c>
      <c r="O213" s="417">
        <f t="shared" si="291"/>
        <v>2.8721801994317158</v>
      </c>
      <c r="P213" s="417">
        <f t="shared" si="292"/>
        <v>2.8147365954430814</v>
      </c>
      <c r="Q213" s="417">
        <f t="shared" si="293"/>
        <v>2.7584418635342196</v>
      </c>
      <c r="R213" s="417">
        <f t="shared" si="294"/>
        <v>2.7032730262635352</v>
      </c>
      <c r="S213" s="417">
        <f t="shared" si="295"/>
        <v>2.6762402960008997</v>
      </c>
      <c r="T213" s="417">
        <f t="shared" si="296"/>
        <v>2.6494778930408907</v>
      </c>
      <c r="U213" s="417">
        <f t="shared" si="297"/>
        <v>2.6229831141104816</v>
      </c>
      <c r="V213" s="417">
        <f t="shared" si="298"/>
        <v>2.5967532829693769</v>
      </c>
      <c r="W213" s="417">
        <f t="shared" si="299"/>
        <v>2.5707857501396831</v>
      </c>
      <c r="X213" s="417">
        <f t="shared" si="300"/>
        <v>2.5450778926382864</v>
      </c>
      <c r="Y213" s="417">
        <f t="shared" si="301"/>
        <v>2.5196271137119037</v>
      </c>
      <c r="Z213" s="417">
        <f t="shared" si="302"/>
        <v>2.4944308425747845</v>
      </c>
      <c r="AA213" s="417">
        <f t="shared" si="303"/>
        <v>2.4694865341490368</v>
      </c>
      <c r="AB213" s="417">
        <f t="shared" si="304"/>
        <v>2.4447916688075466</v>
      </c>
      <c r="AC213" s="417">
        <f t="shared" si="305"/>
        <v>2.4692395854956222</v>
      </c>
      <c r="AD213" s="417">
        <f t="shared" si="306"/>
        <v>2.4939319813505785</v>
      </c>
      <c r="AE213" s="417">
        <f t="shared" si="307"/>
        <v>2.5188713011640842</v>
      </c>
      <c r="AF213" s="417">
        <f t="shared" si="308"/>
        <v>2.544060014175725</v>
      </c>
      <c r="AG213" s="417">
        <f t="shared" si="309"/>
        <v>2.5695006143174823</v>
      </c>
      <c r="AH213" s="456">
        <v>-2.5000000000000001E-2</v>
      </c>
      <c r="AI213" s="456">
        <v>-0.02</v>
      </c>
      <c r="AJ213" s="456">
        <v>-0.01</v>
      </c>
      <c r="AK213" s="456">
        <v>0.01</v>
      </c>
      <c r="AL213" s="198"/>
    </row>
    <row r="214" spans="1:38" s="4" customFormat="1">
      <c r="A214" s="408" t="s">
        <v>36</v>
      </c>
      <c r="B214" s="408" t="s">
        <v>37</v>
      </c>
      <c r="C214" s="416">
        <f>'No change with year'!BY18</f>
        <v>4.4573487201190254</v>
      </c>
      <c r="D214" s="417">
        <f t="shared" si="280"/>
        <v>4.3459150021160493</v>
      </c>
      <c r="E214" s="417">
        <f t="shared" si="281"/>
        <v>4.2372671270631477</v>
      </c>
      <c r="F214" s="417">
        <f t="shared" si="282"/>
        <v>4.1313354488865688</v>
      </c>
      <c r="G214" s="417">
        <f t="shared" si="283"/>
        <v>4.0280520626644041</v>
      </c>
      <c r="H214" s="417">
        <f t="shared" si="284"/>
        <v>3.9273507610977938</v>
      </c>
      <c r="I214" s="417">
        <f t="shared" si="285"/>
        <v>3.8488037458758377</v>
      </c>
      <c r="J214" s="417">
        <f t="shared" si="286"/>
        <v>3.7718276709583209</v>
      </c>
      <c r="K214" s="417">
        <f t="shared" si="287"/>
        <v>3.6963911175391546</v>
      </c>
      <c r="L214" s="417">
        <f t="shared" si="288"/>
        <v>3.6224632951883713</v>
      </c>
      <c r="M214" s="417">
        <f t="shared" si="289"/>
        <v>3.5500140292846036</v>
      </c>
      <c r="N214" s="417">
        <f t="shared" si="290"/>
        <v>3.4790137486989114</v>
      </c>
      <c r="O214" s="417">
        <f t="shared" si="291"/>
        <v>3.409433473724933</v>
      </c>
      <c r="P214" s="417">
        <f t="shared" si="292"/>
        <v>3.3412448042504344</v>
      </c>
      <c r="Q214" s="417">
        <f t="shared" si="293"/>
        <v>3.2744199081654255</v>
      </c>
      <c r="R214" s="417">
        <f t="shared" si="294"/>
        <v>3.2089315100021167</v>
      </c>
      <c r="S214" s="417">
        <f t="shared" si="295"/>
        <v>3.1768421949020955</v>
      </c>
      <c r="T214" s="417">
        <f t="shared" si="296"/>
        <v>3.1450737729530744</v>
      </c>
      <c r="U214" s="417">
        <f t="shared" si="297"/>
        <v>3.1136230352235437</v>
      </c>
      <c r="V214" s="417">
        <f t="shared" si="298"/>
        <v>3.0824868048713081</v>
      </c>
      <c r="W214" s="417">
        <f t="shared" si="299"/>
        <v>3.0516619368225948</v>
      </c>
      <c r="X214" s="417">
        <f t="shared" si="300"/>
        <v>3.0211453174543688</v>
      </c>
      <c r="Y214" s="417">
        <f t="shared" si="301"/>
        <v>2.9909338642798251</v>
      </c>
      <c r="Z214" s="417">
        <f t="shared" si="302"/>
        <v>2.9610245256370269</v>
      </c>
      <c r="AA214" s="417">
        <f t="shared" si="303"/>
        <v>2.9314142803806567</v>
      </c>
      <c r="AB214" s="417">
        <f t="shared" si="304"/>
        <v>2.9021001375768503</v>
      </c>
      <c r="AC214" s="417">
        <f t="shared" si="305"/>
        <v>2.9311211389526188</v>
      </c>
      <c r="AD214" s="417">
        <f t="shared" si="306"/>
        <v>2.960432350342145</v>
      </c>
      <c r="AE214" s="417">
        <f t="shared" si="307"/>
        <v>2.9900366738455664</v>
      </c>
      <c r="AF214" s="417">
        <f t="shared" si="308"/>
        <v>3.019937040584022</v>
      </c>
      <c r="AG214" s="417">
        <f t="shared" si="309"/>
        <v>3.0501364109898623</v>
      </c>
      <c r="AH214" s="456">
        <v>-2.5000000000000001E-2</v>
      </c>
      <c r="AI214" s="456">
        <v>-0.02</v>
      </c>
      <c r="AJ214" s="456">
        <v>-0.01</v>
      </c>
      <c r="AK214" s="456">
        <v>0.01</v>
      </c>
      <c r="AL214" s="198"/>
    </row>
    <row r="215" spans="1:38">
      <c r="A215" s="408"/>
      <c r="B215" s="408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323"/>
      <c r="AB215" s="323"/>
      <c r="AC215" s="323"/>
      <c r="AD215" s="323"/>
      <c r="AE215" s="323"/>
      <c r="AF215" s="323"/>
      <c r="AG215" s="323"/>
      <c r="AH215" s="409"/>
      <c r="AI215" s="409"/>
      <c r="AJ215" s="409"/>
      <c r="AK215" s="409"/>
      <c r="AL215" s="148"/>
    </row>
    <row r="216" spans="1:38" s="1" customFormat="1" ht="30" customHeight="1">
      <c r="A216" s="903" t="s">
        <v>151</v>
      </c>
      <c r="B216" s="904"/>
      <c r="C216" s="399">
        <v>2025</v>
      </c>
      <c r="D216" s="399">
        <v>2026</v>
      </c>
      <c r="E216" s="399">
        <v>2027</v>
      </c>
      <c r="F216" s="399">
        <v>2028</v>
      </c>
      <c r="G216" s="399">
        <v>2029</v>
      </c>
      <c r="H216" s="399">
        <v>2030</v>
      </c>
      <c r="I216" s="399">
        <v>2031</v>
      </c>
      <c r="J216" s="399">
        <v>2032</v>
      </c>
      <c r="K216" s="399">
        <v>2033</v>
      </c>
      <c r="L216" s="399">
        <v>2034</v>
      </c>
      <c r="M216" s="399">
        <v>2035</v>
      </c>
      <c r="N216" s="399">
        <v>2036</v>
      </c>
      <c r="O216" s="399">
        <v>2037</v>
      </c>
      <c r="P216" s="399">
        <v>2038</v>
      </c>
      <c r="Q216" s="399">
        <v>2039</v>
      </c>
      <c r="R216" s="399">
        <v>2040</v>
      </c>
      <c r="S216" s="399">
        <v>2041</v>
      </c>
      <c r="T216" s="399">
        <v>2042</v>
      </c>
      <c r="U216" s="399">
        <v>2043</v>
      </c>
      <c r="V216" s="399">
        <v>2044</v>
      </c>
      <c r="W216" s="399">
        <v>2045</v>
      </c>
      <c r="X216" s="399">
        <v>2046</v>
      </c>
      <c r="Y216" s="399">
        <v>2047</v>
      </c>
      <c r="Z216" s="399">
        <v>2048</v>
      </c>
      <c r="AA216" s="399">
        <v>2049</v>
      </c>
      <c r="AB216" s="399">
        <v>2050</v>
      </c>
      <c r="AC216" s="399">
        <v>2051</v>
      </c>
      <c r="AD216" s="399">
        <v>2052</v>
      </c>
      <c r="AE216" s="399">
        <v>2053</v>
      </c>
      <c r="AF216" s="399">
        <v>2054</v>
      </c>
      <c r="AG216" s="399">
        <v>2055</v>
      </c>
      <c r="AH216" s="399"/>
      <c r="AI216" s="522"/>
      <c r="AJ216" s="522"/>
      <c r="AK216" s="522"/>
      <c r="AL216" s="522"/>
    </row>
    <row r="217" spans="1:38" s="4" customFormat="1">
      <c r="A217" s="408" t="s">
        <v>8</v>
      </c>
      <c r="B217" s="408" t="s">
        <v>9</v>
      </c>
      <c r="C217" s="416">
        <f>C201+C153-C169</f>
        <v>5.1223831631897054</v>
      </c>
      <c r="D217" s="416">
        <f>D201+D153-D169</f>
        <v>5.1295235841099629</v>
      </c>
      <c r="E217" s="416">
        <f>E201+E153-E169</f>
        <v>5.1418934945072143</v>
      </c>
      <c r="F217" s="416">
        <f t="shared" ref="F217:AG217" si="310">F201+F153-F169</f>
        <v>5.1595784771445334</v>
      </c>
      <c r="G217" s="416">
        <f t="shared" si="310"/>
        <v>5.18267062801592</v>
      </c>
      <c r="H217" s="416">
        <f t="shared" si="310"/>
        <v>5.2112687396275232</v>
      </c>
      <c r="I217" s="416">
        <f t="shared" si="310"/>
        <v>5.2588816470544923</v>
      </c>
      <c r="J217" s="416">
        <f t="shared" si="310"/>
        <v>5.3116158276217034</v>
      </c>
      <c r="K217" s="416">
        <f t="shared" si="310"/>
        <v>5.3696117971179023</v>
      </c>
      <c r="L217" s="416">
        <f t="shared" si="310"/>
        <v>5.4330169786661227</v>
      </c>
      <c r="M217" s="416">
        <f t="shared" si="310"/>
        <v>5.5019859532830013</v>
      </c>
      <c r="N217" s="416">
        <f t="shared" si="310"/>
        <v>5.5766807209751503</v>
      </c>
      <c r="O217" s="416">
        <f t="shared" si="310"/>
        <v>5.6572709727837696</v>
      </c>
      <c r="P217" s="416">
        <f t="shared" si="310"/>
        <v>5.7439343742053408</v>
      </c>
      <c r="Q217" s="416">
        <f t="shared" si="310"/>
        <v>5.8368568604335707</v>
      </c>
      <c r="R217" s="416">
        <f t="shared" si="310"/>
        <v>5.9362329438857291</v>
      </c>
      <c r="S217" s="416">
        <f t="shared" si="310"/>
        <v>6.0641687390195917</v>
      </c>
      <c r="T217" s="416">
        <f t="shared" si="310"/>
        <v>6.1983171011850233</v>
      </c>
      <c r="U217" s="416">
        <f t="shared" si="310"/>
        <v>6.3389155817110261</v>
      </c>
      <c r="V217" s="416">
        <f t="shared" si="310"/>
        <v>6.4862113434932827</v>
      </c>
      <c r="W217" s="416">
        <f t="shared" si="310"/>
        <v>6.6404615443616919</v>
      </c>
      <c r="X217" s="416">
        <f t="shared" si="310"/>
        <v>6.8019337357935523</v>
      </c>
      <c r="Y217" s="416">
        <f t="shared" si="310"/>
        <v>6.9709062775861099</v>
      </c>
      <c r="Z217" s="416">
        <f t="shared" si="310"/>
        <v>7.1476687691267653</v>
      </c>
      <c r="AA217" s="416">
        <f t="shared" si="310"/>
        <v>7.3325224979246721</v>
      </c>
      <c r="AB217" s="416">
        <f t="shared" si="310"/>
        <v>7.5257809060941678</v>
      </c>
      <c r="AC217" s="416">
        <f t="shared" si="310"/>
        <v>7.7673869022399256</v>
      </c>
      <c r="AD217" s="416">
        <f t="shared" si="310"/>
        <v>8.0180628858305312</v>
      </c>
      <c r="AE217" s="416">
        <f t="shared" si="310"/>
        <v>8.2781657138397744</v>
      </c>
      <c r="AF217" s="416">
        <f t="shared" si="310"/>
        <v>8.5480664580951462</v>
      </c>
      <c r="AG217" s="416">
        <f t="shared" si="310"/>
        <v>8.828150973277749</v>
      </c>
      <c r="AH217" s="456"/>
      <c r="AI217" s="456"/>
      <c r="AJ217" s="457"/>
      <c r="AK217" s="456"/>
      <c r="AL217" s="198"/>
    </row>
    <row r="218" spans="1:38" s="4" customFormat="1">
      <c r="A218" s="408" t="s">
        <v>8</v>
      </c>
      <c r="B218" s="408" t="s">
        <v>11</v>
      </c>
      <c r="C218" s="416">
        <f t="shared" ref="C218:D230" si="311">C202+C154-C170</f>
        <v>7.1777952225314179</v>
      </c>
      <c r="D218" s="416">
        <f t="shared" si="311"/>
        <v>7.2141503419681321</v>
      </c>
      <c r="E218" s="416">
        <f t="shared" ref="E218:G218" si="312">E202+E154-E170</f>
        <v>7.2582285834189282</v>
      </c>
      <c r="F218" s="416">
        <f t="shared" si="312"/>
        <v>7.310182148833456</v>
      </c>
      <c r="G218" s="416">
        <f t="shared" si="312"/>
        <v>7.3701732463126186</v>
      </c>
      <c r="H218" s="416">
        <f t="shared" ref="H218:AG218" si="313">H202+H154-H170</f>
        <v>7.4383743924028032</v>
      </c>
      <c r="I218" s="416">
        <f t="shared" si="313"/>
        <v>7.5319641627128266</v>
      </c>
      <c r="J218" s="416">
        <f t="shared" si="313"/>
        <v>7.6333764279429746</v>
      </c>
      <c r="K218" s="416">
        <f t="shared" si="313"/>
        <v>7.7428425098078941</v>
      </c>
      <c r="L218" s="416">
        <f t="shared" si="313"/>
        <v>7.8606046144524679</v>
      </c>
      <c r="M218" s="416">
        <f t="shared" si="313"/>
        <v>7.9869162351977785</v>
      </c>
      <c r="N218" s="416">
        <f t="shared" si="313"/>
        <v>8.1220425720495584</v>
      </c>
      <c r="O218" s="416">
        <f t="shared" si="313"/>
        <v>8.2662609686265291</v>
      </c>
      <c r="P218" s="416">
        <f t="shared" si="313"/>
        <v>8.4198613671926807</v>
      </c>
      <c r="Q218" s="416">
        <f t="shared" si="313"/>
        <v>8.5831467825050574</v>
      </c>
      <c r="R218" s="416">
        <f t="shared" si="313"/>
        <v>8.7564337952174345</v>
      </c>
      <c r="S218" s="416">
        <f t="shared" si="313"/>
        <v>8.9678260791794084</v>
      </c>
      <c r="T218" s="416">
        <f t="shared" si="313"/>
        <v>9.1890627051783298</v>
      </c>
      <c r="U218" s="416">
        <f t="shared" si="313"/>
        <v>9.4205235603888884</v>
      </c>
      <c r="V218" s="416">
        <f t="shared" si="313"/>
        <v>9.662603866337836</v>
      </c>
      <c r="W218" s="416">
        <f t="shared" si="313"/>
        <v>9.9157147908894085</v>
      </c>
      <c r="X218" s="416">
        <f t="shared" si="313"/>
        <v>10.180284084724061</v>
      </c>
      <c r="Y218" s="416">
        <f t="shared" si="313"/>
        <v>10.456756743290111</v>
      </c>
      <c r="Z218" s="416">
        <f t="shared" si="313"/>
        <v>10.745595695247031</v>
      </c>
      <c r="AA218" s="416">
        <f t="shared" si="313"/>
        <v>11.047282518459976</v>
      </c>
      <c r="AB218" s="416">
        <f t="shared" si="313"/>
        <v>11.362318184647407</v>
      </c>
      <c r="AC218" s="416">
        <f t="shared" si="313"/>
        <v>11.741458665110029</v>
      </c>
      <c r="AD218" s="416">
        <f t="shared" si="313"/>
        <v>12.135011242321923</v>
      </c>
      <c r="AE218" s="416">
        <f t="shared" si="313"/>
        <v>12.543544864928366</v>
      </c>
      <c r="AF218" s="416">
        <f t="shared" si="313"/>
        <v>12.967651164168206</v>
      </c>
      <c r="AG218" s="416">
        <f t="shared" si="313"/>
        <v>13.407945360424065</v>
      </c>
      <c r="AH218" s="456"/>
      <c r="AI218" s="456"/>
      <c r="AJ218" s="457"/>
      <c r="AK218" s="456"/>
      <c r="AL218" s="198"/>
    </row>
    <row r="219" spans="1:38" s="4" customFormat="1">
      <c r="A219" s="408" t="s">
        <v>8</v>
      </c>
      <c r="B219" s="408" t="s">
        <v>13</v>
      </c>
      <c r="C219" s="416">
        <f t="shared" si="311"/>
        <v>11.471053019844952</v>
      </c>
      <c r="D219" s="416">
        <f t="shared" si="311"/>
        <v>11.617176694348826</v>
      </c>
      <c r="E219" s="416">
        <f t="shared" ref="E219:G219" si="314">E203+E155-E171</f>
        <v>11.776963276990108</v>
      </c>
      <c r="F219" s="416">
        <f t="shared" si="314"/>
        <v>11.950763835065354</v>
      </c>
      <c r="G219" s="416">
        <f t="shared" si="314"/>
        <v>12.138948364788721</v>
      </c>
      <c r="H219" s="416">
        <f t="shared" ref="H219:AG219" si="315">H203+H155-H171</f>
        <v>12.341906426293001</v>
      </c>
      <c r="I219" s="416">
        <f t="shared" si="315"/>
        <v>12.581242797566182</v>
      </c>
      <c r="J219" s="416">
        <f t="shared" si="315"/>
        <v>12.835239421405861</v>
      </c>
      <c r="K219" s="416">
        <f t="shared" si="315"/>
        <v>13.104380971960385</v>
      </c>
      <c r="L219" s="416">
        <f t="shared" si="315"/>
        <v>13.389173545063127</v>
      </c>
      <c r="M219" s="416">
        <f t="shared" si="315"/>
        <v>13.690145474405488</v>
      </c>
      <c r="N219" s="416">
        <f t="shared" si="315"/>
        <v>14.00784818117075</v>
      </c>
      <c r="O219" s="416">
        <f t="shared" si="315"/>
        <v>14.342857058450839</v>
      </c>
      <c r="P219" s="416">
        <f t="shared" si="315"/>
        <v>14.695772391821471</v>
      </c>
      <c r="Q219" s="416">
        <f t="shared" si="315"/>
        <v>15.067220317506274</v>
      </c>
      <c r="R219" s="416">
        <f t="shared" si="315"/>
        <v>15.457853819618229</v>
      </c>
      <c r="S219" s="416">
        <f t="shared" si="315"/>
        <v>15.90298946875585</v>
      </c>
      <c r="T219" s="416">
        <f t="shared" si="315"/>
        <v>16.367662328895445</v>
      </c>
      <c r="U219" s="416">
        <f t="shared" si="315"/>
        <v>16.852636570626736</v>
      </c>
      <c r="V219" s="416">
        <f t="shared" si="315"/>
        <v>17.358707104541516</v>
      </c>
      <c r="W219" s="416">
        <f t="shared" si="315"/>
        <v>17.886700809101999</v>
      </c>
      <c r="X219" s="416">
        <f t="shared" si="315"/>
        <v>18.437477807641109</v>
      </c>
      <c r="Y219" s="416">
        <f t="shared" si="315"/>
        <v>19.011932796460034</v>
      </c>
      <c r="Z219" s="416">
        <f t="shared" si="315"/>
        <v>19.610996426066585</v>
      </c>
      <c r="AA219" s="416">
        <f t="shared" si="315"/>
        <v>20.235636737679911</v>
      </c>
      <c r="AB219" s="416">
        <f t="shared" si="315"/>
        <v>20.886860657212065</v>
      </c>
      <c r="AC219" s="416">
        <f t="shared" si="315"/>
        <v>21.628363362815374</v>
      </c>
      <c r="AD219" s="416">
        <f t="shared" si="315"/>
        <v>22.398586459435961</v>
      </c>
      <c r="AE219" s="416">
        <f t="shared" si="315"/>
        <v>23.198669365542454</v>
      </c>
      <c r="AF219" s="416">
        <f t="shared" si="315"/>
        <v>24.029796982370499</v>
      </c>
      <c r="AG219" s="416">
        <f t="shared" si="315"/>
        <v>24.893201512293725</v>
      </c>
      <c r="AH219" s="456"/>
      <c r="AI219" s="456"/>
      <c r="AJ219" s="457"/>
      <c r="AK219" s="456"/>
      <c r="AL219" s="198"/>
    </row>
    <row r="220" spans="1:38" s="4" customFormat="1">
      <c r="A220" s="408" t="s">
        <v>15</v>
      </c>
      <c r="B220" s="408" t="s">
        <v>9</v>
      </c>
      <c r="C220" s="416">
        <f t="shared" si="311"/>
        <v>5.3223831631897065</v>
      </c>
      <c r="D220" s="416">
        <f t="shared" si="311"/>
        <v>5.3245235841099632</v>
      </c>
      <c r="E220" s="416">
        <f t="shared" ref="E220:G220" si="316">E204+E156-E172</f>
        <v>5.3320184945072144</v>
      </c>
      <c r="F220" s="416">
        <f t="shared" si="316"/>
        <v>5.344950352144533</v>
      </c>
      <c r="G220" s="416">
        <f t="shared" si="316"/>
        <v>5.3634082061409192</v>
      </c>
      <c r="H220" s="416">
        <f t="shared" ref="H220:AG220" si="317">H204+H156-H172</f>
        <v>5.3874878782993969</v>
      </c>
      <c r="I220" s="416">
        <f t="shared" si="317"/>
        <v>5.4315764029529294</v>
      </c>
      <c r="J220" s="416">
        <f t="shared" si="317"/>
        <v>5.4808566884021719</v>
      </c>
      <c r="K220" s="416">
        <f t="shared" si="317"/>
        <v>5.5354678406827604</v>
      </c>
      <c r="L220" s="416">
        <f t="shared" si="317"/>
        <v>5.5955559013596829</v>
      </c>
      <c r="M220" s="416">
        <f t="shared" si="317"/>
        <v>5.6612740975226918</v>
      </c>
      <c r="N220" s="416">
        <f t="shared" si="317"/>
        <v>5.7327831023300471</v>
      </c>
      <c r="O220" s="416">
        <f t="shared" si="317"/>
        <v>5.8102513065115682</v>
      </c>
      <c r="P220" s="416">
        <f t="shared" si="317"/>
        <v>5.8938551012585831</v>
      </c>
      <c r="Q220" s="416">
        <f t="shared" si="317"/>
        <v>5.9837791729457486</v>
      </c>
      <c r="R220" s="416">
        <f t="shared" si="317"/>
        <v>6.0802168101476628</v>
      </c>
      <c r="S220" s="416">
        <f t="shared" si="317"/>
        <v>6.2067127666189057</v>
      </c>
      <c r="T220" s="416">
        <f t="shared" si="317"/>
        <v>6.3394356885083463</v>
      </c>
      <c r="U220" s="416">
        <f t="shared" si="317"/>
        <v>6.4786229831611148</v>
      </c>
      <c r="V220" s="416">
        <f t="shared" si="317"/>
        <v>6.6245216709288712</v>
      </c>
      <c r="W220" s="416">
        <f t="shared" si="317"/>
        <v>6.7773887685229237</v>
      </c>
      <c r="X220" s="416">
        <f t="shared" si="317"/>
        <v>6.9374916877131714</v>
      </c>
      <c r="Y220" s="416">
        <f t="shared" si="317"/>
        <v>7.1051086499865335</v>
      </c>
      <c r="Z220" s="416">
        <f t="shared" si="317"/>
        <v>7.2805291178031837</v>
      </c>
      <c r="AA220" s="416">
        <f t="shared" si="317"/>
        <v>7.4640542431143269</v>
      </c>
      <c r="AB220" s="416">
        <f t="shared" si="317"/>
        <v>7.6559973338319267</v>
      </c>
      <c r="AC220" s="416">
        <f t="shared" si="317"/>
        <v>7.8989054942550609</v>
      </c>
      <c r="AD220" s="416">
        <f t="shared" si="317"/>
        <v>8.1508966637658187</v>
      </c>
      <c r="AE220" s="416">
        <f t="shared" si="317"/>
        <v>8.4123278295544139</v>
      </c>
      <c r="AF220" s="416">
        <f t="shared" si="317"/>
        <v>8.6835701949669328</v>
      </c>
      <c r="AG220" s="416">
        <f t="shared" si="317"/>
        <v>8.9650097475182537</v>
      </c>
      <c r="AH220" s="456"/>
      <c r="AI220" s="456"/>
      <c r="AJ220" s="457"/>
      <c r="AK220" s="456"/>
      <c r="AL220" s="198"/>
    </row>
    <row r="221" spans="1:38" s="4" customFormat="1">
      <c r="A221" s="408" t="s">
        <v>15</v>
      </c>
      <c r="B221" s="408" t="s">
        <v>11</v>
      </c>
      <c r="C221" s="416">
        <f t="shared" si="311"/>
        <v>6.9229789539871325</v>
      </c>
      <c r="D221" s="416">
        <f t="shared" si="311"/>
        <v>6.9657044801374539</v>
      </c>
      <c r="E221" s="416">
        <f t="shared" ref="E221:G221" si="318">E205+E157-E173</f>
        <v>7.0159938681340179</v>
      </c>
      <c r="F221" s="416">
        <f t="shared" si="318"/>
        <v>7.0740033014306674</v>
      </c>
      <c r="G221" s="416">
        <f t="shared" si="318"/>
        <v>7.1398988700949007</v>
      </c>
      <c r="H221" s="416">
        <f t="shared" ref="H221:AG221" si="319">H205+H157-H173</f>
        <v>7.2138568755905279</v>
      </c>
      <c r="I221" s="416">
        <f t="shared" si="319"/>
        <v>7.3119369962367973</v>
      </c>
      <c r="J221" s="416">
        <f t="shared" si="319"/>
        <v>7.4177498047964656</v>
      </c>
      <c r="K221" s="416">
        <f t="shared" si="319"/>
        <v>7.5315284191243164</v>
      </c>
      <c r="L221" s="416">
        <f t="shared" si="319"/>
        <v>7.6535168055825604</v>
      </c>
      <c r="M221" s="416">
        <f t="shared" si="319"/>
        <v>7.7839701825052678</v>
      </c>
      <c r="N221" s="416">
        <f t="shared" si="319"/>
        <v>7.9231554404108975</v>
      </c>
      <c r="O221" s="416">
        <f t="shared" si="319"/>
        <v>8.071351579620643</v>
      </c>
      <c r="P221" s="416">
        <f t="shared" si="319"/>
        <v>8.2288501659669127</v>
      </c>
      <c r="Q221" s="416">
        <f t="shared" si="319"/>
        <v>8.3959558053038048</v>
      </c>
      <c r="R221" s="416">
        <f t="shared" si="319"/>
        <v>8.5729866375602075</v>
      </c>
      <c r="S221" s="416">
        <f t="shared" si="319"/>
        <v>8.7862133930987536</v>
      </c>
      <c r="T221" s="416">
        <f t="shared" si="319"/>
        <v>9.0092661459584811</v>
      </c>
      <c r="U221" s="416">
        <f t="shared" si="319"/>
        <v>9.2425249667612395</v>
      </c>
      <c r="V221" s="416">
        <f t="shared" si="319"/>
        <v>9.4863852586464628</v>
      </c>
      <c r="W221" s="416">
        <f t="shared" si="319"/>
        <v>9.7412583692749486</v>
      </c>
      <c r="X221" s="416">
        <f t="shared" si="319"/>
        <v>10.007572227325745</v>
      </c>
      <c r="Y221" s="416">
        <f t="shared" si="319"/>
        <v>10.28577200446578</v>
      </c>
      <c r="Z221" s="416">
        <f t="shared" si="319"/>
        <v>10.576320803810942</v>
      </c>
      <c r="AA221" s="416">
        <f t="shared" si="319"/>
        <v>10.879700375938247</v>
      </c>
      <c r="AB221" s="416">
        <f t="shared" si="319"/>
        <v>11.196411863550896</v>
      </c>
      <c r="AC221" s="416">
        <f t="shared" si="319"/>
        <v>11.573893280802553</v>
      </c>
      <c r="AD221" s="416">
        <f t="shared" si="319"/>
        <v>11.96577020417137</v>
      </c>
      <c r="AE221" s="416">
        <f t="shared" si="319"/>
        <v>12.372611416396309</v>
      </c>
      <c r="AF221" s="416">
        <f t="shared" si="319"/>
        <v>12.795008381150828</v>
      </c>
      <c r="AG221" s="416">
        <f t="shared" si="319"/>
        <v>13.233576149576514</v>
      </c>
      <c r="AH221" s="456"/>
      <c r="AI221" s="456"/>
      <c r="AJ221" s="457"/>
      <c r="AK221" s="456"/>
      <c r="AL221" s="198"/>
    </row>
    <row r="222" spans="1:38" s="4" customFormat="1">
      <c r="A222" s="408" t="s">
        <v>18</v>
      </c>
      <c r="B222" s="408" t="s">
        <v>19</v>
      </c>
      <c r="C222" s="416">
        <f t="shared" si="311"/>
        <v>5.1981448468707354</v>
      </c>
      <c r="D222" s="416">
        <f t="shared" si="311"/>
        <v>5.2228912256989668</v>
      </c>
      <c r="E222" s="416">
        <f t="shared" ref="E222:G222" si="320">E206+E158-E174</f>
        <v>5.2532069450564931</v>
      </c>
      <c r="F222" s="416">
        <f t="shared" si="320"/>
        <v>5.2892002914300811</v>
      </c>
      <c r="G222" s="416">
        <f t="shared" si="320"/>
        <v>5.3309867449443278</v>
      </c>
      <c r="H222" s="416">
        <f t="shared" ref="H222:AG222" si="321">H206+H158-H174</f>
        <v>5.3786891955527212</v>
      </c>
      <c r="I222" s="416">
        <f t="shared" si="321"/>
        <v>5.4448534461043856</v>
      </c>
      <c r="J222" s="416">
        <f t="shared" si="321"/>
        <v>5.5166439330235271</v>
      </c>
      <c r="K222" s="416">
        <f t="shared" si="321"/>
        <v>5.5942261124379344</v>
      </c>
      <c r="L222" s="416">
        <f t="shared" si="321"/>
        <v>5.67777325058705</v>
      </c>
      <c r="M222" s="416">
        <f t="shared" si="321"/>
        <v>5.7674667123890968</v>
      </c>
      <c r="N222" s="416">
        <f t="shared" si="321"/>
        <v>5.8634962620276552</v>
      </c>
      <c r="O222" s="416">
        <f t="shared" si="321"/>
        <v>5.9660603760288948</v>
      </c>
      <c r="P222" s="416">
        <f t="shared" si="321"/>
        <v>6.0753665693197823</v>
      </c>
      <c r="Q222" s="416">
        <f t="shared" si="321"/>
        <v>6.1916317347773093</v>
      </c>
      <c r="R222" s="416">
        <f t="shared" si="321"/>
        <v>6.3150824967994437</v>
      </c>
      <c r="S222" s="416">
        <f t="shared" si="321"/>
        <v>6.4662439489867722</v>
      </c>
      <c r="T222" s="416">
        <f t="shared" si="321"/>
        <v>6.6244662777384411</v>
      </c>
      <c r="U222" s="416">
        <f t="shared" si="321"/>
        <v>6.7900217739322546</v>
      </c>
      <c r="V222" s="416">
        <f t="shared" si="321"/>
        <v>6.9631937215229787</v>
      </c>
      <c r="W222" s="416">
        <f t="shared" si="321"/>
        <v>7.1442768362509952</v>
      </c>
      <c r="X222" s="416">
        <f t="shared" si="321"/>
        <v>7.3335777219094638</v>
      </c>
      <c r="Y222" s="416">
        <f t="shared" si="321"/>
        <v>7.5314153448721832</v>
      </c>
      <c r="Z222" s="416">
        <f t="shared" si="321"/>
        <v>7.7381215276125506</v>
      </c>
      <c r="AA222" s="416">
        <f t="shared" si="321"/>
        <v>7.9540414619730777</v>
      </c>
      <c r="AB222" s="416">
        <f t="shared" si="321"/>
        <v>8.1795342429754658</v>
      </c>
      <c r="AC222" s="416">
        <f t="shared" si="321"/>
        <v>8.4516702994734221</v>
      </c>
      <c r="AD222" s="416">
        <f t="shared" si="321"/>
        <v>8.7341413450990864</v>
      </c>
      <c r="AE222" s="416">
        <f t="shared" si="321"/>
        <v>9.0273552748862453</v>
      </c>
      <c r="AF222" s="416">
        <f t="shared" si="321"/>
        <v>9.3317362446247216</v>
      </c>
      <c r="AG222" s="416">
        <f t="shared" si="321"/>
        <v>9.6477253207401681</v>
      </c>
      <c r="AH222" s="456"/>
      <c r="AI222" s="456"/>
      <c r="AJ222" s="457"/>
      <c r="AK222" s="456"/>
      <c r="AL222" s="198"/>
    </row>
    <row r="223" spans="1:38" s="4" customFormat="1">
      <c r="A223" s="408" t="s">
        <v>21</v>
      </c>
      <c r="B223" s="408" t="s">
        <v>22</v>
      </c>
      <c r="C223" s="416">
        <f t="shared" si="311"/>
        <v>10.168491308379567</v>
      </c>
      <c r="D223" s="416">
        <f t="shared" si="311"/>
        <v>10.286079025670077</v>
      </c>
      <c r="E223" s="416">
        <f t="shared" ref="E223:G223" si="322">E207+E159-E175</f>
        <v>10.415599050028327</v>
      </c>
      <c r="F223" s="416">
        <f t="shared" si="322"/>
        <v>10.557347953777619</v>
      </c>
      <c r="G223" s="416">
        <f t="shared" si="322"/>
        <v>10.711638690133178</v>
      </c>
      <c r="H223" s="416">
        <f t="shared" ref="H223:AG223" si="323">H207+H159-H175</f>
        <v>10.878801135487848</v>
      </c>
      <c r="I223" s="416">
        <f t="shared" si="323"/>
        <v>11.078780388881771</v>
      </c>
      <c r="J223" s="416">
        <f t="shared" si="323"/>
        <v>11.291462268251964</v>
      </c>
      <c r="K223" s="416">
        <f t="shared" si="323"/>
        <v>11.517260809520666</v>
      </c>
      <c r="L223" s="416">
        <f t="shared" si="323"/>
        <v>11.756608491429343</v>
      </c>
      <c r="M223" s="416">
        <f t="shared" si="323"/>
        <v>12.009956935623812</v>
      </c>
      <c r="N223" s="416">
        <f t="shared" si="323"/>
        <v>12.277777635495312</v>
      </c>
      <c r="O223" s="416">
        <f t="shared" si="323"/>
        <v>12.560562714912741</v>
      </c>
      <c r="P223" s="416">
        <f t="shared" si="323"/>
        <v>12.858825718026914</v>
      </c>
      <c r="Q223" s="416">
        <f t="shared" si="323"/>
        <v>13.173102431375298</v>
      </c>
      <c r="R223" s="416">
        <f t="shared" si="323"/>
        <v>13.503951739565075</v>
      </c>
      <c r="S223" s="416">
        <f t="shared" si="323"/>
        <v>13.883982064744405</v>
      </c>
      <c r="T223" s="416">
        <f t="shared" si="323"/>
        <v>14.28081488037494</v>
      </c>
      <c r="U223" s="416">
        <f t="shared" si="323"/>
        <v>14.695106273300286</v>
      </c>
      <c r="V223" s="416">
        <f t="shared" si="323"/>
        <v>15.127538733965546</v>
      </c>
      <c r="W223" s="416">
        <f t="shared" si="323"/>
        <v>15.578822210960082</v>
      </c>
      <c r="X223" s="416">
        <f t="shared" si="323"/>
        <v>16.049695207758042</v>
      </c>
      <c r="Y223" s="416">
        <f t="shared" si="323"/>
        <v>16.540925923344322</v>
      </c>
      <c r="Z223" s="416">
        <f t="shared" si="323"/>
        <v>17.053313438481293</v>
      </c>
      <c r="AA223" s="416">
        <f t="shared" si="323"/>
        <v>17.587688949441713</v>
      </c>
      <c r="AB223" s="416">
        <f t="shared" si="323"/>
        <v>18.14491705110634</v>
      </c>
      <c r="AC223" s="416">
        <f t="shared" si="323"/>
        <v>18.783823736100643</v>
      </c>
      <c r="AD223" s="416">
        <f t="shared" si="323"/>
        <v>19.44741778852422</v>
      </c>
      <c r="AE223" s="416">
        <f t="shared" si="323"/>
        <v>20.13667801407454</v>
      </c>
      <c r="AF223" s="416">
        <f t="shared" si="323"/>
        <v>20.852622283786964</v>
      </c>
      <c r="AG223" s="416">
        <f t="shared" si="323"/>
        <v>21.596309095779375</v>
      </c>
      <c r="AH223" s="456"/>
      <c r="AI223" s="456"/>
      <c r="AJ223" s="457"/>
      <c r="AK223" s="456"/>
      <c r="AL223" s="198"/>
    </row>
    <row r="224" spans="1:38" s="4" customFormat="1">
      <c r="A224" s="408" t="s">
        <v>21</v>
      </c>
      <c r="B224" s="408" t="s">
        <v>24</v>
      </c>
      <c r="C224" s="416">
        <f t="shared" si="311"/>
        <v>12.772791791023103</v>
      </c>
      <c r="D224" s="416">
        <f t="shared" si="311"/>
        <v>12.964371996247525</v>
      </c>
      <c r="E224" s="416">
        <f t="shared" ref="E224:G224" si="324">E208+E160-E176</f>
        <v>13.17159869634134</v>
      </c>
      <c r="F224" s="416">
        <f t="shared" si="324"/>
        <v>13.394898168932805</v>
      </c>
      <c r="G224" s="416">
        <f t="shared" si="324"/>
        <v>13.634718732309484</v>
      </c>
      <c r="H224" s="416">
        <f t="shared" ref="H224:AG224" si="325">H208+H160-H176</f>
        <v>13.891531502305746</v>
      </c>
      <c r="I224" s="416">
        <f t="shared" si="325"/>
        <v>14.187474381031473</v>
      </c>
      <c r="J224" s="416">
        <f t="shared" si="325"/>
        <v>14.500449342533559</v>
      </c>
      <c r="K224" s="416">
        <f t="shared" si="325"/>
        <v>14.831033782770508</v>
      </c>
      <c r="L224" s="416">
        <f t="shared" si="325"/>
        <v>15.179830271286223</v>
      </c>
      <c r="M224" s="416">
        <f t="shared" si="325"/>
        <v>15.547467516598472</v>
      </c>
      <c r="N224" s="416">
        <f t="shared" si="325"/>
        <v>15.934601371033992</v>
      </c>
      <c r="O224" s="416">
        <f t="shared" si="325"/>
        <v>16.341915876571505</v>
      </c>
      <c r="P224" s="416">
        <f t="shared" si="325"/>
        <v>16.770124353316596</v>
      </c>
      <c r="Q224" s="416">
        <f t="shared" si="325"/>
        <v>17.219970532297843</v>
      </c>
      <c r="R224" s="416">
        <f t="shared" si="325"/>
        <v>17.692229734341371</v>
      </c>
      <c r="S224" s="416">
        <f t="shared" si="325"/>
        <v>18.223078234662172</v>
      </c>
      <c r="T224" s="416">
        <f t="shared" si="325"/>
        <v>18.776929081886337</v>
      </c>
      <c r="U224" s="416">
        <f t="shared" si="325"/>
        <v>19.354684685821098</v>
      </c>
      <c r="V224" s="416">
        <f t="shared" si="325"/>
        <v>19.957283729506649</v>
      </c>
      <c r="W224" s="416">
        <f t="shared" si="325"/>
        <v>20.585702618377098</v>
      </c>
      <c r="X224" s="416">
        <f t="shared" si="325"/>
        <v>21.240956987405465</v>
      </c>
      <c r="Y224" s="416">
        <f t="shared" si="325"/>
        <v>21.924103268552027</v>
      </c>
      <c r="Z224" s="416">
        <f t="shared" si="325"/>
        <v>22.636240320927953</v>
      </c>
      <c r="AA224" s="416">
        <f t="shared" si="325"/>
        <v>23.37851112618258</v>
      </c>
      <c r="AB224" s="416">
        <f t="shared" si="325"/>
        <v>24.152104551723212</v>
      </c>
      <c r="AC224" s="416">
        <f t="shared" si="325"/>
        <v>25.022229804205178</v>
      </c>
      <c r="AD224" s="416">
        <f t="shared" si="325"/>
        <v>25.926200477490553</v>
      </c>
      <c r="AE224" s="416">
        <f t="shared" si="325"/>
        <v>26.865360792518519</v>
      </c>
      <c r="AF224" s="416">
        <f t="shared" si="325"/>
        <v>27.841108643106882</v>
      </c>
      <c r="AG224" s="416">
        <f t="shared" si="325"/>
        <v>28.854897741907656</v>
      </c>
      <c r="AH224" s="456"/>
      <c r="AI224" s="456"/>
      <c r="AJ224" s="457"/>
      <c r="AK224" s="456"/>
      <c r="AL224" s="198"/>
    </row>
    <row r="225" spans="1:38" s="4" customFormat="1">
      <c r="A225" s="408" t="s">
        <v>26</v>
      </c>
      <c r="B225" s="408" t="s">
        <v>13</v>
      </c>
      <c r="C225" s="416">
        <f t="shared" si="311"/>
        <v>11.338909877108112</v>
      </c>
      <c r="D225" s="416">
        <f t="shared" si="311"/>
        <v>11.48833713018041</v>
      </c>
      <c r="E225" s="416">
        <f t="shared" ref="E225:G225" si="326">E209+E161-E177</f>
        <v>11.651344701925899</v>
      </c>
      <c r="F225" s="416">
        <f t="shared" si="326"/>
        <v>11.828285724377752</v>
      </c>
      <c r="G225" s="416">
        <f t="shared" si="326"/>
        <v>12.019532206868309</v>
      </c>
      <c r="H225" s="416">
        <f t="shared" ref="H225:AG225" si="327">H209+H161-H177</f>
        <v>12.225475672320599</v>
      </c>
      <c r="I225" s="416">
        <f t="shared" si="327"/>
        <v>12.467140658673227</v>
      </c>
      <c r="J225" s="416">
        <f t="shared" si="327"/>
        <v>12.723419325290767</v>
      </c>
      <c r="K225" s="416">
        <f t="shared" si="327"/>
        <v>12.994797277767592</v>
      </c>
      <c r="L225" s="416">
        <f t="shared" si="327"/>
        <v>13.281781524754189</v>
      </c>
      <c r="M225" s="416">
        <f t="shared" si="327"/>
        <v>13.58490129450273</v>
      </c>
      <c r="N225" s="416">
        <f t="shared" si="327"/>
        <v>13.904708884866047</v>
      </c>
      <c r="O225" s="416">
        <f t="shared" si="327"/>
        <v>14.241780548072231</v>
      </c>
      <c r="P225" s="416">
        <f t="shared" si="327"/>
        <v>14.596717411650435</v>
      </c>
      <c r="Q225" s="416">
        <f t="shared" si="327"/>
        <v>14.970146436938657</v>
      </c>
      <c r="R225" s="416">
        <f t="shared" si="327"/>
        <v>15.362721416661966</v>
      </c>
      <c r="S225" s="416">
        <f t="shared" si="327"/>
        <v>15.808808389829148</v>
      </c>
      <c r="T225" s="416">
        <f t="shared" si="327"/>
        <v>16.274423060758011</v>
      </c>
      <c r="U225" s="416">
        <f t="shared" si="327"/>
        <v>16.760329695170675</v>
      </c>
      <c r="V225" s="416">
        <f t="shared" si="327"/>
        <v>17.267323297840022</v>
      </c>
      <c r="W225" s="416">
        <f t="shared" si="327"/>
        <v>17.796230840467512</v>
      </c>
      <c r="X225" s="416">
        <f t="shared" si="327"/>
        <v>18.34791253869297</v>
      </c>
      <c r="Y225" s="416">
        <f t="shared" si="327"/>
        <v>18.923263180201378</v>
      </c>
      <c r="Z225" s="416">
        <f t="shared" si="327"/>
        <v>19.52321350597051</v>
      </c>
      <c r="AA225" s="416">
        <f t="shared" si="327"/>
        <v>20.1487316467848</v>
      </c>
      <c r="AB225" s="416">
        <f t="shared" si="327"/>
        <v>20.800824617225903</v>
      </c>
      <c r="AC225" s="416">
        <f t="shared" si="327"/>
        <v>21.541466962429354</v>
      </c>
      <c r="AD225" s="416">
        <f t="shared" si="327"/>
        <v>22.31082109504608</v>
      </c>
      <c r="AE225" s="416">
        <f t="shared" si="327"/>
        <v>23.110026347508676</v>
      </c>
      <c r="AF225" s="416">
        <f t="shared" si="327"/>
        <v>23.94026753415638</v>
      </c>
      <c r="AG225" s="416">
        <f t="shared" si="327"/>
        <v>24.802776769597468</v>
      </c>
      <c r="AH225" s="456"/>
      <c r="AI225" s="456"/>
      <c r="AJ225" s="457"/>
      <c r="AK225" s="456"/>
      <c r="AL225" s="198"/>
    </row>
    <row r="226" spans="1:38" s="4" customFormat="1">
      <c r="A226" s="408" t="s">
        <v>26</v>
      </c>
      <c r="B226" s="408" t="s">
        <v>28</v>
      </c>
      <c r="C226" s="416">
        <f t="shared" si="311"/>
        <v>10.063574744784558</v>
      </c>
      <c r="D226" s="416">
        <f t="shared" si="311"/>
        <v>10.182485376164944</v>
      </c>
      <c r="E226" s="416">
        <f t="shared" ref="E226:G226" si="328">E210+E162-E178</f>
        <v>10.313243241760821</v>
      </c>
      <c r="F226" s="416">
        <f t="shared" si="328"/>
        <v>10.4561449607168</v>
      </c>
      <c r="G226" s="416">
        <f t="shared" si="328"/>
        <v>10.611503448698882</v>
      </c>
      <c r="H226" s="416">
        <f t="shared" ref="H226:AG226" si="329">H210+H162-H178</f>
        <v>10.779648458961409</v>
      </c>
      <c r="I226" s="416">
        <f t="shared" si="329"/>
        <v>10.980150782402982</v>
      </c>
      <c r="J226" s="416">
        <f t="shared" si="329"/>
        <v>11.193286871080552</v>
      </c>
      <c r="K226" s="416">
        <f t="shared" si="329"/>
        <v>11.419469802157598</v>
      </c>
      <c r="L226" s="416">
        <f t="shared" si="329"/>
        <v>11.659131021353051</v>
      </c>
      <c r="M226" s="416">
        <f t="shared" si="329"/>
        <v>11.912721040774141</v>
      </c>
      <c r="N226" s="416">
        <f t="shared" si="329"/>
        <v>12.180710165400731</v>
      </c>
      <c r="O226" s="416">
        <f t="shared" si="329"/>
        <v>12.463589249352474</v>
      </c>
      <c r="P226" s="416">
        <f t="shared" si="329"/>
        <v>12.761870483115571</v>
      </c>
      <c r="Q226" s="416">
        <f t="shared" si="329"/>
        <v>13.076088212953412</v>
      </c>
      <c r="R226" s="416">
        <f t="shared" si="329"/>
        <v>13.406799793774507</v>
      </c>
      <c r="S226" s="416">
        <f t="shared" si="329"/>
        <v>13.786000694906232</v>
      </c>
      <c r="T226" s="416">
        <f t="shared" si="329"/>
        <v>14.181940342989421</v>
      </c>
      <c r="U226" s="416">
        <f t="shared" si="329"/>
        <v>14.595272580793068</v>
      </c>
      <c r="V226" s="416">
        <f t="shared" si="329"/>
        <v>15.026677561868018</v>
      </c>
      <c r="W226" s="416">
        <f t="shared" si="329"/>
        <v>15.476862801407536</v>
      </c>
      <c r="X226" s="416">
        <f t="shared" si="329"/>
        <v>15.946564269157987</v>
      </c>
      <c r="Y226" s="416">
        <f t="shared" si="329"/>
        <v>16.436547526061513</v>
      </c>
      <c r="Z226" s="416">
        <f t="shared" si="329"/>
        <v>16.947608906379809</v>
      </c>
      <c r="AA226" s="416">
        <f t="shared" si="329"/>
        <v>17.480576747118079</v>
      </c>
      <c r="AB226" s="416">
        <f t="shared" si="329"/>
        <v>18.036312666641052</v>
      </c>
      <c r="AC226" s="416">
        <f t="shared" si="329"/>
        <v>18.672533805991812</v>
      </c>
      <c r="AD226" s="416">
        <f t="shared" si="329"/>
        <v>19.33335147724345</v>
      </c>
      <c r="AE226" s="416">
        <f t="shared" si="329"/>
        <v>20.019741018535278</v>
      </c>
      <c r="AF226" s="416">
        <f t="shared" si="329"/>
        <v>20.732716696300798</v>
      </c>
      <c r="AG226" s="416">
        <f t="shared" si="329"/>
        <v>21.473333261547182</v>
      </c>
      <c r="AH226" s="456"/>
      <c r="AI226" s="456"/>
      <c r="AJ226" s="457"/>
      <c r="AK226" s="456"/>
      <c r="AL226" s="198"/>
    </row>
    <row r="227" spans="1:38" s="4" customFormat="1">
      <c r="A227" s="408" t="s">
        <v>30</v>
      </c>
      <c r="B227" s="408" t="s">
        <v>28</v>
      </c>
      <c r="C227" s="416">
        <f t="shared" si="311"/>
        <v>12.284021587882627</v>
      </c>
      <c r="D227" s="416">
        <f t="shared" si="311"/>
        <v>12.464421048185564</v>
      </c>
      <c r="E227" s="416">
        <f t="shared" ref="E227:G227" si="330">E211+E163-E179</f>
        <v>12.659810521980924</v>
      </c>
      <c r="F227" s="416">
        <f t="shared" si="330"/>
        <v>12.870595258931401</v>
      </c>
      <c r="G227" s="416">
        <f t="shared" si="330"/>
        <v>13.097201577458115</v>
      </c>
      <c r="H227" s="416">
        <f t="shared" ref="H227:AG227" si="331">H211+H163-H179</f>
        <v>13.340077586021664</v>
      </c>
      <c r="I227" s="416">
        <f t="shared" si="331"/>
        <v>13.620769840381231</v>
      </c>
      <c r="J227" s="416">
        <f t="shared" si="331"/>
        <v>13.917748001896808</v>
      </c>
      <c r="K227" s="416">
        <f t="shared" si="331"/>
        <v>14.231562342514998</v>
      </c>
      <c r="L227" s="416">
        <f t="shared" si="331"/>
        <v>14.562787168347072</v>
      </c>
      <c r="M227" s="416">
        <f t="shared" si="331"/>
        <v>14.912021740569799</v>
      </c>
      <c r="N227" s="416">
        <f t="shared" si="331"/>
        <v>15.279891233971655</v>
      </c>
      <c r="O227" s="416">
        <f t="shared" si="331"/>
        <v>15.667047734634012</v>
      </c>
      <c r="P227" s="416">
        <f t="shared" si="331"/>
        <v>16.074171278296784</v>
      </c>
      <c r="Q227" s="416">
        <f t="shared" si="331"/>
        <v>16.501970931020526</v>
      </c>
      <c r="R227" s="416">
        <f t="shared" si="331"/>
        <v>16.95118591382138</v>
      </c>
      <c r="S227" s="416">
        <f t="shared" si="331"/>
        <v>17.457027869248257</v>
      </c>
      <c r="T227" s="416">
        <f t="shared" si="331"/>
        <v>17.984825557703473</v>
      </c>
      <c r="U227" s="416">
        <f t="shared" si="331"/>
        <v>18.535439987960043</v>
      </c>
      <c r="V227" s="416">
        <f t="shared" si="331"/>
        <v>19.109766781347396</v>
      </c>
      <c r="W227" s="416">
        <f t="shared" si="331"/>
        <v>19.708737554531549</v>
      </c>
      <c r="X227" s="416">
        <f t="shared" si="331"/>
        <v>20.333321357623763</v>
      </c>
      <c r="Y227" s="416">
        <f t="shared" si="331"/>
        <v>20.984526169830563</v>
      </c>
      <c r="Z227" s="416">
        <f t="shared" si="331"/>
        <v>21.663400454946615</v>
      </c>
      <c r="AA227" s="416">
        <f t="shared" si="331"/>
        <v>22.371034779084077</v>
      </c>
      <c r="AB227" s="416">
        <f t="shared" si="331"/>
        <v>23.108563493127647</v>
      </c>
      <c r="AC227" s="416">
        <f t="shared" si="331"/>
        <v>23.939462302643594</v>
      </c>
      <c r="AD227" s="416">
        <f t="shared" si="331"/>
        <v>24.802662627238085</v>
      </c>
      <c r="AE227" s="416">
        <f t="shared" si="331"/>
        <v>25.699447183141249</v>
      </c>
      <c r="AF227" s="416">
        <f t="shared" si="331"/>
        <v>26.631149901788671</v>
      </c>
      <c r="AG227" s="416">
        <f t="shared" si="331"/>
        <v>27.59915797749521</v>
      </c>
      <c r="AH227" s="456"/>
      <c r="AI227" s="456"/>
      <c r="AJ227" s="457"/>
      <c r="AK227" s="456"/>
      <c r="AL227" s="198"/>
    </row>
    <row r="228" spans="1:38" s="4" customFormat="1">
      <c r="A228" s="408" t="s">
        <v>152</v>
      </c>
      <c r="B228" s="408" t="s">
        <v>11</v>
      </c>
      <c r="C228" s="416">
        <f t="shared" si="311"/>
        <v>6.4351253058523623</v>
      </c>
      <c r="D228" s="416">
        <f t="shared" si="311"/>
        <v>6.4497471732060534</v>
      </c>
      <c r="E228" s="416">
        <f t="shared" ref="E228:G228" si="332">E212+E164-E180</f>
        <v>6.4710234938759026</v>
      </c>
      <c r="F228" s="416">
        <f t="shared" si="332"/>
        <v>6.4990687065290045</v>
      </c>
      <c r="G228" s="416">
        <f t="shared" si="332"/>
        <v>6.5340056208657797</v>
      </c>
      <c r="H228" s="416">
        <f t="shared" ref="H228:AG228" si="333">H212+H164-H180</f>
        <v>6.5759656576241357</v>
      </c>
      <c r="I228" s="416">
        <f t="shared" si="333"/>
        <v>6.6415441146604532</v>
      </c>
      <c r="J228" s="416">
        <f t="shared" si="333"/>
        <v>6.7136949133635957</v>
      </c>
      <c r="K228" s="416">
        <f t="shared" si="333"/>
        <v>6.7926019633325305</v>
      </c>
      <c r="L228" s="416">
        <f t="shared" si="333"/>
        <v>6.8784581102315352</v>
      </c>
      <c r="M228" s="416">
        <f t="shared" si="333"/>
        <v>6.9714654616391849</v>
      </c>
      <c r="N228" s="416">
        <f t="shared" si="333"/>
        <v>7.0718357265631733</v>
      </c>
      <c r="O228" s="416">
        <f t="shared" si="333"/>
        <v>7.1797905691549531</v>
      </c>
      <c r="P228" s="416">
        <f t="shared" si="333"/>
        <v>7.295561977179819</v>
      </c>
      <c r="Q228" s="416">
        <f t="shared" si="333"/>
        <v>7.4193926458205057</v>
      </c>
      <c r="R228" s="416">
        <f t="shared" si="333"/>
        <v>7.5515363774157498</v>
      </c>
      <c r="S228" s="416">
        <f t="shared" si="333"/>
        <v>7.7191483868850268</v>
      </c>
      <c r="T228" s="416">
        <f t="shared" si="333"/>
        <v>7.8948093711893472</v>
      </c>
      <c r="U228" s="416">
        <f t="shared" si="333"/>
        <v>8.0788278443775514</v>
      </c>
      <c r="V228" s="416">
        <f t="shared" si="333"/>
        <v>8.2715247955098778</v>
      </c>
      <c r="W228" s="416">
        <f t="shared" si="333"/>
        <v>8.4732341863139258</v>
      </c>
      <c r="X228" s="416">
        <f t="shared" si="333"/>
        <v>8.6843034687602998</v>
      </c>
      <c r="Y228" s="416">
        <f t="shared" si="333"/>
        <v>8.9050941233545888</v>
      </c>
      <c r="Z228" s="416">
        <f t="shared" si="333"/>
        <v>9.1359822189742115</v>
      </c>
      <c r="AA228" s="416">
        <f t="shared" si="333"/>
        <v>9.3773589951117646</v>
      </c>
      <c r="AB228" s="416">
        <f t="shared" si="333"/>
        <v>9.6296314674210333</v>
      </c>
      <c r="AC228" s="416">
        <f t="shared" si="333"/>
        <v>9.9418605249457261</v>
      </c>
      <c r="AD228" s="416">
        <f t="shared" si="333"/>
        <v>10.265849182759684</v>
      </c>
      <c r="AE228" s="416">
        <f t="shared" si="333"/>
        <v>10.602060529254363</v>
      </c>
      <c r="AF228" s="416">
        <f t="shared" si="333"/>
        <v>10.950976103400672</v>
      </c>
      <c r="AG228" s="416">
        <f t="shared" si="333"/>
        <v>11.313096632042592</v>
      </c>
      <c r="AH228" s="456"/>
      <c r="AI228" s="456"/>
      <c r="AJ228" s="457"/>
      <c r="AK228" s="456"/>
      <c r="AL228" s="198"/>
    </row>
    <row r="229" spans="1:38" s="4" customFormat="1">
      <c r="A229" s="408" t="s">
        <v>34</v>
      </c>
      <c r="B229" s="408" t="s">
        <v>11</v>
      </c>
      <c r="C229" s="416">
        <f t="shared" si="311"/>
        <v>6.454966575693633</v>
      </c>
      <c r="D229" s="416">
        <f t="shared" si="311"/>
        <v>6.4690924113012915</v>
      </c>
      <c r="E229" s="416">
        <f t="shared" ref="E229:G229" si="334">E213+E165-E181</f>
        <v>6.4898851010187588</v>
      </c>
      <c r="F229" s="416">
        <f t="shared" si="334"/>
        <v>6.5174587734932903</v>
      </c>
      <c r="G229" s="416">
        <f t="shared" si="334"/>
        <v>6.5519359361559575</v>
      </c>
      <c r="H229" s="416">
        <f t="shared" ref="H229:AG229" si="335">H213+H165-H181</f>
        <v>6.5934477150320587</v>
      </c>
      <c r="I229" s="416">
        <f t="shared" si="335"/>
        <v>6.6586765309202178</v>
      </c>
      <c r="J229" s="416">
        <f t="shared" si="335"/>
        <v>6.730484681298166</v>
      </c>
      <c r="K229" s="416">
        <f t="shared" si="335"/>
        <v>6.8090559359084102</v>
      </c>
      <c r="L229" s="416">
        <f t="shared" si="335"/>
        <v>6.8945830033558968</v>
      </c>
      <c r="M229" s="416">
        <f t="shared" si="335"/>
        <v>6.9872678569010587</v>
      </c>
      <c r="N229" s="416">
        <f t="shared" si="335"/>
        <v>7.0873220739198102</v>
      </c>
      <c r="O229" s="416">
        <f t="shared" si="335"/>
        <v>7.1949671895644567</v>
      </c>
      <c r="P229" s="416">
        <f t="shared" si="335"/>
        <v>7.3104350651811334</v>
      </c>
      <c r="Q229" s="416">
        <f t="shared" si="335"/>
        <v>7.4339682720617928</v>
      </c>
      <c r="R229" s="416">
        <f t="shared" si="335"/>
        <v>7.5658204911322118</v>
      </c>
      <c r="S229" s="416">
        <f t="shared" si="335"/>
        <v>7.7332896594643232</v>
      </c>
      <c r="T229" s="416">
        <f t="shared" si="335"/>
        <v>7.9088092310428513</v>
      </c>
      <c r="U229" s="416">
        <f t="shared" si="335"/>
        <v>8.092687705632521</v>
      </c>
      <c r="V229" s="416">
        <f t="shared" si="335"/>
        <v>8.285246058152298</v>
      </c>
      <c r="W229" s="416">
        <f t="shared" si="335"/>
        <v>8.4868182363299205</v>
      </c>
      <c r="X229" s="416">
        <f t="shared" si="335"/>
        <v>8.6977516782761342</v>
      </c>
      <c r="Y229" s="416">
        <f t="shared" si="335"/>
        <v>8.9184078507752655</v>
      </c>
      <c r="Z229" s="416">
        <f t="shared" si="335"/>
        <v>9.149162809120682</v>
      </c>
      <c r="AA229" s="416">
        <f t="shared" si="335"/>
        <v>9.3904077793567708</v>
      </c>
      <c r="AB229" s="416">
        <f t="shared" si="335"/>
        <v>9.64254976382359</v>
      </c>
      <c r="AC229" s="416">
        <f t="shared" si="335"/>
        <v>9.9549080043123066</v>
      </c>
      <c r="AD229" s="416">
        <f t="shared" si="335"/>
        <v>10.279027136919932</v>
      </c>
      <c r="AE229" s="416">
        <f t="shared" si="335"/>
        <v>10.615370262956212</v>
      </c>
      <c r="AF229" s="416">
        <f t="shared" si="335"/>
        <v>10.964418934439539</v>
      </c>
      <c r="AG229" s="416">
        <f t="shared" si="335"/>
        <v>11.326673891391849</v>
      </c>
      <c r="AH229" s="456"/>
      <c r="AI229" s="456"/>
      <c r="AJ229" s="457"/>
      <c r="AK229" s="456"/>
      <c r="AL229" s="198"/>
    </row>
    <row r="230" spans="1:38" s="4" customFormat="1">
      <c r="A230" s="408" t="s">
        <v>36</v>
      </c>
      <c r="B230" s="408" t="s">
        <v>37</v>
      </c>
      <c r="C230" s="416">
        <f t="shared" si="311"/>
        <v>8.0373487201190255</v>
      </c>
      <c r="D230" s="416">
        <f t="shared" si="311"/>
        <v>8.0691150021160496</v>
      </c>
      <c r="E230" s="416">
        <f t="shared" ref="E230:G230" si="336">E214+E166-E182</f>
        <v>8.1093951270631468</v>
      </c>
      <c r="F230" s="416">
        <f t="shared" si="336"/>
        <v>8.1583485688865682</v>
      </c>
      <c r="G230" s="416">
        <f t="shared" si="336"/>
        <v>8.2161457074644044</v>
      </c>
      <c r="H230" s="416">
        <f t="shared" ref="H230:AG230" si="337">H214+H166-H182</f>
        <v>8.2829681516897935</v>
      </c>
      <c r="I230" s="416">
        <f t="shared" si="337"/>
        <v>8.378645832091518</v>
      </c>
      <c r="J230" s="416">
        <f t="shared" si="337"/>
        <v>8.4828634406226282</v>
      </c>
      <c r="K230" s="416">
        <f t="shared" si="337"/>
        <v>8.5958683179900337</v>
      </c>
      <c r="L230" s="416">
        <f t="shared" si="337"/>
        <v>8.717919583657288</v>
      </c>
      <c r="M230" s="416">
        <f t="shared" si="337"/>
        <v>8.8492885692922769</v>
      </c>
      <c r="N230" s="416">
        <f t="shared" si="337"/>
        <v>8.9902592703068915</v>
      </c>
      <c r="O230" s="416">
        <f t="shared" si="337"/>
        <v>9.1411288161972326</v>
      </c>
      <c r="P230" s="416">
        <f t="shared" si="337"/>
        <v>9.3022079604216259</v>
      </c>
      <c r="Q230" s="416">
        <f t="shared" si="337"/>
        <v>9.473821590583464</v>
      </c>
      <c r="R230" s="416">
        <f t="shared" si="337"/>
        <v>9.6563092597168776</v>
      </c>
      <c r="S230" s="416">
        <f t="shared" si="337"/>
        <v>9.8821150546054461</v>
      </c>
      <c r="T230" s="416">
        <f t="shared" si="337"/>
        <v>10.11855754704456</v>
      </c>
      <c r="U230" s="416">
        <f t="shared" si="337"/>
        <v>10.366046160278691</v>
      </c>
      <c r="V230" s="416">
        <f t="shared" si="337"/>
        <v>10.625006854928662</v>
      </c>
      <c r="W230" s="416">
        <f t="shared" si="337"/>
        <v>10.895882788882242</v>
      </c>
      <c r="X230" s="416">
        <f t="shared" si="337"/>
        <v>11.179135003596404</v>
      </c>
      <c r="Y230" s="416">
        <f t="shared" si="337"/>
        <v>11.47524313786754</v>
      </c>
      <c r="Z230" s="416">
        <f t="shared" si="337"/>
        <v>11.784706170168253</v>
      </c>
      <c r="AA230" s="416">
        <f t="shared" si="337"/>
        <v>12.108043190693131</v>
      </c>
      <c r="AB230" s="416">
        <f t="shared" si="337"/>
        <v>12.445794204301825</v>
      </c>
      <c r="AC230" s="416">
        <f t="shared" si="337"/>
        <v>12.856562968346593</v>
      </c>
      <c r="AD230" s="416">
        <f t="shared" si="337"/>
        <v>13.282891852911877</v>
      </c>
      <c r="AE230" s="416">
        <f t="shared" si="337"/>
        <v>13.725394556518088</v>
      </c>
      <c r="AF230" s="416">
        <f t="shared" si="337"/>
        <v>14.184709238563446</v>
      </c>
      <c r="AG230" s="416">
        <f t="shared" si="337"/>
        <v>14.661499496888462</v>
      </c>
      <c r="AH230" s="456"/>
      <c r="AI230" s="456"/>
      <c r="AJ230" s="457"/>
      <c r="AK230" s="456"/>
      <c r="AL230" s="198"/>
    </row>
    <row r="231" spans="1:38">
      <c r="A231" s="408"/>
      <c r="B231" s="408"/>
      <c r="C231" s="323"/>
      <c r="D231" s="323"/>
      <c r="E231" s="323"/>
      <c r="F231" s="323"/>
      <c r="G231" s="323"/>
      <c r="H231" s="323"/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U231" s="323"/>
      <c r="V231" s="323"/>
      <c r="W231" s="323"/>
      <c r="X231" s="323"/>
      <c r="Y231" s="323"/>
      <c r="Z231" s="323"/>
      <c r="AA231" s="323"/>
      <c r="AB231" s="323"/>
      <c r="AC231" s="323"/>
      <c r="AD231" s="323"/>
      <c r="AE231" s="323"/>
      <c r="AF231" s="323"/>
      <c r="AG231" s="323"/>
      <c r="AH231" s="409"/>
      <c r="AI231" s="409"/>
      <c r="AJ231" s="409"/>
      <c r="AK231" s="409"/>
      <c r="AL231" s="148"/>
    </row>
    <row r="232" spans="1:38" s="4" customFormat="1" ht="28.2" customHeight="1">
      <c r="A232" s="903" t="s">
        <v>766</v>
      </c>
      <c r="B232" s="904"/>
      <c r="C232" s="399">
        <v>2025</v>
      </c>
      <c r="D232" s="399">
        <v>2026</v>
      </c>
      <c r="E232" s="399">
        <v>2027</v>
      </c>
      <c r="F232" s="399">
        <v>2028</v>
      </c>
      <c r="G232" s="399">
        <v>2029</v>
      </c>
      <c r="H232" s="399">
        <v>2030</v>
      </c>
      <c r="I232" s="399">
        <v>2031</v>
      </c>
      <c r="J232" s="399">
        <v>2032</v>
      </c>
      <c r="K232" s="399">
        <v>2033</v>
      </c>
      <c r="L232" s="399">
        <v>2034</v>
      </c>
      <c r="M232" s="399">
        <v>2035</v>
      </c>
      <c r="N232" s="399">
        <v>2036</v>
      </c>
      <c r="O232" s="399">
        <v>2037</v>
      </c>
      <c r="P232" s="399">
        <v>2038</v>
      </c>
      <c r="Q232" s="399">
        <v>2039</v>
      </c>
      <c r="R232" s="399">
        <v>2040</v>
      </c>
      <c r="S232" s="399">
        <v>2041</v>
      </c>
      <c r="T232" s="399">
        <v>2042</v>
      </c>
      <c r="U232" s="399">
        <v>2043</v>
      </c>
      <c r="V232" s="399">
        <v>2044</v>
      </c>
      <c r="W232" s="399">
        <v>2045</v>
      </c>
      <c r="X232" s="399">
        <v>2046</v>
      </c>
      <c r="Y232" s="399">
        <v>2047</v>
      </c>
      <c r="Z232" s="399">
        <v>2048</v>
      </c>
      <c r="AA232" s="399">
        <v>2049</v>
      </c>
      <c r="AB232" s="399">
        <v>2050</v>
      </c>
      <c r="AC232" s="399">
        <v>2051</v>
      </c>
      <c r="AD232" s="399">
        <v>2052</v>
      </c>
      <c r="AE232" s="399">
        <v>2053</v>
      </c>
      <c r="AF232" s="399">
        <v>2054</v>
      </c>
      <c r="AG232" s="399">
        <v>2055</v>
      </c>
      <c r="AH232" s="399"/>
      <c r="AI232" s="521"/>
      <c r="AJ232" s="521"/>
      <c r="AK232" s="521"/>
      <c r="AL232" s="521"/>
    </row>
    <row r="233" spans="1:38" s="4" customFormat="1">
      <c r="A233" s="408" t="s">
        <v>8</v>
      </c>
      <c r="B233" s="408" t="s">
        <v>9</v>
      </c>
      <c r="C233" s="416">
        <f>'No change with year'!CI5</f>
        <v>3.6848341071163975</v>
      </c>
      <c r="D233" s="417">
        <f t="shared" ref="D233:D246" si="338">C233*(1+$AH233)</f>
        <v>3.5927132544384874</v>
      </c>
      <c r="E233" s="417">
        <f t="shared" ref="E233:E246" si="339">D233*(1+$AH233)</f>
        <v>3.5028954230775251</v>
      </c>
      <c r="F233" s="417">
        <f t="shared" ref="F233:F246" si="340">E233*(1+$AH233)</f>
        <v>3.415323037500587</v>
      </c>
      <c r="G233" s="417">
        <f t="shared" ref="G233:G246" si="341">F233*(1+$AH233)</f>
        <v>3.3299399615630723</v>
      </c>
      <c r="H233" s="417">
        <f t="shared" ref="H233:H246" si="342">G233*(1+$AH233)</f>
        <v>3.2466914625239953</v>
      </c>
      <c r="I233" s="417">
        <f t="shared" ref="I233:I246" si="343">H233*(1+$AI233)</f>
        <v>3.1817576332735156</v>
      </c>
      <c r="J233" s="417">
        <f t="shared" ref="J233:J246" si="344">I233*(1+$AI233)</f>
        <v>3.1181224806080454</v>
      </c>
      <c r="K233" s="417">
        <f t="shared" ref="K233:K246" si="345">J233*(1+$AI233)</f>
        <v>3.0557600309958843</v>
      </c>
      <c r="L233" s="417">
        <f t="shared" ref="L233:L246" si="346">K233*(1+$AI233)</f>
        <v>2.9946448303759667</v>
      </c>
      <c r="M233" s="417">
        <f t="shared" ref="M233:M246" si="347">L233*(1+$AI233)</f>
        <v>2.9347519337684473</v>
      </c>
      <c r="N233" s="417">
        <f t="shared" ref="N233:N246" si="348">M233*(1+$AI233)</f>
        <v>2.8760568950930785</v>
      </c>
      <c r="O233" s="417">
        <f t="shared" ref="O233:O246" si="349">N233*(1+$AI233)</f>
        <v>2.8185357571912171</v>
      </c>
      <c r="P233" s="417">
        <f t="shared" ref="P233:P246" si="350">O233*(1+$AI233)</f>
        <v>2.7621650420473927</v>
      </c>
      <c r="Q233" s="417">
        <f t="shared" ref="Q233:Q246" si="351">P233*(1+$AI233)</f>
        <v>2.7069217412064446</v>
      </c>
      <c r="R233" s="417">
        <f t="shared" ref="R233:R246" si="352">Q233*(1+$AI233)</f>
        <v>2.6527833063823159</v>
      </c>
      <c r="S233" s="417">
        <f t="shared" ref="S233:S246" si="353">R233*(1+$AJ233)</f>
        <v>2.6262554733184929</v>
      </c>
      <c r="T233" s="417">
        <f t="shared" ref="T233:T246" si="354">S233*(1+$AJ233)</f>
        <v>2.5999929185853077</v>
      </c>
      <c r="U233" s="417">
        <f t="shared" ref="U233:U246" si="355">T233*(1+$AJ233)</f>
        <v>2.5739929893994544</v>
      </c>
      <c r="V233" s="417">
        <f t="shared" ref="V233:V246" si="356">U233*(1+$AJ233)</f>
        <v>2.54825305950546</v>
      </c>
      <c r="W233" s="417">
        <f t="shared" ref="W233:W246" si="357">V233*(1+$AJ233)</f>
        <v>2.5227705289104052</v>
      </c>
      <c r="X233" s="417">
        <f t="shared" ref="X233:X246" si="358">W233*(1+$AJ233)</f>
        <v>2.4975428236213011</v>
      </c>
      <c r="Y233" s="417">
        <f t="shared" ref="Y233:Y246" si="359">X233*(1+$AJ233)</f>
        <v>2.472567395385088</v>
      </c>
      <c r="Z233" s="417">
        <f t="shared" ref="Z233:Z246" si="360">Y233*(1+$AJ233)</f>
        <v>2.4478417214312369</v>
      </c>
      <c r="AA233" s="417">
        <f t="shared" ref="AA233:AA246" si="361">Z233*(1+$AJ233)</f>
        <v>2.4233633042169247</v>
      </c>
      <c r="AB233" s="417">
        <f t="shared" ref="AB233:AB246" si="362">AA233*(1+$AJ233)</f>
        <v>2.3991296711747556</v>
      </c>
      <c r="AC233" s="417">
        <f t="shared" ref="AC233:AC246" si="363">AB233*(1+$AK233)</f>
        <v>2.4231209678865033</v>
      </c>
      <c r="AD233" s="417">
        <f t="shared" ref="AD233:AD246" si="364">AC233*(1+$AK233)</f>
        <v>2.4473521775653686</v>
      </c>
      <c r="AE233" s="417">
        <f t="shared" ref="AE233:AE246" si="365">AD233*(1+$AK233)</f>
        <v>2.4718256993410224</v>
      </c>
      <c r="AF233" s="417">
        <f t="shared" ref="AF233:AF246" si="366">AE233*(1+$AK233)</f>
        <v>2.4965439563344325</v>
      </c>
      <c r="AG233" s="417">
        <f t="shared" ref="AG233:AG246" si="367">AF233*(1+$AK233)</f>
        <v>2.5215093958977768</v>
      </c>
      <c r="AH233" s="456">
        <v>-2.5000000000000001E-2</v>
      </c>
      <c r="AI233" s="456">
        <v>-0.02</v>
      </c>
      <c r="AJ233" s="457">
        <v>-0.01</v>
      </c>
      <c r="AK233" s="456">
        <v>0.01</v>
      </c>
      <c r="AL233" s="198"/>
    </row>
    <row r="234" spans="1:38" s="4" customFormat="1">
      <c r="A234" s="408" t="s">
        <v>8</v>
      </c>
      <c r="B234" s="408" t="s">
        <v>11</v>
      </c>
      <c r="C234" s="416">
        <f>'No change with year'!CI6</f>
        <v>3.9000000000000004</v>
      </c>
      <c r="D234" s="417">
        <f t="shared" si="338"/>
        <v>3.8025000000000002</v>
      </c>
      <c r="E234" s="417">
        <f t="shared" si="339"/>
        <v>3.7074375000000002</v>
      </c>
      <c r="F234" s="417">
        <f t="shared" si="340"/>
        <v>3.6147515625</v>
      </c>
      <c r="G234" s="417">
        <f t="shared" si="341"/>
        <v>3.5243827734374999</v>
      </c>
      <c r="H234" s="417">
        <f t="shared" si="342"/>
        <v>3.4362732041015622</v>
      </c>
      <c r="I234" s="417">
        <f t="shared" si="343"/>
        <v>3.3675477400195311</v>
      </c>
      <c r="J234" s="417">
        <f t="shared" si="344"/>
        <v>3.3001967852191405</v>
      </c>
      <c r="K234" s="417">
        <f t="shared" si="345"/>
        <v>3.2341928495147578</v>
      </c>
      <c r="L234" s="417">
        <f t="shared" si="346"/>
        <v>3.1695089925244626</v>
      </c>
      <c r="M234" s="417">
        <f t="shared" si="347"/>
        <v>3.1061188126739734</v>
      </c>
      <c r="N234" s="417">
        <f t="shared" si="348"/>
        <v>3.0439964364204939</v>
      </c>
      <c r="O234" s="417">
        <f t="shared" si="349"/>
        <v>2.9831165076920838</v>
      </c>
      <c r="P234" s="417">
        <f t="shared" si="350"/>
        <v>2.9234541775382419</v>
      </c>
      <c r="Q234" s="417">
        <f t="shared" si="351"/>
        <v>2.8649850939874768</v>
      </c>
      <c r="R234" s="417">
        <f t="shared" si="352"/>
        <v>2.8076853921077274</v>
      </c>
      <c r="S234" s="417">
        <f t="shared" si="353"/>
        <v>2.77960853818665</v>
      </c>
      <c r="T234" s="417">
        <f t="shared" si="354"/>
        <v>2.7518124528047836</v>
      </c>
      <c r="U234" s="417">
        <f t="shared" si="355"/>
        <v>2.7242943282767356</v>
      </c>
      <c r="V234" s="417">
        <f t="shared" si="356"/>
        <v>2.6970513849939683</v>
      </c>
      <c r="W234" s="417">
        <f t="shared" si="357"/>
        <v>2.6700808711440285</v>
      </c>
      <c r="X234" s="417">
        <f t="shared" si="358"/>
        <v>2.6433800624325881</v>
      </c>
      <c r="Y234" s="417">
        <f t="shared" si="359"/>
        <v>2.6169462618082622</v>
      </c>
      <c r="Z234" s="417">
        <f t="shared" si="360"/>
        <v>2.5907767991901793</v>
      </c>
      <c r="AA234" s="417">
        <f t="shared" si="361"/>
        <v>2.5648690311982776</v>
      </c>
      <c r="AB234" s="417">
        <f t="shared" si="362"/>
        <v>2.539220340886295</v>
      </c>
      <c r="AC234" s="417">
        <f t="shared" si="363"/>
        <v>2.5646125442951582</v>
      </c>
      <c r="AD234" s="417">
        <f t="shared" si="364"/>
        <v>2.5902586697381098</v>
      </c>
      <c r="AE234" s="417">
        <f t="shared" si="365"/>
        <v>2.616161256435491</v>
      </c>
      <c r="AF234" s="417">
        <f t="shared" si="366"/>
        <v>2.6423228689998459</v>
      </c>
      <c r="AG234" s="417">
        <f t="shared" si="367"/>
        <v>2.6687460976898443</v>
      </c>
      <c r="AH234" s="456">
        <v>-2.5000000000000001E-2</v>
      </c>
      <c r="AI234" s="456">
        <v>-0.02</v>
      </c>
      <c r="AJ234" s="457">
        <v>-0.01</v>
      </c>
      <c r="AK234" s="456">
        <v>0.01</v>
      </c>
      <c r="AL234" s="198"/>
    </row>
    <row r="235" spans="1:38" s="4" customFormat="1">
      <c r="A235" s="408" t="s">
        <v>8</v>
      </c>
      <c r="B235" s="408" t="s">
        <v>13</v>
      </c>
      <c r="C235" s="416">
        <f>'No change with year'!CI7</f>
        <v>5.2182857142857149</v>
      </c>
      <c r="D235" s="417">
        <f t="shared" si="338"/>
        <v>5.087828571428572</v>
      </c>
      <c r="E235" s="417">
        <f t="shared" si="339"/>
        <v>4.9606328571428575</v>
      </c>
      <c r="F235" s="417">
        <f t="shared" si="340"/>
        <v>4.8366170357142861</v>
      </c>
      <c r="G235" s="417">
        <f t="shared" si="341"/>
        <v>4.7157016098214291</v>
      </c>
      <c r="H235" s="417">
        <f t="shared" si="342"/>
        <v>4.5978090695758933</v>
      </c>
      <c r="I235" s="417">
        <f t="shared" si="343"/>
        <v>4.5058528881843758</v>
      </c>
      <c r="J235" s="417">
        <f t="shared" si="344"/>
        <v>4.4157358304206884</v>
      </c>
      <c r="K235" s="417">
        <f t="shared" si="345"/>
        <v>4.3274211138122745</v>
      </c>
      <c r="L235" s="417">
        <f t="shared" si="346"/>
        <v>4.2408726915360289</v>
      </c>
      <c r="M235" s="417">
        <f t="shared" si="347"/>
        <v>4.1560552377053082</v>
      </c>
      <c r="N235" s="417">
        <f t="shared" si="348"/>
        <v>4.0729341329512021</v>
      </c>
      <c r="O235" s="417">
        <f t="shared" si="349"/>
        <v>3.9914754502921781</v>
      </c>
      <c r="P235" s="417">
        <f t="shared" si="350"/>
        <v>3.9116459412863342</v>
      </c>
      <c r="Q235" s="417">
        <f t="shared" si="351"/>
        <v>3.8334130224606073</v>
      </c>
      <c r="R235" s="417">
        <f t="shared" si="352"/>
        <v>3.7567447620113952</v>
      </c>
      <c r="S235" s="417">
        <f t="shared" si="353"/>
        <v>3.7191773143912812</v>
      </c>
      <c r="T235" s="417">
        <f t="shared" si="354"/>
        <v>3.6819855412473683</v>
      </c>
      <c r="U235" s="417">
        <f t="shared" si="355"/>
        <v>3.6451656858348946</v>
      </c>
      <c r="V235" s="417">
        <f t="shared" si="356"/>
        <v>3.6087140289765456</v>
      </c>
      <c r="W235" s="417">
        <f t="shared" si="357"/>
        <v>3.5726268886867802</v>
      </c>
      <c r="X235" s="417">
        <f t="shared" si="358"/>
        <v>3.5369006197999124</v>
      </c>
      <c r="Y235" s="417">
        <f t="shared" si="359"/>
        <v>3.5015316136019132</v>
      </c>
      <c r="Z235" s="417">
        <f t="shared" si="360"/>
        <v>3.4665162974658941</v>
      </c>
      <c r="AA235" s="417">
        <f t="shared" si="361"/>
        <v>3.431851134491235</v>
      </c>
      <c r="AB235" s="417">
        <f t="shared" si="362"/>
        <v>3.3975326231463225</v>
      </c>
      <c r="AC235" s="417">
        <f t="shared" si="363"/>
        <v>3.4315079493777856</v>
      </c>
      <c r="AD235" s="417">
        <f t="shared" si="364"/>
        <v>3.4658230288715637</v>
      </c>
      <c r="AE235" s="417">
        <f t="shared" si="365"/>
        <v>3.5004812591602792</v>
      </c>
      <c r="AF235" s="417">
        <f t="shared" si="366"/>
        <v>3.5354860717518819</v>
      </c>
      <c r="AG235" s="417">
        <f t="shared" si="367"/>
        <v>3.5708409324694008</v>
      </c>
      <c r="AH235" s="456">
        <v>-2.5000000000000001E-2</v>
      </c>
      <c r="AI235" s="456">
        <v>-0.02</v>
      </c>
      <c r="AJ235" s="457">
        <v>-0.01</v>
      </c>
      <c r="AK235" s="456">
        <v>0.01</v>
      </c>
      <c r="AL235" s="198"/>
    </row>
    <row r="236" spans="1:38" s="4" customFormat="1">
      <c r="A236" s="408" t="s">
        <v>15</v>
      </c>
      <c r="B236" s="408" t="s">
        <v>9</v>
      </c>
      <c r="C236" s="416">
        <f>'No change with year'!CI8</f>
        <v>3.9166666666666665</v>
      </c>
      <c r="D236" s="417">
        <f t="shared" si="338"/>
        <v>3.8187499999999996</v>
      </c>
      <c r="E236" s="417">
        <f t="shared" si="339"/>
        <v>3.7232812499999994</v>
      </c>
      <c r="F236" s="417">
        <f t="shared" si="340"/>
        <v>3.6301992187499992</v>
      </c>
      <c r="G236" s="417">
        <f t="shared" si="341"/>
        <v>3.539444238281249</v>
      </c>
      <c r="H236" s="417">
        <f t="shared" si="342"/>
        <v>3.4509581323242178</v>
      </c>
      <c r="I236" s="417">
        <f t="shared" si="343"/>
        <v>3.3819389696777336</v>
      </c>
      <c r="J236" s="417">
        <f t="shared" si="344"/>
        <v>3.3143001902841789</v>
      </c>
      <c r="K236" s="417">
        <f t="shared" si="345"/>
        <v>3.2480141864784953</v>
      </c>
      <c r="L236" s="417">
        <f t="shared" si="346"/>
        <v>3.1830539027489255</v>
      </c>
      <c r="M236" s="417">
        <f t="shared" si="347"/>
        <v>3.1193928246939469</v>
      </c>
      <c r="N236" s="417">
        <f t="shared" si="348"/>
        <v>3.0570049682000677</v>
      </c>
      <c r="O236" s="417">
        <f t="shared" si="349"/>
        <v>2.9958648688360663</v>
      </c>
      <c r="P236" s="417">
        <f t="shared" si="350"/>
        <v>2.9359475714593448</v>
      </c>
      <c r="Q236" s="417">
        <f t="shared" si="351"/>
        <v>2.877228620030158</v>
      </c>
      <c r="R236" s="417">
        <f t="shared" si="352"/>
        <v>2.8196840476295546</v>
      </c>
      <c r="S236" s="417">
        <f t="shared" si="353"/>
        <v>2.791487207153259</v>
      </c>
      <c r="T236" s="417">
        <f t="shared" si="354"/>
        <v>2.7635723350817263</v>
      </c>
      <c r="U236" s="417">
        <f t="shared" si="355"/>
        <v>2.7359366117309092</v>
      </c>
      <c r="V236" s="417">
        <f t="shared" si="356"/>
        <v>2.7085772456136001</v>
      </c>
      <c r="W236" s="417">
        <f t="shared" si="357"/>
        <v>2.6814914731574642</v>
      </c>
      <c r="X236" s="417">
        <f t="shared" si="358"/>
        <v>2.6546765584258893</v>
      </c>
      <c r="Y236" s="417">
        <f t="shared" si="359"/>
        <v>2.6281297928416305</v>
      </c>
      <c r="Z236" s="417">
        <f t="shared" si="360"/>
        <v>2.6018484949132143</v>
      </c>
      <c r="AA236" s="417">
        <f t="shared" si="361"/>
        <v>2.5758300099640823</v>
      </c>
      <c r="AB236" s="417">
        <f t="shared" si="362"/>
        <v>2.5500717098644414</v>
      </c>
      <c r="AC236" s="417">
        <f t="shared" si="363"/>
        <v>2.575572426963086</v>
      </c>
      <c r="AD236" s="417">
        <f t="shared" si="364"/>
        <v>2.6013281512327167</v>
      </c>
      <c r="AE236" s="417">
        <f t="shared" si="365"/>
        <v>2.6273414327450437</v>
      </c>
      <c r="AF236" s="417">
        <f t="shared" si="366"/>
        <v>2.6536148470724941</v>
      </c>
      <c r="AG236" s="417">
        <f t="shared" si="367"/>
        <v>2.6801509955432192</v>
      </c>
      <c r="AH236" s="456">
        <v>-2.5000000000000001E-2</v>
      </c>
      <c r="AI236" s="456">
        <v>-0.02</v>
      </c>
      <c r="AJ236" s="457">
        <v>-0.01</v>
      </c>
      <c r="AK236" s="456">
        <v>0.01</v>
      </c>
      <c r="AL236" s="198"/>
    </row>
    <row r="237" spans="1:38" s="4" customFormat="1">
      <c r="A237" s="408" t="s">
        <v>15</v>
      </c>
      <c r="B237" s="408" t="s">
        <v>11</v>
      </c>
      <c r="C237" s="416">
        <f>'No change with year'!CI9</f>
        <v>3.7166666666666663</v>
      </c>
      <c r="D237" s="417">
        <f t="shared" si="338"/>
        <v>3.6237499999999998</v>
      </c>
      <c r="E237" s="417">
        <f t="shared" si="339"/>
        <v>3.5331562499999998</v>
      </c>
      <c r="F237" s="417">
        <f t="shared" si="340"/>
        <v>3.4448273437499997</v>
      </c>
      <c r="G237" s="417">
        <f t="shared" si="341"/>
        <v>3.3587066601562494</v>
      </c>
      <c r="H237" s="417">
        <f t="shared" si="342"/>
        <v>3.2747389936523432</v>
      </c>
      <c r="I237" s="417">
        <f t="shared" si="343"/>
        <v>3.2092442137792965</v>
      </c>
      <c r="J237" s="417">
        <f t="shared" si="344"/>
        <v>3.1450593295037104</v>
      </c>
      <c r="K237" s="417">
        <f t="shared" si="345"/>
        <v>3.0821581429136362</v>
      </c>
      <c r="L237" s="417">
        <f t="shared" si="346"/>
        <v>3.0205149800553635</v>
      </c>
      <c r="M237" s="417">
        <f t="shared" si="347"/>
        <v>2.9601046804542563</v>
      </c>
      <c r="N237" s="417">
        <f t="shared" si="348"/>
        <v>2.900902586845171</v>
      </c>
      <c r="O237" s="417">
        <f t="shared" si="349"/>
        <v>2.8428845351082677</v>
      </c>
      <c r="P237" s="417">
        <f t="shared" si="350"/>
        <v>2.786026844406102</v>
      </c>
      <c r="Q237" s="417">
        <f t="shared" si="351"/>
        <v>2.7303063075179801</v>
      </c>
      <c r="R237" s="417">
        <f t="shared" si="352"/>
        <v>2.6757001813676204</v>
      </c>
      <c r="S237" s="417">
        <f t="shared" si="353"/>
        <v>2.6489431795539442</v>
      </c>
      <c r="T237" s="417">
        <f t="shared" si="354"/>
        <v>2.6224537477584047</v>
      </c>
      <c r="U237" s="417">
        <f t="shared" si="355"/>
        <v>2.5962292102808204</v>
      </c>
      <c r="V237" s="417">
        <f t="shared" si="356"/>
        <v>2.570266918178012</v>
      </c>
      <c r="W237" s="417">
        <f t="shared" si="357"/>
        <v>2.5445642489962319</v>
      </c>
      <c r="X237" s="417">
        <f t="shared" si="358"/>
        <v>2.5191186065062694</v>
      </c>
      <c r="Y237" s="417">
        <f t="shared" si="359"/>
        <v>2.4939274204412065</v>
      </c>
      <c r="Z237" s="417">
        <f t="shared" si="360"/>
        <v>2.4689881462367946</v>
      </c>
      <c r="AA237" s="417">
        <f t="shared" si="361"/>
        <v>2.4442982647744267</v>
      </c>
      <c r="AB237" s="417">
        <f t="shared" si="362"/>
        <v>2.4198552821266825</v>
      </c>
      <c r="AC237" s="417">
        <f t="shared" si="363"/>
        <v>2.4440538349479493</v>
      </c>
      <c r="AD237" s="417">
        <f t="shared" si="364"/>
        <v>2.4684943732974287</v>
      </c>
      <c r="AE237" s="417">
        <f t="shared" si="365"/>
        <v>2.4931793170304029</v>
      </c>
      <c r="AF237" s="417">
        <f t="shared" si="366"/>
        <v>2.518111110200707</v>
      </c>
      <c r="AG237" s="417">
        <f t="shared" si="367"/>
        <v>2.543292221302714</v>
      </c>
      <c r="AH237" s="456">
        <v>-2.5000000000000001E-2</v>
      </c>
      <c r="AI237" s="456">
        <v>-0.02</v>
      </c>
      <c r="AJ237" s="457">
        <v>-0.01</v>
      </c>
      <c r="AK237" s="456">
        <v>0.01</v>
      </c>
      <c r="AL237" s="198"/>
    </row>
    <row r="238" spans="1:38" s="4" customFormat="1">
      <c r="A238" s="408" t="s">
        <v>18</v>
      </c>
      <c r="B238" s="408" t="s">
        <v>19</v>
      </c>
      <c r="C238" s="416">
        <f>'No change with year'!CI10</f>
        <v>3.4249999999999998</v>
      </c>
      <c r="D238" s="417">
        <f t="shared" si="338"/>
        <v>3.3393749999999995</v>
      </c>
      <c r="E238" s="417">
        <f t="shared" si="339"/>
        <v>3.2558906249999993</v>
      </c>
      <c r="F238" s="417">
        <f t="shared" si="340"/>
        <v>3.1744933593749991</v>
      </c>
      <c r="G238" s="417">
        <f t="shared" si="341"/>
        <v>3.0951310253906241</v>
      </c>
      <c r="H238" s="417">
        <f t="shared" si="342"/>
        <v>3.0177527497558585</v>
      </c>
      <c r="I238" s="417">
        <f t="shared" si="343"/>
        <v>2.9573976947607412</v>
      </c>
      <c r="J238" s="417">
        <f t="shared" si="344"/>
        <v>2.8982497408655266</v>
      </c>
      <c r="K238" s="417">
        <f t="shared" si="345"/>
        <v>2.8402847460482161</v>
      </c>
      <c r="L238" s="417">
        <f t="shared" si="346"/>
        <v>2.7834790511272516</v>
      </c>
      <c r="M238" s="417">
        <f t="shared" si="347"/>
        <v>2.7278094701047064</v>
      </c>
      <c r="N238" s="417">
        <f t="shared" si="348"/>
        <v>2.6732532807026121</v>
      </c>
      <c r="O238" s="417">
        <f t="shared" si="349"/>
        <v>2.6197882150885596</v>
      </c>
      <c r="P238" s="417">
        <f t="shared" si="350"/>
        <v>2.5673924507867882</v>
      </c>
      <c r="Q238" s="417">
        <f t="shared" si="351"/>
        <v>2.5160446017710525</v>
      </c>
      <c r="R238" s="417">
        <f t="shared" si="352"/>
        <v>2.4657237097356313</v>
      </c>
      <c r="S238" s="417">
        <f t="shared" si="353"/>
        <v>2.4410664726382749</v>
      </c>
      <c r="T238" s="417">
        <f t="shared" si="354"/>
        <v>2.4166558079118921</v>
      </c>
      <c r="U238" s="417">
        <f t="shared" si="355"/>
        <v>2.392489249832773</v>
      </c>
      <c r="V238" s="417">
        <f t="shared" si="356"/>
        <v>2.3685643573344453</v>
      </c>
      <c r="W238" s="417">
        <f t="shared" si="357"/>
        <v>2.3448787137611009</v>
      </c>
      <c r="X238" s="417">
        <f t="shared" si="358"/>
        <v>2.3214299266234897</v>
      </c>
      <c r="Y238" s="417">
        <f t="shared" si="359"/>
        <v>2.2982156273572549</v>
      </c>
      <c r="Z238" s="417">
        <f t="shared" si="360"/>
        <v>2.2752334710836823</v>
      </c>
      <c r="AA238" s="417">
        <f t="shared" si="361"/>
        <v>2.2524811363728454</v>
      </c>
      <c r="AB238" s="417">
        <f t="shared" si="362"/>
        <v>2.229956325009117</v>
      </c>
      <c r="AC238" s="417">
        <f t="shared" si="363"/>
        <v>2.2522558882592083</v>
      </c>
      <c r="AD238" s="417">
        <f t="shared" si="364"/>
        <v>2.2747784471418004</v>
      </c>
      <c r="AE238" s="417">
        <f t="shared" si="365"/>
        <v>2.2975262316132183</v>
      </c>
      <c r="AF238" s="417">
        <f t="shared" si="366"/>
        <v>2.3205014939293505</v>
      </c>
      <c r="AG238" s="417">
        <f t="shared" si="367"/>
        <v>2.3437065088686442</v>
      </c>
      <c r="AH238" s="456">
        <v>-2.5000000000000001E-2</v>
      </c>
      <c r="AI238" s="456">
        <v>-0.02</v>
      </c>
      <c r="AJ238" s="457">
        <v>-0.01</v>
      </c>
      <c r="AK238" s="456">
        <v>0.01</v>
      </c>
      <c r="AL238" s="198"/>
    </row>
    <row r="239" spans="1:38" s="4" customFormat="1">
      <c r="A239" s="408" t="s">
        <v>21</v>
      </c>
      <c r="B239" s="408" t="s">
        <v>22</v>
      </c>
      <c r="C239" s="416">
        <f>'No change with year'!CI11</f>
        <v>5.4012000000000002</v>
      </c>
      <c r="D239" s="417">
        <f t="shared" si="338"/>
        <v>5.2661699999999998</v>
      </c>
      <c r="E239" s="417">
        <f t="shared" si="339"/>
        <v>5.1345157499999994</v>
      </c>
      <c r="F239" s="417">
        <f t="shared" si="340"/>
        <v>5.0061528562499991</v>
      </c>
      <c r="G239" s="417">
        <f t="shared" si="341"/>
        <v>4.8809990348437493</v>
      </c>
      <c r="H239" s="417">
        <f t="shared" si="342"/>
        <v>4.7589740589726555</v>
      </c>
      <c r="I239" s="417">
        <f t="shared" si="343"/>
        <v>4.6637945777932019</v>
      </c>
      <c r="J239" s="417">
        <f t="shared" si="344"/>
        <v>4.5705186862373379</v>
      </c>
      <c r="K239" s="417">
        <f t="shared" si="345"/>
        <v>4.479108312512591</v>
      </c>
      <c r="L239" s="417">
        <f t="shared" si="346"/>
        <v>4.3895261462623392</v>
      </c>
      <c r="M239" s="417">
        <f t="shared" si="347"/>
        <v>4.301735623337092</v>
      </c>
      <c r="N239" s="417">
        <f t="shared" si="348"/>
        <v>4.2157009108703498</v>
      </c>
      <c r="O239" s="417">
        <f t="shared" si="349"/>
        <v>4.1313868926529427</v>
      </c>
      <c r="P239" s="417">
        <f t="shared" si="350"/>
        <v>4.0487591547998836</v>
      </c>
      <c r="Q239" s="417">
        <f t="shared" si="351"/>
        <v>3.9677839717038856</v>
      </c>
      <c r="R239" s="417">
        <f t="shared" si="352"/>
        <v>3.8884282922698077</v>
      </c>
      <c r="S239" s="417">
        <f t="shared" si="353"/>
        <v>3.8495440093471096</v>
      </c>
      <c r="T239" s="417">
        <f t="shared" si="354"/>
        <v>3.8110485692536384</v>
      </c>
      <c r="U239" s="417">
        <f t="shared" si="355"/>
        <v>3.7729380835611019</v>
      </c>
      <c r="V239" s="417">
        <f t="shared" si="356"/>
        <v>3.7352087027254908</v>
      </c>
      <c r="W239" s="417">
        <f t="shared" si="357"/>
        <v>3.6978566156982358</v>
      </c>
      <c r="X239" s="417">
        <f t="shared" si="358"/>
        <v>3.6608780495412532</v>
      </c>
      <c r="Y239" s="417">
        <f t="shared" si="359"/>
        <v>3.6242692690458407</v>
      </c>
      <c r="Z239" s="417">
        <f t="shared" si="360"/>
        <v>3.5880265763553822</v>
      </c>
      <c r="AA239" s="417">
        <f t="shared" si="361"/>
        <v>3.5521463105918283</v>
      </c>
      <c r="AB239" s="417">
        <f t="shared" si="362"/>
        <v>3.5166248474859101</v>
      </c>
      <c r="AC239" s="417">
        <f t="shared" si="363"/>
        <v>3.5517910959607693</v>
      </c>
      <c r="AD239" s="417">
        <f t="shared" si="364"/>
        <v>3.587309006920377</v>
      </c>
      <c r="AE239" s="417">
        <f t="shared" si="365"/>
        <v>3.6231820969895807</v>
      </c>
      <c r="AF239" s="417">
        <f t="shared" si="366"/>
        <v>3.6594139179594767</v>
      </c>
      <c r="AG239" s="417">
        <f t="shared" si="367"/>
        <v>3.6960080571390717</v>
      </c>
      <c r="AH239" s="456">
        <v>-2.5000000000000001E-2</v>
      </c>
      <c r="AI239" s="456">
        <v>-0.02</v>
      </c>
      <c r="AJ239" s="457">
        <v>-0.01</v>
      </c>
      <c r="AK239" s="456">
        <v>0.01</v>
      </c>
      <c r="AL239" s="198"/>
    </row>
    <row r="240" spans="1:38" s="4" customFormat="1">
      <c r="A240" s="408" t="s">
        <v>21</v>
      </c>
      <c r="B240" s="408" t="s">
        <v>24</v>
      </c>
      <c r="C240" s="416">
        <f>'No change with year'!CI12</f>
        <v>5.4779999999999998</v>
      </c>
      <c r="D240" s="417">
        <f t="shared" si="338"/>
        <v>5.3410500000000001</v>
      </c>
      <c r="E240" s="417">
        <f t="shared" si="339"/>
        <v>5.20752375</v>
      </c>
      <c r="F240" s="417">
        <f t="shared" si="340"/>
        <v>5.0773356562499998</v>
      </c>
      <c r="G240" s="417">
        <f t="shared" si="341"/>
        <v>4.95040226484375</v>
      </c>
      <c r="H240" s="417">
        <f t="shared" si="342"/>
        <v>4.8266422082226565</v>
      </c>
      <c r="I240" s="417">
        <f t="shared" si="343"/>
        <v>4.7301093640582037</v>
      </c>
      <c r="J240" s="417">
        <f t="shared" si="344"/>
        <v>4.6355071767770397</v>
      </c>
      <c r="K240" s="417">
        <f t="shared" si="345"/>
        <v>4.5427970332414986</v>
      </c>
      <c r="L240" s="417">
        <f t="shared" si="346"/>
        <v>4.4519410925766687</v>
      </c>
      <c r="M240" s="417">
        <f t="shared" si="347"/>
        <v>4.3629022707251348</v>
      </c>
      <c r="N240" s="417">
        <f t="shared" si="348"/>
        <v>4.2756442253106322</v>
      </c>
      <c r="O240" s="417">
        <f t="shared" si="349"/>
        <v>4.1901313408044194</v>
      </c>
      <c r="P240" s="417">
        <f t="shared" si="350"/>
        <v>4.1063287139883311</v>
      </c>
      <c r="Q240" s="417">
        <f t="shared" si="351"/>
        <v>4.0242021397085646</v>
      </c>
      <c r="R240" s="417">
        <f t="shared" si="352"/>
        <v>3.943718096914393</v>
      </c>
      <c r="S240" s="417">
        <f t="shared" si="353"/>
        <v>3.904280915945249</v>
      </c>
      <c r="T240" s="417">
        <f t="shared" si="354"/>
        <v>3.8652381067857964</v>
      </c>
      <c r="U240" s="417">
        <f t="shared" si="355"/>
        <v>3.8265857257179383</v>
      </c>
      <c r="V240" s="417">
        <f t="shared" si="356"/>
        <v>3.7883198684607589</v>
      </c>
      <c r="W240" s="417">
        <f t="shared" si="357"/>
        <v>3.7504366697761511</v>
      </c>
      <c r="X240" s="417">
        <f t="shared" si="358"/>
        <v>3.7129323030783894</v>
      </c>
      <c r="Y240" s="417">
        <f t="shared" si="359"/>
        <v>3.6758029800476053</v>
      </c>
      <c r="Z240" s="417">
        <f t="shared" si="360"/>
        <v>3.6390449502471292</v>
      </c>
      <c r="AA240" s="417">
        <f t="shared" si="361"/>
        <v>3.602654500744658</v>
      </c>
      <c r="AB240" s="417">
        <f t="shared" si="362"/>
        <v>3.5666279557372116</v>
      </c>
      <c r="AC240" s="417">
        <f t="shared" si="363"/>
        <v>3.6022942352945839</v>
      </c>
      <c r="AD240" s="417">
        <f t="shared" si="364"/>
        <v>3.6383171776475298</v>
      </c>
      <c r="AE240" s="417">
        <f t="shared" si="365"/>
        <v>3.6747003494240054</v>
      </c>
      <c r="AF240" s="417">
        <f t="shared" si="366"/>
        <v>3.7114473529182455</v>
      </c>
      <c r="AG240" s="417">
        <f t="shared" si="367"/>
        <v>3.7485618264474279</v>
      </c>
      <c r="AH240" s="456">
        <v>-2.5000000000000001E-2</v>
      </c>
      <c r="AI240" s="456">
        <v>-0.02</v>
      </c>
      <c r="AJ240" s="457">
        <v>-0.01</v>
      </c>
      <c r="AK240" s="456">
        <v>0.01</v>
      </c>
      <c r="AL240" s="198"/>
    </row>
    <row r="241" spans="1:38" s="4" customFormat="1">
      <c r="A241" s="408" t="s">
        <v>26</v>
      </c>
      <c r="B241" s="408" t="s">
        <v>13</v>
      </c>
      <c r="C241" s="416">
        <f>'No change with year'!CI13</f>
        <v>5.1821428571428569</v>
      </c>
      <c r="D241" s="417">
        <f t="shared" si="338"/>
        <v>5.0525892857142853</v>
      </c>
      <c r="E241" s="417">
        <f t="shared" si="339"/>
        <v>4.9262745535714281</v>
      </c>
      <c r="F241" s="417">
        <f t="shared" si="340"/>
        <v>4.8031176897321419</v>
      </c>
      <c r="G241" s="417">
        <f t="shared" si="341"/>
        <v>4.6830397474888379</v>
      </c>
      <c r="H241" s="417">
        <f t="shared" si="342"/>
        <v>4.5659637538016167</v>
      </c>
      <c r="I241" s="417">
        <f t="shared" si="343"/>
        <v>4.4746444787255841</v>
      </c>
      <c r="J241" s="417">
        <f t="shared" si="344"/>
        <v>4.3851515891510724</v>
      </c>
      <c r="K241" s="417">
        <f t="shared" si="345"/>
        <v>4.2974485573680505</v>
      </c>
      <c r="L241" s="417">
        <f t="shared" si="346"/>
        <v>4.2114995862206897</v>
      </c>
      <c r="M241" s="417">
        <f t="shared" si="347"/>
        <v>4.1272695944962754</v>
      </c>
      <c r="N241" s="417">
        <f t="shared" si="348"/>
        <v>4.0447242026063499</v>
      </c>
      <c r="O241" s="417">
        <f t="shared" si="349"/>
        <v>3.9638297185542228</v>
      </c>
      <c r="P241" s="417">
        <f t="shared" si="350"/>
        <v>3.8845531241831384</v>
      </c>
      <c r="Q241" s="417">
        <f t="shared" si="351"/>
        <v>3.8068620616994755</v>
      </c>
      <c r="R241" s="417">
        <f t="shared" si="352"/>
        <v>3.7307248204654857</v>
      </c>
      <c r="S241" s="417">
        <f t="shared" si="353"/>
        <v>3.6934175722608309</v>
      </c>
      <c r="T241" s="417">
        <f t="shared" si="354"/>
        <v>3.6564833965382224</v>
      </c>
      <c r="U241" s="417">
        <f t="shared" si="355"/>
        <v>3.6199185625728401</v>
      </c>
      <c r="V241" s="417">
        <f t="shared" si="356"/>
        <v>3.5837193769471116</v>
      </c>
      <c r="W241" s="417">
        <f t="shared" si="357"/>
        <v>3.5478821831776406</v>
      </c>
      <c r="X241" s="417">
        <f t="shared" si="358"/>
        <v>3.5124033613458643</v>
      </c>
      <c r="Y241" s="417">
        <f t="shared" si="359"/>
        <v>3.4772793277324054</v>
      </c>
      <c r="Z241" s="417">
        <f t="shared" si="360"/>
        <v>3.4425065344550814</v>
      </c>
      <c r="AA241" s="417">
        <f t="shared" si="361"/>
        <v>3.4080814691105306</v>
      </c>
      <c r="AB241" s="417">
        <f t="shared" si="362"/>
        <v>3.3740006544194254</v>
      </c>
      <c r="AC241" s="417">
        <f t="shared" si="363"/>
        <v>3.4077406609636198</v>
      </c>
      <c r="AD241" s="417">
        <f t="shared" si="364"/>
        <v>3.4418180675732559</v>
      </c>
      <c r="AE241" s="417">
        <f t="shared" si="365"/>
        <v>3.4762362482489886</v>
      </c>
      <c r="AF241" s="417">
        <f t="shared" si="366"/>
        <v>3.5109986107314786</v>
      </c>
      <c r="AG241" s="417">
        <f t="shared" si="367"/>
        <v>3.5461085968387933</v>
      </c>
      <c r="AH241" s="456">
        <v>-2.5000000000000001E-2</v>
      </c>
      <c r="AI241" s="456">
        <v>-0.02</v>
      </c>
      <c r="AJ241" s="457">
        <v>-0.01</v>
      </c>
      <c r="AK241" s="456">
        <v>0.01</v>
      </c>
      <c r="AL241" s="198"/>
    </row>
    <row r="242" spans="1:38" s="4" customFormat="1">
      <c r="A242" s="408" t="s">
        <v>26</v>
      </c>
      <c r="B242" s="408" t="s">
        <v>28</v>
      </c>
      <c r="C242" s="416">
        <f>'No change with year'!CI14</f>
        <v>5.2476190476190476</v>
      </c>
      <c r="D242" s="417">
        <f t="shared" si="338"/>
        <v>5.1164285714285711</v>
      </c>
      <c r="E242" s="417">
        <f t="shared" si="339"/>
        <v>4.988517857142857</v>
      </c>
      <c r="F242" s="417">
        <f t="shared" si="340"/>
        <v>4.8638049107142853</v>
      </c>
      <c r="G242" s="417">
        <f t="shared" si="341"/>
        <v>4.742209787946428</v>
      </c>
      <c r="H242" s="417">
        <f t="shared" si="342"/>
        <v>4.6236545432477669</v>
      </c>
      <c r="I242" s="417">
        <f t="shared" si="343"/>
        <v>4.5311814523828113</v>
      </c>
      <c r="J242" s="417">
        <f t="shared" si="344"/>
        <v>4.4405578233351548</v>
      </c>
      <c r="K242" s="417">
        <f t="shared" si="345"/>
        <v>4.3517466668684515</v>
      </c>
      <c r="L242" s="417">
        <f t="shared" si="346"/>
        <v>4.2647117335310822</v>
      </c>
      <c r="M242" s="417">
        <f t="shared" si="347"/>
        <v>4.1794174988604604</v>
      </c>
      <c r="N242" s="417">
        <f t="shared" si="348"/>
        <v>4.0958291488832508</v>
      </c>
      <c r="O242" s="417">
        <f t="shared" si="349"/>
        <v>4.0139125659055859</v>
      </c>
      <c r="P242" s="417">
        <f t="shared" si="350"/>
        <v>3.9336343145874739</v>
      </c>
      <c r="Q242" s="417">
        <f t="shared" si="351"/>
        <v>3.8549616282957242</v>
      </c>
      <c r="R242" s="417">
        <f t="shared" si="352"/>
        <v>3.7778623957298096</v>
      </c>
      <c r="S242" s="417">
        <f t="shared" si="353"/>
        <v>3.7400837717725115</v>
      </c>
      <c r="T242" s="417">
        <f t="shared" si="354"/>
        <v>3.7026829340547862</v>
      </c>
      <c r="U242" s="417">
        <f t="shared" si="355"/>
        <v>3.6656561047142384</v>
      </c>
      <c r="V242" s="417">
        <f t="shared" si="356"/>
        <v>3.6289995436670961</v>
      </c>
      <c r="W242" s="417">
        <f t="shared" si="357"/>
        <v>3.5927095482304252</v>
      </c>
      <c r="X242" s="417">
        <f t="shared" si="358"/>
        <v>3.5567824527481209</v>
      </c>
      <c r="Y242" s="417">
        <f t="shared" si="359"/>
        <v>3.5212146282206396</v>
      </c>
      <c r="Z242" s="417">
        <f t="shared" si="360"/>
        <v>3.4860024819384332</v>
      </c>
      <c r="AA242" s="417">
        <f t="shared" si="361"/>
        <v>3.4511424571190488</v>
      </c>
      <c r="AB242" s="417">
        <f t="shared" si="362"/>
        <v>3.4166310325478584</v>
      </c>
      <c r="AC242" s="417">
        <f t="shared" si="363"/>
        <v>3.4507973428733369</v>
      </c>
      <c r="AD242" s="417">
        <f t="shared" si="364"/>
        <v>3.4853053163020702</v>
      </c>
      <c r="AE242" s="417">
        <f t="shared" si="365"/>
        <v>3.5201583694650909</v>
      </c>
      <c r="AF242" s="417">
        <f t="shared" si="366"/>
        <v>3.555359953159742</v>
      </c>
      <c r="AG242" s="417">
        <f t="shared" si="367"/>
        <v>3.5909135526913394</v>
      </c>
      <c r="AH242" s="456">
        <v>-2.5000000000000001E-2</v>
      </c>
      <c r="AI242" s="456">
        <v>-0.02</v>
      </c>
      <c r="AJ242" s="457">
        <v>-0.01</v>
      </c>
      <c r="AK242" s="456">
        <v>0.01</v>
      </c>
      <c r="AL242" s="198"/>
    </row>
    <row r="243" spans="1:38" s="4" customFormat="1">
      <c r="A243" s="408" t="s">
        <v>30</v>
      </c>
      <c r="B243" s="408" t="s">
        <v>28</v>
      </c>
      <c r="C243" s="416">
        <f>'No change with year'!CI15</f>
        <v>5.4785714285714286</v>
      </c>
      <c r="D243" s="417">
        <f t="shared" si="338"/>
        <v>5.3416071428571428</v>
      </c>
      <c r="E243" s="417">
        <f t="shared" si="339"/>
        <v>5.208066964285714</v>
      </c>
      <c r="F243" s="417">
        <f t="shared" si="340"/>
        <v>5.077865290178571</v>
      </c>
      <c r="G243" s="417">
        <f t="shared" si="341"/>
        <v>4.9509186579241069</v>
      </c>
      <c r="H243" s="417">
        <f t="shared" si="342"/>
        <v>4.8271456914760043</v>
      </c>
      <c r="I243" s="417">
        <f t="shared" si="343"/>
        <v>4.7306027776464843</v>
      </c>
      <c r="J243" s="417">
        <f t="shared" si="344"/>
        <v>4.6359907220935543</v>
      </c>
      <c r="K243" s="417">
        <f t="shared" si="345"/>
        <v>4.5432709076516833</v>
      </c>
      <c r="L243" s="417">
        <f t="shared" si="346"/>
        <v>4.4524054894986493</v>
      </c>
      <c r="M243" s="417">
        <f t="shared" si="347"/>
        <v>4.3633573797086767</v>
      </c>
      <c r="N243" s="417">
        <f t="shared" si="348"/>
        <v>4.2760902321145027</v>
      </c>
      <c r="O243" s="417">
        <f t="shared" si="349"/>
        <v>4.1905684274722121</v>
      </c>
      <c r="P243" s="417">
        <f t="shared" si="350"/>
        <v>4.106757058922768</v>
      </c>
      <c r="Q243" s="417">
        <f t="shared" si="351"/>
        <v>4.0246219177443123</v>
      </c>
      <c r="R243" s="417">
        <f t="shared" si="352"/>
        <v>3.9441294793894262</v>
      </c>
      <c r="S243" s="417">
        <f t="shared" si="353"/>
        <v>3.9046881845955319</v>
      </c>
      <c r="T243" s="417">
        <f t="shared" si="354"/>
        <v>3.8656413027495766</v>
      </c>
      <c r="U243" s="417">
        <f t="shared" si="355"/>
        <v>3.8269848897220808</v>
      </c>
      <c r="V243" s="417">
        <f t="shared" si="356"/>
        <v>3.7887150408248602</v>
      </c>
      <c r="W243" s="417">
        <f t="shared" si="357"/>
        <v>3.7508278904166117</v>
      </c>
      <c r="X243" s="417">
        <f t="shared" si="358"/>
        <v>3.7133196115124454</v>
      </c>
      <c r="Y243" s="417">
        <f t="shared" si="359"/>
        <v>3.6761864153973209</v>
      </c>
      <c r="Z243" s="417">
        <f t="shared" si="360"/>
        <v>3.6394245512433478</v>
      </c>
      <c r="AA243" s="417">
        <f t="shared" si="361"/>
        <v>3.6030303057309143</v>
      </c>
      <c r="AB243" s="417">
        <f t="shared" si="362"/>
        <v>3.5670000026736051</v>
      </c>
      <c r="AC243" s="417">
        <f t="shared" si="363"/>
        <v>3.6026700027003411</v>
      </c>
      <c r="AD243" s="417">
        <f t="shared" si="364"/>
        <v>3.6386967027273447</v>
      </c>
      <c r="AE243" s="417">
        <f t="shared" si="365"/>
        <v>3.6750836697546183</v>
      </c>
      <c r="AF243" s="417">
        <f t="shared" si="366"/>
        <v>3.7118345064521647</v>
      </c>
      <c r="AG243" s="417">
        <f t="shared" si="367"/>
        <v>3.7489528515166866</v>
      </c>
      <c r="AH243" s="456">
        <v>-2.5000000000000001E-2</v>
      </c>
      <c r="AI243" s="456">
        <v>-0.02</v>
      </c>
      <c r="AJ243" s="457">
        <v>-0.01</v>
      </c>
      <c r="AK243" s="456">
        <v>0.01</v>
      </c>
      <c r="AL243" s="198"/>
    </row>
    <row r="244" spans="1:38" s="4" customFormat="1">
      <c r="A244" s="408" t="s">
        <v>152</v>
      </c>
      <c r="B244" s="408" t="s">
        <v>11</v>
      </c>
      <c r="C244" s="416">
        <f>'No change with year'!CI16</f>
        <v>4.5701999999999998</v>
      </c>
      <c r="D244" s="417">
        <f t="shared" si="338"/>
        <v>4.4559449999999998</v>
      </c>
      <c r="E244" s="417">
        <f t="shared" si="339"/>
        <v>4.3445463749999993</v>
      </c>
      <c r="F244" s="417">
        <f t="shared" si="340"/>
        <v>4.2359327156249993</v>
      </c>
      <c r="G244" s="417">
        <f t="shared" si="341"/>
        <v>4.1300343977343745</v>
      </c>
      <c r="H244" s="417">
        <f t="shared" si="342"/>
        <v>4.0267835377910153</v>
      </c>
      <c r="I244" s="417">
        <f t="shared" si="343"/>
        <v>3.9462478670351948</v>
      </c>
      <c r="J244" s="417">
        <f t="shared" si="344"/>
        <v>3.867322909694491</v>
      </c>
      <c r="K244" s="417">
        <f t="shared" si="345"/>
        <v>3.7899764515006011</v>
      </c>
      <c r="L244" s="417">
        <f t="shared" si="346"/>
        <v>3.7141769224705889</v>
      </c>
      <c r="M244" s="417">
        <f t="shared" si="347"/>
        <v>3.6398933840211769</v>
      </c>
      <c r="N244" s="417">
        <f t="shared" si="348"/>
        <v>3.5670955163407534</v>
      </c>
      <c r="O244" s="417">
        <f t="shared" si="349"/>
        <v>3.4957536060139383</v>
      </c>
      <c r="P244" s="417">
        <f t="shared" si="350"/>
        <v>3.4258385338936592</v>
      </c>
      <c r="Q244" s="417">
        <f t="shared" si="351"/>
        <v>3.3573217632157859</v>
      </c>
      <c r="R244" s="417">
        <f t="shared" si="352"/>
        <v>3.2901753279514701</v>
      </c>
      <c r="S244" s="417">
        <f t="shared" si="353"/>
        <v>3.2572735746719554</v>
      </c>
      <c r="T244" s="417">
        <f t="shared" si="354"/>
        <v>3.2247008389252358</v>
      </c>
      <c r="U244" s="417">
        <f t="shared" si="355"/>
        <v>3.1924538305359835</v>
      </c>
      <c r="V244" s="417">
        <f t="shared" si="356"/>
        <v>3.1605292922306236</v>
      </c>
      <c r="W244" s="417">
        <f t="shared" si="357"/>
        <v>3.1289239993083173</v>
      </c>
      <c r="X244" s="417">
        <f t="shared" si="358"/>
        <v>3.097634759315234</v>
      </c>
      <c r="Y244" s="417">
        <f t="shared" si="359"/>
        <v>3.0666584117220816</v>
      </c>
      <c r="Z244" s="417">
        <f t="shared" si="360"/>
        <v>3.0359918276048607</v>
      </c>
      <c r="AA244" s="417">
        <f t="shared" si="361"/>
        <v>3.005631909328812</v>
      </c>
      <c r="AB244" s="417">
        <f t="shared" si="362"/>
        <v>2.9755755902355236</v>
      </c>
      <c r="AC244" s="417">
        <f t="shared" si="363"/>
        <v>3.0053313461378788</v>
      </c>
      <c r="AD244" s="417">
        <f t="shared" si="364"/>
        <v>3.0353846595992575</v>
      </c>
      <c r="AE244" s="417">
        <f t="shared" si="365"/>
        <v>3.0657385061952502</v>
      </c>
      <c r="AF244" s="417">
        <f t="shared" si="366"/>
        <v>3.0963958912572029</v>
      </c>
      <c r="AG244" s="417">
        <f t="shared" si="367"/>
        <v>3.1273598501697748</v>
      </c>
      <c r="AH244" s="456">
        <v>-2.5000000000000001E-2</v>
      </c>
      <c r="AI244" s="456">
        <v>-0.02</v>
      </c>
      <c r="AJ244" s="457">
        <v>-0.01</v>
      </c>
      <c r="AK244" s="456">
        <v>0.01</v>
      </c>
      <c r="AL244" s="198"/>
    </row>
    <row r="245" spans="1:38" s="4" customFormat="1">
      <c r="A245" s="408" t="s">
        <v>34</v>
      </c>
      <c r="B245" s="408" t="s">
        <v>11</v>
      </c>
      <c r="C245" s="416">
        <f>'No change with year'!CI17</f>
        <v>4.1702000000000004</v>
      </c>
      <c r="D245" s="417">
        <f t="shared" si="338"/>
        <v>4.0659450000000001</v>
      </c>
      <c r="E245" s="417">
        <f t="shared" si="339"/>
        <v>3.964296375</v>
      </c>
      <c r="F245" s="417">
        <f t="shared" si="340"/>
        <v>3.8651889656249998</v>
      </c>
      <c r="G245" s="417">
        <f t="shared" si="341"/>
        <v>3.7685592414843749</v>
      </c>
      <c r="H245" s="417">
        <f t="shared" si="342"/>
        <v>3.6743452604472653</v>
      </c>
      <c r="I245" s="417">
        <f t="shared" si="343"/>
        <v>3.6008583552383198</v>
      </c>
      <c r="J245" s="417">
        <f t="shared" si="344"/>
        <v>3.5288411881335535</v>
      </c>
      <c r="K245" s="417">
        <f t="shared" si="345"/>
        <v>3.4582643643708826</v>
      </c>
      <c r="L245" s="417">
        <f t="shared" si="346"/>
        <v>3.3890990770834648</v>
      </c>
      <c r="M245" s="417">
        <f t="shared" si="347"/>
        <v>3.3213170955417954</v>
      </c>
      <c r="N245" s="417">
        <f t="shared" si="348"/>
        <v>3.2548907536309595</v>
      </c>
      <c r="O245" s="417">
        <f t="shared" si="349"/>
        <v>3.1897929385583401</v>
      </c>
      <c r="P245" s="417">
        <f t="shared" si="350"/>
        <v>3.1259970797871732</v>
      </c>
      <c r="Q245" s="417">
        <f t="shared" si="351"/>
        <v>3.0634771381914296</v>
      </c>
      <c r="R245" s="417">
        <f t="shared" si="352"/>
        <v>3.0022075954276009</v>
      </c>
      <c r="S245" s="417">
        <f t="shared" si="353"/>
        <v>2.9721855194733249</v>
      </c>
      <c r="T245" s="417">
        <f t="shared" si="354"/>
        <v>2.9424636642785917</v>
      </c>
      <c r="U245" s="417">
        <f t="shared" si="355"/>
        <v>2.9130390276358056</v>
      </c>
      <c r="V245" s="417">
        <f t="shared" si="356"/>
        <v>2.8839086373594474</v>
      </c>
      <c r="W245" s="417">
        <f t="shared" si="357"/>
        <v>2.8550695509858528</v>
      </c>
      <c r="X245" s="417">
        <f t="shared" si="358"/>
        <v>2.8265188554759941</v>
      </c>
      <c r="Y245" s="417">
        <f t="shared" si="359"/>
        <v>2.7982536669212341</v>
      </c>
      <c r="Z245" s="417">
        <f t="shared" si="360"/>
        <v>2.7702711302520218</v>
      </c>
      <c r="AA245" s="417">
        <f t="shared" si="361"/>
        <v>2.7425684189495017</v>
      </c>
      <c r="AB245" s="417">
        <f t="shared" si="362"/>
        <v>2.7151427347600068</v>
      </c>
      <c r="AC245" s="417">
        <f t="shared" si="363"/>
        <v>2.7422941621076067</v>
      </c>
      <c r="AD245" s="417">
        <f t="shared" si="364"/>
        <v>2.769717103728683</v>
      </c>
      <c r="AE245" s="417">
        <f t="shared" si="365"/>
        <v>2.7974142747659698</v>
      </c>
      <c r="AF245" s="417">
        <f t="shared" si="366"/>
        <v>2.8253884175136297</v>
      </c>
      <c r="AG245" s="417">
        <f t="shared" si="367"/>
        <v>2.8536423016887662</v>
      </c>
      <c r="AH245" s="456">
        <v>-2.5000000000000001E-2</v>
      </c>
      <c r="AI245" s="456">
        <v>-0.02</v>
      </c>
      <c r="AJ245" s="457">
        <v>-0.01</v>
      </c>
      <c r="AK245" s="456">
        <v>0.01</v>
      </c>
      <c r="AL245" s="198"/>
    </row>
    <row r="246" spans="1:38" s="4" customFormat="1">
      <c r="A246" s="408" t="s">
        <v>36</v>
      </c>
      <c r="B246" s="408" t="s">
        <v>37</v>
      </c>
      <c r="C246" s="416">
        <f>'No change with year'!CI18</f>
        <v>5.4625000000000004</v>
      </c>
      <c r="D246" s="417">
        <f t="shared" si="338"/>
        <v>5.3259375000000002</v>
      </c>
      <c r="E246" s="417">
        <f t="shared" si="339"/>
        <v>5.1927890625000002</v>
      </c>
      <c r="F246" s="417">
        <f t="shared" si="340"/>
        <v>5.0629693359374999</v>
      </c>
      <c r="G246" s="417">
        <f t="shared" si="341"/>
        <v>4.9363951025390627</v>
      </c>
      <c r="H246" s="417">
        <f t="shared" si="342"/>
        <v>4.812985224975586</v>
      </c>
      <c r="I246" s="417">
        <f t="shared" si="343"/>
        <v>4.7167255204760741</v>
      </c>
      <c r="J246" s="417">
        <f t="shared" si="344"/>
        <v>4.6223910100665524</v>
      </c>
      <c r="K246" s="417">
        <f t="shared" si="345"/>
        <v>4.5299431898652216</v>
      </c>
      <c r="L246" s="417">
        <f t="shared" si="346"/>
        <v>4.4393443260679168</v>
      </c>
      <c r="M246" s="417">
        <f t="shared" si="347"/>
        <v>4.3505574395465585</v>
      </c>
      <c r="N246" s="417">
        <f t="shared" si="348"/>
        <v>4.2635462907556274</v>
      </c>
      <c r="O246" s="417">
        <f t="shared" si="349"/>
        <v>4.1782753649405144</v>
      </c>
      <c r="P246" s="417">
        <f t="shared" si="350"/>
        <v>4.0947098576417043</v>
      </c>
      <c r="Q246" s="417">
        <f t="shared" si="351"/>
        <v>4.0128156604888705</v>
      </c>
      <c r="R246" s="417">
        <f t="shared" si="352"/>
        <v>3.932559347279093</v>
      </c>
      <c r="S246" s="417">
        <f t="shared" si="353"/>
        <v>3.8932337538063022</v>
      </c>
      <c r="T246" s="417">
        <f t="shared" si="354"/>
        <v>3.854301416268239</v>
      </c>
      <c r="U246" s="417">
        <f t="shared" si="355"/>
        <v>3.8157584021055566</v>
      </c>
      <c r="V246" s="417">
        <f t="shared" si="356"/>
        <v>3.7776008180845011</v>
      </c>
      <c r="W246" s="417">
        <f t="shared" si="357"/>
        <v>3.7398248099036562</v>
      </c>
      <c r="X246" s="417">
        <f t="shared" si="358"/>
        <v>3.7024265618046197</v>
      </c>
      <c r="Y246" s="417">
        <f t="shared" si="359"/>
        <v>3.6654022961865733</v>
      </c>
      <c r="Z246" s="417">
        <f t="shared" si="360"/>
        <v>3.6287482732247076</v>
      </c>
      <c r="AA246" s="417">
        <f t="shared" si="361"/>
        <v>3.5924607904924604</v>
      </c>
      <c r="AB246" s="417">
        <f t="shared" si="362"/>
        <v>3.5565361825875357</v>
      </c>
      <c r="AC246" s="417">
        <f t="shared" si="363"/>
        <v>3.5921015444134112</v>
      </c>
      <c r="AD246" s="417">
        <f t="shared" si="364"/>
        <v>3.6280225598575453</v>
      </c>
      <c r="AE246" s="417">
        <f t="shared" si="365"/>
        <v>3.6643027854561208</v>
      </c>
      <c r="AF246" s="417">
        <f t="shared" si="366"/>
        <v>3.7009458133106818</v>
      </c>
      <c r="AG246" s="417">
        <f t="shared" si="367"/>
        <v>3.7379552714437887</v>
      </c>
      <c r="AH246" s="456">
        <v>-2.5000000000000001E-2</v>
      </c>
      <c r="AI246" s="456">
        <v>-0.02</v>
      </c>
      <c r="AJ246" s="457">
        <v>-0.01</v>
      </c>
      <c r="AK246" s="456">
        <v>0.01</v>
      </c>
      <c r="AL246" s="198"/>
    </row>
    <row r="247" spans="1:38">
      <c r="A247" s="408"/>
      <c r="B247" s="408"/>
      <c r="C247" s="323"/>
      <c r="D247" s="323"/>
      <c r="E247" s="323"/>
      <c r="F247" s="323"/>
      <c r="G247" s="323"/>
      <c r="H247" s="323"/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U247" s="323"/>
      <c r="V247" s="323"/>
      <c r="W247" s="323"/>
      <c r="X247" s="323"/>
      <c r="Y247" s="323"/>
      <c r="Z247" s="323"/>
      <c r="AA247" s="323"/>
      <c r="AB247" s="323"/>
      <c r="AC247" s="323"/>
      <c r="AD247" s="323"/>
      <c r="AE247" s="323"/>
      <c r="AF247" s="323"/>
      <c r="AG247" s="323"/>
      <c r="AH247" s="409"/>
      <c r="AI247" s="409"/>
      <c r="AJ247" s="409"/>
      <c r="AK247" s="409"/>
      <c r="AL247" s="148"/>
    </row>
    <row r="248" spans="1:38" ht="29.4" customHeight="1">
      <c r="A248" s="903" t="s">
        <v>153</v>
      </c>
      <c r="B248" s="904"/>
      <c r="C248" s="399">
        <v>2025</v>
      </c>
      <c r="D248" s="399">
        <v>2026</v>
      </c>
      <c r="E248" s="399">
        <v>2027</v>
      </c>
      <c r="F248" s="399">
        <v>2028</v>
      </c>
      <c r="G248" s="399">
        <v>2029</v>
      </c>
      <c r="H248" s="399">
        <v>2030</v>
      </c>
      <c r="I248" s="399">
        <v>2031</v>
      </c>
      <c r="J248" s="399">
        <v>2032</v>
      </c>
      <c r="K248" s="399">
        <v>2033</v>
      </c>
      <c r="L248" s="399">
        <v>2034</v>
      </c>
      <c r="M248" s="399">
        <v>2035</v>
      </c>
      <c r="N248" s="399">
        <v>2036</v>
      </c>
      <c r="O248" s="399">
        <v>2037</v>
      </c>
      <c r="P248" s="399">
        <v>2038</v>
      </c>
      <c r="Q248" s="399">
        <v>2039</v>
      </c>
      <c r="R248" s="399">
        <v>2040</v>
      </c>
      <c r="S248" s="399">
        <v>2041</v>
      </c>
      <c r="T248" s="399">
        <v>2042</v>
      </c>
      <c r="U248" s="399">
        <v>2043</v>
      </c>
      <c r="V248" s="399">
        <v>2044</v>
      </c>
      <c r="W248" s="399">
        <v>2045</v>
      </c>
      <c r="X248" s="399">
        <v>2046</v>
      </c>
      <c r="Y248" s="399">
        <v>2047</v>
      </c>
      <c r="Z248" s="399">
        <v>2048</v>
      </c>
      <c r="AA248" s="399">
        <v>2049</v>
      </c>
      <c r="AB248" s="399">
        <v>2050</v>
      </c>
      <c r="AC248" s="399">
        <v>2051</v>
      </c>
      <c r="AD248" s="399">
        <v>2052</v>
      </c>
      <c r="AE248" s="399">
        <v>2053</v>
      </c>
      <c r="AF248" s="399">
        <v>2054</v>
      </c>
      <c r="AG248" s="399">
        <v>2055</v>
      </c>
      <c r="AH248" s="399"/>
      <c r="AI248" s="336"/>
      <c r="AJ248" s="336"/>
      <c r="AK248" s="336"/>
      <c r="AL248" s="336"/>
    </row>
    <row r="249" spans="1:38" s="4" customFormat="1">
      <c r="A249" s="408" t="s">
        <v>8</v>
      </c>
      <c r="B249" s="408" t="s">
        <v>9</v>
      </c>
      <c r="C249" s="418">
        <f>C233+C153-C169</f>
        <v>5.7648341071163971</v>
      </c>
      <c r="D249" s="418">
        <f>D233+D153-D169</f>
        <v>5.7559132544384868</v>
      </c>
      <c r="E249" s="418">
        <f t="shared" ref="E249:AG249" si="368">E233+E153-E169</f>
        <v>5.7526234230775257</v>
      </c>
      <c r="F249" s="418">
        <f t="shared" si="368"/>
        <v>5.7550401575005861</v>
      </c>
      <c r="G249" s="418">
        <f t="shared" si="368"/>
        <v>5.7632457663630721</v>
      </c>
      <c r="H249" s="418">
        <f t="shared" si="368"/>
        <v>5.7773294995159956</v>
      </c>
      <c r="I249" s="418">
        <f t="shared" si="368"/>
        <v>5.8136211917451952</v>
      </c>
      <c r="J249" s="418">
        <f t="shared" si="368"/>
        <v>5.8552605814185927</v>
      </c>
      <c r="K249" s="418">
        <f t="shared" si="368"/>
        <v>5.9023836558388547</v>
      </c>
      <c r="L249" s="418">
        <f t="shared" si="368"/>
        <v>5.9551334002126559</v>
      </c>
      <c r="M249" s="418">
        <f t="shared" si="368"/>
        <v>6.013660046398603</v>
      </c>
      <c r="N249" s="418">
        <f t="shared" si="368"/>
        <v>6.0781213322284406</v>
      </c>
      <c r="O249" s="418">
        <f t="shared" si="368"/>
        <v>6.1486827718119947</v>
      </c>
      <c r="P249" s="418">
        <f t="shared" si="368"/>
        <v>6.2255179372530014</v>
      </c>
      <c r="Q249" s="418">
        <f t="shared" si="368"/>
        <v>6.308808752220278</v>
      </c>
      <c r="R249" s="418">
        <f t="shared" si="368"/>
        <v>6.3987457978367015</v>
      </c>
      <c r="S249" s="418">
        <f t="shared" si="368"/>
        <v>6.5220564644310555</v>
      </c>
      <c r="T249" s="418">
        <f t="shared" si="368"/>
        <v>6.6516259493423737</v>
      </c>
      <c r="U249" s="418">
        <f t="shared" si="368"/>
        <v>6.7876913413868021</v>
      </c>
      <c r="V249" s="418">
        <f t="shared" si="368"/>
        <v>6.9304993455723025</v>
      </c>
      <c r="W249" s="418">
        <f t="shared" si="368"/>
        <v>7.0803066664199203</v>
      </c>
      <c r="X249" s="418">
        <f t="shared" si="368"/>
        <v>7.2373804066311962</v>
      </c>
      <c r="Y249" s="418">
        <f t="shared" si="368"/>
        <v>7.4019984817153794</v>
      </c>
      <c r="Z249" s="418">
        <f t="shared" si="368"/>
        <v>7.5744500512147397</v>
      </c>
      <c r="AA249" s="418">
        <f t="shared" si="368"/>
        <v>7.7550359671917688</v>
      </c>
      <c r="AB249" s="418">
        <f t="shared" si="368"/>
        <v>7.9440692406685933</v>
      </c>
      <c r="AC249" s="418">
        <f t="shared" si="368"/>
        <v>8.1898581201600944</v>
      </c>
      <c r="AD249" s="418">
        <f t="shared" si="368"/>
        <v>8.4447588159299034</v>
      </c>
      <c r="AE249" s="418">
        <f t="shared" si="368"/>
        <v>8.7091286032401385</v>
      </c>
      <c r="AF249" s="418">
        <f t="shared" si="368"/>
        <v>8.9833389763895148</v>
      </c>
      <c r="AG249" s="418">
        <f t="shared" si="368"/>
        <v>9.2677762167550615</v>
      </c>
      <c r="AH249" s="456"/>
      <c r="AI249" s="457"/>
      <c r="AJ249" s="456"/>
      <c r="AK249" s="456"/>
      <c r="AL249" s="198"/>
    </row>
    <row r="250" spans="1:38" s="4" customFormat="1">
      <c r="A250" s="408" t="s">
        <v>8</v>
      </c>
      <c r="B250" s="408" t="s">
        <v>11</v>
      </c>
      <c r="C250" s="418">
        <f t="shared" ref="C250:D262" si="369">C234+C154-C170</f>
        <v>7.2200000000000015</v>
      </c>
      <c r="D250" s="418">
        <f t="shared" si="369"/>
        <v>7.2553000000000001</v>
      </c>
      <c r="E250" s="418">
        <f t="shared" ref="E250:AG250" si="370">E234+E154-E170</f>
        <v>7.2983495000000005</v>
      </c>
      <c r="F250" s="418">
        <f t="shared" si="370"/>
        <v>7.3493000425000004</v>
      </c>
      <c r="G250" s="418">
        <f t="shared" si="370"/>
        <v>7.4083131926374994</v>
      </c>
      <c r="H250" s="418">
        <f t="shared" si="370"/>
        <v>7.4755608400695621</v>
      </c>
      <c r="I250" s="418">
        <f t="shared" si="370"/>
        <v>7.5684068814262506</v>
      </c>
      <c r="J250" s="418">
        <f t="shared" si="370"/>
        <v>7.6690902922821307</v>
      </c>
      <c r="K250" s="418">
        <f t="shared" si="370"/>
        <v>7.777842096860268</v>
      </c>
      <c r="L250" s="418">
        <f t="shared" si="370"/>
        <v>7.8949042097637925</v>
      </c>
      <c r="M250" s="418">
        <f t="shared" si="370"/>
        <v>8.0205298386028776</v>
      </c>
      <c r="N250" s="418">
        <f t="shared" si="370"/>
        <v>8.1549839033865545</v>
      </c>
      <c r="O250" s="418">
        <f t="shared" si="370"/>
        <v>8.2985434733367871</v>
      </c>
      <c r="P250" s="418">
        <f t="shared" si="370"/>
        <v>8.4514982218087322</v>
      </c>
      <c r="Q250" s="418">
        <f t="shared" si="370"/>
        <v>8.6141509000287879</v>
      </c>
      <c r="R250" s="418">
        <f t="shared" si="370"/>
        <v>8.7868178303906905</v>
      </c>
      <c r="S250" s="418">
        <f t="shared" si="370"/>
        <v>8.9979062740009308</v>
      </c>
      <c r="T250" s="418">
        <f t="shared" si="370"/>
        <v>9.2188420980516366</v>
      </c>
      <c r="U250" s="418">
        <f t="shared" si="370"/>
        <v>9.4500051593334646</v>
      </c>
      <c r="V250" s="418">
        <f t="shared" si="370"/>
        <v>9.6917906492929653</v>
      </c>
      <c r="W250" s="418">
        <f t="shared" si="370"/>
        <v>9.9446097060149867</v>
      </c>
      <c r="X250" s="418">
        <f t="shared" si="370"/>
        <v>10.208890050698383</v>
      </c>
      <c r="Y250" s="418">
        <f t="shared" si="370"/>
        <v>10.485076649604689</v>
      </c>
      <c r="Z250" s="418">
        <f t="shared" si="370"/>
        <v>10.773632402498464</v>
      </c>
      <c r="AA250" s="418">
        <f t="shared" si="370"/>
        <v>11.075038858638894</v>
      </c>
      <c r="AB250" s="418">
        <f t="shared" si="370"/>
        <v>11.389796961424537</v>
      </c>
      <c r="AC250" s="418">
        <f t="shared" si="370"/>
        <v>11.769212229654929</v>
      </c>
      <c r="AD250" s="418">
        <f t="shared" si="370"/>
        <v>12.163042342512274</v>
      </c>
      <c r="AE250" s="418">
        <f t="shared" si="370"/>
        <v>12.57185627612062</v>
      </c>
      <c r="AF250" s="418">
        <f t="shared" si="370"/>
        <v>12.996245689472381</v>
      </c>
      <c r="AG250" s="418">
        <f t="shared" si="370"/>
        <v>13.436825830981281</v>
      </c>
      <c r="AH250" s="456"/>
      <c r="AI250" s="457"/>
      <c r="AJ250" s="456"/>
      <c r="AK250" s="456"/>
      <c r="AL250" s="198"/>
    </row>
    <row r="251" spans="1:38" s="4" customFormat="1">
      <c r="A251" s="408" t="s">
        <v>8</v>
      </c>
      <c r="B251" s="408" t="s">
        <v>13</v>
      </c>
      <c r="C251" s="418">
        <f t="shared" si="369"/>
        <v>11.878285714285717</v>
      </c>
      <c r="D251" s="418">
        <f t="shared" si="369"/>
        <v>12.014228571428573</v>
      </c>
      <c r="E251" s="418">
        <f t="shared" ref="E251:AG251" si="371">E235+E155-E171</f>
        <v>12.164088857142859</v>
      </c>
      <c r="F251" s="418">
        <f t="shared" si="371"/>
        <v>12.328211275714287</v>
      </c>
      <c r="G251" s="418">
        <f t="shared" si="371"/>
        <v>12.50695961942143</v>
      </c>
      <c r="H251" s="418">
        <f t="shared" si="371"/>
        <v>12.700717399559894</v>
      </c>
      <c r="I251" s="418">
        <f t="shared" si="371"/>
        <v>12.932877551367737</v>
      </c>
      <c r="J251" s="418">
        <f t="shared" si="371"/>
        <v>13.179841480131385</v>
      </c>
      <c r="K251" s="418">
        <f t="shared" si="371"/>
        <v>13.442090989511399</v>
      </c>
      <c r="L251" s="418">
        <f t="shared" si="371"/>
        <v>13.720129362263121</v>
      </c>
      <c r="M251" s="418">
        <f t="shared" si="371"/>
        <v>14.014482175261483</v>
      </c>
      <c r="N251" s="418">
        <f t="shared" si="371"/>
        <v>14.325698148009623</v>
      </c>
      <c r="O251" s="418">
        <f t="shared" si="371"/>
        <v>14.654350025952937</v>
      </c>
      <c r="P251" s="418">
        <f t="shared" si="371"/>
        <v>15.001035499973522</v>
      </c>
      <c r="Q251" s="418">
        <f t="shared" si="371"/>
        <v>15.366378163495286</v>
      </c>
      <c r="R251" s="418">
        <f t="shared" si="371"/>
        <v>15.751028508687462</v>
      </c>
      <c r="S251" s="418">
        <f t="shared" si="371"/>
        <v>16.193232410934385</v>
      </c>
      <c r="T251" s="418">
        <f t="shared" si="371"/>
        <v>16.655002841652202</v>
      </c>
      <c r="U251" s="418">
        <f t="shared" si="371"/>
        <v>17.137103678255922</v>
      </c>
      <c r="V251" s="418">
        <f t="shared" si="371"/>
        <v>17.640329541094417</v>
      </c>
      <c r="W251" s="418">
        <f t="shared" si="371"/>
        <v>18.165507021289365</v>
      </c>
      <c r="X251" s="418">
        <f t="shared" si="371"/>
        <v>18.713495957706602</v>
      </c>
      <c r="Y251" s="418">
        <f t="shared" si="371"/>
        <v>19.285190765024872</v>
      </c>
      <c r="Z251" s="418">
        <f t="shared" si="371"/>
        <v>19.881521814945771</v>
      </c>
      <c r="AA251" s="418">
        <f t="shared" si="371"/>
        <v>20.503456872670309</v>
      </c>
      <c r="AB251" s="418">
        <f t="shared" si="371"/>
        <v>21.152002590852558</v>
      </c>
      <c r="AC251" s="418">
        <f t="shared" si="371"/>
        <v>21.896156715792273</v>
      </c>
      <c r="AD251" s="418">
        <f t="shared" si="371"/>
        <v>22.669057745942631</v>
      </c>
      <c r="AE251" s="418">
        <f t="shared" si="371"/>
        <v>23.471845364914188</v>
      </c>
      <c r="AF251" s="418">
        <f t="shared" si="371"/>
        <v>24.305704741735951</v>
      </c>
      <c r="AG251" s="418">
        <f t="shared" si="371"/>
        <v>25.171868349252833</v>
      </c>
      <c r="AH251" s="456"/>
      <c r="AI251" s="457"/>
      <c r="AJ251" s="456"/>
      <c r="AK251" s="456"/>
      <c r="AL251" s="198"/>
    </row>
    <row r="252" spans="1:38" s="4" customFormat="1">
      <c r="A252" s="408" t="s">
        <v>15</v>
      </c>
      <c r="B252" s="408" t="s">
        <v>9</v>
      </c>
      <c r="C252" s="418">
        <f t="shared" si="369"/>
        <v>5.996666666666667</v>
      </c>
      <c r="D252" s="418">
        <f t="shared" si="369"/>
        <v>5.9819499999999994</v>
      </c>
      <c r="E252" s="418">
        <f t="shared" ref="E252:AG252" si="372">E236+E156-E172</f>
        <v>5.9730092499999996</v>
      </c>
      <c r="F252" s="418">
        <f t="shared" si="372"/>
        <v>5.9699163387499983</v>
      </c>
      <c r="G252" s="418">
        <f t="shared" si="372"/>
        <v>5.9727500430812484</v>
      </c>
      <c r="H252" s="418">
        <f t="shared" si="372"/>
        <v>5.9815961693162185</v>
      </c>
      <c r="I252" s="418">
        <f t="shared" si="372"/>
        <v>6.0138025281494141</v>
      </c>
      <c r="J252" s="418">
        <f t="shared" si="372"/>
        <v>6.0514382910947262</v>
      </c>
      <c r="K252" s="418">
        <f t="shared" si="372"/>
        <v>6.0946378113214648</v>
      </c>
      <c r="L252" s="418">
        <f t="shared" si="372"/>
        <v>6.1435424725856134</v>
      </c>
      <c r="M252" s="418">
        <f t="shared" si="372"/>
        <v>6.1983009373241034</v>
      </c>
      <c r="N252" s="418">
        <f t="shared" si="372"/>
        <v>6.2590694053354303</v>
      </c>
      <c r="O252" s="418">
        <f t="shared" si="372"/>
        <v>6.326011883456844</v>
      </c>
      <c r="P252" s="418">
        <f t="shared" si="372"/>
        <v>6.3993004666649531</v>
      </c>
      <c r="Q252" s="418">
        <f t="shared" si="372"/>
        <v>6.4791156310439906</v>
      </c>
      <c r="R252" s="418">
        <f t="shared" si="372"/>
        <v>6.5656465390839411</v>
      </c>
      <c r="S252" s="418">
        <f t="shared" si="372"/>
        <v>6.6872881982658212</v>
      </c>
      <c r="T252" s="418">
        <f t="shared" si="372"/>
        <v>6.8152053658387919</v>
      </c>
      <c r="U252" s="418">
        <f t="shared" si="372"/>
        <v>6.9496349637182568</v>
      </c>
      <c r="V252" s="418">
        <f t="shared" si="372"/>
        <v>7.0908235316804422</v>
      </c>
      <c r="W252" s="418">
        <f t="shared" si="372"/>
        <v>7.2390276106669784</v>
      </c>
      <c r="X252" s="418">
        <f t="shared" si="372"/>
        <v>7.3945141414357849</v>
      </c>
      <c r="Y252" s="418">
        <f t="shared" si="372"/>
        <v>7.5575608791719215</v>
      </c>
      <c r="Z252" s="418">
        <f t="shared" si="372"/>
        <v>7.7284568246967176</v>
      </c>
      <c r="AA252" s="418">
        <f t="shared" si="372"/>
        <v>7.9075026729389259</v>
      </c>
      <c r="AB252" s="418">
        <f t="shared" si="372"/>
        <v>8.0950112793582782</v>
      </c>
      <c r="AC252" s="418">
        <f t="shared" si="372"/>
        <v>8.3423095792366766</v>
      </c>
      <c r="AD252" s="418">
        <f t="shared" si="372"/>
        <v>8.5987347895972501</v>
      </c>
      <c r="AE252" s="418">
        <f t="shared" si="372"/>
        <v>8.8646443366441616</v>
      </c>
      <c r="AF252" s="418">
        <f t="shared" si="372"/>
        <v>9.1404098671275769</v>
      </c>
      <c r="AG252" s="418">
        <f t="shared" si="372"/>
        <v>9.4264178164005035</v>
      </c>
      <c r="AH252" s="456"/>
      <c r="AI252" s="457"/>
      <c r="AJ252" s="456"/>
      <c r="AK252" s="456"/>
      <c r="AL252" s="198"/>
    </row>
    <row r="253" spans="1:38" s="4" customFormat="1">
      <c r="A253" s="408" t="s">
        <v>15</v>
      </c>
      <c r="B253" s="408" t="s">
        <v>11</v>
      </c>
      <c r="C253" s="418">
        <f t="shared" si="369"/>
        <v>7.0366666666666662</v>
      </c>
      <c r="D253" s="418">
        <f t="shared" si="369"/>
        <v>7.0765499999999992</v>
      </c>
      <c r="E253" s="418">
        <f t="shared" ref="E253:AG253" si="373">E237+E157-E173</f>
        <v>7.1240682500000005</v>
      </c>
      <c r="F253" s="418">
        <f t="shared" si="373"/>
        <v>7.1793758237499992</v>
      </c>
      <c r="G253" s="418">
        <f t="shared" si="373"/>
        <v>7.2426370793562489</v>
      </c>
      <c r="H253" s="418">
        <f t="shared" si="373"/>
        <v>7.3140266296203436</v>
      </c>
      <c r="I253" s="418">
        <f t="shared" si="373"/>
        <v>7.4101033551860169</v>
      </c>
      <c r="J253" s="418">
        <f t="shared" si="373"/>
        <v>7.513952836566701</v>
      </c>
      <c r="K253" s="418">
        <f t="shared" si="373"/>
        <v>7.6258073902591468</v>
      </c>
      <c r="L253" s="418">
        <f t="shared" si="373"/>
        <v>7.7459101972946929</v>
      </c>
      <c r="M253" s="418">
        <f t="shared" si="373"/>
        <v>7.8745157063831606</v>
      </c>
      <c r="N253" s="418">
        <f t="shared" si="373"/>
        <v>8.0118900538112321</v>
      </c>
      <c r="O253" s="418">
        <f t="shared" si="373"/>
        <v>8.158311500752971</v>
      </c>
      <c r="P253" s="418">
        <f t="shared" si="373"/>
        <v>8.3140708886765928</v>
      </c>
      <c r="Q253" s="418">
        <f t="shared" si="373"/>
        <v>8.4794721135592912</v>
      </c>
      <c r="R253" s="418">
        <f t="shared" si="373"/>
        <v>8.654832619650584</v>
      </c>
      <c r="S253" s="418">
        <f t="shared" si="373"/>
        <v>8.8672409153682263</v>
      </c>
      <c r="T253" s="418">
        <f t="shared" si="373"/>
        <v>9.0894833930052581</v>
      </c>
      <c r="U253" s="418">
        <f t="shared" si="373"/>
        <v>9.3219400413375499</v>
      </c>
      <c r="V253" s="418">
        <f t="shared" si="373"/>
        <v>9.5650061824770098</v>
      </c>
      <c r="W253" s="418">
        <f t="shared" si="373"/>
        <v>9.819093083867191</v>
      </c>
      <c r="X253" s="418">
        <f t="shared" si="373"/>
        <v>10.084628594772067</v>
      </c>
      <c r="Y253" s="418">
        <f t="shared" si="373"/>
        <v>10.362057808237633</v>
      </c>
      <c r="Z253" s="418">
        <f t="shared" si="373"/>
        <v>10.65184374954508</v>
      </c>
      <c r="AA253" s="418">
        <f t="shared" si="373"/>
        <v>10.954468092215043</v>
      </c>
      <c r="AB253" s="418">
        <f t="shared" si="373"/>
        <v>11.270431902664924</v>
      </c>
      <c r="AC253" s="418">
        <f t="shared" si="373"/>
        <v>11.64865352030772</v>
      </c>
      <c r="AD253" s="418">
        <f t="shared" si="373"/>
        <v>12.041278046071589</v>
      </c>
      <c r="AE253" s="418">
        <f t="shared" si="373"/>
        <v>12.448874336715532</v>
      </c>
      <c r="AF253" s="418">
        <f t="shared" si="373"/>
        <v>12.872033930673242</v>
      </c>
      <c r="AG253" s="418">
        <f t="shared" si="373"/>
        <v>13.311371954594151</v>
      </c>
      <c r="AH253" s="456"/>
      <c r="AI253" s="457"/>
      <c r="AJ253" s="456"/>
      <c r="AK253" s="456"/>
      <c r="AL253" s="198"/>
    </row>
    <row r="254" spans="1:38" s="4" customFormat="1">
      <c r="A254" s="408" t="s">
        <v>18</v>
      </c>
      <c r="B254" s="408" t="s">
        <v>19</v>
      </c>
      <c r="C254" s="418">
        <f t="shared" si="369"/>
        <v>5.8050000000000006</v>
      </c>
      <c r="D254" s="418">
        <f t="shared" si="369"/>
        <v>5.8145749999999996</v>
      </c>
      <c r="E254" s="418">
        <f t="shared" ref="E254:AG254" si="374">E238+E158-E174</f>
        <v>5.8300986249999998</v>
      </c>
      <c r="F254" s="418">
        <f t="shared" si="374"/>
        <v>5.8516696793749992</v>
      </c>
      <c r="G254" s="418">
        <f t="shared" si="374"/>
        <v>5.8793943981906249</v>
      </c>
      <c r="H254" s="418">
        <f t="shared" si="374"/>
        <v>5.9133866574678597</v>
      </c>
      <c r="I254" s="418">
        <f t="shared" si="374"/>
        <v>5.9688569587812221</v>
      </c>
      <c r="J254" s="418">
        <f t="shared" si="374"/>
        <v>6.0301673754468261</v>
      </c>
      <c r="K254" s="418">
        <f t="shared" si="374"/>
        <v>6.0974790860127674</v>
      </c>
      <c r="L254" s="418">
        <f t="shared" si="374"/>
        <v>6.1709611646903859</v>
      </c>
      <c r="M254" s="418">
        <f t="shared" si="374"/>
        <v>6.2507908682103652</v>
      </c>
      <c r="N254" s="418">
        <f t="shared" si="374"/>
        <v>6.3371539347324983</v>
      </c>
      <c r="O254" s="418">
        <f t="shared" si="374"/>
        <v>6.4302448952796407</v>
      </c>
      <c r="P254" s="418">
        <f t="shared" si="374"/>
        <v>6.5302673981855133</v>
      </c>
      <c r="Q254" s="418">
        <f t="shared" si="374"/>
        <v>6.6374345470657259</v>
      </c>
      <c r="R254" s="418">
        <f t="shared" si="374"/>
        <v>6.7519692528420912</v>
      </c>
      <c r="S254" s="418">
        <f t="shared" si="374"/>
        <v>6.8987618374689932</v>
      </c>
      <c r="T254" s="418">
        <f t="shared" si="374"/>
        <v>7.0526589873358398</v>
      </c>
      <c r="U254" s="418">
        <f t="shared" si="374"/>
        <v>7.2139325564336794</v>
      </c>
      <c r="V254" s="418">
        <f t="shared" si="374"/>
        <v>7.3828653961993886</v>
      </c>
      <c r="W254" s="418">
        <f t="shared" si="374"/>
        <v>7.5597517941806416</v>
      </c>
      <c r="X254" s="418">
        <f t="shared" si="374"/>
        <v>7.7448979302598122</v>
      </c>
      <c r="Y254" s="418">
        <f t="shared" si="374"/>
        <v>7.9386223511390313</v>
      </c>
      <c r="Z254" s="418">
        <f t="shared" si="374"/>
        <v>8.1412564638167293</v>
      </c>
      <c r="AA254" s="418">
        <f t="shared" si="374"/>
        <v>8.3531450488152146</v>
      </c>
      <c r="AB254" s="418">
        <f t="shared" si="374"/>
        <v>8.5746467939491815</v>
      </c>
      <c r="AC254" s="418">
        <f t="shared" si="374"/>
        <v>8.8507339759568744</v>
      </c>
      <c r="AD254" s="418">
        <f t="shared" si="374"/>
        <v>9.1371956583473732</v>
      </c>
      <c r="AE254" s="418">
        <f t="shared" si="374"/>
        <v>9.4344401312670154</v>
      </c>
      <c r="AF254" s="418">
        <f t="shared" si="374"/>
        <v>9.7428919495692998</v>
      </c>
      <c r="AG254" s="418">
        <f t="shared" si="374"/>
        <v>10.062992582734191</v>
      </c>
      <c r="AH254" s="456"/>
      <c r="AI254" s="457"/>
      <c r="AJ254" s="456"/>
      <c r="AK254" s="456"/>
      <c r="AL254" s="198"/>
    </row>
    <row r="255" spans="1:38" s="4" customFormat="1">
      <c r="A255" s="408" t="s">
        <v>21</v>
      </c>
      <c r="B255" s="408" t="s">
        <v>22</v>
      </c>
      <c r="C255" s="418">
        <f t="shared" si="369"/>
        <v>11.1212</v>
      </c>
      <c r="D255" s="418">
        <f t="shared" si="369"/>
        <v>11.214969999999997</v>
      </c>
      <c r="E255" s="418">
        <f t="shared" ref="E255:AG255" si="375">E239+E159-E175</f>
        <v>11.321267750000001</v>
      </c>
      <c r="F255" s="418">
        <f t="shared" si="375"/>
        <v>11.440374936249999</v>
      </c>
      <c r="G255" s="418">
        <f t="shared" si="375"/>
        <v>11.572589998043748</v>
      </c>
      <c r="H255" s="418">
        <f t="shared" si="375"/>
        <v>11.718228660700657</v>
      </c>
      <c r="I255" s="418">
        <f t="shared" si="375"/>
        <v>11.901419363590321</v>
      </c>
      <c r="J255" s="418">
        <f t="shared" si="375"/>
        <v>12.097648463466344</v>
      </c>
      <c r="K255" s="418">
        <f t="shared" si="375"/>
        <v>12.307323280830756</v>
      </c>
      <c r="L255" s="418">
        <f t="shared" si="375"/>
        <v>12.530869713313235</v>
      </c>
      <c r="M255" s="418">
        <f t="shared" si="375"/>
        <v>12.768732933070023</v>
      </c>
      <c r="N255" s="418">
        <f t="shared" si="375"/>
        <v>13.021378112992597</v>
      </c>
      <c r="O255" s="418">
        <f t="shared" si="375"/>
        <v>13.289291182860083</v>
      </c>
      <c r="P255" s="418">
        <f t="shared" si="375"/>
        <v>13.57297961661531</v>
      </c>
      <c r="Q255" s="418">
        <f t="shared" si="375"/>
        <v>13.872973251991926</v>
      </c>
      <c r="R255" s="418">
        <f t="shared" si="375"/>
        <v>14.189825143769369</v>
      </c>
      <c r="S255" s="418">
        <f t="shared" si="375"/>
        <v>14.562996734906655</v>
      </c>
      <c r="T255" s="418">
        <f t="shared" si="375"/>
        <v>14.953039403835568</v>
      </c>
      <c r="U255" s="418">
        <f t="shared" si="375"/>
        <v>15.360608551526308</v>
      </c>
      <c r="V255" s="418">
        <f t="shared" si="375"/>
        <v>15.786385989409306</v>
      </c>
      <c r="W255" s="418">
        <f t="shared" si="375"/>
        <v>16.231080993849403</v>
      </c>
      <c r="X255" s="418">
        <f t="shared" si="375"/>
        <v>16.695431402818471</v>
      </c>
      <c r="Y255" s="418">
        <f t="shared" si="375"/>
        <v>17.180204756454145</v>
      </c>
      <c r="Z255" s="418">
        <f t="shared" si="375"/>
        <v>17.686199483260022</v>
      </c>
      <c r="AA255" s="418">
        <f t="shared" si="375"/>
        <v>18.214246133772651</v>
      </c>
      <c r="AB255" s="418">
        <f t="shared" si="375"/>
        <v>18.76520866359397</v>
      </c>
      <c r="AC255" s="418">
        <f t="shared" si="375"/>
        <v>19.410318264713151</v>
      </c>
      <c r="AD255" s="418">
        <f t="shared" si="375"/>
        <v>20.080177262422858</v>
      </c>
      <c r="AE255" s="418">
        <f t="shared" si="375"/>
        <v>20.775765082712159</v>
      </c>
      <c r="AF255" s="418">
        <f t="shared" si="375"/>
        <v>21.49810022311096</v>
      </c>
      <c r="AG255" s="418">
        <f t="shared" si="375"/>
        <v>22.248241814496616</v>
      </c>
      <c r="AH255" s="456"/>
      <c r="AI255" s="457"/>
      <c r="AJ255" s="456"/>
      <c r="AK255" s="456"/>
      <c r="AL255" s="198"/>
    </row>
    <row r="256" spans="1:38" s="4" customFormat="1">
      <c r="A256" s="408" t="s">
        <v>21</v>
      </c>
      <c r="B256" s="408" t="s">
        <v>24</v>
      </c>
      <c r="C256" s="418">
        <f t="shared" si="369"/>
        <v>13.338000000000001</v>
      </c>
      <c r="D256" s="418">
        <f t="shared" si="369"/>
        <v>13.515450000000001</v>
      </c>
      <c r="E256" s="418">
        <f t="shared" ref="E256:AG256" si="376">E240+E160-E176</f>
        <v>13.708899749999999</v>
      </c>
      <c r="F256" s="418">
        <f t="shared" si="376"/>
        <v>13.918766696250003</v>
      </c>
      <c r="G256" s="418">
        <f t="shared" si="376"/>
        <v>14.145490546443753</v>
      </c>
      <c r="H256" s="418">
        <f t="shared" si="376"/>
        <v>14.389534021086657</v>
      </c>
      <c r="I256" s="418">
        <f t="shared" si="376"/>
        <v>14.675516849436766</v>
      </c>
      <c r="J256" s="418">
        <f t="shared" si="376"/>
        <v>14.978730961570742</v>
      </c>
      <c r="K256" s="418">
        <f t="shared" si="376"/>
        <v>15.299749769426949</v>
      </c>
      <c r="L256" s="418">
        <f t="shared" si="376"/>
        <v>15.639171938209538</v>
      </c>
      <c r="M256" s="418">
        <f t="shared" si="376"/>
        <v>15.997622350183319</v>
      </c>
      <c r="N256" s="418">
        <f t="shared" si="376"/>
        <v>16.375753107947144</v>
      </c>
      <c r="O256" s="418">
        <f t="shared" si="376"/>
        <v>16.774244578746394</v>
      </c>
      <c r="P256" s="418">
        <f t="shared" si="376"/>
        <v>17.193806481447986</v>
      </c>
      <c r="Q256" s="418">
        <f t="shared" si="376"/>
        <v>17.635179017866605</v>
      </c>
      <c r="R256" s="418">
        <f t="shared" si="376"/>
        <v>18.099134050198757</v>
      </c>
      <c r="S256" s="418">
        <f t="shared" si="376"/>
        <v>18.625913507360988</v>
      </c>
      <c r="T256" s="418">
        <f t="shared" si="376"/>
        <v>19.175736001858162</v>
      </c>
      <c r="U256" s="418">
        <f t="shared" si="376"/>
        <v>19.749503536593203</v>
      </c>
      <c r="V256" s="418">
        <f t="shared" si="376"/>
        <v>20.348154391771033</v>
      </c>
      <c r="W256" s="418">
        <f t="shared" si="376"/>
        <v>20.97266457401884</v>
      </c>
      <c r="X256" s="418">
        <f t="shared" si="376"/>
        <v>21.624049323490787</v>
      </c>
      <c r="Y256" s="418">
        <f t="shared" si="376"/>
        <v>22.303364681276499</v>
      </c>
      <c r="Z256" s="418">
        <f t="shared" si="376"/>
        <v>23.011709119525179</v>
      </c>
      <c r="AA256" s="418">
        <f t="shared" si="376"/>
        <v>23.750225236793831</v>
      </c>
      <c r="AB256" s="418">
        <f t="shared" si="376"/>
        <v>24.520101521228355</v>
      </c>
      <c r="AC256" s="418">
        <f t="shared" si="376"/>
        <v>25.39390674340537</v>
      </c>
      <c r="AD256" s="418">
        <f t="shared" si="376"/>
        <v>26.301594186082752</v>
      </c>
      <c r="AE256" s="418">
        <f t="shared" si="376"/>
        <v>27.244508438196636</v>
      </c>
      <c r="AF256" s="418">
        <f t="shared" si="376"/>
        <v>28.224047765241774</v>
      </c>
      <c r="AG256" s="418">
        <f t="shared" si="376"/>
        <v>29.241666255263901</v>
      </c>
      <c r="AH256" s="456"/>
      <c r="AI256" s="457"/>
      <c r="AJ256" s="456"/>
      <c r="AK256" s="456"/>
      <c r="AL256" s="198"/>
    </row>
    <row r="257" spans="1:39" s="4" customFormat="1">
      <c r="A257" s="408" t="s">
        <v>26</v>
      </c>
      <c r="B257" s="408" t="s">
        <v>13</v>
      </c>
      <c r="C257" s="418">
        <f t="shared" si="369"/>
        <v>11.842142857142857</v>
      </c>
      <c r="D257" s="418">
        <f t="shared" si="369"/>
        <v>11.978989285714286</v>
      </c>
      <c r="E257" s="418">
        <f t="shared" ref="E257:AG257" si="377">E241+E161-E177</f>
        <v>12.129730553571429</v>
      </c>
      <c r="F257" s="418">
        <f t="shared" si="377"/>
        <v>12.294711929732143</v>
      </c>
      <c r="G257" s="418">
        <f t="shared" si="377"/>
        <v>12.47429775708884</v>
      </c>
      <c r="H257" s="418">
        <f t="shared" si="377"/>
        <v>12.668872083785617</v>
      </c>
      <c r="I257" s="418">
        <f t="shared" si="377"/>
        <v>12.901669141908945</v>
      </c>
      <c r="J257" s="418">
        <f t="shared" si="377"/>
        <v>13.149257238861768</v>
      </c>
      <c r="K257" s="418">
        <f t="shared" si="377"/>
        <v>13.412118433067175</v>
      </c>
      <c r="L257" s="418">
        <f t="shared" si="377"/>
        <v>13.690756256947781</v>
      </c>
      <c r="M257" s="418">
        <f t="shared" si="377"/>
        <v>13.985696532052449</v>
      </c>
      <c r="N257" s="418">
        <f t="shared" si="377"/>
        <v>14.297488217664771</v>
      </c>
      <c r="O257" s="418">
        <f t="shared" si="377"/>
        <v>14.626704294214981</v>
      </c>
      <c r="P257" s="418">
        <f t="shared" si="377"/>
        <v>14.973942682870327</v>
      </c>
      <c r="Q257" s="418">
        <f t="shared" si="377"/>
        <v>15.339827202734154</v>
      </c>
      <c r="R257" s="418">
        <f t="shared" si="377"/>
        <v>15.72500856714155</v>
      </c>
      <c r="S257" s="418">
        <f t="shared" si="377"/>
        <v>16.167472668803939</v>
      </c>
      <c r="T257" s="418">
        <f t="shared" si="377"/>
        <v>16.629500696943055</v>
      </c>
      <c r="U257" s="418">
        <f t="shared" si="377"/>
        <v>17.111856554993867</v>
      </c>
      <c r="V257" s="418">
        <f t="shared" si="377"/>
        <v>17.615334889064982</v>
      </c>
      <c r="W257" s="418">
        <f t="shared" si="377"/>
        <v>18.140762315780226</v>
      </c>
      <c r="X257" s="418">
        <f t="shared" si="377"/>
        <v>18.688998699252554</v>
      </c>
      <c r="Y257" s="418">
        <f t="shared" si="377"/>
        <v>19.260938479155364</v>
      </c>
      <c r="Z257" s="418">
        <f t="shared" si="377"/>
        <v>19.857512051934961</v>
      </c>
      <c r="AA257" s="418">
        <f t="shared" si="377"/>
        <v>20.479687207289604</v>
      </c>
      <c r="AB257" s="418">
        <f t="shared" si="377"/>
        <v>21.128470622125661</v>
      </c>
      <c r="AC257" s="418">
        <f t="shared" si="377"/>
        <v>21.872389427378106</v>
      </c>
      <c r="AD257" s="418">
        <f t="shared" si="377"/>
        <v>22.645052784644321</v>
      </c>
      <c r="AE257" s="418">
        <f t="shared" si="377"/>
        <v>23.447600354002898</v>
      </c>
      <c r="AF257" s="418">
        <f t="shared" si="377"/>
        <v>24.281217280715545</v>
      </c>
      <c r="AG257" s="418">
        <f t="shared" si="377"/>
        <v>25.147136013622223</v>
      </c>
      <c r="AH257" s="456"/>
      <c r="AI257" s="457"/>
      <c r="AJ257" s="456"/>
      <c r="AK257" s="456"/>
      <c r="AL257" s="198"/>
    </row>
    <row r="258" spans="1:39" s="4" customFormat="1">
      <c r="A258" s="408" t="s">
        <v>26</v>
      </c>
      <c r="B258" s="408" t="s">
        <v>28</v>
      </c>
      <c r="C258" s="418">
        <f t="shared" si="369"/>
        <v>10.947619047619046</v>
      </c>
      <c r="D258" s="418">
        <f t="shared" si="369"/>
        <v>11.04442857142857</v>
      </c>
      <c r="E258" s="418">
        <f t="shared" ref="E258:AG258" si="378">E242+E162-E178</f>
        <v>11.153637857142856</v>
      </c>
      <c r="F258" s="418">
        <f t="shared" si="378"/>
        <v>11.275529710714286</v>
      </c>
      <c r="G258" s="418">
        <f t="shared" si="378"/>
        <v>11.410403579946427</v>
      </c>
      <c r="H258" s="418">
        <f t="shared" si="378"/>
        <v>11.558576086927769</v>
      </c>
      <c r="I258" s="418">
        <f t="shared" si="378"/>
        <v>11.743499857810013</v>
      </c>
      <c r="J258" s="418">
        <f t="shared" si="378"/>
        <v>11.941368964979443</v>
      </c>
      <c r="K258" s="418">
        <f t="shared" si="378"/>
        <v>12.152590254178511</v>
      </c>
      <c r="L258" s="418">
        <f t="shared" si="378"/>
        <v>12.377589064333547</v>
      </c>
      <c r="M258" s="418">
        <f t="shared" si="378"/>
        <v>12.616809922895026</v>
      </c>
      <c r="N258" s="418">
        <f t="shared" si="378"/>
        <v>12.870717269879197</v>
      </c>
      <c r="O258" s="418">
        <f t="shared" si="378"/>
        <v>13.139796211741372</v>
      </c>
      <c r="P258" s="418">
        <f t="shared" si="378"/>
        <v>13.424553306256691</v>
      </c>
      <c r="Q258" s="418">
        <f t="shared" si="378"/>
        <v>13.725517379631711</v>
      </c>
      <c r="R258" s="418">
        <f t="shared" si="378"/>
        <v>14.043240377119236</v>
      </c>
      <c r="S258" s="418">
        <f t="shared" si="378"/>
        <v>14.416076872417515</v>
      </c>
      <c r="T258" s="418">
        <f t="shared" si="378"/>
        <v>14.805715758725592</v>
      </c>
      <c r="U258" s="418">
        <f t="shared" si="378"/>
        <v>15.212810242371877</v>
      </c>
      <c r="V258" s="418">
        <f t="shared" si="378"/>
        <v>15.63803984683104</v>
      </c>
      <c r="W258" s="418">
        <f t="shared" si="378"/>
        <v>16.082111463520928</v>
      </c>
      <c r="X258" s="418">
        <f t="shared" si="378"/>
        <v>16.545760444650242</v>
      </c>
      <c r="Y258" s="418">
        <f t="shared" si="378"/>
        <v>17.029751739798847</v>
      </c>
      <c r="Z258" s="418">
        <f t="shared" si="378"/>
        <v>17.534881077979772</v>
      </c>
      <c r="AA258" s="418">
        <f t="shared" si="378"/>
        <v>18.061976197002039</v>
      </c>
      <c r="AB258" s="418">
        <f t="shared" si="378"/>
        <v>18.611898122026172</v>
      </c>
      <c r="AC258" s="418">
        <f t="shared" si="378"/>
        <v>19.253875115930782</v>
      </c>
      <c r="AD258" s="418">
        <f t="shared" si="378"/>
        <v>19.920506200281814</v>
      </c>
      <c r="AE258" s="418">
        <f t="shared" si="378"/>
        <v>20.612767288804022</v>
      </c>
      <c r="AF258" s="418">
        <f t="shared" si="378"/>
        <v>21.33167322927223</v>
      </c>
      <c r="AG258" s="418">
        <f t="shared" si="378"/>
        <v>22.078279359848331</v>
      </c>
      <c r="AH258" s="456"/>
      <c r="AI258" s="457"/>
      <c r="AJ258" s="456"/>
      <c r="AK258" s="456"/>
      <c r="AL258" s="198"/>
    </row>
    <row r="259" spans="1:39" s="4" customFormat="1">
      <c r="A259" s="408" t="s">
        <v>30</v>
      </c>
      <c r="B259" s="408" t="s">
        <v>28</v>
      </c>
      <c r="C259" s="418">
        <f t="shared" si="369"/>
        <v>12.978571428571428</v>
      </c>
      <c r="D259" s="418">
        <f t="shared" si="369"/>
        <v>13.141607142857143</v>
      </c>
      <c r="E259" s="418">
        <f t="shared" ref="E259:AG259" si="379">E243+E163-E179</f>
        <v>13.320066964285717</v>
      </c>
      <c r="F259" s="418">
        <f t="shared" si="379"/>
        <v>13.514345290178573</v>
      </c>
      <c r="G259" s="418">
        <f t="shared" si="379"/>
        <v>13.724857857924109</v>
      </c>
      <c r="H259" s="418">
        <f t="shared" si="379"/>
        <v>13.952042459476006</v>
      </c>
      <c r="I259" s="418">
        <f t="shared" si="379"/>
        <v>14.220495416366488</v>
      </c>
      <c r="J259" s="418">
        <f t="shared" si="379"/>
        <v>14.505479066362359</v>
      </c>
      <c r="K259" s="418">
        <f t="shared" si="379"/>
        <v>14.807538785691237</v>
      </c>
      <c r="L259" s="418">
        <f t="shared" si="379"/>
        <v>15.127244082659788</v>
      </c>
      <c r="M259" s="418">
        <f t="shared" si="379"/>
        <v>15.465189516596261</v>
      </c>
      <c r="N259" s="418">
        <f t="shared" si="379"/>
        <v>15.821995654477588</v>
      </c>
      <c r="O259" s="418">
        <f t="shared" si="379"/>
        <v>16.198310066729825</v>
      </c>
      <c r="P259" s="418">
        <f t="shared" si="379"/>
        <v>16.594808363750683</v>
      </c>
      <c r="Q259" s="418">
        <f t="shared" si="379"/>
        <v>17.012195274765343</v>
      </c>
      <c r="R259" s="418">
        <f t="shared" si="379"/>
        <v>17.451205770691303</v>
      </c>
      <c r="S259" s="418">
        <f t="shared" si="379"/>
        <v>17.952047527549482</v>
      </c>
      <c r="T259" s="418">
        <f t="shared" si="379"/>
        <v>18.474895019421684</v>
      </c>
      <c r="U259" s="418">
        <f t="shared" si="379"/>
        <v>19.020608755061073</v>
      </c>
      <c r="V259" s="418">
        <f t="shared" si="379"/>
        <v>19.590083860777415</v>
      </c>
      <c r="W259" s="418">
        <f t="shared" si="379"/>
        <v>20.184251463167268</v>
      </c>
      <c r="X259" s="418">
        <f t="shared" si="379"/>
        <v>20.804080127173126</v>
      </c>
      <c r="Y259" s="418">
        <f t="shared" si="379"/>
        <v>21.45057735168443</v>
      </c>
      <c r="Z259" s="418">
        <f t="shared" si="379"/>
        <v>22.124791124981943</v>
      </c>
      <c r="AA259" s="418">
        <f t="shared" si="379"/>
        <v>22.827811542419052</v>
      </c>
      <c r="AB259" s="418">
        <f t="shared" si="379"/>
        <v>23.560772488829272</v>
      </c>
      <c r="AC259" s="418">
        <f t="shared" si="379"/>
        <v>24.396193388302233</v>
      </c>
      <c r="AD259" s="418">
        <f t="shared" si="379"/>
        <v>25.263961023753314</v>
      </c>
      <c r="AE259" s="418">
        <f t="shared" si="379"/>
        <v>26.165358563621627</v>
      </c>
      <c r="AF259" s="418">
        <f t="shared" si="379"/>
        <v>27.101720396073855</v>
      </c>
      <c r="AG259" s="418">
        <f t="shared" si="379"/>
        <v>28.074434176723248</v>
      </c>
      <c r="AH259" s="456"/>
      <c r="AI259" s="457"/>
      <c r="AJ259" s="456"/>
      <c r="AK259" s="456"/>
      <c r="AL259" s="198"/>
    </row>
    <row r="260" spans="1:39" s="4" customFormat="1">
      <c r="A260" s="408" t="s">
        <v>32</v>
      </c>
      <c r="B260" s="408" t="s">
        <v>11</v>
      </c>
      <c r="C260" s="418">
        <f t="shared" si="369"/>
        <v>7.2702</v>
      </c>
      <c r="D260" s="418">
        <f t="shared" si="369"/>
        <v>7.2639450000000005</v>
      </c>
      <c r="E260" s="418">
        <f t="shared" ref="E260:AG260" si="380">E244+E164-E180</f>
        <v>7.2648663749999987</v>
      </c>
      <c r="F260" s="418">
        <f t="shared" si="380"/>
        <v>7.2730655156249986</v>
      </c>
      <c r="G260" s="418">
        <f t="shared" si="380"/>
        <v>7.2886525097343755</v>
      </c>
      <c r="H260" s="418">
        <f t="shared" si="380"/>
        <v>7.3117463742710145</v>
      </c>
      <c r="I260" s="418">
        <f t="shared" si="380"/>
        <v>7.3626092169743949</v>
      </c>
      <c r="J260" s="418">
        <f t="shared" si="380"/>
        <v>7.4203387136312591</v>
      </c>
      <c r="K260" s="418">
        <f t="shared" si="380"/>
        <v>7.4851128875948421</v>
      </c>
      <c r="L260" s="418">
        <f t="shared" si="380"/>
        <v>7.5571188160085994</v>
      </c>
      <c r="M260" s="418">
        <f t="shared" si="380"/>
        <v>7.6365529533007068</v>
      </c>
      <c r="N260" s="418">
        <f t="shared" si="380"/>
        <v>7.7236214683914666</v>
      </c>
      <c r="O260" s="418">
        <f t="shared" si="380"/>
        <v>7.8185405961466792</v>
      </c>
      <c r="P260" s="418">
        <f t="shared" si="380"/>
        <v>7.9215370036317108</v>
      </c>
      <c r="Q260" s="418">
        <f t="shared" si="380"/>
        <v>8.0328481717433604</v>
      </c>
      <c r="R260" s="418">
        <f t="shared" si="380"/>
        <v>8.1527227928201462</v>
      </c>
      <c r="S260" s="418">
        <f t="shared" si="380"/>
        <v>8.314322938135378</v>
      </c>
      <c r="T260" s="418">
        <f t="shared" si="380"/>
        <v>8.4840321769271974</v>
      </c>
      <c r="U260" s="418">
        <f t="shared" si="380"/>
        <v>8.6621584220580221</v>
      </c>
      <c r="V260" s="418">
        <f t="shared" si="380"/>
        <v>8.8490220674135447</v>
      </c>
      <c r="W260" s="418">
        <f t="shared" si="380"/>
        <v>9.0449564854985542</v>
      </c>
      <c r="X260" s="418">
        <f t="shared" si="380"/>
        <v>9.2503085449530822</v>
      </c>
      <c r="Y260" s="418">
        <f t="shared" si="380"/>
        <v>9.4654391487854426</v>
      </c>
      <c r="Z260" s="418">
        <f t="shared" si="380"/>
        <v>9.6907237941507578</v>
      </c>
      <c r="AA260" s="418">
        <f t="shared" si="380"/>
        <v>9.9265531545365455</v>
      </c>
      <c r="AB260" s="418">
        <f t="shared" si="380"/>
        <v>10.173333685251567</v>
      </c>
      <c r="AC260" s="418">
        <f t="shared" si="380"/>
        <v>10.490999764954564</v>
      </c>
      <c r="AD260" s="418">
        <f t="shared" si="380"/>
        <v>10.820479815168611</v>
      </c>
      <c r="AE260" s="418">
        <f t="shared" si="380"/>
        <v>11.162237467987378</v>
      </c>
      <c r="AF260" s="418">
        <f t="shared" si="380"/>
        <v>11.516754811521016</v>
      </c>
      <c r="AG260" s="418">
        <f t="shared" si="380"/>
        <v>11.884533127244142</v>
      </c>
      <c r="AH260" s="456"/>
      <c r="AI260" s="457"/>
      <c r="AJ260" s="456"/>
      <c r="AK260" s="456"/>
      <c r="AL260" s="198"/>
    </row>
    <row r="261" spans="1:39" s="4" customFormat="1">
      <c r="A261" s="408" t="s">
        <v>34</v>
      </c>
      <c r="B261" s="408" t="s">
        <v>11</v>
      </c>
      <c r="C261" s="418">
        <f t="shared" si="369"/>
        <v>6.8702000000000005</v>
      </c>
      <c r="D261" s="418">
        <f t="shared" si="369"/>
        <v>6.873945</v>
      </c>
      <c r="E261" s="418">
        <f t="shared" ref="E261:AG261" si="381">E245+E165-E181</f>
        <v>6.8846163750000002</v>
      </c>
      <c r="F261" s="418">
        <f t="shared" si="381"/>
        <v>6.9023217656249995</v>
      </c>
      <c r="G261" s="418">
        <f t="shared" si="381"/>
        <v>6.9271773534843755</v>
      </c>
      <c r="H261" s="418">
        <f t="shared" si="381"/>
        <v>6.9593080969272654</v>
      </c>
      <c r="I261" s="418">
        <f t="shared" si="381"/>
        <v>7.0172197051775207</v>
      </c>
      <c r="J261" s="418">
        <f t="shared" si="381"/>
        <v>7.081856992070322</v>
      </c>
      <c r="K261" s="418">
        <f t="shared" si="381"/>
        <v>7.1534008004651239</v>
      </c>
      <c r="L261" s="418">
        <f t="shared" si="381"/>
        <v>7.2320409706214752</v>
      </c>
      <c r="M261" s="418">
        <f t="shared" si="381"/>
        <v>7.3179766648213258</v>
      </c>
      <c r="N261" s="418">
        <f t="shared" si="381"/>
        <v>7.4114167056816713</v>
      </c>
      <c r="O261" s="418">
        <f t="shared" si="381"/>
        <v>7.5125799286910802</v>
      </c>
      <c r="P261" s="418">
        <f t="shared" si="381"/>
        <v>7.6216955495252243</v>
      </c>
      <c r="Q261" s="418">
        <f t="shared" si="381"/>
        <v>7.7390035467190019</v>
      </c>
      <c r="R261" s="418">
        <f t="shared" si="381"/>
        <v>7.8647550602962779</v>
      </c>
      <c r="S261" s="418">
        <f t="shared" si="381"/>
        <v>8.0292348829367484</v>
      </c>
      <c r="T261" s="418">
        <f t="shared" si="381"/>
        <v>8.2017950022805532</v>
      </c>
      <c r="U261" s="418">
        <f t="shared" si="381"/>
        <v>8.3827436191578446</v>
      </c>
      <c r="V261" s="418">
        <f t="shared" si="381"/>
        <v>8.5724014125423675</v>
      </c>
      <c r="W261" s="418">
        <f t="shared" si="381"/>
        <v>8.7711020371760906</v>
      </c>
      <c r="X261" s="418">
        <f t="shared" si="381"/>
        <v>8.9791926411138423</v>
      </c>
      <c r="Y261" s="418">
        <f t="shared" si="381"/>
        <v>9.1970344039845955</v>
      </c>
      <c r="Z261" s="418">
        <f t="shared" si="381"/>
        <v>9.4250030967979193</v>
      </c>
      <c r="AA261" s="418">
        <f t="shared" si="381"/>
        <v>9.6634896641572343</v>
      </c>
      <c r="AB261" s="418">
        <f t="shared" si="381"/>
        <v>9.912900829776051</v>
      </c>
      <c r="AC261" s="418">
        <f t="shared" si="381"/>
        <v>10.227962580924292</v>
      </c>
      <c r="AD261" s="418">
        <f t="shared" si="381"/>
        <v>10.554812259298036</v>
      </c>
      <c r="AE261" s="418">
        <f t="shared" si="381"/>
        <v>10.893913236558099</v>
      </c>
      <c r="AF261" s="418">
        <f t="shared" si="381"/>
        <v>11.245747337777443</v>
      </c>
      <c r="AG261" s="418">
        <f t="shared" si="381"/>
        <v>11.610815578763132</v>
      </c>
      <c r="AH261" s="456"/>
      <c r="AI261" s="457"/>
      <c r="AJ261" s="456"/>
      <c r="AK261" s="456"/>
      <c r="AL261" s="198"/>
    </row>
    <row r="262" spans="1:39" s="4" customFormat="1">
      <c r="A262" s="408" t="s">
        <v>36</v>
      </c>
      <c r="B262" s="408" t="s">
        <v>37</v>
      </c>
      <c r="C262" s="418">
        <f t="shared" si="369"/>
        <v>9.0424999999999986</v>
      </c>
      <c r="D262" s="418">
        <f t="shared" si="369"/>
        <v>9.0491375000000005</v>
      </c>
      <c r="E262" s="418">
        <f t="shared" ref="E262:AG262" si="382">E246+E166-E182</f>
        <v>9.0649170624999993</v>
      </c>
      <c r="F262" s="418">
        <f t="shared" si="382"/>
        <v>9.0899824559374984</v>
      </c>
      <c r="G262" s="418">
        <f t="shared" si="382"/>
        <v>9.124488747339063</v>
      </c>
      <c r="H262" s="418">
        <f t="shared" si="382"/>
        <v>9.1686026155675844</v>
      </c>
      <c r="I262" s="418">
        <f t="shared" si="382"/>
        <v>9.2465676066917535</v>
      </c>
      <c r="J262" s="418">
        <f t="shared" si="382"/>
        <v>9.3334267797308605</v>
      </c>
      <c r="K262" s="418">
        <f t="shared" si="382"/>
        <v>9.4294203903161016</v>
      </c>
      <c r="L262" s="418">
        <f t="shared" si="382"/>
        <v>9.5348006145368345</v>
      </c>
      <c r="M262" s="418">
        <f t="shared" si="382"/>
        <v>9.6498319795542304</v>
      </c>
      <c r="N262" s="418">
        <f t="shared" si="382"/>
        <v>9.7747918123636079</v>
      </c>
      <c r="O262" s="418">
        <f t="shared" si="382"/>
        <v>9.9099707074128141</v>
      </c>
      <c r="P262" s="418">
        <f t="shared" si="382"/>
        <v>10.055673013812896</v>
      </c>
      <c r="Q262" s="418">
        <f t="shared" si="382"/>
        <v>10.212217342906909</v>
      </c>
      <c r="R262" s="418">
        <f t="shared" si="382"/>
        <v>10.379937096993853</v>
      </c>
      <c r="S262" s="418">
        <f t="shared" si="382"/>
        <v>10.598506613509656</v>
      </c>
      <c r="T262" s="418">
        <f t="shared" si="382"/>
        <v>10.827785190359725</v>
      </c>
      <c r="U262" s="418">
        <f t="shared" si="382"/>
        <v>11.068181527160704</v>
      </c>
      <c r="V262" s="418">
        <f t="shared" si="382"/>
        <v>11.320120868141855</v>
      </c>
      <c r="W262" s="418">
        <f t="shared" si="382"/>
        <v>11.584045661963303</v>
      </c>
      <c r="X262" s="418">
        <f t="shared" si="382"/>
        <v>11.860416247946654</v>
      </c>
      <c r="Y262" s="418">
        <f t="shared" si="382"/>
        <v>12.14971156977429</v>
      </c>
      <c r="Z262" s="418">
        <f t="shared" si="382"/>
        <v>12.452429917755932</v>
      </c>
      <c r="AA262" s="418">
        <f t="shared" si="382"/>
        <v>12.769089700804935</v>
      </c>
      <c r="AB262" s="418">
        <f t="shared" si="382"/>
        <v>13.10023024931251</v>
      </c>
      <c r="AC262" s="418">
        <f t="shared" si="382"/>
        <v>13.517543373807385</v>
      </c>
      <c r="AD262" s="418">
        <f t="shared" si="382"/>
        <v>13.950482062427279</v>
      </c>
      <c r="AE262" s="418">
        <f t="shared" si="382"/>
        <v>14.399660668128643</v>
      </c>
      <c r="AF262" s="418">
        <f t="shared" si="382"/>
        <v>14.865718011290106</v>
      </c>
      <c r="AG262" s="418">
        <f t="shared" si="382"/>
        <v>15.349318357342389</v>
      </c>
      <c r="AH262" s="456"/>
      <c r="AI262" s="457"/>
      <c r="AJ262" s="456"/>
      <c r="AK262" s="456"/>
      <c r="AL262" s="198"/>
    </row>
    <row r="263" spans="1:39">
      <c r="A263" s="408"/>
      <c r="B263" s="408"/>
      <c r="C263" s="323"/>
      <c r="D263" s="323"/>
      <c r="E263" s="323"/>
      <c r="F263" s="323"/>
      <c r="G263" s="323"/>
      <c r="H263" s="323"/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U263" s="323"/>
      <c r="V263" s="323"/>
      <c r="W263" s="323"/>
      <c r="X263" s="323"/>
      <c r="Y263" s="323"/>
      <c r="Z263" s="323"/>
      <c r="AA263" s="323"/>
      <c r="AB263" s="323"/>
      <c r="AC263" s="323"/>
      <c r="AD263" s="323"/>
      <c r="AE263" s="323"/>
      <c r="AF263" s="323"/>
      <c r="AG263" s="323"/>
      <c r="AH263" s="409"/>
      <c r="AI263" s="409"/>
      <c r="AJ263" s="409"/>
      <c r="AK263" s="409"/>
      <c r="AL263" s="148"/>
    </row>
    <row r="264" spans="1:39" s="406" customFormat="1" ht="28.8" customHeight="1">
      <c r="A264" s="903" t="s">
        <v>767</v>
      </c>
      <c r="B264" s="904"/>
      <c r="C264" s="399">
        <v>2025</v>
      </c>
      <c r="D264" s="399">
        <v>2026</v>
      </c>
      <c r="E264" s="399">
        <v>2027</v>
      </c>
      <c r="F264" s="399">
        <v>2028</v>
      </c>
      <c r="G264" s="399">
        <v>2029</v>
      </c>
      <c r="H264" s="399">
        <v>2030</v>
      </c>
      <c r="I264" s="399">
        <v>2031</v>
      </c>
      <c r="J264" s="399">
        <v>2032</v>
      </c>
      <c r="K264" s="399">
        <v>2033</v>
      </c>
      <c r="L264" s="399">
        <v>2034</v>
      </c>
      <c r="M264" s="399">
        <v>2035</v>
      </c>
      <c r="N264" s="399">
        <v>2036</v>
      </c>
      <c r="O264" s="399">
        <v>2037</v>
      </c>
      <c r="P264" s="399">
        <v>2038</v>
      </c>
      <c r="Q264" s="399">
        <v>2039</v>
      </c>
      <c r="R264" s="399">
        <v>2040</v>
      </c>
      <c r="S264" s="399">
        <v>2041</v>
      </c>
      <c r="T264" s="399">
        <v>2042</v>
      </c>
      <c r="U264" s="399">
        <v>2043</v>
      </c>
      <c r="V264" s="399">
        <v>2044</v>
      </c>
      <c r="W264" s="399">
        <v>2045</v>
      </c>
      <c r="X264" s="399">
        <v>2046</v>
      </c>
      <c r="Y264" s="399">
        <v>2047</v>
      </c>
      <c r="Z264" s="399">
        <v>2048</v>
      </c>
      <c r="AA264" s="399">
        <v>2049</v>
      </c>
      <c r="AB264" s="399">
        <v>2050</v>
      </c>
      <c r="AC264" s="399">
        <v>2051</v>
      </c>
      <c r="AD264" s="399">
        <v>2052</v>
      </c>
      <c r="AE264" s="399">
        <v>2053</v>
      </c>
      <c r="AF264" s="399">
        <v>2054</v>
      </c>
      <c r="AG264" s="399">
        <v>2055</v>
      </c>
      <c r="AH264" s="399"/>
      <c r="AI264" s="399"/>
      <c r="AJ264" s="399"/>
      <c r="AK264" s="399"/>
      <c r="AL264" s="399"/>
    </row>
    <row r="265" spans="1:39">
      <c r="A265" s="408" t="s">
        <v>88</v>
      </c>
      <c r="B265" s="408"/>
      <c r="C265" s="474">
        <v>5.3</v>
      </c>
      <c r="D265" s="417">
        <f t="shared" ref="D265:H273" si="383">C265*(1+$AH265)</f>
        <v>5.3529999999999998</v>
      </c>
      <c r="E265" s="417">
        <f t="shared" si="383"/>
        <v>5.4065300000000001</v>
      </c>
      <c r="F265" s="417">
        <f t="shared" si="383"/>
        <v>5.4605953000000005</v>
      </c>
      <c r="G265" s="417">
        <f t="shared" si="383"/>
        <v>5.5152012530000007</v>
      </c>
      <c r="H265" s="417">
        <f t="shared" si="383"/>
        <v>5.5703532655300005</v>
      </c>
      <c r="I265" s="417">
        <f t="shared" ref="I265:AG265" si="384">H265*(1+$AI265)</f>
        <v>5.6260567981853002</v>
      </c>
      <c r="J265" s="417">
        <f t="shared" si="384"/>
        <v>5.6823173661671529</v>
      </c>
      <c r="K265" s="417">
        <f t="shared" si="384"/>
        <v>5.7391405398288242</v>
      </c>
      <c r="L265" s="417">
        <f t="shared" si="384"/>
        <v>5.7965319452271125</v>
      </c>
      <c r="M265" s="417">
        <f t="shared" si="384"/>
        <v>5.8544972646793836</v>
      </c>
      <c r="N265" s="417">
        <f t="shared" si="384"/>
        <v>5.9130422373261773</v>
      </c>
      <c r="O265" s="417">
        <f t="shared" si="384"/>
        <v>5.9721726596994387</v>
      </c>
      <c r="P265" s="417">
        <f t="shared" si="384"/>
        <v>6.0318943862964334</v>
      </c>
      <c r="Q265" s="417">
        <f t="shared" si="384"/>
        <v>6.0922133301593977</v>
      </c>
      <c r="R265" s="417">
        <f t="shared" si="384"/>
        <v>6.153135463460992</v>
      </c>
      <c r="S265" s="417">
        <f t="shared" si="384"/>
        <v>6.2146668180956022</v>
      </c>
      <c r="T265" s="417">
        <f t="shared" si="384"/>
        <v>6.2768134862765583</v>
      </c>
      <c r="U265" s="417">
        <f t="shared" si="384"/>
        <v>6.3395816211393239</v>
      </c>
      <c r="V265" s="417">
        <f t="shared" si="384"/>
        <v>6.4029774373507173</v>
      </c>
      <c r="W265" s="417">
        <f t="shared" si="384"/>
        <v>6.4670072117242245</v>
      </c>
      <c r="X265" s="417">
        <f t="shared" si="384"/>
        <v>6.531677283841467</v>
      </c>
      <c r="Y265" s="417">
        <f t="shared" si="384"/>
        <v>6.5969940566798817</v>
      </c>
      <c r="Z265" s="417">
        <f t="shared" si="384"/>
        <v>6.6629639972466803</v>
      </c>
      <c r="AA265" s="417">
        <f t="shared" si="384"/>
        <v>6.7295936372191472</v>
      </c>
      <c r="AB265" s="417">
        <f t="shared" si="384"/>
        <v>6.7968895735913391</v>
      </c>
      <c r="AC265" s="417">
        <f t="shared" si="384"/>
        <v>6.8648584693272525</v>
      </c>
      <c r="AD265" s="417">
        <f t="shared" si="384"/>
        <v>6.9335070540205255</v>
      </c>
      <c r="AE265" s="417">
        <f t="shared" si="384"/>
        <v>7.0028421245607309</v>
      </c>
      <c r="AF265" s="417">
        <f t="shared" si="384"/>
        <v>7.0728705458063379</v>
      </c>
      <c r="AG265" s="417">
        <f t="shared" si="384"/>
        <v>7.1435992512644013</v>
      </c>
      <c r="AH265" s="409">
        <v>0.01</v>
      </c>
      <c r="AI265" s="409">
        <v>0.01</v>
      </c>
      <c r="AJ265" s="409">
        <v>0.01</v>
      </c>
      <c r="AK265" s="409">
        <v>0.01</v>
      </c>
      <c r="AL265" s="148"/>
      <c r="AM265" s="907"/>
    </row>
    <row r="266" spans="1:39">
      <c r="A266" s="408" t="s">
        <v>90</v>
      </c>
      <c r="B266" s="408"/>
      <c r="C266" s="474">
        <v>5.3</v>
      </c>
      <c r="D266" s="417">
        <f t="shared" si="383"/>
        <v>5.3529999999999998</v>
      </c>
      <c r="E266" s="417">
        <f t="shared" si="383"/>
        <v>5.4065300000000001</v>
      </c>
      <c r="F266" s="417">
        <f t="shared" si="383"/>
        <v>5.4605953000000005</v>
      </c>
      <c r="G266" s="417">
        <f t="shared" si="383"/>
        <v>5.5152012530000007</v>
      </c>
      <c r="H266" s="417">
        <f t="shared" si="383"/>
        <v>5.5703532655300005</v>
      </c>
      <c r="I266" s="417">
        <f t="shared" ref="I266:AG266" si="385">H266*(1+$AI266)</f>
        <v>5.6260567981853002</v>
      </c>
      <c r="J266" s="417">
        <f t="shared" si="385"/>
        <v>5.6823173661671529</v>
      </c>
      <c r="K266" s="417">
        <f t="shared" si="385"/>
        <v>5.7391405398288242</v>
      </c>
      <c r="L266" s="417">
        <f t="shared" si="385"/>
        <v>5.7965319452271125</v>
      </c>
      <c r="M266" s="417">
        <f t="shared" si="385"/>
        <v>5.8544972646793836</v>
      </c>
      <c r="N266" s="417">
        <f t="shared" si="385"/>
        <v>5.9130422373261773</v>
      </c>
      <c r="O266" s="417">
        <f t="shared" si="385"/>
        <v>5.9721726596994387</v>
      </c>
      <c r="P266" s="417">
        <f t="shared" si="385"/>
        <v>6.0318943862964334</v>
      </c>
      <c r="Q266" s="417">
        <f t="shared" si="385"/>
        <v>6.0922133301593977</v>
      </c>
      <c r="R266" s="417">
        <f t="shared" si="385"/>
        <v>6.153135463460992</v>
      </c>
      <c r="S266" s="417">
        <f t="shared" si="385"/>
        <v>6.2146668180956022</v>
      </c>
      <c r="T266" s="417">
        <f t="shared" si="385"/>
        <v>6.2768134862765583</v>
      </c>
      <c r="U266" s="417">
        <f t="shared" si="385"/>
        <v>6.3395816211393239</v>
      </c>
      <c r="V266" s="417">
        <f t="shared" si="385"/>
        <v>6.4029774373507173</v>
      </c>
      <c r="W266" s="417">
        <f t="shared" si="385"/>
        <v>6.4670072117242245</v>
      </c>
      <c r="X266" s="417">
        <f t="shared" si="385"/>
        <v>6.531677283841467</v>
      </c>
      <c r="Y266" s="417">
        <f t="shared" si="385"/>
        <v>6.5969940566798817</v>
      </c>
      <c r="Z266" s="417">
        <f t="shared" si="385"/>
        <v>6.6629639972466803</v>
      </c>
      <c r="AA266" s="417">
        <f t="shared" si="385"/>
        <v>6.7295936372191472</v>
      </c>
      <c r="AB266" s="417">
        <f t="shared" si="385"/>
        <v>6.7968895735913391</v>
      </c>
      <c r="AC266" s="417">
        <f t="shared" si="385"/>
        <v>6.8648584693272525</v>
      </c>
      <c r="AD266" s="417">
        <f t="shared" si="385"/>
        <v>6.9335070540205255</v>
      </c>
      <c r="AE266" s="417">
        <f t="shared" si="385"/>
        <v>7.0028421245607309</v>
      </c>
      <c r="AF266" s="417">
        <f t="shared" si="385"/>
        <v>7.0728705458063379</v>
      </c>
      <c r="AG266" s="417">
        <f t="shared" si="385"/>
        <v>7.1435992512644013</v>
      </c>
      <c r="AH266" s="409">
        <v>0.01</v>
      </c>
      <c r="AI266" s="409">
        <v>0.01</v>
      </c>
      <c r="AJ266" s="409">
        <v>0.01</v>
      </c>
      <c r="AK266" s="409">
        <v>0.01</v>
      </c>
      <c r="AL266" s="148"/>
      <c r="AM266" s="907"/>
    </row>
    <row r="267" spans="1:39">
      <c r="A267" s="408" t="s">
        <v>91</v>
      </c>
      <c r="B267" s="408"/>
      <c r="C267" s="474">
        <v>7</v>
      </c>
      <c r="D267" s="417">
        <f t="shared" si="383"/>
        <v>7.07</v>
      </c>
      <c r="E267" s="417">
        <f t="shared" si="383"/>
        <v>7.1407000000000007</v>
      </c>
      <c r="F267" s="417">
        <f t="shared" si="383"/>
        <v>7.2121070000000005</v>
      </c>
      <c r="G267" s="417">
        <f t="shared" si="383"/>
        <v>7.2842280700000002</v>
      </c>
      <c r="H267" s="417">
        <f t="shared" si="383"/>
        <v>7.3570703506999999</v>
      </c>
      <c r="I267" s="417">
        <f t="shared" ref="I267:AG267" si="386">H267*(1+$AI267)</f>
        <v>7.4306410542070003</v>
      </c>
      <c r="J267" s="417">
        <f t="shared" si="386"/>
        <v>7.5049474647490699</v>
      </c>
      <c r="K267" s="417">
        <f t="shared" si="386"/>
        <v>7.5799969393965609</v>
      </c>
      <c r="L267" s="417">
        <f t="shared" si="386"/>
        <v>7.6557969087905269</v>
      </c>
      <c r="M267" s="417">
        <f t="shared" si="386"/>
        <v>7.7323548778784321</v>
      </c>
      <c r="N267" s="417">
        <f t="shared" si="386"/>
        <v>7.8096784266572161</v>
      </c>
      <c r="O267" s="417">
        <f t="shared" si="386"/>
        <v>7.8877752109237882</v>
      </c>
      <c r="P267" s="417">
        <f t="shared" si="386"/>
        <v>7.9666529630330265</v>
      </c>
      <c r="Q267" s="417">
        <f t="shared" si="386"/>
        <v>8.0463194926633577</v>
      </c>
      <c r="R267" s="417">
        <f t="shared" si="386"/>
        <v>8.1267826875899907</v>
      </c>
      <c r="S267" s="417">
        <f t="shared" si="386"/>
        <v>8.2080505144658904</v>
      </c>
      <c r="T267" s="417">
        <f t="shared" si="386"/>
        <v>8.2901310196105502</v>
      </c>
      <c r="U267" s="417">
        <f t="shared" si="386"/>
        <v>8.3730323298066551</v>
      </c>
      <c r="V267" s="417">
        <f t="shared" si="386"/>
        <v>8.4567626531047217</v>
      </c>
      <c r="W267" s="417">
        <f t="shared" si="386"/>
        <v>8.5413302796357691</v>
      </c>
      <c r="X267" s="417">
        <f t="shared" si="386"/>
        <v>8.6267435824321268</v>
      </c>
      <c r="Y267" s="417">
        <f t="shared" si="386"/>
        <v>8.7130110182564486</v>
      </c>
      <c r="Z267" s="417">
        <f t="shared" si="386"/>
        <v>8.8001411284390141</v>
      </c>
      <c r="AA267" s="417">
        <f t="shared" si="386"/>
        <v>8.888142539723404</v>
      </c>
      <c r="AB267" s="417">
        <f t="shared" si="386"/>
        <v>8.9770239651206385</v>
      </c>
      <c r="AC267" s="417">
        <f t="shared" si="386"/>
        <v>9.0667942047718455</v>
      </c>
      <c r="AD267" s="417">
        <f t="shared" si="386"/>
        <v>9.1574621468195634</v>
      </c>
      <c r="AE267" s="417">
        <f t="shared" si="386"/>
        <v>9.249036768287759</v>
      </c>
      <c r="AF267" s="417">
        <f t="shared" si="386"/>
        <v>9.3415271359706367</v>
      </c>
      <c r="AG267" s="417">
        <f t="shared" si="386"/>
        <v>9.4349424073303432</v>
      </c>
      <c r="AH267" s="409">
        <v>0.01</v>
      </c>
      <c r="AI267" s="409">
        <v>0.01</v>
      </c>
      <c r="AJ267" s="409">
        <v>0.01</v>
      </c>
      <c r="AK267" s="409">
        <v>0.01</v>
      </c>
      <c r="AL267" s="148"/>
      <c r="AM267" s="907"/>
    </row>
    <row r="268" spans="1:39">
      <c r="A268" s="408" t="s">
        <v>92</v>
      </c>
      <c r="B268" s="408"/>
      <c r="C268" s="474">
        <v>8.5</v>
      </c>
      <c r="D268" s="417">
        <f t="shared" si="383"/>
        <v>8.5850000000000009</v>
      </c>
      <c r="E268" s="417">
        <f t="shared" si="383"/>
        <v>8.6708500000000015</v>
      </c>
      <c r="F268" s="417">
        <f t="shared" si="383"/>
        <v>8.7575585000000018</v>
      </c>
      <c r="G268" s="417">
        <f t="shared" si="383"/>
        <v>8.8451340850000015</v>
      </c>
      <c r="H268" s="417">
        <f t="shared" si="383"/>
        <v>8.9335854258500014</v>
      </c>
      <c r="I268" s="417">
        <f t="shared" ref="I268:AG268" si="387">H268*(1+$AI268)</f>
        <v>9.0229212801085019</v>
      </c>
      <c r="J268" s="417">
        <f t="shared" si="387"/>
        <v>9.1131504929095879</v>
      </c>
      <c r="K268" s="417">
        <f t="shared" si="387"/>
        <v>9.2042819978386845</v>
      </c>
      <c r="L268" s="417">
        <f t="shared" si="387"/>
        <v>9.2963248178170712</v>
      </c>
      <c r="M268" s="417">
        <f t="shared" si="387"/>
        <v>9.3892880659952418</v>
      </c>
      <c r="N268" s="417">
        <f t="shared" si="387"/>
        <v>9.4831809466551942</v>
      </c>
      <c r="O268" s="417">
        <f t="shared" si="387"/>
        <v>9.5780127561217459</v>
      </c>
      <c r="P268" s="417">
        <f t="shared" si="387"/>
        <v>9.6737928836829639</v>
      </c>
      <c r="Q268" s="417">
        <f t="shared" si="387"/>
        <v>9.7705308125197927</v>
      </c>
      <c r="R268" s="417">
        <f t="shared" si="387"/>
        <v>9.8682361206449905</v>
      </c>
      <c r="S268" s="417">
        <f t="shared" si="387"/>
        <v>9.9669184818514402</v>
      </c>
      <c r="T268" s="417">
        <f t="shared" si="387"/>
        <v>10.066587666669955</v>
      </c>
      <c r="U268" s="417">
        <f t="shared" si="387"/>
        <v>10.167253543336654</v>
      </c>
      <c r="V268" s="417">
        <f t="shared" si="387"/>
        <v>10.26892607877002</v>
      </c>
      <c r="W268" s="417">
        <f t="shared" si="387"/>
        <v>10.371615339557721</v>
      </c>
      <c r="X268" s="417">
        <f t="shared" si="387"/>
        <v>10.475331492953298</v>
      </c>
      <c r="Y268" s="417">
        <f t="shared" si="387"/>
        <v>10.580084807882832</v>
      </c>
      <c r="Z268" s="417">
        <f t="shared" si="387"/>
        <v>10.685885655961661</v>
      </c>
      <c r="AA268" s="417">
        <f t="shared" si="387"/>
        <v>10.792744512521278</v>
      </c>
      <c r="AB268" s="417">
        <f t="shared" si="387"/>
        <v>10.900671957646491</v>
      </c>
      <c r="AC268" s="417">
        <f t="shared" si="387"/>
        <v>11.009678677222956</v>
      </c>
      <c r="AD268" s="417">
        <f t="shared" si="387"/>
        <v>11.119775463995186</v>
      </c>
      <c r="AE268" s="417">
        <f t="shared" si="387"/>
        <v>11.230973218635137</v>
      </c>
      <c r="AF268" s="417">
        <f t="shared" si="387"/>
        <v>11.343282950821489</v>
      </c>
      <c r="AG268" s="417">
        <f t="shared" si="387"/>
        <v>11.456715780329704</v>
      </c>
      <c r="AH268" s="409">
        <v>0.01</v>
      </c>
      <c r="AI268" s="409">
        <v>0.01</v>
      </c>
      <c r="AJ268" s="409">
        <v>0.01</v>
      </c>
      <c r="AK268" s="409">
        <v>0.01</v>
      </c>
      <c r="AL268" s="148"/>
      <c r="AM268" s="907"/>
    </row>
    <row r="269" spans="1:39">
      <c r="A269" s="408" t="s">
        <v>93</v>
      </c>
      <c r="B269" s="408"/>
      <c r="C269" s="474">
        <v>9</v>
      </c>
      <c r="D269" s="417">
        <f t="shared" si="383"/>
        <v>9.09</v>
      </c>
      <c r="E269" s="417">
        <f t="shared" si="383"/>
        <v>9.1808999999999994</v>
      </c>
      <c r="F269" s="417">
        <f t="shared" si="383"/>
        <v>9.272708999999999</v>
      </c>
      <c r="G269" s="417">
        <f t="shared" si="383"/>
        <v>9.3654360899999993</v>
      </c>
      <c r="H269" s="417">
        <f t="shared" si="383"/>
        <v>9.4590904508999998</v>
      </c>
      <c r="I269" s="417">
        <f t="shared" ref="I269:AG269" si="388">H269*(1+$AI269)</f>
        <v>9.5536813554089992</v>
      </c>
      <c r="J269" s="417">
        <f t="shared" si="388"/>
        <v>9.64921816896309</v>
      </c>
      <c r="K269" s="417">
        <f t="shared" si="388"/>
        <v>9.7457103506527218</v>
      </c>
      <c r="L269" s="417">
        <f t="shared" si="388"/>
        <v>9.84316745415925</v>
      </c>
      <c r="M269" s="417">
        <f t="shared" si="388"/>
        <v>9.9415991287008421</v>
      </c>
      <c r="N269" s="417">
        <f t="shared" si="388"/>
        <v>10.041015119987851</v>
      </c>
      <c r="O269" s="417">
        <f t="shared" si="388"/>
        <v>10.14142527118773</v>
      </c>
      <c r="P269" s="417">
        <f t="shared" si="388"/>
        <v>10.242839523899608</v>
      </c>
      <c r="Q269" s="417">
        <f t="shared" si="388"/>
        <v>10.345267919138605</v>
      </c>
      <c r="R269" s="417">
        <f t="shared" si="388"/>
        <v>10.448720598329992</v>
      </c>
      <c r="S269" s="417">
        <f t="shared" si="388"/>
        <v>10.553207804313292</v>
      </c>
      <c r="T269" s="417">
        <f t="shared" si="388"/>
        <v>10.658739882356425</v>
      </c>
      <c r="U269" s="417">
        <f t="shared" si="388"/>
        <v>10.765327281179989</v>
      </c>
      <c r="V269" s="417">
        <f t="shared" si="388"/>
        <v>10.872980553991789</v>
      </c>
      <c r="W269" s="417">
        <f t="shared" si="388"/>
        <v>10.981710359531707</v>
      </c>
      <c r="X269" s="417">
        <f t="shared" si="388"/>
        <v>11.091527463127024</v>
      </c>
      <c r="Y269" s="417">
        <f t="shared" si="388"/>
        <v>11.202442737758295</v>
      </c>
      <c r="Z269" s="417">
        <f t="shared" si="388"/>
        <v>11.314467165135879</v>
      </c>
      <c r="AA269" s="417">
        <f t="shared" si="388"/>
        <v>11.427611836787237</v>
      </c>
      <c r="AB269" s="417">
        <f t="shared" si="388"/>
        <v>11.54188795515511</v>
      </c>
      <c r="AC269" s="417">
        <f t="shared" si="388"/>
        <v>11.657306834706661</v>
      </c>
      <c r="AD269" s="417">
        <f t="shared" si="388"/>
        <v>11.773879903053729</v>
      </c>
      <c r="AE269" s="417">
        <f t="shared" si="388"/>
        <v>11.891618702084266</v>
      </c>
      <c r="AF269" s="417">
        <f t="shared" si="388"/>
        <v>12.010534889105108</v>
      </c>
      <c r="AG269" s="417">
        <f t="shared" si="388"/>
        <v>12.130640237996159</v>
      </c>
      <c r="AH269" s="409">
        <v>0.01</v>
      </c>
      <c r="AI269" s="409">
        <v>0.01</v>
      </c>
      <c r="AJ269" s="409">
        <v>0.01</v>
      </c>
      <c r="AK269" s="409">
        <v>0.01</v>
      </c>
      <c r="AL269" s="148"/>
      <c r="AM269" s="907"/>
    </row>
    <row r="270" spans="1:39">
      <c r="A270" s="408" t="s">
        <v>94</v>
      </c>
      <c r="B270" s="408"/>
      <c r="C270" s="474">
        <v>7</v>
      </c>
      <c r="D270" s="417">
        <f t="shared" si="383"/>
        <v>7.07</v>
      </c>
      <c r="E270" s="417">
        <f t="shared" si="383"/>
        <v>7.1407000000000007</v>
      </c>
      <c r="F270" s="417">
        <f t="shared" si="383"/>
        <v>7.2121070000000005</v>
      </c>
      <c r="G270" s="417">
        <f t="shared" si="383"/>
        <v>7.2842280700000002</v>
      </c>
      <c r="H270" s="417">
        <f t="shared" si="383"/>
        <v>7.3570703506999999</v>
      </c>
      <c r="I270" s="417">
        <f t="shared" ref="I270:AG270" si="389">H270*(1+$AI270)</f>
        <v>7.4306410542070003</v>
      </c>
      <c r="J270" s="417">
        <f t="shared" si="389"/>
        <v>7.5049474647490699</v>
      </c>
      <c r="K270" s="417">
        <f t="shared" si="389"/>
        <v>7.5799969393965609</v>
      </c>
      <c r="L270" s="417">
        <f t="shared" si="389"/>
        <v>7.6557969087905269</v>
      </c>
      <c r="M270" s="417">
        <f t="shared" si="389"/>
        <v>7.7323548778784321</v>
      </c>
      <c r="N270" s="417">
        <f t="shared" si="389"/>
        <v>7.8096784266572161</v>
      </c>
      <c r="O270" s="417">
        <f t="shared" si="389"/>
        <v>7.8877752109237882</v>
      </c>
      <c r="P270" s="417">
        <f t="shared" si="389"/>
        <v>7.9666529630330265</v>
      </c>
      <c r="Q270" s="417">
        <f t="shared" si="389"/>
        <v>8.0463194926633577</v>
      </c>
      <c r="R270" s="417">
        <f t="shared" si="389"/>
        <v>8.1267826875899907</v>
      </c>
      <c r="S270" s="417">
        <f t="shared" si="389"/>
        <v>8.2080505144658904</v>
      </c>
      <c r="T270" s="417">
        <f t="shared" si="389"/>
        <v>8.2901310196105502</v>
      </c>
      <c r="U270" s="417">
        <f t="shared" si="389"/>
        <v>8.3730323298066551</v>
      </c>
      <c r="V270" s="417">
        <f t="shared" si="389"/>
        <v>8.4567626531047217</v>
      </c>
      <c r="W270" s="417">
        <f t="shared" si="389"/>
        <v>8.5413302796357691</v>
      </c>
      <c r="X270" s="417">
        <f t="shared" si="389"/>
        <v>8.6267435824321268</v>
      </c>
      <c r="Y270" s="417">
        <f t="shared" si="389"/>
        <v>8.7130110182564486</v>
      </c>
      <c r="Z270" s="417">
        <f t="shared" si="389"/>
        <v>8.8001411284390141</v>
      </c>
      <c r="AA270" s="417">
        <f t="shared" si="389"/>
        <v>8.888142539723404</v>
      </c>
      <c r="AB270" s="417">
        <f t="shared" si="389"/>
        <v>8.9770239651206385</v>
      </c>
      <c r="AC270" s="417">
        <f t="shared" si="389"/>
        <v>9.0667942047718455</v>
      </c>
      <c r="AD270" s="417">
        <f t="shared" si="389"/>
        <v>9.1574621468195634</v>
      </c>
      <c r="AE270" s="417">
        <f t="shared" si="389"/>
        <v>9.249036768287759</v>
      </c>
      <c r="AF270" s="417">
        <f t="shared" si="389"/>
        <v>9.3415271359706367</v>
      </c>
      <c r="AG270" s="417">
        <f t="shared" si="389"/>
        <v>9.4349424073303432</v>
      </c>
      <c r="AH270" s="409">
        <v>0.01</v>
      </c>
      <c r="AI270" s="409">
        <v>0.01</v>
      </c>
      <c r="AJ270" s="409">
        <v>0.01</v>
      </c>
      <c r="AK270" s="409">
        <v>0.01</v>
      </c>
      <c r="AL270" s="148"/>
      <c r="AM270" s="907"/>
    </row>
    <row r="271" spans="1:39">
      <c r="A271" s="408" t="s">
        <v>95</v>
      </c>
      <c r="B271" s="408"/>
      <c r="C271" s="474">
        <v>8.5</v>
      </c>
      <c r="D271" s="417">
        <f t="shared" si="383"/>
        <v>8.5850000000000009</v>
      </c>
      <c r="E271" s="417">
        <f t="shared" si="383"/>
        <v>8.6708500000000015</v>
      </c>
      <c r="F271" s="417">
        <f t="shared" si="383"/>
        <v>8.7575585000000018</v>
      </c>
      <c r="G271" s="417">
        <f t="shared" si="383"/>
        <v>8.8451340850000015</v>
      </c>
      <c r="H271" s="417">
        <f t="shared" si="383"/>
        <v>8.9335854258500014</v>
      </c>
      <c r="I271" s="417">
        <f t="shared" ref="I271:AG271" si="390">H271*(1+$AI271)</f>
        <v>9.0229212801085019</v>
      </c>
      <c r="J271" s="417">
        <f t="shared" si="390"/>
        <v>9.1131504929095879</v>
      </c>
      <c r="K271" s="417">
        <f t="shared" si="390"/>
        <v>9.2042819978386845</v>
      </c>
      <c r="L271" s="417">
        <f t="shared" si="390"/>
        <v>9.2963248178170712</v>
      </c>
      <c r="M271" s="417">
        <f t="shared" si="390"/>
        <v>9.3892880659952418</v>
      </c>
      <c r="N271" s="417">
        <f t="shared" si="390"/>
        <v>9.4831809466551942</v>
      </c>
      <c r="O271" s="417">
        <f t="shared" si="390"/>
        <v>9.5780127561217459</v>
      </c>
      <c r="P271" s="417">
        <f t="shared" si="390"/>
        <v>9.6737928836829639</v>
      </c>
      <c r="Q271" s="417">
        <f t="shared" si="390"/>
        <v>9.7705308125197927</v>
      </c>
      <c r="R271" s="417">
        <f t="shared" si="390"/>
        <v>9.8682361206449905</v>
      </c>
      <c r="S271" s="417">
        <f t="shared" si="390"/>
        <v>9.9669184818514402</v>
      </c>
      <c r="T271" s="417">
        <f t="shared" si="390"/>
        <v>10.066587666669955</v>
      </c>
      <c r="U271" s="417">
        <f t="shared" si="390"/>
        <v>10.167253543336654</v>
      </c>
      <c r="V271" s="417">
        <f t="shared" si="390"/>
        <v>10.26892607877002</v>
      </c>
      <c r="W271" s="417">
        <f t="shared" si="390"/>
        <v>10.371615339557721</v>
      </c>
      <c r="X271" s="417">
        <f t="shared" si="390"/>
        <v>10.475331492953298</v>
      </c>
      <c r="Y271" s="417">
        <f t="shared" si="390"/>
        <v>10.580084807882832</v>
      </c>
      <c r="Z271" s="417">
        <f t="shared" si="390"/>
        <v>10.685885655961661</v>
      </c>
      <c r="AA271" s="417">
        <f t="shared" si="390"/>
        <v>10.792744512521278</v>
      </c>
      <c r="AB271" s="417">
        <f t="shared" si="390"/>
        <v>10.900671957646491</v>
      </c>
      <c r="AC271" s="417">
        <f t="shared" si="390"/>
        <v>11.009678677222956</v>
      </c>
      <c r="AD271" s="417">
        <f t="shared" si="390"/>
        <v>11.119775463995186</v>
      </c>
      <c r="AE271" s="417">
        <f t="shared" si="390"/>
        <v>11.230973218635137</v>
      </c>
      <c r="AF271" s="417">
        <f t="shared" si="390"/>
        <v>11.343282950821489</v>
      </c>
      <c r="AG271" s="417">
        <f t="shared" si="390"/>
        <v>11.456715780329704</v>
      </c>
      <c r="AH271" s="409">
        <v>0.01</v>
      </c>
      <c r="AI271" s="409">
        <v>0.01</v>
      </c>
      <c r="AJ271" s="409">
        <v>0.01</v>
      </c>
      <c r="AK271" s="409">
        <v>0.01</v>
      </c>
      <c r="AL271" s="148"/>
      <c r="AM271" s="907"/>
    </row>
    <row r="272" spans="1:39">
      <c r="A272" s="408" t="s">
        <v>96</v>
      </c>
      <c r="B272" s="408"/>
      <c r="C272" s="474">
        <v>9</v>
      </c>
      <c r="D272" s="417">
        <f t="shared" si="383"/>
        <v>9.09</v>
      </c>
      <c r="E272" s="417">
        <f t="shared" si="383"/>
        <v>9.1808999999999994</v>
      </c>
      <c r="F272" s="417">
        <f t="shared" si="383"/>
        <v>9.272708999999999</v>
      </c>
      <c r="G272" s="417">
        <f t="shared" si="383"/>
        <v>9.3654360899999993</v>
      </c>
      <c r="H272" s="417">
        <f t="shared" si="383"/>
        <v>9.4590904508999998</v>
      </c>
      <c r="I272" s="417">
        <f t="shared" ref="I272:AG272" si="391">H272*(1+$AI272)</f>
        <v>9.5536813554089992</v>
      </c>
      <c r="J272" s="417">
        <f t="shared" si="391"/>
        <v>9.64921816896309</v>
      </c>
      <c r="K272" s="417">
        <f t="shared" si="391"/>
        <v>9.7457103506527218</v>
      </c>
      <c r="L272" s="417">
        <f t="shared" si="391"/>
        <v>9.84316745415925</v>
      </c>
      <c r="M272" s="417">
        <f t="shared" si="391"/>
        <v>9.9415991287008421</v>
      </c>
      <c r="N272" s="417">
        <f t="shared" si="391"/>
        <v>10.041015119987851</v>
      </c>
      <c r="O272" s="417">
        <f t="shared" si="391"/>
        <v>10.14142527118773</v>
      </c>
      <c r="P272" s="417">
        <f t="shared" si="391"/>
        <v>10.242839523899608</v>
      </c>
      <c r="Q272" s="417">
        <f t="shared" si="391"/>
        <v>10.345267919138605</v>
      </c>
      <c r="R272" s="417">
        <f t="shared" si="391"/>
        <v>10.448720598329992</v>
      </c>
      <c r="S272" s="417">
        <f t="shared" si="391"/>
        <v>10.553207804313292</v>
      </c>
      <c r="T272" s="417">
        <f t="shared" si="391"/>
        <v>10.658739882356425</v>
      </c>
      <c r="U272" s="417">
        <f t="shared" si="391"/>
        <v>10.765327281179989</v>
      </c>
      <c r="V272" s="417">
        <f t="shared" si="391"/>
        <v>10.872980553991789</v>
      </c>
      <c r="W272" s="417">
        <f t="shared" si="391"/>
        <v>10.981710359531707</v>
      </c>
      <c r="X272" s="417">
        <f t="shared" si="391"/>
        <v>11.091527463127024</v>
      </c>
      <c r="Y272" s="417">
        <f t="shared" si="391"/>
        <v>11.202442737758295</v>
      </c>
      <c r="Z272" s="417">
        <f t="shared" si="391"/>
        <v>11.314467165135879</v>
      </c>
      <c r="AA272" s="417">
        <f t="shared" si="391"/>
        <v>11.427611836787237</v>
      </c>
      <c r="AB272" s="417">
        <f t="shared" si="391"/>
        <v>11.54188795515511</v>
      </c>
      <c r="AC272" s="417">
        <f t="shared" si="391"/>
        <v>11.657306834706661</v>
      </c>
      <c r="AD272" s="417">
        <f t="shared" si="391"/>
        <v>11.773879903053729</v>
      </c>
      <c r="AE272" s="417">
        <f t="shared" si="391"/>
        <v>11.891618702084266</v>
      </c>
      <c r="AF272" s="417">
        <f t="shared" si="391"/>
        <v>12.010534889105108</v>
      </c>
      <c r="AG272" s="417">
        <f t="shared" si="391"/>
        <v>12.130640237996159</v>
      </c>
      <c r="AH272" s="409">
        <v>0.01</v>
      </c>
      <c r="AI272" s="409">
        <v>0.01</v>
      </c>
      <c r="AJ272" s="409">
        <v>0.01</v>
      </c>
      <c r="AK272" s="409">
        <v>0.01</v>
      </c>
      <c r="AL272" s="148"/>
      <c r="AM272" s="907"/>
    </row>
    <row r="273" spans="1:39">
      <c r="A273" s="408" t="s">
        <v>97</v>
      </c>
      <c r="B273" s="408"/>
      <c r="C273" s="474">
        <v>9</v>
      </c>
      <c r="D273" s="417">
        <f t="shared" si="383"/>
        <v>9.09</v>
      </c>
      <c r="E273" s="417">
        <f t="shared" si="383"/>
        <v>9.1808999999999994</v>
      </c>
      <c r="F273" s="417">
        <f t="shared" si="383"/>
        <v>9.272708999999999</v>
      </c>
      <c r="G273" s="417">
        <f t="shared" si="383"/>
        <v>9.3654360899999993</v>
      </c>
      <c r="H273" s="417">
        <f t="shared" si="383"/>
        <v>9.4590904508999998</v>
      </c>
      <c r="I273" s="417">
        <f t="shared" ref="I273:AG273" si="392">H273*(1+$AI273)</f>
        <v>9.5536813554089992</v>
      </c>
      <c r="J273" s="417">
        <f t="shared" si="392"/>
        <v>9.64921816896309</v>
      </c>
      <c r="K273" s="417">
        <f t="shared" si="392"/>
        <v>9.7457103506527218</v>
      </c>
      <c r="L273" s="417">
        <f t="shared" si="392"/>
        <v>9.84316745415925</v>
      </c>
      <c r="M273" s="417">
        <f t="shared" si="392"/>
        <v>9.9415991287008421</v>
      </c>
      <c r="N273" s="417">
        <f t="shared" si="392"/>
        <v>10.041015119987851</v>
      </c>
      <c r="O273" s="417">
        <f t="shared" si="392"/>
        <v>10.14142527118773</v>
      </c>
      <c r="P273" s="417">
        <f t="shared" si="392"/>
        <v>10.242839523899608</v>
      </c>
      <c r="Q273" s="417">
        <f t="shared" si="392"/>
        <v>10.345267919138605</v>
      </c>
      <c r="R273" s="417">
        <f t="shared" si="392"/>
        <v>10.448720598329992</v>
      </c>
      <c r="S273" s="417">
        <f t="shared" si="392"/>
        <v>10.553207804313292</v>
      </c>
      <c r="T273" s="417">
        <f t="shared" si="392"/>
        <v>10.658739882356425</v>
      </c>
      <c r="U273" s="417">
        <f t="shared" si="392"/>
        <v>10.765327281179989</v>
      </c>
      <c r="V273" s="417">
        <f t="shared" si="392"/>
        <v>10.872980553991789</v>
      </c>
      <c r="W273" s="417">
        <f t="shared" si="392"/>
        <v>10.981710359531707</v>
      </c>
      <c r="X273" s="417">
        <f t="shared" si="392"/>
        <v>11.091527463127024</v>
      </c>
      <c r="Y273" s="417">
        <f t="shared" si="392"/>
        <v>11.202442737758295</v>
      </c>
      <c r="Z273" s="417">
        <f t="shared" si="392"/>
        <v>11.314467165135879</v>
      </c>
      <c r="AA273" s="417">
        <f t="shared" si="392"/>
        <v>11.427611836787237</v>
      </c>
      <c r="AB273" s="417">
        <f t="shared" si="392"/>
        <v>11.54188795515511</v>
      </c>
      <c r="AC273" s="417">
        <f t="shared" si="392"/>
        <v>11.657306834706661</v>
      </c>
      <c r="AD273" s="417">
        <f t="shared" si="392"/>
        <v>11.773879903053729</v>
      </c>
      <c r="AE273" s="417">
        <f t="shared" si="392"/>
        <v>11.891618702084266</v>
      </c>
      <c r="AF273" s="417">
        <f t="shared" si="392"/>
        <v>12.010534889105108</v>
      </c>
      <c r="AG273" s="417">
        <f t="shared" si="392"/>
        <v>12.130640237996159</v>
      </c>
      <c r="AH273" s="409">
        <v>0.01</v>
      </c>
      <c r="AI273" s="409">
        <v>0.01</v>
      </c>
      <c r="AJ273" s="409">
        <v>0.01</v>
      </c>
      <c r="AK273" s="409">
        <v>0.01</v>
      </c>
      <c r="AL273" s="148"/>
      <c r="AM273" s="907"/>
    </row>
    <row r="274" spans="1:39">
      <c r="A274" s="408"/>
      <c r="B274" s="408"/>
      <c r="C274" s="323"/>
      <c r="D274" s="323"/>
      <c r="E274" s="323"/>
      <c r="F274" s="323"/>
      <c r="G274" s="323"/>
      <c r="H274" s="323"/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U274" s="323"/>
      <c r="V274" s="323"/>
      <c r="W274" s="323"/>
      <c r="X274" s="323"/>
      <c r="Y274" s="323"/>
      <c r="Z274" s="323"/>
      <c r="AA274" s="323"/>
      <c r="AB274" s="323"/>
      <c r="AC274" s="323"/>
      <c r="AD274" s="323"/>
      <c r="AE274" s="323"/>
      <c r="AF274" s="323"/>
      <c r="AG274" s="323"/>
      <c r="AH274" s="409"/>
      <c r="AI274" s="409"/>
      <c r="AJ274" s="409"/>
      <c r="AK274" s="409"/>
      <c r="AL274" s="148"/>
    </row>
    <row r="275" spans="1:39" ht="28.8" customHeight="1">
      <c r="A275" s="903" t="s">
        <v>768</v>
      </c>
      <c r="B275" s="904"/>
      <c r="C275" s="399">
        <v>2025</v>
      </c>
      <c r="D275" s="399">
        <v>2026</v>
      </c>
      <c r="E275" s="399">
        <v>2027</v>
      </c>
      <c r="F275" s="399">
        <v>2028</v>
      </c>
      <c r="G275" s="399">
        <v>2029</v>
      </c>
      <c r="H275" s="399">
        <v>2030</v>
      </c>
      <c r="I275" s="399">
        <v>2031</v>
      </c>
      <c r="J275" s="399">
        <v>2032</v>
      </c>
      <c r="K275" s="399">
        <v>2033</v>
      </c>
      <c r="L275" s="399">
        <v>2034</v>
      </c>
      <c r="M275" s="399">
        <v>2035</v>
      </c>
      <c r="N275" s="399">
        <v>2036</v>
      </c>
      <c r="O275" s="399">
        <v>2037</v>
      </c>
      <c r="P275" s="399">
        <v>2038</v>
      </c>
      <c r="Q275" s="399">
        <v>2039</v>
      </c>
      <c r="R275" s="399">
        <v>2040</v>
      </c>
      <c r="S275" s="399">
        <v>2041</v>
      </c>
      <c r="T275" s="399">
        <v>2042</v>
      </c>
      <c r="U275" s="399">
        <v>2043</v>
      </c>
      <c r="V275" s="399">
        <v>2044</v>
      </c>
      <c r="W275" s="399">
        <v>2045</v>
      </c>
      <c r="X275" s="399">
        <v>2046</v>
      </c>
      <c r="Y275" s="399">
        <v>2047</v>
      </c>
      <c r="Z275" s="399">
        <v>2048</v>
      </c>
      <c r="AA275" s="399">
        <v>2049</v>
      </c>
      <c r="AB275" s="399">
        <v>2050</v>
      </c>
      <c r="AC275" s="399">
        <v>2051</v>
      </c>
      <c r="AD275" s="399">
        <v>2052</v>
      </c>
      <c r="AE275" s="399">
        <v>2053</v>
      </c>
      <c r="AF275" s="399">
        <v>2054</v>
      </c>
      <c r="AG275" s="399">
        <v>2055</v>
      </c>
      <c r="AH275" s="399"/>
      <c r="AI275" s="397"/>
      <c r="AJ275" s="397"/>
      <c r="AK275" s="397"/>
      <c r="AL275" s="397"/>
    </row>
    <row r="276" spans="1:39">
      <c r="A276" s="408" t="s">
        <v>88</v>
      </c>
      <c r="B276" s="408"/>
      <c r="C276" s="488">
        <f>C265*$AL$276</f>
        <v>5.3</v>
      </c>
      <c r="D276" s="488">
        <f t="shared" ref="D276:K276" si="393">D265*$AL$276</f>
        <v>5.3529999999999998</v>
      </c>
      <c r="E276" s="488">
        <f t="shared" si="393"/>
        <v>5.4065300000000001</v>
      </c>
      <c r="F276" s="488">
        <f t="shared" si="393"/>
        <v>5.4605953000000005</v>
      </c>
      <c r="G276" s="488">
        <f t="shared" si="393"/>
        <v>5.5152012530000007</v>
      </c>
      <c r="H276" s="488">
        <f t="shared" si="393"/>
        <v>5.5703532655300005</v>
      </c>
      <c r="I276" s="488">
        <f t="shared" si="393"/>
        <v>5.6260567981853002</v>
      </c>
      <c r="J276" s="488">
        <f t="shared" si="393"/>
        <v>5.6823173661671529</v>
      </c>
      <c r="K276" s="488">
        <f t="shared" si="393"/>
        <v>5.7391405398288242</v>
      </c>
      <c r="L276" s="417">
        <f>L265*$AL$277</f>
        <v>5.7965319452271125</v>
      </c>
      <c r="M276" s="417">
        <f t="shared" ref="M276:Q276" si="394">M265*$AL$277</f>
        <v>5.8544972646793836</v>
      </c>
      <c r="N276" s="417">
        <f t="shared" si="394"/>
        <v>5.9130422373261773</v>
      </c>
      <c r="O276" s="417">
        <f t="shared" si="394"/>
        <v>5.9721726596994387</v>
      </c>
      <c r="P276" s="417">
        <f t="shared" si="394"/>
        <v>6.0318943862964334</v>
      </c>
      <c r="Q276" s="417">
        <f t="shared" si="394"/>
        <v>6.0922133301593977</v>
      </c>
      <c r="R276" s="417">
        <f>R265</f>
        <v>6.153135463460992</v>
      </c>
      <c r="S276" s="417">
        <f t="shared" ref="S276:AG276" si="395">R276*(1+$AI276)</f>
        <v>6.2146668180956022</v>
      </c>
      <c r="T276" s="417">
        <f t="shared" si="395"/>
        <v>6.2768134862765583</v>
      </c>
      <c r="U276" s="417">
        <f t="shared" si="395"/>
        <v>6.3395816211393239</v>
      </c>
      <c r="V276" s="417">
        <f t="shared" si="395"/>
        <v>6.4029774373507173</v>
      </c>
      <c r="W276" s="417">
        <f t="shared" si="395"/>
        <v>6.4670072117242245</v>
      </c>
      <c r="X276" s="417">
        <f t="shared" si="395"/>
        <v>6.531677283841467</v>
      </c>
      <c r="Y276" s="417">
        <f t="shared" si="395"/>
        <v>6.5969940566798817</v>
      </c>
      <c r="Z276" s="417">
        <f t="shared" si="395"/>
        <v>6.6629639972466803</v>
      </c>
      <c r="AA276" s="417">
        <f t="shared" si="395"/>
        <v>6.7295936372191472</v>
      </c>
      <c r="AB276" s="417">
        <f t="shared" si="395"/>
        <v>6.7968895735913391</v>
      </c>
      <c r="AC276" s="417">
        <f t="shared" si="395"/>
        <v>6.8648584693272525</v>
      </c>
      <c r="AD276" s="417">
        <f t="shared" si="395"/>
        <v>6.9335070540205255</v>
      </c>
      <c r="AE276" s="417">
        <f t="shared" si="395"/>
        <v>7.0028421245607309</v>
      </c>
      <c r="AF276" s="417">
        <f t="shared" si="395"/>
        <v>7.0728705458063379</v>
      </c>
      <c r="AG276" s="417">
        <f t="shared" si="395"/>
        <v>7.1435992512644013</v>
      </c>
      <c r="AH276" s="409">
        <v>0.01</v>
      </c>
      <c r="AI276" s="409">
        <v>0.01</v>
      </c>
      <c r="AJ276" s="409">
        <v>0.01</v>
      </c>
      <c r="AK276" s="409">
        <v>0.01</v>
      </c>
      <c r="AL276" s="486">
        <v>1</v>
      </c>
      <c r="AM276" s="487" t="s">
        <v>680</v>
      </c>
    </row>
    <row r="277" spans="1:39">
      <c r="A277" s="408" t="s">
        <v>90</v>
      </c>
      <c r="B277" s="408"/>
      <c r="C277" s="488">
        <f t="shared" ref="C277:K277" si="396">C266*$AL$276</f>
        <v>5.3</v>
      </c>
      <c r="D277" s="488">
        <f t="shared" si="396"/>
        <v>5.3529999999999998</v>
      </c>
      <c r="E277" s="488">
        <f t="shared" si="396"/>
        <v>5.4065300000000001</v>
      </c>
      <c r="F277" s="488">
        <f t="shared" si="396"/>
        <v>5.4605953000000005</v>
      </c>
      <c r="G277" s="488">
        <f t="shared" si="396"/>
        <v>5.5152012530000007</v>
      </c>
      <c r="H277" s="488">
        <f t="shared" si="396"/>
        <v>5.5703532655300005</v>
      </c>
      <c r="I277" s="488">
        <f t="shared" si="396"/>
        <v>5.6260567981853002</v>
      </c>
      <c r="J277" s="488">
        <f t="shared" si="396"/>
        <v>5.6823173661671529</v>
      </c>
      <c r="K277" s="488">
        <f t="shared" si="396"/>
        <v>5.7391405398288242</v>
      </c>
      <c r="L277" s="417">
        <f t="shared" ref="L277:Q277" si="397">L266*$AL$277</f>
        <v>5.7965319452271125</v>
      </c>
      <c r="M277" s="417">
        <f t="shared" si="397"/>
        <v>5.8544972646793836</v>
      </c>
      <c r="N277" s="417">
        <f t="shared" si="397"/>
        <v>5.9130422373261773</v>
      </c>
      <c r="O277" s="417">
        <f t="shared" si="397"/>
        <v>5.9721726596994387</v>
      </c>
      <c r="P277" s="417">
        <f t="shared" si="397"/>
        <v>6.0318943862964334</v>
      </c>
      <c r="Q277" s="417">
        <f t="shared" si="397"/>
        <v>6.0922133301593977</v>
      </c>
      <c r="R277" s="417">
        <f t="shared" ref="R277:R284" si="398">R266</f>
        <v>6.153135463460992</v>
      </c>
      <c r="S277" s="417">
        <f t="shared" ref="S277:AG277" si="399">R277*(1+$AI277)</f>
        <v>6.2146668180956022</v>
      </c>
      <c r="T277" s="417">
        <f t="shared" si="399"/>
        <v>6.2768134862765583</v>
      </c>
      <c r="U277" s="417">
        <f t="shared" si="399"/>
        <v>6.3395816211393239</v>
      </c>
      <c r="V277" s="417">
        <f t="shared" si="399"/>
        <v>6.4029774373507173</v>
      </c>
      <c r="W277" s="417">
        <f t="shared" si="399"/>
        <v>6.4670072117242245</v>
      </c>
      <c r="X277" s="417">
        <f t="shared" si="399"/>
        <v>6.531677283841467</v>
      </c>
      <c r="Y277" s="417">
        <f t="shared" si="399"/>
        <v>6.5969940566798817</v>
      </c>
      <c r="Z277" s="417">
        <f t="shared" si="399"/>
        <v>6.6629639972466803</v>
      </c>
      <c r="AA277" s="417">
        <f t="shared" si="399"/>
        <v>6.7295936372191472</v>
      </c>
      <c r="AB277" s="417">
        <f t="shared" si="399"/>
        <v>6.7968895735913391</v>
      </c>
      <c r="AC277" s="417">
        <f t="shared" si="399"/>
        <v>6.8648584693272525</v>
      </c>
      <c r="AD277" s="417">
        <f t="shared" si="399"/>
        <v>6.9335070540205255</v>
      </c>
      <c r="AE277" s="417">
        <f t="shared" si="399"/>
        <v>7.0028421245607309</v>
      </c>
      <c r="AF277" s="417">
        <f t="shared" si="399"/>
        <v>7.0728705458063379</v>
      </c>
      <c r="AG277" s="417">
        <f t="shared" si="399"/>
        <v>7.1435992512644013</v>
      </c>
      <c r="AH277" s="409">
        <v>0.01</v>
      </c>
      <c r="AI277" s="409">
        <v>0.01</v>
      </c>
      <c r="AJ277" s="409">
        <v>0.01</v>
      </c>
      <c r="AK277" s="409">
        <v>0.01</v>
      </c>
      <c r="AL277" s="486">
        <v>1</v>
      </c>
      <c r="AM277" s="487" t="s">
        <v>681</v>
      </c>
    </row>
    <row r="278" spans="1:39">
      <c r="A278" s="408" t="s">
        <v>91</v>
      </c>
      <c r="B278" s="408"/>
      <c r="C278" s="488">
        <f t="shared" ref="C278:K278" si="400">C267*$AL$276</f>
        <v>7</v>
      </c>
      <c r="D278" s="488">
        <f t="shared" si="400"/>
        <v>7.07</v>
      </c>
      <c r="E278" s="488">
        <f t="shared" si="400"/>
        <v>7.1407000000000007</v>
      </c>
      <c r="F278" s="488">
        <f t="shared" si="400"/>
        <v>7.2121070000000005</v>
      </c>
      <c r="G278" s="488">
        <f t="shared" si="400"/>
        <v>7.2842280700000002</v>
      </c>
      <c r="H278" s="488">
        <f t="shared" si="400"/>
        <v>7.3570703506999999</v>
      </c>
      <c r="I278" s="488">
        <f t="shared" si="400"/>
        <v>7.4306410542070003</v>
      </c>
      <c r="J278" s="488">
        <f t="shared" si="400"/>
        <v>7.5049474647490699</v>
      </c>
      <c r="K278" s="488">
        <f t="shared" si="400"/>
        <v>7.5799969393965609</v>
      </c>
      <c r="L278" s="417">
        <f t="shared" ref="L278:Q278" si="401">L267*$AL$277</f>
        <v>7.6557969087905269</v>
      </c>
      <c r="M278" s="417">
        <f t="shared" si="401"/>
        <v>7.7323548778784321</v>
      </c>
      <c r="N278" s="417">
        <f t="shared" si="401"/>
        <v>7.8096784266572161</v>
      </c>
      <c r="O278" s="417">
        <f t="shared" si="401"/>
        <v>7.8877752109237882</v>
      </c>
      <c r="P278" s="417">
        <f t="shared" si="401"/>
        <v>7.9666529630330265</v>
      </c>
      <c r="Q278" s="417">
        <f t="shared" si="401"/>
        <v>8.0463194926633577</v>
      </c>
      <c r="R278" s="417">
        <f t="shared" si="398"/>
        <v>8.1267826875899907</v>
      </c>
      <c r="S278" s="417">
        <f t="shared" ref="S278:AG278" si="402">R278*(1+$AI278)</f>
        <v>8.2080505144658904</v>
      </c>
      <c r="T278" s="417">
        <f t="shared" si="402"/>
        <v>8.2901310196105502</v>
      </c>
      <c r="U278" s="417">
        <f t="shared" si="402"/>
        <v>8.3730323298066551</v>
      </c>
      <c r="V278" s="417">
        <f t="shared" si="402"/>
        <v>8.4567626531047217</v>
      </c>
      <c r="W278" s="417">
        <f t="shared" si="402"/>
        <v>8.5413302796357691</v>
      </c>
      <c r="X278" s="417">
        <f t="shared" si="402"/>
        <v>8.6267435824321268</v>
      </c>
      <c r="Y278" s="417">
        <f t="shared" si="402"/>
        <v>8.7130110182564486</v>
      </c>
      <c r="Z278" s="417">
        <f t="shared" si="402"/>
        <v>8.8001411284390141</v>
      </c>
      <c r="AA278" s="417">
        <f t="shared" si="402"/>
        <v>8.888142539723404</v>
      </c>
      <c r="AB278" s="417">
        <f t="shared" si="402"/>
        <v>8.9770239651206385</v>
      </c>
      <c r="AC278" s="417">
        <f t="shared" si="402"/>
        <v>9.0667942047718455</v>
      </c>
      <c r="AD278" s="417">
        <f t="shared" si="402"/>
        <v>9.1574621468195634</v>
      </c>
      <c r="AE278" s="417">
        <f t="shared" si="402"/>
        <v>9.249036768287759</v>
      </c>
      <c r="AF278" s="417">
        <f t="shared" si="402"/>
        <v>9.3415271359706367</v>
      </c>
      <c r="AG278" s="417">
        <f t="shared" si="402"/>
        <v>9.4349424073303432</v>
      </c>
      <c r="AH278" s="409">
        <v>0.01</v>
      </c>
      <c r="AI278" s="409">
        <v>0.01</v>
      </c>
      <c r="AJ278" s="409">
        <v>0.01</v>
      </c>
      <c r="AK278" s="409">
        <v>0.01</v>
      </c>
      <c r="AL278" s="148"/>
      <c r="AM278" s="487"/>
    </row>
    <row r="279" spans="1:39">
      <c r="A279" s="408" t="s">
        <v>92</v>
      </c>
      <c r="B279" s="408"/>
      <c r="C279" s="488">
        <f t="shared" ref="C279:K279" si="403">C268*$AL$276</f>
        <v>8.5</v>
      </c>
      <c r="D279" s="488">
        <f t="shared" si="403"/>
        <v>8.5850000000000009</v>
      </c>
      <c r="E279" s="488">
        <f t="shared" si="403"/>
        <v>8.6708500000000015</v>
      </c>
      <c r="F279" s="488">
        <f t="shared" si="403"/>
        <v>8.7575585000000018</v>
      </c>
      <c r="G279" s="488">
        <f t="shared" si="403"/>
        <v>8.8451340850000015</v>
      </c>
      <c r="H279" s="488">
        <f t="shared" si="403"/>
        <v>8.9335854258500014</v>
      </c>
      <c r="I279" s="488">
        <f t="shared" si="403"/>
        <v>9.0229212801085019</v>
      </c>
      <c r="J279" s="488">
        <f t="shared" si="403"/>
        <v>9.1131504929095879</v>
      </c>
      <c r="K279" s="488">
        <f t="shared" si="403"/>
        <v>9.2042819978386845</v>
      </c>
      <c r="L279" s="417">
        <f t="shared" ref="L279:Q279" si="404">L268*$AL$277</f>
        <v>9.2963248178170712</v>
      </c>
      <c r="M279" s="417">
        <f t="shared" si="404"/>
        <v>9.3892880659952418</v>
      </c>
      <c r="N279" s="417">
        <f t="shared" si="404"/>
        <v>9.4831809466551942</v>
      </c>
      <c r="O279" s="417">
        <f t="shared" si="404"/>
        <v>9.5780127561217459</v>
      </c>
      <c r="P279" s="417">
        <f t="shared" si="404"/>
        <v>9.6737928836829639</v>
      </c>
      <c r="Q279" s="417">
        <f t="shared" si="404"/>
        <v>9.7705308125197927</v>
      </c>
      <c r="R279" s="417">
        <f t="shared" si="398"/>
        <v>9.8682361206449905</v>
      </c>
      <c r="S279" s="417">
        <f t="shared" ref="S279:AG279" si="405">R279*(1+$AI279)</f>
        <v>9.9669184818514402</v>
      </c>
      <c r="T279" s="417">
        <f t="shared" si="405"/>
        <v>10.066587666669955</v>
      </c>
      <c r="U279" s="417">
        <f t="shared" si="405"/>
        <v>10.167253543336654</v>
      </c>
      <c r="V279" s="417">
        <f t="shared" si="405"/>
        <v>10.26892607877002</v>
      </c>
      <c r="W279" s="417">
        <f t="shared" si="405"/>
        <v>10.371615339557721</v>
      </c>
      <c r="X279" s="417">
        <f t="shared" si="405"/>
        <v>10.475331492953298</v>
      </c>
      <c r="Y279" s="417">
        <f t="shared" si="405"/>
        <v>10.580084807882832</v>
      </c>
      <c r="Z279" s="417">
        <f t="shared" si="405"/>
        <v>10.685885655961661</v>
      </c>
      <c r="AA279" s="417">
        <f t="shared" si="405"/>
        <v>10.792744512521278</v>
      </c>
      <c r="AB279" s="417">
        <f t="shared" si="405"/>
        <v>10.900671957646491</v>
      </c>
      <c r="AC279" s="417">
        <f t="shared" si="405"/>
        <v>11.009678677222956</v>
      </c>
      <c r="AD279" s="417">
        <f t="shared" si="405"/>
        <v>11.119775463995186</v>
      </c>
      <c r="AE279" s="417">
        <f t="shared" si="405"/>
        <v>11.230973218635137</v>
      </c>
      <c r="AF279" s="417">
        <f t="shared" si="405"/>
        <v>11.343282950821489</v>
      </c>
      <c r="AG279" s="417">
        <f t="shared" si="405"/>
        <v>11.456715780329704</v>
      </c>
      <c r="AH279" s="409">
        <v>0.01</v>
      </c>
      <c r="AI279" s="409">
        <v>0.01</v>
      </c>
      <c r="AJ279" s="409">
        <v>0.01</v>
      </c>
      <c r="AK279" s="409">
        <v>0.01</v>
      </c>
      <c r="AL279" s="148"/>
      <c r="AM279" s="487"/>
    </row>
    <row r="280" spans="1:39">
      <c r="A280" s="408" t="s">
        <v>93</v>
      </c>
      <c r="B280" s="408"/>
      <c r="C280" s="488">
        <f t="shared" ref="C280:K280" si="406">C269*$AL$276</f>
        <v>9</v>
      </c>
      <c r="D280" s="488">
        <f t="shared" si="406"/>
        <v>9.09</v>
      </c>
      <c r="E280" s="488">
        <f t="shared" si="406"/>
        <v>9.1808999999999994</v>
      </c>
      <c r="F280" s="488">
        <f t="shared" si="406"/>
        <v>9.272708999999999</v>
      </c>
      <c r="G280" s="488">
        <f t="shared" si="406"/>
        <v>9.3654360899999993</v>
      </c>
      <c r="H280" s="488">
        <f t="shared" si="406"/>
        <v>9.4590904508999998</v>
      </c>
      <c r="I280" s="488">
        <f t="shared" si="406"/>
        <v>9.5536813554089992</v>
      </c>
      <c r="J280" s="488">
        <f t="shared" si="406"/>
        <v>9.64921816896309</v>
      </c>
      <c r="K280" s="488">
        <f t="shared" si="406"/>
        <v>9.7457103506527218</v>
      </c>
      <c r="L280" s="417">
        <f t="shared" ref="L280:Q280" si="407">L269*$AL$277</f>
        <v>9.84316745415925</v>
      </c>
      <c r="M280" s="417">
        <f t="shared" si="407"/>
        <v>9.9415991287008421</v>
      </c>
      <c r="N280" s="417">
        <f t="shared" si="407"/>
        <v>10.041015119987851</v>
      </c>
      <c r="O280" s="417">
        <f t="shared" si="407"/>
        <v>10.14142527118773</v>
      </c>
      <c r="P280" s="417">
        <f t="shared" si="407"/>
        <v>10.242839523899608</v>
      </c>
      <c r="Q280" s="417">
        <f t="shared" si="407"/>
        <v>10.345267919138605</v>
      </c>
      <c r="R280" s="417">
        <f t="shared" si="398"/>
        <v>10.448720598329992</v>
      </c>
      <c r="S280" s="417">
        <f t="shared" ref="S280:AG280" si="408">R280*(1+$AI280)</f>
        <v>10.553207804313292</v>
      </c>
      <c r="T280" s="417">
        <f t="shared" si="408"/>
        <v>10.658739882356425</v>
      </c>
      <c r="U280" s="417">
        <f t="shared" si="408"/>
        <v>10.765327281179989</v>
      </c>
      <c r="V280" s="417">
        <f t="shared" si="408"/>
        <v>10.872980553991789</v>
      </c>
      <c r="W280" s="417">
        <f t="shared" si="408"/>
        <v>10.981710359531707</v>
      </c>
      <c r="X280" s="417">
        <f t="shared" si="408"/>
        <v>11.091527463127024</v>
      </c>
      <c r="Y280" s="417">
        <f t="shared" si="408"/>
        <v>11.202442737758295</v>
      </c>
      <c r="Z280" s="417">
        <f t="shared" si="408"/>
        <v>11.314467165135879</v>
      </c>
      <c r="AA280" s="417">
        <f t="shared" si="408"/>
        <v>11.427611836787237</v>
      </c>
      <c r="AB280" s="417">
        <f t="shared" si="408"/>
        <v>11.54188795515511</v>
      </c>
      <c r="AC280" s="417">
        <f t="shared" si="408"/>
        <v>11.657306834706661</v>
      </c>
      <c r="AD280" s="417">
        <f t="shared" si="408"/>
        <v>11.773879903053729</v>
      </c>
      <c r="AE280" s="417">
        <f t="shared" si="408"/>
        <v>11.891618702084266</v>
      </c>
      <c r="AF280" s="417">
        <f t="shared" si="408"/>
        <v>12.010534889105108</v>
      </c>
      <c r="AG280" s="417">
        <f t="shared" si="408"/>
        <v>12.130640237996159</v>
      </c>
      <c r="AH280" s="409">
        <v>0.01</v>
      </c>
      <c r="AI280" s="409">
        <v>0.01</v>
      </c>
      <c r="AJ280" s="409">
        <v>0.01</v>
      </c>
      <c r="AK280" s="409">
        <v>0.01</v>
      </c>
      <c r="AL280" s="148"/>
      <c r="AM280" s="487"/>
    </row>
    <row r="281" spans="1:39">
      <c r="A281" s="408" t="s">
        <v>94</v>
      </c>
      <c r="B281" s="408"/>
      <c r="C281" s="488">
        <f t="shared" ref="C281:K281" si="409">C270*$AL$276</f>
        <v>7</v>
      </c>
      <c r="D281" s="488">
        <f t="shared" si="409"/>
        <v>7.07</v>
      </c>
      <c r="E281" s="488">
        <f t="shared" si="409"/>
        <v>7.1407000000000007</v>
      </c>
      <c r="F281" s="488">
        <f t="shared" si="409"/>
        <v>7.2121070000000005</v>
      </c>
      <c r="G281" s="488">
        <f t="shared" si="409"/>
        <v>7.2842280700000002</v>
      </c>
      <c r="H281" s="488">
        <f t="shared" si="409"/>
        <v>7.3570703506999999</v>
      </c>
      <c r="I281" s="488">
        <f t="shared" si="409"/>
        <v>7.4306410542070003</v>
      </c>
      <c r="J281" s="488">
        <f t="shared" si="409"/>
        <v>7.5049474647490699</v>
      </c>
      <c r="K281" s="488">
        <f t="shared" si="409"/>
        <v>7.5799969393965609</v>
      </c>
      <c r="L281" s="417">
        <f t="shared" ref="L281:Q281" si="410">L270*$AL$277</f>
        <v>7.6557969087905269</v>
      </c>
      <c r="M281" s="417">
        <f t="shared" si="410"/>
        <v>7.7323548778784321</v>
      </c>
      <c r="N281" s="417">
        <f t="shared" si="410"/>
        <v>7.8096784266572161</v>
      </c>
      <c r="O281" s="417">
        <f t="shared" si="410"/>
        <v>7.8877752109237882</v>
      </c>
      <c r="P281" s="417">
        <f t="shared" si="410"/>
        <v>7.9666529630330265</v>
      </c>
      <c r="Q281" s="417">
        <f t="shared" si="410"/>
        <v>8.0463194926633577</v>
      </c>
      <c r="R281" s="417">
        <f t="shared" si="398"/>
        <v>8.1267826875899907</v>
      </c>
      <c r="S281" s="417">
        <f t="shared" ref="S281:AG281" si="411">R281*(1+$AI281)</f>
        <v>8.2080505144658904</v>
      </c>
      <c r="T281" s="417">
        <f t="shared" si="411"/>
        <v>8.2901310196105502</v>
      </c>
      <c r="U281" s="417">
        <f t="shared" si="411"/>
        <v>8.3730323298066551</v>
      </c>
      <c r="V281" s="417">
        <f t="shared" si="411"/>
        <v>8.4567626531047217</v>
      </c>
      <c r="W281" s="417">
        <f t="shared" si="411"/>
        <v>8.5413302796357691</v>
      </c>
      <c r="X281" s="417">
        <f t="shared" si="411"/>
        <v>8.6267435824321268</v>
      </c>
      <c r="Y281" s="417">
        <f t="shared" si="411"/>
        <v>8.7130110182564486</v>
      </c>
      <c r="Z281" s="417">
        <f t="shared" si="411"/>
        <v>8.8001411284390141</v>
      </c>
      <c r="AA281" s="417">
        <f t="shared" si="411"/>
        <v>8.888142539723404</v>
      </c>
      <c r="AB281" s="417">
        <f t="shared" si="411"/>
        <v>8.9770239651206385</v>
      </c>
      <c r="AC281" s="417">
        <f t="shared" si="411"/>
        <v>9.0667942047718455</v>
      </c>
      <c r="AD281" s="417">
        <f t="shared" si="411"/>
        <v>9.1574621468195634</v>
      </c>
      <c r="AE281" s="417">
        <f t="shared" si="411"/>
        <v>9.249036768287759</v>
      </c>
      <c r="AF281" s="417">
        <f t="shared" si="411"/>
        <v>9.3415271359706367</v>
      </c>
      <c r="AG281" s="417">
        <f t="shared" si="411"/>
        <v>9.4349424073303432</v>
      </c>
      <c r="AH281" s="409">
        <v>0.01</v>
      </c>
      <c r="AI281" s="409">
        <v>0.01</v>
      </c>
      <c r="AJ281" s="409">
        <v>0.01</v>
      </c>
      <c r="AK281" s="409">
        <v>0.01</v>
      </c>
      <c r="AL281" s="148"/>
      <c r="AM281" s="487"/>
    </row>
    <row r="282" spans="1:39">
      <c r="A282" s="408" t="s">
        <v>95</v>
      </c>
      <c r="B282" s="408"/>
      <c r="C282" s="488">
        <f t="shared" ref="C282:K282" si="412">C271*$AL$276</f>
        <v>8.5</v>
      </c>
      <c r="D282" s="488">
        <f t="shared" si="412"/>
        <v>8.5850000000000009</v>
      </c>
      <c r="E282" s="488">
        <f t="shared" si="412"/>
        <v>8.6708500000000015</v>
      </c>
      <c r="F282" s="488">
        <f t="shared" si="412"/>
        <v>8.7575585000000018</v>
      </c>
      <c r="G282" s="488">
        <f t="shared" si="412"/>
        <v>8.8451340850000015</v>
      </c>
      <c r="H282" s="488">
        <f t="shared" si="412"/>
        <v>8.9335854258500014</v>
      </c>
      <c r="I282" s="488">
        <f t="shared" si="412"/>
        <v>9.0229212801085019</v>
      </c>
      <c r="J282" s="488">
        <f t="shared" si="412"/>
        <v>9.1131504929095879</v>
      </c>
      <c r="K282" s="488">
        <f t="shared" si="412"/>
        <v>9.2042819978386845</v>
      </c>
      <c r="L282" s="417">
        <f t="shared" ref="L282:Q282" si="413">L271*$AL$277</f>
        <v>9.2963248178170712</v>
      </c>
      <c r="M282" s="417">
        <f t="shared" si="413"/>
        <v>9.3892880659952418</v>
      </c>
      <c r="N282" s="417">
        <f t="shared" si="413"/>
        <v>9.4831809466551942</v>
      </c>
      <c r="O282" s="417">
        <f t="shared" si="413"/>
        <v>9.5780127561217459</v>
      </c>
      <c r="P282" s="417">
        <f t="shared" si="413"/>
        <v>9.6737928836829639</v>
      </c>
      <c r="Q282" s="417">
        <f t="shared" si="413"/>
        <v>9.7705308125197927</v>
      </c>
      <c r="R282" s="417">
        <f t="shared" si="398"/>
        <v>9.8682361206449905</v>
      </c>
      <c r="S282" s="417">
        <f t="shared" ref="S282:AG282" si="414">R282*(1+$AI282)</f>
        <v>9.9669184818514402</v>
      </c>
      <c r="T282" s="417">
        <f t="shared" si="414"/>
        <v>10.066587666669955</v>
      </c>
      <c r="U282" s="417">
        <f t="shared" si="414"/>
        <v>10.167253543336654</v>
      </c>
      <c r="V282" s="417">
        <f t="shared" si="414"/>
        <v>10.26892607877002</v>
      </c>
      <c r="W282" s="417">
        <f t="shared" si="414"/>
        <v>10.371615339557721</v>
      </c>
      <c r="X282" s="417">
        <f t="shared" si="414"/>
        <v>10.475331492953298</v>
      </c>
      <c r="Y282" s="417">
        <f t="shared" si="414"/>
        <v>10.580084807882832</v>
      </c>
      <c r="Z282" s="417">
        <f t="shared" si="414"/>
        <v>10.685885655961661</v>
      </c>
      <c r="AA282" s="417">
        <f t="shared" si="414"/>
        <v>10.792744512521278</v>
      </c>
      <c r="AB282" s="417">
        <f t="shared" si="414"/>
        <v>10.900671957646491</v>
      </c>
      <c r="AC282" s="417">
        <f t="shared" si="414"/>
        <v>11.009678677222956</v>
      </c>
      <c r="AD282" s="417">
        <f t="shared" si="414"/>
        <v>11.119775463995186</v>
      </c>
      <c r="AE282" s="417">
        <f t="shared" si="414"/>
        <v>11.230973218635137</v>
      </c>
      <c r="AF282" s="417">
        <f t="shared" si="414"/>
        <v>11.343282950821489</v>
      </c>
      <c r="AG282" s="417">
        <f t="shared" si="414"/>
        <v>11.456715780329704</v>
      </c>
      <c r="AH282" s="409">
        <v>0.01</v>
      </c>
      <c r="AI282" s="409">
        <v>0.01</v>
      </c>
      <c r="AJ282" s="409">
        <v>0.01</v>
      </c>
      <c r="AK282" s="409">
        <v>0.01</v>
      </c>
      <c r="AL282" s="148"/>
      <c r="AM282" s="487"/>
    </row>
    <row r="283" spans="1:39">
      <c r="A283" s="408" t="s">
        <v>96</v>
      </c>
      <c r="B283" s="408"/>
      <c r="C283" s="488">
        <f t="shared" ref="C283:K283" si="415">C272*$AL$276</f>
        <v>9</v>
      </c>
      <c r="D283" s="488">
        <f t="shared" si="415"/>
        <v>9.09</v>
      </c>
      <c r="E283" s="488">
        <f t="shared" si="415"/>
        <v>9.1808999999999994</v>
      </c>
      <c r="F283" s="488">
        <f t="shared" si="415"/>
        <v>9.272708999999999</v>
      </c>
      <c r="G283" s="488">
        <f t="shared" si="415"/>
        <v>9.3654360899999993</v>
      </c>
      <c r="H283" s="488">
        <f t="shared" si="415"/>
        <v>9.4590904508999998</v>
      </c>
      <c r="I283" s="488">
        <f t="shared" si="415"/>
        <v>9.5536813554089992</v>
      </c>
      <c r="J283" s="488">
        <f t="shared" si="415"/>
        <v>9.64921816896309</v>
      </c>
      <c r="K283" s="488">
        <f t="shared" si="415"/>
        <v>9.7457103506527218</v>
      </c>
      <c r="L283" s="417">
        <f t="shared" ref="L283:Q283" si="416">L272*$AL$277</f>
        <v>9.84316745415925</v>
      </c>
      <c r="M283" s="417">
        <f t="shared" si="416"/>
        <v>9.9415991287008421</v>
      </c>
      <c r="N283" s="417">
        <f t="shared" si="416"/>
        <v>10.041015119987851</v>
      </c>
      <c r="O283" s="417">
        <f t="shared" si="416"/>
        <v>10.14142527118773</v>
      </c>
      <c r="P283" s="417">
        <f t="shared" si="416"/>
        <v>10.242839523899608</v>
      </c>
      <c r="Q283" s="417">
        <f t="shared" si="416"/>
        <v>10.345267919138605</v>
      </c>
      <c r="R283" s="417">
        <f t="shared" si="398"/>
        <v>10.448720598329992</v>
      </c>
      <c r="S283" s="417">
        <f t="shared" ref="S283:AG283" si="417">R283*(1+$AI283)</f>
        <v>10.553207804313292</v>
      </c>
      <c r="T283" s="417">
        <f t="shared" si="417"/>
        <v>10.658739882356425</v>
      </c>
      <c r="U283" s="417">
        <f t="shared" si="417"/>
        <v>10.765327281179989</v>
      </c>
      <c r="V283" s="417">
        <f t="shared" si="417"/>
        <v>10.872980553991789</v>
      </c>
      <c r="W283" s="417">
        <f t="shared" si="417"/>
        <v>10.981710359531707</v>
      </c>
      <c r="X283" s="417">
        <f t="shared" si="417"/>
        <v>11.091527463127024</v>
      </c>
      <c r="Y283" s="417">
        <f t="shared" si="417"/>
        <v>11.202442737758295</v>
      </c>
      <c r="Z283" s="417">
        <f t="shared" si="417"/>
        <v>11.314467165135879</v>
      </c>
      <c r="AA283" s="417">
        <f t="shared" si="417"/>
        <v>11.427611836787237</v>
      </c>
      <c r="AB283" s="417">
        <f t="shared" si="417"/>
        <v>11.54188795515511</v>
      </c>
      <c r="AC283" s="417">
        <f t="shared" si="417"/>
        <v>11.657306834706661</v>
      </c>
      <c r="AD283" s="417">
        <f t="shared" si="417"/>
        <v>11.773879903053729</v>
      </c>
      <c r="AE283" s="417">
        <f t="shared" si="417"/>
        <v>11.891618702084266</v>
      </c>
      <c r="AF283" s="417">
        <f t="shared" si="417"/>
        <v>12.010534889105108</v>
      </c>
      <c r="AG283" s="417">
        <f t="shared" si="417"/>
        <v>12.130640237996159</v>
      </c>
      <c r="AH283" s="409">
        <v>0.01</v>
      </c>
      <c r="AI283" s="409">
        <v>0.01</v>
      </c>
      <c r="AJ283" s="409">
        <v>0.01</v>
      </c>
      <c r="AK283" s="409">
        <v>0.01</v>
      </c>
      <c r="AL283" s="148"/>
      <c r="AM283" s="487"/>
    </row>
    <row r="284" spans="1:39">
      <c r="A284" s="408" t="s">
        <v>97</v>
      </c>
      <c r="B284" s="408"/>
      <c r="C284" s="488">
        <f t="shared" ref="C284:K284" si="418">C273*$AL$276</f>
        <v>9</v>
      </c>
      <c r="D284" s="488">
        <f t="shared" si="418"/>
        <v>9.09</v>
      </c>
      <c r="E284" s="488">
        <f t="shared" si="418"/>
        <v>9.1808999999999994</v>
      </c>
      <c r="F284" s="488">
        <f t="shared" si="418"/>
        <v>9.272708999999999</v>
      </c>
      <c r="G284" s="488">
        <f t="shared" si="418"/>
        <v>9.3654360899999993</v>
      </c>
      <c r="H284" s="488">
        <f t="shared" si="418"/>
        <v>9.4590904508999998</v>
      </c>
      <c r="I284" s="488">
        <f t="shared" si="418"/>
        <v>9.5536813554089992</v>
      </c>
      <c r="J284" s="488">
        <f t="shared" si="418"/>
        <v>9.64921816896309</v>
      </c>
      <c r="K284" s="488">
        <f t="shared" si="418"/>
        <v>9.7457103506527218</v>
      </c>
      <c r="L284" s="417">
        <f t="shared" ref="L284:Q284" si="419">L273*$AL$277</f>
        <v>9.84316745415925</v>
      </c>
      <c r="M284" s="417">
        <f t="shared" si="419"/>
        <v>9.9415991287008421</v>
      </c>
      <c r="N284" s="417">
        <f t="shared" si="419"/>
        <v>10.041015119987851</v>
      </c>
      <c r="O284" s="417">
        <f t="shared" si="419"/>
        <v>10.14142527118773</v>
      </c>
      <c r="P284" s="417">
        <f t="shared" si="419"/>
        <v>10.242839523899608</v>
      </c>
      <c r="Q284" s="417">
        <f t="shared" si="419"/>
        <v>10.345267919138605</v>
      </c>
      <c r="R284" s="417">
        <f t="shared" si="398"/>
        <v>10.448720598329992</v>
      </c>
      <c r="S284" s="417">
        <f t="shared" ref="S284:AG284" si="420">R284*(1+$AI284)</f>
        <v>10.553207804313292</v>
      </c>
      <c r="T284" s="417">
        <f t="shared" si="420"/>
        <v>10.658739882356425</v>
      </c>
      <c r="U284" s="417">
        <f t="shared" si="420"/>
        <v>10.765327281179989</v>
      </c>
      <c r="V284" s="417">
        <f t="shared" si="420"/>
        <v>10.872980553991789</v>
      </c>
      <c r="W284" s="417">
        <f t="shared" si="420"/>
        <v>10.981710359531707</v>
      </c>
      <c r="X284" s="417">
        <f t="shared" si="420"/>
        <v>11.091527463127024</v>
      </c>
      <c r="Y284" s="417">
        <f t="shared" si="420"/>
        <v>11.202442737758295</v>
      </c>
      <c r="Z284" s="417">
        <f t="shared" si="420"/>
        <v>11.314467165135879</v>
      </c>
      <c r="AA284" s="417">
        <f t="shared" si="420"/>
        <v>11.427611836787237</v>
      </c>
      <c r="AB284" s="417">
        <f t="shared" si="420"/>
        <v>11.54188795515511</v>
      </c>
      <c r="AC284" s="417">
        <f t="shared" si="420"/>
        <v>11.657306834706661</v>
      </c>
      <c r="AD284" s="417">
        <f t="shared" si="420"/>
        <v>11.773879903053729</v>
      </c>
      <c r="AE284" s="417">
        <f t="shared" si="420"/>
        <v>11.891618702084266</v>
      </c>
      <c r="AF284" s="417">
        <f t="shared" si="420"/>
        <v>12.010534889105108</v>
      </c>
      <c r="AG284" s="417">
        <f t="shared" si="420"/>
        <v>12.130640237996159</v>
      </c>
      <c r="AH284" s="409">
        <v>0.01</v>
      </c>
      <c r="AI284" s="409">
        <v>0.01</v>
      </c>
      <c r="AJ284" s="409">
        <v>0.01</v>
      </c>
      <c r="AK284" s="409">
        <v>0.01</v>
      </c>
      <c r="AL284" s="148"/>
      <c r="AM284" s="487"/>
    </row>
    <row r="285" spans="1:39">
      <c r="A285" s="408"/>
      <c r="B285" s="408"/>
      <c r="C285" s="323"/>
      <c r="D285" s="323"/>
      <c r="E285" s="323"/>
      <c r="F285" s="323"/>
      <c r="G285" s="323"/>
      <c r="H285" s="323"/>
      <c r="I285" s="323"/>
      <c r="J285" s="323"/>
      <c r="K285" s="323"/>
      <c r="L285" s="323"/>
      <c r="M285" s="323"/>
      <c r="N285" s="323"/>
      <c r="O285" s="323"/>
      <c r="P285" s="323"/>
      <c r="Q285" s="323"/>
      <c r="R285" s="323"/>
      <c r="S285" s="323"/>
      <c r="T285" s="323"/>
      <c r="U285" s="323"/>
      <c r="V285" s="323"/>
      <c r="W285" s="323"/>
      <c r="X285" s="323"/>
      <c r="Y285" s="323"/>
      <c r="Z285" s="323"/>
      <c r="AA285" s="323"/>
      <c r="AB285" s="323"/>
      <c r="AC285" s="323"/>
      <c r="AD285" s="323"/>
      <c r="AE285" s="323"/>
      <c r="AF285" s="323"/>
      <c r="AG285" s="323"/>
      <c r="AH285" s="409"/>
      <c r="AI285" s="409"/>
      <c r="AJ285" s="409"/>
      <c r="AK285" s="409"/>
      <c r="AL285" s="148"/>
    </row>
    <row r="286" spans="1:39">
      <c r="A286" s="336" t="s">
        <v>154</v>
      </c>
      <c r="B286" s="336"/>
      <c r="C286" s="399">
        <v>2025</v>
      </c>
      <c r="D286" s="399">
        <v>2026</v>
      </c>
      <c r="E286" s="399">
        <v>2027</v>
      </c>
      <c r="F286" s="399">
        <v>2028</v>
      </c>
      <c r="G286" s="399">
        <v>2029</v>
      </c>
      <c r="H286" s="399">
        <v>2030</v>
      </c>
      <c r="I286" s="399">
        <v>2031</v>
      </c>
      <c r="J286" s="399">
        <v>2032</v>
      </c>
      <c r="K286" s="399">
        <v>2033</v>
      </c>
      <c r="L286" s="399">
        <v>2034</v>
      </c>
      <c r="M286" s="399">
        <v>2035</v>
      </c>
      <c r="N286" s="399">
        <v>2036</v>
      </c>
      <c r="O286" s="399">
        <v>2037</v>
      </c>
      <c r="P286" s="399">
        <v>2038</v>
      </c>
      <c r="Q286" s="399">
        <v>2039</v>
      </c>
      <c r="R286" s="399">
        <v>2040</v>
      </c>
      <c r="S286" s="399">
        <v>2041</v>
      </c>
      <c r="T286" s="399">
        <v>2042</v>
      </c>
      <c r="U286" s="399">
        <v>2043</v>
      </c>
      <c r="V286" s="399">
        <v>2044</v>
      </c>
      <c r="W286" s="399">
        <v>2045</v>
      </c>
      <c r="X286" s="399">
        <v>2046</v>
      </c>
      <c r="Y286" s="399">
        <v>2047</v>
      </c>
      <c r="Z286" s="399">
        <v>2048</v>
      </c>
      <c r="AA286" s="399">
        <v>2049</v>
      </c>
      <c r="AB286" s="399">
        <v>2050</v>
      </c>
      <c r="AC286" s="399">
        <v>2051</v>
      </c>
      <c r="AD286" s="399">
        <v>2052</v>
      </c>
      <c r="AE286" s="399">
        <v>2053</v>
      </c>
      <c r="AF286" s="399">
        <v>2054</v>
      </c>
      <c r="AG286" s="399">
        <v>2055</v>
      </c>
      <c r="AH286" s="399"/>
      <c r="AI286" s="336"/>
      <c r="AJ286" s="336"/>
      <c r="AK286" s="336"/>
      <c r="AL286" s="336"/>
    </row>
    <row r="287" spans="1:39">
      <c r="A287" s="408" t="s">
        <v>19</v>
      </c>
      <c r="B287" s="408"/>
      <c r="C287" s="475">
        <v>400000</v>
      </c>
      <c r="D287" s="411">
        <f t="shared" ref="D287:AG287" si="421">ROUND((C287*(1+$AH287))/1000,0)*1000</f>
        <v>418000</v>
      </c>
      <c r="E287" s="411">
        <f t="shared" si="421"/>
        <v>437000</v>
      </c>
      <c r="F287" s="411">
        <f t="shared" si="421"/>
        <v>457000</v>
      </c>
      <c r="G287" s="411">
        <f t="shared" si="421"/>
        <v>478000</v>
      </c>
      <c r="H287" s="411">
        <f t="shared" si="421"/>
        <v>500000</v>
      </c>
      <c r="I287" s="411">
        <f t="shared" si="421"/>
        <v>523000</v>
      </c>
      <c r="J287" s="411">
        <f t="shared" si="421"/>
        <v>547000</v>
      </c>
      <c r="K287" s="411">
        <f t="shared" si="421"/>
        <v>572000</v>
      </c>
      <c r="L287" s="411">
        <f t="shared" si="421"/>
        <v>598000</v>
      </c>
      <c r="M287" s="411">
        <f t="shared" si="421"/>
        <v>625000</v>
      </c>
      <c r="N287" s="411">
        <f t="shared" si="421"/>
        <v>653000</v>
      </c>
      <c r="O287" s="411">
        <f t="shared" si="421"/>
        <v>682000</v>
      </c>
      <c r="P287" s="411">
        <f t="shared" si="421"/>
        <v>713000</v>
      </c>
      <c r="Q287" s="411">
        <f t="shared" si="421"/>
        <v>745000</v>
      </c>
      <c r="R287" s="411">
        <f t="shared" si="421"/>
        <v>779000</v>
      </c>
      <c r="S287" s="411">
        <f t="shared" si="421"/>
        <v>814000</v>
      </c>
      <c r="T287" s="411">
        <f t="shared" si="421"/>
        <v>851000</v>
      </c>
      <c r="U287" s="411">
        <f t="shared" si="421"/>
        <v>889000</v>
      </c>
      <c r="V287" s="411">
        <f t="shared" si="421"/>
        <v>929000</v>
      </c>
      <c r="W287" s="411">
        <f t="shared" si="421"/>
        <v>971000</v>
      </c>
      <c r="X287" s="411">
        <f t="shared" si="421"/>
        <v>1015000</v>
      </c>
      <c r="Y287" s="411">
        <f t="shared" si="421"/>
        <v>1061000</v>
      </c>
      <c r="Z287" s="411">
        <f t="shared" si="421"/>
        <v>1109000</v>
      </c>
      <c r="AA287" s="411">
        <f t="shared" si="421"/>
        <v>1159000</v>
      </c>
      <c r="AB287" s="411">
        <f t="shared" si="421"/>
        <v>1211000</v>
      </c>
      <c r="AC287" s="411">
        <f t="shared" si="421"/>
        <v>1265000</v>
      </c>
      <c r="AD287" s="411">
        <f t="shared" si="421"/>
        <v>1322000</v>
      </c>
      <c r="AE287" s="411">
        <f t="shared" si="421"/>
        <v>1381000</v>
      </c>
      <c r="AF287" s="411">
        <f t="shared" si="421"/>
        <v>1443000</v>
      </c>
      <c r="AG287" s="411">
        <f t="shared" si="421"/>
        <v>1508000</v>
      </c>
      <c r="AH287" s="477">
        <v>4.4999999999999998E-2</v>
      </c>
      <c r="AI287" s="477">
        <v>4.4999999999999998E-2</v>
      </c>
      <c r="AJ287" s="477">
        <v>4.4999999999999998E-2</v>
      </c>
      <c r="AK287" s="477">
        <v>4.4999999999999998E-2</v>
      </c>
      <c r="AL287" s="43"/>
    </row>
    <row r="288" spans="1:39">
      <c r="A288" s="408" t="s">
        <v>9</v>
      </c>
      <c r="B288" s="408"/>
      <c r="C288" s="475">
        <v>400000</v>
      </c>
      <c r="D288" s="411">
        <f t="shared" ref="D288:AG288" si="422">ROUND((C288*(1+$AH288))/1000,0)*1000</f>
        <v>418000</v>
      </c>
      <c r="E288" s="411">
        <f t="shared" si="422"/>
        <v>437000</v>
      </c>
      <c r="F288" s="411">
        <f t="shared" si="422"/>
        <v>457000</v>
      </c>
      <c r="G288" s="411">
        <f t="shared" si="422"/>
        <v>478000</v>
      </c>
      <c r="H288" s="411">
        <f t="shared" si="422"/>
        <v>500000</v>
      </c>
      <c r="I288" s="411">
        <f t="shared" si="422"/>
        <v>523000</v>
      </c>
      <c r="J288" s="411">
        <f t="shared" si="422"/>
        <v>547000</v>
      </c>
      <c r="K288" s="411">
        <f t="shared" si="422"/>
        <v>572000</v>
      </c>
      <c r="L288" s="411">
        <f t="shared" si="422"/>
        <v>598000</v>
      </c>
      <c r="M288" s="411">
        <f t="shared" si="422"/>
        <v>625000</v>
      </c>
      <c r="N288" s="411">
        <f t="shared" si="422"/>
        <v>653000</v>
      </c>
      <c r="O288" s="411">
        <f t="shared" si="422"/>
        <v>682000</v>
      </c>
      <c r="P288" s="411">
        <f t="shared" si="422"/>
        <v>713000</v>
      </c>
      <c r="Q288" s="411">
        <f t="shared" si="422"/>
        <v>745000</v>
      </c>
      <c r="R288" s="411">
        <f t="shared" si="422"/>
        <v>779000</v>
      </c>
      <c r="S288" s="411">
        <f t="shared" si="422"/>
        <v>814000</v>
      </c>
      <c r="T288" s="411">
        <f t="shared" si="422"/>
        <v>851000</v>
      </c>
      <c r="U288" s="411">
        <f t="shared" si="422"/>
        <v>889000</v>
      </c>
      <c r="V288" s="411">
        <f t="shared" si="422"/>
        <v>929000</v>
      </c>
      <c r="W288" s="411">
        <f t="shared" si="422"/>
        <v>971000</v>
      </c>
      <c r="X288" s="411">
        <f t="shared" si="422"/>
        <v>1015000</v>
      </c>
      <c r="Y288" s="411">
        <f t="shared" si="422"/>
        <v>1061000</v>
      </c>
      <c r="Z288" s="411">
        <f t="shared" si="422"/>
        <v>1109000</v>
      </c>
      <c r="AA288" s="411">
        <f t="shared" si="422"/>
        <v>1159000</v>
      </c>
      <c r="AB288" s="411">
        <f t="shared" si="422"/>
        <v>1211000</v>
      </c>
      <c r="AC288" s="411">
        <f t="shared" si="422"/>
        <v>1265000</v>
      </c>
      <c r="AD288" s="411">
        <f t="shared" si="422"/>
        <v>1322000</v>
      </c>
      <c r="AE288" s="411">
        <f t="shared" si="422"/>
        <v>1381000</v>
      </c>
      <c r="AF288" s="411">
        <f t="shared" si="422"/>
        <v>1443000</v>
      </c>
      <c r="AG288" s="411">
        <f t="shared" si="422"/>
        <v>1508000</v>
      </c>
      <c r="AH288" s="477">
        <v>4.4999999999999998E-2</v>
      </c>
      <c r="AI288" s="477">
        <v>4.4999999999999998E-2</v>
      </c>
      <c r="AJ288" s="477">
        <v>4.4999999999999998E-2</v>
      </c>
      <c r="AK288" s="477">
        <v>4.4999999999999998E-2</v>
      </c>
      <c r="AL288" s="43"/>
    </row>
    <row r="289" spans="1:38">
      <c r="A289" s="408" t="s">
        <v>11</v>
      </c>
      <c r="B289" s="408"/>
      <c r="C289" s="475">
        <v>450000</v>
      </c>
      <c r="D289" s="411">
        <f t="shared" ref="D289:AG289" si="423">ROUND((C289*(1+$AH289))/1000,0)*1000</f>
        <v>470000</v>
      </c>
      <c r="E289" s="411">
        <f t="shared" si="423"/>
        <v>491000</v>
      </c>
      <c r="F289" s="411">
        <f t="shared" si="423"/>
        <v>513000</v>
      </c>
      <c r="G289" s="411">
        <f t="shared" si="423"/>
        <v>536000</v>
      </c>
      <c r="H289" s="411">
        <f t="shared" si="423"/>
        <v>560000</v>
      </c>
      <c r="I289" s="411">
        <f t="shared" si="423"/>
        <v>585000</v>
      </c>
      <c r="J289" s="411">
        <f t="shared" si="423"/>
        <v>611000</v>
      </c>
      <c r="K289" s="411">
        <f t="shared" si="423"/>
        <v>638000</v>
      </c>
      <c r="L289" s="411">
        <f t="shared" si="423"/>
        <v>667000</v>
      </c>
      <c r="M289" s="411">
        <f t="shared" si="423"/>
        <v>697000</v>
      </c>
      <c r="N289" s="411">
        <f t="shared" si="423"/>
        <v>728000</v>
      </c>
      <c r="O289" s="411">
        <f t="shared" si="423"/>
        <v>761000</v>
      </c>
      <c r="P289" s="411">
        <f t="shared" si="423"/>
        <v>795000</v>
      </c>
      <c r="Q289" s="411">
        <f t="shared" si="423"/>
        <v>831000</v>
      </c>
      <c r="R289" s="411">
        <f t="shared" si="423"/>
        <v>868000</v>
      </c>
      <c r="S289" s="411">
        <f t="shared" si="423"/>
        <v>907000</v>
      </c>
      <c r="T289" s="411">
        <f t="shared" si="423"/>
        <v>948000</v>
      </c>
      <c r="U289" s="411">
        <f t="shared" si="423"/>
        <v>991000</v>
      </c>
      <c r="V289" s="411">
        <f t="shared" si="423"/>
        <v>1036000</v>
      </c>
      <c r="W289" s="411">
        <f t="shared" si="423"/>
        <v>1083000</v>
      </c>
      <c r="X289" s="411">
        <f t="shared" si="423"/>
        <v>1132000</v>
      </c>
      <c r="Y289" s="411">
        <f t="shared" si="423"/>
        <v>1183000</v>
      </c>
      <c r="Z289" s="411">
        <f t="shared" si="423"/>
        <v>1236000</v>
      </c>
      <c r="AA289" s="411">
        <f t="shared" si="423"/>
        <v>1292000</v>
      </c>
      <c r="AB289" s="411">
        <f t="shared" si="423"/>
        <v>1350000</v>
      </c>
      <c r="AC289" s="411">
        <f t="shared" si="423"/>
        <v>1411000</v>
      </c>
      <c r="AD289" s="411">
        <f t="shared" si="423"/>
        <v>1474000</v>
      </c>
      <c r="AE289" s="411">
        <f t="shared" si="423"/>
        <v>1540000</v>
      </c>
      <c r="AF289" s="411">
        <f t="shared" si="423"/>
        <v>1609000</v>
      </c>
      <c r="AG289" s="411">
        <f t="shared" si="423"/>
        <v>1681000</v>
      </c>
      <c r="AH289" s="477">
        <v>4.4999999999999998E-2</v>
      </c>
      <c r="AI289" s="477">
        <v>4.4999999999999998E-2</v>
      </c>
      <c r="AJ289" s="477">
        <v>4.4999999999999998E-2</v>
      </c>
      <c r="AK289" s="477">
        <v>4.4999999999999998E-2</v>
      </c>
      <c r="AL289" s="43"/>
    </row>
    <row r="290" spans="1:38">
      <c r="A290" s="408" t="s">
        <v>80</v>
      </c>
      <c r="B290" s="408"/>
      <c r="C290" s="475">
        <v>500000</v>
      </c>
      <c r="D290" s="411">
        <f t="shared" ref="D290:AG290" si="424">ROUND((C290*(1+$AH290))/1000,0)*1000</f>
        <v>523000</v>
      </c>
      <c r="E290" s="411">
        <f t="shared" si="424"/>
        <v>547000</v>
      </c>
      <c r="F290" s="411">
        <f t="shared" si="424"/>
        <v>572000</v>
      </c>
      <c r="G290" s="411">
        <f t="shared" si="424"/>
        <v>598000</v>
      </c>
      <c r="H290" s="411">
        <f t="shared" si="424"/>
        <v>625000</v>
      </c>
      <c r="I290" s="411">
        <f t="shared" si="424"/>
        <v>653000</v>
      </c>
      <c r="J290" s="411">
        <f t="shared" si="424"/>
        <v>682000</v>
      </c>
      <c r="K290" s="411">
        <f t="shared" si="424"/>
        <v>713000</v>
      </c>
      <c r="L290" s="411">
        <f t="shared" si="424"/>
        <v>745000</v>
      </c>
      <c r="M290" s="411">
        <f t="shared" si="424"/>
        <v>779000</v>
      </c>
      <c r="N290" s="411">
        <f t="shared" si="424"/>
        <v>814000</v>
      </c>
      <c r="O290" s="411">
        <f t="shared" si="424"/>
        <v>851000</v>
      </c>
      <c r="P290" s="411">
        <f t="shared" si="424"/>
        <v>889000</v>
      </c>
      <c r="Q290" s="411">
        <f t="shared" si="424"/>
        <v>929000</v>
      </c>
      <c r="R290" s="411">
        <f t="shared" si="424"/>
        <v>971000</v>
      </c>
      <c r="S290" s="411">
        <f t="shared" si="424"/>
        <v>1015000</v>
      </c>
      <c r="T290" s="411">
        <f t="shared" si="424"/>
        <v>1061000</v>
      </c>
      <c r="U290" s="411">
        <f t="shared" si="424"/>
        <v>1109000</v>
      </c>
      <c r="V290" s="411">
        <f t="shared" si="424"/>
        <v>1159000</v>
      </c>
      <c r="W290" s="411">
        <f t="shared" si="424"/>
        <v>1211000</v>
      </c>
      <c r="X290" s="411">
        <f t="shared" si="424"/>
        <v>1265000</v>
      </c>
      <c r="Y290" s="411">
        <f t="shared" si="424"/>
        <v>1322000</v>
      </c>
      <c r="Z290" s="411">
        <f t="shared" si="424"/>
        <v>1381000</v>
      </c>
      <c r="AA290" s="411">
        <f t="shared" si="424"/>
        <v>1443000</v>
      </c>
      <c r="AB290" s="411">
        <f t="shared" si="424"/>
        <v>1508000</v>
      </c>
      <c r="AC290" s="411">
        <f t="shared" si="424"/>
        <v>1576000</v>
      </c>
      <c r="AD290" s="411">
        <f t="shared" si="424"/>
        <v>1647000</v>
      </c>
      <c r="AE290" s="411">
        <f t="shared" si="424"/>
        <v>1721000</v>
      </c>
      <c r="AF290" s="411">
        <f t="shared" si="424"/>
        <v>1798000</v>
      </c>
      <c r="AG290" s="411">
        <f t="shared" si="424"/>
        <v>1879000</v>
      </c>
      <c r="AH290" s="477">
        <v>4.4999999999999998E-2</v>
      </c>
      <c r="AI290" s="477">
        <v>4.4999999999999998E-2</v>
      </c>
      <c r="AJ290" s="477">
        <v>4.4999999999999998E-2</v>
      </c>
      <c r="AK290" s="477">
        <v>4.4999999999999998E-2</v>
      </c>
      <c r="AL290" s="43"/>
    </row>
    <row r="291" spans="1:38">
      <c r="A291" s="408" t="s">
        <v>13</v>
      </c>
      <c r="B291" s="408"/>
      <c r="C291" s="475">
        <v>600000</v>
      </c>
      <c r="D291" s="411">
        <f t="shared" ref="D291:AG291" si="425">ROUND((C291*(1+$AH291))/1000,0)*1000</f>
        <v>627000</v>
      </c>
      <c r="E291" s="411">
        <f t="shared" si="425"/>
        <v>655000</v>
      </c>
      <c r="F291" s="411">
        <f t="shared" si="425"/>
        <v>684000</v>
      </c>
      <c r="G291" s="411">
        <f t="shared" si="425"/>
        <v>715000</v>
      </c>
      <c r="H291" s="411">
        <f t="shared" si="425"/>
        <v>747000</v>
      </c>
      <c r="I291" s="411">
        <f t="shared" si="425"/>
        <v>781000</v>
      </c>
      <c r="J291" s="411">
        <f t="shared" si="425"/>
        <v>816000</v>
      </c>
      <c r="K291" s="411">
        <f t="shared" si="425"/>
        <v>853000</v>
      </c>
      <c r="L291" s="411">
        <f t="shared" si="425"/>
        <v>891000</v>
      </c>
      <c r="M291" s="411">
        <f t="shared" si="425"/>
        <v>931000</v>
      </c>
      <c r="N291" s="411">
        <f t="shared" si="425"/>
        <v>973000</v>
      </c>
      <c r="O291" s="411">
        <f t="shared" si="425"/>
        <v>1017000</v>
      </c>
      <c r="P291" s="411">
        <f t="shared" si="425"/>
        <v>1063000</v>
      </c>
      <c r="Q291" s="411">
        <f t="shared" si="425"/>
        <v>1111000</v>
      </c>
      <c r="R291" s="411">
        <f t="shared" si="425"/>
        <v>1161000</v>
      </c>
      <c r="S291" s="411">
        <f t="shared" si="425"/>
        <v>1213000</v>
      </c>
      <c r="T291" s="411">
        <f t="shared" si="425"/>
        <v>1268000</v>
      </c>
      <c r="U291" s="411">
        <f t="shared" si="425"/>
        <v>1325000</v>
      </c>
      <c r="V291" s="411">
        <f t="shared" si="425"/>
        <v>1385000</v>
      </c>
      <c r="W291" s="411">
        <f t="shared" si="425"/>
        <v>1447000</v>
      </c>
      <c r="X291" s="411">
        <f t="shared" si="425"/>
        <v>1512000</v>
      </c>
      <c r="Y291" s="411">
        <f t="shared" si="425"/>
        <v>1580000</v>
      </c>
      <c r="Z291" s="411">
        <f t="shared" si="425"/>
        <v>1651000</v>
      </c>
      <c r="AA291" s="411">
        <f t="shared" si="425"/>
        <v>1725000</v>
      </c>
      <c r="AB291" s="411">
        <f t="shared" si="425"/>
        <v>1803000</v>
      </c>
      <c r="AC291" s="411">
        <f t="shared" si="425"/>
        <v>1884000</v>
      </c>
      <c r="AD291" s="411">
        <f t="shared" si="425"/>
        <v>1969000</v>
      </c>
      <c r="AE291" s="411">
        <f t="shared" si="425"/>
        <v>2058000</v>
      </c>
      <c r="AF291" s="411">
        <f t="shared" si="425"/>
        <v>2151000</v>
      </c>
      <c r="AG291" s="411">
        <f t="shared" si="425"/>
        <v>2248000</v>
      </c>
      <c r="AH291" s="477">
        <v>4.4999999999999998E-2</v>
      </c>
      <c r="AI291" s="477">
        <v>4.4999999999999998E-2</v>
      </c>
      <c r="AJ291" s="477">
        <v>4.4999999999999998E-2</v>
      </c>
      <c r="AK291" s="477">
        <v>4.4999999999999998E-2</v>
      </c>
      <c r="AL291" s="43"/>
    </row>
    <row r="292" spans="1:38">
      <c r="A292" s="408" t="s">
        <v>81</v>
      </c>
      <c r="B292" s="408"/>
      <c r="C292" s="475">
        <v>450000</v>
      </c>
      <c r="D292" s="411">
        <f t="shared" ref="D292:AG292" si="426">ROUND((C292*(1+$AH292))/1000,0)*1000</f>
        <v>470000</v>
      </c>
      <c r="E292" s="411">
        <f t="shared" si="426"/>
        <v>491000</v>
      </c>
      <c r="F292" s="411">
        <f t="shared" si="426"/>
        <v>513000</v>
      </c>
      <c r="G292" s="411">
        <f t="shared" si="426"/>
        <v>536000</v>
      </c>
      <c r="H292" s="411">
        <f t="shared" si="426"/>
        <v>560000</v>
      </c>
      <c r="I292" s="411">
        <f t="shared" si="426"/>
        <v>585000</v>
      </c>
      <c r="J292" s="411">
        <f t="shared" si="426"/>
        <v>611000</v>
      </c>
      <c r="K292" s="411">
        <f t="shared" si="426"/>
        <v>638000</v>
      </c>
      <c r="L292" s="411">
        <f t="shared" si="426"/>
        <v>667000</v>
      </c>
      <c r="M292" s="411">
        <f t="shared" si="426"/>
        <v>697000</v>
      </c>
      <c r="N292" s="411">
        <f t="shared" si="426"/>
        <v>728000</v>
      </c>
      <c r="O292" s="411">
        <f t="shared" si="426"/>
        <v>761000</v>
      </c>
      <c r="P292" s="411">
        <f t="shared" si="426"/>
        <v>795000</v>
      </c>
      <c r="Q292" s="411">
        <f t="shared" si="426"/>
        <v>831000</v>
      </c>
      <c r="R292" s="411">
        <f t="shared" si="426"/>
        <v>868000</v>
      </c>
      <c r="S292" s="411">
        <f t="shared" si="426"/>
        <v>907000</v>
      </c>
      <c r="T292" s="411">
        <f t="shared" si="426"/>
        <v>948000</v>
      </c>
      <c r="U292" s="411">
        <f t="shared" si="426"/>
        <v>991000</v>
      </c>
      <c r="V292" s="411">
        <f t="shared" si="426"/>
        <v>1036000</v>
      </c>
      <c r="W292" s="411">
        <f t="shared" si="426"/>
        <v>1083000</v>
      </c>
      <c r="X292" s="411">
        <f t="shared" si="426"/>
        <v>1132000</v>
      </c>
      <c r="Y292" s="411">
        <f t="shared" si="426"/>
        <v>1183000</v>
      </c>
      <c r="Z292" s="411">
        <f t="shared" si="426"/>
        <v>1236000</v>
      </c>
      <c r="AA292" s="411">
        <f t="shared" si="426"/>
        <v>1292000</v>
      </c>
      <c r="AB292" s="411">
        <f t="shared" si="426"/>
        <v>1350000</v>
      </c>
      <c r="AC292" s="411">
        <f t="shared" si="426"/>
        <v>1411000</v>
      </c>
      <c r="AD292" s="411">
        <f t="shared" si="426"/>
        <v>1474000</v>
      </c>
      <c r="AE292" s="411">
        <f t="shared" si="426"/>
        <v>1540000</v>
      </c>
      <c r="AF292" s="411">
        <f t="shared" si="426"/>
        <v>1609000</v>
      </c>
      <c r="AG292" s="411">
        <f t="shared" si="426"/>
        <v>1681000</v>
      </c>
      <c r="AH292" s="477">
        <v>4.4999999999999998E-2</v>
      </c>
      <c r="AI292" s="477">
        <v>4.4999999999999998E-2</v>
      </c>
      <c r="AJ292" s="477">
        <v>4.4999999999999998E-2</v>
      </c>
      <c r="AK292" s="477">
        <v>4.4999999999999998E-2</v>
      </c>
      <c r="AL292" s="43"/>
    </row>
    <row r="293" spans="1:38">
      <c r="A293" s="408" t="s">
        <v>82</v>
      </c>
      <c r="B293" s="408"/>
      <c r="C293" s="475">
        <v>500000</v>
      </c>
      <c r="D293" s="411">
        <f t="shared" ref="D293:AG293" si="427">ROUND((C293*(1+$AH293))/1000,0)*1000</f>
        <v>523000</v>
      </c>
      <c r="E293" s="411">
        <f t="shared" si="427"/>
        <v>547000</v>
      </c>
      <c r="F293" s="411">
        <f t="shared" si="427"/>
        <v>572000</v>
      </c>
      <c r="G293" s="411">
        <f t="shared" si="427"/>
        <v>598000</v>
      </c>
      <c r="H293" s="411">
        <f t="shared" si="427"/>
        <v>625000</v>
      </c>
      <c r="I293" s="411">
        <f t="shared" si="427"/>
        <v>653000</v>
      </c>
      <c r="J293" s="411">
        <f t="shared" si="427"/>
        <v>682000</v>
      </c>
      <c r="K293" s="411">
        <f t="shared" si="427"/>
        <v>713000</v>
      </c>
      <c r="L293" s="411">
        <f t="shared" si="427"/>
        <v>745000</v>
      </c>
      <c r="M293" s="411">
        <f t="shared" si="427"/>
        <v>779000</v>
      </c>
      <c r="N293" s="411">
        <f t="shared" si="427"/>
        <v>814000</v>
      </c>
      <c r="O293" s="411">
        <f t="shared" si="427"/>
        <v>851000</v>
      </c>
      <c r="P293" s="411">
        <f t="shared" si="427"/>
        <v>889000</v>
      </c>
      <c r="Q293" s="411">
        <f t="shared" si="427"/>
        <v>929000</v>
      </c>
      <c r="R293" s="411">
        <f t="shared" si="427"/>
        <v>971000</v>
      </c>
      <c r="S293" s="411">
        <f t="shared" si="427"/>
        <v>1015000</v>
      </c>
      <c r="T293" s="411">
        <f t="shared" si="427"/>
        <v>1061000</v>
      </c>
      <c r="U293" s="411">
        <f t="shared" si="427"/>
        <v>1109000</v>
      </c>
      <c r="V293" s="411">
        <f t="shared" si="427"/>
        <v>1159000</v>
      </c>
      <c r="W293" s="411">
        <f t="shared" si="427"/>
        <v>1211000</v>
      </c>
      <c r="X293" s="411">
        <f t="shared" si="427"/>
        <v>1265000</v>
      </c>
      <c r="Y293" s="411">
        <f t="shared" si="427"/>
        <v>1322000</v>
      </c>
      <c r="Z293" s="411">
        <f t="shared" si="427"/>
        <v>1381000</v>
      </c>
      <c r="AA293" s="411">
        <f t="shared" si="427"/>
        <v>1443000</v>
      </c>
      <c r="AB293" s="411">
        <f t="shared" si="427"/>
        <v>1508000</v>
      </c>
      <c r="AC293" s="411">
        <f t="shared" si="427"/>
        <v>1576000</v>
      </c>
      <c r="AD293" s="411">
        <f t="shared" si="427"/>
        <v>1647000</v>
      </c>
      <c r="AE293" s="411">
        <f t="shared" si="427"/>
        <v>1721000</v>
      </c>
      <c r="AF293" s="411">
        <f t="shared" si="427"/>
        <v>1798000</v>
      </c>
      <c r="AG293" s="411">
        <f t="shared" si="427"/>
        <v>1879000</v>
      </c>
      <c r="AH293" s="477">
        <v>4.4999999999999998E-2</v>
      </c>
      <c r="AI293" s="477">
        <v>4.4999999999999998E-2</v>
      </c>
      <c r="AJ293" s="477">
        <v>4.4999999999999998E-2</v>
      </c>
      <c r="AK293" s="477">
        <v>4.4999999999999998E-2</v>
      </c>
      <c r="AL293" s="43"/>
    </row>
    <row r="294" spans="1:38">
      <c r="A294" s="408" t="s">
        <v>37</v>
      </c>
      <c r="B294" s="408"/>
      <c r="C294" s="475">
        <v>600000</v>
      </c>
      <c r="D294" s="411">
        <f t="shared" ref="D294:AG294" si="428">ROUND((C294*(1+$AH294))/1000,0)*1000</f>
        <v>627000</v>
      </c>
      <c r="E294" s="411">
        <f t="shared" si="428"/>
        <v>655000</v>
      </c>
      <c r="F294" s="411">
        <f t="shared" si="428"/>
        <v>684000</v>
      </c>
      <c r="G294" s="411">
        <f t="shared" si="428"/>
        <v>715000</v>
      </c>
      <c r="H294" s="411">
        <f t="shared" si="428"/>
        <v>747000</v>
      </c>
      <c r="I294" s="411">
        <f t="shared" si="428"/>
        <v>781000</v>
      </c>
      <c r="J294" s="411">
        <f t="shared" si="428"/>
        <v>816000</v>
      </c>
      <c r="K294" s="411">
        <f t="shared" si="428"/>
        <v>853000</v>
      </c>
      <c r="L294" s="411">
        <f t="shared" si="428"/>
        <v>891000</v>
      </c>
      <c r="M294" s="411">
        <f t="shared" si="428"/>
        <v>931000</v>
      </c>
      <c r="N294" s="411">
        <f t="shared" si="428"/>
        <v>973000</v>
      </c>
      <c r="O294" s="411">
        <f t="shared" si="428"/>
        <v>1017000</v>
      </c>
      <c r="P294" s="411">
        <f t="shared" si="428"/>
        <v>1063000</v>
      </c>
      <c r="Q294" s="411">
        <f t="shared" si="428"/>
        <v>1111000</v>
      </c>
      <c r="R294" s="411">
        <f t="shared" si="428"/>
        <v>1161000</v>
      </c>
      <c r="S294" s="411">
        <f t="shared" si="428"/>
        <v>1213000</v>
      </c>
      <c r="T294" s="411">
        <f t="shared" si="428"/>
        <v>1268000</v>
      </c>
      <c r="U294" s="411">
        <f t="shared" si="428"/>
        <v>1325000</v>
      </c>
      <c r="V294" s="411">
        <f t="shared" si="428"/>
        <v>1385000</v>
      </c>
      <c r="W294" s="411">
        <f t="shared" si="428"/>
        <v>1447000</v>
      </c>
      <c r="X294" s="411">
        <f t="shared" si="428"/>
        <v>1512000</v>
      </c>
      <c r="Y294" s="411">
        <f t="shared" si="428"/>
        <v>1580000</v>
      </c>
      <c r="Z294" s="411">
        <f t="shared" si="428"/>
        <v>1651000</v>
      </c>
      <c r="AA294" s="411">
        <f t="shared" si="428"/>
        <v>1725000</v>
      </c>
      <c r="AB294" s="411">
        <f t="shared" si="428"/>
        <v>1803000</v>
      </c>
      <c r="AC294" s="411">
        <f t="shared" si="428"/>
        <v>1884000</v>
      </c>
      <c r="AD294" s="411">
        <f t="shared" si="428"/>
        <v>1969000</v>
      </c>
      <c r="AE294" s="411">
        <f t="shared" si="428"/>
        <v>2058000</v>
      </c>
      <c r="AF294" s="411">
        <f t="shared" si="428"/>
        <v>2151000</v>
      </c>
      <c r="AG294" s="411">
        <f t="shared" si="428"/>
        <v>2248000</v>
      </c>
      <c r="AH294" s="477">
        <v>4.4999999999999998E-2</v>
      </c>
      <c r="AI294" s="477">
        <v>4.4999999999999998E-2</v>
      </c>
      <c r="AJ294" s="477">
        <v>4.4999999999999998E-2</v>
      </c>
      <c r="AK294" s="477">
        <v>4.4999999999999998E-2</v>
      </c>
      <c r="AL294" s="43"/>
    </row>
    <row r="295" spans="1:38">
      <c r="A295" s="408" t="s">
        <v>28</v>
      </c>
      <c r="B295" s="408"/>
      <c r="C295" s="475">
        <v>600000</v>
      </c>
      <c r="D295" s="411">
        <f t="shared" ref="D295:AG295" si="429">ROUND((C295*(1+$AH295))/1000,0)*1000</f>
        <v>627000</v>
      </c>
      <c r="E295" s="411">
        <f t="shared" si="429"/>
        <v>655000</v>
      </c>
      <c r="F295" s="411">
        <f t="shared" si="429"/>
        <v>684000</v>
      </c>
      <c r="G295" s="411">
        <f t="shared" si="429"/>
        <v>715000</v>
      </c>
      <c r="H295" s="411">
        <f t="shared" si="429"/>
        <v>747000</v>
      </c>
      <c r="I295" s="411">
        <f t="shared" si="429"/>
        <v>781000</v>
      </c>
      <c r="J295" s="411">
        <f t="shared" si="429"/>
        <v>816000</v>
      </c>
      <c r="K295" s="411">
        <f t="shared" si="429"/>
        <v>853000</v>
      </c>
      <c r="L295" s="411">
        <f t="shared" si="429"/>
        <v>891000</v>
      </c>
      <c r="M295" s="411">
        <f t="shared" si="429"/>
        <v>931000</v>
      </c>
      <c r="N295" s="411">
        <f t="shared" si="429"/>
        <v>973000</v>
      </c>
      <c r="O295" s="411">
        <f t="shared" si="429"/>
        <v>1017000</v>
      </c>
      <c r="P295" s="411">
        <f t="shared" si="429"/>
        <v>1063000</v>
      </c>
      <c r="Q295" s="411">
        <f t="shared" si="429"/>
        <v>1111000</v>
      </c>
      <c r="R295" s="411">
        <f t="shared" si="429"/>
        <v>1161000</v>
      </c>
      <c r="S295" s="411">
        <f t="shared" si="429"/>
        <v>1213000</v>
      </c>
      <c r="T295" s="411">
        <f t="shared" si="429"/>
        <v>1268000</v>
      </c>
      <c r="U295" s="411">
        <f t="shared" si="429"/>
        <v>1325000</v>
      </c>
      <c r="V295" s="411">
        <f t="shared" si="429"/>
        <v>1385000</v>
      </c>
      <c r="W295" s="411">
        <f t="shared" si="429"/>
        <v>1447000</v>
      </c>
      <c r="X295" s="411">
        <f t="shared" si="429"/>
        <v>1512000</v>
      </c>
      <c r="Y295" s="411">
        <f t="shared" si="429"/>
        <v>1580000</v>
      </c>
      <c r="Z295" s="411">
        <f t="shared" si="429"/>
        <v>1651000</v>
      </c>
      <c r="AA295" s="411">
        <f t="shared" si="429"/>
        <v>1725000</v>
      </c>
      <c r="AB295" s="411">
        <f t="shared" si="429"/>
        <v>1803000</v>
      </c>
      <c r="AC295" s="411">
        <f t="shared" si="429"/>
        <v>1884000</v>
      </c>
      <c r="AD295" s="411">
        <f t="shared" si="429"/>
        <v>1969000</v>
      </c>
      <c r="AE295" s="411">
        <f t="shared" si="429"/>
        <v>2058000</v>
      </c>
      <c r="AF295" s="411">
        <f t="shared" si="429"/>
        <v>2151000</v>
      </c>
      <c r="AG295" s="411">
        <f t="shared" si="429"/>
        <v>2248000</v>
      </c>
      <c r="AH295" s="477">
        <v>4.4999999999999998E-2</v>
      </c>
      <c r="AI295" s="477">
        <v>4.4999999999999998E-2</v>
      </c>
      <c r="AJ295" s="477">
        <v>4.4999999999999998E-2</v>
      </c>
      <c r="AK295" s="477">
        <v>4.4999999999999998E-2</v>
      </c>
      <c r="AL295" s="148"/>
    </row>
    <row r="296" spans="1:38">
      <c r="A296" s="408"/>
      <c r="B296" s="408"/>
      <c r="C296" s="323"/>
      <c r="D296" s="323"/>
      <c r="E296" s="323"/>
      <c r="F296" s="323"/>
      <c r="G296" s="323"/>
      <c r="H296" s="323"/>
      <c r="I296" s="323"/>
      <c r="J296" s="323"/>
      <c r="K296" s="323"/>
      <c r="L296" s="323"/>
      <c r="M296" s="323"/>
      <c r="N296" s="323"/>
      <c r="O296" s="323"/>
      <c r="P296" s="323"/>
      <c r="Q296" s="323"/>
      <c r="R296" s="323"/>
      <c r="S296" s="323"/>
      <c r="T296" s="323"/>
      <c r="U296" s="323"/>
      <c r="V296" s="323"/>
      <c r="W296" s="323"/>
      <c r="X296" s="323"/>
      <c r="Y296" s="323"/>
      <c r="Z296" s="323"/>
      <c r="AA296" s="323"/>
      <c r="AB296" s="323"/>
      <c r="AC296" s="323"/>
      <c r="AD296" s="323"/>
      <c r="AE296" s="323"/>
      <c r="AF296" s="323"/>
      <c r="AG296" s="323"/>
      <c r="AH296" s="409"/>
      <c r="AI296" s="409"/>
      <c r="AJ296" s="409"/>
      <c r="AK296" s="409"/>
      <c r="AL296" s="148"/>
    </row>
    <row r="297" spans="1:38">
      <c r="A297" s="336" t="s">
        <v>155</v>
      </c>
      <c r="B297" s="336"/>
      <c r="C297" s="399">
        <v>2025</v>
      </c>
      <c r="D297" s="399">
        <v>2026</v>
      </c>
      <c r="E297" s="399">
        <v>2027</v>
      </c>
      <c r="F297" s="399">
        <v>2028</v>
      </c>
      <c r="G297" s="399">
        <v>2029</v>
      </c>
      <c r="H297" s="399">
        <v>2030</v>
      </c>
      <c r="I297" s="399">
        <v>2031</v>
      </c>
      <c r="J297" s="399">
        <v>2032</v>
      </c>
      <c r="K297" s="399">
        <v>2033</v>
      </c>
      <c r="L297" s="399">
        <v>2034</v>
      </c>
      <c r="M297" s="399">
        <v>2035</v>
      </c>
      <c r="N297" s="399">
        <v>2036</v>
      </c>
      <c r="O297" s="399">
        <v>2037</v>
      </c>
      <c r="P297" s="399">
        <v>2038</v>
      </c>
      <c r="Q297" s="399">
        <v>2039</v>
      </c>
      <c r="R297" s="399">
        <v>2040</v>
      </c>
      <c r="S297" s="399">
        <v>2041</v>
      </c>
      <c r="T297" s="399">
        <v>2042</v>
      </c>
      <c r="U297" s="399">
        <v>2043</v>
      </c>
      <c r="V297" s="399">
        <v>2044</v>
      </c>
      <c r="W297" s="399">
        <v>2045</v>
      </c>
      <c r="X297" s="399">
        <v>2046</v>
      </c>
      <c r="Y297" s="399">
        <v>2047</v>
      </c>
      <c r="Z297" s="399">
        <v>2048</v>
      </c>
      <c r="AA297" s="399">
        <v>2049</v>
      </c>
      <c r="AB297" s="399">
        <v>2050</v>
      </c>
      <c r="AC297" s="399">
        <v>2051</v>
      </c>
      <c r="AD297" s="399">
        <v>2052</v>
      </c>
      <c r="AE297" s="399">
        <v>2053</v>
      </c>
      <c r="AF297" s="399">
        <v>2054</v>
      </c>
      <c r="AG297" s="399">
        <v>2055</v>
      </c>
      <c r="AH297" s="399"/>
      <c r="AI297" s="336"/>
      <c r="AJ297" s="336"/>
      <c r="AK297" s="336"/>
      <c r="AL297" s="336" t="s">
        <v>673</v>
      </c>
    </row>
    <row r="298" spans="1:38">
      <c r="A298" s="408" t="s">
        <v>19</v>
      </c>
      <c r="B298" s="408"/>
      <c r="C298" s="333">
        <f>C287+AL298</f>
        <v>460000</v>
      </c>
      <c r="D298" s="411">
        <f t="shared" ref="D298:AG298" si="430">ROUND((C298*(1+$AH298))/1000,0)*1000</f>
        <v>481000</v>
      </c>
      <c r="E298" s="411">
        <f t="shared" si="430"/>
        <v>503000</v>
      </c>
      <c r="F298" s="411">
        <f t="shared" si="430"/>
        <v>526000</v>
      </c>
      <c r="G298" s="411">
        <f t="shared" si="430"/>
        <v>550000</v>
      </c>
      <c r="H298" s="411">
        <f t="shared" si="430"/>
        <v>575000</v>
      </c>
      <c r="I298" s="411">
        <f t="shared" si="430"/>
        <v>601000</v>
      </c>
      <c r="J298" s="411">
        <f t="shared" si="430"/>
        <v>628000</v>
      </c>
      <c r="K298" s="411">
        <f t="shared" si="430"/>
        <v>656000</v>
      </c>
      <c r="L298" s="411">
        <f t="shared" si="430"/>
        <v>686000</v>
      </c>
      <c r="M298" s="411">
        <f t="shared" si="430"/>
        <v>717000</v>
      </c>
      <c r="N298" s="411">
        <f t="shared" si="430"/>
        <v>749000</v>
      </c>
      <c r="O298" s="411">
        <f t="shared" si="430"/>
        <v>783000</v>
      </c>
      <c r="P298" s="411">
        <f t="shared" si="430"/>
        <v>818000</v>
      </c>
      <c r="Q298" s="411">
        <f t="shared" si="430"/>
        <v>855000</v>
      </c>
      <c r="R298" s="411">
        <f t="shared" si="430"/>
        <v>893000</v>
      </c>
      <c r="S298" s="411">
        <f t="shared" si="430"/>
        <v>933000</v>
      </c>
      <c r="T298" s="411">
        <f t="shared" si="430"/>
        <v>975000</v>
      </c>
      <c r="U298" s="411">
        <f t="shared" si="430"/>
        <v>1019000</v>
      </c>
      <c r="V298" s="411">
        <f t="shared" si="430"/>
        <v>1065000</v>
      </c>
      <c r="W298" s="411">
        <f t="shared" si="430"/>
        <v>1113000</v>
      </c>
      <c r="X298" s="411">
        <f t="shared" si="430"/>
        <v>1163000</v>
      </c>
      <c r="Y298" s="411">
        <f t="shared" si="430"/>
        <v>1215000</v>
      </c>
      <c r="Z298" s="411">
        <f t="shared" si="430"/>
        <v>1270000</v>
      </c>
      <c r="AA298" s="411">
        <f t="shared" si="430"/>
        <v>1327000</v>
      </c>
      <c r="AB298" s="411">
        <f t="shared" si="430"/>
        <v>1387000</v>
      </c>
      <c r="AC298" s="411">
        <f t="shared" si="430"/>
        <v>1449000</v>
      </c>
      <c r="AD298" s="411">
        <f t="shared" si="430"/>
        <v>1514000</v>
      </c>
      <c r="AE298" s="411">
        <f t="shared" si="430"/>
        <v>1582000</v>
      </c>
      <c r="AF298" s="411">
        <f t="shared" si="430"/>
        <v>1653000</v>
      </c>
      <c r="AG298" s="411">
        <f t="shared" si="430"/>
        <v>1727000</v>
      </c>
      <c r="AH298" s="419">
        <f>AH287</f>
        <v>4.4999999999999998E-2</v>
      </c>
      <c r="AI298" s="419">
        <f t="shared" ref="AI298:AK298" si="431">AI287</f>
        <v>4.4999999999999998E-2</v>
      </c>
      <c r="AJ298" s="419">
        <f t="shared" si="431"/>
        <v>4.4999999999999998E-2</v>
      </c>
      <c r="AK298" s="419">
        <f t="shared" si="431"/>
        <v>4.4999999999999998E-2</v>
      </c>
      <c r="AL298" s="476">
        <v>60000</v>
      </c>
    </row>
    <row r="299" spans="1:38">
      <c r="A299" s="408" t="s">
        <v>9</v>
      </c>
      <c r="B299" s="408"/>
      <c r="C299" s="333">
        <f t="shared" ref="C299:C306" si="432">C288+AL299</f>
        <v>460000</v>
      </c>
      <c r="D299" s="411">
        <f t="shared" ref="D299:AG299" si="433">ROUND((C299*(1+$AH299))/1000,0)*1000</f>
        <v>481000</v>
      </c>
      <c r="E299" s="411">
        <f t="shared" si="433"/>
        <v>503000</v>
      </c>
      <c r="F299" s="411">
        <f t="shared" si="433"/>
        <v>526000</v>
      </c>
      <c r="G299" s="411">
        <f t="shared" si="433"/>
        <v>550000</v>
      </c>
      <c r="H299" s="411">
        <f t="shared" si="433"/>
        <v>575000</v>
      </c>
      <c r="I299" s="411">
        <f t="shared" si="433"/>
        <v>601000</v>
      </c>
      <c r="J299" s="411">
        <f t="shared" si="433"/>
        <v>628000</v>
      </c>
      <c r="K299" s="411">
        <f t="shared" si="433"/>
        <v>656000</v>
      </c>
      <c r="L299" s="411">
        <f t="shared" si="433"/>
        <v>686000</v>
      </c>
      <c r="M299" s="411">
        <f t="shared" si="433"/>
        <v>717000</v>
      </c>
      <c r="N299" s="411">
        <f t="shared" si="433"/>
        <v>749000</v>
      </c>
      <c r="O299" s="411">
        <f t="shared" si="433"/>
        <v>783000</v>
      </c>
      <c r="P299" s="411">
        <f t="shared" si="433"/>
        <v>818000</v>
      </c>
      <c r="Q299" s="411">
        <f t="shared" si="433"/>
        <v>855000</v>
      </c>
      <c r="R299" s="411">
        <f t="shared" si="433"/>
        <v>893000</v>
      </c>
      <c r="S299" s="411">
        <f t="shared" si="433"/>
        <v>933000</v>
      </c>
      <c r="T299" s="411">
        <f t="shared" si="433"/>
        <v>975000</v>
      </c>
      <c r="U299" s="411">
        <f t="shared" si="433"/>
        <v>1019000</v>
      </c>
      <c r="V299" s="411">
        <f t="shared" si="433"/>
        <v>1065000</v>
      </c>
      <c r="W299" s="411">
        <f t="shared" si="433"/>
        <v>1113000</v>
      </c>
      <c r="X299" s="411">
        <f t="shared" si="433"/>
        <v>1163000</v>
      </c>
      <c r="Y299" s="411">
        <f t="shared" si="433"/>
        <v>1215000</v>
      </c>
      <c r="Z299" s="411">
        <f t="shared" si="433"/>
        <v>1270000</v>
      </c>
      <c r="AA299" s="411">
        <f t="shared" si="433"/>
        <v>1327000</v>
      </c>
      <c r="AB299" s="411">
        <f t="shared" si="433"/>
        <v>1387000</v>
      </c>
      <c r="AC299" s="411">
        <f t="shared" si="433"/>
        <v>1449000</v>
      </c>
      <c r="AD299" s="411">
        <f t="shared" si="433"/>
        <v>1514000</v>
      </c>
      <c r="AE299" s="411">
        <f t="shared" si="433"/>
        <v>1582000</v>
      </c>
      <c r="AF299" s="411">
        <f t="shared" si="433"/>
        <v>1653000</v>
      </c>
      <c r="AG299" s="411">
        <f t="shared" si="433"/>
        <v>1727000</v>
      </c>
      <c r="AH299" s="419">
        <f t="shared" ref="AH299:AK299" si="434">AH288</f>
        <v>4.4999999999999998E-2</v>
      </c>
      <c r="AI299" s="419">
        <f t="shared" si="434"/>
        <v>4.4999999999999998E-2</v>
      </c>
      <c r="AJ299" s="419">
        <f t="shared" si="434"/>
        <v>4.4999999999999998E-2</v>
      </c>
      <c r="AK299" s="419">
        <f t="shared" si="434"/>
        <v>4.4999999999999998E-2</v>
      </c>
      <c r="AL299" s="476">
        <v>60000</v>
      </c>
    </row>
    <row r="300" spans="1:38">
      <c r="A300" s="408" t="s">
        <v>11</v>
      </c>
      <c r="B300" s="408"/>
      <c r="C300" s="333">
        <f t="shared" si="432"/>
        <v>510000</v>
      </c>
      <c r="D300" s="411">
        <f t="shared" ref="D300:AG300" si="435">ROUND((C300*(1+$AH300))/1000,0)*1000</f>
        <v>533000</v>
      </c>
      <c r="E300" s="411">
        <f t="shared" si="435"/>
        <v>557000</v>
      </c>
      <c r="F300" s="411">
        <f t="shared" si="435"/>
        <v>582000</v>
      </c>
      <c r="G300" s="411">
        <f t="shared" si="435"/>
        <v>608000</v>
      </c>
      <c r="H300" s="411">
        <f t="shared" si="435"/>
        <v>635000</v>
      </c>
      <c r="I300" s="411">
        <f t="shared" si="435"/>
        <v>664000</v>
      </c>
      <c r="J300" s="411">
        <f t="shared" si="435"/>
        <v>694000</v>
      </c>
      <c r="K300" s="411">
        <f t="shared" si="435"/>
        <v>725000</v>
      </c>
      <c r="L300" s="411">
        <f t="shared" si="435"/>
        <v>758000</v>
      </c>
      <c r="M300" s="411">
        <f t="shared" si="435"/>
        <v>792000</v>
      </c>
      <c r="N300" s="411">
        <f t="shared" si="435"/>
        <v>828000</v>
      </c>
      <c r="O300" s="411">
        <f t="shared" si="435"/>
        <v>865000</v>
      </c>
      <c r="P300" s="411">
        <f t="shared" si="435"/>
        <v>904000</v>
      </c>
      <c r="Q300" s="411">
        <f t="shared" si="435"/>
        <v>945000</v>
      </c>
      <c r="R300" s="411">
        <f t="shared" si="435"/>
        <v>988000</v>
      </c>
      <c r="S300" s="411">
        <f t="shared" si="435"/>
        <v>1032000</v>
      </c>
      <c r="T300" s="411">
        <f t="shared" si="435"/>
        <v>1078000</v>
      </c>
      <c r="U300" s="411">
        <f t="shared" si="435"/>
        <v>1127000</v>
      </c>
      <c r="V300" s="411">
        <f t="shared" si="435"/>
        <v>1178000</v>
      </c>
      <c r="W300" s="411">
        <f t="shared" si="435"/>
        <v>1231000</v>
      </c>
      <c r="X300" s="411">
        <f t="shared" si="435"/>
        <v>1286000</v>
      </c>
      <c r="Y300" s="411">
        <f t="shared" si="435"/>
        <v>1344000</v>
      </c>
      <c r="Z300" s="411">
        <f t="shared" si="435"/>
        <v>1404000</v>
      </c>
      <c r="AA300" s="411">
        <f t="shared" si="435"/>
        <v>1467000</v>
      </c>
      <c r="AB300" s="411">
        <f t="shared" si="435"/>
        <v>1533000</v>
      </c>
      <c r="AC300" s="411">
        <f t="shared" si="435"/>
        <v>1602000</v>
      </c>
      <c r="AD300" s="411">
        <f t="shared" si="435"/>
        <v>1674000</v>
      </c>
      <c r="AE300" s="411">
        <f t="shared" si="435"/>
        <v>1749000</v>
      </c>
      <c r="AF300" s="411">
        <f t="shared" si="435"/>
        <v>1828000</v>
      </c>
      <c r="AG300" s="411">
        <f t="shared" si="435"/>
        <v>1910000</v>
      </c>
      <c r="AH300" s="419">
        <f t="shared" ref="AH300:AK300" si="436">AH289</f>
        <v>4.4999999999999998E-2</v>
      </c>
      <c r="AI300" s="419">
        <f t="shared" si="436"/>
        <v>4.4999999999999998E-2</v>
      </c>
      <c r="AJ300" s="419">
        <f t="shared" si="436"/>
        <v>4.4999999999999998E-2</v>
      </c>
      <c r="AK300" s="419">
        <f t="shared" si="436"/>
        <v>4.4999999999999998E-2</v>
      </c>
      <c r="AL300" s="476">
        <v>60000</v>
      </c>
    </row>
    <row r="301" spans="1:38">
      <c r="A301" s="408" t="s">
        <v>80</v>
      </c>
      <c r="B301" s="408"/>
      <c r="C301" s="333">
        <f t="shared" si="432"/>
        <v>560000</v>
      </c>
      <c r="D301" s="411">
        <f t="shared" ref="D301:AG301" si="437">ROUND((C301*(1+$AH301))/1000,0)*1000</f>
        <v>585000</v>
      </c>
      <c r="E301" s="411">
        <f t="shared" si="437"/>
        <v>611000</v>
      </c>
      <c r="F301" s="411">
        <f t="shared" si="437"/>
        <v>638000</v>
      </c>
      <c r="G301" s="411">
        <f t="shared" si="437"/>
        <v>667000</v>
      </c>
      <c r="H301" s="411">
        <f t="shared" si="437"/>
        <v>697000</v>
      </c>
      <c r="I301" s="411">
        <f t="shared" si="437"/>
        <v>728000</v>
      </c>
      <c r="J301" s="411">
        <f t="shared" si="437"/>
        <v>761000</v>
      </c>
      <c r="K301" s="411">
        <f t="shared" si="437"/>
        <v>795000</v>
      </c>
      <c r="L301" s="411">
        <f t="shared" si="437"/>
        <v>831000</v>
      </c>
      <c r="M301" s="411">
        <f t="shared" si="437"/>
        <v>868000</v>
      </c>
      <c r="N301" s="411">
        <f t="shared" si="437"/>
        <v>907000</v>
      </c>
      <c r="O301" s="411">
        <f t="shared" si="437"/>
        <v>948000</v>
      </c>
      <c r="P301" s="411">
        <f t="shared" si="437"/>
        <v>991000</v>
      </c>
      <c r="Q301" s="411">
        <f t="shared" si="437"/>
        <v>1036000</v>
      </c>
      <c r="R301" s="411">
        <f t="shared" si="437"/>
        <v>1083000</v>
      </c>
      <c r="S301" s="411">
        <f t="shared" si="437"/>
        <v>1132000</v>
      </c>
      <c r="T301" s="411">
        <f t="shared" si="437"/>
        <v>1183000</v>
      </c>
      <c r="U301" s="411">
        <f t="shared" si="437"/>
        <v>1236000</v>
      </c>
      <c r="V301" s="411">
        <f t="shared" si="437"/>
        <v>1292000</v>
      </c>
      <c r="W301" s="411">
        <f t="shared" si="437"/>
        <v>1350000</v>
      </c>
      <c r="X301" s="411">
        <f t="shared" si="437"/>
        <v>1411000</v>
      </c>
      <c r="Y301" s="411">
        <f t="shared" si="437"/>
        <v>1474000</v>
      </c>
      <c r="Z301" s="411">
        <f t="shared" si="437"/>
        <v>1540000</v>
      </c>
      <c r="AA301" s="411">
        <f t="shared" si="437"/>
        <v>1609000</v>
      </c>
      <c r="AB301" s="411">
        <f t="shared" si="437"/>
        <v>1681000</v>
      </c>
      <c r="AC301" s="411">
        <f t="shared" si="437"/>
        <v>1757000</v>
      </c>
      <c r="AD301" s="411">
        <f t="shared" si="437"/>
        <v>1836000</v>
      </c>
      <c r="AE301" s="411">
        <f t="shared" si="437"/>
        <v>1919000</v>
      </c>
      <c r="AF301" s="411">
        <f t="shared" si="437"/>
        <v>2005000</v>
      </c>
      <c r="AG301" s="411">
        <f t="shared" si="437"/>
        <v>2095000</v>
      </c>
      <c r="AH301" s="419">
        <f t="shared" ref="AH301:AK301" si="438">AH290</f>
        <v>4.4999999999999998E-2</v>
      </c>
      <c r="AI301" s="419">
        <f t="shared" si="438"/>
        <v>4.4999999999999998E-2</v>
      </c>
      <c r="AJ301" s="419">
        <f t="shared" si="438"/>
        <v>4.4999999999999998E-2</v>
      </c>
      <c r="AK301" s="419">
        <f t="shared" si="438"/>
        <v>4.4999999999999998E-2</v>
      </c>
      <c r="AL301" s="476">
        <v>60000</v>
      </c>
    </row>
    <row r="302" spans="1:38">
      <c r="A302" s="408" t="s">
        <v>13</v>
      </c>
      <c r="B302" s="408"/>
      <c r="C302" s="333">
        <f t="shared" si="432"/>
        <v>660000</v>
      </c>
      <c r="D302" s="411">
        <f t="shared" ref="D302:AG302" si="439">ROUND((C302*(1+$AH302))/1000,0)*1000</f>
        <v>690000</v>
      </c>
      <c r="E302" s="411">
        <f t="shared" si="439"/>
        <v>721000</v>
      </c>
      <c r="F302" s="411">
        <f t="shared" si="439"/>
        <v>753000</v>
      </c>
      <c r="G302" s="411">
        <f t="shared" si="439"/>
        <v>787000</v>
      </c>
      <c r="H302" s="411">
        <f t="shared" si="439"/>
        <v>822000</v>
      </c>
      <c r="I302" s="411">
        <f t="shared" si="439"/>
        <v>859000</v>
      </c>
      <c r="J302" s="411">
        <f t="shared" si="439"/>
        <v>898000</v>
      </c>
      <c r="K302" s="411">
        <f t="shared" si="439"/>
        <v>938000</v>
      </c>
      <c r="L302" s="411">
        <f t="shared" si="439"/>
        <v>980000</v>
      </c>
      <c r="M302" s="411">
        <f t="shared" si="439"/>
        <v>1024000</v>
      </c>
      <c r="N302" s="411">
        <f t="shared" si="439"/>
        <v>1070000</v>
      </c>
      <c r="O302" s="411">
        <f t="shared" si="439"/>
        <v>1118000</v>
      </c>
      <c r="P302" s="411">
        <f t="shared" si="439"/>
        <v>1168000</v>
      </c>
      <c r="Q302" s="411">
        <f t="shared" si="439"/>
        <v>1221000</v>
      </c>
      <c r="R302" s="411">
        <f t="shared" si="439"/>
        <v>1276000</v>
      </c>
      <c r="S302" s="411">
        <f t="shared" si="439"/>
        <v>1333000</v>
      </c>
      <c r="T302" s="411">
        <f t="shared" si="439"/>
        <v>1393000</v>
      </c>
      <c r="U302" s="411">
        <f t="shared" si="439"/>
        <v>1456000</v>
      </c>
      <c r="V302" s="411">
        <f t="shared" si="439"/>
        <v>1522000</v>
      </c>
      <c r="W302" s="411">
        <f t="shared" si="439"/>
        <v>1590000</v>
      </c>
      <c r="X302" s="411">
        <f t="shared" si="439"/>
        <v>1662000</v>
      </c>
      <c r="Y302" s="411">
        <f t="shared" si="439"/>
        <v>1737000</v>
      </c>
      <c r="Z302" s="411">
        <f t="shared" si="439"/>
        <v>1815000</v>
      </c>
      <c r="AA302" s="411">
        <f t="shared" si="439"/>
        <v>1897000</v>
      </c>
      <c r="AB302" s="411">
        <f t="shared" si="439"/>
        <v>1982000</v>
      </c>
      <c r="AC302" s="411">
        <f t="shared" si="439"/>
        <v>2071000</v>
      </c>
      <c r="AD302" s="411">
        <f t="shared" si="439"/>
        <v>2164000</v>
      </c>
      <c r="AE302" s="411">
        <f t="shared" si="439"/>
        <v>2261000</v>
      </c>
      <c r="AF302" s="411">
        <f t="shared" si="439"/>
        <v>2363000</v>
      </c>
      <c r="AG302" s="411">
        <f t="shared" si="439"/>
        <v>2469000</v>
      </c>
      <c r="AH302" s="419">
        <f t="shared" ref="AH302:AK302" si="440">AH291</f>
        <v>4.4999999999999998E-2</v>
      </c>
      <c r="AI302" s="419">
        <f t="shared" si="440"/>
        <v>4.4999999999999998E-2</v>
      </c>
      <c r="AJ302" s="419">
        <f t="shared" si="440"/>
        <v>4.4999999999999998E-2</v>
      </c>
      <c r="AK302" s="419">
        <f t="shared" si="440"/>
        <v>4.4999999999999998E-2</v>
      </c>
      <c r="AL302" s="476">
        <v>60000</v>
      </c>
    </row>
    <row r="303" spans="1:38">
      <c r="A303" s="408" t="s">
        <v>81</v>
      </c>
      <c r="B303" s="408"/>
      <c r="C303" s="333">
        <f t="shared" si="432"/>
        <v>510000</v>
      </c>
      <c r="D303" s="411">
        <f t="shared" ref="D303:AG303" si="441">ROUND((C303*(1+$AH303))/1000,0)*1000</f>
        <v>533000</v>
      </c>
      <c r="E303" s="411">
        <f t="shared" si="441"/>
        <v>557000</v>
      </c>
      <c r="F303" s="411">
        <f t="shared" si="441"/>
        <v>582000</v>
      </c>
      <c r="G303" s="411">
        <f t="shared" si="441"/>
        <v>608000</v>
      </c>
      <c r="H303" s="411">
        <f t="shared" si="441"/>
        <v>635000</v>
      </c>
      <c r="I303" s="411">
        <f t="shared" si="441"/>
        <v>664000</v>
      </c>
      <c r="J303" s="411">
        <f t="shared" si="441"/>
        <v>694000</v>
      </c>
      <c r="K303" s="411">
        <f t="shared" si="441"/>
        <v>725000</v>
      </c>
      <c r="L303" s="411">
        <f t="shared" si="441"/>
        <v>758000</v>
      </c>
      <c r="M303" s="411">
        <f t="shared" si="441"/>
        <v>792000</v>
      </c>
      <c r="N303" s="411">
        <f t="shared" si="441"/>
        <v>828000</v>
      </c>
      <c r="O303" s="411">
        <f t="shared" si="441"/>
        <v>865000</v>
      </c>
      <c r="P303" s="411">
        <f t="shared" si="441"/>
        <v>904000</v>
      </c>
      <c r="Q303" s="411">
        <f t="shared" si="441"/>
        <v>945000</v>
      </c>
      <c r="R303" s="411">
        <f t="shared" si="441"/>
        <v>988000</v>
      </c>
      <c r="S303" s="411">
        <f t="shared" si="441"/>
        <v>1032000</v>
      </c>
      <c r="T303" s="411">
        <f t="shared" si="441"/>
        <v>1078000</v>
      </c>
      <c r="U303" s="411">
        <f t="shared" si="441"/>
        <v>1127000</v>
      </c>
      <c r="V303" s="411">
        <f t="shared" si="441"/>
        <v>1178000</v>
      </c>
      <c r="W303" s="411">
        <f t="shared" si="441"/>
        <v>1231000</v>
      </c>
      <c r="X303" s="411">
        <f t="shared" si="441"/>
        <v>1286000</v>
      </c>
      <c r="Y303" s="411">
        <f t="shared" si="441"/>
        <v>1344000</v>
      </c>
      <c r="Z303" s="411">
        <f t="shared" si="441"/>
        <v>1404000</v>
      </c>
      <c r="AA303" s="411">
        <f t="shared" si="441"/>
        <v>1467000</v>
      </c>
      <c r="AB303" s="411">
        <f t="shared" si="441"/>
        <v>1533000</v>
      </c>
      <c r="AC303" s="411">
        <f t="shared" si="441"/>
        <v>1602000</v>
      </c>
      <c r="AD303" s="411">
        <f t="shared" si="441"/>
        <v>1674000</v>
      </c>
      <c r="AE303" s="411">
        <f t="shared" si="441"/>
        <v>1749000</v>
      </c>
      <c r="AF303" s="411">
        <f t="shared" si="441"/>
        <v>1828000</v>
      </c>
      <c r="AG303" s="411">
        <f t="shared" si="441"/>
        <v>1910000</v>
      </c>
      <c r="AH303" s="419">
        <f t="shared" ref="AH303:AK303" si="442">AH292</f>
        <v>4.4999999999999998E-2</v>
      </c>
      <c r="AI303" s="419">
        <f t="shared" si="442"/>
        <v>4.4999999999999998E-2</v>
      </c>
      <c r="AJ303" s="419">
        <f t="shared" si="442"/>
        <v>4.4999999999999998E-2</v>
      </c>
      <c r="AK303" s="419">
        <f t="shared" si="442"/>
        <v>4.4999999999999998E-2</v>
      </c>
      <c r="AL303" s="476">
        <v>60000</v>
      </c>
    </row>
    <row r="304" spans="1:38">
      <c r="A304" s="408" t="s">
        <v>82</v>
      </c>
      <c r="B304" s="408"/>
      <c r="C304" s="333">
        <f t="shared" si="432"/>
        <v>560000</v>
      </c>
      <c r="D304" s="411">
        <f t="shared" ref="D304:AG304" si="443">ROUND((C304*(1+$AH304))/1000,0)*1000</f>
        <v>585000</v>
      </c>
      <c r="E304" s="411">
        <f t="shared" si="443"/>
        <v>611000</v>
      </c>
      <c r="F304" s="411">
        <f t="shared" si="443"/>
        <v>638000</v>
      </c>
      <c r="G304" s="411">
        <f t="shared" si="443"/>
        <v>667000</v>
      </c>
      <c r="H304" s="411">
        <f t="shared" si="443"/>
        <v>697000</v>
      </c>
      <c r="I304" s="411">
        <f t="shared" si="443"/>
        <v>728000</v>
      </c>
      <c r="J304" s="411">
        <f t="shared" si="443"/>
        <v>761000</v>
      </c>
      <c r="K304" s="411">
        <f t="shared" si="443"/>
        <v>795000</v>
      </c>
      <c r="L304" s="411">
        <f t="shared" si="443"/>
        <v>831000</v>
      </c>
      <c r="M304" s="411">
        <f t="shared" si="443"/>
        <v>868000</v>
      </c>
      <c r="N304" s="411">
        <f t="shared" si="443"/>
        <v>907000</v>
      </c>
      <c r="O304" s="411">
        <f t="shared" si="443"/>
        <v>948000</v>
      </c>
      <c r="P304" s="411">
        <f t="shared" si="443"/>
        <v>991000</v>
      </c>
      <c r="Q304" s="411">
        <f t="shared" si="443"/>
        <v>1036000</v>
      </c>
      <c r="R304" s="411">
        <f t="shared" si="443"/>
        <v>1083000</v>
      </c>
      <c r="S304" s="411">
        <f t="shared" si="443"/>
        <v>1132000</v>
      </c>
      <c r="T304" s="411">
        <f t="shared" si="443"/>
        <v>1183000</v>
      </c>
      <c r="U304" s="411">
        <f t="shared" si="443"/>
        <v>1236000</v>
      </c>
      <c r="V304" s="411">
        <f t="shared" si="443"/>
        <v>1292000</v>
      </c>
      <c r="W304" s="411">
        <f t="shared" si="443"/>
        <v>1350000</v>
      </c>
      <c r="X304" s="411">
        <f t="shared" si="443"/>
        <v>1411000</v>
      </c>
      <c r="Y304" s="411">
        <f t="shared" si="443"/>
        <v>1474000</v>
      </c>
      <c r="Z304" s="411">
        <f t="shared" si="443"/>
        <v>1540000</v>
      </c>
      <c r="AA304" s="411">
        <f t="shared" si="443"/>
        <v>1609000</v>
      </c>
      <c r="AB304" s="411">
        <f t="shared" si="443"/>
        <v>1681000</v>
      </c>
      <c r="AC304" s="411">
        <f t="shared" si="443"/>
        <v>1757000</v>
      </c>
      <c r="AD304" s="411">
        <f t="shared" si="443"/>
        <v>1836000</v>
      </c>
      <c r="AE304" s="411">
        <f t="shared" si="443"/>
        <v>1919000</v>
      </c>
      <c r="AF304" s="411">
        <f t="shared" si="443"/>
        <v>2005000</v>
      </c>
      <c r="AG304" s="411">
        <f t="shared" si="443"/>
        <v>2095000</v>
      </c>
      <c r="AH304" s="419">
        <f t="shared" ref="AH304:AK304" si="444">AH293</f>
        <v>4.4999999999999998E-2</v>
      </c>
      <c r="AI304" s="419">
        <f t="shared" si="444"/>
        <v>4.4999999999999998E-2</v>
      </c>
      <c r="AJ304" s="419">
        <f t="shared" si="444"/>
        <v>4.4999999999999998E-2</v>
      </c>
      <c r="AK304" s="419">
        <f t="shared" si="444"/>
        <v>4.4999999999999998E-2</v>
      </c>
      <c r="AL304" s="476">
        <v>60000</v>
      </c>
    </row>
    <row r="305" spans="1:38">
      <c r="A305" s="408" t="s">
        <v>37</v>
      </c>
      <c r="B305" s="408"/>
      <c r="C305" s="333">
        <f t="shared" si="432"/>
        <v>660000</v>
      </c>
      <c r="D305" s="411">
        <f t="shared" ref="D305:AG305" si="445">ROUND((C305*(1+$AH305))/1000,0)*1000</f>
        <v>690000</v>
      </c>
      <c r="E305" s="411">
        <f t="shared" si="445"/>
        <v>721000</v>
      </c>
      <c r="F305" s="411">
        <f t="shared" si="445"/>
        <v>753000</v>
      </c>
      <c r="G305" s="411">
        <f t="shared" si="445"/>
        <v>787000</v>
      </c>
      <c r="H305" s="411">
        <f t="shared" si="445"/>
        <v>822000</v>
      </c>
      <c r="I305" s="411">
        <f t="shared" si="445"/>
        <v>859000</v>
      </c>
      <c r="J305" s="411">
        <f t="shared" si="445"/>
        <v>898000</v>
      </c>
      <c r="K305" s="411">
        <f t="shared" si="445"/>
        <v>938000</v>
      </c>
      <c r="L305" s="411">
        <f t="shared" si="445"/>
        <v>980000</v>
      </c>
      <c r="M305" s="411">
        <f t="shared" si="445"/>
        <v>1024000</v>
      </c>
      <c r="N305" s="411">
        <f t="shared" si="445"/>
        <v>1070000</v>
      </c>
      <c r="O305" s="411">
        <f t="shared" si="445"/>
        <v>1118000</v>
      </c>
      <c r="P305" s="411">
        <f t="shared" si="445"/>
        <v>1168000</v>
      </c>
      <c r="Q305" s="411">
        <f t="shared" si="445"/>
        <v>1221000</v>
      </c>
      <c r="R305" s="411">
        <f t="shared" si="445"/>
        <v>1276000</v>
      </c>
      <c r="S305" s="411">
        <f t="shared" si="445"/>
        <v>1333000</v>
      </c>
      <c r="T305" s="411">
        <f t="shared" si="445"/>
        <v>1393000</v>
      </c>
      <c r="U305" s="411">
        <f t="shared" si="445"/>
        <v>1456000</v>
      </c>
      <c r="V305" s="411">
        <f t="shared" si="445"/>
        <v>1522000</v>
      </c>
      <c r="W305" s="411">
        <f t="shared" si="445"/>
        <v>1590000</v>
      </c>
      <c r="X305" s="411">
        <f t="shared" si="445"/>
        <v>1662000</v>
      </c>
      <c r="Y305" s="411">
        <f t="shared" si="445"/>
        <v>1737000</v>
      </c>
      <c r="Z305" s="411">
        <f t="shared" si="445"/>
        <v>1815000</v>
      </c>
      <c r="AA305" s="411">
        <f t="shared" si="445"/>
        <v>1897000</v>
      </c>
      <c r="AB305" s="411">
        <f t="shared" si="445"/>
        <v>1982000</v>
      </c>
      <c r="AC305" s="411">
        <f t="shared" si="445"/>
        <v>2071000</v>
      </c>
      <c r="AD305" s="411">
        <f t="shared" si="445"/>
        <v>2164000</v>
      </c>
      <c r="AE305" s="411">
        <f t="shared" si="445"/>
        <v>2261000</v>
      </c>
      <c r="AF305" s="411">
        <f t="shared" si="445"/>
        <v>2363000</v>
      </c>
      <c r="AG305" s="411">
        <f t="shared" si="445"/>
        <v>2469000</v>
      </c>
      <c r="AH305" s="419">
        <f t="shared" ref="AH305:AK305" si="446">AH294</f>
        <v>4.4999999999999998E-2</v>
      </c>
      <c r="AI305" s="419">
        <f t="shared" si="446"/>
        <v>4.4999999999999998E-2</v>
      </c>
      <c r="AJ305" s="419">
        <f t="shared" si="446"/>
        <v>4.4999999999999998E-2</v>
      </c>
      <c r="AK305" s="419">
        <f t="shared" si="446"/>
        <v>4.4999999999999998E-2</v>
      </c>
      <c r="AL305" s="476">
        <v>60000</v>
      </c>
    </row>
    <row r="306" spans="1:38">
      <c r="A306" s="408" t="s">
        <v>28</v>
      </c>
      <c r="B306" s="408"/>
      <c r="C306" s="333">
        <f t="shared" si="432"/>
        <v>660000</v>
      </c>
      <c r="D306" s="411">
        <f t="shared" ref="D306:AG306" si="447">ROUND((C306*(1+$AH306))/1000,0)*1000</f>
        <v>690000</v>
      </c>
      <c r="E306" s="411">
        <f t="shared" si="447"/>
        <v>721000</v>
      </c>
      <c r="F306" s="411">
        <f t="shared" si="447"/>
        <v>753000</v>
      </c>
      <c r="G306" s="411">
        <f t="shared" si="447"/>
        <v>787000</v>
      </c>
      <c r="H306" s="411">
        <f t="shared" si="447"/>
        <v>822000</v>
      </c>
      <c r="I306" s="411">
        <f t="shared" si="447"/>
        <v>859000</v>
      </c>
      <c r="J306" s="411">
        <f t="shared" si="447"/>
        <v>898000</v>
      </c>
      <c r="K306" s="411">
        <f t="shared" si="447"/>
        <v>938000</v>
      </c>
      <c r="L306" s="411">
        <f t="shared" si="447"/>
        <v>980000</v>
      </c>
      <c r="M306" s="411">
        <f t="shared" si="447"/>
        <v>1024000</v>
      </c>
      <c r="N306" s="411">
        <f t="shared" si="447"/>
        <v>1070000</v>
      </c>
      <c r="O306" s="411">
        <f t="shared" si="447"/>
        <v>1118000</v>
      </c>
      <c r="P306" s="411">
        <f t="shared" si="447"/>
        <v>1168000</v>
      </c>
      <c r="Q306" s="411">
        <f t="shared" si="447"/>
        <v>1221000</v>
      </c>
      <c r="R306" s="411">
        <f t="shared" si="447"/>
        <v>1276000</v>
      </c>
      <c r="S306" s="411">
        <f t="shared" si="447"/>
        <v>1333000</v>
      </c>
      <c r="T306" s="411">
        <f t="shared" si="447"/>
        <v>1393000</v>
      </c>
      <c r="U306" s="411">
        <f t="shared" si="447"/>
        <v>1456000</v>
      </c>
      <c r="V306" s="411">
        <f t="shared" si="447"/>
        <v>1522000</v>
      </c>
      <c r="W306" s="411">
        <f t="shared" si="447"/>
        <v>1590000</v>
      </c>
      <c r="X306" s="411">
        <f t="shared" si="447"/>
        <v>1662000</v>
      </c>
      <c r="Y306" s="411">
        <f t="shared" si="447"/>
        <v>1737000</v>
      </c>
      <c r="Z306" s="411">
        <f t="shared" si="447"/>
        <v>1815000</v>
      </c>
      <c r="AA306" s="411">
        <f t="shared" si="447"/>
        <v>1897000</v>
      </c>
      <c r="AB306" s="411">
        <f t="shared" si="447"/>
        <v>1982000</v>
      </c>
      <c r="AC306" s="411">
        <f t="shared" si="447"/>
        <v>2071000</v>
      </c>
      <c r="AD306" s="411">
        <f t="shared" si="447"/>
        <v>2164000</v>
      </c>
      <c r="AE306" s="411">
        <f t="shared" si="447"/>
        <v>2261000</v>
      </c>
      <c r="AF306" s="411">
        <f t="shared" si="447"/>
        <v>2363000</v>
      </c>
      <c r="AG306" s="411">
        <f t="shared" si="447"/>
        <v>2469000</v>
      </c>
      <c r="AH306" s="419">
        <f t="shared" ref="AH306:AK306" si="448">AH295</f>
        <v>4.4999999999999998E-2</v>
      </c>
      <c r="AI306" s="419">
        <f t="shared" si="448"/>
        <v>4.4999999999999998E-2</v>
      </c>
      <c r="AJ306" s="419">
        <f t="shared" si="448"/>
        <v>4.4999999999999998E-2</v>
      </c>
      <c r="AK306" s="419">
        <f t="shared" si="448"/>
        <v>4.4999999999999998E-2</v>
      </c>
      <c r="AL306" s="476">
        <v>60000</v>
      </c>
    </row>
    <row r="307" spans="1:38">
      <c r="A307" s="408"/>
      <c r="B307" s="408"/>
      <c r="C307" s="323"/>
      <c r="D307" s="323"/>
      <c r="E307" s="323"/>
      <c r="F307" s="323"/>
      <c r="G307" s="323"/>
      <c r="H307" s="323"/>
      <c r="I307" s="323"/>
      <c r="J307" s="323"/>
      <c r="K307" s="323"/>
      <c r="L307" s="323"/>
      <c r="M307" s="323"/>
      <c r="N307" s="323"/>
      <c r="O307" s="323"/>
      <c r="P307" s="323"/>
      <c r="Q307" s="323"/>
      <c r="R307" s="323"/>
      <c r="S307" s="323"/>
      <c r="T307" s="323"/>
      <c r="U307" s="323"/>
      <c r="V307" s="323"/>
      <c r="W307" s="323"/>
      <c r="X307" s="323"/>
      <c r="Y307" s="323"/>
      <c r="Z307" s="323"/>
      <c r="AA307" s="323"/>
      <c r="AB307" s="323"/>
      <c r="AC307" s="323"/>
      <c r="AD307" s="323"/>
      <c r="AE307" s="323"/>
      <c r="AF307" s="323"/>
      <c r="AG307" s="323"/>
      <c r="AH307" s="409"/>
      <c r="AI307" s="409"/>
      <c r="AJ307" s="409"/>
      <c r="AK307" s="409"/>
      <c r="AL307" s="148"/>
    </row>
  </sheetData>
  <mergeCells count="56">
    <mergeCell ref="AH3:AK3"/>
    <mergeCell ref="H7:H8"/>
    <mergeCell ref="AM16:AM17"/>
    <mergeCell ref="A248:B248"/>
    <mergeCell ref="A264:B264"/>
    <mergeCell ref="C7:C8"/>
    <mergeCell ref="D7:D8"/>
    <mergeCell ref="E7:E8"/>
    <mergeCell ref="F7:F8"/>
    <mergeCell ref="G7:G8"/>
    <mergeCell ref="I7:I8"/>
    <mergeCell ref="J7:J8"/>
    <mergeCell ref="K7:K8"/>
    <mergeCell ref="L7:L8"/>
    <mergeCell ref="M7:M8"/>
    <mergeCell ref="N7:N8"/>
    <mergeCell ref="A275:B275"/>
    <mergeCell ref="A80:B80"/>
    <mergeCell ref="A36:B36"/>
    <mergeCell ref="A25:B25"/>
    <mergeCell ref="AM265:AM273"/>
    <mergeCell ref="AM117:AM125"/>
    <mergeCell ref="AM142:AM150"/>
    <mergeCell ref="AM81:AM89"/>
    <mergeCell ref="AM92:AM100"/>
    <mergeCell ref="AM105:AM113"/>
    <mergeCell ref="AM103:AM104"/>
    <mergeCell ref="AM129:AM137"/>
    <mergeCell ref="A2:B2"/>
    <mergeCell ref="A200:B200"/>
    <mergeCell ref="A232:B232"/>
    <mergeCell ref="A184:B184"/>
    <mergeCell ref="A168:B168"/>
    <mergeCell ref="A152:B152"/>
    <mergeCell ref="A216:B216"/>
    <mergeCell ref="A7:A8"/>
    <mergeCell ref="B7:B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E7:AE8"/>
    <mergeCell ref="AF7:AF8"/>
    <mergeCell ref="AG7:AG8"/>
    <mergeCell ref="Z7:Z8"/>
    <mergeCell ref="AA7:AA8"/>
    <mergeCell ref="AB7:AB8"/>
    <mergeCell ref="AC7:AC8"/>
    <mergeCell ref="AD7:AD8"/>
  </mergeCells>
  <phoneticPr fontId="13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C1B0-694B-48FD-803A-E8249FC8B081}">
  <dimension ref="A2:CK86"/>
  <sheetViews>
    <sheetView topLeftCell="A10" zoomScale="90" zoomScaleNormal="90" workbookViewId="0">
      <pane xSplit="3" topLeftCell="D1" activePane="topRight" state="frozen"/>
      <selection activeCell="C97" sqref="C97:AG97"/>
      <selection pane="topRight" activeCell="S5" sqref="S5"/>
    </sheetView>
  </sheetViews>
  <sheetFormatPr defaultColWidth="8.88671875" defaultRowHeight="15.6"/>
  <cols>
    <col min="1" max="1" width="8.88671875" style="57"/>
    <col min="2" max="2" width="23.77734375" style="461" customWidth="1"/>
    <col min="3" max="3" width="14.6640625" style="461" customWidth="1"/>
    <col min="4" max="10" width="9.6640625" style="461" customWidth="1"/>
    <col min="11" max="11" width="9.6640625" style="72" customWidth="1"/>
    <col min="12" max="30" width="9.6640625" style="57" customWidth="1"/>
    <col min="31" max="42" width="9.109375" style="57" customWidth="1"/>
    <col min="43" max="43" width="11.109375" style="57" customWidth="1"/>
    <col min="44" max="44" width="9.5546875" style="57" bestFit="1" customWidth="1"/>
    <col min="45" max="49" width="9.5546875" style="57" customWidth="1"/>
    <col min="50" max="52" width="9.5546875" style="57" bestFit="1" customWidth="1"/>
    <col min="53" max="53" width="1.77734375" style="57" customWidth="1"/>
    <col min="54" max="54" width="12.109375" style="458" customWidth="1"/>
    <col min="55" max="56" width="12.21875" style="458" customWidth="1"/>
    <col min="57" max="57" width="11.6640625" style="458" customWidth="1"/>
    <col min="58" max="61" width="8.88671875" style="458"/>
    <col min="62" max="62" width="10.109375" style="458" customWidth="1"/>
    <col min="63" max="63" width="11.21875" style="458" customWidth="1"/>
    <col min="64" max="65" width="8.88671875" style="458"/>
    <col min="66" max="66" width="10.77734375" style="458" customWidth="1"/>
    <col min="67" max="67" width="10.109375" style="458" customWidth="1"/>
    <col min="68" max="68" width="8.88671875" style="458"/>
    <col min="69" max="69" width="17.109375" style="458" customWidth="1"/>
    <col min="70" max="72" width="8.77734375" style="458"/>
    <col min="73" max="73" width="10.33203125" style="458" customWidth="1"/>
    <col min="74" max="74" width="11.6640625" style="458" customWidth="1"/>
    <col min="75" max="75" width="12.109375" style="458" customWidth="1"/>
    <col min="76" max="76" width="11.77734375" style="458" customWidth="1"/>
    <col min="77" max="77" width="8.77734375" style="458"/>
    <col min="78" max="78" width="13.109375" style="458" customWidth="1"/>
    <col min="79" max="79" width="9.77734375" style="458" customWidth="1"/>
    <col min="80" max="80" width="21.21875" style="458" customWidth="1"/>
    <col min="81" max="82" width="8.77734375" style="458" customWidth="1"/>
    <col min="83" max="83" width="8.88671875" style="458" customWidth="1"/>
    <col min="84" max="85" width="8.77734375" style="458" customWidth="1"/>
    <col min="86" max="86" width="13.109375" style="458" customWidth="1"/>
    <col min="87" max="87" width="10.6640625" style="458" customWidth="1"/>
    <col min="88" max="88" width="12.6640625" style="458" customWidth="1"/>
    <col min="89" max="89" width="8.77734375" style="57" customWidth="1"/>
    <col min="90" max="90" width="18" style="57" customWidth="1"/>
    <col min="91" max="91" width="8.77734375" style="57" customWidth="1"/>
    <col min="92" max="16384" width="8.88671875" style="57"/>
  </cols>
  <sheetData>
    <row r="2" spans="1:88" s="394" customFormat="1">
      <c r="A2" s="922" t="s">
        <v>156</v>
      </c>
      <c r="B2" s="913" t="s">
        <v>3</v>
      </c>
      <c r="C2" s="913" t="s">
        <v>157</v>
      </c>
      <c r="D2" s="913" t="s">
        <v>158</v>
      </c>
      <c r="E2" s="913" t="s">
        <v>159</v>
      </c>
      <c r="F2" s="913" t="s">
        <v>160</v>
      </c>
      <c r="G2" s="913" t="s">
        <v>161</v>
      </c>
      <c r="H2" s="913" t="s">
        <v>162</v>
      </c>
      <c r="I2" s="913" t="s">
        <v>163</v>
      </c>
      <c r="J2" s="913" t="s">
        <v>164</v>
      </c>
      <c r="K2" s="915" t="s">
        <v>165</v>
      </c>
      <c r="L2" s="915"/>
      <c r="M2" s="915"/>
      <c r="N2" s="915"/>
      <c r="O2" s="915"/>
      <c r="P2" s="915"/>
      <c r="Q2" s="915"/>
      <c r="R2" s="915"/>
      <c r="S2" s="915" t="s">
        <v>166</v>
      </c>
      <c r="T2" s="915"/>
      <c r="U2" s="915"/>
      <c r="V2" s="915"/>
      <c r="W2" s="915"/>
      <c r="X2" s="915"/>
      <c r="Y2" s="915" t="s">
        <v>167</v>
      </c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5"/>
      <c r="AN2" s="915"/>
      <c r="AO2" s="915"/>
      <c r="AP2" s="915"/>
      <c r="AQ2" s="919" t="s">
        <v>168</v>
      </c>
      <c r="AR2" s="920" t="s">
        <v>169</v>
      </c>
      <c r="AS2" s="920" t="s">
        <v>794</v>
      </c>
      <c r="AT2" s="916" t="s">
        <v>678</v>
      </c>
      <c r="AU2" s="917"/>
      <c r="AV2" s="917"/>
      <c r="AW2" s="918"/>
      <c r="AX2" s="916" t="s">
        <v>170</v>
      </c>
      <c r="AY2" s="917"/>
      <c r="AZ2" s="918"/>
      <c r="BA2" s="532"/>
      <c r="BB2" s="914" t="s">
        <v>646</v>
      </c>
      <c r="BC2" s="914"/>
      <c r="BD2" s="914"/>
      <c r="BE2" s="914"/>
      <c r="BF2" s="914"/>
      <c r="BG2" s="914"/>
      <c r="BH2" s="914"/>
      <c r="BI2" s="914"/>
      <c r="BJ2" s="914"/>
      <c r="BK2" s="914"/>
      <c r="BL2" s="914"/>
      <c r="BM2" s="914"/>
      <c r="BN2" s="914"/>
      <c r="BO2" s="914"/>
      <c r="BP2" s="914"/>
      <c r="BQ2" s="914"/>
      <c r="BR2" s="914"/>
      <c r="BS2" s="914"/>
      <c r="BT2" s="914"/>
      <c r="BU2" s="914"/>
      <c r="BV2" s="914"/>
      <c r="BW2" s="914"/>
      <c r="BX2" s="914"/>
      <c r="BY2" s="914"/>
      <c r="BZ2" s="914"/>
      <c r="CA2" s="914"/>
      <c r="CB2" s="914"/>
      <c r="CC2" s="914"/>
      <c r="CD2" s="914"/>
      <c r="CE2" s="914"/>
      <c r="CF2" s="914"/>
      <c r="CG2" s="914"/>
      <c r="CH2" s="914"/>
      <c r="CI2" s="914"/>
      <c r="CJ2" s="914"/>
    </row>
    <row r="3" spans="1:88" s="541" customFormat="1" ht="93.6">
      <c r="A3" s="922"/>
      <c r="B3" s="913"/>
      <c r="C3" s="913"/>
      <c r="D3" s="913"/>
      <c r="E3" s="913"/>
      <c r="F3" s="913"/>
      <c r="G3" s="913"/>
      <c r="H3" s="913"/>
      <c r="I3" s="913"/>
      <c r="J3" s="913"/>
      <c r="K3" s="530" t="s">
        <v>171</v>
      </c>
      <c r="L3" s="530" t="s">
        <v>172</v>
      </c>
      <c r="M3" s="530" t="s">
        <v>173</v>
      </c>
      <c r="N3" s="530" t="s">
        <v>174</v>
      </c>
      <c r="O3" s="530" t="s">
        <v>175</v>
      </c>
      <c r="P3" s="530" t="s">
        <v>176</v>
      </c>
      <c r="Q3" s="530" t="s">
        <v>665</v>
      </c>
      <c r="R3" s="530" t="s">
        <v>177</v>
      </c>
      <c r="S3" s="530" t="s">
        <v>178</v>
      </c>
      <c r="T3" s="530" t="s">
        <v>179</v>
      </c>
      <c r="U3" s="530" t="s">
        <v>180</v>
      </c>
      <c r="V3" s="530" t="s">
        <v>181</v>
      </c>
      <c r="W3" s="530" t="s">
        <v>182</v>
      </c>
      <c r="X3" s="530" t="s">
        <v>183</v>
      </c>
      <c r="Y3" s="913" t="s">
        <v>184</v>
      </c>
      <c r="Z3" s="913"/>
      <c r="AA3" s="913"/>
      <c r="AB3" s="913" t="s">
        <v>185</v>
      </c>
      <c r="AC3" s="913"/>
      <c r="AD3" s="913"/>
      <c r="AE3" s="913" t="s">
        <v>186</v>
      </c>
      <c r="AF3" s="913"/>
      <c r="AG3" s="913"/>
      <c r="AH3" s="913" t="s">
        <v>187</v>
      </c>
      <c r="AI3" s="913"/>
      <c r="AJ3" s="913"/>
      <c r="AK3" s="913" t="s">
        <v>188</v>
      </c>
      <c r="AL3" s="913"/>
      <c r="AM3" s="913"/>
      <c r="AN3" s="913" t="s">
        <v>189</v>
      </c>
      <c r="AO3" s="913"/>
      <c r="AP3" s="913"/>
      <c r="AQ3" s="919"/>
      <c r="AR3" s="921"/>
      <c r="AS3" s="921"/>
      <c r="AT3" s="533" t="s">
        <v>702</v>
      </c>
      <c r="AU3" s="533" t="s">
        <v>703</v>
      </c>
      <c r="AV3" s="533" t="s">
        <v>689</v>
      </c>
      <c r="AW3" s="533" t="s">
        <v>690</v>
      </c>
      <c r="AX3" s="533" t="s">
        <v>190</v>
      </c>
      <c r="AY3" s="533" t="s">
        <v>182</v>
      </c>
      <c r="AZ3" s="533" t="s">
        <v>183</v>
      </c>
      <c r="BA3" s="534"/>
      <c r="BB3" s="530" t="s">
        <v>647</v>
      </c>
      <c r="BC3" s="535" t="s">
        <v>718</v>
      </c>
      <c r="BD3" s="536" t="s">
        <v>717</v>
      </c>
      <c r="BE3" s="535" t="s">
        <v>648</v>
      </c>
      <c r="BF3" s="530" t="s">
        <v>649</v>
      </c>
      <c r="BG3" s="530" t="s">
        <v>650</v>
      </c>
      <c r="BH3" s="530" t="s">
        <v>651</v>
      </c>
      <c r="BI3" s="530" t="s">
        <v>652</v>
      </c>
      <c r="BJ3" s="530" t="s">
        <v>653</v>
      </c>
      <c r="BK3" s="530" t="s">
        <v>654</v>
      </c>
      <c r="BL3" s="535" t="s">
        <v>655</v>
      </c>
      <c r="BM3" s="537" t="s">
        <v>656</v>
      </c>
      <c r="BN3" s="538" t="s">
        <v>657</v>
      </c>
      <c r="BO3" s="537" t="s">
        <v>867</v>
      </c>
      <c r="BP3" s="539" t="s">
        <v>161</v>
      </c>
      <c r="BQ3" s="536" t="s">
        <v>853</v>
      </c>
      <c r="BR3" s="536" t="s">
        <v>716</v>
      </c>
      <c r="BS3" s="631" t="s">
        <v>862</v>
      </c>
      <c r="BT3" s="536" t="s">
        <v>854</v>
      </c>
      <c r="BU3" s="536" t="s">
        <v>855</v>
      </c>
      <c r="BV3" s="536" t="s">
        <v>856</v>
      </c>
      <c r="BW3" s="536" t="s">
        <v>857</v>
      </c>
      <c r="BX3" s="536" t="s">
        <v>858</v>
      </c>
      <c r="BY3" s="554" t="s">
        <v>859</v>
      </c>
      <c r="BZ3" s="540" t="s">
        <v>658</v>
      </c>
      <c r="CA3" s="539" t="s">
        <v>163</v>
      </c>
      <c r="CB3" s="536" t="s">
        <v>866</v>
      </c>
      <c r="CC3" s="539" t="s">
        <v>266</v>
      </c>
      <c r="CD3" s="539" t="s">
        <v>659</v>
      </c>
      <c r="CE3" s="539" t="s">
        <v>864</v>
      </c>
      <c r="CF3" s="539" t="s">
        <v>209</v>
      </c>
      <c r="CG3" s="535" t="s">
        <v>660</v>
      </c>
      <c r="CH3" s="536" t="s">
        <v>858</v>
      </c>
      <c r="CI3" s="536" t="s">
        <v>661</v>
      </c>
      <c r="CJ3" s="540" t="s">
        <v>662</v>
      </c>
    </row>
    <row r="4" spans="1:88" s="629" customFormat="1">
      <c r="B4" s="542"/>
      <c r="C4" s="542"/>
      <c r="D4" s="542" t="s">
        <v>191</v>
      </c>
      <c r="E4" s="542" t="s">
        <v>192</v>
      </c>
      <c r="F4" s="542" t="s">
        <v>192</v>
      </c>
      <c r="G4" s="542" t="s">
        <v>193</v>
      </c>
      <c r="H4" s="542" t="s">
        <v>192</v>
      </c>
      <c r="I4" s="542" t="s">
        <v>193</v>
      </c>
      <c r="J4" s="542" t="s">
        <v>194</v>
      </c>
      <c r="K4" s="543" t="s">
        <v>195</v>
      </c>
      <c r="L4" s="543" t="s">
        <v>196</v>
      </c>
      <c r="M4" s="543"/>
      <c r="N4" s="543" t="s">
        <v>197</v>
      </c>
      <c r="O4" s="543" t="s">
        <v>198</v>
      </c>
      <c r="P4" s="543"/>
      <c r="Q4" s="543"/>
      <c r="R4" s="543"/>
      <c r="S4" s="543" t="s">
        <v>199</v>
      </c>
      <c r="T4" s="543" t="s">
        <v>200</v>
      </c>
      <c r="U4" s="543" t="s">
        <v>200</v>
      </c>
      <c r="V4" s="543" t="s">
        <v>200</v>
      </c>
      <c r="W4" s="543" t="s">
        <v>201</v>
      </c>
      <c r="X4" s="543" t="s">
        <v>200</v>
      </c>
      <c r="Y4" s="543" t="s">
        <v>202</v>
      </c>
      <c r="Z4" s="544" t="s">
        <v>203</v>
      </c>
      <c r="AA4" s="543" t="s">
        <v>204</v>
      </c>
      <c r="AB4" s="543" t="s">
        <v>202</v>
      </c>
      <c r="AC4" s="544" t="s">
        <v>203</v>
      </c>
      <c r="AD4" s="543" t="s">
        <v>204</v>
      </c>
      <c r="AE4" s="543" t="s">
        <v>202</v>
      </c>
      <c r="AF4" s="544" t="s">
        <v>203</v>
      </c>
      <c r="AG4" s="543" t="s">
        <v>204</v>
      </c>
      <c r="AH4" s="543" t="s">
        <v>202</v>
      </c>
      <c r="AI4" s="544" t="s">
        <v>203</v>
      </c>
      <c r="AJ4" s="543" t="s">
        <v>204</v>
      </c>
      <c r="AK4" s="545" t="s">
        <v>202</v>
      </c>
      <c r="AL4" s="546" t="s">
        <v>203</v>
      </c>
      <c r="AM4" s="545" t="s">
        <v>204</v>
      </c>
      <c r="AN4" s="543" t="s">
        <v>202</v>
      </c>
      <c r="AO4" s="544" t="s">
        <v>203</v>
      </c>
      <c r="AP4" s="543" t="s">
        <v>204</v>
      </c>
      <c r="AQ4" s="543" t="s">
        <v>205</v>
      </c>
      <c r="AR4" s="547" t="s">
        <v>206</v>
      </c>
      <c r="AS4" s="547" t="s">
        <v>206</v>
      </c>
      <c r="AT4" s="547" t="s">
        <v>206</v>
      </c>
      <c r="AU4" s="547" t="s">
        <v>206</v>
      </c>
      <c r="AV4" s="547" t="s">
        <v>206</v>
      </c>
      <c r="AW4" s="547" t="s">
        <v>206</v>
      </c>
      <c r="AX4" s="547" t="s">
        <v>206</v>
      </c>
      <c r="AY4" s="547" t="s">
        <v>206</v>
      </c>
      <c r="AZ4" s="547" t="s">
        <v>206</v>
      </c>
      <c r="BA4" s="548"/>
      <c r="BB4" s="549" t="s">
        <v>663</v>
      </c>
      <c r="BC4" s="550" t="s">
        <v>664</v>
      </c>
      <c r="BD4" s="551" t="s">
        <v>664</v>
      </c>
      <c r="BE4" s="550" t="s">
        <v>664</v>
      </c>
      <c r="BF4" s="549"/>
      <c r="BG4" s="549"/>
      <c r="BH4" s="549"/>
      <c r="BI4" s="549"/>
      <c r="BJ4" s="549"/>
      <c r="BK4" s="549"/>
      <c r="BL4" s="550" t="s">
        <v>664</v>
      </c>
      <c r="BM4" s="552" t="s">
        <v>664</v>
      </c>
      <c r="BN4" s="550" t="s">
        <v>664</v>
      </c>
      <c r="BO4" s="552" t="s">
        <v>664</v>
      </c>
      <c r="BP4" s="553" t="s">
        <v>193</v>
      </c>
      <c r="BQ4" s="551" t="s">
        <v>663</v>
      </c>
      <c r="BR4" s="551" t="s">
        <v>860</v>
      </c>
      <c r="BS4" s="632" t="s">
        <v>861</v>
      </c>
      <c r="BT4" s="551" t="s">
        <v>863</v>
      </c>
      <c r="BU4" s="551" t="s">
        <v>863</v>
      </c>
      <c r="BV4" s="551" t="s">
        <v>664</v>
      </c>
      <c r="BW4" s="551" t="s">
        <v>664</v>
      </c>
      <c r="BX4" s="551" t="s">
        <v>664</v>
      </c>
      <c r="BY4" s="633" t="s">
        <v>664</v>
      </c>
      <c r="BZ4" s="551" t="s">
        <v>664</v>
      </c>
      <c r="CA4" s="553" t="s">
        <v>193</v>
      </c>
      <c r="CB4" s="551" t="s">
        <v>664</v>
      </c>
      <c r="CC4" s="553" t="s">
        <v>194</v>
      </c>
      <c r="CD4" s="553" t="s">
        <v>663</v>
      </c>
      <c r="CE4" s="553" t="s">
        <v>860</v>
      </c>
      <c r="CF4" s="553" t="s">
        <v>865</v>
      </c>
      <c r="CG4" s="550" t="s">
        <v>664</v>
      </c>
      <c r="CH4" s="551" t="s">
        <v>664</v>
      </c>
      <c r="CI4" s="551" t="s">
        <v>664</v>
      </c>
      <c r="CJ4" s="551" t="s">
        <v>664</v>
      </c>
    </row>
    <row r="5" spans="1:88">
      <c r="A5" s="394" t="s">
        <v>7</v>
      </c>
      <c r="B5" s="555" t="s">
        <v>8</v>
      </c>
      <c r="C5" s="555" t="s">
        <v>9</v>
      </c>
      <c r="D5" s="556">
        <f>$E$38</f>
        <v>960</v>
      </c>
      <c r="E5" s="557">
        <f>D45</f>
        <v>157.5</v>
      </c>
      <c r="F5" s="557">
        <f t="shared" ref="F5:F18" si="0">$D$49</f>
        <v>28.2</v>
      </c>
      <c r="G5" s="557">
        <v>200</v>
      </c>
      <c r="H5" s="558">
        <f t="shared" ref="H5" si="1">F5</f>
        <v>28.2</v>
      </c>
      <c r="I5" s="559">
        <v>70</v>
      </c>
      <c r="J5" s="559">
        <v>80</v>
      </c>
      <c r="K5" s="560">
        <v>360</v>
      </c>
      <c r="L5" s="561">
        <v>300</v>
      </c>
      <c r="M5" s="562">
        <f t="shared" ref="M5" si="2">K5*L5/12</f>
        <v>9000</v>
      </c>
      <c r="N5" s="561">
        <v>16</v>
      </c>
      <c r="O5" s="563">
        <v>1</v>
      </c>
      <c r="P5" s="564">
        <v>40</v>
      </c>
      <c r="Q5" s="565">
        <f t="shared" ref="Q5" si="3">K5/P5</f>
        <v>9</v>
      </c>
      <c r="R5" s="566">
        <v>7</v>
      </c>
      <c r="S5" s="567">
        <v>5.2</v>
      </c>
      <c r="T5" s="567">
        <v>5.4</v>
      </c>
      <c r="U5" s="568">
        <f t="shared" ref="U5" si="4">(S5+T5)/2</f>
        <v>5.3000000000000007</v>
      </c>
      <c r="V5" s="568">
        <f t="shared" ref="V5:V17" si="5">S5*3</f>
        <v>15.600000000000001</v>
      </c>
      <c r="W5" s="567">
        <v>0.95</v>
      </c>
      <c r="X5" s="568">
        <f t="shared" ref="X5" si="6">S5*4</f>
        <v>20.8</v>
      </c>
      <c r="Y5" s="569">
        <v>0.55000000000000004</v>
      </c>
      <c r="Z5" s="570">
        <f t="shared" ref="Z5" si="7">Y5-10%</f>
        <v>0.45000000000000007</v>
      </c>
      <c r="AA5" s="570">
        <f t="shared" ref="AA5" si="8">Y5-20%</f>
        <v>0.35000000000000003</v>
      </c>
      <c r="AB5" s="570">
        <f t="shared" ref="AB5" si="9">Y5-5%</f>
        <v>0.5</v>
      </c>
      <c r="AC5" s="570">
        <f t="shared" ref="AC5" si="10">Z5-5%</f>
        <v>0.40000000000000008</v>
      </c>
      <c r="AD5" s="570">
        <f t="shared" ref="AD5" si="11">AA5-5%</f>
        <v>0.30000000000000004</v>
      </c>
      <c r="AE5" s="570">
        <f t="shared" ref="AE5" si="12">Y5-5%</f>
        <v>0.5</v>
      </c>
      <c r="AF5" s="570">
        <f t="shared" ref="AF5" si="13">Z5-5%</f>
        <v>0.40000000000000008</v>
      </c>
      <c r="AG5" s="570">
        <f t="shared" ref="AG5" si="14">AA5-5%</f>
        <v>0.30000000000000004</v>
      </c>
      <c r="AH5" s="570">
        <f>Y5-30%</f>
        <v>0.25000000000000006</v>
      </c>
      <c r="AI5" s="570">
        <f>Z5-10%</f>
        <v>0.35000000000000009</v>
      </c>
      <c r="AJ5" s="570">
        <f>AA5+5%</f>
        <v>0.4</v>
      </c>
      <c r="AK5" s="570">
        <f t="shared" ref="AK5:AK10" si="15">Y5-35%</f>
        <v>0.20000000000000007</v>
      </c>
      <c r="AL5" s="570">
        <f>Z5-15%</f>
        <v>0.30000000000000004</v>
      </c>
      <c r="AM5" s="570">
        <f>AA5+5%</f>
        <v>0.4</v>
      </c>
      <c r="AN5" s="570">
        <f>Y5-45%</f>
        <v>0.10000000000000003</v>
      </c>
      <c r="AO5" s="570">
        <f>Z5-25%</f>
        <v>0.20000000000000007</v>
      </c>
      <c r="AP5" s="570">
        <f>AA5-5%</f>
        <v>0.30000000000000004</v>
      </c>
      <c r="AQ5" s="571">
        <f t="shared" ref="AQ5:AQ18" si="16">K5*L5</f>
        <v>108000</v>
      </c>
      <c r="AR5" s="572">
        <v>18500</v>
      </c>
      <c r="AS5" s="572">
        <v>8000</v>
      </c>
      <c r="AT5" s="572"/>
      <c r="AU5" s="572"/>
      <c r="AV5" s="547">
        <f>AR5+AT5</f>
        <v>18500</v>
      </c>
      <c r="AW5" s="547">
        <f>AR5+AU5</f>
        <v>18500</v>
      </c>
      <c r="AX5" s="547">
        <f t="shared" ref="AX5:AX18" si="17">AR5-AS5</f>
        <v>10500</v>
      </c>
      <c r="AY5" s="547">
        <f>ROUND((AX5-(D$24*G5))/100,0)*100+AT5</f>
        <v>8900</v>
      </c>
      <c r="AZ5" s="547">
        <f>ROUND((AX5-(D$24*I5)-(D$25*J5))/100,0)*100+AU5</f>
        <v>9600</v>
      </c>
      <c r="BA5" s="548"/>
      <c r="BB5" s="573">
        <v>0.78</v>
      </c>
      <c r="BC5" s="574">
        <f t="shared" ref="BC5:BC17" si="18">ROUND(BB5*7/6,1)</f>
        <v>0.9</v>
      </c>
      <c r="BD5" s="575">
        <f>BC5*0.8</f>
        <v>0.72000000000000008</v>
      </c>
      <c r="BE5" s="574">
        <f t="shared" ref="BE5" si="19">BC5*0.1</f>
        <v>9.0000000000000011E-2</v>
      </c>
      <c r="BF5" s="573">
        <v>2</v>
      </c>
      <c r="BG5" s="573">
        <v>4</v>
      </c>
      <c r="BH5" s="573">
        <v>28000</v>
      </c>
      <c r="BI5" s="573">
        <v>30000</v>
      </c>
      <c r="BJ5" s="573">
        <v>6000</v>
      </c>
      <c r="BK5" s="573">
        <v>120000</v>
      </c>
      <c r="BL5" s="574">
        <f t="shared" ref="BL5" si="20">((BF5*BH5+BG5*BI5)+BJ5*(BF5+BG5))/BK5</f>
        <v>1.7666666666666666</v>
      </c>
      <c r="BM5" s="576">
        <f t="shared" ref="BM5:BM17" si="21">ROUND((BL5+BC5+BE5),1)</f>
        <v>2.8</v>
      </c>
      <c r="BN5" s="574">
        <v>0.5</v>
      </c>
      <c r="BO5" s="576">
        <f>BM5+0.5</f>
        <v>3.3</v>
      </c>
      <c r="BP5" s="577">
        <f t="shared" ref="BP5:BP18" si="22">G5</f>
        <v>200</v>
      </c>
      <c r="BQ5" s="578">
        <f>BP5*'Changing with year'!J$19</f>
        <v>1745241.6713714178</v>
      </c>
      <c r="BR5" s="578">
        <f>M5*7*12</f>
        <v>756000</v>
      </c>
      <c r="BS5" s="578">
        <f>BR5*W5</f>
        <v>718200</v>
      </c>
      <c r="BT5" s="578">
        <f>BS5/G5</f>
        <v>3591</v>
      </c>
      <c r="BU5" s="579">
        <f>MIN(BT5/$D$22,1)</f>
        <v>1</v>
      </c>
      <c r="BV5" s="579">
        <f>BQ5*BU5/BR5</f>
        <v>2.308520729327272</v>
      </c>
      <c r="BW5" s="579">
        <f>(BP5*250)/BR5</f>
        <v>6.6137566137566134E-2</v>
      </c>
      <c r="BX5" s="575">
        <v>0.8</v>
      </c>
      <c r="BY5" s="579">
        <f>BV5+BX5-BW5</f>
        <v>3.0423831631897058</v>
      </c>
      <c r="BZ5" s="579">
        <f>BY5+BC5-BD5</f>
        <v>3.2223831631897055</v>
      </c>
      <c r="CA5" s="516">
        <f t="shared" ref="CA5:CA18" si="23">I5</f>
        <v>70</v>
      </c>
      <c r="CB5" s="579">
        <f>(BV5-BW5)/BP5*CA5</f>
        <v>0.78483410711639712</v>
      </c>
      <c r="CC5" s="516">
        <f t="shared" ref="CC5:CC18" si="24">J5</f>
        <v>80</v>
      </c>
      <c r="CD5" s="516">
        <f>'Changing with year'!M71</f>
        <v>2123781.4854573933</v>
      </c>
      <c r="CE5" s="516">
        <f t="shared" ref="CE5:CE18" si="25">K5*L5</f>
        <v>108000</v>
      </c>
      <c r="CF5" s="580">
        <f>MIN($D$23/L5/Q5,10)</f>
        <v>9.2592592592592595</v>
      </c>
      <c r="CG5" s="574">
        <f t="shared" ref="CG5:CG18" si="26">ROUND((CD5/CE5/CF5),1)</f>
        <v>2.1</v>
      </c>
      <c r="CH5" s="575">
        <f t="shared" ref="CH5:CH18" si="27">BX5</f>
        <v>0.8</v>
      </c>
      <c r="CI5" s="579">
        <f>CH5+CG5+CB5</f>
        <v>3.6848341071163975</v>
      </c>
      <c r="CJ5" s="579">
        <f t="shared" ref="CJ5:CJ18" si="28">CI5+BC5-BD5</f>
        <v>3.8648341071163972</v>
      </c>
    </row>
    <row r="6" spans="1:88">
      <c r="A6" s="394" t="s">
        <v>10</v>
      </c>
      <c r="B6" s="555" t="s">
        <v>8</v>
      </c>
      <c r="C6" s="555" t="s">
        <v>11</v>
      </c>
      <c r="D6" s="556">
        <f t="shared" ref="D6:D18" si="29">$E$38</f>
        <v>960</v>
      </c>
      <c r="E6" s="557">
        <f>D45</f>
        <v>157.5</v>
      </c>
      <c r="F6" s="557">
        <f t="shared" si="0"/>
        <v>28.2</v>
      </c>
      <c r="G6" s="557">
        <v>250</v>
      </c>
      <c r="H6" s="558">
        <f>F6</f>
        <v>28.2</v>
      </c>
      <c r="I6" s="559">
        <v>70</v>
      </c>
      <c r="J6" s="559">
        <v>80</v>
      </c>
      <c r="K6" s="560">
        <v>360</v>
      </c>
      <c r="L6" s="561">
        <v>275</v>
      </c>
      <c r="M6" s="562">
        <f>K6*L6/12</f>
        <v>8250</v>
      </c>
      <c r="N6" s="561">
        <v>16</v>
      </c>
      <c r="O6" s="563">
        <v>1</v>
      </c>
      <c r="P6" s="564">
        <v>40</v>
      </c>
      <c r="Q6" s="565">
        <f t="shared" ref="Q6:Q15" si="30">K6/P6</f>
        <v>9</v>
      </c>
      <c r="R6" s="566">
        <v>7</v>
      </c>
      <c r="S6" s="567">
        <v>4.5</v>
      </c>
      <c r="T6" s="567">
        <v>4.8</v>
      </c>
      <c r="U6" s="568">
        <f>(S6+T6)/2</f>
        <v>4.6500000000000004</v>
      </c>
      <c r="V6" s="568">
        <f t="shared" si="5"/>
        <v>13.5</v>
      </c>
      <c r="W6" s="567">
        <v>1.2</v>
      </c>
      <c r="X6" s="568">
        <f>S6*4</f>
        <v>18</v>
      </c>
      <c r="Y6" s="569">
        <v>0.55000000000000004</v>
      </c>
      <c r="Z6" s="570">
        <f>Y6-10%</f>
        <v>0.45000000000000007</v>
      </c>
      <c r="AA6" s="570">
        <f>Y6-20%</f>
        <v>0.35000000000000003</v>
      </c>
      <c r="AB6" s="570">
        <f>Y6-5%</f>
        <v>0.5</v>
      </c>
      <c r="AC6" s="570">
        <f t="shared" ref="AC6:AD6" si="31">Z6-5%</f>
        <v>0.40000000000000008</v>
      </c>
      <c r="AD6" s="570">
        <f t="shared" si="31"/>
        <v>0.30000000000000004</v>
      </c>
      <c r="AE6" s="570">
        <f>Y6-5%</f>
        <v>0.5</v>
      </c>
      <c r="AF6" s="570">
        <f t="shared" ref="AF6:AG6" si="32">Z6-5%</f>
        <v>0.40000000000000008</v>
      </c>
      <c r="AG6" s="570">
        <f t="shared" si="32"/>
        <v>0.30000000000000004</v>
      </c>
      <c r="AH6" s="570">
        <f t="shared" ref="AH6:AH10" si="33">Y6-30%</f>
        <v>0.25000000000000006</v>
      </c>
      <c r="AI6" s="570">
        <f t="shared" ref="AI6:AI10" si="34">Z6-10%</f>
        <v>0.35000000000000009</v>
      </c>
      <c r="AJ6" s="570">
        <f t="shared" ref="AJ6:AJ10" si="35">AA6+5%</f>
        <v>0.4</v>
      </c>
      <c r="AK6" s="570">
        <f t="shared" si="15"/>
        <v>0.20000000000000007</v>
      </c>
      <c r="AL6" s="570">
        <f t="shared" ref="AL6:AL10" si="36">Z6-15%</f>
        <v>0.30000000000000004</v>
      </c>
      <c r="AM6" s="570">
        <f t="shared" ref="AM6:AM10" si="37">AA6+5%</f>
        <v>0.4</v>
      </c>
      <c r="AN6" s="570">
        <f t="shared" ref="AN6:AN10" si="38">Y6-45%</f>
        <v>0.10000000000000003</v>
      </c>
      <c r="AO6" s="570">
        <f t="shared" ref="AO6:AO10" si="39">Z6-25%</f>
        <v>0.20000000000000007</v>
      </c>
      <c r="AP6" s="570">
        <f t="shared" ref="AP6:AP10" si="40">AA6-5%</f>
        <v>0.30000000000000004</v>
      </c>
      <c r="AQ6" s="571">
        <f t="shared" si="16"/>
        <v>99000</v>
      </c>
      <c r="AR6" s="572">
        <v>28000</v>
      </c>
      <c r="AS6" s="572">
        <v>9000</v>
      </c>
      <c r="AT6" s="572"/>
      <c r="AU6" s="572"/>
      <c r="AV6" s="547">
        <f t="shared" ref="AV6:AV18" si="41">AR6+AT6</f>
        <v>28000</v>
      </c>
      <c r="AW6" s="547">
        <f t="shared" ref="AW6:AW18" si="42">AR6+AU6</f>
        <v>28000</v>
      </c>
      <c r="AX6" s="547">
        <f t="shared" si="17"/>
        <v>19000</v>
      </c>
      <c r="AY6" s="547">
        <f t="shared" ref="AY6:AY18" si="43">ROUND((AX6-(D$24*G6))/100,0)*100+AT6</f>
        <v>17000</v>
      </c>
      <c r="AZ6" s="547">
        <f>ROUND((AX6-(D$24*I6)-(D$25*J6))/100,0)*100+AU6</f>
        <v>18100</v>
      </c>
      <c r="BA6" s="548"/>
      <c r="BB6" s="573">
        <v>0.93</v>
      </c>
      <c r="BC6" s="574">
        <f t="shared" si="18"/>
        <v>1.1000000000000001</v>
      </c>
      <c r="BD6" s="575">
        <f t="shared" ref="BD6:BD18" si="44">BC6*0.8</f>
        <v>0.88000000000000012</v>
      </c>
      <c r="BE6" s="574">
        <f>BC6*0.1</f>
        <v>0.11000000000000001</v>
      </c>
      <c r="BF6" s="573">
        <v>2</v>
      </c>
      <c r="BG6" s="573">
        <v>8</v>
      </c>
      <c r="BH6" s="573">
        <v>28000</v>
      </c>
      <c r="BI6" s="573">
        <v>30000</v>
      </c>
      <c r="BJ6" s="573">
        <v>6000</v>
      </c>
      <c r="BK6" s="573">
        <v>120000</v>
      </c>
      <c r="BL6" s="574">
        <f>((BF6*BH6+BG6*BI6)+BJ6*(BF6+BG6))/BK6</f>
        <v>2.9666666666666668</v>
      </c>
      <c r="BM6" s="576">
        <f t="shared" si="21"/>
        <v>4.2</v>
      </c>
      <c r="BN6" s="574">
        <v>0.5</v>
      </c>
      <c r="BO6" s="576">
        <f t="shared" ref="BO6:BO18" si="45">BM6+0.5</f>
        <v>4.7</v>
      </c>
      <c r="BP6" s="577">
        <f t="shared" si="22"/>
        <v>250</v>
      </c>
      <c r="BQ6" s="578">
        <f>BP6*'Changing with year'!J$19</f>
        <v>2181552.0892142723</v>
      </c>
      <c r="BR6" s="578">
        <f t="shared" ref="BR6:BR8" si="46">M6*7*12</f>
        <v>693000</v>
      </c>
      <c r="BS6" s="578">
        <f t="shared" ref="BS6:BS8" si="47">BR6*W6</f>
        <v>831600</v>
      </c>
      <c r="BT6" s="578">
        <f t="shared" ref="BT6:BT8" si="48">BS6/G6</f>
        <v>3326.4</v>
      </c>
      <c r="BU6" s="579">
        <f t="shared" ref="BU6:BU18" si="49">MIN(BT6/$D$22,1)</f>
        <v>1</v>
      </c>
      <c r="BV6" s="579">
        <f>BQ6*BU6/BR6</f>
        <v>3.1479828127190075</v>
      </c>
      <c r="BW6" s="579">
        <f t="shared" ref="BW6:BW18" si="50">(BP6*250)/BR6</f>
        <v>9.0187590187590191E-2</v>
      </c>
      <c r="BX6" s="575">
        <v>0.8</v>
      </c>
      <c r="BY6" s="579">
        <f t="shared" ref="BY6:BY18" si="51">BV6+BX6-BW6</f>
        <v>3.8577952225314172</v>
      </c>
      <c r="BZ6" s="579">
        <f t="shared" ref="BZ6:BZ18" si="52">BY6+BC6-BD6</f>
        <v>4.0777952225314174</v>
      </c>
      <c r="CA6" s="516">
        <f t="shared" si="23"/>
        <v>70</v>
      </c>
      <c r="CB6" s="579">
        <f t="shared" ref="CB6:CB18" si="53">CA6*9900*BU6/BR6</f>
        <v>1</v>
      </c>
      <c r="CC6" s="516">
        <f t="shared" si="24"/>
        <v>80</v>
      </c>
      <c r="CD6" s="516">
        <f>'Changing with year'!M72</f>
        <v>2123781.4854573933</v>
      </c>
      <c r="CE6" s="516">
        <f t="shared" si="25"/>
        <v>99000</v>
      </c>
      <c r="CF6" s="580">
        <f>MIN($D$23/L6/Q6,10)</f>
        <v>10</v>
      </c>
      <c r="CG6" s="574">
        <f t="shared" si="26"/>
        <v>2.1</v>
      </c>
      <c r="CH6" s="575">
        <f t="shared" si="27"/>
        <v>0.8</v>
      </c>
      <c r="CI6" s="579">
        <f t="shared" ref="CI6:CI18" si="54">CH6+CG6+CB6</f>
        <v>3.9000000000000004</v>
      </c>
      <c r="CJ6" s="579">
        <f t="shared" si="28"/>
        <v>4.12</v>
      </c>
    </row>
    <row r="7" spans="1:88">
      <c r="A7" s="394" t="s">
        <v>12</v>
      </c>
      <c r="B7" s="555" t="s">
        <v>8</v>
      </c>
      <c r="C7" s="555" t="s">
        <v>13</v>
      </c>
      <c r="D7" s="556">
        <f t="shared" si="29"/>
        <v>960</v>
      </c>
      <c r="E7" s="557">
        <f>D45</f>
        <v>157.5</v>
      </c>
      <c r="F7" s="557">
        <f t="shared" si="0"/>
        <v>28.2</v>
      </c>
      <c r="G7" s="557">
        <v>350</v>
      </c>
      <c r="H7" s="558">
        <f t="shared" ref="H7:H17" si="55">F7</f>
        <v>28.2</v>
      </c>
      <c r="I7" s="559">
        <v>80</v>
      </c>
      <c r="J7" s="559">
        <v>120</v>
      </c>
      <c r="K7" s="560">
        <v>360</v>
      </c>
      <c r="L7" s="561">
        <v>300</v>
      </c>
      <c r="M7" s="562">
        <f t="shared" ref="M7:M17" si="56">K7*L7/12</f>
        <v>9000</v>
      </c>
      <c r="N7" s="561">
        <v>16</v>
      </c>
      <c r="O7" s="563">
        <v>1</v>
      </c>
      <c r="P7" s="564">
        <v>40</v>
      </c>
      <c r="Q7" s="565">
        <f t="shared" si="30"/>
        <v>9</v>
      </c>
      <c r="R7" s="566">
        <v>7</v>
      </c>
      <c r="S7" s="567">
        <v>2.9</v>
      </c>
      <c r="T7" s="567">
        <v>3.1</v>
      </c>
      <c r="U7" s="581">
        <f t="shared" ref="U7:U17" si="57">(S7+T7)/2</f>
        <v>3</v>
      </c>
      <c r="V7" s="568">
        <f t="shared" si="5"/>
        <v>8.6999999999999993</v>
      </c>
      <c r="W7" s="567">
        <v>1.35</v>
      </c>
      <c r="X7" s="568">
        <f t="shared" ref="X7:X17" si="58">S7*4</f>
        <v>11.6</v>
      </c>
      <c r="Y7" s="569">
        <v>0.5</v>
      </c>
      <c r="Z7" s="570">
        <f>Y7-10%</f>
        <v>0.4</v>
      </c>
      <c r="AA7" s="570">
        <f>Y7-20%</f>
        <v>0.3</v>
      </c>
      <c r="AB7" s="570">
        <f>Y7-5%</f>
        <v>0.45</v>
      </c>
      <c r="AC7" s="570">
        <f t="shared" ref="AC7" si="59">Z7-5%</f>
        <v>0.35000000000000003</v>
      </c>
      <c r="AD7" s="570">
        <f t="shared" ref="AD7" si="60">AA7-5%</f>
        <v>0.25</v>
      </c>
      <c r="AE7" s="570">
        <f>Y7-5%</f>
        <v>0.45</v>
      </c>
      <c r="AF7" s="570">
        <f t="shared" ref="AF7" si="61">Z7-5%</f>
        <v>0.35000000000000003</v>
      </c>
      <c r="AG7" s="570">
        <f t="shared" ref="AG7" si="62">AA7-5%</f>
        <v>0.25</v>
      </c>
      <c r="AH7" s="570">
        <f t="shared" si="33"/>
        <v>0.2</v>
      </c>
      <c r="AI7" s="570">
        <f t="shared" si="34"/>
        <v>0.30000000000000004</v>
      </c>
      <c r="AJ7" s="570">
        <f t="shared" si="35"/>
        <v>0.35</v>
      </c>
      <c r="AK7" s="570">
        <f t="shared" si="15"/>
        <v>0.15000000000000002</v>
      </c>
      <c r="AL7" s="570">
        <f t="shared" si="36"/>
        <v>0.25</v>
      </c>
      <c r="AM7" s="570">
        <f t="shared" si="37"/>
        <v>0.35</v>
      </c>
      <c r="AN7" s="570">
        <f t="shared" si="38"/>
        <v>4.9999999999999989E-2</v>
      </c>
      <c r="AO7" s="570">
        <f t="shared" si="39"/>
        <v>0.15000000000000002</v>
      </c>
      <c r="AP7" s="570">
        <f t="shared" si="40"/>
        <v>0.25</v>
      </c>
      <c r="AQ7" s="571">
        <f t="shared" si="16"/>
        <v>108000</v>
      </c>
      <c r="AR7" s="572">
        <v>47500</v>
      </c>
      <c r="AS7" s="572">
        <v>12500</v>
      </c>
      <c r="AT7" s="572"/>
      <c r="AU7" s="572"/>
      <c r="AV7" s="547">
        <f t="shared" si="41"/>
        <v>47500</v>
      </c>
      <c r="AW7" s="547">
        <f t="shared" si="42"/>
        <v>47500</v>
      </c>
      <c r="AX7" s="547">
        <f t="shared" si="17"/>
        <v>35000</v>
      </c>
      <c r="AY7" s="547">
        <f t="shared" si="43"/>
        <v>32200</v>
      </c>
      <c r="AZ7" s="547">
        <f>ROUND((AX7-(D$24*I7)-(D$25*J7))/100,0)*100+AU7</f>
        <v>33900</v>
      </c>
      <c r="BA7" s="548"/>
      <c r="BB7" s="573">
        <v>1.1399999999999999</v>
      </c>
      <c r="BC7" s="574">
        <f t="shared" si="18"/>
        <v>1.3</v>
      </c>
      <c r="BD7" s="575">
        <f t="shared" si="44"/>
        <v>1.04</v>
      </c>
      <c r="BE7" s="574">
        <f t="shared" ref="BE7:BE17" si="63">BC7*0.1</f>
        <v>0.13</v>
      </c>
      <c r="BF7" s="573">
        <v>4</v>
      </c>
      <c r="BG7" s="573">
        <v>12</v>
      </c>
      <c r="BH7" s="573">
        <v>28000</v>
      </c>
      <c r="BI7" s="573">
        <v>30000</v>
      </c>
      <c r="BJ7" s="573">
        <v>6000</v>
      </c>
      <c r="BK7" s="573">
        <v>90000</v>
      </c>
      <c r="BL7" s="574">
        <f t="shared" ref="BL7:BL17" si="64">((BF7*BH7+BG7*BI7)+BJ7*(BF7+BG7))/BK7</f>
        <v>6.3111111111111109</v>
      </c>
      <c r="BM7" s="576">
        <f t="shared" si="21"/>
        <v>7.7</v>
      </c>
      <c r="BN7" s="574">
        <v>0.5</v>
      </c>
      <c r="BO7" s="576">
        <f t="shared" si="45"/>
        <v>8.1999999999999993</v>
      </c>
      <c r="BP7" s="577">
        <f t="shared" si="22"/>
        <v>350</v>
      </c>
      <c r="BQ7" s="578">
        <f>BP7*'Changing with year'!J$19</f>
        <v>3054172.9248999809</v>
      </c>
      <c r="BR7" s="578">
        <f t="shared" si="46"/>
        <v>756000</v>
      </c>
      <c r="BS7" s="578">
        <f t="shared" si="47"/>
        <v>1020600.0000000001</v>
      </c>
      <c r="BT7" s="578">
        <f t="shared" si="48"/>
        <v>2916.0000000000005</v>
      </c>
      <c r="BU7" s="579">
        <f t="shared" si="49"/>
        <v>0.9720000000000002</v>
      </c>
      <c r="BV7" s="579">
        <f t="shared" ref="BV7:BV18" si="65">BQ7*BU7/BR7</f>
        <v>3.9267937605856904</v>
      </c>
      <c r="BW7" s="579">
        <f t="shared" si="50"/>
        <v>0.11574074074074074</v>
      </c>
      <c r="BX7" s="575">
        <v>1</v>
      </c>
      <c r="BY7" s="579">
        <f t="shared" si="51"/>
        <v>4.8110530198449499</v>
      </c>
      <c r="BZ7" s="579">
        <f t="shared" si="52"/>
        <v>5.0710530198449497</v>
      </c>
      <c r="CA7" s="516">
        <f t="shared" si="23"/>
        <v>80</v>
      </c>
      <c r="CB7" s="579">
        <f t="shared" si="53"/>
        <v>1.0182857142857145</v>
      </c>
      <c r="CC7" s="516">
        <f t="shared" si="24"/>
        <v>120</v>
      </c>
      <c r="CD7" s="516">
        <f>'Changing with year'!M74</f>
        <v>3185672.22818609</v>
      </c>
      <c r="CE7" s="516">
        <f t="shared" si="25"/>
        <v>108000</v>
      </c>
      <c r="CF7" s="580">
        <f t="shared" ref="CF7:CF18" si="66">MIN($D$23/L7/Q7,10)</f>
        <v>9.2592592592592595</v>
      </c>
      <c r="CG7" s="574">
        <f t="shared" si="26"/>
        <v>3.2</v>
      </c>
      <c r="CH7" s="575">
        <f t="shared" si="27"/>
        <v>1</v>
      </c>
      <c r="CI7" s="579">
        <f t="shared" si="54"/>
        <v>5.2182857142857149</v>
      </c>
      <c r="CJ7" s="579">
        <f t="shared" si="28"/>
        <v>5.4782857142857146</v>
      </c>
    </row>
    <row r="8" spans="1:88">
      <c r="A8" s="394" t="s">
        <v>14</v>
      </c>
      <c r="B8" s="555" t="s">
        <v>15</v>
      </c>
      <c r="C8" s="555" t="s">
        <v>9</v>
      </c>
      <c r="D8" s="556">
        <f t="shared" si="29"/>
        <v>960</v>
      </c>
      <c r="E8" s="557">
        <f>D45</f>
        <v>157.5</v>
      </c>
      <c r="F8" s="557">
        <f t="shared" si="0"/>
        <v>28.2</v>
      </c>
      <c r="G8" s="557">
        <v>200</v>
      </c>
      <c r="H8" s="558">
        <f>F8</f>
        <v>28.2</v>
      </c>
      <c r="I8" s="559">
        <v>70</v>
      </c>
      <c r="J8" s="559">
        <v>80</v>
      </c>
      <c r="K8" s="560">
        <v>360</v>
      </c>
      <c r="L8" s="561">
        <v>300</v>
      </c>
      <c r="M8" s="562">
        <f>K8*L8/12</f>
        <v>9000</v>
      </c>
      <c r="N8" s="561">
        <v>16</v>
      </c>
      <c r="O8" s="563">
        <v>0.75</v>
      </c>
      <c r="P8" s="564">
        <v>45</v>
      </c>
      <c r="Q8" s="565">
        <f>K8/P8</f>
        <v>8</v>
      </c>
      <c r="R8" s="566">
        <v>7</v>
      </c>
      <c r="S8" s="567">
        <v>5</v>
      </c>
      <c r="T8" s="567">
        <v>5.4</v>
      </c>
      <c r="U8" s="568">
        <f>(S8+T8)/2</f>
        <v>5.2</v>
      </c>
      <c r="V8" s="568">
        <f>S8*3</f>
        <v>15</v>
      </c>
      <c r="W8" s="567">
        <v>0.9</v>
      </c>
      <c r="X8" s="568">
        <f>S8*4</f>
        <v>20</v>
      </c>
      <c r="Y8" s="569">
        <v>0.55000000000000004</v>
      </c>
      <c r="Z8" s="570">
        <f>Y8-10%</f>
        <v>0.45000000000000007</v>
      </c>
      <c r="AA8" s="570">
        <f>Y8-20%</f>
        <v>0.35000000000000003</v>
      </c>
      <c r="AB8" s="570">
        <f>Y8-5%</f>
        <v>0.5</v>
      </c>
      <c r="AC8" s="570">
        <f>Z8-5%</f>
        <v>0.40000000000000008</v>
      </c>
      <c r="AD8" s="570">
        <f>AA8-5%</f>
        <v>0.30000000000000004</v>
      </c>
      <c r="AE8" s="570">
        <f>Y8-5%</f>
        <v>0.5</v>
      </c>
      <c r="AF8" s="570">
        <f>Z8-5%</f>
        <v>0.40000000000000008</v>
      </c>
      <c r="AG8" s="570">
        <f>AA8-5%</f>
        <v>0.30000000000000004</v>
      </c>
      <c r="AH8" s="570">
        <f t="shared" si="33"/>
        <v>0.25000000000000006</v>
      </c>
      <c r="AI8" s="570">
        <f t="shared" si="34"/>
        <v>0.35000000000000009</v>
      </c>
      <c r="AJ8" s="570">
        <f t="shared" si="35"/>
        <v>0.4</v>
      </c>
      <c r="AK8" s="570">
        <f t="shared" si="15"/>
        <v>0.20000000000000007</v>
      </c>
      <c r="AL8" s="570">
        <f t="shared" si="36"/>
        <v>0.30000000000000004</v>
      </c>
      <c r="AM8" s="570">
        <f t="shared" si="37"/>
        <v>0.4</v>
      </c>
      <c r="AN8" s="570">
        <f t="shared" si="38"/>
        <v>0.10000000000000003</v>
      </c>
      <c r="AO8" s="570">
        <f t="shared" si="39"/>
        <v>0.20000000000000007</v>
      </c>
      <c r="AP8" s="570">
        <f t="shared" si="40"/>
        <v>0.30000000000000004</v>
      </c>
      <c r="AQ8" s="571">
        <f t="shared" si="16"/>
        <v>108000</v>
      </c>
      <c r="AR8" s="572">
        <v>18500</v>
      </c>
      <c r="AS8" s="572">
        <v>8000</v>
      </c>
      <c r="AT8" s="572"/>
      <c r="AU8" s="572"/>
      <c r="AV8" s="547">
        <f t="shared" si="41"/>
        <v>18500</v>
      </c>
      <c r="AW8" s="547">
        <f t="shared" si="42"/>
        <v>18500</v>
      </c>
      <c r="AX8" s="547">
        <f t="shared" si="17"/>
        <v>10500</v>
      </c>
      <c r="AY8" s="547">
        <f t="shared" si="43"/>
        <v>8900</v>
      </c>
      <c r="AZ8" s="547">
        <f t="shared" ref="AZ8:AZ18" si="67">ROUND((AX8-(D$24*I8)-(D$25*J8))/100,0)*100+AU8</f>
        <v>9600</v>
      </c>
      <c r="BA8" s="548"/>
      <c r="BB8" s="573">
        <v>0.78</v>
      </c>
      <c r="BC8" s="574">
        <f t="shared" si="18"/>
        <v>0.9</v>
      </c>
      <c r="BD8" s="575">
        <f t="shared" si="44"/>
        <v>0.72000000000000008</v>
      </c>
      <c r="BE8" s="574">
        <f>BC8*0.1</f>
        <v>9.0000000000000011E-2</v>
      </c>
      <c r="BF8" s="573">
        <v>2</v>
      </c>
      <c r="BG8" s="573">
        <v>4</v>
      </c>
      <c r="BH8" s="573">
        <v>28000</v>
      </c>
      <c r="BI8" s="573">
        <v>30000</v>
      </c>
      <c r="BJ8" s="573">
        <v>6000</v>
      </c>
      <c r="BK8" s="573">
        <v>120000</v>
      </c>
      <c r="BL8" s="574">
        <f>((BF8*BH8+BG8*BI8)+BJ8*(BF8+BG8))/BK8</f>
        <v>1.7666666666666666</v>
      </c>
      <c r="BM8" s="576">
        <f t="shared" si="21"/>
        <v>2.8</v>
      </c>
      <c r="BN8" s="574">
        <v>0.5</v>
      </c>
      <c r="BO8" s="576">
        <f t="shared" si="45"/>
        <v>3.3</v>
      </c>
      <c r="BP8" s="577">
        <f t="shared" si="22"/>
        <v>200</v>
      </c>
      <c r="BQ8" s="578">
        <f>BP8*'Changing with year'!J$19</f>
        <v>1745241.6713714178</v>
      </c>
      <c r="BR8" s="578">
        <f t="shared" si="46"/>
        <v>756000</v>
      </c>
      <c r="BS8" s="578">
        <f t="shared" si="47"/>
        <v>680400</v>
      </c>
      <c r="BT8" s="578">
        <f t="shared" si="48"/>
        <v>3402</v>
      </c>
      <c r="BU8" s="579">
        <f t="shared" si="49"/>
        <v>1</v>
      </c>
      <c r="BV8" s="579">
        <f t="shared" si="65"/>
        <v>2.308520729327272</v>
      </c>
      <c r="BW8" s="579">
        <f t="shared" si="50"/>
        <v>6.6137566137566134E-2</v>
      </c>
      <c r="BX8" s="575">
        <v>1</v>
      </c>
      <c r="BY8" s="579">
        <f t="shared" si="51"/>
        <v>3.242383163189706</v>
      </c>
      <c r="BZ8" s="579">
        <f t="shared" si="52"/>
        <v>3.4223831631897057</v>
      </c>
      <c r="CA8" s="516">
        <f t="shared" si="23"/>
        <v>70</v>
      </c>
      <c r="CB8" s="579">
        <f t="shared" si="53"/>
        <v>0.91666666666666663</v>
      </c>
      <c r="CC8" s="516">
        <f t="shared" si="24"/>
        <v>80</v>
      </c>
      <c r="CD8" s="516">
        <f>CD5</f>
        <v>2123781.4854573933</v>
      </c>
      <c r="CE8" s="516">
        <f t="shared" si="25"/>
        <v>108000</v>
      </c>
      <c r="CF8" s="580">
        <f t="shared" si="66"/>
        <v>10</v>
      </c>
      <c r="CG8" s="574">
        <f t="shared" si="26"/>
        <v>2</v>
      </c>
      <c r="CH8" s="575">
        <f t="shared" si="27"/>
        <v>1</v>
      </c>
      <c r="CI8" s="579">
        <f t="shared" si="54"/>
        <v>3.9166666666666665</v>
      </c>
      <c r="CJ8" s="579">
        <f t="shared" si="28"/>
        <v>4.0966666666666667</v>
      </c>
    </row>
    <row r="9" spans="1:88">
      <c r="A9" s="394" t="s">
        <v>16</v>
      </c>
      <c r="B9" s="555" t="s">
        <v>15</v>
      </c>
      <c r="C9" s="555" t="s">
        <v>11</v>
      </c>
      <c r="D9" s="556">
        <f t="shared" si="29"/>
        <v>960</v>
      </c>
      <c r="E9" s="557">
        <f>D45</f>
        <v>157.5</v>
      </c>
      <c r="F9" s="557">
        <f t="shared" si="0"/>
        <v>28.2</v>
      </c>
      <c r="G9" s="557">
        <v>250</v>
      </c>
      <c r="H9" s="558">
        <f t="shared" si="55"/>
        <v>28.2</v>
      </c>
      <c r="I9" s="559">
        <v>70</v>
      </c>
      <c r="J9" s="559">
        <v>80</v>
      </c>
      <c r="K9" s="560">
        <v>360</v>
      </c>
      <c r="L9" s="561">
        <v>300</v>
      </c>
      <c r="M9" s="562">
        <f t="shared" si="56"/>
        <v>9000</v>
      </c>
      <c r="N9" s="561">
        <v>16</v>
      </c>
      <c r="O9" s="563">
        <v>0.75</v>
      </c>
      <c r="P9" s="564">
        <v>45</v>
      </c>
      <c r="Q9" s="565">
        <f t="shared" si="30"/>
        <v>8</v>
      </c>
      <c r="R9" s="566">
        <v>7</v>
      </c>
      <c r="S9" s="567">
        <v>4.5</v>
      </c>
      <c r="T9" s="567">
        <v>4.8</v>
      </c>
      <c r="U9" s="568">
        <f t="shared" si="57"/>
        <v>4.6500000000000004</v>
      </c>
      <c r="V9" s="568">
        <f t="shared" si="5"/>
        <v>13.5</v>
      </c>
      <c r="W9" s="567">
        <v>1.1499999999999999</v>
      </c>
      <c r="X9" s="568">
        <f t="shared" si="58"/>
        <v>18</v>
      </c>
      <c r="Y9" s="569">
        <v>0.55000000000000004</v>
      </c>
      <c r="Z9" s="570">
        <f t="shared" ref="Z9:Z17" si="68">Y9-10%</f>
        <v>0.45000000000000007</v>
      </c>
      <c r="AA9" s="570">
        <f t="shared" ref="AA9:AA17" si="69">Y9-20%</f>
        <v>0.35000000000000003</v>
      </c>
      <c r="AB9" s="570">
        <f t="shared" ref="AB9:AB17" si="70">Y9-5%</f>
        <v>0.5</v>
      </c>
      <c r="AC9" s="570">
        <f t="shared" ref="AC9:AC17" si="71">Z9-5%</f>
        <v>0.40000000000000008</v>
      </c>
      <c r="AD9" s="570">
        <f t="shared" ref="AD9:AD17" si="72">AA9-5%</f>
        <v>0.30000000000000004</v>
      </c>
      <c r="AE9" s="570">
        <f t="shared" ref="AE9:AE17" si="73">Y9-5%</f>
        <v>0.5</v>
      </c>
      <c r="AF9" s="570">
        <f t="shared" ref="AF9:AF17" si="74">Z9-5%</f>
        <v>0.40000000000000008</v>
      </c>
      <c r="AG9" s="570">
        <f t="shared" ref="AG9:AG17" si="75">AA9-5%</f>
        <v>0.30000000000000004</v>
      </c>
      <c r="AH9" s="570">
        <f t="shared" si="33"/>
        <v>0.25000000000000006</v>
      </c>
      <c r="AI9" s="570">
        <f t="shared" si="34"/>
        <v>0.35000000000000009</v>
      </c>
      <c r="AJ9" s="570">
        <f t="shared" si="35"/>
        <v>0.4</v>
      </c>
      <c r="AK9" s="570">
        <f t="shared" si="15"/>
        <v>0.20000000000000007</v>
      </c>
      <c r="AL9" s="570">
        <f t="shared" si="36"/>
        <v>0.30000000000000004</v>
      </c>
      <c r="AM9" s="570">
        <f t="shared" si="37"/>
        <v>0.4</v>
      </c>
      <c r="AN9" s="570">
        <f t="shared" si="38"/>
        <v>0.10000000000000003</v>
      </c>
      <c r="AO9" s="570">
        <f t="shared" si="39"/>
        <v>0.20000000000000007</v>
      </c>
      <c r="AP9" s="570">
        <f t="shared" si="40"/>
        <v>0.30000000000000004</v>
      </c>
      <c r="AQ9" s="571">
        <f t="shared" si="16"/>
        <v>108000</v>
      </c>
      <c r="AR9" s="572">
        <v>28000</v>
      </c>
      <c r="AS9" s="572">
        <v>9500</v>
      </c>
      <c r="AT9" s="572"/>
      <c r="AU9" s="572"/>
      <c r="AV9" s="547">
        <f t="shared" si="41"/>
        <v>28000</v>
      </c>
      <c r="AW9" s="547">
        <f t="shared" si="42"/>
        <v>28000</v>
      </c>
      <c r="AX9" s="547">
        <f t="shared" si="17"/>
        <v>18500</v>
      </c>
      <c r="AY9" s="547">
        <f t="shared" si="43"/>
        <v>16500</v>
      </c>
      <c r="AZ9" s="547">
        <f t="shared" si="67"/>
        <v>17600</v>
      </c>
      <c r="BA9" s="548"/>
      <c r="BB9" s="582">
        <v>0.9</v>
      </c>
      <c r="BC9" s="574">
        <f t="shared" si="18"/>
        <v>1.1000000000000001</v>
      </c>
      <c r="BD9" s="575">
        <f t="shared" si="44"/>
        <v>0.88000000000000012</v>
      </c>
      <c r="BE9" s="574">
        <f t="shared" si="63"/>
        <v>0.11000000000000001</v>
      </c>
      <c r="BF9" s="573">
        <v>2</v>
      </c>
      <c r="BG9" s="573">
        <v>8</v>
      </c>
      <c r="BH9" s="573">
        <v>28000</v>
      </c>
      <c r="BI9" s="573">
        <v>30000</v>
      </c>
      <c r="BJ9" s="573">
        <v>6000</v>
      </c>
      <c r="BK9" s="573">
        <v>120000</v>
      </c>
      <c r="BL9" s="574">
        <f t="shared" si="64"/>
        <v>2.9666666666666668</v>
      </c>
      <c r="BM9" s="576">
        <f t="shared" si="21"/>
        <v>4.2</v>
      </c>
      <c r="BN9" s="574">
        <v>0.5</v>
      </c>
      <c r="BO9" s="576">
        <f t="shared" si="45"/>
        <v>4.7</v>
      </c>
      <c r="BP9" s="577">
        <f t="shared" si="22"/>
        <v>250</v>
      </c>
      <c r="BQ9" s="578">
        <f>BP9*'Changing with year'!J$19</f>
        <v>2181552.0892142723</v>
      </c>
      <c r="BR9" s="578">
        <f>M9*7*12</f>
        <v>756000</v>
      </c>
      <c r="BS9" s="578">
        <f>BR9*W9</f>
        <v>869399.99999999988</v>
      </c>
      <c r="BT9" s="578">
        <f>BS9/G9</f>
        <v>3477.5999999999995</v>
      </c>
      <c r="BU9" s="579">
        <f t="shared" si="49"/>
        <v>1</v>
      </c>
      <c r="BV9" s="579">
        <f t="shared" si="65"/>
        <v>2.8856509116590905</v>
      </c>
      <c r="BW9" s="579">
        <f t="shared" si="50"/>
        <v>8.2671957671957674E-2</v>
      </c>
      <c r="BX9" s="575">
        <v>0.8</v>
      </c>
      <c r="BY9" s="579">
        <f t="shared" si="51"/>
        <v>3.6029789539871326</v>
      </c>
      <c r="BZ9" s="579">
        <f t="shared" si="52"/>
        <v>3.8229789539871328</v>
      </c>
      <c r="CA9" s="516">
        <f t="shared" si="23"/>
        <v>70</v>
      </c>
      <c r="CB9" s="579">
        <f t="shared" si="53"/>
        <v>0.91666666666666663</v>
      </c>
      <c r="CC9" s="516">
        <f t="shared" si="24"/>
        <v>80</v>
      </c>
      <c r="CD9" s="516">
        <f>CD6</f>
        <v>2123781.4854573933</v>
      </c>
      <c r="CE9" s="516">
        <f t="shared" si="25"/>
        <v>108000</v>
      </c>
      <c r="CF9" s="580">
        <f t="shared" si="66"/>
        <v>10</v>
      </c>
      <c r="CG9" s="574">
        <f t="shared" si="26"/>
        <v>2</v>
      </c>
      <c r="CH9" s="575">
        <f t="shared" si="27"/>
        <v>0.8</v>
      </c>
      <c r="CI9" s="579">
        <f t="shared" si="54"/>
        <v>3.7166666666666663</v>
      </c>
      <c r="CJ9" s="579">
        <f t="shared" si="28"/>
        <v>3.9366666666666665</v>
      </c>
    </row>
    <row r="10" spans="1:88">
      <c r="A10" s="394" t="s">
        <v>17</v>
      </c>
      <c r="B10" s="555" t="s">
        <v>18</v>
      </c>
      <c r="C10" s="555" t="s">
        <v>19</v>
      </c>
      <c r="D10" s="556">
        <f>$D$38</f>
        <v>480</v>
      </c>
      <c r="E10" s="557">
        <f>D45</f>
        <v>157.5</v>
      </c>
      <c r="F10" s="557">
        <f t="shared" si="0"/>
        <v>28.2</v>
      </c>
      <c r="G10" s="557">
        <v>200</v>
      </c>
      <c r="H10" s="558">
        <f t="shared" si="55"/>
        <v>28.2</v>
      </c>
      <c r="I10" s="559">
        <v>70</v>
      </c>
      <c r="J10" s="559">
        <v>80</v>
      </c>
      <c r="K10" s="560">
        <v>400</v>
      </c>
      <c r="L10" s="561">
        <v>300</v>
      </c>
      <c r="M10" s="562">
        <f t="shared" si="56"/>
        <v>10000</v>
      </c>
      <c r="N10" s="561">
        <v>10</v>
      </c>
      <c r="O10" s="563">
        <v>0.8</v>
      </c>
      <c r="P10" s="564">
        <v>60</v>
      </c>
      <c r="Q10" s="565">
        <f t="shared" si="30"/>
        <v>6.666666666666667</v>
      </c>
      <c r="R10" s="566">
        <v>7</v>
      </c>
      <c r="S10" s="567">
        <v>6</v>
      </c>
      <c r="T10" s="567">
        <v>6.3</v>
      </c>
      <c r="U10" s="568">
        <f t="shared" si="57"/>
        <v>6.15</v>
      </c>
      <c r="V10" s="568">
        <f t="shared" si="5"/>
        <v>18</v>
      </c>
      <c r="W10" s="567">
        <v>0.85</v>
      </c>
      <c r="X10" s="568">
        <f t="shared" si="58"/>
        <v>24</v>
      </c>
      <c r="Y10" s="569">
        <v>0.55000000000000004</v>
      </c>
      <c r="Z10" s="570">
        <f t="shared" si="68"/>
        <v>0.45000000000000007</v>
      </c>
      <c r="AA10" s="570">
        <f t="shared" si="69"/>
        <v>0.35000000000000003</v>
      </c>
      <c r="AB10" s="570">
        <f t="shared" si="70"/>
        <v>0.5</v>
      </c>
      <c r="AC10" s="570">
        <f t="shared" si="71"/>
        <v>0.40000000000000008</v>
      </c>
      <c r="AD10" s="570">
        <f t="shared" si="72"/>
        <v>0.30000000000000004</v>
      </c>
      <c r="AE10" s="570">
        <f t="shared" si="73"/>
        <v>0.5</v>
      </c>
      <c r="AF10" s="570">
        <f t="shared" si="74"/>
        <v>0.40000000000000008</v>
      </c>
      <c r="AG10" s="570">
        <f t="shared" si="75"/>
        <v>0.30000000000000004</v>
      </c>
      <c r="AH10" s="570">
        <f t="shared" si="33"/>
        <v>0.25000000000000006</v>
      </c>
      <c r="AI10" s="570">
        <f t="shared" si="34"/>
        <v>0.35000000000000009</v>
      </c>
      <c r="AJ10" s="570">
        <f t="shared" si="35"/>
        <v>0.4</v>
      </c>
      <c r="AK10" s="570">
        <f t="shared" si="15"/>
        <v>0.20000000000000007</v>
      </c>
      <c r="AL10" s="570">
        <f t="shared" si="36"/>
        <v>0.30000000000000004</v>
      </c>
      <c r="AM10" s="570">
        <f t="shared" si="37"/>
        <v>0.4</v>
      </c>
      <c r="AN10" s="570">
        <f t="shared" si="38"/>
        <v>0.10000000000000003</v>
      </c>
      <c r="AO10" s="570">
        <f t="shared" si="39"/>
        <v>0.20000000000000007</v>
      </c>
      <c r="AP10" s="570">
        <f t="shared" si="40"/>
        <v>0.30000000000000004</v>
      </c>
      <c r="AQ10" s="571">
        <f t="shared" si="16"/>
        <v>120000</v>
      </c>
      <c r="AR10" s="572">
        <v>16000</v>
      </c>
      <c r="AS10" s="572">
        <v>6500</v>
      </c>
      <c r="AT10" s="572"/>
      <c r="AU10" s="572"/>
      <c r="AV10" s="547">
        <f t="shared" si="41"/>
        <v>16000</v>
      </c>
      <c r="AW10" s="547">
        <f t="shared" si="42"/>
        <v>16000</v>
      </c>
      <c r="AX10" s="547">
        <f t="shared" si="17"/>
        <v>9500</v>
      </c>
      <c r="AY10" s="547">
        <f t="shared" si="43"/>
        <v>7900</v>
      </c>
      <c r="AZ10" s="547">
        <f t="shared" si="67"/>
        <v>8600</v>
      </c>
      <c r="BA10" s="548"/>
      <c r="BB10" s="573">
        <v>0.78</v>
      </c>
      <c r="BC10" s="574">
        <f t="shared" si="18"/>
        <v>0.9</v>
      </c>
      <c r="BD10" s="575">
        <f t="shared" si="44"/>
        <v>0.72000000000000008</v>
      </c>
      <c r="BE10" s="574">
        <f t="shared" si="63"/>
        <v>9.0000000000000011E-2</v>
      </c>
      <c r="BF10" s="573">
        <v>2</v>
      </c>
      <c r="BG10" s="573">
        <v>4</v>
      </c>
      <c r="BH10" s="573">
        <v>22000</v>
      </c>
      <c r="BI10" s="573">
        <v>27000</v>
      </c>
      <c r="BJ10" s="573">
        <v>6000</v>
      </c>
      <c r="BK10" s="573">
        <v>90000</v>
      </c>
      <c r="BL10" s="574">
        <f t="shared" si="64"/>
        <v>2.088888888888889</v>
      </c>
      <c r="BM10" s="576">
        <f t="shared" si="21"/>
        <v>3.1</v>
      </c>
      <c r="BN10" s="574">
        <v>0.5</v>
      </c>
      <c r="BO10" s="576">
        <f t="shared" si="45"/>
        <v>3.6</v>
      </c>
      <c r="BP10" s="577">
        <f t="shared" si="22"/>
        <v>200</v>
      </c>
      <c r="BQ10" s="578">
        <f>BP10*'Changing with year'!J$19</f>
        <v>1745241.6713714178</v>
      </c>
      <c r="BR10" s="578">
        <f t="shared" ref="BR10:BR12" si="76">M10*7*12</f>
        <v>840000</v>
      </c>
      <c r="BS10" s="578">
        <f t="shared" ref="BS10:BS12" si="77">BR10*W10</f>
        <v>714000</v>
      </c>
      <c r="BT10" s="578">
        <f t="shared" ref="BT10:BT12" si="78">BS10/G10</f>
        <v>3570</v>
      </c>
      <c r="BU10" s="579">
        <f t="shared" si="49"/>
        <v>1</v>
      </c>
      <c r="BV10" s="579">
        <f t="shared" si="65"/>
        <v>2.077668656394545</v>
      </c>
      <c r="BW10" s="579">
        <f t="shared" si="50"/>
        <v>5.9523809523809521E-2</v>
      </c>
      <c r="BX10" s="575">
        <v>0.8</v>
      </c>
      <c r="BY10" s="579">
        <f t="shared" si="51"/>
        <v>2.8181448468707355</v>
      </c>
      <c r="BZ10" s="579">
        <f t="shared" si="52"/>
        <v>2.9981448468707352</v>
      </c>
      <c r="CA10" s="516">
        <f t="shared" si="23"/>
        <v>70</v>
      </c>
      <c r="CB10" s="579">
        <f t="shared" si="53"/>
        <v>0.82499999999999996</v>
      </c>
      <c r="CC10" s="516">
        <f t="shared" si="24"/>
        <v>80</v>
      </c>
      <c r="CD10" s="516">
        <f>'Changing with year'!M70</f>
        <v>2123781.4854573933</v>
      </c>
      <c r="CE10" s="516">
        <f t="shared" si="25"/>
        <v>120000</v>
      </c>
      <c r="CF10" s="580">
        <f t="shared" si="66"/>
        <v>10</v>
      </c>
      <c r="CG10" s="574">
        <f t="shared" si="26"/>
        <v>1.8</v>
      </c>
      <c r="CH10" s="575">
        <f t="shared" si="27"/>
        <v>0.8</v>
      </c>
      <c r="CI10" s="579">
        <f t="shared" si="54"/>
        <v>3.4249999999999998</v>
      </c>
      <c r="CJ10" s="579">
        <f t="shared" si="28"/>
        <v>3.605</v>
      </c>
    </row>
    <row r="11" spans="1:88">
      <c r="A11" s="394" t="s">
        <v>20</v>
      </c>
      <c r="B11" s="555" t="s">
        <v>21</v>
      </c>
      <c r="C11" s="555" t="s">
        <v>22</v>
      </c>
      <c r="D11" s="556">
        <f t="shared" si="29"/>
        <v>960</v>
      </c>
      <c r="E11" s="557">
        <f>D45</f>
        <v>157.5</v>
      </c>
      <c r="F11" s="557">
        <f t="shared" si="0"/>
        <v>28.2</v>
      </c>
      <c r="G11" s="557">
        <v>250</v>
      </c>
      <c r="H11" s="558">
        <f>F11</f>
        <v>28.2</v>
      </c>
      <c r="I11" s="559">
        <v>70</v>
      </c>
      <c r="J11" s="559">
        <v>80</v>
      </c>
      <c r="K11" s="560">
        <v>240</v>
      </c>
      <c r="L11" s="561">
        <v>280</v>
      </c>
      <c r="M11" s="583">
        <f>K11*L11/12</f>
        <v>5600</v>
      </c>
      <c r="N11" s="561">
        <v>20</v>
      </c>
      <c r="O11" s="563">
        <v>0.5</v>
      </c>
      <c r="P11" s="564">
        <v>25</v>
      </c>
      <c r="Q11" s="565">
        <f t="shared" si="30"/>
        <v>9.6</v>
      </c>
      <c r="R11" s="566">
        <v>7</v>
      </c>
      <c r="S11" s="567">
        <v>3.8</v>
      </c>
      <c r="T11" s="567">
        <v>4</v>
      </c>
      <c r="U11" s="568">
        <f>(S11+T11)/2</f>
        <v>3.9</v>
      </c>
      <c r="V11" s="568">
        <f>S11*3</f>
        <v>11.399999999999999</v>
      </c>
      <c r="W11" s="567">
        <v>1.3</v>
      </c>
      <c r="X11" s="568">
        <f>S11*4</f>
        <v>15.2</v>
      </c>
      <c r="Y11" s="569">
        <v>0.3</v>
      </c>
      <c r="Z11" s="570">
        <f>Y11-5%</f>
        <v>0.25</v>
      </c>
      <c r="AA11" s="570">
        <f>Y11-10%</f>
        <v>0.19999999999999998</v>
      </c>
      <c r="AB11" s="570">
        <f>Y11-5%</f>
        <v>0.25</v>
      </c>
      <c r="AC11" s="570">
        <f>Z11-5%</f>
        <v>0.2</v>
      </c>
      <c r="AD11" s="570">
        <f>AA11-5%</f>
        <v>0.14999999999999997</v>
      </c>
      <c r="AE11" s="570">
        <f>Y11-5%</f>
        <v>0.25</v>
      </c>
      <c r="AF11" s="570">
        <f>Z11-5%</f>
        <v>0.2</v>
      </c>
      <c r="AG11" s="570">
        <f>AA11-5%</f>
        <v>0.14999999999999997</v>
      </c>
      <c r="AH11" s="570">
        <f>Y11-15%</f>
        <v>0.15</v>
      </c>
      <c r="AI11" s="570">
        <f>Z11-5%</f>
        <v>0.2</v>
      </c>
      <c r="AJ11" s="570">
        <f>AA11+5%</f>
        <v>0.25</v>
      </c>
      <c r="AK11" s="570">
        <f>Y11-20%</f>
        <v>9.9999999999999978E-2</v>
      </c>
      <c r="AL11" s="570">
        <f t="shared" ref="AL11" si="79">Z11-5%</f>
        <v>0.2</v>
      </c>
      <c r="AM11" s="570">
        <f>AA11+5%</f>
        <v>0.25</v>
      </c>
      <c r="AN11" s="570">
        <f>Y11-25%</f>
        <v>4.9999999999999989E-2</v>
      </c>
      <c r="AO11" s="570">
        <f>Z11-10%</f>
        <v>0.15</v>
      </c>
      <c r="AP11" s="570">
        <f>AA11</f>
        <v>0.19999999999999998</v>
      </c>
      <c r="AQ11" s="571">
        <f t="shared" si="16"/>
        <v>67200</v>
      </c>
      <c r="AR11" s="572">
        <v>28000</v>
      </c>
      <c r="AS11" s="572">
        <v>13500</v>
      </c>
      <c r="AT11" s="572"/>
      <c r="AU11" s="572"/>
      <c r="AV11" s="547">
        <f t="shared" si="41"/>
        <v>28000</v>
      </c>
      <c r="AW11" s="547">
        <f t="shared" si="42"/>
        <v>28000</v>
      </c>
      <c r="AX11" s="547">
        <f t="shared" si="17"/>
        <v>14500</v>
      </c>
      <c r="AY11" s="547">
        <f t="shared" si="43"/>
        <v>12500</v>
      </c>
      <c r="AZ11" s="547">
        <f t="shared" si="67"/>
        <v>13600</v>
      </c>
      <c r="BA11" s="548"/>
      <c r="BB11" s="582">
        <v>3.125</v>
      </c>
      <c r="BC11" s="574">
        <f t="shared" si="18"/>
        <v>3.6</v>
      </c>
      <c r="BD11" s="575">
        <f t="shared" si="44"/>
        <v>2.8800000000000003</v>
      </c>
      <c r="BE11" s="574">
        <f>BC11*0.15</f>
        <v>0.54</v>
      </c>
      <c r="BF11" s="573">
        <v>2</v>
      </c>
      <c r="BG11" s="573">
        <v>8</v>
      </c>
      <c r="BH11" s="573">
        <v>28000</v>
      </c>
      <c r="BI11" s="573">
        <v>30000</v>
      </c>
      <c r="BJ11" s="573">
        <v>6000</v>
      </c>
      <c r="BK11" s="573">
        <v>80000</v>
      </c>
      <c r="BL11" s="574">
        <f t="shared" si="64"/>
        <v>4.45</v>
      </c>
      <c r="BM11" s="576">
        <f t="shared" si="21"/>
        <v>8.6</v>
      </c>
      <c r="BN11" s="574">
        <v>0.5</v>
      </c>
      <c r="BO11" s="576">
        <f t="shared" si="45"/>
        <v>9.1</v>
      </c>
      <c r="BP11" s="577">
        <f t="shared" si="22"/>
        <v>250</v>
      </c>
      <c r="BQ11" s="578">
        <f>BP11*'Changing with year'!J$19</f>
        <v>2181552.0892142723</v>
      </c>
      <c r="BR11" s="578">
        <f t="shared" si="76"/>
        <v>470400</v>
      </c>
      <c r="BS11" s="578">
        <f t="shared" si="77"/>
        <v>611520</v>
      </c>
      <c r="BT11" s="578">
        <f t="shared" si="78"/>
        <v>2446.08</v>
      </c>
      <c r="BU11" s="579">
        <f t="shared" si="49"/>
        <v>0.81535999999999997</v>
      </c>
      <c r="BV11" s="579">
        <f t="shared" si="65"/>
        <v>3.7813569546380719</v>
      </c>
      <c r="BW11" s="579">
        <f t="shared" si="50"/>
        <v>0.13286564625850339</v>
      </c>
      <c r="BX11" s="575">
        <v>0.8</v>
      </c>
      <c r="BY11" s="579">
        <f t="shared" si="51"/>
        <v>4.4484913083795687</v>
      </c>
      <c r="BZ11" s="579">
        <f t="shared" si="52"/>
        <v>5.1684913083795685</v>
      </c>
      <c r="CA11" s="516">
        <f t="shared" si="23"/>
        <v>70</v>
      </c>
      <c r="CB11" s="579">
        <f t="shared" si="53"/>
        <v>1.2012</v>
      </c>
      <c r="CC11" s="516">
        <f t="shared" si="24"/>
        <v>80</v>
      </c>
      <c r="CD11" s="516">
        <f>'Changing with year'!M75</f>
        <v>2123781.4854573933</v>
      </c>
      <c r="CE11" s="516">
        <f t="shared" si="25"/>
        <v>67200</v>
      </c>
      <c r="CF11" s="580">
        <f t="shared" si="66"/>
        <v>9.300595238095239</v>
      </c>
      <c r="CG11" s="574">
        <f t="shared" si="26"/>
        <v>3.4</v>
      </c>
      <c r="CH11" s="575">
        <f t="shared" si="27"/>
        <v>0.8</v>
      </c>
      <c r="CI11" s="579">
        <f t="shared" si="54"/>
        <v>5.4012000000000002</v>
      </c>
      <c r="CJ11" s="579">
        <f t="shared" si="28"/>
        <v>6.1212</v>
      </c>
    </row>
    <row r="12" spans="1:88">
      <c r="A12" s="394" t="s">
        <v>23</v>
      </c>
      <c r="B12" s="555" t="s">
        <v>21</v>
      </c>
      <c r="C12" s="555" t="s">
        <v>24</v>
      </c>
      <c r="D12" s="556">
        <f t="shared" si="29"/>
        <v>960</v>
      </c>
      <c r="E12" s="557">
        <f>D45</f>
        <v>157.5</v>
      </c>
      <c r="F12" s="557">
        <f t="shared" si="0"/>
        <v>28.2</v>
      </c>
      <c r="G12" s="557">
        <v>300</v>
      </c>
      <c r="H12" s="558">
        <f t="shared" si="55"/>
        <v>28.2</v>
      </c>
      <c r="I12" s="559">
        <v>70</v>
      </c>
      <c r="J12" s="559">
        <v>80</v>
      </c>
      <c r="K12" s="560">
        <v>240</v>
      </c>
      <c r="L12" s="561">
        <v>280</v>
      </c>
      <c r="M12" s="583">
        <f t="shared" si="56"/>
        <v>5600</v>
      </c>
      <c r="N12" s="561">
        <v>20</v>
      </c>
      <c r="O12" s="563">
        <v>0.5</v>
      </c>
      <c r="P12" s="564">
        <v>25</v>
      </c>
      <c r="Q12" s="565">
        <f t="shared" si="30"/>
        <v>9.6</v>
      </c>
      <c r="R12" s="566">
        <v>7</v>
      </c>
      <c r="S12" s="567">
        <v>3</v>
      </c>
      <c r="T12" s="567">
        <v>3.2</v>
      </c>
      <c r="U12" s="568">
        <f t="shared" si="57"/>
        <v>3.1</v>
      </c>
      <c r="V12" s="568">
        <f t="shared" si="5"/>
        <v>9</v>
      </c>
      <c r="W12" s="567">
        <v>1.4</v>
      </c>
      <c r="X12" s="568">
        <f t="shared" si="58"/>
        <v>12</v>
      </c>
      <c r="Y12" s="569">
        <v>0.3</v>
      </c>
      <c r="Z12" s="570">
        <f>Y12-5%</f>
        <v>0.25</v>
      </c>
      <c r="AA12" s="570">
        <f>Y12-10%</f>
        <v>0.19999999999999998</v>
      </c>
      <c r="AB12" s="570">
        <f t="shared" si="70"/>
        <v>0.25</v>
      </c>
      <c r="AC12" s="570">
        <f t="shared" si="71"/>
        <v>0.2</v>
      </c>
      <c r="AD12" s="570">
        <f t="shared" si="72"/>
        <v>0.14999999999999997</v>
      </c>
      <c r="AE12" s="570">
        <f t="shared" si="73"/>
        <v>0.25</v>
      </c>
      <c r="AF12" s="570">
        <f t="shared" si="74"/>
        <v>0.2</v>
      </c>
      <c r="AG12" s="570">
        <f t="shared" si="75"/>
        <v>0.14999999999999997</v>
      </c>
      <c r="AH12" s="570">
        <f>Y12-15%</f>
        <v>0.15</v>
      </c>
      <c r="AI12" s="570">
        <f t="shared" ref="AI12" si="80">Z12-5%</f>
        <v>0.2</v>
      </c>
      <c r="AJ12" s="570">
        <f t="shared" ref="AJ12:AJ18" si="81">AA12+5%</f>
        <v>0.25</v>
      </c>
      <c r="AK12" s="570">
        <f t="shared" ref="AK12" si="82">Y12-20%</f>
        <v>9.9999999999999978E-2</v>
      </c>
      <c r="AL12" s="570">
        <f t="shared" ref="AL12" si="83">Z12-5%</f>
        <v>0.2</v>
      </c>
      <c r="AM12" s="570">
        <f t="shared" ref="AM12:AM18" si="84">AA12+5%</f>
        <v>0.25</v>
      </c>
      <c r="AN12" s="570">
        <f>Y12-25%</f>
        <v>4.9999999999999989E-2</v>
      </c>
      <c r="AO12" s="570">
        <f>Z12-10%</f>
        <v>0.15</v>
      </c>
      <c r="AP12" s="570">
        <f>AA12</f>
        <v>0.19999999999999998</v>
      </c>
      <c r="AQ12" s="571">
        <f t="shared" si="16"/>
        <v>67200</v>
      </c>
      <c r="AR12" s="572">
        <v>35000</v>
      </c>
      <c r="AS12" s="572">
        <v>15000</v>
      </c>
      <c r="AT12" s="572"/>
      <c r="AU12" s="572"/>
      <c r="AV12" s="547">
        <f t="shared" si="41"/>
        <v>35000</v>
      </c>
      <c r="AW12" s="547">
        <f t="shared" si="42"/>
        <v>35000</v>
      </c>
      <c r="AX12" s="547">
        <f t="shared" si="17"/>
        <v>20000</v>
      </c>
      <c r="AY12" s="547">
        <f t="shared" si="43"/>
        <v>17600</v>
      </c>
      <c r="AZ12" s="547">
        <f t="shared" si="67"/>
        <v>19100</v>
      </c>
      <c r="BA12" s="548"/>
      <c r="BB12" s="582">
        <v>3.2949999999999999</v>
      </c>
      <c r="BC12" s="574">
        <f t="shared" si="18"/>
        <v>3.8</v>
      </c>
      <c r="BD12" s="575">
        <f t="shared" si="44"/>
        <v>3.04</v>
      </c>
      <c r="BE12" s="574">
        <f>BC12*0.15</f>
        <v>0.56999999999999995</v>
      </c>
      <c r="BF12" s="573">
        <v>4</v>
      </c>
      <c r="BG12" s="573">
        <v>8</v>
      </c>
      <c r="BH12" s="573">
        <v>28000</v>
      </c>
      <c r="BI12" s="573">
        <v>30000</v>
      </c>
      <c r="BJ12" s="573">
        <v>6000</v>
      </c>
      <c r="BK12" s="573">
        <v>65000</v>
      </c>
      <c r="BL12" s="574">
        <f t="shared" si="64"/>
        <v>6.523076923076923</v>
      </c>
      <c r="BM12" s="576">
        <f t="shared" si="21"/>
        <v>10.9</v>
      </c>
      <c r="BN12" s="574">
        <v>0.5</v>
      </c>
      <c r="BO12" s="576">
        <f t="shared" si="45"/>
        <v>11.4</v>
      </c>
      <c r="BP12" s="577">
        <f t="shared" si="22"/>
        <v>300</v>
      </c>
      <c r="BQ12" s="578">
        <f>BP12*'Changing with year'!J$19</f>
        <v>2617862.5070571266</v>
      </c>
      <c r="BR12" s="578">
        <f t="shared" si="76"/>
        <v>470400</v>
      </c>
      <c r="BS12" s="578">
        <f t="shared" si="77"/>
        <v>658560</v>
      </c>
      <c r="BT12" s="578">
        <f t="shared" si="78"/>
        <v>2195.1999999999998</v>
      </c>
      <c r="BU12" s="579">
        <f t="shared" si="49"/>
        <v>0.73173333333333324</v>
      </c>
      <c r="BV12" s="579">
        <f t="shared" si="65"/>
        <v>4.0722305665333076</v>
      </c>
      <c r="BW12" s="579">
        <f t="shared" si="50"/>
        <v>0.15943877551020408</v>
      </c>
      <c r="BX12" s="575">
        <v>1</v>
      </c>
      <c r="BY12" s="579">
        <f t="shared" si="51"/>
        <v>4.9127917910231034</v>
      </c>
      <c r="BZ12" s="579">
        <f t="shared" si="52"/>
        <v>5.672791791023104</v>
      </c>
      <c r="CA12" s="516">
        <f t="shared" si="23"/>
        <v>70</v>
      </c>
      <c r="CB12" s="579">
        <f t="shared" si="53"/>
        <v>1.0779999999999998</v>
      </c>
      <c r="CC12" s="516">
        <f t="shared" si="24"/>
        <v>80</v>
      </c>
      <c r="CD12" s="516">
        <f>'Changing with year'!M76</f>
        <v>2123781.4854573933</v>
      </c>
      <c r="CE12" s="516">
        <f t="shared" si="25"/>
        <v>67200</v>
      </c>
      <c r="CF12" s="580">
        <f t="shared" si="66"/>
        <v>9.300595238095239</v>
      </c>
      <c r="CG12" s="574">
        <f t="shared" si="26"/>
        <v>3.4</v>
      </c>
      <c r="CH12" s="575">
        <f t="shared" si="27"/>
        <v>1</v>
      </c>
      <c r="CI12" s="579">
        <f t="shared" si="54"/>
        <v>5.4779999999999998</v>
      </c>
      <c r="CJ12" s="579">
        <f t="shared" si="28"/>
        <v>6.2379999999999987</v>
      </c>
    </row>
    <row r="13" spans="1:88" ht="31.2">
      <c r="A13" s="394" t="s">
        <v>25</v>
      </c>
      <c r="B13" s="555" t="s">
        <v>26</v>
      </c>
      <c r="C13" s="555" t="s">
        <v>13</v>
      </c>
      <c r="D13" s="556">
        <f t="shared" si="29"/>
        <v>960</v>
      </c>
      <c r="E13" s="557">
        <f>D45</f>
        <v>157.5</v>
      </c>
      <c r="F13" s="557">
        <f t="shared" si="0"/>
        <v>28.2</v>
      </c>
      <c r="G13" s="557">
        <v>350</v>
      </c>
      <c r="H13" s="558">
        <f t="shared" si="55"/>
        <v>28.2</v>
      </c>
      <c r="I13" s="559">
        <v>80</v>
      </c>
      <c r="J13" s="559">
        <v>120</v>
      </c>
      <c r="K13" s="560">
        <v>360</v>
      </c>
      <c r="L13" s="561">
        <v>320</v>
      </c>
      <c r="M13" s="562">
        <f t="shared" si="56"/>
        <v>9600</v>
      </c>
      <c r="N13" s="561">
        <v>16</v>
      </c>
      <c r="O13" s="563">
        <v>0.9</v>
      </c>
      <c r="P13" s="564">
        <v>40</v>
      </c>
      <c r="Q13" s="565">
        <f t="shared" si="30"/>
        <v>9</v>
      </c>
      <c r="R13" s="566">
        <v>7</v>
      </c>
      <c r="S13" s="567">
        <v>2.9</v>
      </c>
      <c r="T13" s="567">
        <v>3.1</v>
      </c>
      <c r="U13" s="568">
        <f t="shared" si="57"/>
        <v>3</v>
      </c>
      <c r="V13" s="568">
        <f t="shared" si="5"/>
        <v>8.6999999999999993</v>
      </c>
      <c r="W13" s="567">
        <v>1.4</v>
      </c>
      <c r="X13" s="568">
        <f t="shared" si="58"/>
        <v>11.6</v>
      </c>
      <c r="Y13" s="569">
        <v>0.5</v>
      </c>
      <c r="Z13" s="570">
        <f t="shared" si="68"/>
        <v>0.4</v>
      </c>
      <c r="AA13" s="570">
        <f t="shared" si="69"/>
        <v>0.3</v>
      </c>
      <c r="AB13" s="570">
        <f t="shared" si="70"/>
        <v>0.45</v>
      </c>
      <c r="AC13" s="570">
        <f t="shared" si="71"/>
        <v>0.35000000000000003</v>
      </c>
      <c r="AD13" s="570">
        <f t="shared" si="72"/>
        <v>0.25</v>
      </c>
      <c r="AE13" s="570">
        <f t="shared" si="73"/>
        <v>0.45</v>
      </c>
      <c r="AF13" s="570">
        <f t="shared" si="74"/>
        <v>0.35000000000000003</v>
      </c>
      <c r="AG13" s="570">
        <f t="shared" si="75"/>
        <v>0.25</v>
      </c>
      <c r="AH13" s="570">
        <f t="shared" ref="AH13:AH18" si="85">Y13-30%</f>
        <v>0.2</v>
      </c>
      <c r="AI13" s="570">
        <f t="shared" ref="AI13:AI18" si="86">Z13-10%</f>
        <v>0.30000000000000004</v>
      </c>
      <c r="AJ13" s="570">
        <f t="shared" si="81"/>
        <v>0.35</v>
      </c>
      <c r="AK13" s="570">
        <f t="shared" ref="AK13:AK18" si="87">Y13-35%</f>
        <v>0.15000000000000002</v>
      </c>
      <c r="AL13" s="570">
        <f t="shared" ref="AL13:AL18" si="88">Z13-15%</f>
        <v>0.25</v>
      </c>
      <c r="AM13" s="570">
        <f t="shared" si="84"/>
        <v>0.35</v>
      </c>
      <c r="AN13" s="570">
        <f t="shared" ref="AN13:AN18" si="89">Y13-45%</f>
        <v>4.9999999999999989E-2</v>
      </c>
      <c r="AO13" s="570">
        <f t="shared" ref="AO13:AO18" si="90">Z13-25%</f>
        <v>0.15000000000000002</v>
      </c>
      <c r="AP13" s="570">
        <f t="shared" ref="AP13:AP18" si="91">AA13-5%</f>
        <v>0.25</v>
      </c>
      <c r="AQ13" s="571">
        <f t="shared" si="16"/>
        <v>115200</v>
      </c>
      <c r="AR13" s="572">
        <v>47500</v>
      </c>
      <c r="AS13" s="572">
        <v>12500</v>
      </c>
      <c r="AT13" s="572"/>
      <c r="AU13" s="572"/>
      <c r="AV13" s="547">
        <f t="shared" si="41"/>
        <v>47500</v>
      </c>
      <c r="AW13" s="547">
        <f t="shared" si="42"/>
        <v>47500</v>
      </c>
      <c r="AX13" s="547">
        <f t="shared" si="17"/>
        <v>35000</v>
      </c>
      <c r="AY13" s="547">
        <f t="shared" si="43"/>
        <v>32200</v>
      </c>
      <c r="AZ13" s="547">
        <f t="shared" si="67"/>
        <v>33900</v>
      </c>
      <c r="BA13" s="548"/>
      <c r="BB13" s="582">
        <v>1.1000000000000001</v>
      </c>
      <c r="BC13" s="574">
        <f t="shared" si="18"/>
        <v>1.3</v>
      </c>
      <c r="BD13" s="575">
        <f t="shared" si="44"/>
        <v>1.04</v>
      </c>
      <c r="BE13" s="574">
        <f t="shared" si="63"/>
        <v>0.13</v>
      </c>
      <c r="BF13" s="573">
        <v>4</v>
      </c>
      <c r="BG13" s="573">
        <v>12</v>
      </c>
      <c r="BH13" s="573">
        <v>28000</v>
      </c>
      <c r="BI13" s="573">
        <v>30000</v>
      </c>
      <c r="BJ13" s="573">
        <v>6000</v>
      </c>
      <c r="BK13" s="573">
        <v>90000</v>
      </c>
      <c r="BL13" s="574">
        <f t="shared" si="64"/>
        <v>6.3111111111111109</v>
      </c>
      <c r="BM13" s="576">
        <f t="shared" si="21"/>
        <v>7.7</v>
      </c>
      <c r="BN13" s="574">
        <v>0.5</v>
      </c>
      <c r="BO13" s="576">
        <f t="shared" si="45"/>
        <v>8.1999999999999993</v>
      </c>
      <c r="BP13" s="577">
        <f t="shared" si="22"/>
        <v>350</v>
      </c>
      <c r="BQ13" s="578">
        <f>BP13*'Changing with year'!J$19</f>
        <v>3054172.9248999809</v>
      </c>
      <c r="BR13" s="578">
        <f>M13*7*12</f>
        <v>806400</v>
      </c>
      <c r="BS13" s="578">
        <f>BR13*W13</f>
        <v>1128960</v>
      </c>
      <c r="BT13" s="578">
        <f>BS13/G13</f>
        <v>3225.6</v>
      </c>
      <c r="BU13" s="579">
        <f t="shared" si="49"/>
        <v>1</v>
      </c>
      <c r="BV13" s="579">
        <f t="shared" si="65"/>
        <v>3.7874168215525557</v>
      </c>
      <c r="BW13" s="579">
        <f t="shared" si="50"/>
        <v>0.10850694444444445</v>
      </c>
      <c r="BX13" s="575">
        <v>1</v>
      </c>
      <c r="BY13" s="579">
        <f t="shared" si="51"/>
        <v>4.6789098771081115</v>
      </c>
      <c r="BZ13" s="579">
        <f t="shared" si="52"/>
        <v>4.9389098771081112</v>
      </c>
      <c r="CA13" s="516">
        <f t="shared" si="23"/>
        <v>80</v>
      </c>
      <c r="CB13" s="579">
        <f t="shared" si="53"/>
        <v>0.9821428571428571</v>
      </c>
      <c r="CC13" s="516">
        <f t="shared" si="24"/>
        <v>120</v>
      </c>
      <c r="CD13" s="516">
        <f>CD7</f>
        <v>3185672.22818609</v>
      </c>
      <c r="CE13" s="516">
        <f t="shared" si="25"/>
        <v>115200</v>
      </c>
      <c r="CF13" s="580">
        <f t="shared" si="66"/>
        <v>8.6805555555555554</v>
      </c>
      <c r="CG13" s="574">
        <f t="shared" si="26"/>
        <v>3.2</v>
      </c>
      <c r="CH13" s="575">
        <f t="shared" si="27"/>
        <v>1</v>
      </c>
      <c r="CI13" s="579">
        <f t="shared" si="54"/>
        <v>5.1821428571428569</v>
      </c>
      <c r="CJ13" s="579">
        <f t="shared" si="28"/>
        <v>5.4421428571428567</v>
      </c>
    </row>
    <row r="14" spans="1:88" ht="31.2">
      <c r="A14" s="394" t="s">
        <v>27</v>
      </c>
      <c r="B14" s="555" t="s">
        <v>26</v>
      </c>
      <c r="C14" s="555" t="s">
        <v>28</v>
      </c>
      <c r="D14" s="556">
        <f t="shared" si="29"/>
        <v>960</v>
      </c>
      <c r="E14" s="557">
        <f>E45</f>
        <v>346.5</v>
      </c>
      <c r="F14" s="557">
        <f t="shared" si="0"/>
        <v>28.2</v>
      </c>
      <c r="G14" s="557">
        <v>300</v>
      </c>
      <c r="H14" s="558">
        <f t="shared" si="55"/>
        <v>28.2</v>
      </c>
      <c r="I14" s="559">
        <v>80</v>
      </c>
      <c r="J14" s="559">
        <v>120</v>
      </c>
      <c r="K14" s="560">
        <v>360</v>
      </c>
      <c r="L14" s="561">
        <v>300</v>
      </c>
      <c r="M14" s="562">
        <f t="shared" si="56"/>
        <v>9000</v>
      </c>
      <c r="N14" s="561">
        <v>16</v>
      </c>
      <c r="O14" s="563">
        <v>0.9</v>
      </c>
      <c r="P14" s="564">
        <v>40</v>
      </c>
      <c r="Q14" s="565">
        <f t="shared" si="30"/>
        <v>9</v>
      </c>
      <c r="R14" s="566">
        <v>7</v>
      </c>
      <c r="S14" s="567">
        <v>2.6</v>
      </c>
      <c r="T14" s="567">
        <v>2.8</v>
      </c>
      <c r="U14" s="568">
        <f t="shared" si="57"/>
        <v>2.7</v>
      </c>
      <c r="V14" s="568">
        <f t="shared" si="5"/>
        <v>7.8000000000000007</v>
      </c>
      <c r="W14" s="567">
        <v>1.45</v>
      </c>
      <c r="X14" s="568">
        <f t="shared" si="58"/>
        <v>10.4</v>
      </c>
      <c r="Y14" s="569">
        <v>0.5</v>
      </c>
      <c r="Z14" s="570">
        <f t="shared" si="68"/>
        <v>0.4</v>
      </c>
      <c r="AA14" s="570">
        <f t="shared" si="69"/>
        <v>0.3</v>
      </c>
      <c r="AB14" s="570">
        <f t="shared" si="70"/>
        <v>0.45</v>
      </c>
      <c r="AC14" s="570">
        <f t="shared" si="71"/>
        <v>0.35000000000000003</v>
      </c>
      <c r="AD14" s="570">
        <f t="shared" si="72"/>
        <v>0.25</v>
      </c>
      <c r="AE14" s="570">
        <f t="shared" si="73"/>
        <v>0.45</v>
      </c>
      <c r="AF14" s="570">
        <f t="shared" si="74"/>
        <v>0.35000000000000003</v>
      </c>
      <c r="AG14" s="570">
        <f t="shared" si="75"/>
        <v>0.25</v>
      </c>
      <c r="AH14" s="570">
        <f t="shared" si="85"/>
        <v>0.2</v>
      </c>
      <c r="AI14" s="570">
        <f t="shared" si="86"/>
        <v>0.30000000000000004</v>
      </c>
      <c r="AJ14" s="570">
        <f t="shared" si="81"/>
        <v>0.35</v>
      </c>
      <c r="AK14" s="570">
        <f t="shared" si="87"/>
        <v>0.15000000000000002</v>
      </c>
      <c r="AL14" s="570">
        <f t="shared" si="88"/>
        <v>0.25</v>
      </c>
      <c r="AM14" s="570">
        <f t="shared" si="84"/>
        <v>0.35</v>
      </c>
      <c r="AN14" s="570">
        <f t="shared" si="89"/>
        <v>4.9999999999999989E-2</v>
      </c>
      <c r="AO14" s="570">
        <f t="shared" si="90"/>
        <v>0.15000000000000002</v>
      </c>
      <c r="AP14" s="570">
        <f t="shared" si="91"/>
        <v>0.25</v>
      </c>
      <c r="AQ14" s="571">
        <f t="shared" si="16"/>
        <v>108000</v>
      </c>
      <c r="AR14" s="572">
        <v>55000</v>
      </c>
      <c r="AS14" s="572">
        <v>15500</v>
      </c>
      <c r="AT14" s="572"/>
      <c r="AU14" s="572"/>
      <c r="AV14" s="547">
        <f t="shared" si="41"/>
        <v>55000</v>
      </c>
      <c r="AW14" s="547">
        <f t="shared" si="42"/>
        <v>55000</v>
      </c>
      <c r="AX14" s="547">
        <f t="shared" si="17"/>
        <v>39500</v>
      </c>
      <c r="AY14" s="547">
        <f t="shared" si="43"/>
        <v>37100</v>
      </c>
      <c r="AZ14" s="547">
        <f t="shared" si="67"/>
        <v>38400</v>
      </c>
      <c r="BA14" s="548"/>
      <c r="BB14" s="573">
        <v>0.85</v>
      </c>
      <c r="BC14" s="574">
        <f t="shared" si="18"/>
        <v>1</v>
      </c>
      <c r="BD14" s="575">
        <f t="shared" si="44"/>
        <v>0.8</v>
      </c>
      <c r="BE14" s="574">
        <f t="shared" si="63"/>
        <v>0.1</v>
      </c>
      <c r="BF14" s="573">
        <v>2</v>
      </c>
      <c r="BG14" s="573">
        <v>16</v>
      </c>
      <c r="BH14" s="573">
        <v>28000</v>
      </c>
      <c r="BI14" s="573">
        <v>30000</v>
      </c>
      <c r="BJ14" s="573">
        <v>6000</v>
      </c>
      <c r="BK14" s="573">
        <v>120000</v>
      </c>
      <c r="BL14" s="574">
        <f t="shared" si="64"/>
        <v>5.3666666666666663</v>
      </c>
      <c r="BM14" s="576">
        <f t="shared" si="21"/>
        <v>6.5</v>
      </c>
      <c r="BN14" s="574">
        <v>0.5</v>
      </c>
      <c r="BO14" s="576">
        <f t="shared" si="45"/>
        <v>7</v>
      </c>
      <c r="BP14" s="577">
        <f t="shared" si="22"/>
        <v>300</v>
      </c>
      <c r="BQ14" s="578">
        <f>BP14*'Changing with year'!J$19</f>
        <v>2617862.5070571266</v>
      </c>
      <c r="BR14" s="578">
        <f t="shared" ref="BR14:BR16" si="92">M14*7*12</f>
        <v>756000</v>
      </c>
      <c r="BS14" s="578">
        <f t="shared" ref="BS14:BS16" si="93">BR14*W14</f>
        <v>1096200</v>
      </c>
      <c r="BT14" s="578">
        <f t="shared" ref="BT14:BT16" si="94">BS14/G14</f>
        <v>3654</v>
      </c>
      <c r="BU14" s="579">
        <f t="shared" si="49"/>
        <v>1</v>
      </c>
      <c r="BV14" s="579">
        <f t="shared" si="65"/>
        <v>3.4627810939909081</v>
      </c>
      <c r="BW14" s="579">
        <f t="shared" si="50"/>
        <v>9.9206349206349201E-2</v>
      </c>
      <c r="BX14" s="575">
        <v>1</v>
      </c>
      <c r="BY14" s="579">
        <f t="shared" si="51"/>
        <v>4.3635747447845592</v>
      </c>
      <c r="BZ14" s="579">
        <f t="shared" si="52"/>
        <v>4.5635747447845594</v>
      </c>
      <c r="CA14" s="516">
        <f t="shared" si="23"/>
        <v>80</v>
      </c>
      <c r="CB14" s="579">
        <f t="shared" si="53"/>
        <v>1.0476190476190477</v>
      </c>
      <c r="CC14" s="516">
        <f t="shared" si="24"/>
        <v>120</v>
      </c>
      <c r="CD14" s="516">
        <f>'Changing with year'!M78</f>
        <v>3185672.22818609</v>
      </c>
      <c r="CE14" s="516">
        <f t="shared" si="25"/>
        <v>108000</v>
      </c>
      <c r="CF14" s="580">
        <f t="shared" si="66"/>
        <v>9.2592592592592595</v>
      </c>
      <c r="CG14" s="574">
        <f t="shared" si="26"/>
        <v>3.2</v>
      </c>
      <c r="CH14" s="575">
        <f t="shared" si="27"/>
        <v>1</v>
      </c>
      <c r="CI14" s="579">
        <f t="shared" si="54"/>
        <v>5.2476190476190476</v>
      </c>
      <c r="CJ14" s="579">
        <f t="shared" si="28"/>
        <v>5.4476190476190478</v>
      </c>
    </row>
    <row r="15" spans="1:88">
      <c r="A15" s="394" t="s">
        <v>29</v>
      </c>
      <c r="B15" s="555" t="s">
        <v>30</v>
      </c>
      <c r="C15" s="555" t="s">
        <v>28</v>
      </c>
      <c r="D15" s="556">
        <f t="shared" si="29"/>
        <v>960</v>
      </c>
      <c r="E15" s="557">
        <f>E45</f>
        <v>346.5</v>
      </c>
      <c r="F15" s="557">
        <f t="shared" si="0"/>
        <v>28.2</v>
      </c>
      <c r="G15" s="557">
        <v>300</v>
      </c>
      <c r="H15" s="558">
        <f t="shared" si="55"/>
        <v>28.2</v>
      </c>
      <c r="I15" s="559">
        <v>80</v>
      </c>
      <c r="J15" s="559">
        <v>120</v>
      </c>
      <c r="K15" s="560">
        <v>300</v>
      </c>
      <c r="L15" s="561">
        <v>320</v>
      </c>
      <c r="M15" s="562">
        <f t="shared" si="56"/>
        <v>8000</v>
      </c>
      <c r="N15" s="561">
        <v>16</v>
      </c>
      <c r="O15" s="563">
        <v>1</v>
      </c>
      <c r="P15" s="564">
        <v>40</v>
      </c>
      <c r="Q15" s="565">
        <f t="shared" si="30"/>
        <v>7.5</v>
      </c>
      <c r="R15" s="566">
        <v>7</v>
      </c>
      <c r="S15" s="567">
        <v>2.6</v>
      </c>
      <c r="T15" s="567">
        <v>2.7</v>
      </c>
      <c r="U15" s="568">
        <f t="shared" si="57"/>
        <v>2.6500000000000004</v>
      </c>
      <c r="V15" s="568">
        <f t="shared" si="5"/>
        <v>7.8000000000000007</v>
      </c>
      <c r="W15" s="567">
        <v>1.4</v>
      </c>
      <c r="X15" s="568">
        <f t="shared" si="58"/>
        <v>10.4</v>
      </c>
      <c r="Y15" s="569">
        <v>0.5</v>
      </c>
      <c r="Z15" s="570">
        <f t="shared" si="68"/>
        <v>0.4</v>
      </c>
      <c r="AA15" s="570">
        <f t="shared" si="69"/>
        <v>0.3</v>
      </c>
      <c r="AB15" s="570">
        <f t="shared" si="70"/>
        <v>0.45</v>
      </c>
      <c r="AC15" s="570">
        <f t="shared" si="71"/>
        <v>0.35000000000000003</v>
      </c>
      <c r="AD15" s="570">
        <f t="shared" si="72"/>
        <v>0.25</v>
      </c>
      <c r="AE15" s="570">
        <f t="shared" si="73"/>
        <v>0.45</v>
      </c>
      <c r="AF15" s="570">
        <f t="shared" si="74"/>
        <v>0.35000000000000003</v>
      </c>
      <c r="AG15" s="570">
        <f t="shared" si="75"/>
        <v>0.25</v>
      </c>
      <c r="AH15" s="570">
        <f t="shared" si="85"/>
        <v>0.2</v>
      </c>
      <c r="AI15" s="570">
        <f t="shared" si="86"/>
        <v>0.30000000000000004</v>
      </c>
      <c r="AJ15" s="570">
        <f t="shared" si="81"/>
        <v>0.35</v>
      </c>
      <c r="AK15" s="570">
        <f t="shared" si="87"/>
        <v>0.15000000000000002</v>
      </c>
      <c r="AL15" s="570">
        <f t="shared" si="88"/>
        <v>0.25</v>
      </c>
      <c r="AM15" s="570">
        <f t="shared" si="84"/>
        <v>0.35</v>
      </c>
      <c r="AN15" s="570">
        <f t="shared" si="89"/>
        <v>4.9999999999999989E-2</v>
      </c>
      <c r="AO15" s="570">
        <f t="shared" si="90"/>
        <v>0.15000000000000002</v>
      </c>
      <c r="AP15" s="570">
        <f t="shared" si="91"/>
        <v>0.25</v>
      </c>
      <c r="AQ15" s="571">
        <f t="shared" si="16"/>
        <v>96000</v>
      </c>
      <c r="AR15" s="572">
        <v>55000</v>
      </c>
      <c r="AS15" s="572">
        <v>15000</v>
      </c>
      <c r="AT15" s="572"/>
      <c r="AU15" s="572"/>
      <c r="AV15" s="547">
        <f t="shared" si="41"/>
        <v>55000</v>
      </c>
      <c r="AW15" s="547">
        <f t="shared" si="42"/>
        <v>55000</v>
      </c>
      <c r="AX15" s="547">
        <f t="shared" si="17"/>
        <v>40000</v>
      </c>
      <c r="AY15" s="547">
        <f t="shared" si="43"/>
        <v>37600</v>
      </c>
      <c r="AZ15" s="547">
        <f t="shared" si="67"/>
        <v>38900</v>
      </c>
      <c r="BA15" s="548"/>
      <c r="BB15" s="573">
        <v>0.86</v>
      </c>
      <c r="BC15" s="574">
        <f>ROUND(BB15*7/6,1)</f>
        <v>1</v>
      </c>
      <c r="BD15" s="575">
        <f t="shared" si="44"/>
        <v>0.8</v>
      </c>
      <c r="BE15" s="574">
        <f>BC15*0.1</f>
        <v>0.1</v>
      </c>
      <c r="BF15" s="573">
        <v>2</v>
      </c>
      <c r="BG15" s="573">
        <v>16</v>
      </c>
      <c r="BH15" s="573">
        <v>28000</v>
      </c>
      <c r="BI15" s="573">
        <v>30000</v>
      </c>
      <c r="BJ15" s="573">
        <v>6000</v>
      </c>
      <c r="BK15" s="573">
        <v>90000</v>
      </c>
      <c r="BL15" s="574">
        <f>((BF15*BH15+BG15*BI15)+BJ15*(BF15+BG15))/BK15</f>
        <v>7.1555555555555559</v>
      </c>
      <c r="BM15" s="576">
        <f>ROUND((BL15+BC15+BE15),1)</f>
        <v>8.3000000000000007</v>
      </c>
      <c r="BN15" s="574">
        <v>0.5</v>
      </c>
      <c r="BO15" s="576">
        <f t="shared" si="45"/>
        <v>8.8000000000000007</v>
      </c>
      <c r="BP15" s="577">
        <f t="shared" si="22"/>
        <v>300</v>
      </c>
      <c r="BQ15" s="578">
        <f>BP15*'Changing with year'!J$19</f>
        <v>2617862.5070571266</v>
      </c>
      <c r="BR15" s="578">
        <f t="shared" si="92"/>
        <v>672000</v>
      </c>
      <c r="BS15" s="578">
        <f t="shared" si="93"/>
        <v>940799.99999999988</v>
      </c>
      <c r="BT15" s="578">
        <f t="shared" si="94"/>
        <v>3135.9999999999995</v>
      </c>
      <c r="BU15" s="579">
        <f t="shared" si="49"/>
        <v>1</v>
      </c>
      <c r="BV15" s="579">
        <f t="shared" si="65"/>
        <v>3.8956287307397717</v>
      </c>
      <c r="BW15" s="579">
        <f t="shared" si="50"/>
        <v>0.11160714285714286</v>
      </c>
      <c r="BX15" s="575">
        <v>1</v>
      </c>
      <c r="BY15" s="579">
        <f t="shared" si="51"/>
        <v>4.784021587882628</v>
      </c>
      <c r="BZ15" s="579">
        <f t="shared" si="52"/>
        <v>4.9840215878826282</v>
      </c>
      <c r="CA15" s="516">
        <f t="shared" si="23"/>
        <v>80</v>
      </c>
      <c r="CB15" s="579">
        <f t="shared" si="53"/>
        <v>1.1785714285714286</v>
      </c>
      <c r="CC15" s="516">
        <f t="shared" si="24"/>
        <v>120</v>
      </c>
      <c r="CD15" s="516">
        <f>CD14</f>
        <v>3185672.22818609</v>
      </c>
      <c r="CE15" s="516">
        <f t="shared" si="25"/>
        <v>96000</v>
      </c>
      <c r="CF15" s="580">
        <f t="shared" si="66"/>
        <v>10</v>
      </c>
      <c r="CG15" s="574">
        <f t="shared" si="26"/>
        <v>3.3</v>
      </c>
      <c r="CH15" s="575">
        <f t="shared" si="27"/>
        <v>1</v>
      </c>
      <c r="CI15" s="579">
        <f t="shared" si="54"/>
        <v>5.4785714285714286</v>
      </c>
      <c r="CJ15" s="579">
        <f t="shared" si="28"/>
        <v>5.6785714285714288</v>
      </c>
    </row>
    <row r="16" spans="1:88" ht="31.2">
      <c r="A16" s="394" t="s">
        <v>31</v>
      </c>
      <c r="B16" s="555" t="s">
        <v>32</v>
      </c>
      <c r="C16" s="555" t="s">
        <v>11</v>
      </c>
      <c r="D16" s="556">
        <f t="shared" si="29"/>
        <v>960</v>
      </c>
      <c r="E16" s="557">
        <f>D45</f>
        <v>157.5</v>
      </c>
      <c r="F16" s="557">
        <f t="shared" si="0"/>
        <v>28.2</v>
      </c>
      <c r="G16" s="557">
        <v>250</v>
      </c>
      <c r="H16" s="558">
        <f>F16</f>
        <v>28.2</v>
      </c>
      <c r="I16" s="559">
        <v>70</v>
      </c>
      <c r="J16" s="559">
        <v>80</v>
      </c>
      <c r="K16" s="560">
        <v>250</v>
      </c>
      <c r="L16" s="561">
        <v>300</v>
      </c>
      <c r="M16" s="562">
        <f>K16*L16/12</f>
        <v>6250</v>
      </c>
      <c r="N16" s="561">
        <v>10</v>
      </c>
      <c r="O16" s="563">
        <v>0.5</v>
      </c>
      <c r="P16" s="564">
        <v>40</v>
      </c>
      <c r="Q16" s="565">
        <f>K16/P16</f>
        <v>6.25</v>
      </c>
      <c r="R16" s="566">
        <v>7</v>
      </c>
      <c r="S16" s="567">
        <v>4.7</v>
      </c>
      <c r="T16" s="567">
        <v>4.9000000000000004</v>
      </c>
      <c r="U16" s="568">
        <f>(S16+T16)/2</f>
        <v>4.8000000000000007</v>
      </c>
      <c r="V16" s="568">
        <f>S16*3</f>
        <v>14.100000000000001</v>
      </c>
      <c r="W16" s="567">
        <v>1.05</v>
      </c>
      <c r="X16" s="568">
        <f>S16*4</f>
        <v>18.8</v>
      </c>
      <c r="Y16" s="569">
        <v>0.55000000000000004</v>
      </c>
      <c r="Z16" s="570">
        <f>Y16-10%</f>
        <v>0.45000000000000007</v>
      </c>
      <c r="AA16" s="570">
        <f>Y16-20%</f>
        <v>0.35000000000000003</v>
      </c>
      <c r="AB16" s="570">
        <f>Y16-5%</f>
        <v>0.5</v>
      </c>
      <c r="AC16" s="570">
        <f>Z16-5%</f>
        <v>0.40000000000000008</v>
      </c>
      <c r="AD16" s="570">
        <f>AA16-5%</f>
        <v>0.30000000000000004</v>
      </c>
      <c r="AE16" s="570">
        <f>Y16-5%</f>
        <v>0.5</v>
      </c>
      <c r="AF16" s="570">
        <f>Z16-5%</f>
        <v>0.40000000000000008</v>
      </c>
      <c r="AG16" s="570">
        <f>AA16-5%</f>
        <v>0.30000000000000004</v>
      </c>
      <c r="AH16" s="570">
        <f t="shared" si="85"/>
        <v>0.25000000000000006</v>
      </c>
      <c r="AI16" s="570">
        <f t="shared" si="86"/>
        <v>0.35000000000000009</v>
      </c>
      <c r="AJ16" s="570">
        <f t="shared" si="81"/>
        <v>0.4</v>
      </c>
      <c r="AK16" s="570">
        <f t="shared" si="87"/>
        <v>0.20000000000000007</v>
      </c>
      <c r="AL16" s="570">
        <f t="shared" si="88"/>
        <v>0.30000000000000004</v>
      </c>
      <c r="AM16" s="570">
        <f t="shared" si="84"/>
        <v>0.4</v>
      </c>
      <c r="AN16" s="570">
        <f t="shared" si="89"/>
        <v>0.10000000000000003</v>
      </c>
      <c r="AO16" s="570">
        <f t="shared" si="90"/>
        <v>0.20000000000000007</v>
      </c>
      <c r="AP16" s="570">
        <f t="shared" si="91"/>
        <v>0.30000000000000004</v>
      </c>
      <c r="AQ16" s="571">
        <f t="shared" si="16"/>
        <v>75000</v>
      </c>
      <c r="AR16" s="572">
        <v>28000</v>
      </c>
      <c r="AS16" s="572">
        <v>9500</v>
      </c>
      <c r="AT16" s="572"/>
      <c r="AU16" s="572"/>
      <c r="AV16" s="547">
        <f t="shared" si="41"/>
        <v>28000</v>
      </c>
      <c r="AW16" s="547">
        <f t="shared" si="42"/>
        <v>28000</v>
      </c>
      <c r="AX16" s="547">
        <f t="shared" si="17"/>
        <v>18500</v>
      </c>
      <c r="AY16" s="547">
        <f t="shared" si="43"/>
        <v>16500</v>
      </c>
      <c r="AZ16" s="547">
        <f t="shared" si="67"/>
        <v>17600</v>
      </c>
      <c r="BA16" s="548"/>
      <c r="BB16" s="573">
        <v>0.86</v>
      </c>
      <c r="BC16" s="574">
        <f>ROUND(BB16*7/6,1)</f>
        <v>1</v>
      </c>
      <c r="BD16" s="575">
        <f t="shared" si="44"/>
        <v>0.8</v>
      </c>
      <c r="BE16" s="574">
        <f>BC16*0.1</f>
        <v>0.1</v>
      </c>
      <c r="BF16" s="573">
        <v>2</v>
      </c>
      <c r="BG16" s="573">
        <v>8</v>
      </c>
      <c r="BH16" s="573">
        <v>28000</v>
      </c>
      <c r="BI16" s="573">
        <v>30000</v>
      </c>
      <c r="BJ16" s="573">
        <v>6000</v>
      </c>
      <c r="BK16" s="573">
        <v>150000</v>
      </c>
      <c r="BL16" s="574">
        <f>((BF16*BH16+BG16*BI16)+BJ16*(BF16+BG16))/BK16</f>
        <v>2.3733333333333335</v>
      </c>
      <c r="BM16" s="576">
        <f>ROUND((BL16+BC16+BE16),1)</f>
        <v>3.5</v>
      </c>
      <c r="BN16" s="574">
        <v>0.5</v>
      </c>
      <c r="BO16" s="576">
        <f t="shared" si="45"/>
        <v>4</v>
      </c>
      <c r="BP16" s="577">
        <f t="shared" si="22"/>
        <v>250</v>
      </c>
      <c r="BQ16" s="578">
        <f>BP16*'Changing with year'!J$19</f>
        <v>2181552.0892142723</v>
      </c>
      <c r="BR16" s="578">
        <f t="shared" si="92"/>
        <v>525000</v>
      </c>
      <c r="BS16" s="578">
        <f t="shared" si="93"/>
        <v>551250</v>
      </c>
      <c r="BT16" s="578">
        <f t="shared" si="94"/>
        <v>2205</v>
      </c>
      <c r="BU16" s="579">
        <f t="shared" si="49"/>
        <v>0.73499999999999999</v>
      </c>
      <c r="BV16" s="579">
        <f t="shared" si="65"/>
        <v>3.0541729248999814</v>
      </c>
      <c r="BW16" s="579">
        <f t="shared" si="50"/>
        <v>0.11904761904761904</v>
      </c>
      <c r="BX16" s="575">
        <v>0.8</v>
      </c>
      <c r="BY16" s="579">
        <f t="shared" si="51"/>
        <v>3.7351253058523626</v>
      </c>
      <c r="BZ16" s="579">
        <f t="shared" si="52"/>
        <v>3.9351253058523623</v>
      </c>
      <c r="CA16" s="516">
        <f t="shared" si="23"/>
        <v>70</v>
      </c>
      <c r="CB16" s="579">
        <f t="shared" si="53"/>
        <v>0.97019999999999995</v>
      </c>
      <c r="CC16" s="516">
        <f t="shared" si="24"/>
        <v>80</v>
      </c>
      <c r="CD16" s="516">
        <f>CD6</f>
        <v>2123781.4854573933</v>
      </c>
      <c r="CE16" s="516">
        <f t="shared" si="25"/>
        <v>75000</v>
      </c>
      <c r="CF16" s="580">
        <f t="shared" si="66"/>
        <v>10</v>
      </c>
      <c r="CG16" s="574">
        <f t="shared" si="26"/>
        <v>2.8</v>
      </c>
      <c r="CH16" s="575">
        <f t="shared" si="27"/>
        <v>0.8</v>
      </c>
      <c r="CI16" s="579">
        <f t="shared" si="54"/>
        <v>4.5701999999999998</v>
      </c>
      <c r="CJ16" s="579">
        <f t="shared" si="28"/>
        <v>4.7702</v>
      </c>
    </row>
    <row r="17" spans="1:88">
      <c r="A17" s="394" t="s">
        <v>33</v>
      </c>
      <c r="B17" s="555" t="s">
        <v>34</v>
      </c>
      <c r="C17" s="555" t="s">
        <v>11</v>
      </c>
      <c r="D17" s="556">
        <f t="shared" si="29"/>
        <v>960</v>
      </c>
      <c r="E17" s="557">
        <f>D45</f>
        <v>157.5</v>
      </c>
      <c r="F17" s="557">
        <f t="shared" si="0"/>
        <v>28.2</v>
      </c>
      <c r="G17" s="557">
        <v>250</v>
      </c>
      <c r="H17" s="558">
        <f t="shared" si="55"/>
        <v>28.2</v>
      </c>
      <c r="I17" s="559">
        <v>70</v>
      </c>
      <c r="J17" s="559">
        <v>80</v>
      </c>
      <c r="K17" s="560">
        <v>300</v>
      </c>
      <c r="L17" s="561">
        <v>300</v>
      </c>
      <c r="M17" s="562">
        <f t="shared" si="56"/>
        <v>7500</v>
      </c>
      <c r="N17" s="561">
        <v>16</v>
      </c>
      <c r="O17" s="563">
        <v>0.65</v>
      </c>
      <c r="P17" s="564">
        <v>40</v>
      </c>
      <c r="Q17" s="565">
        <f>K17/P17</f>
        <v>7.5</v>
      </c>
      <c r="R17" s="566">
        <v>7</v>
      </c>
      <c r="S17" s="567">
        <v>4.7</v>
      </c>
      <c r="T17" s="567">
        <v>4.9000000000000004</v>
      </c>
      <c r="U17" s="568">
        <f t="shared" si="57"/>
        <v>4.8000000000000007</v>
      </c>
      <c r="V17" s="568">
        <f t="shared" si="5"/>
        <v>14.100000000000001</v>
      </c>
      <c r="W17" s="567">
        <v>1.05</v>
      </c>
      <c r="X17" s="568">
        <f t="shared" si="58"/>
        <v>18.8</v>
      </c>
      <c r="Y17" s="569">
        <v>0.55000000000000004</v>
      </c>
      <c r="Z17" s="570">
        <f t="shared" si="68"/>
        <v>0.45000000000000007</v>
      </c>
      <c r="AA17" s="570">
        <f t="shared" si="69"/>
        <v>0.35000000000000003</v>
      </c>
      <c r="AB17" s="570">
        <f t="shared" si="70"/>
        <v>0.5</v>
      </c>
      <c r="AC17" s="570">
        <f t="shared" si="71"/>
        <v>0.40000000000000008</v>
      </c>
      <c r="AD17" s="570">
        <f t="shared" si="72"/>
        <v>0.30000000000000004</v>
      </c>
      <c r="AE17" s="570">
        <f t="shared" si="73"/>
        <v>0.5</v>
      </c>
      <c r="AF17" s="570">
        <f t="shared" si="74"/>
        <v>0.40000000000000008</v>
      </c>
      <c r="AG17" s="570">
        <f t="shared" si="75"/>
        <v>0.30000000000000004</v>
      </c>
      <c r="AH17" s="570">
        <f t="shared" si="85"/>
        <v>0.25000000000000006</v>
      </c>
      <c r="AI17" s="570">
        <f t="shared" si="86"/>
        <v>0.35000000000000009</v>
      </c>
      <c r="AJ17" s="570">
        <f t="shared" si="81"/>
        <v>0.4</v>
      </c>
      <c r="AK17" s="570">
        <f t="shared" si="87"/>
        <v>0.20000000000000007</v>
      </c>
      <c r="AL17" s="570">
        <f t="shared" si="88"/>
        <v>0.30000000000000004</v>
      </c>
      <c r="AM17" s="570">
        <f t="shared" si="84"/>
        <v>0.4</v>
      </c>
      <c r="AN17" s="570">
        <f t="shared" si="89"/>
        <v>0.10000000000000003</v>
      </c>
      <c r="AO17" s="570">
        <f t="shared" si="90"/>
        <v>0.20000000000000007</v>
      </c>
      <c r="AP17" s="570">
        <f t="shared" si="91"/>
        <v>0.30000000000000004</v>
      </c>
      <c r="AQ17" s="571">
        <f t="shared" si="16"/>
        <v>90000</v>
      </c>
      <c r="AR17" s="572">
        <v>28000</v>
      </c>
      <c r="AS17" s="572">
        <v>9500</v>
      </c>
      <c r="AT17" s="572"/>
      <c r="AU17" s="572"/>
      <c r="AV17" s="547">
        <f t="shared" si="41"/>
        <v>28000</v>
      </c>
      <c r="AW17" s="547">
        <f t="shared" si="42"/>
        <v>28000</v>
      </c>
      <c r="AX17" s="547">
        <f t="shared" si="17"/>
        <v>18500</v>
      </c>
      <c r="AY17" s="547">
        <f t="shared" si="43"/>
        <v>16500</v>
      </c>
      <c r="AZ17" s="547">
        <f t="shared" si="67"/>
        <v>17600</v>
      </c>
      <c r="BA17" s="548"/>
      <c r="BB17" s="573">
        <v>0.86</v>
      </c>
      <c r="BC17" s="574">
        <f t="shared" si="18"/>
        <v>1</v>
      </c>
      <c r="BD17" s="575">
        <f t="shared" si="44"/>
        <v>0.8</v>
      </c>
      <c r="BE17" s="574">
        <f t="shared" si="63"/>
        <v>0.1</v>
      </c>
      <c r="BF17" s="573">
        <v>2</v>
      </c>
      <c r="BG17" s="573">
        <v>8</v>
      </c>
      <c r="BH17" s="573">
        <v>28000</v>
      </c>
      <c r="BI17" s="573">
        <v>30000</v>
      </c>
      <c r="BJ17" s="573">
        <v>6000</v>
      </c>
      <c r="BK17" s="573">
        <v>150000</v>
      </c>
      <c r="BL17" s="574">
        <f t="shared" si="64"/>
        <v>2.3733333333333335</v>
      </c>
      <c r="BM17" s="576">
        <f t="shared" si="21"/>
        <v>3.5</v>
      </c>
      <c r="BN17" s="574">
        <v>0.5</v>
      </c>
      <c r="BO17" s="576">
        <f t="shared" si="45"/>
        <v>4</v>
      </c>
      <c r="BP17" s="577">
        <f t="shared" si="22"/>
        <v>250</v>
      </c>
      <c r="BQ17" s="578">
        <f>BP17*'Changing with year'!J$19</f>
        <v>2181552.0892142723</v>
      </c>
      <c r="BR17" s="578">
        <f>M17*7*12</f>
        <v>630000</v>
      </c>
      <c r="BS17" s="578">
        <f>BR17*W17</f>
        <v>661500</v>
      </c>
      <c r="BT17" s="578">
        <f>BS17/G17</f>
        <v>2646</v>
      </c>
      <c r="BU17" s="579">
        <f t="shared" si="49"/>
        <v>0.88200000000000001</v>
      </c>
      <c r="BV17" s="579">
        <f t="shared" si="65"/>
        <v>3.0541729248999814</v>
      </c>
      <c r="BW17" s="579">
        <f t="shared" si="50"/>
        <v>9.9206349206349201E-2</v>
      </c>
      <c r="BX17" s="575">
        <v>0.8</v>
      </c>
      <c r="BY17" s="579">
        <f t="shared" si="51"/>
        <v>3.7549665756936323</v>
      </c>
      <c r="BZ17" s="579">
        <f t="shared" si="52"/>
        <v>3.954966575693633</v>
      </c>
      <c r="CA17" s="516">
        <f t="shared" si="23"/>
        <v>70</v>
      </c>
      <c r="CB17" s="579">
        <f t="shared" si="53"/>
        <v>0.97019999999999995</v>
      </c>
      <c r="CC17" s="516">
        <f t="shared" si="24"/>
        <v>80</v>
      </c>
      <c r="CD17" s="516">
        <f>CD6</f>
        <v>2123781.4854573933</v>
      </c>
      <c r="CE17" s="516">
        <f t="shared" si="25"/>
        <v>90000</v>
      </c>
      <c r="CF17" s="580">
        <f t="shared" si="66"/>
        <v>10</v>
      </c>
      <c r="CG17" s="574">
        <f t="shared" si="26"/>
        <v>2.4</v>
      </c>
      <c r="CH17" s="575">
        <f t="shared" si="27"/>
        <v>0.8</v>
      </c>
      <c r="CI17" s="579">
        <f t="shared" si="54"/>
        <v>4.1702000000000004</v>
      </c>
      <c r="CJ17" s="579">
        <f t="shared" si="28"/>
        <v>4.3702000000000005</v>
      </c>
    </row>
    <row r="18" spans="1:88">
      <c r="A18" s="394" t="s">
        <v>35</v>
      </c>
      <c r="B18" s="555" t="s">
        <v>36</v>
      </c>
      <c r="C18" s="555" t="s">
        <v>37</v>
      </c>
      <c r="D18" s="556">
        <f t="shared" si="29"/>
        <v>960</v>
      </c>
      <c r="E18" s="557">
        <f>E45</f>
        <v>346.5</v>
      </c>
      <c r="F18" s="557">
        <f t="shared" si="0"/>
        <v>28.2</v>
      </c>
      <c r="G18" s="557">
        <v>300</v>
      </c>
      <c r="H18" s="558">
        <f>F18</f>
        <v>28.2</v>
      </c>
      <c r="I18" s="559">
        <v>70</v>
      </c>
      <c r="J18" s="559">
        <v>80</v>
      </c>
      <c r="K18" s="560">
        <v>250</v>
      </c>
      <c r="L18" s="561">
        <v>240</v>
      </c>
      <c r="M18" s="562">
        <f>K18*L18/12</f>
        <v>5000</v>
      </c>
      <c r="N18" s="561">
        <v>12</v>
      </c>
      <c r="O18" s="563">
        <v>0.5</v>
      </c>
      <c r="P18" s="564">
        <v>40</v>
      </c>
      <c r="Q18" s="565">
        <f>K18/P18</f>
        <v>6.25</v>
      </c>
      <c r="R18" s="566">
        <v>7</v>
      </c>
      <c r="S18" s="567">
        <v>3.6</v>
      </c>
      <c r="T18" s="567">
        <v>3.8</v>
      </c>
      <c r="U18" s="568">
        <f>(S18+T18)/2</f>
        <v>3.7</v>
      </c>
      <c r="V18" s="568">
        <f>S18*3</f>
        <v>10.8</v>
      </c>
      <c r="W18" s="567">
        <v>1.25</v>
      </c>
      <c r="X18" s="568">
        <f>S18*4</f>
        <v>14.4</v>
      </c>
      <c r="Y18" s="569">
        <v>0.55000000000000004</v>
      </c>
      <c r="Z18" s="570">
        <f>Y18-10%</f>
        <v>0.45000000000000007</v>
      </c>
      <c r="AA18" s="570">
        <f>Y18-20%</f>
        <v>0.35000000000000003</v>
      </c>
      <c r="AB18" s="570">
        <f>Y18-5%</f>
        <v>0.5</v>
      </c>
      <c r="AC18" s="570">
        <f>Z18-5%</f>
        <v>0.40000000000000008</v>
      </c>
      <c r="AD18" s="570">
        <f>AA18-5%</f>
        <v>0.30000000000000004</v>
      </c>
      <c r="AE18" s="570">
        <f>Y18-5%</f>
        <v>0.5</v>
      </c>
      <c r="AF18" s="570">
        <f>Z18-5%</f>
        <v>0.40000000000000008</v>
      </c>
      <c r="AG18" s="570">
        <f>AA18-5%</f>
        <v>0.30000000000000004</v>
      </c>
      <c r="AH18" s="570">
        <f t="shared" si="85"/>
        <v>0.25000000000000006</v>
      </c>
      <c r="AI18" s="570">
        <f t="shared" si="86"/>
        <v>0.35000000000000009</v>
      </c>
      <c r="AJ18" s="570">
        <f t="shared" si="81"/>
        <v>0.4</v>
      </c>
      <c r="AK18" s="570">
        <f t="shared" si="87"/>
        <v>0.20000000000000007</v>
      </c>
      <c r="AL18" s="570">
        <f t="shared" si="88"/>
        <v>0.30000000000000004</v>
      </c>
      <c r="AM18" s="570">
        <f t="shared" si="84"/>
        <v>0.4</v>
      </c>
      <c r="AN18" s="570">
        <f t="shared" si="89"/>
        <v>0.10000000000000003</v>
      </c>
      <c r="AO18" s="570">
        <f t="shared" si="90"/>
        <v>0.20000000000000007</v>
      </c>
      <c r="AP18" s="570">
        <f t="shared" si="91"/>
        <v>0.30000000000000004</v>
      </c>
      <c r="AQ18" s="571">
        <f t="shared" si="16"/>
        <v>60000</v>
      </c>
      <c r="AR18" s="572">
        <v>39500</v>
      </c>
      <c r="AS18" s="572">
        <v>19000</v>
      </c>
      <c r="AT18" s="572"/>
      <c r="AU18" s="572"/>
      <c r="AV18" s="547">
        <f t="shared" si="41"/>
        <v>39500</v>
      </c>
      <c r="AW18" s="547">
        <f t="shared" si="42"/>
        <v>39500</v>
      </c>
      <c r="AX18" s="547">
        <f t="shared" si="17"/>
        <v>20500</v>
      </c>
      <c r="AY18" s="547">
        <f t="shared" si="43"/>
        <v>18100</v>
      </c>
      <c r="AZ18" s="547">
        <f t="shared" si="67"/>
        <v>19600</v>
      </c>
      <c r="BA18" s="548"/>
      <c r="BB18" s="582">
        <v>0.8</v>
      </c>
      <c r="BC18" s="574">
        <f>ROUND(BB18*7/6,1)</f>
        <v>0.9</v>
      </c>
      <c r="BD18" s="575">
        <f t="shared" si="44"/>
        <v>0.72000000000000008</v>
      </c>
      <c r="BE18" s="574">
        <f>BC18*0.1</f>
        <v>9.0000000000000011E-2</v>
      </c>
      <c r="BF18" s="573">
        <v>2</v>
      </c>
      <c r="BG18" s="573">
        <v>12</v>
      </c>
      <c r="BH18" s="573">
        <v>28000</v>
      </c>
      <c r="BI18" s="573">
        <v>30000</v>
      </c>
      <c r="BJ18" s="573">
        <v>6000</v>
      </c>
      <c r="BK18" s="573">
        <v>150000</v>
      </c>
      <c r="BL18" s="574">
        <f>((BF18*BH18+BG18*BI18)+BJ18*(BF18+BG18))/BK18</f>
        <v>3.3333333333333335</v>
      </c>
      <c r="BM18" s="576">
        <f>ROUND((BL18+BC18+BE18),1)</f>
        <v>4.3</v>
      </c>
      <c r="BN18" s="574">
        <v>0.5</v>
      </c>
      <c r="BO18" s="576">
        <f t="shared" si="45"/>
        <v>4.8</v>
      </c>
      <c r="BP18" s="577">
        <f t="shared" si="22"/>
        <v>300</v>
      </c>
      <c r="BQ18" s="578">
        <f>BP18*'Changing with year'!J$19</f>
        <v>2617862.5070571266</v>
      </c>
      <c r="BR18" s="578">
        <f>M18*7*12</f>
        <v>420000</v>
      </c>
      <c r="BS18" s="578">
        <f>BR18*W18</f>
        <v>525000</v>
      </c>
      <c r="BT18" s="578">
        <f>BS18/G18</f>
        <v>1750</v>
      </c>
      <c r="BU18" s="579">
        <f t="shared" si="49"/>
        <v>0.58333333333333337</v>
      </c>
      <c r="BV18" s="579">
        <f t="shared" si="65"/>
        <v>3.6359201486904542</v>
      </c>
      <c r="BW18" s="579">
        <f t="shared" si="50"/>
        <v>0.17857142857142858</v>
      </c>
      <c r="BX18" s="575">
        <v>1</v>
      </c>
      <c r="BY18" s="579">
        <f t="shared" si="51"/>
        <v>4.4573487201190254</v>
      </c>
      <c r="BZ18" s="579">
        <f t="shared" si="52"/>
        <v>4.637348720119026</v>
      </c>
      <c r="CA18" s="516">
        <f t="shared" si="23"/>
        <v>70</v>
      </c>
      <c r="CB18" s="579">
        <f t="shared" si="53"/>
        <v>0.96250000000000002</v>
      </c>
      <c r="CC18" s="516">
        <f t="shared" si="24"/>
        <v>80</v>
      </c>
      <c r="CD18" s="516">
        <f>'Changing with year'!M77</f>
        <v>2123781.4854573933</v>
      </c>
      <c r="CE18" s="516">
        <f t="shared" si="25"/>
        <v>60000</v>
      </c>
      <c r="CF18" s="580">
        <f t="shared" si="66"/>
        <v>10</v>
      </c>
      <c r="CG18" s="574">
        <f t="shared" si="26"/>
        <v>3.5</v>
      </c>
      <c r="CH18" s="575">
        <f t="shared" si="27"/>
        <v>1</v>
      </c>
      <c r="CI18" s="579">
        <f t="shared" si="54"/>
        <v>5.4625000000000004</v>
      </c>
      <c r="CJ18" s="579">
        <f t="shared" si="28"/>
        <v>5.642500000000001</v>
      </c>
    </row>
    <row r="19" spans="1:88">
      <c r="BC19" s="458" t="s">
        <v>450</v>
      </c>
    </row>
    <row r="20" spans="1:88" ht="31.2">
      <c r="B20" s="584" t="s">
        <v>769</v>
      </c>
      <c r="D20" s="585">
        <v>0.05</v>
      </c>
      <c r="BV20" s="586" t="s">
        <v>719</v>
      </c>
    </row>
    <row r="22" spans="1:88">
      <c r="B22" s="926" t="s">
        <v>207</v>
      </c>
      <c r="C22" s="926"/>
      <c r="D22" s="587">
        <v>3000</v>
      </c>
      <c r="E22" s="461" t="s">
        <v>208</v>
      </c>
    </row>
    <row r="23" spans="1:88">
      <c r="B23" s="926" t="s">
        <v>209</v>
      </c>
      <c r="C23" s="926"/>
      <c r="D23" s="587">
        <v>25000</v>
      </c>
      <c r="E23" s="461" t="s">
        <v>210</v>
      </c>
    </row>
    <row r="24" spans="1:88">
      <c r="B24" s="925" t="s">
        <v>211</v>
      </c>
      <c r="C24" s="925"/>
      <c r="D24" s="588">
        <v>8</v>
      </c>
      <c r="E24" s="461" t="s">
        <v>212</v>
      </c>
    </row>
    <row r="25" spans="1:88">
      <c r="B25" s="925" t="s">
        <v>213</v>
      </c>
      <c r="C25" s="925"/>
      <c r="D25" s="588">
        <v>4</v>
      </c>
      <c r="E25" s="461" t="s">
        <v>214</v>
      </c>
    </row>
    <row r="27" spans="1:88">
      <c r="B27" s="59" t="s">
        <v>215</v>
      </c>
      <c r="C27" s="825" t="s">
        <v>216</v>
      </c>
      <c r="D27" s="589">
        <v>0.12</v>
      </c>
      <c r="E27" s="461" t="s">
        <v>198</v>
      </c>
    </row>
    <row r="28" spans="1:88">
      <c r="B28" s="59" t="s">
        <v>217</v>
      </c>
      <c r="C28" s="825"/>
      <c r="D28" s="588">
        <v>7</v>
      </c>
      <c r="E28" s="461" t="s">
        <v>218</v>
      </c>
    </row>
    <row r="29" spans="1:88">
      <c r="B29" s="59" t="s">
        <v>219</v>
      </c>
      <c r="C29" s="825" t="s">
        <v>220</v>
      </c>
      <c r="D29" s="589">
        <v>0.12</v>
      </c>
      <c r="E29" s="461" t="s">
        <v>198</v>
      </c>
    </row>
    <row r="30" spans="1:88">
      <c r="B30" s="59" t="s">
        <v>217</v>
      </c>
      <c r="C30" s="825"/>
      <c r="D30" s="588">
        <v>7</v>
      </c>
      <c r="E30" s="461" t="s">
        <v>218</v>
      </c>
    </row>
    <row r="31" spans="1:88">
      <c r="B31" s="924"/>
      <c r="C31" s="924"/>
    </row>
    <row r="32" spans="1:88">
      <c r="B32" s="924" t="s">
        <v>221</v>
      </c>
      <c r="C32" s="924"/>
      <c r="D32" s="590">
        <v>0.02</v>
      </c>
      <c r="E32" s="461" t="s">
        <v>222</v>
      </c>
    </row>
    <row r="34" spans="2:53" s="458" customFormat="1" ht="32.1" customHeight="1">
      <c r="B34" s="923" t="s">
        <v>223</v>
      </c>
      <c r="C34" s="923"/>
      <c r="D34" s="527">
        <v>0.5</v>
      </c>
      <c r="E34" s="527">
        <v>0.45</v>
      </c>
      <c r="F34" s="527">
        <v>0.4</v>
      </c>
      <c r="G34" s="527">
        <v>0.35</v>
      </c>
      <c r="H34" s="527">
        <v>0.3</v>
      </c>
      <c r="I34" s="527">
        <v>0.25</v>
      </c>
      <c r="AQ34" s="591"/>
      <c r="AR34" s="591"/>
      <c r="AS34" s="591"/>
      <c r="AT34" s="591"/>
      <c r="AU34" s="591"/>
      <c r="AV34" s="591"/>
      <c r="AW34" s="591"/>
      <c r="AX34" s="591"/>
      <c r="AY34" s="591"/>
      <c r="AZ34" s="591"/>
      <c r="BA34" s="591"/>
    </row>
    <row r="35" spans="2:53" s="458" customFormat="1" ht="32.1" customHeight="1">
      <c r="B35" s="526"/>
      <c r="C35" s="526"/>
      <c r="D35" s="528" t="s">
        <v>698</v>
      </c>
      <c r="E35" s="528" t="s">
        <v>699</v>
      </c>
      <c r="F35" s="528" t="s">
        <v>700</v>
      </c>
      <c r="G35" s="528" t="s">
        <v>701</v>
      </c>
      <c r="H35" s="529" t="s">
        <v>224</v>
      </c>
      <c r="I35" s="528" t="s">
        <v>225</v>
      </c>
      <c r="AQ35" s="591"/>
      <c r="AR35" s="591"/>
      <c r="AS35" s="591"/>
      <c r="AT35" s="591"/>
      <c r="AU35" s="591"/>
      <c r="AV35" s="591"/>
      <c r="AW35" s="591"/>
      <c r="AX35" s="591"/>
      <c r="AY35" s="591"/>
      <c r="AZ35" s="591"/>
      <c r="BA35" s="591"/>
    </row>
    <row r="36" spans="2:53" s="458" customFormat="1" ht="28.5" customHeight="1">
      <c r="B36" s="923" t="s">
        <v>226</v>
      </c>
      <c r="C36" s="923"/>
      <c r="D36" s="931">
        <v>0.4</v>
      </c>
      <c r="E36" s="931"/>
      <c r="F36" s="931"/>
      <c r="G36" s="931"/>
      <c r="H36" s="931"/>
      <c r="I36" s="527">
        <v>0.35</v>
      </c>
      <c r="AQ36" s="591"/>
      <c r="AR36" s="591"/>
      <c r="AS36" s="591"/>
      <c r="AT36" s="591"/>
      <c r="AU36" s="591"/>
      <c r="AV36" s="591"/>
      <c r="AW36" s="591"/>
      <c r="AX36" s="591"/>
      <c r="AY36" s="591"/>
      <c r="AZ36" s="591"/>
      <c r="BA36" s="591"/>
    </row>
    <row r="38" spans="2:53">
      <c r="B38" s="461" t="s">
        <v>227</v>
      </c>
      <c r="D38" s="587">
        <v>480</v>
      </c>
      <c r="E38" s="587">
        <v>960</v>
      </c>
    </row>
    <row r="39" spans="2:53">
      <c r="B39" s="461" t="s">
        <v>228</v>
      </c>
      <c r="D39" s="930">
        <v>0.2</v>
      </c>
      <c r="E39" s="930"/>
    </row>
    <row r="40" spans="2:53">
      <c r="B40" s="461" t="s">
        <v>229</v>
      </c>
      <c r="D40" s="592">
        <f>D38*D39</f>
        <v>96</v>
      </c>
      <c r="E40" s="592">
        <f>E38*D39</f>
        <v>192</v>
      </c>
    </row>
    <row r="41" spans="2:53">
      <c r="B41" s="461" t="s">
        <v>230</v>
      </c>
      <c r="D41" s="592">
        <v>150000</v>
      </c>
      <c r="E41" s="592">
        <v>250000</v>
      </c>
    </row>
    <row r="43" spans="2:53">
      <c r="B43" s="461" t="s">
        <v>231</v>
      </c>
      <c r="D43" s="587">
        <v>450</v>
      </c>
      <c r="E43" s="587">
        <v>990</v>
      </c>
    </row>
    <row r="44" spans="2:53">
      <c r="B44" s="461" t="s">
        <v>232</v>
      </c>
      <c r="D44" s="930">
        <v>0.35</v>
      </c>
      <c r="E44" s="930"/>
    </row>
    <row r="45" spans="2:53">
      <c r="B45" s="461" t="s">
        <v>233</v>
      </c>
      <c r="D45" s="592">
        <f>D43*D44</f>
        <v>157.5</v>
      </c>
      <c r="E45" s="592">
        <f>E43*D44</f>
        <v>346.5</v>
      </c>
    </row>
    <row r="47" spans="2:53">
      <c r="B47" s="461" t="s">
        <v>234</v>
      </c>
      <c r="D47" s="587">
        <v>1200</v>
      </c>
      <c r="E47" s="587">
        <v>2400</v>
      </c>
    </row>
    <row r="48" spans="2:53">
      <c r="B48" s="461" t="s">
        <v>235</v>
      </c>
      <c r="D48" s="930">
        <v>23.5</v>
      </c>
      <c r="E48" s="930"/>
    </row>
    <row r="49" spans="2:89">
      <c r="B49" s="461" t="s">
        <v>236</v>
      </c>
      <c r="D49" s="592">
        <f>D47*D48/1000</f>
        <v>28.2</v>
      </c>
      <c r="E49" s="592">
        <f>E47*D48/1000</f>
        <v>56.4</v>
      </c>
    </row>
    <row r="51" spans="2:89">
      <c r="D51" s="445" t="s">
        <v>178</v>
      </c>
      <c r="E51" s="445" t="s">
        <v>179</v>
      </c>
      <c r="F51" s="445" t="s">
        <v>180</v>
      </c>
      <c r="G51" s="22" t="s">
        <v>182</v>
      </c>
      <c r="H51" s="22" t="s">
        <v>181</v>
      </c>
      <c r="I51" s="445" t="s">
        <v>183</v>
      </c>
    </row>
    <row r="52" spans="2:89" ht="31.2">
      <c r="B52" s="23" t="s">
        <v>460</v>
      </c>
      <c r="C52" s="879" t="s">
        <v>691</v>
      </c>
      <c r="D52" s="33">
        <v>1</v>
      </c>
      <c r="E52" s="33">
        <v>0.95</v>
      </c>
      <c r="F52" s="33">
        <v>0.95</v>
      </c>
      <c r="G52" s="33">
        <v>1.1499999999999999</v>
      </c>
      <c r="H52" s="33">
        <v>0.95</v>
      </c>
      <c r="I52" s="33">
        <v>1.1499999999999999</v>
      </c>
    </row>
    <row r="53" spans="2:89">
      <c r="B53" s="23" t="s">
        <v>461</v>
      </c>
      <c r="C53" s="879"/>
      <c r="D53" s="33">
        <v>1</v>
      </c>
      <c r="E53" s="502">
        <v>1.05</v>
      </c>
      <c r="F53" s="502">
        <v>1.1000000000000001</v>
      </c>
      <c r="G53" s="502">
        <v>1.2</v>
      </c>
      <c r="H53" s="33">
        <v>1</v>
      </c>
      <c r="I53" s="33">
        <v>1</v>
      </c>
    </row>
    <row r="55" spans="2:89">
      <c r="B55" s="460" t="s">
        <v>237</v>
      </c>
    </row>
    <row r="56" spans="2:89" s="595" customFormat="1">
      <c r="B56" s="593"/>
      <c r="C56" s="593"/>
      <c r="D56" s="594" t="s">
        <v>178</v>
      </c>
      <c r="E56" s="594" t="s">
        <v>180</v>
      </c>
      <c r="F56" s="594" t="s">
        <v>238</v>
      </c>
      <c r="G56" s="594" t="s">
        <v>239</v>
      </c>
      <c r="K56" s="595">
        <v>5</v>
      </c>
      <c r="L56" s="595">
        <v>1</v>
      </c>
      <c r="M56" s="595">
        <v>0.3</v>
      </c>
      <c r="BB56" s="458"/>
      <c r="BC56" s="458"/>
      <c r="BD56" s="458"/>
      <c r="BE56" s="458"/>
      <c r="BF56" s="458"/>
      <c r="BG56" s="458"/>
      <c r="BH56" s="458"/>
      <c r="BI56" s="458"/>
      <c r="BJ56" s="458"/>
      <c r="BK56" s="458"/>
      <c r="BL56" s="458"/>
      <c r="BM56" s="458"/>
      <c r="BN56" s="458"/>
      <c r="BO56" s="458"/>
      <c r="BP56" s="458"/>
      <c r="BQ56" s="458"/>
      <c r="BR56" s="458"/>
      <c r="BS56" s="458"/>
      <c r="BT56" s="458"/>
      <c r="BU56" s="458"/>
      <c r="BV56" s="458"/>
      <c r="BW56" s="458"/>
      <c r="BX56" s="458"/>
      <c r="BY56" s="458"/>
      <c r="BZ56" s="458"/>
      <c r="CA56" s="458"/>
      <c r="CB56" s="458"/>
      <c r="CC56" s="458"/>
      <c r="CD56" s="458"/>
      <c r="CE56" s="458"/>
      <c r="CF56" s="458"/>
      <c r="CG56" s="458"/>
      <c r="CH56" s="458"/>
      <c r="CI56" s="458"/>
      <c r="CJ56" s="458"/>
    </row>
    <row r="57" spans="2:89" s="595" customFormat="1">
      <c r="B57" s="593" t="s">
        <v>240</v>
      </c>
      <c r="C57" s="593" t="s">
        <v>241</v>
      </c>
      <c r="D57" s="596">
        <v>45.5</v>
      </c>
      <c r="E57" s="596">
        <v>40</v>
      </c>
      <c r="F57" s="596">
        <v>120</v>
      </c>
      <c r="G57" s="596">
        <v>120</v>
      </c>
      <c r="H57" s="597" t="s">
        <v>242</v>
      </c>
      <c r="M57" s="595">
        <v>1</v>
      </c>
      <c r="BB57" s="458"/>
      <c r="BC57" s="458"/>
      <c r="BD57" s="458"/>
      <c r="BE57" s="458"/>
      <c r="BF57" s="458"/>
      <c r="BG57" s="458"/>
      <c r="BH57" s="458"/>
      <c r="BI57" s="458"/>
      <c r="BJ57" s="458"/>
      <c r="BK57" s="458"/>
      <c r="BL57" s="458"/>
      <c r="BM57" s="458"/>
      <c r="BN57" s="458"/>
      <c r="BO57" s="458"/>
      <c r="BP57" s="458"/>
      <c r="BQ57" s="458"/>
      <c r="BR57" s="458"/>
      <c r="BS57" s="458"/>
      <c r="BT57" s="458"/>
      <c r="BU57" s="458"/>
      <c r="BV57" s="458"/>
      <c r="BW57" s="458"/>
      <c r="BX57" s="458"/>
      <c r="BY57" s="458"/>
      <c r="BZ57" s="458"/>
      <c r="CA57" s="458"/>
      <c r="CB57" s="458"/>
      <c r="CC57" s="458"/>
      <c r="CD57" s="458"/>
      <c r="CE57" s="458"/>
      <c r="CF57" s="458"/>
      <c r="CG57" s="458"/>
      <c r="CH57" s="458"/>
      <c r="CI57" s="458"/>
      <c r="CJ57" s="458"/>
    </row>
    <row r="58" spans="2:89" s="595" customFormat="1">
      <c r="B58" s="593" t="s">
        <v>240</v>
      </c>
      <c r="C58" s="593" t="s">
        <v>243</v>
      </c>
      <c r="D58" s="598">
        <f>D57/3.6</f>
        <v>12.638888888888889</v>
      </c>
      <c r="E58" s="598">
        <f>E57/3.6</f>
        <v>11.111111111111111</v>
      </c>
      <c r="F58" s="598">
        <f>F57/3.6</f>
        <v>33.333333333333336</v>
      </c>
      <c r="G58" s="598">
        <f>G57/3.6</f>
        <v>33.333333333333336</v>
      </c>
      <c r="BB58" s="458"/>
      <c r="BC58" s="458"/>
      <c r="BD58" s="458"/>
      <c r="BE58" s="458"/>
      <c r="BF58" s="458"/>
      <c r="BG58" s="458"/>
      <c r="BH58" s="458"/>
      <c r="BI58" s="458"/>
      <c r="BJ58" s="458"/>
      <c r="BK58" s="458"/>
      <c r="BL58" s="458"/>
      <c r="BM58" s="458"/>
      <c r="BN58" s="458"/>
      <c r="BO58" s="458"/>
      <c r="BP58" s="458"/>
      <c r="BQ58" s="458"/>
      <c r="BR58" s="458"/>
      <c r="BS58" s="458"/>
      <c r="BT58" s="458"/>
      <c r="BU58" s="458"/>
      <c r="BV58" s="458"/>
      <c r="BW58" s="458"/>
      <c r="BX58" s="458"/>
      <c r="BY58" s="458"/>
      <c r="BZ58" s="458"/>
      <c r="CA58" s="458"/>
      <c r="CB58" s="458"/>
      <c r="CC58" s="458"/>
      <c r="CD58" s="458"/>
      <c r="CE58" s="458"/>
      <c r="CF58" s="458"/>
      <c r="CG58" s="458"/>
      <c r="CH58" s="458"/>
      <c r="CI58" s="458"/>
      <c r="CJ58" s="458"/>
    </row>
    <row r="59" spans="2:89" s="595" customFormat="1" ht="29.1" customHeight="1">
      <c r="B59" s="593" t="s">
        <v>244</v>
      </c>
      <c r="C59" s="593" t="s">
        <v>245</v>
      </c>
      <c r="D59" s="596">
        <v>0.85</v>
      </c>
      <c r="E59" s="598">
        <v>0.2</v>
      </c>
      <c r="F59" s="598">
        <f>0.06</f>
        <v>0.06</v>
      </c>
      <c r="G59" s="598">
        <f>0.06</f>
        <v>0.06</v>
      </c>
      <c r="I59" s="599"/>
      <c r="J59" s="600"/>
      <c r="K59" s="595">
        <v>100</v>
      </c>
      <c r="M59" s="595">
        <v>9</v>
      </c>
      <c r="BB59" s="458"/>
      <c r="BC59" s="458"/>
      <c r="BD59" s="458"/>
      <c r="BE59" s="458"/>
      <c r="BF59" s="458"/>
      <c r="BG59" s="458"/>
      <c r="BH59" s="458"/>
      <c r="BI59" s="458"/>
      <c r="BJ59" s="458"/>
      <c r="BK59" s="458"/>
      <c r="BL59" s="458"/>
      <c r="BM59" s="458"/>
      <c r="BN59" s="458"/>
      <c r="BO59" s="458"/>
      <c r="BP59" s="458"/>
      <c r="BQ59" s="458"/>
      <c r="BR59" s="458"/>
      <c r="BS59" s="458"/>
      <c r="BT59" s="458"/>
      <c r="BU59" s="458"/>
      <c r="BV59" s="458"/>
      <c r="BW59" s="458"/>
      <c r="BX59" s="458"/>
      <c r="BY59" s="458"/>
      <c r="BZ59" s="458"/>
      <c r="CA59" s="458"/>
      <c r="CB59" s="458"/>
      <c r="CC59" s="458"/>
      <c r="CD59" s="458"/>
      <c r="CE59" s="458"/>
      <c r="CF59" s="458"/>
      <c r="CG59" s="458"/>
      <c r="CH59" s="458"/>
      <c r="CI59" s="458"/>
      <c r="CJ59" s="458"/>
    </row>
    <row r="60" spans="2:89" s="595" customFormat="1">
      <c r="C60" s="595" t="s">
        <v>246</v>
      </c>
      <c r="D60" s="601">
        <f>D58*D59</f>
        <v>10.743055555555555</v>
      </c>
      <c r="E60" s="601">
        <f>E58*E59</f>
        <v>2.2222222222222223</v>
      </c>
      <c r="F60" s="601">
        <f>F58*F59</f>
        <v>2</v>
      </c>
      <c r="G60" s="601">
        <f>G58*G59</f>
        <v>2</v>
      </c>
      <c r="BB60" s="458"/>
      <c r="BC60" s="458"/>
      <c r="BD60" s="458"/>
      <c r="BE60" s="458"/>
      <c r="BF60" s="458"/>
      <c r="BG60" s="458"/>
      <c r="BH60" s="458"/>
      <c r="BI60" s="458"/>
      <c r="BJ60" s="458"/>
      <c r="BK60" s="458"/>
      <c r="BL60" s="458"/>
      <c r="BM60" s="458"/>
      <c r="BN60" s="458"/>
      <c r="BO60" s="458"/>
      <c r="BP60" s="458"/>
      <c r="BQ60" s="458"/>
      <c r="BR60" s="458"/>
      <c r="BS60" s="458"/>
      <c r="BT60" s="458"/>
      <c r="BU60" s="458"/>
      <c r="BV60" s="458"/>
      <c r="BW60" s="458"/>
      <c r="BX60" s="458"/>
      <c r="BY60" s="458"/>
      <c r="BZ60" s="458"/>
      <c r="CA60" s="458"/>
      <c r="CB60" s="458"/>
      <c r="CC60" s="458"/>
      <c r="CD60" s="458"/>
      <c r="CE60" s="458"/>
      <c r="CF60" s="458"/>
      <c r="CG60" s="458"/>
      <c r="CH60" s="458"/>
      <c r="CI60" s="458"/>
      <c r="CJ60" s="458"/>
    </row>
    <row r="62" spans="2:89">
      <c r="B62" s="460" t="s">
        <v>668</v>
      </c>
      <c r="CK62" s="458"/>
    </row>
    <row r="63" spans="2:89" s="602" customFormat="1">
      <c r="B63" s="804" t="s">
        <v>4</v>
      </c>
      <c r="D63" s="927" t="s">
        <v>462</v>
      </c>
      <c r="E63" s="928"/>
      <c r="F63" s="928"/>
      <c r="G63" s="928"/>
      <c r="H63" s="928"/>
      <c r="I63" s="929"/>
      <c r="J63" s="927" t="s">
        <v>463</v>
      </c>
      <c r="K63" s="928"/>
      <c r="L63" s="928"/>
      <c r="M63" s="928"/>
      <c r="N63" s="928"/>
      <c r="O63" s="929"/>
      <c r="P63" s="927" t="s">
        <v>1083</v>
      </c>
      <c r="Q63" s="928"/>
      <c r="R63" s="928"/>
      <c r="S63" s="928"/>
      <c r="T63" s="928"/>
      <c r="U63" s="929"/>
      <c r="V63" s="927" t="s">
        <v>669</v>
      </c>
      <c r="W63" s="928"/>
      <c r="X63" s="929"/>
      <c r="BB63" s="603"/>
      <c r="BC63" s="603"/>
      <c r="BD63" s="603"/>
      <c r="BE63" s="603"/>
      <c r="BF63" s="603"/>
      <c r="BG63" s="603"/>
      <c r="BH63" s="603"/>
      <c r="BI63" s="603"/>
      <c r="BJ63" s="603"/>
      <c r="BK63" s="603"/>
      <c r="BL63" s="603"/>
      <c r="BM63" s="603"/>
      <c r="BN63" s="603"/>
      <c r="BO63" s="603"/>
      <c r="BP63" s="603"/>
      <c r="BQ63" s="603"/>
      <c r="BR63" s="603"/>
      <c r="BS63" s="603"/>
      <c r="BT63" s="603"/>
      <c r="BU63" s="603"/>
      <c r="BV63" s="603"/>
      <c r="BW63" s="603"/>
      <c r="BX63" s="603"/>
      <c r="BY63" s="603"/>
      <c r="BZ63" s="603"/>
      <c r="CA63" s="603"/>
      <c r="CB63" s="603"/>
      <c r="CC63" s="603"/>
      <c r="CD63" s="603"/>
      <c r="CE63" s="603"/>
      <c r="CF63" s="603"/>
      <c r="CG63" s="603"/>
      <c r="CH63" s="603"/>
      <c r="CI63" s="603"/>
      <c r="CJ63" s="603"/>
      <c r="CK63" s="603"/>
    </row>
    <row r="64" spans="2:89" s="394" customFormat="1">
      <c r="B64" s="804"/>
      <c r="D64" s="453" t="s">
        <v>178</v>
      </c>
      <c r="E64" s="453" t="s">
        <v>179</v>
      </c>
      <c r="F64" s="453" t="s">
        <v>180</v>
      </c>
      <c r="G64" s="453" t="s">
        <v>182</v>
      </c>
      <c r="H64" s="453" t="s">
        <v>181</v>
      </c>
      <c r="I64" s="453" t="s">
        <v>183</v>
      </c>
      <c r="J64" s="453" t="s">
        <v>178</v>
      </c>
      <c r="K64" s="453" t="s">
        <v>179</v>
      </c>
      <c r="L64" s="453" t="s">
        <v>180</v>
      </c>
      <c r="M64" s="453" t="s">
        <v>182</v>
      </c>
      <c r="N64" s="453" t="s">
        <v>181</v>
      </c>
      <c r="O64" s="453" t="s">
        <v>183</v>
      </c>
      <c r="P64" s="453" t="s">
        <v>178</v>
      </c>
      <c r="Q64" s="453" t="s">
        <v>179</v>
      </c>
      <c r="R64" s="453" t="s">
        <v>180</v>
      </c>
      <c r="S64" s="453" t="s">
        <v>182</v>
      </c>
      <c r="T64" s="453" t="s">
        <v>181</v>
      </c>
      <c r="U64" s="453" t="s">
        <v>183</v>
      </c>
      <c r="V64" s="453" t="s">
        <v>182</v>
      </c>
      <c r="W64" s="453" t="s">
        <v>181</v>
      </c>
      <c r="X64" s="453" t="s">
        <v>183</v>
      </c>
    </row>
    <row r="65" spans="2:89">
      <c r="B65" s="604" t="s">
        <v>19</v>
      </c>
      <c r="D65" s="775">
        <v>2025</v>
      </c>
      <c r="E65" s="775">
        <v>2025</v>
      </c>
      <c r="F65" s="775">
        <v>2025</v>
      </c>
      <c r="G65" s="775">
        <v>2025</v>
      </c>
      <c r="H65" s="775">
        <v>2028</v>
      </c>
      <c r="I65" s="775">
        <v>2030</v>
      </c>
      <c r="J65" s="605">
        <v>2025</v>
      </c>
      <c r="K65" s="605">
        <v>2027</v>
      </c>
      <c r="L65" s="605">
        <v>2030</v>
      </c>
      <c r="M65" s="605">
        <v>2027</v>
      </c>
      <c r="N65" s="605">
        <v>2034</v>
      </c>
      <c r="O65" s="605">
        <v>2038</v>
      </c>
      <c r="P65" s="932">
        <v>2025</v>
      </c>
      <c r="Q65" s="932">
        <v>2030</v>
      </c>
      <c r="R65" s="932">
        <v>2033</v>
      </c>
      <c r="S65" s="932">
        <v>2035</v>
      </c>
      <c r="T65" s="932">
        <v>2042</v>
      </c>
      <c r="U65" s="932">
        <v>2045</v>
      </c>
      <c r="V65" s="935">
        <f>Buckets!AE18</f>
        <v>2031</v>
      </c>
      <c r="W65" s="935">
        <f>Buckets!AF18</f>
        <v>2051</v>
      </c>
      <c r="X65" s="935">
        <f>Buckets!AG18</f>
        <v>2051</v>
      </c>
      <c r="AY65" s="458"/>
      <c r="AZ65" s="458"/>
      <c r="BA65" s="458"/>
      <c r="CI65" s="57"/>
      <c r="CJ65" s="57"/>
    </row>
    <row r="66" spans="2:89">
      <c r="B66" s="604" t="s">
        <v>9</v>
      </c>
      <c r="D66" s="776"/>
      <c r="E66" s="776"/>
      <c r="F66" s="776"/>
      <c r="G66" s="776"/>
      <c r="H66" s="776"/>
      <c r="I66" s="776"/>
      <c r="J66" s="605">
        <v>2025</v>
      </c>
      <c r="K66" s="605">
        <v>2027</v>
      </c>
      <c r="L66" s="605">
        <v>2030</v>
      </c>
      <c r="M66" s="605">
        <v>2027</v>
      </c>
      <c r="N66" s="605">
        <v>2034</v>
      </c>
      <c r="O66" s="605">
        <v>2038</v>
      </c>
      <c r="P66" s="933"/>
      <c r="Q66" s="933"/>
      <c r="R66" s="933"/>
      <c r="S66" s="933"/>
      <c r="T66" s="933"/>
      <c r="U66" s="933"/>
      <c r="V66" s="933"/>
      <c r="W66" s="933"/>
      <c r="X66" s="933"/>
      <c r="AY66" s="458"/>
      <c r="AZ66" s="458"/>
      <c r="BA66" s="458"/>
      <c r="CI66" s="57"/>
      <c r="CJ66" s="57"/>
    </row>
    <row r="67" spans="2:89">
      <c r="B67" s="604" t="s">
        <v>11</v>
      </c>
      <c r="D67" s="776"/>
      <c r="E67" s="776"/>
      <c r="F67" s="776"/>
      <c r="G67" s="776"/>
      <c r="H67" s="776"/>
      <c r="I67" s="776"/>
      <c r="J67" s="605">
        <v>2025</v>
      </c>
      <c r="K67" s="605">
        <v>2027</v>
      </c>
      <c r="L67" s="605">
        <v>2030</v>
      </c>
      <c r="M67" s="605">
        <v>2028</v>
      </c>
      <c r="N67" s="605">
        <v>2034</v>
      </c>
      <c r="O67" s="605">
        <v>2038</v>
      </c>
      <c r="P67" s="933"/>
      <c r="Q67" s="933"/>
      <c r="R67" s="933"/>
      <c r="S67" s="933"/>
      <c r="T67" s="933"/>
      <c r="U67" s="933"/>
      <c r="V67" s="933"/>
      <c r="W67" s="933"/>
      <c r="X67" s="933"/>
      <c r="AY67" s="458"/>
      <c r="AZ67" s="458"/>
      <c r="BA67" s="458"/>
      <c r="CI67" s="57"/>
      <c r="CJ67" s="57"/>
    </row>
    <row r="68" spans="2:89">
      <c r="B68" s="604" t="s">
        <v>80</v>
      </c>
      <c r="D68" s="776"/>
      <c r="E68" s="776"/>
      <c r="F68" s="776"/>
      <c r="G68" s="776"/>
      <c r="H68" s="776"/>
      <c r="I68" s="776"/>
      <c r="J68" s="605">
        <v>2025</v>
      </c>
      <c r="K68" s="605">
        <v>2028</v>
      </c>
      <c r="L68" s="605">
        <v>2030</v>
      </c>
      <c r="M68" s="605">
        <v>2028</v>
      </c>
      <c r="N68" s="605">
        <v>2034</v>
      </c>
      <c r="O68" s="605">
        <v>2038</v>
      </c>
      <c r="P68" s="933"/>
      <c r="Q68" s="933"/>
      <c r="R68" s="933"/>
      <c r="S68" s="933"/>
      <c r="T68" s="933"/>
      <c r="U68" s="933"/>
      <c r="V68" s="933"/>
      <c r="W68" s="933"/>
      <c r="X68" s="933"/>
      <c r="AY68" s="458"/>
      <c r="AZ68" s="458"/>
      <c r="BA68" s="458"/>
      <c r="CI68" s="57"/>
      <c r="CJ68" s="57"/>
    </row>
    <row r="69" spans="2:89">
      <c r="B69" s="604" t="s">
        <v>13</v>
      </c>
      <c r="D69" s="776"/>
      <c r="E69" s="776"/>
      <c r="F69" s="776"/>
      <c r="G69" s="776"/>
      <c r="H69" s="776"/>
      <c r="I69" s="776"/>
      <c r="J69" s="605">
        <v>2025</v>
      </c>
      <c r="K69" s="605">
        <v>2028</v>
      </c>
      <c r="L69" s="605">
        <v>2030</v>
      </c>
      <c r="M69" s="605">
        <v>2028</v>
      </c>
      <c r="N69" s="605">
        <v>2034</v>
      </c>
      <c r="O69" s="605">
        <v>2038</v>
      </c>
      <c r="P69" s="933"/>
      <c r="Q69" s="933"/>
      <c r="R69" s="933"/>
      <c r="S69" s="933"/>
      <c r="T69" s="933"/>
      <c r="U69" s="933"/>
      <c r="V69" s="933"/>
      <c r="W69" s="933"/>
      <c r="X69" s="933"/>
      <c r="AY69" s="458"/>
      <c r="AZ69" s="458"/>
      <c r="BA69" s="458"/>
      <c r="CI69" s="57"/>
      <c r="CJ69" s="57"/>
    </row>
    <row r="70" spans="2:89">
      <c r="B70" s="604" t="s">
        <v>81</v>
      </c>
      <c r="D70" s="776"/>
      <c r="E70" s="776"/>
      <c r="F70" s="776"/>
      <c r="G70" s="776"/>
      <c r="H70" s="776"/>
      <c r="I70" s="776"/>
      <c r="J70" s="605">
        <v>2025</v>
      </c>
      <c r="K70" s="605">
        <v>2027</v>
      </c>
      <c r="L70" s="605">
        <v>2030</v>
      </c>
      <c r="M70" s="605">
        <v>2028</v>
      </c>
      <c r="N70" s="605">
        <v>2034</v>
      </c>
      <c r="O70" s="605">
        <v>2038</v>
      </c>
      <c r="P70" s="933"/>
      <c r="Q70" s="933"/>
      <c r="R70" s="933"/>
      <c r="S70" s="933"/>
      <c r="T70" s="933"/>
      <c r="U70" s="933"/>
      <c r="V70" s="933"/>
      <c r="W70" s="933"/>
      <c r="X70" s="933"/>
      <c r="AY70" s="458"/>
      <c r="AZ70" s="458"/>
      <c r="BA70" s="458"/>
      <c r="CI70" s="57"/>
      <c r="CJ70" s="57"/>
    </row>
    <row r="71" spans="2:89">
      <c r="B71" s="604" t="s">
        <v>82</v>
      </c>
      <c r="D71" s="776"/>
      <c r="E71" s="776"/>
      <c r="F71" s="776"/>
      <c r="G71" s="776"/>
      <c r="H71" s="776"/>
      <c r="I71" s="776"/>
      <c r="J71" s="605">
        <v>2025</v>
      </c>
      <c r="K71" s="605">
        <v>2028</v>
      </c>
      <c r="L71" s="605">
        <v>2030</v>
      </c>
      <c r="M71" s="605">
        <v>2028</v>
      </c>
      <c r="N71" s="605">
        <v>2034</v>
      </c>
      <c r="O71" s="605">
        <v>2038</v>
      </c>
      <c r="P71" s="933"/>
      <c r="Q71" s="933"/>
      <c r="R71" s="933"/>
      <c r="S71" s="933"/>
      <c r="T71" s="933"/>
      <c r="U71" s="933"/>
      <c r="V71" s="933"/>
      <c r="W71" s="933"/>
      <c r="X71" s="933"/>
      <c r="AY71" s="458"/>
      <c r="AZ71" s="458"/>
      <c r="BA71" s="458"/>
      <c r="CI71" s="57"/>
      <c r="CJ71" s="57"/>
    </row>
    <row r="72" spans="2:89">
      <c r="B72" s="604" t="s">
        <v>37</v>
      </c>
      <c r="D72" s="776"/>
      <c r="E72" s="776"/>
      <c r="F72" s="776"/>
      <c r="G72" s="776"/>
      <c r="H72" s="776"/>
      <c r="I72" s="776"/>
      <c r="J72" s="605">
        <v>2025</v>
      </c>
      <c r="K72" s="605">
        <v>2028</v>
      </c>
      <c r="L72" s="605">
        <v>2028</v>
      </c>
      <c r="M72" s="605">
        <v>2028</v>
      </c>
      <c r="N72" s="605">
        <v>2034</v>
      </c>
      <c r="O72" s="605">
        <v>2038</v>
      </c>
      <c r="P72" s="933"/>
      <c r="Q72" s="933"/>
      <c r="R72" s="933"/>
      <c r="S72" s="933"/>
      <c r="T72" s="933"/>
      <c r="U72" s="933"/>
      <c r="V72" s="933"/>
      <c r="W72" s="933"/>
      <c r="X72" s="933"/>
      <c r="AY72" s="458"/>
      <c r="AZ72" s="458"/>
      <c r="BA72" s="458"/>
      <c r="CI72" s="57"/>
      <c r="CJ72" s="57"/>
    </row>
    <row r="73" spans="2:89">
      <c r="B73" s="604" t="s">
        <v>28</v>
      </c>
      <c r="D73" s="777"/>
      <c r="E73" s="777"/>
      <c r="F73" s="777"/>
      <c r="G73" s="777"/>
      <c r="H73" s="777"/>
      <c r="I73" s="777"/>
      <c r="J73" s="605">
        <v>2025</v>
      </c>
      <c r="K73" s="605">
        <v>2028</v>
      </c>
      <c r="L73" s="605">
        <v>2028</v>
      </c>
      <c r="M73" s="605">
        <v>2027</v>
      </c>
      <c r="N73" s="605">
        <v>2034</v>
      </c>
      <c r="O73" s="605">
        <v>2038</v>
      </c>
      <c r="P73" s="934"/>
      <c r="Q73" s="934"/>
      <c r="R73" s="934"/>
      <c r="S73" s="934"/>
      <c r="T73" s="934"/>
      <c r="U73" s="934"/>
      <c r="V73" s="934"/>
      <c r="W73" s="934"/>
      <c r="X73" s="934"/>
      <c r="AY73" s="458"/>
      <c r="AZ73" s="458"/>
      <c r="BA73" s="458"/>
      <c r="CI73" s="57"/>
      <c r="CJ73" s="57"/>
    </row>
    <row r="74" spans="2:89">
      <c r="CK74" s="458"/>
    </row>
    <row r="76" spans="2:89">
      <c r="BB76" s="603"/>
      <c r="BC76" s="603"/>
      <c r="BD76" s="603"/>
      <c r="BE76" s="603"/>
      <c r="BF76" s="603"/>
      <c r="BG76" s="603"/>
      <c r="BH76" s="603"/>
      <c r="BI76" s="603"/>
      <c r="BJ76" s="603"/>
      <c r="BK76" s="603"/>
      <c r="BL76" s="603"/>
      <c r="BM76" s="603"/>
      <c r="BN76" s="603"/>
      <c r="BO76" s="603"/>
      <c r="BP76" s="603"/>
      <c r="BQ76" s="603"/>
      <c r="BR76" s="603"/>
      <c r="BS76" s="603"/>
      <c r="BT76" s="603"/>
      <c r="BU76" s="603"/>
      <c r="BV76" s="603"/>
      <c r="BW76" s="603"/>
      <c r="BX76" s="603"/>
      <c r="BY76" s="603"/>
      <c r="BZ76" s="603"/>
      <c r="CA76" s="603"/>
      <c r="CB76" s="603"/>
      <c r="CC76" s="603"/>
      <c r="CD76" s="603"/>
      <c r="CE76" s="603"/>
      <c r="CF76" s="603"/>
      <c r="CG76" s="603"/>
      <c r="CH76" s="603"/>
      <c r="CI76" s="603"/>
      <c r="CJ76" s="603"/>
    </row>
    <row r="77" spans="2:89">
      <c r="BB77" s="394"/>
      <c r="BC77" s="394"/>
      <c r="BD77" s="394"/>
      <c r="BE77" s="394"/>
      <c r="BF77" s="394"/>
      <c r="BG77" s="394"/>
      <c r="BH77" s="394"/>
      <c r="BI77" s="394"/>
      <c r="BJ77" s="394"/>
      <c r="BK77" s="394"/>
      <c r="BL77" s="394"/>
      <c r="BM77" s="394"/>
      <c r="BN77" s="394"/>
      <c r="BO77" s="394"/>
      <c r="BP77" s="394"/>
      <c r="BQ77" s="394"/>
      <c r="BR77" s="394"/>
      <c r="BS77" s="394"/>
      <c r="BT77" s="394"/>
      <c r="BU77" s="394"/>
      <c r="BV77" s="394"/>
      <c r="BW77" s="394"/>
      <c r="BX77" s="394"/>
      <c r="BY77" s="394"/>
      <c r="BZ77" s="394"/>
      <c r="CA77" s="394"/>
      <c r="CB77" s="394"/>
      <c r="CC77" s="394"/>
      <c r="CD77" s="394"/>
      <c r="CE77" s="394"/>
      <c r="CF77" s="394"/>
      <c r="CG77" s="394"/>
      <c r="CH77" s="394"/>
      <c r="CI77" s="394"/>
      <c r="CJ77" s="394"/>
    </row>
    <row r="78" spans="2:89">
      <c r="CG78" s="57"/>
      <c r="CH78" s="57"/>
      <c r="CI78" s="57"/>
      <c r="CJ78" s="57"/>
    </row>
    <row r="79" spans="2:89">
      <c r="CG79" s="57"/>
      <c r="CH79" s="57"/>
      <c r="CI79" s="57"/>
      <c r="CJ79" s="57"/>
    </row>
    <row r="80" spans="2:89">
      <c r="CG80" s="57"/>
      <c r="CH80" s="57"/>
      <c r="CI80" s="57"/>
      <c r="CJ80" s="57"/>
    </row>
    <row r="81" spans="85:88">
      <c r="CG81" s="57"/>
      <c r="CH81" s="57"/>
      <c r="CI81" s="57"/>
      <c r="CJ81" s="57"/>
    </row>
    <row r="82" spans="85:88">
      <c r="CG82" s="57"/>
      <c r="CH82" s="57"/>
      <c r="CI82" s="57"/>
      <c r="CJ82" s="57"/>
    </row>
    <row r="83" spans="85:88">
      <c r="CG83" s="57"/>
      <c r="CH83" s="57"/>
      <c r="CI83" s="57"/>
      <c r="CJ83" s="57"/>
    </row>
    <row r="84" spans="85:88">
      <c r="CG84" s="57"/>
      <c r="CH84" s="57"/>
      <c r="CI84" s="57"/>
      <c r="CJ84" s="57"/>
    </row>
    <row r="85" spans="85:88">
      <c r="CG85" s="57"/>
      <c r="CH85" s="57"/>
      <c r="CI85" s="57"/>
      <c r="CJ85" s="57"/>
    </row>
    <row r="86" spans="85:88">
      <c r="CG86" s="57"/>
      <c r="CH86" s="57"/>
      <c r="CI86" s="57"/>
      <c r="CJ86" s="57"/>
    </row>
  </sheetData>
  <mergeCells count="54">
    <mergeCell ref="P65:P73"/>
    <mergeCell ref="Q65:Q73"/>
    <mergeCell ref="V63:X63"/>
    <mergeCell ref="Y2:AP2"/>
    <mergeCell ref="R65:R73"/>
    <mergeCell ref="S65:S73"/>
    <mergeCell ref="T65:T73"/>
    <mergeCell ref="U65:U73"/>
    <mergeCell ref="V65:V73"/>
    <mergeCell ref="W65:W73"/>
    <mergeCell ref="X65:X73"/>
    <mergeCell ref="H2:H3"/>
    <mergeCell ref="F2:F3"/>
    <mergeCell ref="B22:C22"/>
    <mergeCell ref="B2:B3"/>
    <mergeCell ref="P63:U63"/>
    <mergeCell ref="B63:B64"/>
    <mergeCell ref="D63:I63"/>
    <mergeCell ref="J63:O63"/>
    <mergeCell ref="D44:E44"/>
    <mergeCell ref="D48:E48"/>
    <mergeCell ref="D36:H36"/>
    <mergeCell ref="C52:C53"/>
    <mergeCell ref="D39:E39"/>
    <mergeCell ref="G2:G3"/>
    <mergeCell ref="E2:E3"/>
    <mergeCell ref="D2:D3"/>
    <mergeCell ref="A2:A3"/>
    <mergeCell ref="B34:C34"/>
    <mergeCell ref="B36:C36"/>
    <mergeCell ref="B32:C32"/>
    <mergeCell ref="C27:C28"/>
    <mergeCell ref="C29:C30"/>
    <mergeCell ref="B31:C31"/>
    <mergeCell ref="B24:C24"/>
    <mergeCell ref="B25:C25"/>
    <mergeCell ref="B23:C23"/>
    <mergeCell ref="C2:C3"/>
    <mergeCell ref="J2:J3"/>
    <mergeCell ref="I2:I3"/>
    <mergeCell ref="BB2:CJ2"/>
    <mergeCell ref="K2:R2"/>
    <mergeCell ref="AE3:AG3"/>
    <mergeCell ref="S2:X2"/>
    <mergeCell ref="AX2:AZ2"/>
    <mergeCell ref="AH3:AJ3"/>
    <mergeCell ref="AQ2:AQ3"/>
    <mergeCell ref="AR2:AR3"/>
    <mergeCell ref="AK3:AM3"/>
    <mergeCell ref="AN3:AP3"/>
    <mergeCell ref="Y3:AA3"/>
    <mergeCell ref="AB3:AD3"/>
    <mergeCell ref="AT2:AW2"/>
    <mergeCell ref="AS2:AS3"/>
  </mergeCells>
  <phoneticPr fontId="13" type="noConversion"/>
  <hyperlinks>
    <hyperlink ref="H57" r:id="rId1" xr:uid="{00000000-0004-0000-04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171"/>
  <sheetViews>
    <sheetView zoomScale="94" zoomScaleNormal="100" workbookViewId="0">
      <pane xSplit="3" ySplit="4" topLeftCell="D5" activePane="bottomRight" state="frozen"/>
      <selection pane="topRight" activeCell="C97" sqref="C97:AG97"/>
      <selection pane="bottomLeft" activeCell="C97" sqref="C97:AG97"/>
      <selection pane="bottomRight" activeCell="E52" sqref="E52"/>
    </sheetView>
  </sheetViews>
  <sheetFormatPr defaultColWidth="8.88671875" defaultRowHeight="15.6"/>
  <cols>
    <col min="1" max="1" width="7" style="17" bestFit="1" customWidth="1"/>
    <col min="2" max="2" width="28.77734375" style="478" bestFit="1" customWidth="1"/>
    <col min="3" max="3" width="38.77734375" style="17" bestFit="1" customWidth="1"/>
    <col min="4" max="4" width="8.33203125" style="17" bestFit="1" customWidth="1"/>
    <col min="5" max="5" width="4.5546875" style="17" bestFit="1" customWidth="1"/>
    <col min="6" max="6" width="6.33203125" style="17" bestFit="1" customWidth="1"/>
    <col min="7" max="7" width="5.21875" style="17" bestFit="1" customWidth="1"/>
    <col min="8" max="9" width="6.33203125" style="17" bestFit="1" customWidth="1"/>
    <col min="10" max="10" width="5.21875" style="17" bestFit="1" customWidth="1"/>
    <col min="11" max="13" width="6.33203125" style="17" bestFit="1" customWidth="1"/>
    <col min="14" max="20" width="5.21875" style="17" bestFit="1" customWidth="1"/>
    <col min="21" max="27" width="3.44140625" style="17" bestFit="1" customWidth="1"/>
    <col min="28" max="28" width="2.88671875" style="17" bestFit="1" customWidth="1"/>
    <col min="29" max="29" width="2.44140625" style="17" customWidth="1"/>
    <col min="30" max="30" width="6.33203125" style="17" bestFit="1" customWidth="1"/>
    <col min="31" max="31" width="8.77734375" style="17" bestFit="1" customWidth="1"/>
    <col min="32" max="32" width="2.21875" style="17" bestFit="1" customWidth="1"/>
    <col min="33" max="33" width="2.44140625" style="17" customWidth="1"/>
    <col min="34" max="39" width="8.77734375" style="17" hidden="1" customWidth="1"/>
    <col min="40" max="45" width="8.88671875" style="17" hidden="1" customWidth="1"/>
    <col min="46" max="46" width="2.44140625" style="17" hidden="1" customWidth="1"/>
    <col min="47" max="58" width="8.77734375" style="17" hidden="1" customWidth="1"/>
    <col min="59" max="59" width="2.44140625" style="17" hidden="1" customWidth="1"/>
    <col min="60" max="71" width="9.6640625" style="17" customWidth="1"/>
    <col min="72" max="72" width="2.44140625" style="17" customWidth="1"/>
    <col min="73" max="84" width="9.5546875" style="17" customWidth="1"/>
    <col min="85" max="85" width="2.44140625" style="17" customWidth="1"/>
    <col min="86" max="86" width="8.6640625" style="17" bestFit="1" customWidth="1"/>
    <col min="87" max="87" width="10" style="17" customWidth="1"/>
    <col min="88" max="88" width="6.5546875" style="17" bestFit="1" customWidth="1"/>
    <col min="89" max="91" width="10.5546875" style="17" bestFit="1" customWidth="1"/>
    <col min="92" max="92" width="13.44140625" style="17" bestFit="1" customWidth="1"/>
    <col min="93" max="16384" width="8.88671875" style="17"/>
  </cols>
  <sheetData>
    <row r="1" spans="1:92" ht="31.2">
      <c r="A1" s="938" t="s">
        <v>440</v>
      </c>
      <c r="B1" s="938"/>
      <c r="C1" s="451" t="s">
        <v>441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D1" s="16"/>
      <c r="AE1" s="16"/>
      <c r="AF1" s="16"/>
      <c r="AH1" s="948">
        <v>2035</v>
      </c>
      <c r="AI1" s="948"/>
      <c r="AJ1" s="948"/>
      <c r="AK1" s="948"/>
      <c r="AL1" s="948"/>
      <c r="AM1" s="948"/>
      <c r="AN1" s="948"/>
      <c r="AO1" s="948"/>
      <c r="AP1" s="444" t="s">
        <v>926</v>
      </c>
      <c r="AS1" s="677">
        <f>'AnnualSalesSummary Revised'!O75</f>
        <v>459480</v>
      </c>
      <c r="AT1" s="700"/>
      <c r="AU1" s="948">
        <v>2040</v>
      </c>
      <c r="AV1" s="948"/>
      <c r="AW1" s="948"/>
      <c r="AX1" s="948"/>
      <c r="AY1" s="948"/>
      <c r="AZ1" s="948"/>
      <c r="BA1" s="948"/>
      <c r="BB1" s="948"/>
      <c r="BC1" s="444" t="s">
        <v>927</v>
      </c>
      <c r="BF1" s="677">
        <f>'AnnualSalesSummary Revised'!T75</f>
        <v>570540</v>
      </c>
      <c r="BG1" s="700"/>
      <c r="BK1" s="940" t="s">
        <v>442</v>
      </c>
      <c r="BL1" s="940"/>
      <c r="BM1" s="940"/>
      <c r="BN1" s="940"/>
      <c r="BO1" s="18">
        <v>2045</v>
      </c>
      <c r="BP1" s="940" t="s">
        <v>443</v>
      </c>
      <c r="BQ1" s="940"/>
      <c r="BR1" s="944"/>
      <c r="BS1" s="69">
        <f>'AnnualSalesSummary Revised'!Y75</f>
        <v>707250</v>
      </c>
      <c r="BT1" s="700"/>
      <c r="BX1" s="940" t="s">
        <v>1055</v>
      </c>
      <c r="BY1" s="940"/>
      <c r="BZ1" s="940"/>
      <c r="CA1" s="940"/>
      <c r="CB1" s="18">
        <v>2050</v>
      </c>
      <c r="CC1" s="478" t="s">
        <v>929</v>
      </c>
      <c r="CD1" s="69">
        <f>'AnnualSalesSummary Revised'!AD75</f>
        <v>853510</v>
      </c>
      <c r="CE1" s="751"/>
      <c r="CH1" s="940" t="s">
        <v>1056</v>
      </c>
      <c r="CI1" s="940"/>
      <c r="CJ1" s="940"/>
      <c r="CK1" s="18">
        <v>2055</v>
      </c>
      <c r="CL1" s="478" t="s">
        <v>1057</v>
      </c>
      <c r="CM1" s="69">
        <f>'AnnualSalesSummary Revised'!AI75</f>
        <v>1029830</v>
      </c>
    </row>
    <row r="2" spans="1:92">
      <c r="A2" s="939"/>
      <c r="B2" s="939"/>
      <c r="C2" s="450" t="s">
        <v>444</v>
      </c>
      <c r="D2" s="327" t="s">
        <v>445</v>
      </c>
      <c r="E2" s="23">
        <v>1.5</v>
      </c>
      <c r="F2" s="23">
        <v>1.5</v>
      </c>
      <c r="H2" s="19"/>
      <c r="K2" s="19"/>
      <c r="Q2" s="19"/>
      <c r="W2" s="19"/>
      <c r="Z2" s="19"/>
      <c r="AD2" s="20"/>
    </row>
    <row r="3" spans="1:92" s="21" customFormat="1" ht="15.6" customHeight="1">
      <c r="A3" s="818" t="s">
        <v>1</v>
      </c>
      <c r="B3" s="818" t="s">
        <v>835</v>
      </c>
      <c r="C3" s="818" t="s">
        <v>446</v>
      </c>
      <c r="D3" s="941" t="s">
        <v>447</v>
      </c>
      <c r="E3" s="942"/>
      <c r="F3" s="942"/>
      <c r="G3" s="942"/>
      <c r="H3" s="942"/>
      <c r="I3" s="942"/>
      <c r="J3" s="942"/>
      <c r="K3" s="942"/>
      <c r="L3" s="942"/>
      <c r="M3" s="942"/>
      <c r="N3" s="942"/>
      <c r="O3" s="942"/>
      <c r="P3" s="942"/>
      <c r="Q3" s="942"/>
      <c r="R3" s="942"/>
      <c r="S3" s="942"/>
      <c r="T3" s="942"/>
      <c r="U3" s="942"/>
      <c r="V3" s="942"/>
      <c r="W3" s="942"/>
      <c r="X3" s="942"/>
      <c r="Y3" s="942"/>
      <c r="Z3" s="942"/>
      <c r="AA3" s="942"/>
      <c r="AB3" s="943"/>
      <c r="AD3" s="818" t="s">
        <v>448</v>
      </c>
      <c r="AE3" s="818"/>
      <c r="AF3" s="818"/>
      <c r="AH3" s="941" t="s">
        <v>942</v>
      </c>
      <c r="AI3" s="942"/>
      <c r="AJ3" s="942"/>
      <c r="AK3" s="942"/>
      <c r="AL3" s="942"/>
      <c r="AM3" s="943"/>
      <c r="AN3" s="941" t="s">
        <v>946</v>
      </c>
      <c r="AO3" s="942"/>
      <c r="AP3" s="942"/>
      <c r="AQ3" s="942"/>
      <c r="AR3" s="942"/>
      <c r="AS3" s="943"/>
      <c r="AU3" s="941" t="s">
        <v>942</v>
      </c>
      <c r="AV3" s="942"/>
      <c r="AW3" s="942"/>
      <c r="AX3" s="942"/>
      <c r="AY3" s="942"/>
      <c r="AZ3" s="943"/>
      <c r="BA3" s="941" t="s">
        <v>945</v>
      </c>
      <c r="BB3" s="942"/>
      <c r="BC3" s="942"/>
      <c r="BD3" s="942"/>
      <c r="BE3" s="942"/>
      <c r="BF3" s="943"/>
      <c r="BH3" s="941" t="s">
        <v>942</v>
      </c>
      <c r="BI3" s="942"/>
      <c r="BJ3" s="942"/>
      <c r="BK3" s="942"/>
      <c r="BL3" s="942"/>
      <c r="BM3" s="943"/>
      <c r="BN3" s="818" t="s">
        <v>944</v>
      </c>
      <c r="BO3" s="818"/>
      <c r="BP3" s="818"/>
      <c r="BQ3" s="818"/>
      <c r="BR3" s="818"/>
      <c r="BS3" s="818"/>
      <c r="BU3" s="941" t="s">
        <v>942</v>
      </c>
      <c r="BV3" s="942"/>
      <c r="BW3" s="942"/>
      <c r="BX3" s="942"/>
      <c r="BY3" s="942"/>
      <c r="BZ3" s="943"/>
      <c r="CA3" s="818" t="s">
        <v>943</v>
      </c>
      <c r="CB3" s="818"/>
      <c r="CC3" s="818"/>
      <c r="CD3" s="818"/>
      <c r="CE3" s="818"/>
      <c r="CF3" s="818"/>
      <c r="CH3" s="945" t="s">
        <v>941</v>
      </c>
      <c r="CI3" s="946"/>
      <c r="CJ3" s="947"/>
      <c r="CK3" s="818" t="s">
        <v>936</v>
      </c>
      <c r="CL3" s="818"/>
      <c r="CM3" s="818"/>
      <c r="CN3" s="702" t="s">
        <v>178</v>
      </c>
    </row>
    <row r="4" spans="1:92" s="21" customFormat="1" ht="31.2">
      <c r="A4" s="818"/>
      <c r="B4" s="818"/>
      <c r="C4" s="818"/>
      <c r="D4" s="452" t="s">
        <v>450</v>
      </c>
      <c r="E4" s="445">
        <v>1</v>
      </c>
      <c r="F4" s="445">
        <v>2</v>
      </c>
      <c r="G4" s="445">
        <v>3</v>
      </c>
      <c r="H4" s="445">
        <v>4</v>
      </c>
      <c r="I4" s="445">
        <v>5</v>
      </c>
      <c r="J4" s="445">
        <v>6</v>
      </c>
      <c r="K4" s="445">
        <v>7</v>
      </c>
      <c r="L4" s="445">
        <v>8</v>
      </c>
      <c r="M4" s="445">
        <v>9</v>
      </c>
      <c r="N4" s="445">
        <v>10</v>
      </c>
      <c r="O4" s="445">
        <v>11</v>
      </c>
      <c r="P4" s="445">
        <v>12</v>
      </c>
      <c r="Q4" s="445">
        <v>13</v>
      </c>
      <c r="R4" s="445">
        <v>14</v>
      </c>
      <c r="S4" s="445">
        <v>15</v>
      </c>
      <c r="T4" s="445">
        <v>16</v>
      </c>
      <c r="U4" s="445">
        <v>17</v>
      </c>
      <c r="V4" s="445">
        <v>18</v>
      </c>
      <c r="W4" s="445">
        <v>19</v>
      </c>
      <c r="X4" s="445">
        <v>20</v>
      </c>
      <c r="Y4" s="445">
        <v>21</v>
      </c>
      <c r="Z4" s="445">
        <v>22</v>
      </c>
      <c r="AA4" s="445">
        <v>23</v>
      </c>
      <c r="AB4" s="445">
        <v>24</v>
      </c>
      <c r="AD4" s="445">
        <v>1</v>
      </c>
      <c r="AE4" s="445">
        <v>2</v>
      </c>
      <c r="AF4" s="445">
        <v>3</v>
      </c>
      <c r="AH4" s="445" t="s">
        <v>178</v>
      </c>
      <c r="AI4" s="445" t="s">
        <v>179</v>
      </c>
      <c r="AJ4" s="445" t="s">
        <v>180</v>
      </c>
      <c r="AK4" s="445" t="s">
        <v>182</v>
      </c>
      <c r="AL4" s="445" t="s">
        <v>181</v>
      </c>
      <c r="AM4" s="445" t="s">
        <v>183</v>
      </c>
      <c r="AN4" s="445" t="s">
        <v>178</v>
      </c>
      <c r="AO4" s="445" t="s">
        <v>179</v>
      </c>
      <c r="AP4" s="445" t="s">
        <v>180</v>
      </c>
      <c r="AQ4" s="445" t="s">
        <v>182</v>
      </c>
      <c r="AR4" s="445" t="s">
        <v>181</v>
      </c>
      <c r="AS4" s="446" t="s">
        <v>183</v>
      </c>
      <c r="AU4" s="445" t="s">
        <v>178</v>
      </c>
      <c r="AV4" s="445" t="s">
        <v>179</v>
      </c>
      <c r="AW4" s="445" t="s">
        <v>180</v>
      </c>
      <c r="AX4" s="445" t="s">
        <v>182</v>
      </c>
      <c r="AY4" s="445" t="s">
        <v>181</v>
      </c>
      <c r="AZ4" s="445" t="s">
        <v>183</v>
      </c>
      <c r="BA4" s="445" t="s">
        <v>178</v>
      </c>
      <c r="BB4" s="445" t="s">
        <v>179</v>
      </c>
      <c r="BC4" s="445" t="s">
        <v>180</v>
      </c>
      <c r="BD4" s="445" t="s">
        <v>182</v>
      </c>
      <c r="BE4" s="445" t="s">
        <v>181</v>
      </c>
      <c r="BF4" s="445" t="s">
        <v>183</v>
      </c>
      <c r="BH4" s="447" t="s">
        <v>178</v>
      </c>
      <c r="BI4" s="22" t="s">
        <v>179</v>
      </c>
      <c r="BJ4" s="22" t="s">
        <v>180</v>
      </c>
      <c r="BK4" s="22" t="s">
        <v>182</v>
      </c>
      <c r="BL4" s="22" t="s">
        <v>181</v>
      </c>
      <c r="BM4" s="445" t="s">
        <v>183</v>
      </c>
      <c r="BN4" s="445" t="s">
        <v>178</v>
      </c>
      <c r="BO4" s="445" t="s">
        <v>179</v>
      </c>
      <c r="BP4" s="445" t="s">
        <v>180</v>
      </c>
      <c r="BQ4" s="22" t="s">
        <v>182</v>
      </c>
      <c r="BR4" s="22" t="s">
        <v>181</v>
      </c>
      <c r="BS4" s="445" t="s">
        <v>183</v>
      </c>
      <c r="BU4" s="447" t="s">
        <v>178</v>
      </c>
      <c r="BV4" s="22" t="s">
        <v>179</v>
      </c>
      <c r="BW4" s="22" t="s">
        <v>180</v>
      </c>
      <c r="BX4" s="22" t="s">
        <v>182</v>
      </c>
      <c r="BY4" s="22" t="s">
        <v>181</v>
      </c>
      <c r="BZ4" s="445" t="s">
        <v>183</v>
      </c>
      <c r="CA4" s="445" t="s">
        <v>178</v>
      </c>
      <c r="CB4" s="445" t="s">
        <v>179</v>
      </c>
      <c r="CC4" s="445" t="s">
        <v>180</v>
      </c>
      <c r="CD4" s="22" t="s">
        <v>182</v>
      </c>
      <c r="CE4" s="22" t="s">
        <v>181</v>
      </c>
      <c r="CF4" s="445" t="s">
        <v>183</v>
      </c>
      <c r="CH4" s="22" t="s">
        <v>182</v>
      </c>
      <c r="CI4" s="22" t="s">
        <v>181</v>
      </c>
      <c r="CJ4" s="445" t="s">
        <v>183</v>
      </c>
      <c r="CK4" s="22" t="s">
        <v>182</v>
      </c>
      <c r="CL4" s="22" t="s">
        <v>181</v>
      </c>
      <c r="CM4" s="445" t="s">
        <v>183</v>
      </c>
      <c r="CN4" s="702" t="s">
        <v>937</v>
      </c>
    </row>
    <row r="5" spans="1:92">
      <c r="A5" s="818">
        <v>1</v>
      </c>
      <c r="B5" s="822" t="s">
        <v>836</v>
      </c>
      <c r="C5" s="23" t="s">
        <v>452</v>
      </c>
      <c r="D5" s="450"/>
      <c r="E5" s="24" t="s">
        <v>453</v>
      </c>
      <c r="F5" s="24" t="s">
        <v>453</v>
      </c>
      <c r="G5" s="25"/>
      <c r="H5" s="24" t="s">
        <v>453</v>
      </c>
      <c r="I5" s="25" t="s">
        <v>454</v>
      </c>
      <c r="J5" s="25" t="s">
        <v>453</v>
      </c>
      <c r="K5" s="25"/>
      <c r="L5" s="25"/>
      <c r="M5" s="25"/>
      <c r="N5" s="25"/>
      <c r="O5" s="25"/>
      <c r="P5" s="25"/>
      <c r="Q5" s="24"/>
      <c r="R5" s="25"/>
      <c r="S5" s="25"/>
      <c r="T5" s="25"/>
      <c r="U5" s="25"/>
      <c r="V5" s="25"/>
      <c r="W5" s="24"/>
      <c r="X5" s="25"/>
      <c r="Y5" s="25"/>
      <c r="Z5" s="24"/>
      <c r="AA5" s="25"/>
      <c r="AB5" s="25"/>
      <c r="AD5" s="26" t="s">
        <v>453</v>
      </c>
      <c r="AE5" s="27"/>
      <c r="AF5" s="27"/>
    </row>
    <row r="6" spans="1:92">
      <c r="A6" s="818"/>
      <c r="B6" s="824"/>
      <c r="C6" s="23" t="s">
        <v>455</v>
      </c>
      <c r="D6" s="450"/>
      <c r="E6" s="24"/>
      <c r="F6" s="24"/>
      <c r="G6" s="25"/>
      <c r="H6" s="24"/>
      <c r="I6" s="25"/>
      <c r="J6" s="25"/>
      <c r="K6" s="25"/>
      <c r="L6" s="25"/>
      <c r="M6" s="25"/>
      <c r="N6" s="25"/>
      <c r="O6" s="25"/>
      <c r="P6" s="25"/>
      <c r="Q6" s="24"/>
      <c r="R6" s="25"/>
      <c r="S6" s="25"/>
      <c r="T6" s="25"/>
      <c r="U6" s="25"/>
      <c r="V6" s="25"/>
      <c r="W6" s="24"/>
      <c r="X6" s="25"/>
      <c r="Y6" s="25"/>
      <c r="Z6" s="24"/>
      <c r="AA6" s="25"/>
      <c r="AB6" s="25"/>
      <c r="AD6" s="26"/>
      <c r="AE6" s="27"/>
      <c r="AF6" s="27"/>
      <c r="AH6" s="691">
        <f>Buckets!H3</f>
        <v>36690</v>
      </c>
      <c r="AI6" s="691">
        <f>Buckets!J3</f>
        <v>36690</v>
      </c>
      <c r="AJ6" s="691">
        <f>Buckets!K3</f>
        <v>0</v>
      </c>
      <c r="AK6" s="691">
        <f>AH6</f>
        <v>36690</v>
      </c>
      <c r="AL6" s="691">
        <f>AH6</f>
        <v>36690</v>
      </c>
      <c r="AM6" s="691">
        <f>AH6</f>
        <v>36690</v>
      </c>
      <c r="AU6" s="691">
        <f>Buckets!M3</f>
        <v>40490</v>
      </c>
      <c r="AV6" s="691">
        <f>Buckets!O3</f>
        <v>40490</v>
      </c>
      <c r="AW6" s="691">
        <f>Buckets!P3</f>
        <v>0</v>
      </c>
      <c r="AX6" s="691">
        <f>AU6</f>
        <v>40490</v>
      </c>
      <c r="AY6" s="691">
        <f>AU6</f>
        <v>40490</v>
      </c>
      <c r="AZ6" s="691">
        <f>AU6</f>
        <v>40490</v>
      </c>
      <c r="BH6" s="691">
        <f>Buckets!R3</f>
        <v>46470</v>
      </c>
      <c r="BI6" s="691">
        <f>Buckets!T3</f>
        <v>46470</v>
      </c>
      <c r="BJ6" s="691">
        <f>Buckets!U3</f>
        <v>0</v>
      </c>
      <c r="BK6" s="68">
        <f>BH6</f>
        <v>46470</v>
      </c>
      <c r="BL6" s="68">
        <f>BH6</f>
        <v>46470</v>
      </c>
      <c r="BM6" s="68">
        <f>BH6</f>
        <v>46470</v>
      </c>
      <c r="BU6" s="691">
        <f>Buckets!W3</f>
        <v>54310</v>
      </c>
      <c r="BV6" s="691">
        <f>Buckets!Y3</f>
        <v>54310</v>
      </c>
      <c r="BW6" s="691">
        <f>Buckets!Z3</f>
        <v>0</v>
      </c>
      <c r="BX6" s="68">
        <f>BU6</f>
        <v>54310</v>
      </c>
      <c r="BY6" s="68">
        <f>BU6</f>
        <v>54310</v>
      </c>
      <c r="BZ6" s="68">
        <f>BU6</f>
        <v>54310</v>
      </c>
    </row>
    <row r="7" spans="1:92" ht="31.2">
      <c r="A7" s="818"/>
      <c r="B7" s="824"/>
      <c r="C7" s="28" t="s">
        <v>928</v>
      </c>
      <c r="D7" s="450"/>
      <c r="E7" s="24"/>
      <c r="F7" s="25"/>
      <c r="G7" s="25"/>
      <c r="H7" s="24"/>
      <c r="I7" s="25"/>
      <c r="J7" s="25"/>
      <c r="K7" s="25"/>
      <c r="L7" s="25"/>
      <c r="M7" s="25"/>
      <c r="N7" s="25"/>
      <c r="O7" s="25"/>
      <c r="P7" s="25"/>
      <c r="Q7" s="24"/>
      <c r="R7" s="25"/>
      <c r="S7" s="25"/>
      <c r="T7" s="25"/>
      <c r="U7" s="25"/>
      <c r="V7" s="25"/>
      <c r="W7" s="24"/>
      <c r="X7" s="25"/>
      <c r="Y7" s="25"/>
      <c r="Z7" s="24"/>
      <c r="AA7" s="25"/>
      <c r="AB7" s="25"/>
      <c r="AD7" s="26">
        <v>8</v>
      </c>
      <c r="AE7" s="27"/>
      <c r="AF7" s="27"/>
      <c r="AH7" s="686"/>
      <c r="AI7" s="686"/>
      <c r="AJ7" s="686"/>
      <c r="AK7" s="686"/>
      <c r="AL7" s="686"/>
      <c r="AM7" s="686"/>
      <c r="AN7" s="686"/>
      <c r="AO7" s="686"/>
      <c r="AP7" s="686"/>
      <c r="AQ7" s="686"/>
      <c r="AR7" s="686"/>
      <c r="AS7" s="686"/>
      <c r="AU7" s="686"/>
      <c r="AV7" s="686"/>
      <c r="AW7" s="686"/>
      <c r="AX7" s="686"/>
      <c r="AY7" s="686"/>
      <c r="AZ7" s="686"/>
      <c r="BA7" s="686"/>
      <c r="BB7" s="686"/>
      <c r="BC7" s="686"/>
      <c r="BD7" s="686"/>
      <c r="BE7" s="686"/>
      <c r="BF7" s="686"/>
    </row>
    <row r="8" spans="1:92">
      <c r="A8" s="818"/>
      <c r="B8" s="824"/>
      <c r="C8" s="23" t="s">
        <v>457</v>
      </c>
      <c r="D8" s="29">
        <f t="shared" ref="D8:D12" si="0">AVERAGE(E8:AB8)</f>
        <v>9</v>
      </c>
      <c r="E8" s="451">
        <v>10</v>
      </c>
      <c r="F8" s="25">
        <v>9</v>
      </c>
      <c r="G8" s="25">
        <v>8</v>
      </c>
      <c r="H8" s="24">
        <v>9</v>
      </c>
      <c r="I8" s="25">
        <v>9</v>
      </c>
      <c r="J8" s="27">
        <v>9</v>
      </c>
      <c r="K8" s="25"/>
      <c r="L8" s="25"/>
      <c r="M8" s="25"/>
      <c r="N8" s="25"/>
      <c r="O8" s="25"/>
      <c r="P8" s="25"/>
      <c r="Q8" s="24"/>
      <c r="R8" s="25"/>
      <c r="S8" s="25"/>
      <c r="T8" s="25"/>
      <c r="U8" s="25"/>
      <c r="V8" s="25"/>
      <c r="W8" s="24"/>
      <c r="X8" s="25"/>
      <c r="Y8" s="25"/>
      <c r="Z8" s="24"/>
      <c r="AA8" s="25"/>
      <c r="AB8" s="25"/>
      <c r="AD8" s="32">
        <v>6</v>
      </c>
      <c r="AE8" s="27"/>
      <c r="AF8" s="27"/>
      <c r="AH8" s="693">
        <f t="shared" ref="AH8:AM8" si="1">IF(AN8=0, 0, EXP($D8*$E$2 * (($AN8/AN8) - 1)) )</f>
        <v>1</v>
      </c>
      <c r="AI8" s="693">
        <f t="shared" si="1"/>
        <v>0.93816478477256304</v>
      </c>
      <c r="AJ8" s="693">
        <f t="shared" si="1"/>
        <v>1.0765757780299359</v>
      </c>
      <c r="AK8" s="693">
        <f t="shared" si="1"/>
        <v>6.7802590542210837</v>
      </c>
      <c r="AL8" s="693">
        <f t="shared" si="1"/>
        <v>2.3752341690069002E-2</v>
      </c>
      <c r="AM8" s="693">
        <f t="shared" si="1"/>
        <v>1.5542013675101319E-2</v>
      </c>
      <c r="AN8" s="685">
        <f>'B1 - TCO ML 19T'!$M$165</f>
        <v>45.399321285916855</v>
      </c>
      <c r="AO8" s="685">
        <f>'B1 - TCO ML 19T'!$M$166</f>
        <v>45.614994618742543</v>
      </c>
      <c r="AP8" s="685">
        <f>'B1 - TCO ML 19T'!$M$167</f>
        <v>45.15253615851973</v>
      </c>
      <c r="AQ8" s="685">
        <f>'B1 - TCO ML 19T'!$M$168</f>
        <v>39.761919593386601</v>
      </c>
      <c r="AR8" s="685">
        <f>'B1 - TCO ML 19T'!$M$169</f>
        <v>62.796669477714872</v>
      </c>
      <c r="AS8" s="685">
        <f>'B1 - TCO ML 19T'!$M$170</f>
        <v>65.649584003768595</v>
      </c>
      <c r="AU8" s="693">
        <f t="shared" ref="AU8:AZ8" si="2">IF(BA8=0, 0, EXP($D8*$E$2 * (($BA8/BA8) - 1)) )</f>
        <v>1</v>
      </c>
      <c r="AV8" s="693">
        <f t="shared" si="2"/>
        <v>0.66581939835177473</v>
      </c>
      <c r="AW8" s="693">
        <f t="shared" si="2"/>
        <v>0.77322442413120929</v>
      </c>
      <c r="AX8" s="693">
        <f t="shared" si="2"/>
        <v>34.085594550551797</v>
      </c>
      <c r="AY8" s="693">
        <f t="shared" si="2"/>
        <v>0.16847614052453661</v>
      </c>
      <c r="AZ8" s="693">
        <f t="shared" si="2"/>
        <v>0.11477770006098534</v>
      </c>
      <c r="BA8" s="685">
        <f>'B1 - TCO ML 19T'!$R$165</f>
        <v>52.101762603347538</v>
      </c>
      <c r="BB8" s="685">
        <f>'B1 - TCO ML 19T'!$R$166</f>
        <v>53.720282363105724</v>
      </c>
      <c r="BC8" s="685">
        <f>'B1 - TCO ML 19T'!$R$167</f>
        <v>53.113620123240821</v>
      </c>
      <c r="BD8" s="685">
        <f>'B1 - TCO ML 19T'!$R$168</f>
        <v>41.304772125598831</v>
      </c>
      <c r="BE8" s="685">
        <f>'B1 - TCO ML 19T'!$R$169</f>
        <v>60.019751061203223</v>
      </c>
      <c r="BF8" s="685">
        <f>'B1 - TCO ML 19T'!$R$170</f>
        <v>62.051943764012876</v>
      </c>
      <c r="BH8" s="688">
        <f t="shared" ref="BH8:BM8" si="3">IF(BN8=0, 0, EXP($D8*$E$2 * (($BN8/BN8) - 1)) )</f>
        <v>1</v>
      </c>
      <c r="BI8" s="30">
        <f t="shared" si="3"/>
        <v>0.48694913497090991</v>
      </c>
      <c r="BJ8" s="30">
        <f t="shared" si="3"/>
        <v>0.57783974946064642</v>
      </c>
      <c r="BK8" s="30">
        <f t="shared" si="3"/>
        <v>60.321500179232757</v>
      </c>
      <c r="BL8" s="30">
        <f t="shared" si="3"/>
        <v>0.96905779284268934</v>
      </c>
      <c r="BM8" s="30">
        <f t="shared" si="3"/>
        <v>0.5838824542571045</v>
      </c>
      <c r="BN8" s="492">
        <f>'B1 - TCO ML 19T'!$W$165</f>
        <v>59.24457381013746</v>
      </c>
      <c r="BO8" s="492">
        <f>'B1 - TCO ML 19T'!$W$166</f>
        <v>62.580316071600642</v>
      </c>
      <c r="BP8" s="492">
        <f>'B1 - TCO ML 19T'!$W$167</f>
        <v>61.753402767893697</v>
      </c>
      <c r="BQ8" s="492">
        <f>'B1 - TCO ML 19T'!$W$168</f>
        <v>45.444085114183565</v>
      </c>
      <c r="BR8" s="492">
        <f>'B1 - TCO ML 19T'!$W$169</f>
        <v>59.382830354740037</v>
      </c>
      <c r="BS8" s="492">
        <f>'B1 - TCO ML 19T'!$W$170</f>
        <v>61.703840206855837</v>
      </c>
      <c r="BU8" s="688">
        <f t="shared" ref="BU8:BZ8" si="4">IF(CA8=0, 0, EXP($D8*$E$2 * (($CA8/CA8) - 1)) )</f>
        <v>1</v>
      </c>
      <c r="BV8" s="30">
        <f t="shared" si="4"/>
        <v>0.36293864259958697</v>
      </c>
      <c r="BW8" s="30">
        <f t="shared" si="4"/>
        <v>0.43499201006458882</v>
      </c>
      <c r="BX8" s="30">
        <f t="shared" si="4"/>
        <v>158.11797747308529</v>
      </c>
      <c r="BY8" s="30">
        <f t="shared" si="4"/>
        <v>4.7129016417984957</v>
      </c>
      <c r="BZ8" s="30">
        <f t="shared" si="4"/>
        <v>3.4812733380621315</v>
      </c>
      <c r="CA8" s="492">
        <f>'B1 - TCO ML 19T'!$AB$165</f>
        <v>68.425106098912025</v>
      </c>
      <c r="CB8" s="492">
        <f>'B1 - TCO ML 19T'!$AB$166</f>
        <v>73.979139228252222</v>
      </c>
      <c r="CC8" s="492">
        <f>'B1 - TCO ML 19T'!$AB$167</f>
        <v>72.921543632334021</v>
      </c>
      <c r="CD8" s="492">
        <f>'B1 - TCO ML 19T'!$AB$168</f>
        <v>49.761457815114944</v>
      </c>
      <c r="CE8" s="492">
        <f>'B1 - TCO ML 19T'!$AB$169</f>
        <v>61.376763283349369</v>
      </c>
      <c r="CF8" s="492">
        <f>'B1 - TCO ML 19T'!$AB$170</f>
        <v>62.63741741288694</v>
      </c>
      <c r="CH8" s="30">
        <f>IF(CK8=0, 0, EXP($D8*$E$2 * (($CN8/CK8) - 1)))</f>
        <v>118.37328155031513</v>
      </c>
      <c r="CI8" s="30">
        <f>IF(CL8=0, 0, EXP($D8*$E$2 * (($CN8/CL8) - 1)))</f>
        <v>7.8564031093508575</v>
      </c>
      <c r="CJ8" s="30">
        <f>IF(CM8=0, 0, EXP($D8*$E$2 * (($CN8/CM8) - 1)))</f>
        <v>6.0252842822388111</v>
      </c>
      <c r="CK8" s="492">
        <f>'B1 - TCO ML 19T'!$AG$168</f>
        <v>57.817387735891536</v>
      </c>
      <c r="CL8" s="492">
        <f>'B1 - TCO ML 19T'!$AG$169</f>
        <v>67.895606869747283</v>
      </c>
      <c r="CM8" s="492">
        <f>'B1 - TCO ML 19T'!$AG$170</f>
        <v>69.073503468993977</v>
      </c>
      <c r="CN8" s="703">
        <f>'B1 - TCO ML 19T'!$AG$165</f>
        <v>78.262656899619898</v>
      </c>
    </row>
    <row r="9" spans="1:92">
      <c r="A9" s="818"/>
      <c r="B9" s="824"/>
      <c r="C9" s="23" t="s">
        <v>458</v>
      </c>
      <c r="D9" s="29">
        <f t="shared" si="0"/>
        <v>8.8333333333333339</v>
      </c>
      <c r="E9" s="451">
        <v>9</v>
      </c>
      <c r="F9" s="31">
        <v>9</v>
      </c>
      <c r="G9" s="31">
        <v>9</v>
      </c>
      <c r="H9" s="31">
        <v>9</v>
      </c>
      <c r="I9" s="31">
        <v>9</v>
      </c>
      <c r="J9" s="27">
        <v>8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D9" s="32">
        <v>7</v>
      </c>
      <c r="AE9" s="32"/>
      <c r="AF9" s="32"/>
      <c r="AH9" s="693">
        <f t="shared" ref="AH9:AM9" si="5">IF(AN9=0, 0, EXP($D9*$F$2 * (($AN9/AN9) - 1)) )</f>
        <v>1</v>
      </c>
      <c r="AI9" s="693">
        <f t="shared" si="5"/>
        <v>0.37160773025867272</v>
      </c>
      <c r="AJ9" s="693">
        <f t="shared" si="5"/>
        <v>0.17030531772787488</v>
      </c>
      <c r="AK9" s="693">
        <f t="shared" si="5"/>
        <v>6.5304108782305E-3</v>
      </c>
      <c r="AL9" s="693">
        <f t="shared" si="5"/>
        <v>7.7260673113630926E-2</v>
      </c>
      <c r="AM9" s="693">
        <f t="shared" si="5"/>
        <v>5.9168797111609631E-4</v>
      </c>
      <c r="AN9" s="678">
        <f>'B1 - TCO ML 19T'!$M$63</f>
        <v>4159600</v>
      </c>
      <c r="AO9" s="678">
        <f>'B1 - TCO ML 19T'!$M$81</f>
        <v>4495458.7677523671</v>
      </c>
      <c r="AP9" s="678">
        <f>'B1 - TCO ML 19T'!$M$98</f>
        <v>4801000</v>
      </c>
      <c r="AQ9" s="678">
        <f>'B1 - TCO ML 19T'!$M$132</f>
        <v>6706000</v>
      </c>
      <c r="AR9" s="678">
        <f>'B1 - TCO ML 19T'!$M$115</f>
        <v>5156000</v>
      </c>
      <c r="AS9" s="682">
        <f>'B1 - TCO ML 19T'!$M$149</f>
        <v>9474000</v>
      </c>
      <c r="AU9" s="693">
        <f t="shared" ref="AU9:AZ9" si="6">IF(BA9=0, 0, EXP($D9*$F$2 * (($BA9/BA9) - 1)) )</f>
        <v>1</v>
      </c>
      <c r="AV9" s="693">
        <f t="shared" si="6"/>
        <v>0.37168668675281302</v>
      </c>
      <c r="AW9" s="693">
        <f t="shared" si="6"/>
        <v>0.19702456631835219</v>
      </c>
      <c r="AX9" s="693">
        <f t="shared" si="6"/>
        <v>1.6857206224871132E-2</v>
      </c>
      <c r="AY9" s="693">
        <f t="shared" si="6"/>
        <v>0.14790311167315387</v>
      </c>
      <c r="AZ9" s="693">
        <f t="shared" si="6"/>
        <v>1.7158941184839942E-3</v>
      </c>
      <c r="BA9" s="678">
        <f>'B1 - TCO ML 19T'!$R$63</f>
        <v>4822200</v>
      </c>
      <c r="BB9" s="678">
        <f>'B1 - TCO ML 19T'!$R$81</f>
        <v>5211468.8015399454</v>
      </c>
      <c r="BC9" s="678">
        <f>'B1 - TCO ML 19T'!$R$98</f>
        <v>5496000</v>
      </c>
      <c r="BD9" s="678">
        <f>'B1 - TCO ML 19T'!$R$132</f>
        <v>6970000</v>
      </c>
      <c r="BE9" s="678">
        <f>'B1 - TCO ML 19T'!$R$115</f>
        <v>5635000</v>
      </c>
      <c r="BF9" s="678">
        <f>'B1 - TCO ML 19T'!$R$149</f>
        <v>9284000</v>
      </c>
      <c r="BH9" s="688">
        <f t="shared" ref="BH9:BM9" si="7">IF(BN9=0, 0, EXP($D9*$F$2 * (($BN9/BN9) - 1)) )</f>
        <v>1</v>
      </c>
      <c r="BI9" s="30">
        <f t="shared" si="7"/>
        <v>0.37172627248465329</v>
      </c>
      <c r="BJ9" s="30">
        <f t="shared" si="7"/>
        <v>0.2256231092589101</v>
      </c>
      <c r="BK9" s="30">
        <f t="shared" si="7"/>
        <v>3.3989692062896926E-2</v>
      </c>
      <c r="BL9" s="30">
        <f t="shared" si="7"/>
        <v>0.17284540493577591</v>
      </c>
      <c r="BM9" s="30">
        <f t="shared" si="7"/>
        <v>3.8248461558894032E-3</v>
      </c>
      <c r="BN9" s="493">
        <f>'B1 - TCO ML 19T'!$W$63</f>
        <v>5590300</v>
      </c>
      <c r="BO9" s="493">
        <f>'B1 - TCO ML 19T'!$W$81</f>
        <v>6041520.6706485515</v>
      </c>
      <c r="BP9" s="493">
        <f>'B1 - TCO ML 19T'!$W$98</f>
        <v>6298000</v>
      </c>
      <c r="BQ9" s="493">
        <f>'B1 - TCO ML 19T'!$W$132</f>
        <v>7506000</v>
      </c>
      <c r="BR9" s="493">
        <f>'B1 - TCO ML 19T'!$W$115</f>
        <v>6444000</v>
      </c>
      <c r="BS9" s="494">
        <f>'B1 - TCO ML 19T'!$W$149</f>
        <v>9640000</v>
      </c>
      <c r="BU9" s="688">
        <f t="shared" ref="BU9:BZ9" si="8">IF(CA9=0, 0, EXP($D9*$F$2 * (($CA9/CA9) - 1)) )</f>
        <v>1</v>
      </c>
      <c r="BV9" s="30">
        <f t="shared" si="8"/>
        <v>0.37173340517532294</v>
      </c>
      <c r="BW9" s="30">
        <f t="shared" si="8"/>
        <v>0.25538597806407115</v>
      </c>
      <c r="BX9" s="30">
        <f t="shared" si="8"/>
        <v>5.5752994268295976E-2</v>
      </c>
      <c r="BY9" s="30">
        <f t="shared" si="8"/>
        <v>0.19959942359139171</v>
      </c>
      <c r="BZ9" s="30">
        <f t="shared" si="8"/>
        <v>8.2919288236988232E-3</v>
      </c>
      <c r="CA9" s="493">
        <f>'B1 - TCO ML 19T'!$AB$63</f>
        <v>6480700</v>
      </c>
      <c r="CB9" s="493">
        <f>'B1 - TCO ML 19T'!$AB$81</f>
        <v>7003778.2828304162</v>
      </c>
      <c r="CC9" s="493">
        <f>'B1 - TCO ML 19T'!$AB$98</f>
        <v>7225000</v>
      </c>
      <c r="CD9" s="493">
        <f>'B1 - TCO ML 19T'!$AB$132</f>
        <v>8286000</v>
      </c>
      <c r="CE9" s="493">
        <f>'B1 - TCO ML 19T'!$AB$115</f>
        <v>7378000</v>
      </c>
      <c r="CF9" s="494">
        <f>'B1 - TCO ML 19T'!$AB$149</f>
        <v>10153000</v>
      </c>
      <c r="CH9" s="30">
        <f>IF(CK9=0, 0, EXP($D9*$F$2 * (($CN9/CK9) - 1)))</f>
        <v>7.269932109220946E-2</v>
      </c>
      <c r="CI9" s="30">
        <f>IF(CL9=0, 0, EXP($D9*$F$2 * (($CN9/CL9) - 1)))</f>
        <v>0.22818023867582329</v>
      </c>
      <c r="CJ9" s="30">
        <f>IF(CM9=0, 0, EXP($D9*$F$2 * (($CN9/CM9) - 1)))</f>
        <v>1.3094185563723791E-2</v>
      </c>
      <c r="CK9" s="493">
        <f>'B1 - TCO ML 19T'!$AG$132</f>
        <v>9366000</v>
      </c>
      <c r="CL9" s="493">
        <f>'B1 - TCO ML 19T'!$AG$115</f>
        <v>8456000</v>
      </c>
      <c r="CM9" s="494">
        <f>'B1 - TCO ML 19T'!$AG$149</f>
        <v>11167000</v>
      </c>
      <c r="CN9" s="17">
        <f>'B1 - TCO ML 19T'!$AG$63</f>
        <v>7513000</v>
      </c>
    </row>
    <row r="10" spans="1:92">
      <c r="A10" s="818"/>
      <c r="B10" s="824"/>
      <c r="C10" s="23" t="s">
        <v>459</v>
      </c>
      <c r="D10" s="29">
        <f t="shared" si="0"/>
        <v>7.166666666666667</v>
      </c>
      <c r="E10" s="451">
        <v>6</v>
      </c>
      <c r="F10" s="31">
        <v>9</v>
      </c>
      <c r="G10" s="31">
        <v>6</v>
      </c>
      <c r="H10" s="31">
        <v>6</v>
      </c>
      <c r="I10" s="31">
        <v>9</v>
      </c>
      <c r="J10" s="32">
        <v>7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D10" s="26">
        <v>4</v>
      </c>
      <c r="AE10" s="32"/>
      <c r="AF10" s="32"/>
      <c r="AH10" s="693">
        <f t="shared" ref="AH10:AM11" si="9">IF(AN10=0, 0, EXP($D10*$E$2 * ((AN10/$AN10) - 1)) )</f>
        <v>1</v>
      </c>
      <c r="AI10" s="693">
        <f t="shared" si="9"/>
        <v>1</v>
      </c>
      <c r="AJ10" s="693">
        <f t="shared" si="9"/>
        <v>1</v>
      </c>
      <c r="AK10" s="693">
        <f t="shared" si="9"/>
        <v>0.19434988020049429</v>
      </c>
      <c r="AL10" s="693">
        <f t="shared" si="9"/>
        <v>1</v>
      </c>
      <c r="AM10" s="693">
        <f t="shared" si="9"/>
        <v>0.39795013462718709</v>
      </c>
      <c r="AN10" s="678">
        <f>'B1 - TCO ML 19T'!$C$17</f>
        <v>10500</v>
      </c>
      <c r="AO10" s="678">
        <f>AN10</f>
        <v>10500</v>
      </c>
      <c r="AP10" s="678">
        <f>AN10</f>
        <v>10500</v>
      </c>
      <c r="AQ10" s="678">
        <f>'B1 - TCO ML 19T'!C18</f>
        <v>8900</v>
      </c>
      <c r="AR10" s="678">
        <f>AN10</f>
        <v>10500</v>
      </c>
      <c r="AS10" s="682">
        <f>'B1 - TCO ML 19T'!C19</f>
        <v>9600</v>
      </c>
      <c r="AU10" s="693">
        <f t="shared" ref="AU10:AZ11" si="10">IF(BA10=0, 0, EXP($D10*$E$2 * ((BA10/$BA10) - 1)) )</f>
        <v>1</v>
      </c>
      <c r="AV10" s="693">
        <f t="shared" si="10"/>
        <v>1</v>
      </c>
      <c r="AW10" s="693">
        <f t="shared" si="10"/>
        <v>1</v>
      </c>
      <c r="AX10" s="693">
        <f t="shared" si="10"/>
        <v>0.19434988020049429</v>
      </c>
      <c r="AY10" s="693">
        <f t="shared" si="10"/>
        <v>1</v>
      </c>
      <c r="AZ10" s="693">
        <f t="shared" si="10"/>
        <v>0.39795013462718709</v>
      </c>
      <c r="BA10" s="678">
        <f>'B1 - TCO ML 19T'!$C$17</f>
        <v>10500</v>
      </c>
      <c r="BB10" s="678">
        <f>BA10</f>
        <v>10500</v>
      </c>
      <c r="BC10" s="678">
        <f>BA10</f>
        <v>10500</v>
      </c>
      <c r="BD10" s="678">
        <f>'B1 - TCO ML 19T'!C18</f>
        <v>8900</v>
      </c>
      <c r="BE10" s="678">
        <f>BA10</f>
        <v>10500</v>
      </c>
      <c r="BF10" s="678">
        <f>'B1 - TCO ML 19T'!C19</f>
        <v>9600</v>
      </c>
      <c r="BH10" s="688">
        <f t="shared" ref="BH10:BM11" si="11">IF(BN10=0, 0, EXP($D10*$E$2 * ((BN10/$BN10) - 1)) )</f>
        <v>1</v>
      </c>
      <c r="BI10" s="30">
        <f t="shared" si="11"/>
        <v>1</v>
      </c>
      <c r="BJ10" s="30">
        <f t="shared" si="11"/>
        <v>1</v>
      </c>
      <c r="BK10" s="30">
        <f t="shared" si="11"/>
        <v>0.19434988020049429</v>
      </c>
      <c r="BL10" s="30">
        <f t="shared" si="11"/>
        <v>1</v>
      </c>
      <c r="BM10" s="30">
        <f t="shared" si="11"/>
        <v>0.39795013462718709</v>
      </c>
      <c r="BN10" s="493">
        <f>'B1 - TCO ML 19T'!$C$17</f>
        <v>10500</v>
      </c>
      <c r="BO10" s="493">
        <f>BN10</f>
        <v>10500</v>
      </c>
      <c r="BP10" s="493">
        <f>BN10</f>
        <v>10500</v>
      </c>
      <c r="BQ10" s="493">
        <f>'B1 - TCO ML 19T'!C18</f>
        <v>8900</v>
      </c>
      <c r="BR10" s="493">
        <f>BN10</f>
        <v>10500</v>
      </c>
      <c r="BS10" s="493">
        <f>'B1 - TCO ML 19T'!C19</f>
        <v>9600</v>
      </c>
      <c r="BU10" s="688">
        <f t="shared" ref="BU10:BZ11" si="12">IF(CA10=0, 0, EXP($D10*$E$2 * ((CA10/$CA10) - 1)) )</f>
        <v>1</v>
      </c>
      <c r="BV10" s="30">
        <f t="shared" si="12"/>
        <v>1</v>
      </c>
      <c r="BW10" s="30">
        <f t="shared" si="12"/>
        <v>1</v>
      </c>
      <c r="BX10" s="30">
        <f t="shared" si="12"/>
        <v>0.19434988020049429</v>
      </c>
      <c r="BY10" s="30">
        <f t="shared" si="12"/>
        <v>1</v>
      </c>
      <c r="BZ10" s="30">
        <f t="shared" si="12"/>
        <v>0.39795013462718709</v>
      </c>
      <c r="CA10" s="493">
        <f>'B1 - TCO ML 19T'!$C$17</f>
        <v>10500</v>
      </c>
      <c r="CB10" s="493">
        <f>CA10</f>
        <v>10500</v>
      </c>
      <c r="CC10" s="493">
        <f>CA10</f>
        <v>10500</v>
      </c>
      <c r="CD10" s="493">
        <f>'B1 - TCO ML 19T'!C18</f>
        <v>8900</v>
      </c>
      <c r="CE10" s="493">
        <f>CA10</f>
        <v>10500</v>
      </c>
      <c r="CF10" s="493">
        <f>'B1 - TCO ML 19T'!C19</f>
        <v>9600</v>
      </c>
      <c r="CH10" s="30">
        <f t="shared" ref="CH10:CJ11" si="13">IF(CK10=0, 0, EXP($D10*$E$2 * ((CK10/$CN10) - 1)))</f>
        <v>0.19434988020049429</v>
      </c>
      <c r="CI10" s="30">
        <f t="shared" si="13"/>
        <v>1</v>
      </c>
      <c r="CJ10" s="30">
        <f t="shared" si="13"/>
        <v>0.39795013462718709</v>
      </c>
      <c r="CK10" s="493">
        <f t="shared" ref="CK10:CM11" si="14">BQ10</f>
        <v>8900</v>
      </c>
      <c r="CL10" s="493">
        <f t="shared" si="14"/>
        <v>10500</v>
      </c>
      <c r="CM10" s="493">
        <f t="shared" si="14"/>
        <v>9600</v>
      </c>
      <c r="CN10" s="17">
        <f>'B1 - TCO ML 19T'!$C$17</f>
        <v>10500</v>
      </c>
    </row>
    <row r="11" spans="1:92">
      <c r="A11" s="818"/>
      <c r="B11" s="824"/>
      <c r="C11" s="23" t="s">
        <v>460</v>
      </c>
      <c r="D11" s="29">
        <f t="shared" si="0"/>
        <v>5.5</v>
      </c>
      <c r="E11" s="451">
        <v>3</v>
      </c>
      <c r="F11" s="24">
        <v>9</v>
      </c>
      <c r="G11" s="24">
        <v>4</v>
      </c>
      <c r="H11" s="24">
        <v>7</v>
      </c>
      <c r="I11" s="24">
        <v>5</v>
      </c>
      <c r="J11" s="32">
        <v>5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D11" s="26">
        <v>3</v>
      </c>
      <c r="AE11" s="26"/>
      <c r="AF11" s="26"/>
      <c r="AH11" s="693">
        <f t="shared" si="9"/>
        <v>1</v>
      </c>
      <c r="AI11" s="693">
        <f t="shared" si="9"/>
        <v>0.66199319669083379</v>
      </c>
      <c r="AJ11" s="693">
        <f t="shared" si="9"/>
        <v>0.66199319669083379</v>
      </c>
      <c r="AK11" s="693">
        <f t="shared" si="9"/>
        <v>3.4469852208994722</v>
      </c>
      <c r="AL11" s="693">
        <f t="shared" si="9"/>
        <v>0.66199319669083379</v>
      </c>
      <c r="AM11" s="693">
        <f t="shared" si="9"/>
        <v>3.4469852208994722</v>
      </c>
      <c r="AN11" s="698">
        <f>'No change with year'!D52</f>
        <v>1</v>
      </c>
      <c r="AO11" s="698">
        <f>'No change with year'!E52</f>
        <v>0.95</v>
      </c>
      <c r="AP11" s="698">
        <f>'No change with year'!F52</f>
        <v>0.95</v>
      </c>
      <c r="AQ11" s="698">
        <f>'No change with year'!G52</f>
        <v>1.1499999999999999</v>
      </c>
      <c r="AR11" s="698">
        <f>'No change with year'!H52</f>
        <v>0.95</v>
      </c>
      <c r="AS11" s="699">
        <f>'No change with year'!I52</f>
        <v>1.1499999999999999</v>
      </c>
      <c r="AU11" s="693">
        <f t="shared" si="10"/>
        <v>1</v>
      </c>
      <c r="AV11" s="693">
        <f t="shared" si="10"/>
        <v>0.66199319669083379</v>
      </c>
      <c r="AW11" s="693">
        <f t="shared" si="10"/>
        <v>0.66199319669083379</v>
      </c>
      <c r="AX11" s="693">
        <f t="shared" si="10"/>
        <v>3.4469852208994722</v>
      </c>
      <c r="AY11" s="693">
        <f t="shared" si="10"/>
        <v>0.66199319669083379</v>
      </c>
      <c r="AZ11" s="693">
        <f t="shared" si="10"/>
        <v>3.4469852208994722</v>
      </c>
      <c r="BA11" s="698">
        <f>'No change with year'!D52</f>
        <v>1</v>
      </c>
      <c r="BB11" s="698">
        <f>'No change with year'!E52</f>
        <v>0.95</v>
      </c>
      <c r="BC11" s="698">
        <f>'No change with year'!F52</f>
        <v>0.95</v>
      </c>
      <c r="BD11" s="698">
        <f>'No change with year'!G52</f>
        <v>1.1499999999999999</v>
      </c>
      <c r="BE11" s="698">
        <f>'No change with year'!H52</f>
        <v>0.95</v>
      </c>
      <c r="BF11" s="698">
        <f>'No change with year'!I52</f>
        <v>1.1499999999999999</v>
      </c>
      <c r="BH11" s="688">
        <f t="shared" si="11"/>
        <v>1</v>
      </c>
      <c r="BI11" s="30">
        <f t="shared" si="11"/>
        <v>0.66199319669083379</v>
      </c>
      <c r="BJ11" s="30">
        <f t="shared" si="11"/>
        <v>0.66199319669083379</v>
      </c>
      <c r="BK11" s="30">
        <f t="shared" si="11"/>
        <v>3.4469852208994722</v>
      </c>
      <c r="BL11" s="30">
        <f t="shared" si="11"/>
        <v>0.66199319669083379</v>
      </c>
      <c r="BM11" s="30">
        <f t="shared" si="11"/>
        <v>3.4469852208994722</v>
      </c>
      <c r="BN11" s="490">
        <f>'No change with year'!D52</f>
        <v>1</v>
      </c>
      <c r="BO11" s="490">
        <f>'No change with year'!E52</f>
        <v>0.95</v>
      </c>
      <c r="BP11" s="490">
        <f>'No change with year'!F52</f>
        <v>0.95</v>
      </c>
      <c r="BQ11" s="490">
        <f>'No change with year'!G52</f>
        <v>1.1499999999999999</v>
      </c>
      <c r="BR11" s="490">
        <f>'No change with year'!H52</f>
        <v>0.95</v>
      </c>
      <c r="BS11" s="490">
        <f>'No change with year'!I52</f>
        <v>1.1499999999999999</v>
      </c>
      <c r="BU11" s="688">
        <f t="shared" si="12"/>
        <v>1</v>
      </c>
      <c r="BV11" s="30">
        <f t="shared" si="12"/>
        <v>0.66199319669083379</v>
      </c>
      <c r="BW11" s="30">
        <f t="shared" si="12"/>
        <v>0.66199319669083379</v>
      </c>
      <c r="BX11" s="30">
        <f t="shared" si="12"/>
        <v>3.4469852208994722</v>
      </c>
      <c r="BY11" s="30">
        <f t="shared" si="12"/>
        <v>0.66199319669083379</v>
      </c>
      <c r="BZ11" s="30">
        <f t="shared" si="12"/>
        <v>3.4469852208994722</v>
      </c>
      <c r="CA11" s="490">
        <f>'No change with year'!D52</f>
        <v>1</v>
      </c>
      <c r="CB11" s="490">
        <f>'No change with year'!E52</f>
        <v>0.95</v>
      </c>
      <c r="CC11" s="490">
        <f>'No change with year'!F52</f>
        <v>0.95</v>
      </c>
      <c r="CD11" s="490">
        <f>'No change with year'!G52</f>
        <v>1.1499999999999999</v>
      </c>
      <c r="CE11" s="490">
        <f>'No change with year'!H52</f>
        <v>0.95</v>
      </c>
      <c r="CF11" s="490">
        <f>'No change with year'!I52</f>
        <v>1.1499999999999999</v>
      </c>
      <c r="CH11" s="30">
        <f t="shared" si="13"/>
        <v>3.4469852208994722</v>
      </c>
      <c r="CI11" s="30">
        <f t="shared" si="13"/>
        <v>0.66199319669083379</v>
      </c>
      <c r="CJ11" s="30">
        <f t="shared" si="13"/>
        <v>3.4469852208994722</v>
      </c>
      <c r="CK11" s="490">
        <f t="shared" si="14"/>
        <v>1.1499999999999999</v>
      </c>
      <c r="CL11" s="490">
        <f t="shared" si="14"/>
        <v>0.95</v>
      </c>
      <c r="CM11" s="490">
        <f t="shared" si="14"/>
        <v>1.1499999999999999</v>
      </c>
      <c r="CN11" s="704">
        <f>'No change with year'!D52</f>
        <v>1</v>
      </c>
    </row>
    <row r="12" spans="1:92">
      <c r="A12" s="818"/>
      <c r="B12" s="824"/>
      <c r="C12" s="34" t="s">
        <v>461</v>
      </c>
      <c r="D12" s="35">
        <f t="shared" si="0"/>
        <v>7.5</v>
      </c>
      <c r="E12" s="36">
        <v>8</v>
      </c>
      <c r="F12" s="37">
        <v>10</v>
      </c>
      <c r="G12" s="37">
        <v>7</v>
      </c>
      <c r="H12" s="37">
        <v>8</v>
      </c>
      <c r="I12" s="37">
        <v>6</v>
      </c>
      <c r="J12" s="26">
        <v>6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D12" s="38">
        <v>2</v>
      </c>
      <c r="AE12" s="38"/>
      <c r="AF12" s="38"/>
      <c r="AH12" s="693">
        <f t="shared" ref="AH12:AM12" si="15">IF(AN12=0, 0, EXP($D12*$E$2 * (($AN12/AN12) - 1)) )</f>
        <v>1</v>
      </c>
      <c r="AI12" s="693">
        <f t="shared" si="15"/>
        <v>0.58525110430741201</v>
      </c>
      <c r="AJ12" s="693">
        <f t="shared" si="15"/>
        <v>0.35961283926440357</v>
      </c>
      <c r="AK12" s="693">
        <f t="shared" si="15"/>
        <v>0.15335496684492853</v>
      </c>
      <c r="AL12" s="693">
        <f t="shared" si="15"/>
        <v>1</v>
      </c>
      <c r="AM12" s="693">
        <f t="shared" si="15"/>
        <v>1</v>
      </c>
      <c r="AN12" s="698">
        <f>'No change with year'!D53</f>
        <v>1</v>
      </c>
      <c r="AO12" s="698">
        <f>'No change with year'!E53</f>
        <v>1.05</v>
      </c>
      <c r="AP12" s="698">
        <f>'No change with year'!F53</f>
        <v>1.1000000000000001</v>
      </c>
      <c r="AQ12" s="698">
        <f>'No change with year'!G53</f>
        <v>1.2</v>
      </c>
      <c r="AR12" s="698">
        <f>'No change with year'!H53</f>
        <v>1</v>
      </c>
      <c r="AS12" s="699">
        <f>'No change with year'!I53</f>
        <v>1</v>
      </c>
      <c r="AU12" s="693">
        <f t="shared" ref="AU12:AZ12" si="16">IF(BA12=0, 0, EXP($D12*$E$2 * (($BA12/BA12) - 1)) )</f>
        <v>1</v>
      </c>
      <c r="AV12" s="693">
        <f t="shared" si="16"/>
        <v>0.58525110430741201</v>
      </c>
      <c r="AW12" s="693">
        <f t="shared" si="16"/>
        <v>0.35961283926440357</v>
      </c>
      <c r="AX12" s="693">
        <f t="shared" si="16"/>
        <v>0.15335496684492853</v>
      </c>
      <c r="AY12" s="693">
        <f t="shared" si="16"/>
        <v>1</v>
      </c>
      <c r="AZ12" s="693">
        <f t="shared" si="16"/>
        <v>1</v>
      </c>
      <c r="BA12" s="698">
        <f>'No change with year'!D53</f>
        <v>1</v>
      </c>
      <c r="BB12" s="698">
        <f>'No change with year'!E53</f>
        <v>1.05</v>
      </c>
      <c r="BC12" s="698">
        <f>'No change with year'!F53</f>
        <v>1.1000000000000001</v>
      </c>
      <c r="BD12" s="698">
        <f>'No change with year'!G53</f>
        <v>1.2</v>
      </c>
      <c r="BE12" s="698">
        <f>'No change with year'!H53</f>
        <v>1</v>
      </c>
      <c r="BF12" s="698">
        <f>'No change with year'!I53</f>
        <v>1</v>
      </c>
      <c r="BH12" s="688">
        <f t="shared" ref="BH12:BM12" si="17">IF(BN12=0, 0, EXP($D12*$E$2 * (($BN12/BN12) - 1)) )</f>
        <v>1</v>
      </c>
      <c r="BI12" s="30">
        <f t="shared" si="17"/>
        <v>0.58525110430741201</v>
      </c>
      <c r="BJ12" s="30">
        <f t="shared" si="17"/>
        <v>0.35961283926440357</v>
      </c>
      <c r="BK12" s="30">
        <f t="shared" si="17"/>
        <v>0.15335496684492853</v>
      </c>
      <c r="BL12" s="30">
        <f t="shared" si="17"/>
        <v>1</v>
      </c>
      <c r="BM12" s="30">
        <f t="shared" si="17"/>
        <v>1</v>
      </c>
      <c r="BN12" s="490">
        <f>'No change with year'!D53</f>
        <v>1</v>
      </c>
      <c r="BO12" s="490">
        <f>'No change with year'!E53</f>
        <v>1.05</v>
      </c>
      <c r="BP12" s="490">
        <f>'No change with year'!F53</f>
        <v>1.1000000000000001</v>
      </c>
      <c r="BQ12" s="490">
        <f>'No change with year'!G53</f>
        <v>1.2</v>
      </c>
      <c r="BR12" s="490">
        <f>'No change with year'!H53</f>
        <v>1</v>
      </c>
      <c r="BS12" s="490">
        <f>'No change with year'!I53</f>
        <v>1</v>
      </c>
      <c r="BU12" s="688">
        <f t="shared" ref="BU12:BZ12" si="18">IF(CA12=0, 0, EXP($D12*$E$2 * (($CA12/CA12) - 1)) )</f>
        <v>1</v>
      </c>
      <c r="BV12" s="30">
        <f t="shared" si="18"/>
        <v>0.58525110430741201</v>
      </c>
      <c r="BW12" s="30">
        <f t="shared" si="18"/>
        <v>0.35961283926440357</v>
      </c>
      <c r="BX12" s="30">
        <f t="shared" si="18"/>
        <v>0.15335496684492853</v>
      </c>
      <c r="BY12" s="30">
        <f t="shared" si="18"/>
        <v>1</v>
      </c>
      <c r="BZ12" s="30">
        <f t="shared" si="18"/>
        <v>1</v>
      </c>
      <c r="CA12" s="490">
        <f>'No change with year'!D53</f>
        <v>1</v>
      </c>
      <c r="CB12" s="490">
        <f>'No change with year'!E53</f>
        <v>1.05</v>
      </c>
      <c r="CC12" s="490">
        <f>'No change with year'!F53</f>
        <v>1.1000000000000001</v>
      </c>
      <c r="CD12" s="490">
        <f>'No change with year'!G53</f>
        <v>1.2</v>
      </c>
      <c r="CE12" s="490">
        <f>'No change with year'!H53</f>
        <v>1</v>
      </c>
      <c r="CF12" s="490">
        <f>'No change with year'!I53</f>
        <v>1</v>
      </c>
      <c r="CH12" s="30">
        <f>IF(CK12=0, 0, EXP($D12*$E$2 * (($CN12/CK12) - 1)))</f>
        <v>0.15335496684492853</v>
      </c>
      <c r="CI12" s="30">
        <f>IF(CL12=0, 0, EXP($D12*$E$2 * (($CN12/CL12) - 1)))</f>
        <v>1</v>
      </c>
      <c r="CJ12" s="30">
        <f>IF(CM12=0, 0, EXP($D12*$E$2 * (($CN12/CM12) - 1)))</f>
        <v>1</v>
      </c>
      <c r="CK12" s="490">
        <f>BQ12</f>
        <v>1.2</v>
      </c>
      <c r="CL12" s="490">
        <f t="shared" ref="CL12" si="19">BR12</f>
        <v>1</v>
      </c>
      <c r="CM12" s="490">
        <f t="shared" ref="CM12" si="20">BS12</f>
        <v>1</v>
      </c>
      <c r="CN12" s="704">
        <f>'No change with year'!D53</f>
        <v>1</v>
      </c>
    </row>
    <row r="13" spans="1:92">
      <c r="A13" s="818"/>
      <c r="B13" s="824"/>
      <c r="C13" s="23" t="s">
        <v>462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64"/>
      <c r="AH13" s="23"/>
      <c r="AI13" s="23"/>
      <c r="AJ13" s="23"/>
      <c r="AK13" s="23"/>
      <c r="AL13" s="23"/>
      <c r="AM13" s="23"/>
      <c r="AN13" s="680">
        <f>'No change with year'!D65</f>
        <v>2025</v>
      </c>
      <c r="AO13" s="680">
        <f>'No change with year'!E65</f>
        <v>2025</v>
      </c>
      <c r="AP13" s="680">
        <f>'No change with year'!F65</f>
        <v>2025</v>
      </c>
      <c r="AQ13" s="680">
        <f>'No change with year'!G65</f>
        <v>2025</v>
      </c>
      <c r="AR13" s="680">
        <f>'No change with year'!H65</f>
        <v>2028</v>
      </c>
      <c r="AS13" s="696">
        <f>'No change with year'!I65</f>
        <v>2030</v>
      </c>
      <c r="AU13" s="23"/>
      <c r="AV13" s="23"/>
      <c r="AW13" s="23"/>
      <c r="AX13" s="23"/>
      <c r="AY13" s="23"/>
      <c r="AZ13" s="23"/>
      <c r="BA13" s="680">
        <f>'No change with year'!D65</f>
        <v>2025</v>
      </c>
      <c r="BB13" s="680">
        <f>'No change with year'!E65</f>
        <v>2025</v>
      </c>
      <c r="BC13" s="680">
        <f>'No change with year'!F65</f>
        <v>2025</v>
      </c>
      <c r="BD13" s="680">
        <f>'No change with year'!G65</f>
        <v>2025</v>
      </c>
      <c r="BE13" s="680">
        <f>'No change with year'!H65</f>
        <v>2028</v>
      </c>
      <c r="BF13" s="680">
        <f>'No change with year'!I65</f>
        <v>2030</v>
      </c>
      <c r="BH13" s="681"/>
      <c r="BI13" s="23"/>
      <c r="BJ13" s="23"/>
      <c r="BK13" s="39"/>
      <c r="BL13" s="39"/>
      <c r="BM13" s="23"/>
      <c r="BN13" s="491">
        <f>'No change with year'!D65</f>
        <v>2025</v>
      </c>
      <c r="BO13" s="491">
        <f>'No change with year'!E65</f>
        <v>2025</v>
      </c>
      <c r="BP13" s="491">
        <f>'No change with year'!F65</f>
        <v>2025</v>
      </c>
      <c r="BQ13" s="491">
        <f>'No change with year'!G65</f>
        <v>2025</v>
      </c>
      <c r="BR13" s="491">
        <f>'No change with year'!H65</f>
        <v>2028</v>
      </c>
      <c r="BS13" s="491">
        <f>'No change with year'!I65</f>
        <v>2030</v>
      </c>
      <c r="BU13" s="681"/>
      <c r="BV13" s="23"/>
      <c r="BW13" s="23"/>
      <c r="BX13" s="39"/>
      <c r="BY13" s="39"/>
      <c r="BZ13" s="23"/>
      <c r="CA13" s="491">
        <f>BN13</f>
        <v>2025</v>
      </c>
      <c r="CB13" s="491">
        <f t="shared" ref="CB13:CF13" si="21">BO13</f>
        <v>2025</v>
      </c>
      <c r="CC13" s="491">
        <f t="shared" si="21"/>
        <v>2025</v>
      </c>
      <c r="CD13" s="491">
        <f t="shared" si="21"/>
        <v>2025</v>
      </c>
      <c r="CE13" s="491">
        <f t="shared" si="21"/>
        <v>2028</v>
      </c>
      <c r="CF13" s="491">
        <f t="shared" si="21"/>
        <v>2030</v>
      </c>
      <c r="CN13" s="17">
        <f>'No change with year'!D65</f>
        <v>2025</v>
      </c>
    </row>
    <row r="14" spans="1:92">
      <c r="A14" s="818"/>
      <c r="B14" s="824"/>
      <c r="C14" s="23" t="s">
        <v>463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64"/>
      <c r="AH14" s="40">
        <v>1</v>
      </c>
      <c r="AI14" s="40">
        <f>$BH14-($BO14-$BN14)/($BO$1-$BN14)</f>
        <v>0.9</v>
      </c>
      <c r="AJ14" s="40">
        <f>$BH14-($BP14-$BN14)/($BO$1-$BN14)</f>
        <v>0.75</v>
      </c>
      <c r="AK14" s="40">
        <f>$BH14-($BQ14-$BN14)/($BO$1-$BN14)</f>
        <v>0.9</v>
      </c>
      <c r="AL14" s="40">
        <f>$BH14-($BR14-$BN14)/($BO$1-$BN14)</f>
        <v>0.55000000000000004</v>
      </c>
      <c r="AM14" s="40">
        <f>$BH14-($BS14-$BN13)/($BO$1-$BN13)</f>
        <v>0.35</v>
      </c>
      <c r="AN14" s="680">
        <f>'No change with year'!J66</f>
        <v>2025</v>
      </c>
      <c r="AO14" s="680">
        <f>'No change with year'!K66</f>
        <v>2027</v>
      </c>
      <c r="AP14" s="680">
        <f>'No change with year'!L66</f>
        <v>2030</v>
      </c>
      <c r="AQ14" s="680">
        <f>'No change with year'!M66</f>
        <v>2027</v>
      </c>
      <c r="AR14" s="680">
        <f>'No change with year'!N66</f>
        <v>2034</v>
      </c>
      <c r="AS14" s="696">
        <f>'No change with year'!O66</f>
        <v>2038</v>
      </c>
      <c r="AU14" s="23">
        <v>1</v>
      </c>
      <c r="AV14" s="701">
        <f>$BH14-($BO14-$BN14)/($BO$1-$BN14)</f>
        <v>0.9</v>
      </c>
      <c r="AW14" s="701">
        <f>$BH14-($BP14-$BN14)/($BO$1-$BN14)</f>
        <v>0.75</v>
      </c>
      <c r="AX14" s="701">
        <f>$BH14-($BQ14-$BN14)/($BO$1-$BN14)</f>
        <v>0.9</v>
      </c>
      <c r="AY14" s="701">
        <f>$BH14-($BR14-$BN14)/($BO$1-$BN14)</f>
        <v>0.55000000000000004</v>
      </c>
      <c r="AZ14" s="701">
        <f>$BH14-($BS14-$BN13)/($BO$1-$BN13)</f>
        <v>0.35</v>
      </c>
      <c r="BA14" s="680">
        <f>'No change with year'!J66</f>
        <v>2025</v>
      </c>
      <c r="BB14" s="680">
        <f>'No change with year'!K66</f>
        <v>2027</v>
      </c>
      <c r="BC14" s="680">
        <f>'No change with year'!L66</f>
        <v>2030</v>
      </c>
      <c r="BD14" s="680">
        <f>'No change with year'!M66</f>
        <v>2027</v>
      </c>
      <c r="BE14" s="680">
        <f>'No change with year'!N66</f>
        <v>2034</v>
      </c>
      <c r="BF14" s="680">
        <f>'No change with year'!O66</f>
        <v>2038</v>
      </c>
      <c r="BH14" s="688">
        <v>1</v>
      </c>
      <c r="BI14" s="30">
        <f>$BH14-($BO14-$BN14)/($BO$1-$BN14)</f>
        <v>0.9</v>
      </c>
      <c r="BJ14" s="30">
        <f>$BH14-($BP14-$BN14)/($BO$1-$BN14)</f>
        <v>0.75</v>
      </c>
      <c r="BK14" s="30">
        <f>$BH14-($BQ14-$BN14)/($BO$1-$BN14)</f>
        <v>0.9</v>
      </c>
      <c r="BL14" s="30">
        <f>$BH14-($BR14-$BN14)/($BO$1-$BN14)</f>
        <v>0.55000000000000004</v>
      </c>
      <c r="BM14" s="30">
        <f>$BH14-($BS14-$BN13)/($BO$1-$BN13)</f>
        <v>0.35</v>
      </c>
      <c r="BN14" s="491">
        <f>'No change with year'!J66</f>
        <v>2025</v>
      </c>
      <c r="BO14" s="491">
        <f>'No change with year'!K66</f>
        <v>2027</v>
      </c>
      <c r="BP14" s="491">
        <f>'No change with year'!L66</f>
        <v>2030</v>
      </c>
      <c r="BQ14" s="491">
        <f>'No change with year'!M66</f>
        <v>2027</v>
      </c>
      <c r="BR14" s="491">
        <f>'No change with year'!N66</f>
        <v>2034</v>
      </c>
      <c r="BS14" s="491">
        <f>'No change with year'!O66</f>
        <v>2038</v>
      </c>
      <c r="BU14" s="688">
        <v>1</v>
      </c>
      <c r="BV14" s="30">
        <f>$BU14-($CB14-$CA14)/($CB$1-$CA14)</f>
        <v>0.92</v>
      </c>
      <c r="BW14" s="30">
        <f>$BU14-($CC14-$CA14)/($CB$1-$CA14)</f>
        <v>0.8</v>
      </c>
      <c r="BX14" s="30">
        <f>$BU14-($CD14-$CA14)/($CB$1-$CA14)</f>
        <v>0.92</v>
      </c>
      <c r="BY14" s="30">
        <f>$BU14-($CE14-$CA14)/($CB$1-$CA14)</f>
        <v>0.64</v>
      </c>
      <c r="BZ14" s="30">
        <f>$BU14-($CF14-$CA13)/($CB$1-$CA13)</f>
        <v>0.48</v>
      </c>
      <c r="CA14" s="491">
        <f>BN14</f>
        <v>2025</v>
      </c>
      <c r="CB14" s="491">
        <f t="shared" ref="CB14:CB15" si="22">BO14</f>
        <v>2027</v>
      </c>
      <c r="CC14" s="491">
        <f t="shared" ref="CC14:CC15" si="23">BP14</f>
        <v>2030</v>
      </c>
      <c r="CD14" s="491">
        <f t="shared" ref="CD14:CD15" si="24">BQ14</f>
        <v>2027</v>
      </c>
      <c r="CE14" s="491">
        <f t="shared" ref="CE14:CE15" si="25">BR14</f>
        <v>2034</v>
      </c>
      <c r="CF14" s="491">
        <f t="shared" ref="CF14:CF15" si="26">BS14</f>
        <v>2038</v>
      </c>
      <c r="CN14" s="17">
        <f>'No change with year'!J66</f>
        <v>2025</v>
      </c>
    </row>
    <row r="15" spans="1:92">
      <c r="A15" s="818"/>
      <c r="B15" s="823"/>
      <c r="C15" s="23" t="s">
        <v>464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E15" s="23"/>
      <c r="AF15" s="23"/>
      <c r="AG15" s="64"/>
      <c r="AH15" s="694"/>
      <c r="AI15" s="694"/>
      <c r="AJ15" s="694"/>
      <c r="AK15" s="694"/>
      <c r="AL15" s="694"/>
      <c r="AM15" s="694"/>
      <c r="AN15" s="687">
        <f>'No change with year'!P65</f>
        <v>2025</v>
      </c>
      <c r="AO15" s="687">
        <f>'No change with year'!Q65</f>
        <v>2030</v>
      </c>
      <c r="AP15" s="687">
        <f>'No change with year'!R65</f>
        <v>2033</v>
      </c>
      <c r="AQ15" s="687">
        <f>'No change with year'!S65</f>
        <v>2035</v>
      </c>
      <c r="AR15" s="687">
        <f>'No change with year'!T65</f>
        <v>2042</v>
      </c>
      <c r="AS15" s="697">
        <f>'No change with year'!U65</f>
        <v>2045</v>
      </c>
      <c r="AU15" s="694">
        <v>1</v>
      </c>
      <c r="AV15" s="694">
        <f>$BH15-($BO14-$BN14)/($BO15-$BN14)+($BO$1-$BO15)/($BO$1-$BN14)</f>
        <v>0.35</v>
      </c>
      <c r="AW15" s="694">
        <f>$BH15-($BP14-$BN14)/($BP15-$BN14)+($BO$1-$BP15)/($BO$1-$BN14)</f>
        <v>-2.5000000000000022E-2</v>
      </c>
      <c r="AX15" s="694">
        <f>$BH15-($BQ14-$BN14)/($BQ15-$BN14)+($BO$1-$BQ15)/($BO$1-$BN14)</f>
        <v>0.3</v>
      </c>
      <c r="AY15" s="694">
        <f>$BH15-($BR14-$BN14)/($BR15-$BN14)+($BO$1-$BR15)/($BO$1-$BN14)</f>
        <v>-0.37941176470588234</v>
      </c>
      <c r="AZ15" s="694">
        <f>$BH15-($BS14-$BN13)/($BS15-$BN13)+($BO$1-$BS15)/($BO$1-$BN13)</f>
        <v>-0.65</v>
      </c>
      <c r="BA15" s="687">
        <f>'No change with year'!P65</f>
        <v>2025</v>
      </c>
      <c r="BB15" s="687">
        <f>'No change with year'!Q65</f>
        <v>2030</v>
      </c>
      <c r="BC15" s="687">
        <f>'No change with year'!R65</f>
        <v>2033</v>
      </c>
      <c r="BD15" s="687">
        <f>'No change with year'!S65</f>
        <v>2035</v>
      </c>
      <c r="BE15" s="687">
        <f>'No change with year'!T65</f>
        <v>2042</v>
      </c>
      <c r="BF15" s="687">
        <f>'No change with year'!U65</f>
        <v>2045</v>
      </c>
      <c r="BH15" s="681"/>
      <c r="BI15" s="23"/>
      <c r="BJ15" s="23"/>
      <c r="BK15" s="40"/>
      <c r="BL15" s="40"/>
      <c r="BM15" s="23"/>
      <c r="BN15" s="491">
        <f>'No change with year'!P65</f>
        <v>2025</v>
      </c>
      <c r="BO15" s="491">
        <f>'No change with year'!Q65</f>
        <v>2030</v>
      </c>
      <c r="BP15" s="491">
        <f>'No change with year'!R65</f>
        <v>2033</v>
      </c>
      <c r="BQ15" s="491">
        <f>'No change with year'!S65</f>
        <v>2035</v>
      </c>
      <c r="BR15" s="491">
        <f>'No change with year'!T65</f>
        <v>2042</v>
      </c>
      <c r="BS15" s="491">
        <f>'No change with year'!U65</f>
        <v>2045</v>
      </c>
      <c r="BU15" s="688">
        <v>1</v>
      </c>
      <c r="BV15" s="30">
        <f>$BU15-($CB15-$CA15)/($CB$1-$CA15)</f>
        <v>0.8</v>
      </c>
      <c r="BW15" s="30">
        <f>$BU15-($CC15-$CA15)/($CB$1-$CA15)</f>
        <v>0.67999999999999994</v>
      </c>
      <c r="BX15" s="30">
        <f>$BU15-($CD15-$CA15)/($CB$1-$CA15)</f>
        <v>0.6</v>
      </c>
      <c r="BY15" s="30">
        <f>$BU15-($CE15-$CA15)/($CB$1-$CA15)</f>
        <v>0.31999999999999995</v>
      </c>
      <c r="BZ15" s="30">
        <f>$BU15-($CF15-$CA14)/($CB$1-$CA14)</f>
        <v>0.19999999999999996</v>
      </c>
      <c r="CA15" s="491">
        <f>BN15</f>
        <v>2025</v>
      </c>
      <c r="CB15" s="491">
        <f t="shared" si="22"/>
        <v>2030</v>
      </c>
      <c r="CC15" s="491">
        <f t="shared" si="23"/>
        <v>2033</v>
      </c>
      <c r="CD15" s="491">
        <f t="shared" si="24"/>
        <v>2035</v>
      </c>
      <c r="CE15" s="491">
        <f t="shared" si="25"/>
        <v>2042</v>
      </c>
      <c r="CF15" s="491">
        <f t="shared" si="26"/>
        <v>2045</v>
      </c>
      <c r="CH15" s="30">
        <f>CD15/CD15</f>
        <v>1</v>
      </c>
      <c r="CI15" s="30">
        <f>1-(CE15-CD15)/($CK$1-CD15)</f>
        <v>0.65</v>
      </c>
      <c r="CJ15" s="30">
        <f>1-(CF15-CD15)/($CK$1-CD15)</f>
        <v>0.5</v>
      </c>
      <c r="CK15" s="936" t="s">
        <v>1059</v>
      </c>
      <c r="CL15" s="937"/>
      <c r="CM15" s="937"/>
      <c r="CN15" s="17">
        <f>'No change with year'!P65</f>
        <v>2025</v>
      </c>
    </row>
    <row r="16" spans="1:92">
      <c r="A16" s="818">
        <v>2</v>
      </c>
      <c r="B16" s="822" t="s">
        <v>837</v>
      </c>
      <c r="C16" s="23" t="s">
        <v>452</v>
      </c>
      <c r="D16" s="450"/>
      <c r="E16" s="24" t="s">
        <v>453</v>
      </c>
      <c r="F16" s="24" t="s">
        <v>453</v>
      </c>
      <c r="G16" s="25"/>
      <c r="H16" s="24" t="s">
        <v>453</v>
      </c>
      <c r="I16" s="25" t="s">
        <v>454</v>
      </c>
      <c r="J16" s="25" t="s">
        <v>453</v>
      </c>
      <c r="K16" s="25"/>
      <c r="L16" s="25"/>
      <c r="M16" s="25"/>
      <c r="N16" s="25"/>
      <c r="O16" s="25"/>
      <c r="P16" s="25"/>
      <c r="Q16" s="24"/>
      <c r="R16" s="25"/>
      <c r="S16" s="25"/>
      <c r="T16" s="25"/>
      <c r="U16" s="25"/>
      <c r="V16" s="25"/>
      <c r="W16" s="24"/>
      <c r="X16" s="25"/>
      <c r="Y16" s="25"/>
      <c r="Z16" s="24"/>
      <c r="AA16" s="25"/>
      <c r="AB16" s="25"/>
      <c r="AD16" s="26" t="s">
        <v>453</v>
      </c>
      <c r="AE16" s="27"/>
      <c r="AF16" s="27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U16" s="684"/>
      <c r="AV16" s="684"/>
      <c r="AW16" s="684"/>
      <c r="AX16" s="684"/>
      <c r="AY16" s="684"/>
      <c r="AZ16" s="684"/>
      <c r="BA16" s="684"/>
      <c r="BB16" s="684"/>
      <c r="BC16" s="684"/>
      <c r="BD16" s="684"/>
      <c r="BE16" s="684"/>
      <c r="BF16" s="684"/>
    </row>
    <row r="17" spans="1:92">
      <c r="A17" s="818"/>
      <c r="B17" s="824"/>
      <c r="C17" s="23" t="s">
        <v>455</v>
      </c>
      <c r="D17" s="450"/>
      <c r="E17" s="24"/>
      <c r="F17" s="24"/>
      <c r="G17" s="25"/>
      <c r="H17" s="24"/>
      <c r="I17" s="25"/>
      <c r="J17" s="25"/>
      <c r="K17" s="25"/>
      <c r="L17" s="25"/>
      <c r="M17" s="25"/>
      <c r="N17" s="25"/>
      <c r="O17" s="25"/>
      <c r="P17" s="25"/>
      <c r="Q17" s="24"/>
      <c r="R17" s="25"/>
      <c r="S17" s="25"/>
      <c r="T17" s="25"/>
      <c r="U17" s="25"/>
      <c r="V17" s="25"/>
      <c r="W17" s="24"/>
      <c r="X17" s="25"/>
      <c r="Y17" s="25"/>
      <c r="Z17" s="24"/>
      <c r="AA17" s="25"/>
      <c r="AB17" s="25"/>
      <c r="AD17" s="26"/>
      <c r="AE17" s="27"/>
      <c r="AF17" s="27"/>
      <c r="AH17" s="691">
        <f>Buckets!H4</f>
        <v>34680</v>
      </c>
      <c r="AI17" s="691">
        <f>Buckets!J4</f>
        <v>34680</v>
      </c>
      <c r="AJ17" s="691">
        <f>Buckets!K4</f>
        <v>0</v>
      </c>
      <c r="AK17" s="691">
        <f>AH17</f>
        <v>34680</v>
      </c>
      <c r="AL17" s="691">
        <f>AH17</f>
        <v>34680</v>
      </c>
      <c r="AM17" s="691">
        <f>AH17</f>
        <v>34680</v>
      </c>
      <c r="AU17" s="691">
        <f>Buckets!M4</f>
        <v>38280</v>
      </c>
      <c r="AV17" s="691">
        <f>Buckets!O4</f>
        <v>38280</v>
      </c>
      <c r="AW17" s="691">
        <f>Buckets!P4</f>
        <v>0</v>
      </c>
      <c r="AX17" s="691">
        <f>AU17</f>
        <v>38280</v>
      </c>
      <c r="AY17" s="691">
        <f>AU17</f>
        <v>38280</v>
      </c>
      <c r="AZ17" s="691">
        <f>AU17</f>
        <v>38280</v>
      </c>
      <c r="BH17" s="691">
        <f>Buckets!R4</f>
        <v>43950</v>
      </c>
      <c r="BI17" s="691">
        <f>Buckets!T4</f>
        <v>43950</v>
      </c>
      <c r="BJ17" s="691">
        <f>Buckets!U4</f>
        <v>0</v>
      </c>
      <c r="BK17" s="691">
        <f>BH17</f>
        <v>43950</v>
      </c>
      <c r="BL17" s="691">
        <f>BH17</f>
        <v>43950</v>
      </c>
      <c r="BM17" s="691">
        <f>BH17</f>
        <v>43950</v>
      </c>
      <c r="BU17" s="691">
        <f>Buckets!W4</f>
        <v>51350</v>
      </c>
      <c r="BV17" s="691">
        <f>Buckets!Y4</f>
        <v>51350</v>
      </c>
      <c r="BW17" s="691">
        <f>Buckets!Z4</f>
        <v>0</v>
      </c>
      <c r="BX17" s="691">
        <f>BU17</f>
        <v>51350</v>
      </c>
      <c r="BY17" s="691">
        <f>BU17</f>
        <v>51350</v>
      </c>
      <c r="BZ17" s="691">
        <f>BU17</f>
        <v>51350</v>
      </c>
      <c r="CK17" s="22" t="s">
        <v>182</v>
      </c>
      <c r="CL17" s="22" t="s">
        <v>181</v>
      </c>
      <c r="CM17" s="445" t="s">
        <v>183</v>
      </c>
    </row>
    <row r="18" spans="1:92">
      <c r="A18" s="818"/>
      <c r="B18" s="824"/>
      <c r="C18" s="28" t="s">
        <v>456</v>
      </c>
      <c r="D18" s="450"/>
      <c r="E18" s="24"/>
      <c r="F18" s="25"/>
      <c r="G18" s="25"/>
      <c r="H18" s="24"/>
      <c r="I18" s="25"/>
      <c r="J18" s="25"/>
      <c r="K18" s="25"/>
      <c r="L18" s="25"/>
      <c r="M18" s="25"/>
      <c r="N18" s="25"/>
      <c r="O18" s="25"/>
      <c r="P18" s="25"/>
      <c r="Q18" s="24"/>
      <c r="R18" s="25"/>
      <c r="S18" s="25"/>
      <c r="T18" s="25"/>
      <c r="U18" s="25"/>
      <c r="V18" s="25"/>
      <c r="W18" s="24"/>
      <c r="X18" s="25"/>
      <c r="Y18" s="25"/>
      <c r="Z18" s="24"/>
      <c r="AA18" s="25"/>
      <c r="AB18" s="25"/>
      <c r="AD18" s="26">
        <v>8</v>
      </c>
      <c r="AE18" s="27"/>
      <c r="AF18" s="27"/>
      <c r="AH18" s="686"/>
      <c r="AI18" s="686"/>
      <c r="AJ18" s="686"/>
      <c r="AK18" s="686"/>
      <c r="AL18" s="686"/>
      <c r="AM18" s="686"/>
      <c r="AN18" s="686"/>
      <c r="AO18" s="686"/>
      <c r="AP18" s="686"/>
      <c r="AQ18" s="686"/>
      <c r="AR18" s="686"/>
      <c r="AS18" s="686"/>
      <c r="AU18" s="686"/>
      <c r="AV18" s="686"/>
      <c r="AW18" s="686"/>
      <c r="AX18" s="686"/>
      <c r="AY18" s="686"/>
      <c r="AZ18" s="686"/>
      <c r="BA18" s="686"/>
      <c r="BB18" s="686"/>
      <c r="BC18" s="686"/>
      <c r="BD18" s="686"/>
      <c r="BE18" s="686"/>
      <c r="BF18" s="686"/>
    </row>
    <row r="19" spans="1:92">
      <c r="A19" s="818"/>
      <c r="B19" s="824"/>
      <c r="C19" s="23" t="s">
        <v>457</v>
      </c>
      <c r="D19" s="29">
        <f t="shared" ref="D19:D23" si="27">AVERAGE(E19:AB19)</f>
        <v>9</v>
      </c>
      <c r="E19" s="451">
        <v>10</v>
      </c>
      <c r="F19" s="25">
        <v>9</v>
      </c>
      <c r="G19" s="25">
        <v>8</v>
      </c>
      <c r="H19" s="24">
        <v>9</v>
      </c>
      <c r="I19" s="25">
        <v>9</v>
      </c>
      <c r="J19" s="27">
        <v>9</v>
      </c>
      <c r="K19" s="25"/>
      <c r="L19" s="25"/>
      <c r="M19" s="25"/>
      <c r="N19" s="25"/>
      <c r="O19" s="25"/>
      <c r="P19" s="25"/>
      <c r="Q19" s="24"/>
      <c r="R19" s="25"/>
      <c r="S19" s="25"/>
      <c r="T19" s="25"/>
      <c r="U19" s="25"/>
      <c r="V19" s="25"/>
      <c r="W19" s="24"/>
      <c r="X19" s="25"/>
      <c r="Y19" s="25"/>
      <c r="Z19" s="24"/>
      <c r="AA19" s="25"/>
      <c r="AB19" s="25"/>
      <c r="AD19" s="32">
        <v>6</v>
      </c>
      <c r="AE19" s="27"/>
      <c r="AF19" s="27"/>
      <c r="AH19" s="693">
        <f t="shared" ref="AH19:AM19" si="28">IF(AN19=0, 0, EXP($D19*$E$2 * (($AN19/AN19) - 1)) )</f>
        <v>1</v>
      </c>
      <c r="AI19" s="693">
        <f t="shared" si="28"/>
        <v>1.1304363925198668</v>
      </c>
      <c r="AJ19" s="693">
        <f t="shared" si="28"/>
        <v>1.1939241251867914</v>
      </c>
      <c r="AK19" s="693">
        <f t="shared" si="28"/>
        <v>2.9621648223851671</v>
      </c>
      <c r="AL19" s="693">
        <f t="shared" si="28"/>
        <v>2.8582168540103831E-2</v>
      </c>
      <c r="AM19" s="693">
        <f t="shared" si="28"/>
        <v>2.0741205683683452E-2</v>
      </c>
      <c r="AN19" s="685">
        <f>'B2 - TCO ML 28T'!$M$165</f>
        <v>56.661917658225036</v>
      </c>
      <c r="AO19" s="685">
        <f>'B2 - TCO ML 28T'!$M$166</f>
        <v>56.151959099373528</v>
      </c>
      <c r="AP19" s="685">
        <f>'B2 - TCO ML 28T'!$M$167</f>
        <v>55.927627406850917</v>
      </c>
      <c r="AQ19" s="685">
        <f>'B2 - TCO ML 28T'!$M$168</f>
        <v>52.443443369337551</v>
      </c>
      <c r="AR19" s="685">
        <f>'B2 - TCO ML 28T'!$M$169</f>
        <v>76.9164155520061</v>
      </c>
      <c r="AS19" s="695">
        <f>'B2 - TCO ML 28T'!$M$170</f>
        <v>79.479085116373852</v>
      </c>
      <c r="AU19" s="693">
        <f t="shared" ref="AU19:AZ19" si="29">IF(BA19=0, 0, EXP($D19*$E$2* (($BA19/BA19) - 1)) )</f>
        <v>1</v>
      </c>
      <c r="AV19" s="693">
        <f t="shared" si="29"/>
        <v>0.81877715510621152</v>
      </c>
      <c r="AW19" s="693">
        <f t="shared" si="29"/>
        <v>0.87641878152266872</v>
      </c>
      <c r="AX19" s="693">
        <f t="shared" si="29"/>
        <v>13.764640389950655</v>
      </c>
      <c r="AY19" s="693">
        <f t="shared" si="29"/>
        <v>0.19250086282876597</v>
      </c>
      <c r="AZ19" s="693">
        <f t="shared" si="29"/>
        <v>0.144976310807021</v>
      </c>
      <c r="BA19" s="685">
        <f>'B2 - TCO ML 28T'!$R$165</f>
        <v>65.226092443833608</v>
      </c>
      <c r="BB19" s="685">
        <f>'B2 - TCO ML 28T'!$R$166</f>
        <v>66.206653819440007</v>
      </c>
      <c r="BC19" s="685">
        <f>'B2 - TCO ML 28T'!$R$167</f>
        <v>65.869718841512693</v>
      </c>
      <c r="BD19" s="685">
        <f>'B2 - TCO ML 28T'!$R$168</f>
        <v>54.617703860693872</v>
      </c>
      <c r="BE19" s="685">
        <f>'B2 - TCO ML 28T'!$R$169</f>
        <v>74.293502380475871</v>
      </c>
      <c r="BF19" s="685">
        <f>'B2 - TCO ML 28T'!$R$170</f>
        <v>76.114298843975789</v>
      </c>
      <c r="BH19" s="688">
        <f t="shared" ref="BH19:BM19" si="30">IF(BN19=0, 0, EXP($D19*$E$2 * (($BN19/BN19) - 1)) )</f>
        <v>1</v>
      </c>
      <c r="BI19" s="30">
        <f t="shared" si="30"/>
        <v>0.61095133780526667</v>
      </c>
      <c r="BJ19" s="30">
        <f t="shared" si="30"/>
        <v>0.66793694719704177</v>
      </c>
      <c r="BK19" s="30">
        <f t="shared" si="30"/>
        <v>23.848694650095446</v>
      </c>
      <c r="BL19" s="30">
        <f t="shared" si="30"/>
        <v>0.98795814064457188</v>
      </c>
      <c r="BM19" s="30">
        <f t="shared" si="30"/>
        <v>0.66536203576001351</v>
      </c>
      <c r="BN19" s="492">
        <f>'B2 - TCO ML 28T'!$W$165</f>
        <v>74.317448143173834</v>
      </c>
      <c r="BO19" s="492">
        <f>'B2 - TCO ML 28T'!$W$166</f>
        <v>77.132723808406496</v>
      </c>
      <c r="BP19" s="492">
        <f>'B2 - TCO ML 28T'!$W$167</f>
        <v>76.607510504300706</v>
      </c>
      <c r="BQ19" s="492">
        <f>'B2 - TCO ML 28T'!$W$168</f>
        <v>60.17885252304599</v>
      </c>
      <c r="BR19" s="492">
        <f>'B2 - TCO ML 28T'!$W$169</f>
        <v>74.384200799920265</v>
      </c>
      <c r="BS19" s="492">
        <f>'B2 - TCO ML 28T'!$W$170</f>
        <v>76.630110665087699</v>
      </c>
      <c r="BU19" s="688">
        <f t="shared" ref="BU19:BZ19" si="31">IF(CA19=0, 0, EXP($D19*$E$2 * (($CA19/CA19) - 1)) )</f>
        <v>1</v>
      </c>
      <c r="BV19" s="30">
        <f t="shared" si="31"/>
        <v>0.46374589821564099</v>
      </c>
      <c r="BW19" s="30">
        <f t="shared" si="31"/>
        <v>0.51285956143727263</v>
      </c>
      <c r="BX19" s="30">
        <f t="shared" si="31"/>
        <v>62.825218807955601</v>
      </c>
      <c r="BY19" s="30">
        <f t="shared" si="31"/>
        <v>4.4303979898115813</v>
      </c>
      <c r="BZ19" s="30">
        <f t="shared" si="31"/>
        <v>3.6233102454440602</v>
      </c>
      <c r="CA19" s="492">
        <f>'B2 - TCO ML 28T'!$AB$165</f>
        <v>86.107590674788128</v>
      </c>
      <c r="CB19" s="492">
        <f>'B2 - TCO ML 28T'!$AB$166</f>
        <v>91.304640748297103</v>
      </c>
      <c r="CC19" s="492">
        <f>'B2 - TCO ML 28T'!$AB$167</f>
        <v>90.588382144282974</v>
      </c>
      <c r="CD19" s="492">
        <f>'B2 - TCO ML 28T'!$AB$168</f>
        <v>65.897334316604372</v>
      </c>
      <c r="CE19" s="492">
        <f>'B2 - TCO ML 28T'!$AB$169</f>
        <v>77.556346177296348</v>
      </c>
      <c r="CF19" s="492">
        <f>'B2 - TCO ML 28T'!$AB$170</f>
        <v>78.611075257539667</v>
      </c>
      <c r="CH19" s="30">
        <f>IF(CK19=0, 0, EXP($D19*$E$2 * (($CN19/CK19) - 1)))</f>
        <v>49.387163460682565</v>
      </c>
      <c r="CI19" s="30">
        <f>IF(CL19=0, 0, EXP($D19*$E$2 * (($CN19/CL19) - 1)))</f>
        <v>7.0237948202888347</v>
      </c>
      <c r="CJ19" s="30">
        <f>IF(CM19=0, 0, EXP($D19*$E$2 * (($CN19/CM19) - 1)))</f>
        <v>5.8854435369720974</v>
      </c>
      <c r="CK19" s="492">
        <f>'B2 - TCO ML 28T'!$AG$168</f>
        <v>76.563205410258874</v>
      </c>
      <c r="CL19" s="492">
        <f>'B2 - TCO ML 28T'!$AG$169</f>
        <v>86.228875529912997</v>
      </c>
      <c r="CM19" s="492">
        <f>'B2 - TCO ML 28T'!$AG$170</f>
        <v>87.227215053862167</v>
      </c>
      <c r="CN19" s="703">
        <f>'B2 - TCO ML 28T'!$AG$165</f>
        <v>98.679709703720235</v>
      </c>
    </row>
    <row r="20" spans="1:92">
      <c r="A20" s="818"/>
      <c r="B20" s="824"/>
      <c r="C20" s="23" t="s">
        <v>458</v>
      </c>
      <c r="D20" s="29">
        <f t="shared" si="27"/>
        <v>8.8333333333333339</v>
      </c>
      <c r="E20" s="451">
        <v>9</v>
      </c>
      <c r="F20" s="31">
        <v>9</v>
      </c>
      <c r="G20" s="31">
        <v>9</v>
      </c>
      <c r="H20" s="31">
        <v>9</v>
      </c>
      <c r="I20" s="31">
        <v>9</v>
      </c>
      <c r="J20" s="27">
        <v>8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D20" s="32">
        <v>7</v>
      </c>
      <c r="AE20" s="32"/>
      <c r="AF20" s="32"/>
      <c r="AH20" s="693">
        <f t="shared" ref="AH20:AM20" si="32">IF(AN20=0, 0, EXP($D20*$F$2 * (($AN20/AN20) - 1)) )</f>
        <v>1</v>
      </c>
      <c r="AI20" s="693">
        <f t="shared" si="32"/>
        <v>0.45379408470291294</v>
      </c>
      <c r="AJ20" s="693">
        <f t="shared" si="32"/>
        <v>0.23941323743590903</v>
      </c>
      <c r="AK20" s="693">
        <f t="shared" si="32"/>
        <v>7.9872775467329533E-3</v>
      </c>
      <c r="AL20" s="693">
        <f t="shared" si="32"/>
        <v>0.12296593807031449</v>
      </c>
      <c r="AM20" s="693">
        <f t="shared" si="32"/>
        <v>1.3414750961075878E-3</v>
      </c>
      <c r="AN20" s="678">
        <f>'B2 - TCO ML 28T'!$M$63</f>
        <v>5301800</v>
      </c>
      <c r="AO20" s="678">
        <f>'B2 - TCO ML 28T'!$M$81</f>
        <v>5638000</v>
      </c>
      <c r="AP20" s="678">
        <f>'B2 - TCO ML 28T'!$M$98</f>
        <v>5943000</v>
      </c>
      <c r="AQ20" s="678">
        <f>'B2 - TCO ML 28T'!$M$132</f>
        <v>8343000</v>
      </c>
      <c r="AR20" s="678">
        <f>'B2 - TCO ML 28T'!$M$115</f>
        <v>6298000</v>
      </c>
      <c r="AS20" s="682">
        <f>'B2 - TCO ML 28T'!$M$149</f>
        <v>10586000</v>
      </c>
      <c r="AU20" s="693">
        <f t="shared" ref="AU20:AZ20" si="33">IF(BA20=0, 0, EXP($D20*$F$2 * (($BA20/BA20) - 1)) )</f>
        <v>1</v>
      </c>
      <c r="AV20" s="693">
        <f t="shared" si="33"/>
        <v>0.45374689868783785</v>
      </c>
      <c r="AW20" s="693">
        <f t="shared" si="33"/>
        <v>0.27007139879617714</v>
      </c>
      <c r="AX20" s="693">
        <f t="shared" si="33"/>
        <v>1.9937371759516952E-2</v>
      </c>
      <c r="AY20" s="693">
        <f t="shared" si="33"/>
        <v>0.2127625178190832</v>
      </c>
      <c r="AZ20" s="693">
        <f t="shared" si="33"/>
        <v>3.8910062821434317E-3</v>
      </c>
      <c r="BA20" s="678">
        <f>'B2 - TCO ML 28T'!$R$63</f>
        <v>6146200</v>
      </c>
      <c r="BB20" s="678">
        <f>'B2 - TCO ML 28T'!$R$81</f>
        <v>6536000</v>
      </c>
      <c r="BC20" s="678">
        <f>'B2 - TCO ML 28T'!$R$98</f>
        <v>6820000</v>
      </c>
      <c r="BD20" s="678">
        <f>'B2 - TCO ML 28T'!$R$132</f>
        <v>8724000</v>
      </c>
      <c r="BE20" s="678">
        <f>'B2 - TCO ML 28T'!$R$115</f>
        <v>6959000</v>
      </c>
      <c r="BF20" s="678">
        <f>'B2 - TCO ML 28T'!$R$149</f>
        <v>10575000</v>
      </c>
      <c r="BH20" s="688">
        <f t="shared" ref="BH20:BM20" si="34">IF(BN20=0, 0, EXP($D20*$F$2 * (($BN20/BN20) - 1)) )</f>
        <v>1</v>
      </c>
      <c r="BI20" s="30">
        <f t="shared" si="34"/>
        <v>0.45373429749841049</v>
      </c>
      <c r="BJ20" s="30">
        <f t="shared" si="34"/>
        <v>0.3019613425097819</v>
      </c>
      <c r="BK20" s="30">
        <f t="shared" si="34"/>
        <v>3.934421693057933E-2</v>
      </c>
      <c r="BL20" s="30">
        <f t="shared" si="34"/>
        <v>0.24219935534332038</v>
      </c>
      <c r="BM20" s="30">
        <f t="shared" si="34"/>
        <v>8.4479575237471367E-3</v>
      </c>
      <c r="BN20" s="493">
        <f>'B2 - TCO ML 28T'!$W$63</f>
        <v>7125100</v>
      </c>
      <c r="BO20" s="493">
        <f>'B2 - TCO ML 28T'!$W$81</f>
        <v>7577000</v>
      </c>
      <c r="BP20" s="493">
        <f>'B2 - TCO ML 28T'!$W$98</f>
        <v>7833000</v>
      </c>
      <c r="BQ20" s="493">
        <f>'B2 - TCO ML 28T'!$W$132</f>
        <v>9427000</v>
      </c>
      <c r="BR20" s="493">
        <f>'B2 - TCO ML 28T'!$W$115</f>
        <v>7979000</v>
      </c>
      <c r="BS20" s="493">
        <f>'B2 - TCO ML 28T'!$W$149</f>
        <v>11138000</v>
      </c>
      <c r="BU20" s="688">
        <f t="shared" ref="BU20:BZ20" si="35">IF(CA20=0, 0, EXP($D20*$F$2 * (($CA20/CA20) - 1)) )</f>
        <v>1</v>
      </c>
      <c r="BV20" s="30">
        <f t="shared" si="35"/>
        <v>0.45436932170797623</v>
      </c>
      <c r="BW20" s="30">
        <f t="shared" si="35"/>
        <v>0.33464012511617891</v>
      </c>
      <c r="BX20" s="30">
        <f t="shared" si="35"/>
        <v>6.370034736629461E-2</v>
      </c>
      <c r="BY20" s="30">
        <f t="shared" si="35"/>
        <v>0.2731329058901627</v>
      </c>
      <c r="BZ20" s="30">
        <f t="shared" si="35"/>
        <v>1.7494500156048018E-2</v>
      </c>
      <c r="CA20" s="493">
        <f>'B2 - TCO ML 28T'!$AB$63</f>
        <v>8260100</v>
      </c>
      <c r="CB20" s="493">
        <f>'B2 - TCO ML 28T'!$AB$81</f>
        <v>8783000</v>
      </c>
      <c r="CC20" s="493">
        <f>'B2 - TCO ML 28T'!$AB$98</f>
        <v>9004000</v>
      </c>
      <c r="CD20" s="493">
        <f>'B2 - TCO ML 28T'!$AB$132</f>
        <v>10427000</v>
      </c>
      <c r="CE20" s="493">
        <f>'B2 - TCO ML 28T'!$AB$115</f>
        <v>9157000</v>
      </c>
      <c r="CF20" s="493">
        <f>'B2 - TCO ML 28T'!$AB$149</f>
        <v>11891000</v>
      </c>
      <c r="CH20" s="30">
        <f>IF(CK20=0, 0, EXP($D20*$F$2 * (($CN20/CK20) - 1)))</f>
        <v>8.1757335208131041E-2</v>
      </c>
      <c r="CI20" s="30">
        <f>IF(CL20=0, 0, EXP($D20*$F$2 * (($CN20/CL20) - 1)))</f>
        <v>0.30476792999696362</v>
      </c>
      <c r="CJ20" s="30">
        <f>IF(CM20=0, 0, EXP($D20*$F$2 * (($CN20/CM20) - 1)))</f>
        <v>2.6612788846677192E-2</v>
      </c>
      <c r="CK20" s="493">
        <f>'B2 - TCO ML 28T'!$AG$132</f>
        <v>11807000</v>
      </c>
      <c r="CL20" s="493">
        <f>'B2 - TCO ML 28T'!$AG$115</f>
        <v>10519000</v>
      </c>
      <c r="CM20" s="493">
        <f>'B2 - TCO ML 28T'!$AG$149</f>
        <v>13184000</v>
      </c>
      <c r="CN20" s="17">
        <f>'B2 - TCO ML 28T'!$AG$63</f>
        <v>9575700</v>
      </c>
    </row>
    <row r="21" spans="1:92">
      <c r="A21" s="818"/>
      <c r="B21" s="824"/>
      <c r="C21" s="23" t="s">
        <v>459</v>
      </c>
      <c r="D21" s="29">
        <f t="shared" si="27"/>
        <v>7.166666666666667</v>
      </c>
      <c r="E21" s="451">
        <v>6</v>
      </c>
      <c r="F21" s="31">
        <v>9</v>
      </c>
      <c r="G21" s="31">
        <v>6</v>
      </c>
      <c r="H21" s="31">
        <v>6</v>
      </c>
      <c r="I21" s="31">
        <v>9</v>
      </c>
      <c r="J21" s="32">
        <v>7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D21" s="26">
        <v>4</v>
      </c>
      <c r="AE21" s="32"/>
      <c r="AF21" s="32"/>
      <c r="AH21" s="693">
        <f t="shared" ref="AH21:AM22" si="36">IF(AN21=0, 0, EXP($D21*$E$2 * ((AN21/$AN21) - 1)) )</f>
        <v>1</v>
      </c>
      <c r="AI21" s="693">
        <f t="shared" si="36"/>
        <v>1</v>
      </c>
      <c r="AJ21" s="693">
        <f t="shared" si="36"/>
        <v>1</v>
      </c>
      <c r="AK21" s="693">
        <f t="shared" si="36"/>
        <v>0.3225236063732973</v>
      </c>
      <c r="AL21" s="693">
        <f t="shared" si="36"/>
        <v>1</v>
      </c>
      <c r="AM21" s="693">
        <f t="shared" si="36"/>
        <v>0.60096984145352728</v>
      </c>
      <c r="AN21" s="678">
        <f>'B2 - TCO ML 28T'!$C$17</f>
        <v>19000</v>
      </c>
      <c r="AO21" s="678">
        <f>AN21</f>
        <v>19000</v>
      </c>
      <c r="AP21" s="678">
        <f>AN21</f>
        <v>19000</v>
      </c>
      <c r="AQ21" s="678">
        <f>'B2 - TCO ML 28T'!C18</f>
        <v>17000</v>
      </c>
      <c r="AR21" s="678">
        <f>AN21</f>
        <v>19000</v>
      </c>
      <c r="AS21" s="682">
        <f>'B2 - TCO ML 28T'!C19</f>
        <v>18100</v>
      </c>
      <c r="AU21" s="693">
        <f t="shared" ref="AU21:AZ22" si="37">IF(BA21=0, 0, EXP($D21*$E$2 * ((BA21/$BA21) - 1)) )</f>
        <v>1</v>
      </c>
      <c r="AV21" s="693">
        <f t="shared" si="37"/>
        <v>1</v>
      </c>
      <c r="AW21" s="693">
        <f t="shared" si="37"/>
        <v>1</v>
      </c>
      <c r="AX21" s="693">
        <f t="shared" si="37"/>
        <v>0.3225236063732973</v>
      </c>
      <c r="AY21" s="693">
        <f t="shared" si="37"/>
        <v>1</v>
      </c>
      <c r="AZ21" s="693">
        <f t="shared" si="37"/>
        <v>0.60096984145352728</v>
      </c>
      <c r="BA21" s="678">
        <f>'B2 - TCO ML 28T'!$C$17</f>
        <v>19000</v>
      </c>
      <c r="BB21" s="678">
        <f>BA21</f>
        <v>19000</v>
      </c>
      <c r="BC21" s="678">
        <f>BA21</f>
        <v>19000</v>
      </c>
      <c r="BD21" s="678">
        <f>'B2 - TCO ML 28T'!C18</f>
        <v>17000</v>
      </c>
      <c r="BE21" s="678">
        <f>BA21</f>
        <v>19000</v>
      </c>
      <c r="BF21" s="678">
        <f>'B2 - TCO ML 28T'!C19</f>
        <v>18100</v>
      </c>
      <c r="BH21" s="688">
        <f t="shared" ref="BH21:BM22" si="38">IF(BN21=0, 0, EXP($D21*$E$2 * ((BN21/$BN21) - 1)) )</f>
        <v>1</v>
      </c>
      <c r="BI21" s="30">
        <f t="shared" si="38"/>
        <v>1</v>
      </c>
      <c r="BJ21" s="30">
        <f t="shared" si="38"/>
        <v>1</v>
      </c>
      <c r="BK21" s="30">
        <f t="shared" si="38"/>
        <v>0.3225236063732973</v>
      </c>
      <c r="BL21" s="30">
        <f t="shared" si="38"/>
        <v>1</v>
      </c>
      <c r="BM21" s="30">
        <f t="shared" si="38"/>
        <v>0.60096984145352728</v>
      </c>
      <c r="BN21" s="493">
        <f>'B2 - TCO ML 28T'!C17</f>
        <v>19000</v>
      </c>
      <c r="BO21" s="493">
        <f>BN21</f>
        <v>19000</v>
      </c>
      <c r="BP21" s="493">
        <f>BN21</f>
        <v>19000</v>
      </c>
      <c r="BQ21" s="493">
        <f>'B2 - TCO ML 28T'!C18</f>
        <v>17000</v>
      </c>
      <c r="BR21" s="493">
        <f>BN21</f>
        <v>19000</v>
      </c>
      <c r="BS21" s="493">
        <f>'B2 - TCO ML 28T'!C19</f>
        <v>18100</v>
      </c>
      <c r="BU21" s="688">
        <f t="shared" ref="BU21:BZ22" si="39">IF(CA21=0, 0, EXP($D21*$E$2 * ((CA21/$CA21) - 1)) )</f>
        <v>1</v>
      </c>
      <c r="BV21" s="30">
        <f t="shared" si="39"/>
        <v>1</v>
      </c>
      <c r="BW21" s="30">
        <f t="shared" si="39"/>
        <v>1</v>
      </c>
      <c r="BX21" s="30">
        <f t="shared" si="39"/>
        <v>0.3225236063732973</v>
      </c>
      <c r="BY21" s="30">
        <f t="shared" si="39"/>
        <v>1</v>
      </c>
      <c r="BZ21" s="30">
        <f t="shared" si="39"/>
        <v>0.60096984145352728</v>
      </c>
      <c r="CA21" s="493">
        <f>'B2 - TCO ML 28T'!C17</f>
        <v>19000</v>
      </c>
      <c r="CB21" s="493">
        <f>CA21</f>
        <v>19000</v>
      </c>
      <c r="CC21" s="493">
        <f>CA21</f>
        <v>19000</v>
      </c>
      <c r="CD21" s="493">
        <f>'B2 - TCO ML 28T'!C18</f>
        <v>17000</v>
      </c>
      <c r="CE21" s="493">
        <f>CA21</f>
        <v>19000</v>
      </c>
      <c r="CF21" s="493">
        <f>'B2 - TCO ML 28T'!C19</f>
        <v>18100</v>
      </c>
      <c r="CH21" s="30">
        <f t="shared" ref="CH21:CJ22" si="40">IF(CK21=0, 0, EXP($D21*$E$2 * ((CK21/$CN21) - 1)))</f>
        <v>0.3225236063732973</v>
      </c>
      <c r="CI21" s="30">
        <f t="shared" si="40"/>
        <v>1</v>
      </c>
      <c r="CJ21" s="30">
        <f t="shared" si="40"/>
        <v>0.60096984145352728</v>
      </c>
      <c r="CK21" s="493">
        <f>BQ21</f>
        <v>17000</v>
      </c>
      <c r="CL21" s="493">
        <f t="shared" ref="CL21:CL23" si="41">BR21</f>
        <v>19000</v>
      </c>
      <c r="CM21" s="493">
        <f t="shared" ref="CM21:CM23" si="42">BS21</f>
        <v>18100</v>
      </c>
      <c r="CN21" s="17">
        <f>'B2 - TCO ML 28T'!C17</f>
        <v>19000</v>
      </c>
    </row>
    <row r="22" spans="1:92">
      <c r="A22" s="818"/>
      <c r="B22" s="824"/>
      <c r="C22" s="23" t="s">
        <v>460</v>
      </c>
      <c r="D22" s="29">
        <f t="shared" si="27"/>
        <v>5.5</v>
      </c>
      <c r="E22" s="451">
        <v>3</v>
      </c>
      <c r="F22" s="24">
        <v>9</v>
      </c>
      <c r="G22" s="24">
        <v>4</v>
      </c>
      <c r="H22" s="24">
        <v>7</v>
      </c>
      <c r="I22" s="24">
        <v>5</v>
      </c>
      <c r="J22" s="32">
        <v>5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D22" s="26">
        <v>3</v>
      </c>
      <c r="AE22" s="26"/>
      <c r="AF22" s="26"/>
      <c r="AH22" s="693">
        <f t="shared" si="36"/>
        <v>1</v>
      </c>
      <c r="AI22" s="693">
        <f t="shared" si="36"/>
        <v>0.66199319669083379</v>
      </c>
      <c r="AJ22" s="693">
        <f t="shared" si="36"/>
        <v>0.66199319669083379</v>
      </c>
      <c r="AK22" s="693">
        <f t="shared" si="36"/>
        <v>3.4469852208994722</v>
      </c>
      <c r="AL22" s="693">
        <f t="shared" si="36"/>
        <v>0.66199319669083379</v>
      </c>
      <c r="AM22" s="693">
        <f t="shared" si="36"/>
        <v>3.4469852208994722</v>
      </c>
      <c r="AN22" s="679">
        <f t="shared" ref="AN22:AS24" si="43">AN11</f>
        <v>1</v>
      </c>
      <c r="AO22" s="679">
        <f t="shared" si="43"/>
        <v>0.95</v>
      </c>
      <c r="AP22" s="679">
        <f t="shared" si="43"/>
        <v>0.95</v>
      </c>
      <c r="AQ22" s="679">
        <f t="shared" si="43"/>
        <v>1.1499999999999999</v>
      </c>
      <c r="AR22" s="679">
        <f t="shared" si="43"/>
        <v>0.95</v>
      </c>
      <c r="AS22" s="683">
        <f t="shared" si="43"/>
        <v>1.1499999999999999</v>
      </c>
      <c r="AU22" s="693">
        <f t="shared" si="37"/>
        <v>1</v>
      </c>
      <c r="AV22" s="693">
        <f t="shared" si="37"/>
        <v>0.66199319669083379</v>
      </c>
      <c r="AW22" s="693">
        <f t="shared" si="37"/>
        <v>0.66199319669083379</v>
      </c>
      <c r="AX22" s="693">
        <f t="shared" si="37"/>
        <v>3.4469852208994722</v>
      </c>
      <c r="AY22" s="693">
        <f t="shared" si="37"/>
        <v>0.66199319669083379</v>
      </c>
      <c r="AZ22" s="693">
        <f t="shared" si="37"/>
        <v>3.4469852208994722</v>
      </c>
      <c r="BA22" s="679">
        <f t="shared" ref="BA22:BF24" si="44">BA11</f>
        <v>1</v>
      </c>
      <c r="BB22" s="679">
        <f t="shared" si="44"/>
        <v>0.95</v>
      </c>
      <c r="BC22" s="679">
        <f t="shared" si="44"/>
        <v>0.95</v>
      </c>
      <c r="BD22" s="679">
        <f t="shared" si="44"/>
        <v>1.1499999999999999</v>
      </c>
      <c r="BE22" s="679">
        <f t="shared" si="44"/>
        <v>0.95</v>
      </c>
      <c r="BF22" s="679">
        <f t="shared" si="44"/>
        <v>1.1499999999999999</v>
      </c>
      <c r="BH22" s="688">
        <f t="shared" si="38"/>
        <v>1</v>
      </c>
      <c r="BI22" s="30">
        <f t="shared" si="38"/>
        <v>0.66199319669083379</v>
      </c>
      <c r="BJ22" s="30">
        <f t="shared" si="38"/>
        <v>0.66199319669083379</v>
      </c>
      <c r="BK22" s="30">
        <f t="shared" si="38"/>
        <v>3.4469852208994722</v>
      </c>
      <c r="BL22" s="30">
        <f t="shared" si="38"/>
        <v>0.66199319669083379</v>
      </c>
      <c r="BM22" s="30">
        <f t="shared" si="38"/>
        <v>3.4469852208994722</v>
      </c>
      <c r="BN22" s="490">
        <f t="shared" ref="BN22:BS23" si="45">BN11</f>
        <v>1</v>
      </c>
      <c r="BO22" s="490">
        <f t="shared" si="45"/>
        <v>0.95</v>
      </c>
      <c r="BP22" s="490">
        <f t="shared" si="45"/>
        <v>0.95</v>
      </c>
      <c r="BQ22" s="490">
        <f t="shared" si="45"/>
        <v>1.1499999999999999</v>
      </c>
      <c r="BR22" s="490">
        <f t="shared" si="45"/>
        <v>0.95</v>
      </c>
      <c r="BS22" s="490">
        <f t="shared" si="45"/>
        <v>1.1499999999999999</v>
      </c>
      <c r="BU22" s="688">
        <f t="shared" si="39"/>
        <v>1</v>
      </c>
      <c r="BV22" s="30">
        <f t="shared" si="39"/>
        <v>0.66199319669083379</v>
      </c>
      <c r="BW22" s="30">
        <f t="shared" si="39"/>
        <v>0.66199319669083379</v>
      </c>
      <c r="BX22" s="30">
        <f t="shared" si="39"/>
        <v>3.4469852208994722</v>
      </c>
      <c r="BY22" s="30">
        <f t="shared" si="39"/>
        <v>0.66199319669083379</v>
      </c>
      <c r="BZ22" s="30">
        <f t="shared" si="39"/>
        <v>3.4469852208994722</v>
      </c>
      <c r="CA22" s="490">
        <f t="shared" ref="CA22:CF23" si="46">CA11</f>
        <v>1</v>
      </c>
      <c r="CB22" s="490">
        <f t="shared" si="46"/>
        <v>0.95</v>
      </c>
      <c r="CC22" s="490">
        <f t="shared" si="46"/>
        <v>0.95</v>
      </c>
      <c r="CD22" s="490">
        <f t="shared" si="46"/>
        <v>1.1499999999999999</v>
      </c>
      <c r="CE22" s="490">
        <f t="shared" si="46"/>
        <v>0.95</v>
      </c>
      <c r="CF22" s="490">
        <f t="shared" si="46"/>
        <v>1.1499999999999999</v>
      </c>
      <c r="CH22" s="30">
        <f t="shared" si="40"/>
        <v>3.4469852208994722</v>
      </c>
      <c r="CI22" s="30">
        <f t="shared" si="40"/>
        <v>0.66199319669083379</v>
      </c>
      <c r="CJ22" s="30">
        <f t="shared" si="40"/>
        <v>3.4469852208994722</v>
      </c>
      <c r="CK22" s="490">
        <f>BQ22</f>
        <v>1.1499999999999999</v>
      </c>
      <c r="CL22" s="490">
        <f t="shared" si="41"/>
        <v>0.95</v>
      </c>
      <c r="CM22" s="490">
        <f t="shared" si="42"/>
        <v>1.1499999999999999</v>
      </c>
      <c r="CN22" s="704">
        <f>CN11</f>
        <v>1</v>
      </c>
    </row>
    <row r="23" spans="1:92">
      <c r="A23" s="818"/>
      <c r="B23" s="824"/>
      <c r="C23" s="34" t="s">
        <v>461</v>
      </c>
      <c r="D23" s="35">
        <f t="shared" si="27"/>
        <v>7.5</v>
      </c>
      <c r="E23" s="36">
        <v>8</v>
      </c>
      <c r="F23" s="37">
        <v>10</v>
      </c>
      <c r="G23" s="37">
        <v>7</v>
      </c>
      <c r="H23" s="37">
        <v>8</v>
      </c>
      <c r="I23" s="37">
        <v>6</v>
      </c>
      <c r="J23" s="26">
        <v>6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D23" s="38">
        <v>2</v>
      </c>
      <c r="AE23" s="38"/>
      <c r="AF23" s="38"/>
      <c r="AH23" s="693">
        <f t="shared" ref="AH23:AM23" si="47">IF(AN23=0, 0, EXP($D23*$E$2 * (($AN23/AN23) - 1)) )</f>
        <v>1</v>
      </c>
      <c r="AI23" s="693">
        <f t="shared" si="47"/>
        <v>0.58525110430741201</v>
      </c>
      <c r="AJ23" s="693">
        <f t="shared" si="47"/>
        <v>0.35961283926440357</v>
      </c>
      <c r="AK23" s="693">
        <f t="shared" si="47"/>
        <v>0.15335496684492853</v>
      </c>
      <c r="AL23" s="693">
        <f t="shared" si="47"/>
        <v>1</v>
      </c>
      <c r="AM23" s="693">
        <f t="shared" si="47"/>
        <v>1</v>
      </c>
      <c r="AN23" s="679">
        <f t="shared" si="43"/>
        <v>1</v>
      </c>
      <c r="AO23" s="679">
        <f t="shared" si="43"/>
        <v>1.05</v>
      </c>
      <c r="AP23" s="679">
        <f t="shared" si="43"/>
        <v>1.1000000000000001</v>
      </c>
      <c r="AQ23" s="679">
        <f t="shared" si="43"/>
        <v>1.2</v>
      </c>
      <c r="AR23" s="679">
        <f t="shared" si="43"/>
        <v>1</v>
      </c>
      <c r="AS23" s="683">
        <f t="shared" si="43"/>
        <v>1</v>
      </c>
      <c r="AU23" s="693">
        <f t="shared" ref="AU23:AZ23" si="48">IF(BA23=0, 0, EXP($D23*$E$2* (($BA23/BA23) - 1)) )</f>
        <v>1</v>
      </c>
      <c r="AV23" s="693">
        <f t="shared" si="48"/>
        <v>0.58525110430741201</v>
      </c>
      <c r="AW23" s="693">
        <f t="shared" si="48"/>
        <v>0.35961283926440357</v>
      </c>
      <c r="AX23" s="693">
        <f t="shared" si="48"/>
        <v>0.15335496684492853</v>
      </c>
      <c r="AY23" s="693">
        <f t="shared" si="48"/>
        <v>1</v>
      </c>
      <c r="AZ23" s="693">
        <f t="shared" si="48"/>
        <v>1</v>
      </c>
      <c r="BA23" s="679">
        <f t="shared" si="44"/>
        <v>1</v>
      </c>
      <c r="BB23" s="679">
        <f t="shared" si="44"/>
        <v>1.05</v>
      </c>
      <c r="BC23" s="679">
        <f t="shared" si="44"/>
        <v>1.1000000000000001</v>
      </c>
      <c r="BD23" s="679">
        <f t="shared" si="44"/>
        <v>1.2</v>
      </c>
      <c r="BE23" s="679">
        <f t="shared" si="44"/>
        <v>1</v>
      </c>
      <c r="BF23" s="679">
        <f t="shared" si="44"/>
        <v>1</v>
      </c>
      <c r="BH23" s="688">
        <f t="shared" ref="BH23:BM23" si="49">IF(BN23=0, 0, EXP($D23*$E$2 * (($BN23/BN23) - 1)) )</f>
        <v>1</v>
      </c>
      <c r="BI23" s="30">
        <f t="shared" si="49"/>
        <v>0.58525110430741201</v>
      </c>
      <c r="BJ23" s="30">
        <f t="shared" si="49"/>
        <v>0.35961283926440357</v>
      </c>
      <c r="BK23" s="30">
        <f t="shared" si="49"/>
        <v>0.15335496684492853</v>
      </c>
      <c r="BL23" s="30">
        <f t="shared" si="49"/>
        <v>1</v>
      </c>
      <c r="BM23" s="30">
        <f t="shared" si="49"/>
        <v>1</v>
      </c>
      <c r="BN23" s="490">
        <f t="shared" si="45"/>
        <v>1</v>
      </c>
      <c r="BO23" s="490">
        <f t="shared" si="45"/>
        <v>1.05</v>
      </c>
      <c r="BP23" s="490">
        <f t="shared" si="45"/>
        <v>1.1000000000000001</v>
      </c>
      <c r="BQ23" s="490">
        <f t="shared" si="45"/>
        <v>1.2</v>
      </c>
      <c r="BR23" s="490">
        <f t="shared" si="45"/>
        <v>1</v>
      </c>
      <c r="BS23" s="490">
        <f t="shared" si="45"/>
        <v>1</v>
      </c>
      <c r="BU23" s="688">
        <f t="shared" ref="BU23:BZ23" si="50">IF(CA23=0, 0, EXP($D23*$E$2 * (($CA23/CA23) - 1)) )</f>
        <v>1</v>
      </c>
      <c r="BV23" s="30">
        <f t="shared" si="50"/>
        <v>0.58525110430741201</v>
      </c>
      <c r="BW23" s="30">
        <f t="shared" si="50"/>
        <v>0.35961283926440357</v>
      </c>
      <c r="BX23" s="30">
        <f t="shared" si="50"/>
        <v>0.15335496684492853</v>
      </c>
      <c r="BY23" s="30">
        <f t="shared" si="50"/>
        <v>1</v>
      </c>
      <c r="BZ23" s="30">
        <f t="shared" si="50"/>
        <v>1</v>
      </c>
      <c r="CA23" s="490">
        <f t="shared" si="46"/>
        <v>1</v>
      </c>
      <c r="CB23" s="490">
        <f t="shared" si="46"/>
        <v>1.05</v>
      </c>
      <c r="CC23" s="490">
        <f t="shared" si="46"/>
        <v>1.1000000000000001</v>
      </c>
      <c r="CD23" s="490">
        <f t="shared" si="46"/>
        <v>1.2</v>
      </c>
      <c r="CE23" s="490">
        <f t="shared" si="46"/>
        <v>1</v>
      </c>
      <c r="CF23" s="490">
        <f t="shared" si="46"/>
        <v>1</v>
      </c>
      <c r="CH23" s="30">
        <f>IF(CK23=0, 0, EXP($D23*$E$2 * (($CN23/CK23) - 1)))</f>
        <v>0.15335496684492853</v>
      </c>
      <c r="CI23" s="30">
        <f>IF(CL23=0, 0, EXP($D23*$E$2 * (($CN23/CL23) - 1)))</f>
        <v>1</v>
      </c>
      <c r="CJ23" s="30">
        <f>IF(CM23=0, 0, EXP($D23*$E$2 * (($CN23/CM23) - 1)))</f>
        <v>1</v>
      </c>
      <c r="CK23" s="490">
        <f>BQ23</f>
        <v>1.2</v>
      </c>
      <c r="CL23" s="490">
        <f t="shared" si="41"/>
        <v>1</v>
      </c>
      <c r="CM23" s="490">
        <f t="shared" si="42"/>
        <v>1</v>
      </c>
      <c r="CN23" s="704">
        <f>CN12</f>
        <v>1</v>
      </c>
    </row>
    <row r="24" spans="1:92">
      <c r="A24" s="818"/>
      <c r="B24" s="824"/>
      <c r="C24" s="23" t="s">
        <v>462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64"/>
      <c r="AH24" s="23"/>
      <c r="AI24" s="23"/>
      <c r="AJ24" s="23"/>
      <c r="AK24" s="23"/>
      <c r="AL24" s="23"/>
      <c r="AM24" s="23"/>
      <c r="AN24" s="680">
        <f t="shared" si="43"/>
        <v>2025</v>
      </c>
      <c r="AO24" s="680">
        <f t="shared" si="43"/>
        <v>2025</v>
      </c>
      <c r="AP24" s="680">
        <f t="shared" si="43"/>
        <v>2025</v>
      </c>
      <c r="AQ24" s="680">
        <f t="shared" si="43"/>
        <v>2025</v>
      </c>
      <c r="AR24" s="680">
        <f t="shared" si="43"/>
        <v>2028</v>
      </c>
      <c r="AS24" s="696">
        <f t="shared" si="43"/>
        <v>2030</v>
      </c>
      <c r="AU24" s="23"/>
      <c r="AV24" s="23"/>
      <c r="AW24" s="23"/>
      <c r="AX24" s="23"/>
      <c r="AY24" s="23"/>
      <c r="AZ24" s="23"/>
      <c r="BA24" s="680">
        <f t="shared" si="44"/>
        <v>2025</v>
      </c>
      <c r="BB24" s="680">
        <f t="shared" si="44"/>
        <v>2025</v>
      </c>
      <c r="BC24" s="680">
        <f t="shared" si="44"/>
        <v>2025</v>
      </c>
      <c r="BD24" s="680">
        <f t="shared" si="44"/>
        <v>2025</v>
      </c>
      <c r="BE24" s="680">
        <f t="shared" si="44"/>
        <v>2028</v>
      </c>
      <c r="BF24" s="680">
        <f t="shared" si="44"/>
        <v>2030</v>
      </c>
      <c r="BH24" s="681"/>
      <c r="BI24" s="23"/>
      <c r="BJ24" s="23"/>
      <c r="BK24" s="39"/>
      <c r="BL24" s="39"/>
      <c r="BM24" s="23"/>
      <c r="BN24" s="491">
        <f t="shared" ref="BN24" si="51">BN13</f>
        <v>2025</v>
      </c>
      <c r="BO24" s="491">
        <f t="shared" ref="BO24:BS24" si="52">BO13</f>
        <v>2025</v>
      </c>
      <c r="BP24" s="491">
        <f t="shared" si="52"/>
        <v>2025</v>
      </c>
      <c r="BQ24" s="491">
        <f t="shared" si="52"/>
        <v>2025</v>
      </c>
      <c r="BR24" s="491">
        <f t="shared" si="52"/>
        <v>2028</v>
      </c>
      <c r="BS24" s="491">
        <f t="shared" si="52"/>
        <v>2030</v>
      </c>
      <c r="BU24" s="681"/>
      <c r="BV24" s="23"/>
      <c r="BW24" s="23"/>
      <c r="BX24" s="39"/>
      <c r="BY24" s="39"/>
      <c r="BZ24" s="23"/>
      <c r="CA24" s="491">
        <f>BN24</f>
        <v>2025</v>
      </c>
      <c r="CB24" s="491">
        <f t="shared" ref="CB24:CB26" si="53">BO24</f>
        <v>2025</v>
      </c>
      <c r="CC24" s="491">
        <f t="shared" ref="CC24:CC26" si="54">BP24</f>
        <v>2025</v>
      </c>
      <c r="CD24" s="491">
        <f t="shared" ref="CD24:CD26" si="55">BQ24</f>
        <v>2025</v>
      </c>
      <c r="CE24" s="491">
        <f t="shared" ref="CE24:CE26" si="56">BR24</f>
        <v>2028</v>
      </c>
      <c r="CF24" s="491">
        <f t="shared" ref="CF24:CF26" si="57">BS24</f>
        <v>2030</v>
      </c>
      <c r="CN24" s="17">
        <f>CN13</f>
        <v>2025</v>
      </c>
    </row>
    <row r="25" spans="1:92">
      <c r="A25" s="818"/>
      <c r="B25" s="824"/>
      <c r="C25" s="23" t="s">
        <v>463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64"/>
      <c r="AH25" s="23">
        <v>1</v>
      </c>
      <c r="AI25" s="701">
        <f>$BH25-($BO25-$BN25)/($BO$1-$BN25)</f>
        <v>0.9</v>
      </c>
      <c r="AJ25" s="701">
        <f>$BH25-($BP25-$BN25)/($BO$1-$BN25)</f>
        <v>0.75</v>
      </c>
      <c r="AK25" s="701">
        <f>$BH25-($BQ25-$BN25)/($BO$1-$BN25)</f>
        <v>0.85</v>
      </c>
      <c r="AL25" s="701">
        <f>$BH25-($BR25-$BN25)/($BO$1-$BN25)</f>
        <v>0.55000000000000004</v>
      </c>
      <c r="AM25" s="701">
        <f>$BH25-($BS25-$BN24)/($BO$1-$BN24)</f>
        <v>0.35</v>
      </c>
      <c r="AN25" s="680">
        <f>'No change with year'!J67</f>
        <v>2025</v>
      </c>
      <c r="AO25" s="680">
        <f>'No change with year'!K67</f>
        <v>2027</v>
      </c>
      <c r="AP25" s="680">
        <f>'No change with year'!L67</f>
        <v>2030</v>
      </c>
      <c r="AQ25" s="680">
        <f>'No change with year'!M67</f>
        <v>2028</v>
      </c>
      <c r="AR25" s="680">
        <f>'No change with year'!N67</f>
        <v>2034</v>
      </c>
      <c r="AS25" s="696">
        <f>'No change with year'!O67</f>
        <v>2038</v>
      </c>
      <c r="AU25" s="23">
        <v>1</v>
      </c>
      <c r="AV25" s="701">
        <f>$BH25-($BO25-$BN25)/($BO$1-$BN25)</f>
        <v>0.9</v>
      </c>
      <c r="AW25" s="701">
        <f>$BH25-($BP25-$BN25)/($BO$1-$BN25)</f>
        <v>0.75</v>
      </c>
      <c r="AX25" s="701">
        <f>$BH25-($BQ25-$BN25)/($BO$1-$BN25)</f>
        <v>0.85</v>
      </c>
      <c r="AY25" s="701">
        <f>$BH25-($BR25-$BN25)/($BO$1-$BN25)</f>
        <v>0.55000000000000004</v>
      </c>
      <c r="AZ25" s="701">
        <f>$BH25-($BS25-$BN24)/($BO$1-$BN24)</f>
        <v>0.35</v>
      </c>
      <c r="BA25" s="680">
        <f>'No change with year'!J67</f>
        <v>2025</v>
      </c>
      <c r="BB25" s="680">
        <f>'No change with year'!K67</f>
        <v>2027</v>
      </c>
      <c r="BC25" s="680">
        <f>'No change with year'!L67</f>
        <v>2030</v>
      </c>
      <c r="BD25" s="680">
        <f>'No change with year'!M67</f>
        <v>2028</v>
      </c>
      <c r="BE25" s="680">
        <f>'No change with year'!N67</f>
        <v>2034</v>
      </c>
      <c r="BF25" s="680">
        <f>'No change with year'!O67</f>
        <v>2038</v>
      </c>
      <c r="BH25" s="688">
        <v>1</v>
      </c>
      <c r="BI25" s="30">
        <f>$BH25-($BO25-$BN25)/($BO$1-$BN25)</f>
        <v>0.9</v>
      </c>
      <c r="BJ25" s="30">
        <f>$BH25-($BP25-$BN25)/($BO$1-$BN25)</f>
        <v>0.75</v>
      </c>
      <c r="BK25" s="30">
        <f>$BH25-($BQ25-$BN25)/($BO$1-$BN25)</f>
        <v>0.85</v>
      </c>
      <c r="BL25" s="30">
        <f>$BH25-($BR25-$BN25)/($BO$1-$BN25)</f>
        <v>0.55000000000000004</v>
      </c>
      <c r="BM25" s="30">
        <f>$BH25-($BS25-$BN24)/($BO$1-$BN24)</f>
        <v>0.35</v>
      </c>
      <c r="BN25" s="491">
        <f>'No change with year'!J67</f>
        <v>2025</v>
      </c>
      <c r="BO25" s="491">
        <f>'No change with year'!K67</f>
        <v>2027</v>
      </c>
      <c r="BP25" s="491">
        <f>'No change with year'!L67</f>
        <v>2030</v>
      </c>
      <c r="BQ25" s="491">
        <f>'No change with year'!M67</f>
        <v>2028</v>
      </c>
      <c r="BR25" s="491">
        <f>'No change with year'!N67</f>
        <v>2034</v>
      </c>
      <c r="BS25" s="491">
        <f>'No change with year'!O67</f>
        <v>2038</v>
      </c>
      <c r="BU25" s="688">
        <v>1</v>
      </c>
      <c r="BV25" s="30">
        <f>$BU25-($CB25-$CA25)/($CB$1-$CA25)</f>
        <v>0.92</v>
      </c>
      <c r="BW25" s="30">
        <f>$BU25-($CC25-$CA25)/($CB$1-$CA25)</f>
        <v>0.8</v>
      </c>
      <c r="BX25" s="30">
        <f>$BU25-($CD25-$CA25)/($CB$1-$CA25)</f>
        <v>0.88</v>
      </c>
      <c r="BY25" s="30">
        <f>$BU25-($CE25-$CA25)/($CB$1-$CA25)</f>
        <v>0.64</v>
      </c>
      <c r="BZ25" s="30">
        <f>$BU25-($CF25-$CA24)/($CB$1-$CA24)</f>
        <v>0.48</v>
      </c>
      <c r="CA25" s="491">
        <f>BN25</f>
        <v>2025</v>
      </c>
      <c r="CB25" s="491">
        <f t="shared" si="53"/>
        <v>2027</v>
      </c>
      <c r="CC25" s="491">
        <f t="shared" si="54"/>
        <v>2030</v>
      </c>
      <c r="CD25" s="491">
        <f t="shared" si="55"/>
        <v>2028</v>
      </c>
      <c r="CE25" s="491">
        <f t="shared" si="56"/>
        <v>2034</v>
      </c>
      <c r="CF25" s="491">
        <f t="shared" si="57"/>
        <v>2038</v>
      </c>
      <c r="CN25" s="17">
        <f>'No change with year'!J67</f>
        <v>2025</v>
      </c>
    </row>
    <row r="26" spans="1:92">
      <c r="A26" s="818"/>
      <c r="B26" s="823"/>
      <c r="C26" s="23" t="s">
        <v>464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E26" s="23"/>
      <c r="AF26" s="23"/>
      <c r="AG26" s="64"/>
      <c r="AH26" s="694">
        <v>1</v>
      </c>
      <c r="AI26" s="694">
        <f>$BH26-($BO25-$BN25)/($BO26-$BN25)+($BO$1-$BO26)/($BO$1-$BN25)</f>
        <v>0.35</v>
      </c>
      <c r="AJ26" s="694">
        <f>$BH26-($BP25-$BN25)/($BP26-$BN25)+($BO$1-$BP26)/($BO$1-$BN25)</f>
        <v>-2.5000000000000022E-2</v>
      </c>
      <c r="AK26" s="694">
        <f>$BH26-($BQ25-$BN25)/($BQ26-$BN25)+($BO$1-$BQ26)/($BO$1-$BN25)</f>
        <v>0.2</v>
      </c>
      <c r="AL26" s="694">
        <f>$BH26-($BR25-$BN25)/($BR26-$BN25)+($BO$1-$BR26)/($BO$1-$BN25)</f>
        <v>-0.37941176470588234</v>
      </c>
      <c r="AM26" s="694">
        <f>$BH26-($BS25-$BN24)/($BS26-$BN24)+($BO$1-$BS26)/($BO$1-$BN24)</f>
        <v>-0.65</v>
      </c>
      <c r="AN26" s="687">
        <f t="shared" ref="AN26:AS26" si="58">AN15</f>
        <v>2025</v>
      </c>
      <c r="AO26" s="687">
        <f t="shared" si="58"/>
        <v>2030</v>
      </c>
      <c r="AP26" s="687">
        <f t="shared" si="58"/>
        <v>2033</v>
      </c>
      <c r="AQ26" s="687">
        <f t="shared" si="58"/>
        <v>2035</v>
      </c>
      <c r="AR26" s="687">
        <f t="shared" si="58"/>
        <v>2042</v>
      </c>
      <c r="AS26" s="697">
        <f t="shared" si="58"/>
        <v>2045</v>
      </c>
      <c r="AU26" s="694">
        <v>1</v>
      </c>
      <c r="AV26" s="694">
        <f>$BH26-($BO25-$BN25)/($BO26-$BN25)+($BO$1-$BO26)/($BO$1-$BN25)</f>
        <v>0.35</v>
      </c>
      <c r="AW26" s="694">
        <f>$BH26-($BP25-$BN25)/($BP26-$BN25)+($BO$1-$BP26)/($BO$1-$BN25)</f>
        <v>-2.5000000000000022E-2</v>
      </c>
      <c r="AX26" s="694">
        <f>$BH26-($BQ25-$BN25)/($BQ26-$BN25)+($BO$1-$BQ26)/($BO$1-$BN25)</f>
        <v>0.2</v>
      </c>
      <c r="AY26" s="694">
        <f>$BH26-($BR25-$BN25)/($BR26-$BN25)+($BO$1-$BR26)/($BO$1-$BN25)</f>
        <v>-0.37941176470588234</v>
      </c>
      <c r="AZ26" s="694">
        <f>$BH26-($BS25-$BN24)/($BS26-$BN24)+($BO$1-$BS26)/($BO$1-$BN24)</f>
        <v>-0.65</v>
      </c>
      <c r="BA26" s="687">
        <f t="shared" ref="BA26:BF26" si="59">BA15</f>
        <v>2025</v>
      </c>
      <c r="BB26" s="687">
        <f t="shared" si="59"/>
        <v>2030</v>
      </c>
      <c r="BC26" s="687">
        <f t="shared" si="59"/>
        <v>2033</v>
      </c>
      <c r="BD26" s="687">
        <f t="shared" si="59"/>
        <v>2035</v>
      </c>
      <c r="BE26" s="687">
        <f t="shared" si="59"/>
        <v>2042</v>
      </c>
      <c r="BF26" s="687">
        <f t="shared" si="59"/>
        <v>2045</v>
      </c>
      <c r="BH26" s="681"/>
      <c r="BI26" s="23"/>
      <c r="BJ26" s="23"/>
      <c r="BK26" s="40"/>
      <c r="BL26" s="40"/>
      <c r="BM26" s="23"/>
      <c r="BN26" s="491">
        <f t="shared" ref="BN26" si="60">BN15</f>
        <v>2025</v>
      </c>
      <c r="BO26" s="491">
        <f t="shared" ref="BO26:BS26" si="61">BO15</f>
        <v>2030</v>
      </c>
      <c r="BP26" s="491">
        <f t="shared" si="61"/>
        <v>2033</v>
      </c>
      <c r="BQ26" s="491">
        <f t="shared" si="61"/>
        <v>2035</v>
      </c>
      <c r="BR26" s="491">
        <f t="shared" si="61"/>
        <v>2042</v>
      </c>
      <c r="BS26" s="491">
        <f t="shared" si="61"/>
        <v>2045</v>
      </c>
      <c r="BU26" s="688">
        <v>1</v>
      </c>
      <c r="BV26" s="30">
        <f>$BU26-($CB26-$CA26)/($CB$1-$CA26)</f>
        <v>0.8</v>
      </c>
      <c r="BW26" s="30">
        <f>$BU26-($CC26-$CA26)/($CB$1-$CA26)</f>
        <v>0.67999999999999994</v>
      </c>
      <c r="BX26" s="30">
        <f>$BU26-($CD26-$CA26)/($CB$1-$CA26)</f>
        <v>0.6</v>
      </c>
      <c r="BY26" s="30">
        <f>$BU26-($CE26-$CA26)/($CB$1-$CA26)</f>
        <v>0.31999999999999995</v>
      </c>
      <c r="BZ26" s="30">
        <f>$BU26-($CF26-$CA25)/($CB$1-$CA25)</f>
        <v>0.19999999999999996</v>
      </c>
      <c r="CA26" s="491">
        <f>BN26</f>
        <v>2025</v>
      </c>
      <c r="CB26" s="491">
        <f t="shared" si="53"/>
        <v>2030</v>
      </c>
      <c r="CC26" s="491">
        <f t="shared" si="54"/>
        <v>2033</v>
      </c>
      <c r="CD26" s="491">
        <f t="shared" si="55"/>
        <v>2035</v>
      </c>
      <c r="CE26" s="491">
        <f t="shared" si="56"/>
        <v>2042</v>
      </c>
      <c r="CF26" s="491">
        <f t="shared" si="57"/>
        <v>2045</v>
      </c>
      <c r="CH26" s="30">
        <f>CD26/CD26</f>
        <v>1</v>
      </c>
      <c r="CI26" s="30">
        <f>1-(CE26-CD26)/($CK$1-CD26)</f>
        <v>0.65</v>
      </c>
      <c r="CJ26" s="30">
        <f>1-(CF26-CD26)/($CK$1-CD26)</f>
        <v>0.5</v>
      </c>
      <c r="CK26" s="936" t="s">
        <v>1059</v>
      </c>
      <c r="CL26" s="937"/>
      <c r="CM26" s="937"/>
      <c r="CN26" s="17">
        <f>CN15</f>
        <v>2025</v>
      </c>
    </row>
    <row r="27" spans="1:92">
      <c r="A27" s="818">
        <v>3</v>
      </c>
      <c r="B27" s="822" t="s">
        <v>838</v>
      </c>
      <c r="C27" s="23" t="s">
        <v>452</v>
      </c>
      <c r="D27" s="450"/>
      <c r="E27" s="24" t="s">
        <v>453</v>
      </c>
      <c r="F27" s="24" t="s">
        <v>453</v>
      </c>
      <c r="G27" s="25"/>
      <c r="H27" s="24" t="s">
        <v>453</v>
      </c>
      <c r="I27" s="25" t="s">
        <v>454</v>
      </c>
      <c r="J27" s="25" t="s">
        <v>453</v>
      </c>
      <c r="K27" s="25"/>
      <c r="L27" s="25"/>
      <c r="M27" s="25"/>
      <c r="N27" s="25"/>
      <c r="O27" s="25"/>
      <c r="P27" s="25"/>
      <c r="Q27" s="24"/>
      <c r="R27" s="25"/>
      <c r="S27" s="25"/>
      <c r="T27" s="25"/>
      <c r="U27" s="25"/>
      <c r="V27" s="25"/>
      <c r="W27" s="24"/>
      <c r="X27" s="25"/>
      <c r="Y27" s="25"/>
      <c r="Z27" s="24"/>
      <c r="AA27" s="25"/>
      <c r="AB27" s="25"/>
      <c r="AD27" s="26" t="s">
        <v>453</v>
      </c>
      <c r="AE27" s="27"/>
      <c r="AF27" s="27"/>
      <c r="AH27" s="684"/>
      <c r="AI27" s="684"/>
      <c r="AJ27" s="684"/>
      <c r="AK27" s="684"/>
      <c r="AL27" s="684"/>
      <c r="AM27" s="684"/>
      <c r="AN27" s="684"/>
      <c r="AO27" s="684"/>
      <c r="AP27" s="684"/>
      <c r="AQ27" s="684"/>
      <c r="AR27" s="684"/>
      <c r="AS27" s="684"/>
      <c r="AU27" s="684"/>
      <c r="AV27" s="684"/>
      <c r="AW27" s="684"/>
      <c r="AX27" s="684"/>
      <c r="AY27" s="684"/>
      <c r="AZ27" s="684"/>
      <c r="BA27" s="684"/>
      <c r="BB27" s="684"/>
      <c r="BC27" s="684"/>
      <c r="BD27" s="684"/>
      <c r="BE27" s="684"/>
      <c r="BF27" s="684"/>
    </row>
    <row r="28" spans="1:92">
      <c r="A28" s="818"/>
      <c r="B28" s="824"/>
      <c r="C28" s="23" t="s">
        <v>455</v>
      </c>
      <c r="D28" s="450"/>
      <c r="E28" s="24"/>
      <c r="F28" s="24"/>
      <c r="G28" s="25"/>
      <c r="H28" s="24"/>
      <c r="I28" s="25"/>
      <c r="J28" s="25"/>
      <c r="K28" s="25"/>
      <c r="L28" s="25"/>
      <c r="M28" s="25"/>
      <c r="N28" s="25"/>
      <c r="O28" s="25"/>
      <c r="P28" s="25"/>
      <c r="Q28" s="24"/>
      <c r="R28" s="25"/>
      <c r="S28" s="25"/>
      <c r="T28" s="25"/>
      <c r="U28" s="25"/>
      <c r="V28" s="25"/>
      <c r="W28" s="24"/>
      <c r="X28" s="25"/>
      <c r="Y28" s="25"/>
      <c r="Z28" s="24"/>
      <c r="AA28" s="25"/>
      <c r="AB28" s="25"/>
      <c r="AD28" s="26"/>
      <c r="AE28" s="27"/>
      <c r="AF28" s="27"/>
      <c r="AH28" s="68">
        <f>Buckets!H5</f>
        <v>29780</v>
      </c>
      <c r="AI28" s="68">
        <f>Buckets!J5</f>
        <v>20630</v>
      </c>
      <c r="AJ28" s="68">
        <f>Buckets!K5</f>
        <v>9150</v>
      </c>
      <c r="AK28" s="691">
        <f>AH28</f>
        <v>29780</v>
      </c>
      <c r="AL28" s="691">
        <f>AH28</f>
        <v>29780</v>
      </c>
      <c r="AM28" s="691">
        <f>AH28</f>
        <v>29780</v>
      </c>
      <c r="AU28" s="68">
        <f>Buckets!M5</f>
        <v>32870</v>
      </c>
      <c r="AV28" s="68">
        <f>Buckets!O5</f>
        <v>22770</v>
      </c>
      <c r="AW28" s="68">
        <f>Buckets!P5</f>
        <v>10100</v>
      </c>
      <c r="AX28" s="691">
        <f>AU28</f>
        <v>32870</v>
      </c>
      <c r="AY28" s="691">
        <f>AU28</f>
        <v>32870</v>
      </c>
      <c r="AZ28" s="691">
        <f>AU28</f>
        <v>32870</v>
      </c>
      <c r="BH28" s="68">
        <f>Buckets!R5</f>
        <v>37730</v>
      </c>
      <c r="BI28" s="68">
        <f>Buckets!T5</f>
        <v>26130</v>
      </c>
      <c r="BJ28" s="68">
        <f>Buckets!U5</f>
        <v>11600</v>
      </c>
      <c r="BK28" s="691">
        <f>BH28</f>
        <v>37730</v>
      </c>
      <c r="BL28" s="691">
        <f>BH28</f>
        <v>37730</v>
      </c>
      <c r="BM28" s="691">
        <f>BH28</f>
        <v>37730</v>
      </c>
      <c r="BN28" s="445" t="s">
        <v>178</v>
      </c>
      <c r="BO28" s="22" t="s">
        <v>179</v>
      </c>
      <c r="BP28" s="22" t="s">
        <v>180</v>
      </c>
      <c r="BQ28" s="22" t="s">
        <v>182</v>
      </c>
      <c r="BR28" s="22" t="s">
        <v>181</v>
      </c>
      <c r="BS28" s="445" t="s">
        <v>183</v>
      </c>
      <c r="BU28" s="68">
        <f>Buckets!W5</f>
        <v>44100</v>
      </c>
      <c r="BV28" s="68">
        <f>Buckets!Y5</f>
        <v>30530</v>
      </c>
      <c r="BW28" s="68">
        <f>Buckets!Z5</f>
        <v>13570</v>
      </c>
      <c r="BX28" s="691">
        <f>BU28</f>
        <v>44100</v>
      </c>
      <c r="BY28" s="691">
        <f>BU28</f>
        <v>44100</v>
      </c>
      <c r="BZ28" s="691">
        <f>BU28</f>
        <v>44100</v>
      </c>
      <c r="CA28" s="445" t="s">
        <v>178</v>
      </c>
      <c r="CB28" s="22" t="s">
        <v>179</v>
      </c>
      <c r="CC28" s="22" t="s">
        <v>180</v>
      </c>
      <c r="CD28" s="22" t="s">
        <v>182</v>
      </c>
      <c r="CE28" s="22" t="s">
        <v>181</v>
      </c>
      <c r="CF28" s="445" t="s">
        <v>183</v>
      </c>
      <c r="CK28" s="22" t="s">
        <v>182</v>
      </c>
      <c r="CL28" s="22" t="s">
        <v>181</v>
      </c>
      <c r="CM28" s="445" t="s">
        <v>183</v>
      </c>
    </row>
    <row r="29" spans="1:92">
      <c r="A29" s="818"/>
      <c r="B29" s="824"/>
      <c r="C29" s="28" t="s">
        <v>456</v>
      </c>
      <c r="D29" s="450"/>
      <c r="E29" s="24"/>
      <c r="F29" s="25"/>
      <c r="G29" s="25"/>
      <c r="H29" s="24"/>
      <c r="I29" s="25"/>
      <c r="J29" s="25"/>
      <c r="K29" s="25"/>
      <c r="L29" s="25"/>
      <c r="M29" s="25"/>
      <c r="N29" s="25"/>
      <c r="O29" s="25"/>
      <c r="P29" s="25"/>
      <c r="Q29" s="24"/>
      <c r="R29" s="25"/>
      <c r="S29" s="25"/>
      <c r="T29" s="25"/>
      <c r="U29" s="25"/>
      <c r="V29" s="25"/>
      <c r="W29" s="24"/>
      <c r="X29" s="25"/>
      <c r="Y29" s="25"/>
      <c r="Z29" s="24"/>
      <c r="AA29" s="25"/>
      <c r="AB29" s="25"/>
      <c r="AD29" s="26">
        <v>8</v>
      </c>
      <c r="AE29" s="27"/>
      <c r="AF29" s="27"/>
      <c r="AH29" s="686"/>
      <c r="AI29" s="686"/>
      <c r="AJ29" s="686"/>
      <c r="AK29" s="686"/>
      <c r="AL29" s="686"/>
      <c r="AM29" s="686"/>
      <c r="AN29" s="686"/>
      <c r="AO29" s="686"/>
      <c r="AP29" s="686"/>
      <c r="AQ29" s="686"/>
      <c r="AR29" s="686"/>
      <c r="AS29" s="686"/>
      <c r="AU29" s="686"/>
      <c r="AV29" s="686"/>
      <c r="AW29" s="686"/>
      <c r="AX29" s="686"/>
      <c r="AY29" s="686"/>
      <c r="AZ29" s="686"/>
      <c r="BA29" s="686"/>
      <c r="BB29" s="686"/>
      <c r="BC29" s="686"/>
      <c r="BD29" s="686"/>
      <c r="BE29" s="686"/>
      <c r="BF29" s="686"/>
    </row>
    <row r="30" spans="1:92">
      <c r="A30" s="818"/>
      <c r="B30" s="824"/>
      <c r="C30" s="23" t="s">
        <v>457</v>
      </c>
      <c r="D30" s="29">
        <f t="shared" ref="D30:D34" si="62">AVERAGE(E30:AB30)</f>
        <v>9</v>
      </c>
      <c r="E30" s="451">
        <v>10</v>
      </c>
      <c r="F30" s="25">
        <v>9</v>
      </c>
      <c r="G30" s="25">
        <v>8</v>
      </c>
      <c r="H30" s="24">
        <v>9</v>
      </c>
      <c r="I30" s="25">
        <v>9</v>
      </c>
      <c r="J30" s="27">
        <v>9</v>
      </c>
      <c r="K30" s="25"/>
      <c r="L30" s="25"/>
      <c r="M30" s="25"/>
      <c r="N30" s="25"/>
      <c r="O30" s="25"/>
      <c r="P30" s="25"/>
      <c r="Q30" s="24"/>
      <c r="R30" s="25"/>
      <c r="S30" s="25"/>
      <c r="T30" s="25"/>
      <c r="U30" s="25"/>
      <c r="V30" s="25"/>
      <c r="W30" s="24"/>
      <c r="X30" s="25"/>
      <c r="Y30" s="25"/>
      <c r="Z30" s="24"/>
      <c r="AA30" s="25"/>
      <c r="AB30" s="25"/>
      <c r="AD30" s="32">
        <v>6</v>
      </c>
      <c r="AE30" s="27"/>
      <c r="AF30" s="27"/>
      <c r="AH30" s="693">
        <f t="shared" ref="AH30:AM30" si="63">IF(AN30=0, 0, EXP($D30*$E$2  * (($AN30/AN30) - 1)) )</f>
        <v>1</v>
      </c>
      <c r="AI30" s="693">
        <f t="shared" si="63"/>
        <v>1.3439300316455474</v>
      </c>
      <c r="AJ30" s="693">
        <f t="shared" si="63"/>
        <v>1.4939616827006488</v>
      </c>
      <c r="AK30" s="693">
        <f t="shared" si="63"/>
        <v>18.906493615543525</v>
      </c>
      <c r="AL30" s="693">
        <f t="shared" si="63"/>
        <v>3.0086598054257684E-2</v>
      </c>
      <c r="AM30" s="693">
        <f t="shared" si="63"/>
        <v>2.7588465471034593E-2</v>
      </c>
      <c r="AN30" s="685">
        <f>'B3 - TCO ML 48T '!$M$165</f>
        <v>82.499019825823495</v>
      </c>
      <c r="AO30" s="685">
        <f>'B3 - TCO ML 48T '!$M$166</f>
        <v>80.731313933590926</v>
      </c>
      <c r="AP30" s="685">
        <f>'B3 - TCO ML 48T '!$M$167</f>
        <v>80.116696797857912</v>
      </c>
      <c r="AQ30" s="685">
        <f>'B3 - TCO ML 48T '!$M$168</f>
        <v>67.747583506872303</v>
      </c>
      <c r="AR30" s="685">
        <f>'B3 - TCO ML 48T '!$M$169</f>
        <v>111.41462669556873</v>
      </c>
      <c r="AS30" s="695">
        <f>'B3 - TCO ML 48T '!$M$170</f>
        <v>112.38919758423806</v>
      </c>
      <c r="AU30" s="693">
        <f t="shared" ref="AU30:AZ30" si="64">IF(BA30=0, 0, EXP($D30*$E$2* (($BA30/BA30) - 1)) )</f>
        <v>1</v>
      </c>
      <c r="AV30" s="693">
        <f t="shared" si="64"/>
        <v>0.95402978521950865</v>
      </c>
      <c r="AW30" s="693">
        <f t="shared" si="64"/>
        <v>1.0675120653067622</v>
      </c>
      <c r="AX30" s="693">
        <f t="shared" si="64"/>
        <v>87.017008034730651</v>
      </c>
      <c r="AY30" s="693">
        <f t="shared" si="64"/>
        <v>0.21186396131702534</v>
      </c>
      <c r="AZ30" s="693">
        <f t="shared" si="64"/>
        <v>0.20356084198655494</v>
      </c>
      <c r="BA30" s="685">
        <f>'B3 - TCO ML 48T '!$R$165</f>
        <v>94.727374085433709</v>
      </c>
      <c r="BB30" s="685">
        <f>'B3 - TCO ML 48T '!$R$166</f>
        <v>95.058744549867484</v>
      </c>
      <c r="BC30" s="685">
        <f>'B3 - TCO ML 48T '!$R$167</f>
        <v>94.27116610583758</v>
      </c>
      <c r="BD30" s="685">
        <f>'B3 - TCO ML 48T '!$R$168</f>
        <v>71.179571210208962</v>
      </c>
      <c r="BE30" s="685">
        <f>'B3 - TCO ML 48T '!$R$169</f>
        <v>107.03040767801676</v>
      </c>
      <c r="BF30" s="685">
        <f>'B3 - TCO ML 48T '!$R$170</f>
        <v>107.38974092406343</v>
      </c>
      <c r="BH30" s="688">
        <f t="shared" ref="BH30:BM30" si="65">IF(BN30=0, 0, EXP($D30*$E$2 * (($BN30/BN30) - 1)) )</f>
        <v>1</v>
      </c>
      <c r="BI30" s="30">
        <f t="shared" si="65"/>
        <v>0.69748139910027496</v>
      </c>
      <c r="BJ30" s="30">
        <f t="shared" si="65"/>
        <v>0.78986494667712015</v>
      </c>
      <c r="BK30" s="30">
        <f t="shared" si="65"/>
        <v>143.53139910290281</v>
      </c>
      <c r="BL30" s="30">
        <f t="shared" si="65"/>
        <v>1.2688895668871267</v>
      </c>
      <c r="BM30" s="30">
        <f t="shared" si="65"/>
        <v>1.0831379649558062</v>
      </c>
      <c r="BN30" s="492">
        <f>'B3 - TCO ML 48T '!$W$165</f>
        <v>107.89117438353266</v>
      </c>
      <c r="BO30" s="492">
        <f>'B3 - TCO ML 48T '!$W$166</f>
        <v>110.84945428003243</v>
      </c>
      <c r="BP30" s="492">
        <f>'B3 - TCO ML 48T '!$W$167</f>
        <v>109.80994704794618</v>
      </c>
      <c r="BQ30" s="492">
        <f>'B3 - TCO ML 48T '!$W$168</f>
        <v>78.873993943205818</v>
      </c>
      <c r="BR30" s="492">
        <f>'B3 - TCO ML 48T '!$W$169</f>
        <v>106.02094788985534</v>
      </c>
      <c r="BS30" s="492">
        <f>'B3 - TCO ML 48T '!$W$170</f>
        <v>107.25667289483245</v>
      </c>
      <c r="BU30" s="688">
        <f t="shared" ref="BU30:BZ30" si="66">IF(CA30=0, 0, EXP($D30*$E$2 * (($CA30/CA30) - 1)) )</f>
        <v>1</v>
      </c>
      <c r="BV30" s="30">
        <f t="shared" si="66"/>
        <v>0.51963991339881133</v>
      </c>
      <c r="BW30" s="30">
        <f t="shared" si="66"/>
        <v>0.59168004969177057</v>
      </c>
      <c r="BX30" s="30">
        <f t="shared" si="66"/>
        <v>343.09901555991837</v>
      </c>
      <c r="BY30" s="30">
        <f t="shared" si="66"/>
        <v>6.137018222243543</v>
      </c>
      <c r="BZ30" s="30">
        <f t="shared" si="66"/>
        <v>6.1695777707794619</v>
      </c>
      <c r="CA30" s="492">
        <f>'B3 - TCO ML 48T '!$AB$165</f>
        <v>124.62614571343606</v>
      </c>
      <c r="CB30" s="492">
        <f>'B3 - TCO ML 48T '!$AB$166</f>
        <v>130.97727431402535</v>
      </c>
      <c r="CC30" s="492">
        <f>'B3 - TCO ML 48T '!$AB$167</f>
        <v>129.66671595036306</v>
      </c>
      <c r="CD30" s="492">
        <f>'B3 - TCO ML 48T '!$AB$168</f>
        <v>87.00234290380034</v>
      </c>
      <c r="CE30" s="492">
        <f>'B3 - TCO ML 48T '!$AB$169</f>
        <v>109.86128542272503</v>
      </c>
      <c r="CF30" s="492">
        <f>'B3 - TCO ML 48T '!$AB$170</f>
        <v>109.82333926319696</v>
      </c>
      <c r="CH30" s="30">
        <f>IF(CK30=0, 0, EXP($D30*$E$2 * (($CN30/CK30) - 1)))</f>
        <v>252.82047700795036</v>
      </c>
      <c r="CI30" s="30">
        <f>IF(CL30=0, 0, EXP($D30*$E$2 * (($CN30/CL30) - 1)))</f>
        <v>10.245169816560526</v>
      </c>
      <c r="CJ30" s="30">
        <f>IF(CM30=0, 0, EXP($D30*$E$2 * (($CN30/CM30) - 1)))</f>
        <v>10.427733642779007</v>
      </c>
      <c r="CK30" s="492">
        <f>'B3 - TCO ML 48T '!$AG$168</f>
        <v>101.27897059263022</v>
      </c>
      <c r="CL30" s="492">
        <f>'B3 - TCO ML 48T '!$AG$169</f>
        <v>121.79400948439472</v>
      </c>
      <c r="CM30" s="492">
        <f>'B3 - TCO ML 48T '!$AG$170</f>
        <v>121.65823980935129</v>
      </c>
      <c r="CN30" s="703">
        <f>'B3 - TCO ML 48T '!$AG$165</f>
        <v>142.78594100484034</v>
      </c>
    </row>
    <row r="31" spans="1:92">
      <c r="A31" s="818"/>
      <c r="B31" s="824"/>
      <c r="C31" s="23" t="s">
        <v>458</v>
      </c>
      <c r="D31" s="29">
        <f t="shared" si="62"/>
        <v>8.8333333333333339</v>
      </c>
      <c r="E31" s="451">
        <v>9</v>
      </c>
      <c r="F31" s="31">
        <v>9</v>
      </c>
      <c r="G31" s="31">
        <v>9</v>
      </c>
      <c r="H31" s="31">
        <v>9</v>
      </c>
      <c r="I31" s="31">
        <v>9</v>
      </c>
      <c r="J31" s="27">
        <v>8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D31" s="32">
        <v>7</v>
      </c>
      <c r="AE31" s="32"/>
      <c r="AF31" s="32"/>
      <c r="AH31" s="693">
        <f t="shared" ref="AH31:AM31" si="67">IF(AN31=0, 0, EXP($D31*$F$2 * (($AN31/AN31) - 1)) )</f>
        <v>1</v>
      </c>
      <c r="AI31" s="693">
        <f t="shared" si="67"/>
        <v>0.53502266011503885</v>
      </c>
      <c r="AJ31" s="693">
        <f t="shared" si="67"/>
        <v>0.31844354703786676</v>
      </c>
      <c r="AK31" s="693">
        <f t="shared" si="67"/>
        <v>5.9583734105320982E-3</v>
      </c>
      <c r="AL31" s="693">
        <f t="shared" si="67"/>
        <v>0.18323703965816093</v>
      </c>
      <c r="AM31" s="693">
        <f t="shared" si="67"/>
        <v>1.1458889111332826E-3</v>
      </c>
      <c r="AN31" s="678">
        <f>'B3 - TCO ML 48T '!$M$63</f>
        <v>6780100</v>
      </c>
      <c r="AO31" s="678">
        <f>'B3 - TCO ML 48T '!$M$81</f>
        <v>7116000</v>
      </c>
      <c r="AP31" s="678">
        <f>'B3 - TCO ML 48T '!$M$98</f>
        <v>7421000</v>
      </c>
      <c r="AQ31" s="678">
        <f>'B3 - TCO ML 48T '!$M$132</f>
        <v>11054000</v>
      </c>
      <c r="AR31" s="678">
        <f>'B3 - TCO ML 48T '!$M$115</f>
        <v>7776000</v>
      </c>
      <c r="AS31" s="682">
        <f>'B3 - TCO ML 48T '!$M$149</f>
        <v>13867000</v>
      </c>
      <c r="AU31" s="693">
        <f t="shared" ref="AU31:AZ31" si="68">IF(BA31=0, 0, EXP($D31*$F$2 * (($BA31/BA31) - 1)) )</f>
        <v>1</v>
      </c>
      <c r="AV31" s="693">
        <f t="shared" si="68"/>
        <v>0.53453202400529687</v>
      </c>
      <c r="AW31" s="693">
        <f t="shared" si="68"/>
        <v>0.35117829765320902</v>
      </c>
      <c r="AX31" s="693">
        <f t="shared" si="68"/>
        <v>1.4886797363695361E-2</v>
      </c>
      <c r="AY31" s="693">
        <f t="shared" si="68"/>
        <v>0.28919340475398281</v>
      </c>
      <c r="AZ31" s="693">
        <f t="shared" si="68"/>
        <v>3.2631174930727426E-3</v>
      </c>
      <c r="BA31" s="678">
        <f>'B3 - TCO ML 48T '!$R$63</f>
        <v>7860000</v>
      </c>
      <c r="BB31" s="678">
        <f>'B3 - TCO ML 48T '!$R$81</f>
        <v>8250000</v>
      </c>
      <c r="BC31" s="678">
        <f>'B3 - TCO ML 48T '!$R$98</f>
        <v>8534000</v>
      </c>
      <c r="BD31" s="678">
        <f>'B3 - TCO ML 48T '!$R$132</f>
        <v>11517000</v>
      </c>
      <c r="BE31" s="678">
        <f>'B3 - TCO ML 48T '!$R$115</f>
        <v>8672000</v>
      </c>
      <c r="BF31" s="678">
        <f>'B3 - TCO ML 48T '!$R$149</f>
        <v>13840000</v>
      </c>
      <c r="BH31" s="688">
        <f t="shared" ref="BH31:BM31" si="69">IF(BN31=0, 0, EXP($D31*$F$2 * (($BN31/BN31) - 1)) )</f>
        <v>1</v>
      </c>
      <c r="BI31" s="30">
        <f t="shared" si="69"/>
        <v>0.5353244008632686</v>
      </c>
      <c r="BJ31" s="30">
        <f t="shared" si="69"/>
        <v>0.38469852027030171</v>
      </c>
      <c r="BK31" s="30">
        <f t="shared" si="69"/>
        <v>2.9725733540314495E-2</v>
      </c>
      <c r="BL31" s="30">
        <f t="shared" si="69"/>
        <v>0.32129023825623415</v>
      </c>
      <c r="BM31" s="30">
        <f t="shared" si="69"/>
        <v>7.29861719620911E-3</v>
      </c>
      <c r="BN31" s="493">
        <f>'B3 - TCO ML 48T '!$W$63</f>
        <v>9112000</v>
      </c>
      <c r="BO31" s="493">
        <f>'B3 - TCO ML 48T '!$W$81</f>
        <v>9563000</v>
      </c>
      <c r="BP31" s="493">
        <f>'B3 - TCO ML 48T '!$W$98</f>
        <v>9820000</v>
      </c>
      <c r="BQ31" s="493">
        <f>'B3 - TCO ML 48T '!$W$132</f>
        <v>12403000</v>
      </c>
      <c r="BR31" s="493">
        <f>'B3 - TCO ML 48T '!$W$115</f>
        <v>9966000</v>
      </c>
      <c r="BS31" s="493">
        <f>'B3 - TCO ML 48T '!$W$149</f>
        <v>14494000</v>
      </c>
      <c r="BU31" s="688">
        <f t="shared" ref="BU31:BZ31" si="70">IF(CA31=0, 0, EXP($D31*$F$2 * (($CA31/CA31) - 1)) )</f>
        <v>1</v>
      </c>
      <c r="BV31" s="30">
        <f t="shared" si="70"/>
        <v>0.53485966259200712</v>
      </c>
      <c r="BW31" s="30">
        <f t="shared" si="70"/>
        <v>0.41791582648997133</v>
      </c>
      <c r="BX31" s="30">
        <f t="shared" si="70"/>
        <v>4.8940957135197298E-2</v>
      </c>
      <c r="BY31" s="30">
        <f t="shared" si="70"/>
        <v>0.35426484478356668</v>
      </c>
      <c r="BZ31" s="30">
        <f t="shared" si="70"/>
        <v>1.557714469455795E-2</v>
      </c>
      <c r="CA31" s="493">
        <f>'B3 - TCO ML 48T '!$AB$63</f>
        <v>10563400</v>
      </c>
      <c r="CB31" s="493">
        <f>'B3 - TCO ML 48T '!$AB$81</f>
        <v>11087000</v>
      </c>
      <c r="CC31" s="493">
        <f>'B3 - TCO ML 48T '!$AB$98</f>
        <v>11308000</v>
      </c>
      <c r="CD31" s="493">
        <f>'B3 - TCO ML 48T '!$AB$132</f>
        <v>13678000</v>
      </c>
      <c r="CE31" s="493">
        <f>'B3 - TCO ML 48T '!$AB$115</f>
        <v>11461000</v>
      </c>
      <c r="CF31" s="493">
        <f>'B3 - TCO ML 48T '!$AB$149</f>
        <v>15401000</v>
      </c>
      <c r="CH31" s="30">
        <f>IF(CK31=0, 0, EXP($D31*$F$2 * (($CN31/CK31) - 1)))</f>
        <v>6.3459038508992038E-2</v>
      </c>
      <c r="CI31" s="30">
        <f>IF(CL31=0, 0, EXP($D31*$F$2 * (($CN31/CL31) - 1)))</f>
        <v>0.38772385755771172</v>
      </c>
      <c r="CJ31" s="30">
        <f>IF(CM31=0, 0, EXP($D31*$F$2 * (($CN31/CM31) - 1)))</f>
        <v>2.380511816929241E-2</v>
      </c>
      <c r="CK31" s="493">
        <f>'B3 - TCO ML 48T '!$AG$132</f>
        <v>15464000</v>
      </c>
      <c r="CL31" s="493">
        <f>'B3 - TCO ML 48T '!$AG$115</f>
        <v>13189000</v>
      </c>
      <c r="CM31" s="493">
        <f>'B3 - TCO ML 48T '!$AG$149</f>
        <v>17058000</v>
      </c>
      <c r="CN31" s="17">
        <f>'B3 - TCO ML 48T '!$AG$63</f>
        <v>12245900</v>
      </c>
    </row>
    <row r="32" spans="1:92">
      <c r="A32" s="818"/>
      <c r="B32" s="824"/>
      <c r="C32" s="23" t="s">
        <v>459</v>
      </c>
      <c r="D32" s="29">
        <f t="shared" si="62"/>
        <v>7.166666666666667</v>
      </c>
      <c r="E32" s="451">
        <v>6</v>
      </c>
      <c r="F32" s="31">
        <v>9</v>
      </c>
      <c r="G32" s="31">
        <v>6</v>
      </c>
      <c r="H32" s="31">
        <v>6</v>
      </c>
      <c r="I32" s="31">
        <v>9</v>
      </c>
      <c r="J32" s="32">
        <v>7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D32" s="26">
        <v>4</v>
      </c>
      <c r="AE32" s="32"/>
      <c r="AF32" s="32"/>
      <c r="AH32" s="693">
        <f t="shared" ref="AH32:AM33" si="71">IF(AN32=0, 0, EXP($D32*$E$2 * ((AN32/$AN32) - 1)) )</f>
        <v>1</v>
      </c>
      <c r="AI32" s="693">
        <f t="shared" si="71"/>
        <v>1</v>
      </c>
      <c r="AJ32" s="693">
        <f t="shared" si="71"/>
        <v>1</v>
      </c>
      <c r="AK32" s="693">
        <f t="shared" si="71"/>
        <v>0.42316208231774899</v>
      </c>
      <c r="AL32" s="693">
        <f t="shared" si="71"/>
        <v>1</v>
      </c>
      <c r="AM32" s="693">
        <f t="shared" si="71"/>
        <v>0.71329718021725974</v>
      </c>
      <c r="AN32" s="678">
        <f>'B3 - TCO ML 48T '!$C$17</f>
        <v>35000</v>
      </c>
      <c r="AO32" s="678">
        <f>AN32</f>
        <v>35000</v>
      </c>
      <c r="AP32" s="678">
        <f>AN32</f>
        <v>35000</v>
      </c>
      <c r="AQ32" s="678">
        <f>'B3 - TCO ML 48T '!C18</f>
        <v>32200</v>
      </c>
      <c r="AR32" s="678">
        <f>AN32</f>
        <v>35000</v>
      </c>
      <c r="AS32" s="682">
        <f>'B3 - TCO ML 48T '!C19</f>
        <v>33900</v>
      </c>
      <c r="AU32" s="693">
        <f t="shared" ref="AU32:AZ33" si="72">IF(BA32=0, 0, EXP($D32*$E$2 * ((BA32/$BA32) - 1)) )</f>
        <v>1</v>
      </c>
      <c r="AV32" s="693">
        <f t="shared" si="72"/>
        <v>1</v>
      </c>
      <c r="AW32" s="693">
        <f t="shared" si="72"/>
        <v>1</v>
      </c>
      <c r="AX32" s="693">
        <f t="shared" si="72"/>
        <v>0.42316208231774899</v>
      </c>
      <c r="AY32" s="693">
        <f t="shared" si="72"/>
        <v>1</v>
      </c>
      <c r="AZ32" s="693">
        <f t="shared" si="72"/>
        <v>0.71329718021725974</v>
      </c>
      <c r="BA32" s="678">
        <f>'B3 - TCO ML 48T '!$C$17</f>
        <v>35000</v>
      </c>
      <c r="BB32" s="678">
        <f>BA32</f>
        <v>35000</v>
      </c>
      <c r="BC32" s="678">
        <f>BA32</f>
        <v>35000</v>
      </c>
      <c r="BD32" s="678">
        <f>'B3 - TCO ML 48T '!C18</f>
        <v>32200</v>
      </c>
      <c r="BE32" s="678">
        <f>BA32</f>
        <v>35000</v>
      </c>
      <c r="BF32" s="678">
        <f>'B3 - TCO ML 48T '!C19</f>
        <v>33900</v>
      </c>
      <c r="BH32" s="688">
        <f t="shared" ref="BH32:BM33" si="73">IF(BN32=0, 0, EXP($D32*$E$2 * ((BN32/$BN32) - 1)) )</f>
        <v>1</v>
      </c>
      <c r="BI32" s="30">
        <f t="shared" si="73"/>
        <v>1</v>
      </c>
      <c r="BJ32" s="30">
        <f t="shared" si="73"/>
        <v>1</v>
      </c>
      <c r="BK32" s="30">
        <f t="shared" si="73"/>
        <v>0.42316208231774899</v>
      </c>
      <c r="BL32" s="30">
        <f t="shared" si="73"/>
        <v>1</v>
      </c>
      <c r="BM32" s="30">
        <f t="shared" si="73"/>
        <v>0.71329718021725974</v>
      </c>
      <c r="BN32" s="493">
        <f>'B3 - TCO ML 48T '!C17</f>
        <v>35000</v>
      </c>
      <c r="BO32" s="493">
        <f>BN32</f>
        <v>35000</v>
      </c>
      <c r="BP32" s="493">
        <f>BN32</f>
        <v>35000</v>
      </c>
      <c r="BQ32" s="493">
        <f>'B3 - TCO ML 48T '!C18</f>
        <v>32200</v>
      </c>
      <c r="BR32" s="493">
        <f>BN32</f>
        <v>35000</v>
      </c>
      <c r="BS32" s="493">
        <f>'B3 - TCO ML 48T '!C19</f>
        <v>33900</v>
      </c>
      <c r="BU32" s="688">
        <f t="shared" ref="BU32:BZ33" si="74">IF(CA32=0, 0, EXP($D32*$E$2 * ((CA32/$CA32) - 1)) )</f>
        <v>1</v>
      </c>
      <c r="BV32" s="30">
        <f t="shared" si="74"/>
        <v>1</v>
      </c>
      <c r="BW32" s="30">
        <f t="shared" si="74"/>
        <v>1</v>
      </c>
      <c r="BX32" s="30">
        <f t="shared" si="74"/>
        <v>0.42316208231774899</v>
      </c>
      <c r="BY32" s="30">
        <f t="shared" si="74"/>
        <v>1</v>
      </c>
      <c r="BZ32" s="30">
        <f t="shared" si="74"/>
        <v>0.71329718021725974</v>
      </c>
      <c r="CA32" s="493">
        <f>'B3 - TCO ML 48T '!C17</f>
        <v>35000</v>
      </c>
      <c r="CB32" s="493">
        <f>CA32</f>
        <v>35000</v>
      </c>
      <c r="CC32" s="493">
        <f>CA32</f>
        <v>35000</v>
      </c>
      <c r="CD32" s="493">
        <f>'B3 - TCO ML 48T '!C18</f>
        <v>32200</v>
      </c>
      <c r="CE32" s="493">
        <f>CA32</f>
        <v>35000</v>
      </c>
      <c r="CF32" s="493">
        <f>'B3 - TCO ML 48T '!C19</f>
        <v>33900</v>
      </c>
      <c r="CH32" s="30">
        <f t="shared" ref="CH32:CJ33" si="75">IF(CK32=0, 0, EXP($D32*$E$2 * ((CK32/$CN32) - 1)))</f>
        <v>0.42316208231774899</v>
      </c>
      <c r="CI32" s="30">
        <f t="shared" si="75"/>
        <v>1</v>
      </c>
      <c r="CJ32" s="30">
        <f t="shared" si="75"/>
        <v>0.71329718021725974</v>
      </c>
      <c r="CK32" s="493">
        <f t="shared" ref="CK32:CM34" si="76">BQ32</f>
        <v>32200</v>
      </c>
      <c r="CL32" s="493">
        <f t="shared" si="76"/>
        <v>35000</v>
      </c>
      <c r="CM32" s="493">
        <f t="shared" si="76"/>
        <v>33900</v>
      </c>
      <c r="CN32" s="17">
        <f>'B3 - TCO ML 48T '!C17</f>
        <v>35000</v>
      </c>
    </row>
    <row r="33" spans="1:92">
      <c r="A33" s="818"/>
      <c r="B33" s="824"/>
      <c r="C33" s="23" t="s">
        <v>460</v>
      </c>
      <c r="D33" s="29">
        <f t="shared" si="62"/>
        <v>5.5</v>
      </c>
      <c r="E33" s="451">
        <v>3</v>
      </c>
      <c r="F33" s="24">
        <v>9</v>
      </c>
      <c r="G33" s="24">
        <v>4</v>
      </c>
      <c r="H33" s="24">
        <v>7</v>
      </c>
      <c r="I33" s="24">
        <v>5</v>
      </c>
      <c r="J33" s="32">
        <v>5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D33" s="26">
        <v>3</v>
      </c>
      <c r="AE33" s="26"/>
      <c r="AF33" s="26"/>
      <c r="AH33" s="693">
        <f t="shared" si="71"/>
        <v>1</v>
      </c>
      <c r="AI33" s="693">
        <f t="shared" si="71"/>
        <v>0.66199319669083379</v>
      </c>
      <c r="AJ33" s="693">
        <f t="shared" si="71"/>
        <v>0.66199319669083379</v>
      </c>
      <c r="AK33" s="693">
        <f t="shared" si="71"/>
        <v>3.4469852208994722</v>
      </c>
      <c r="AL33" s="693">
        <f t="shared" si="71"/>
        <v>0.66199319669083379</v>
      </c>
      <c r="AM33" s="693">
        <f t="shared" si="71"/>
        <v>3.4469852208994722</v>
      </c>
      <c r="AN33" s="679">
        <f t="shared" ref="AN33:AS34" si="77">AN11</f>
        <v>1</v>
      </c>
      <c r="AO33" s="679">
        <f t="shared" si="77"/>
        <v>0.95</v>
      </c>
      <c r="AP33" s="679">
        <f t="shared" si="77"/>
        <v>0.95</v>
      </c>
      <c r="AQ33" s="679">
        <f t="shared" si="77"/>
        <v>1.1499999999999999</v>
      </c>
      <c r="AR33" s="679">
        <f t="shared" si="77"/>
        <v>0.95</v>
      </c>
      <c r="AS33" s="683">
        <f t="shared" si="77"/>
        <v>1.1499999999999999</v>
      </c>
      <c r="AU33" s="693">
        <f t="shared" si="72"/>
        <v>1</v>
      </c>
      <c r="AV33" s="693">
        <f t="shared" si="72"/>
        <v>0.66199319669083379</v>
      </c>
      <c r="AW33" s="693">
        <f t="shared" si="72"/>
        <v>0.66199319669083379</v>
      </c>
      <c r="AX33" s="693">
        <f t="shared" si="72"/>
        <v>3.4469852208994722</v>
      </c>
      <c r="AY33" s="693">
        <f t="shared" si="72"/>
        <v>0.66199319669083379</v>
      </c>
      <c r="AZ33" s="693">
        <f t="shared" si="72"/>
        <v>3.4469852208994722</v>
      </c>
      <c r="BA33" s="679">
        <f t="shared" ref="BA33:BF34" si="78">BA11</f>
        <v>1</v>
      </c>
      <c r="BB33" s="679">
        <f t="shared" si="78"/>
        <v>0.95</v>
      </c>
      <c r="BC33" s="679">
        <f t="shared" si="78"/>
        <v>0.95</v>
      </c>
      <c r="BD33" s="679">
        <f t="shared" si="78"/>
        <v>1.1499999999999999</v>
      </c>
      <c r="BE33" s="679">
        <f t="shared" si="78"/>
        <v>0.95</v>
      </c>
      <c r="BF33" s="679">
        <f t="shared" si="78"/>
        <v>1.1499999999999999</v>
      </c>
      <c r="BH33" s="688">
        <f t="shared" si="73"/>
        <v>1</v>
      </c>
      <c r="BI33" s="30">
        <f t="shared" si="73"/>
        <v>0.66199319669083379</v>
      </c>
      <c r="BJ33" s="30">
        <f t="shared" si="73"/>
        <v>0.66199319669083379</v>
      </c>
      <c r="BK33" s="30">
        <f t="shared" si="73"/>
        <v>3.4469852208994722</v>
      </c>
      <c r="BL33" s="30">
        <f t="shared" si="73"/>
        <v>0.66199319669083379</v>
      </c>
      <c r="BM33" s="30">
        <f t="shared" si="73"/>
        <v>3.4469852208994722</v>
      </c>
      <c r="BN33" s="490">
        <f t="shared" ref="BN33:BS35" si="79">BN22</f>
        <v>1</v>
      </c>
      <c r="BO33" s="490">
        <f t="shared" si="79"/>
        <v>0.95</v>
      </c>
      <c r="BP33" s="490">
        <f t="shared" si="79"/>
        <v>0.95</v>
      </c>
      <c r="BQ33" s="490">
        <f t="shared" si="79"/>
        <v>1.1499999999999999</v>
      </c>
      <c r="BR33" s="490">
        <f t="shared" si="79"/>
        <v>0.95</v>
      </c>
      <c r="BS33" s="490">
        <f t="shared" si="79"/>
        <v>1.1499999999999999</v>
      </c>
      <c r="BU33" s="688">
        <f t="shared" si="74"/>
        <v>1</v>
      </c>
      <c r="BV33" s="30">
        <f t="shared" si="74"/>
        <v>0.66199319669083379</v>
      </c>
      <c r="BW33" s="30">
        <f t="shared" si="74"/>
        <v>0.66199319669083379</v>
      </c>
      <c r="BX33" s="30">
        <f t="shared" si="74"/>
        <v>3.4469852208994722</v>
      </c>
      <c r="BY33" s="30">
        <f t="shared" si="74"/>
        <v>0.66199319669083379</v>
      </c>
      <c r="BZ33" s="30">
        <f t="shared" si="74"/>
        <v>3.4469852208994722</v>
      </c>
      <c r="CA33" s="490">
        <f t="shared" ref="CA33:CF34" si="80">CA22</f>
        <v>1</v>
      </c>
      <c r="CB33" s="490">
        <f t="shared" si="80"/>
        <v>0.95</v>
      </c>
      <c r="CC33" s="490">
        <f t="shared" si="80"/>
        <v>0.95</v>
      </c>
      <c r="CD33" s="490">
        <f t="shared" si="80"/>
        <v>1.1499999999999999</v>
      </c>
      <c r="CE33" s="490">
        <f t="shared" si="80"/>
        <v>0.95</v>
      </c>
      <c r="CF33" s="490">
        <f t="shared" si="80"/>
        <v>1.1499999999999999</v>
      </c>
      <c r="CH33" s="30">
        <f t="shared" si="75"/>
        <v>3.4469852208994722</v>
      </c>
      <c r="CI33" s="30">
        <f t="shared" si="75"/>
        <v>0.66199319669083379</v>
      </c>
      <c r="CJ33" s="30">
        <f t="shared" si="75"/>
        <v>3.4469852208994722</v>
      </c>
      <c r="CK33" s="490">
        <f t="shared" si="76"/>
        <v>1.1499999999999999</v>
      </c>
      <c r="CL33" s="490">
        <f t="shared" si="76"/>
        <v>0.95</v>
      </c>
      <c r="CM33" s="490">
        <f t="shared" si="76"/>
        <v>1.1499999999999999</v>
      </c>
      <c r="CN33" s="704">
        <f>CN22</f>
        <v>1</v>
      </c>
    </row>
    <row r="34" spans="1:92">
      <c r="A34" s="818"/>
      <c r="B34" s="824"/>
      <c r="C34" s="34" t="s">
        <v>461</v>
      </c>
      <c r="D34" s="35">
        <f t="shared" si="62"/>
        <v>7.5</v>
      </c>
      <c r="E34" s="36">
        <v>8</v>
      </c>
      <c r="F34" s="37">
        <v>10</v>
      </c>
      <c r="G34" s="37">
        <v>7</v>
      </c>
      <c r="H34" s="37">
        <v>8</v>
      </c>
      <c r="I34" s="37">
        <v>6</v>
      </c>
      <c r="J34" s="26">
        <v>6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D34" s="38">
        <v>2</v>
      </c>
      <c r="AE34" s="38"/>
      <c r="AF34" s="38"/>
      <c r="AH34" s="693">
        <f t="shared" ref="AH34:AM34" si="81">IF(AN34=0, 0, EXP($D34*$E$2  * (($AN34/AN34) - 1)) )</f>
        <v>1</v>
      </c>
      <c r="AI34" s="693">
        <f t="shared" si="81"/>
        <v>0.58525110430741201</v>
      </c>
      <c r="AJ34" s="693">
        <f t="shared" si="81"/>
        <v>0.35961283926440357</v>
      </c>
      <c r="AK34" s="693">
        <f t="shared" si="81"/>
        <v>0.15335496684492853</v>
      </c>
      <c r="AL34" s="693">
        <f t="shared" si="81"/>
        <v>1</v>
      </c>
      <c r="AM34" s="693">
        <f t="shared" si="81"/>
        <v>1</v>
      </c>
      <c r="AN34" s="679">
        <f t="shared" si="77"/>
        <v>1</v>
      </c>
      <c r="AO34" s="679">
        <f t="shared" si="77"/>
        <v>1.05</v>
      </c>
      <c r="AP34" s="679">
        <f t="shared" si="77"/>
        <v>1.1000000000000001</v>
      </c>
      <c r="AQ34" s="679">
        <f t="shared" si="77"/>
        <v>1.2</v>
      </c>
      <c r="AR34" s="679">
        <f t="shared" si="77"/>
        <v>1</v>
      </c>
      <c r="AS34" s="683">
        <f t="shared" si="77"/>
        <v>1</v>
      </c>
      <c r="AU34" s="693">
        <f t="shared" ref="AU34:AZ34" si="82">IF(BA34=0, 0, EXP($D34*$E$2* (($BA34/BA34) - 1)) )</f>
        <v>1</v>
      </c>
      <c r="AV34" s="693">
        <f t="shared" si="82"/>
        <v>0.58525110430741201</v>
      </c>
      <c r="AW34" s="693">
        <f t="shared" si="82"/>
        <v>0.35961283926440357</v>
      </c>
      <c r="AX34" s="693">
        <f t="shared" si="82"/>
        <v>0.15335496684492853</v>
      </c>
      <c r="AY34" s="693">
        <f t="shared" si="82"/>
        <v>1</v>
      </c>
      <c r="AZ34" s="693">
        <f t="shared" si="82"/>
        <v>1</v>
      </c>
      <c r="BA34" s="679">
        <f t="shared" si="78"/>
        <v>1</v>
      </c>
      <c r="BB34" s="679">
        <f t="shared" si="78"/>
        <v>1.05</v>
      </c>
      <c r="BC34" s="679">
        <f t="shared" si="78"/>
        <v>1.1000000000000001</v>
      </c>
      <c r="BD34" s="679">
        <f t="shared" si="78"/>
        <v>1.2</v>
      </c>
      <c r="BE34" s="679">
        <f t="shared" si="78"/>
        <v>1</v>
      </c>
      <c r="BF34" s="679">
        <f t="shared" si="78"/>
        <v>1</v>
      </c>
      <c r="BH34" s="688">
        <f t="shared" ref="BH34:BM34" si="83">IF(BN34=0, 0, EXP($D34*$E$2 * (($BN34/BN34) - 1)) )</f>
        <v>1</v>
      </c>
      <c r="BI34" s="30">
        <f t="shared" si="83"/>
        <v>0.58525110430741201</v>
      </c>
      <c r="BJ34" s="30">
        <f t="shared" si="83"/>
        <v>0.35961283926440357</v>
      </c>
      <c r="BK34" s="30">
        <f t="shared" si="83"/>
        <v>0.15335496684492853</v>
      </c>
      <c r="BL34" s="30">
        <f t="shared" si="83"/>
        <v>1</v>
      </c>
      <c r="BM34" s="30">
        <f t="shared" si="83"/>
        <v>1</v>
      </c>
      <c r="BN34" s="490">
        <f t="shared" si="79"/>
        <v>1</v>
      </c>
      <c r="BO34" s="490">
        <f t="shared" si="79"/>
        <v>1.05</v>
      </c>
      <c r="BP34" s="490">
        <f t="shared" si="79"/>
        <v>1.1000000000000001</v>
      </c>
      <c r="BQ34" s="490">
        <f t="shared" si="79"/>
        <v>1.2</v>
      </c>
      <c r="BR34" s="490">
        <f t="shared" si="79"/>
        <v>1</v>
      </c>
      <c r="BS34" s="490">
        <f t="shared" si="79"/>
        <v>1</v>
      </c>
      <c r="BU34" s="688">
        <f t="shared" ref="BU34:BZ34" si="84">IF(CA34=0, 0, EXP($D34*$E$2 * (($CA34/CA34) - 1)) )</f>
        <v>1</v>
      </c>
      <c r="BV34" s="30">
        <f t="shared" si="84"/>
        <v>0.58525110430741201</v>
      </c>
      <c r="BW34" s="30">
        <f t="shared" si="84"/>
        <v>0.35961283926440357</v>
      </c>
      <c r="BX34" s="30">
        <f t="shared" si="84"/>
        <v>0.15335496684492853</v>
      </c>
      <c r="BY34" s="30">
        <f t="shared" si="84"/>
        <v>1</v>
      </c>
      <c r="BZ34" s="30">
        <f t="shared" si="84"/>
        <v>1</v>
      </c>
      <c r="CA34" s="490">
        <f t="shared" si="80"/>
        <v>1</v>
      </c>
      <c r="CB34" s="490">
        <f t="shared" si="80"/>
        <v>1.05</v>
      </c>
      <c r="CC34" s="490">
        <f t="shared" si="80"/>
        <v>1.1000000000000001</v>
      </c>
      <c r="CD34" s="490">
        <f t="shared" si="80"/>
        <v>1.2</v>
      </c>
      <c r="CE34" s="490">
        <f t="shared" si="80"/>
        <v>1</v>
      </c>
      <c r="CF34" s="490">
        <f t="shared" si="80"/>
        <v>1</v>
      </c>
      <c r="CH34" s="30">
        <f>IF(CK34=0, 0, EXP($D34*$E$2 * (($CN34/CK34) - 1)))</f>
        <v>0.15335496684492853</v>
      </c>
      <c r="CI34" s="30">
        <f>IF(CL34=0, 0, EXP($D34*$E$2 * (($CN34/CL34) - 1)))</f>
        <v>1</v>
      </c>
      <c r="CJ34" s="30">
        <f>IF(CM34=0, 0, EXP($D34*$E$2 * (($CN34/CM34) - 1)))</f>
        <v>1</v>
      </c>
      <c r="CK34" s="490">
        <f t="shared" si="76"/>
        <v>1.2</v>
      </c>
      <c r="CL34" s="490">
        <f t="shared" si="76"/>
        <v>1</v>
      </c>
      <c r="CM34" s="490">
        <f t="shared" si="76"/>
        <v>1</v>
      </c>
      <c r="CN34" s="704">
        <f>CN23</f>
        <v>1</v>
      </c>
    </row>
    <row r="35" spans="1:92">
      <c r="A35" s="818"/>
      <c r="B35" s="824"/>
      <c r="C35" s="23" t="s">
        <v>462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64"/>
      <c r="AH35" s="23"/>
      <c r="AI35" s="23"/>
      <c r="AJ35" s="23"/>
      <c r="AK35" s="23"/>
      <c r="AL35" s="23"/>
      <c r="AM35" s="23"/>
      <c r="AN35" s="680">
        <f t="shared" ref="AN35:AS35" si="85">AN24</f>
        <v>2025</v>
      </c>
      <c r="AO35" s="680">
        <f t="shared" si="85"/>
        <v>2025</v>
      </c>
      <c r="AP35" s="680">
        <f t="shared" si="85"/>
        <v>2025</v>
      </c>
      <c r="AQ35" s="680">
        <f t="shared" si="85"/>
        <v>2025</v>
      </c>
      <c r="AR35" s="680">
        <f t="shared" si="85"/>
        <v>2028</v>
      </c>
      <c r="AS35" s="696">
        <f t="shared" si="85"/>
        <v>2030</v>
      </c>
      <c r="AU35" s="23"/>
      <c r="AV35" s="23"/>
      <c r="AW35" s="23"/>
      <c r="AX35" s="23"/>
      <c r="AY35" s="23"/>
      <c r="AZ35" s="23"/>
      <c r="BA35" s="680">
        <f t="shared" ref="BA35:BF35" si="86">BA24</f>
        <v>2025</v>
      </c>
      <c r="BB35" s="680">
        <f t="shared" si="86"/>
        <v>2025</v>
      </c>
      <c r="BC35" s="680">
        <f t="shared" si="86"/>
        <v>2025</v>
      </c>
      <c r="BD35" s="680">
        <f t="shared" si="86"/>
        <v>2025</v>
      </c>
      <c r="BE35" s="680">
        <f t="shared" si="86"/>
        <v>2028</v>
      </c>
      <c r="BF35" s="680">
        <f t="shared" si="86"/>
        <v>2030</v>
      </c>
      <c r="BH35" s="681"/>
      <c r="BI35" s="23"/>
      <c r="BJ35" s="23"/>
      <c r="BK35" s="39"/>
      <c r="BL35" s="39"/>
      <c r="BM35" s="23"/>
      <c r="BN35" s="491">
        <f t="shared" ref="BN35" si="87">BN24</f>
        <v>2025</v>
      </c>
      <c r="BO35" s="491">
        <f t="shared" si="79"/>
        <v>2025</v>
      </c>
      <c r="BP35" s="491">
        <f t="shared" si="79"/>
        <v>2025</v>
      </c>
      <c r="BQ35" s="491">
        <f t="shared" si="79"/>
        <v>2025</v>
      </c>
      <c r="BR35" s="491">
        <f t="shared" si="79"/>
        <v>2028</v>
      </c>
      <c r="BS35" s="491">
        <f t="shared" si="79"/>
        <v>2030</v>
      </c>
      <c r="BU35" s="681"/>
      <c r="BV35" s="23"/>
      <c r="BW35" s="23"/>
      <c r="BX35" s="39"/>
      <c r="BY35" s="39"/>
      <c r="BZ35" s="23"/>
      <c r="CA35" s="491">
        <f>BN35</f>
        <v>2025</v>
      </c>
      <c r="CB35" s="491">
        <f t="shared" ref="CB35:CB37" si="88">BO35</f>
        <v>2025</v>
      </c>
      <c r="CC35" s="491">
        <f t="shared" ref="CC35:CC37" si="89">BP35</f>
        <v>2025</v>
      </c>
      <c r="CD35" s="491">
        <f t="shared" ref="CD35:CD37" si="90">BQ35</f>
        <v>2025</v>
      </c>
      <c r="CE35" s="491">
        <f t="shared" ref="CE35:CE37" si="91">BR35</f>
        <v>2028</v>
      </c>
      <c r="CF35" s="491">
        <f t="shared" ref="CF35:CF37" si="92">BS35</f>
        <v>2030</v>
      </c>
      <c r="CN35" s="17">
        <f>CN24</f>
        <v>2025</v>
      </c>
    </row>
    <row r="36" spans="1:92">
      <c r="A36" s="818"/>
      <c r="B36" s="824"/>
      <c r="C36" s="23" t="s">
        <v>463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64"/>
      <c r="AH36" s="23">
        <v>1</v>
      </c>
      <c r="AI36" s="701">
        <f>$BH36-($BO36-$BN36)/($BO$1-$BN36)</f>
        <v>0.85</v>
      </c>
      <c r="AJ36" s="701">
        <f>$BH36-($BP36-$BN36)/($BO$1-$BN36)</f>
        <v>0.75</v>
      </c>
      <c r="AK36" s="701">
        <f>$BH36-($BQ36-$BN36)/($BO$1-$BN36)</f>
        <v>0.85</v>
      </c>
      <c r="AL36" s="701">
        <f>$BH36-($BR36-$BN36)/($BO$1-$BN36)</f>
        <v>0.55000000000000004</v>
      </c>
      <c r="AM36" s="701">
        <f>$BH36-($BS36-$BN35)/($BO$1-$BN35)</f>
        <v>0.35</v>
      </c>
      <c r="AN36" s="680">
        <f>'No change with year'!J69</f>
        <v>2025</v>
      </c>
      <c r="AO36" s="680">
        <f>'No change with year'!K69</f>
        <v>2028</v>
      </c>
      <c r="AP36" s="680">
        <f>'No change with year'!L69</f>
        <v>2030</v>
      </c>
      <c r="AQ36" s="680">
        <f>'No change with year'!M69</f>
        <v>2028</v>
      </c>
      <c r="AR36" s="680">
        <f>'No change with year'!N69</f>
        <v>2034</v>
      </c>
      <c r="AS36" s="696">
        <f>'No change with year'!O69</f>
        <v>2038</v>
      </c>
      <c r="AU36" s="23">
        <v>1</v>
      </c>
      <c r="AV36" s="701">
        <f>$BH36-($BO36-$BN36)/($BO$1-$BN36)</f>
        <v>0.85</v>
      </c>
      <c r="AW36" s="701">
        <f>$BH36-($BP36-$BN36)/($BO$1-$BN36)</f>
        <v>0.75</v>
      </c>
      <c r="AX36" s="701">
        <f>$BH36-($BQ36-$BN36)/($BO$1-$BN36)</f>
        <v>0.85</v>
      </c>
      <c r="AY36" s="701">
        <f>$BH36-($BR36-$BN36)/($BO$1-$BN36)</f>
        <v>0.55000000000000004</v>
      </c>
      <c r="AZ36" s="701">
        <f>$BH36-($BS36-$BN35)/($BO$1-$BN35)</f>
        <v>0.35</v>
      </c>
      <c r="BA36" s="680">
        <f>'No change with year'!J69</f>
        <v>2025</v>
      </c>
      <c r="BB36" s="680">
        <f>'No change with year'!K69</f>
        <v>2028</v>
      </c>
      <c r="BC36" s="680">
        <f>'No change with year'!L69</f>
        <v>2030</v>
      </c>
      <c r="BD36" s="680">
        <f>'No change with year'!M69</f>
        <v>2028</v>
      </c>
      <c r="BE36" s="680">
        <f>'No change with year'!N69</f>
        <v>2034</v>
      </c>
      <c r="BF36" s="680">
        <f>'No change with year'!O69</f>
        <v>2038</v>
      </c>
      <c r="BH36" s="688">
        <v>1</v>
      </c>
      <c r="BI36" s="30">
        <f>$BH36-($BO36-$BN36)/($BO$1-$BN36)</f>
        <v>0.85</v>
      </c>
      <c r="BJ36" s="30">
        <f>$BH36-($BP36-$BN36)/($BO$1-$BN36)</f>
        <v>0.75</v>
      </c>
      <c r="BK36" s="30">
        <f>$BH36-($BQ36-$BN36)/($BO$1-$BN36)</f>
        <v>0.85</v>
      </c>
      <c r="BL36" s="30">
        <f>$BH36-($BR36-$BN36)/($BO$1-$BN36)</f>
        <v>0.55000000000000004</v>
      </c>
      <c r="BM36" s="30">
        <f>$BH36-($BS36-$BN35)/($BO$1-$BN35)</f>
        <v>0.35</v>
      </c>
      <c r="BN36" s="491">
        <f>'No change with year'!J69</f>
        <v>2025</v>
      </c>
      <c r="BO36" s="491">
        <f>'No change with year'!K69</f>
        <v>2028</v>
      </c>
      <c r="BP36" s="491">
        <f>'No change with year'!L69</f>
        <v>2030</v>
      </c>
      <c r="BQ36" s="491">
        <f>'No change with year'!M69</f>
        <v>2028</v>
      </c>
      <c r="BR36" s="491">
        <f>'No change with year'!N69</f>
        <v>2034</v>
      </c>
      <c r="BS36" s="491">
        <f>'No change with year'!O69</f>
        <v>2038</v>
      </c>
      <c r="BU36" s="688">
        <v>1</v>
      </c>
      <c r="BV36" s="30">
        <f>$BU36-($CB36-$CA36)/($CB$1-$CA36)</f>
        <v>0.88</v>
      </c>
      <c r="BW36" s="30">
        <f>$BU36-($CC36-$CA36)/($CB$1-$CA36)</f>
        <v>0.8</v>
      </c>
      <c r="BX36" s="30">
        <f>$BU36-($CD36-$CA36)/($CB$1-$CA36)</f>
        <v>0.88</v>
      </c>
      <c r="BY36" s="30">
        <f>$BU36-($CE36-$CA36)/($CB$1-$CA36)</f>
        <v>0.64</v>
      </c>
      <c r="BZ36" s="30">
        <f>$BU36-($CF36-$CA35)/($CB$1-$CA35)</f>
        <v>0.48</v>
      </c>
      <c r="CA36" s="491">
        <f>BN36</f>
        <v>2025</v>
      </c>
      <c r="CB36" s="491">
        <f t="shared" si="88"/>
        <v>2028</v>
      </c>
      <c r="CC36" s="491">
        <f t="shared" si="89"/>
        <v>2030</v>
      </c>
      <c r="CD36" s="491">
        <f t="shared" si="90"/>
        <v>2028</v>
      </c>
      <c r="CE36" s="491">
        <f t="shared" si="91"/>
        <v>2034</v>
      </c>
      <c r="CF36" s="491">
        <f t="shared" si="92"/>
        <v>2038</v>
      </c>
      <c r="CN36" s="17">
        <f>'No change with year'!J69</f>
        <v>2025</v>
      </c>
    </row>
    <row r="37" spans="1:92">
      <c r="A37" s="818"/>
      <c r="B37" s="823"/>
      <c r="C37" s="23" t="s">
        <v>464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E37" s="23"/>
      <c r="AF37" s="23"/>
      <c r="AG37" s="64"/>
      <c r="AH37" s="694">
        <v>1</v>
      </c>
      <c r="AI37" s="694">
        <f>$BH37-($BO36-$BN36)/($BO37-$BN36)+($BO$1-$BO37)/($BO$1-$BN36)</f>
        <v>0.15000000000000002</v>
      </c>
      <c r="AJ37" s="694">
        <f>$BH37-($BP36-$BN36)/($BP37-$BN36)+($BO$1-$BP37)/($BO$1-$BN36)</f>
        <v>-2.5000000000000022E-2</v>
      </c>
      <c r="AK37" s="694">
        <f>$BH37-($BQ36-$BN36)/($BQ37-$BN36)+($BO$1-$BQ37)/($BO$1-$BN36)</f>
        <v>0.2</v>
      </c>
      <c r="AL37" s="694">
        <f>$BH37-($BR36-$BN36)/($BR37-$BN36)+($BO$1-$BR37)/($BO$1-$BN36)</f>
        <v>-0.37941176470588234</v>
      </c>
      <c r="AM37" s="694">
        <f>$BH37-($BS36-$BN35)/($BS37-$BN35)+($BO$1-$BS37)/($BO$1-$BN35)</f>
        <v>-0.65</v>
      </c>
      <c r="AN37" s="687">
        <f t="shared" ref="AN37:AS37" si="93">AN26</f>
        <v>2025</v>
      </c>
      <c r="AO37" s="687">
        <f t="shared" si="93"/>
        <v>2030</v>
      </c>
      <c r="AP37" s="687">
        <f t="shared" si="93"/>
        <v>2033</v>
      </c>
      <c r="AQ37" s="687">
        <f t="shared" si="93"/>
        <v>2035</v>
      </c>
      <c r="AR37" s="687">
        <f t="shared" si="93"/>
        <v>2042</v>
      </c>
      <c r="AS37" s="697">
        <f t="shared" si="93"/>
        <v>2045</v>
      </c>
      <c r="AU37" s="694">
        <v>1</v>
      </c>
      <c r="AV37" s="694">
        <f>$BH37-($BO36-$BN36)/($BO37-$BN36)+($BO$1-$BO37)/($BO$1-$BN36)</f>
        <v>0.15000000000000002</v>
      </c>
      <c r="AW37" s="694">
        <f>$BH37-($BP36-$BN36)/($BP37-$BN36)+($BO$1-$BP37)/($BO$1-$BN36)</f>
        <v>-2.5000000000000022E-2</v>
      </c>
      <c r="AX37" s="694">
        <f>$BH37-($BQ36-$BN36)/($BQ37-$BN36)+($BO$1-$BQ37)/($BO$1-$BN36)</f>
        <v>0.2</v>
      </c>
      <c r="AY37" s="694">
        <f>$BH37-($BR36-$BN36)/($BR37-$BN36)+($BO$1-$BR37)/($BO$1-$BN36)</f>
        <v>-0.37941176470588234</v>
      </c>
      <c r="AZ37" s="694">
        <f>$BH37-($BS36-$BN35)/($BS37-$BN35)+($BO$1-$BS37)/($BO$1-$BN35)</f>
        <v>-0.65</v>
      </c>
      <c r="BA37" s="687">
        <f t="shared" ref="BA37:BF37" si="94">BA26</f>
        <v>2025</v>
      </c>
      <c r="BB37" s="687">
        <f t="shared" si="94"/>
        <v>2030</v>
      </c>
      <c r="BC37" s="687">
        <f t="shared" si="94"/>
        <v>2033</v>
      </c>
      <c r="BD37" s="687">
        <f t="shared" si="94"/>
        <v>2035</v>
      </c>
      <c r="BE37" s="687">
        <f t="shared" si="94"/>
        <v>2042</v>
      </c>
      <c r="BF37" s="687">
        <f t="shared" si="94"/>
        <v>2045</v>
      </c>
      <c r="BH37" s="681"/>
      <c r="BI37" s="23"/>
      <c r="BJ37" s="23"/>
      <c r="BK37" s="40"/>
      <c r="BL37" s="40"/>
      <c r="BM37" s="23"/>
      <c r="BN37" s="491">
        <f t="shared" ref="BN37" si="95">BN26</f>
        <v>2025</v>
      </c>
      <c r="BO37" s="491">
        <f t="shared" ref="BO37:BS37" si="96">BO26</f>
        <v>2030</v>
      </c>
      <c r="BP37" s="491">
        <f t="shared" si="96"/>
        <v>2033</v>
      </c>
      <c r="BQ37" s="491">
        <f t="shared" si="96"/>
        <v>2035</v>
      </c>
      <c r="BR37" s="491">
        <f t="shared" si="96"/>
        <v>2042</v>
      </c>
      <c r="BS37" s="491">
        <f t="shared" si="96"/>
        <v>2045</v>
      </c>
      <c r="BU37" s="688">
        <v>1</v>
      </c>
      <c r="BV37" s="30">
        <f>$BU37-($CB37-$CA37)/($CB$1-$CA37)</f>
        <v>0.8</v>
      </c>
      <c r="BW37" s="30">
        <f>$BU37-($CC37-$CA37)/($CB$1-$CA37)</f>
        <v>0.67999999999999994</v>
      </c>
      <c r="BX37" s="30">
        <f>$BU37-($CD37-$CA37)/($CB$1-$CA37)</f>
        <v>0.6</v>
      </c>
      <c r="BY37" s="30">
        <f>$BU37-($CE37-$CA37)/($CB$1-$CA37)</f>
        <v>0.31999999999999995</v>
      </c>
      <c r="BZ37" s="30">
        <f>$BU37-($CF37-$CA36)/($CB$1-$CA36)</f>
        <v>0.19999999999999996</v>
      </c>
      <c r="CA37" s="491">
        <f>BN37</f>
        <v>2025</v>
      </c>
      <c r="CB37" s="491">
        <f t="shared" si="88"/>
        <v>2030</v>
      </c>
      <c r="CC37" s="491">
        <f t="shared" si="89"/>
        <v>2033</v>
      </c>
      <c r="CD37" s="491">
        <f t="shared" si="90"/>
        <v>2035</v>
      </c>
      <c r="CE37" s="491">
        <f t="shared" si="91"/>
        <v>2042</v>
      </c>
      <c r="CF37" s="491">
        <f t="shared" si="92"/>
        <v>2045</v>
      </c>
      <c r="CH37" s="30">
        <f>CD37/CD37</f>
        <v>1</v>
      </c>
      <c r="CI37" s="30">
        <f>1-(CE37-CD37)/($CK$1-CD37)</f>
        <v>0.65</v>
      </c>
      <c r="CJ37" s="30">
        <f>1-(CF37-CD37)/($CK$1-CD37)</f>
        <v>0.5</v>
      </c>
      <c r="CK37" s="936" t="s">
        <v>1059</v>
      </c>
      <c r="CL37" s="937"/>
      <c r="CM37" s="937"/>
      <c r="CN37" s="703">
        <f>CN26</f>
        <v>2025</v>
      </c>
    </row>
    <row r="38" spans="1:92">
      <c r="A38" s="818">
        <v>4</v>
      </c>
      <c r="B38" s="822" t="s">
        <v>839</v>
      </c>
      <c r="C38" s="23" t="s">
        <v>452</v>
      </c>
      <c r="D38" s="450"/>
      <c r="E38" s="24" t="s">
        <v>467</v>
      </c>
      <c r="F38" s="25" t="s">
        <v>467</v>
      </c>
      <c r="G38" s="25" t="s">
        <v>467</v>
      </c>
      <c r="H38" s="24" t="s">
        <v>468</v>
      </c>
      <c r="I38" s="25" t="s">
        <v>454</v>
      </c>
      <c r="J38" s="24" t="s">
        <v>467</v>
      </c>
      <c r="K38" s="25" t="s">
        <v>467</v>
      </c>
      <c r="L38" s="25" t="s">
        <v>467</v>
      </c>
      <c r="M38" s="25" t="s">
        <v>468</v>
      </c>
      <c r="N38" s="25" t="s">
        <v>469</v>
      </c>
      <c r="O38" s="25" t="s">
        <v>468</v>
      </c>
      <c r="P38" s="25" t="s">
        <v>454</v>
      </c>
      <c r="Q38" s="24" t="s">
        <v>453</v>
      </c>
      <c r="R38" s="25" t="s">
        <v>454</v>
      </c>
      <c r="S38" s="25" t="s">
        <v>453</v>
      </c>
      <c r="T38" s="25" t="s">
        <v>454</v>
      </c>
      <c r="U38" s="25"/>
      <c r="V38" s="25"/>
      <c r="W38" s="24"/>
      <c r="X38" s="25"/>
      <c r="Y38" s="25"/>
      <c r="Z38" s="24"/>
      <c r="AA38" s="25"/>
      <c r="AB38" s="25"/>
      <c r="AD38" s="26"/>
      <c r="AE38" s="27"/>
      <c r="AF38" s="27"/>
      <c r="AH38" s="684"/>
      <c r="AI38" s="684"/>
      <c r="AJ38" s="684"/>
      <c r="AK38" s="684"/>
      <c r="AL38" s="684"/>
      <c r="AM38" s="684"/>
      <c r="AN38" s="684"/>
      <c r="AO38" s="684"/>
      <c r="AP38" s="684"/>
      <c r="AQ38" s="684"/>
      <c r="AR38" s="684"/>
      <c r="AS38" s="684"/>
      <c r="AU38" s="684"/>
      <c r="AV38" s="684"/>
      <c r="AW38" s="684"/>
      <c r="AX38" s="684"/>
      <c r="AY38" s="684"/>
      <c r="AZ38" s="684"/>
      <c r="BA38" s="684"/>
      <c r="BB38" s="684"/>
      <c r="BC38" s="684"/>
      <c r="BD38" s="684"/>
      <c r="BE38" s="684"/>
      <c r="BF38" s="689"/>
      <c r="BH38" s="447"/>
      <c r="BI38" s="445"/>
      <c r="BJ38" s="445"/>
      <c r="BK38" s="445"/>
      <c r="BL38" s="445"/>
      <c r="BM38" s="445"/>
      <c r="BU38" s="447"/>
      <c r="BV38" s="445"/>
      <c r="BW38" s="445"/>
      <c r="BX38" s="445"/>
      <c r="BY38" s="445"/>
      <c r="BZ38" s="445"/>
    </row>
    <row r="39" spans="1:92">
      <c r="A39" s="818"/>
      <c r="B39" s="824"/>
      <c r="C39" s="23" t="s">
        <v>455</v>
      </c>
      <c r="D39" s="450"/>
      <c r="E39" s="24"/>
      <c r="F39" s="24"/>
      <c r="G39" s="25"/>
      <c r="H39" s="24"/>
      <c r="I39" s="25"/>
      <c r="J39" s="25"/>
      <c r="K39" s="25"/>
      <c r="L39" s="25"/>
      <c r="M39" s="25"/>
      <c r="N39" s="25"/>
      <c r="O39" s="25"/>
      <c r="P39" s="25"/>
      <c r="Q39" s="24"/>
      <c r="R39" s="25"/>
      <c r="S39" s="25"/>
      <c r="T39" s="25"/>
      <c r="U39" s="25"/>
      <c r="V39" s="25"/>
      <c r="W39" s="24"/>
      <c r="X39" s="25"/>
      <c r="Y39" s="25"/>
      <c r="Z39" s="24"/>
      <c r="AA39" s="25"/>
      <c r="AB39" s="25"/>
      <c r="AD39" s="26"/>
      <c r="AE39" s="27"/>
      <c r="AF39" s="27"/>
      <c r="AH39" s="68">
        <f>Buckets!H6</f>
        <v>19210</v>
      </c>
      <c r="AI39" s="68">
        <f>Buckets!J6</f>
        <v>19210</v>
      </c>
      <c r="AJ39" s="68">
        <f>Buckets!K6</f>
        <v>0</v>
      </c>
      <c r="AK39" s="691">
        <f>AH39</f>
        <v>19210</v>
      </c>
      <c r="AL39" s="691">
        <f>AH39</f>
        <v>19210</v>
      </c>
      <c r="AM39" s="691">
        <f>AH39</f>
        <v>19210</v>
      </c>
      <c r="AU39" s="68">
        <f>Buckets!M6</f>
        <v>26920</v>
      </c>
      <c r="AV39" s="68">
        <f>Buckets!O6</f>
        <v>26920</v>
      </c>
      <c r="AW39" s="68">
        <f>Buckets!P6</f>
        <v>0</v>
      </c>
      <c r="AX39" s="691">
        <f>AU39</f>
        <v>26920</v>
      </c>
      <c r="AY39" s="691">
        <f>AU39</f>
        <v>26920</v>
      </c>
      <c r="AZ39" s="691">
        <f>AU39</f>
        <v>26920</v>
      </c>
      <c r="BH39" s="68">
        <f>Buckets!R6</f>
        <v>35660</v>
      </c>
      <c r="BI39" s="68">
        <f>Buckets!T6</f>
        <v>35660</v>
      </c>
      <c r="BJ39" s="68">
        <f>Buckets!U6</f>
        <v>0</v>
      </c>
      <c r="BK39" s="691">
        <f>BH39</f>
        <v>35660</v>
      </c>
      <c r="BL39" s="691">
        <f>BH39</f>
        <v>35660</v>
      </c>
      <c r="BM39" s="691">
        <f>BH39</f>
        <v>35660</v>
      </c>
      <c r="BN39" s="445" t="s">
        <v>178</v>
      </c>
      <c r="BO39" s="22" t="s">
        <v>179</v>
      </c>
      <c r="BP39" s="22" t="s">
        <v>180</v>
      </c>
      <c r="BQ39" s="22" t="s">
        <v>182</v>
      </c>
      <c r="BR39" s="22" t="s">
        <v>181</v>
      </c>
      <c r="BS39" s="445" t="s">
        <v>183</v>
      </c>
      <c r="BU39" s="68">
        <f>Buckets!W6</f>
        <v>45000</v>
      </c>
      <c r="BV39" s="68">
        <f>Buckets!Y6</f>
        <v>45000</v>
      </c>
      <c r="BW39" s="68">
        <f>Buckets!Z6</f>
        <v>0</v>
      </c>
      <c r="BX39" s="691">
        <f>BU39</f>
        <v>45000</v>
      </c>
      <c r="BY39" s="691">
        <f>BU39</f>
        <v>45000</v>
      </c>
      <c r="BZ39" s="691">
        <f>BU39</f>
        <v>45000</v>
      </c>
      <c r="CA39" s="445" t="s">
        <v>178</v>
      </c>
      <c r="CB39" s="22" t="s">
        <v>179</v>
      </c>
      <c r="CC39" s="22" t="s">
        <v>180</v>
      </c>
      <c r="CD39" s="22" t="s">
        <v>182</v>
      </c>
      <c r="CE39" s="22" t="s">
        <v>181</v>
      </c>
      <c r="CF39" s="445" t="s">
        <v>183</v>
      </c>
    </row>
    <row r="40" spans="1:92">
      <c r="A40" s="818"/>
      <c r="B40" s="824"/>
      <c r="C40" s="28" t="s">
        <v>456</v>
      </c>
      <c r="D40" s="450"/>
      <c r="E40" s="24"/>
      <c r="F40" s="25"/>
      <c r="G40" s="25"/>
      <c r="H40" s="24"/>
      <c r="I40" s="25"/>
      <c r="J40" s="24"/>
      <c r="K40" s="25"/>
      <c r="L40" s="25"/>
      <c r="M40" s="25"/>
      <c r="N40" s="25"/>
      <c r="O40" s="25"/>
      <c r="P40" s="25"/>
      <c r="Q40" s="24"/>
      <c r="R40" s="25"/>
      <c r="S40" s="25"/>
      <c r="T40" s="25"/>
      <c r="U40" s="25"/>
      <c r="V40" s="25"/>
      <c r="W40" s="24"/>
      <c r="X40" s="25"/>
      <c r="Y40" s="25"/>
      <c r="Z40" s="24"/>
      <c r="AA40" s="25"/>
      <c r="AB40" s="25"/>
      <c r="AD40" s="26"/>
      <c r="AE40" s="27"/>
      <c r="AF40" s="27"/>
      <c r="AH40" s="686"/>
      <c r="AI40" s="686"/>
      <c r="AJ40" s="686"/>
      <c r="AK40" s="686"/>
      <c r="AL40" s="686"/>
      <c r="AM40" s="686"/>
      <c r="AN40" s="686"/>
      <c r="AO40" s="686"/>
      <c r="AP40" s="686"/>
      <c r="AQ40" s="686"/>
      <c r="AR40" s="686"/>
      <c r="AS40" s="686"/>
      <c r="AU40" s="686"/>
      <c r="AV40" s="686"/>
      <c r="AW40" s="686"/>
      <c r="AX40" s="686"/>
      <c r="AY40" s="686"/>
      <c r="AZ40" s="686"/>
      <c r="BA40" s="686"/>
      <c r="BB40" s="686"/>
      <c r="BC40" s="686"/>
      <c r="BD40" s="686"/>
      <c r="BE40" s="686"/>
      <c r="BF40" s="690"/>
      <c r="BH40" s="447"/>
      <c r="BI40" s="445"/>
      <c r="BJ40" s="445"/>
      <c r="BK40" s="445"/>
      <c r="BL40" s="445"/>
      <c r="BM40" s="445"/>
      <c r="BU40" s="447"/>
      <c r="BV40" s="445"/>
      <c r="BW40" s="445"/>
      <c r="BX40" s="445"/>
      <c r="BY40" s="445"/>
      <c r="BZ40" s="445"/>
    </row>
    <row r="41" spans="1:92">
      <c r="A41" s="818"/>
      <c r="B41" s="824"/>
      <c r="C41" s="23" t="s">
        <v>457</v>
      </c>
      <c r="D41" s="29">
        <f t="shared" ref="D41:D45" si="97">AVERAGE(E41:AB41)</f>
        <v>8.6875</v>
      </c>
      <c r="E41" s="451">
        <v>9</v>
      </c>
      <c r="F41" s="27">
        <v>9</v>
      </c>
      <c r="G41" s="27">
        <v>7</v>
      </c>
      <c r="H41" s="26">
        <v>9</v>
      </c>
      <c r="I41" s="27">
        <v>8</v>
      </c>
      <c r="J41" s="26">
        <v>8</v>
      </c>
      <c r="K41" s="27">
        <v>9</v>
      </c>
      <c r="L41" s="27">
        <v>9</v>
      </c>
      <c r="M41" s="27">
        <v>9</v>
      </c>
      <c r="N41" s="27">
        <v>8</v>
      </c>
      <c r="O41" s="27">
        <v>9</v>
      </c>
      <c r="P41" s="27">
        <v>9</v>
      </c>
      <c r="Q41" s="26">
        <v>9</v>
      </c>
      <c r="R41" s="27">
        <v>9</v>
      </c>
      <c r="S41" s="27">
        <v>9</v>
      </c>
      <c r="T41" s="27">
        <v>9</v>
      </c>
      <c r="U41" s="27"/>
      <c r="V41" s="27"/>
      <c r="W41" s="26"/>
      <c r="X41" s="27"/>
      <c r="Y41" s="27"/>
      <c r="Z41" s="26"/>
      <c r="AA41" s="27"/>
      <c r="AB41" s="27"/>
      <c r="AD41" s="26"/>
      <c r="AE41" s="27"/>
      <c r="AF41" s="27"/>
      <c r="AH41" s="693">
        <f t="shared" ref="AH41:AM41" si="98">IF(AN41=0, 0, EXP($D41*$E$2  * (($AN41/AN41) - 1)) )</f>
        <v>1</v>
      </c>
      <c r="AI41" s="693">
        <f t="shared" si="98"/>
        <v>1.2289025756000438</v>
      </c>
      <c r="AJ41" s="693">
        <f t="shared" si="98"/>
        <v>1.2488104819418204</v>
      </c>
      <c r="AK41" s="693">
        <f t="shared" si="98"/>
        <v>9.6742815976823557</v>
      </c>
      <c r="AL41" s="693">
        <f t="shared" si="98"/>
        <v>2.6395624071687961E-2</v>
      </c>
      <c r="AM41" s="693">
        <f t="shared" si="98"/>
        <v>1.813914136194553E-2</v>
      </c>
      <c r="AN41" s="685">
        <f>'B4 - TCO PL&amp;FMCG 19T '!$M$165</f>
        <v>46.336508953533382</v>
      </c>
      <c r="AO41" s="685">
        <f>'B4 - TCO PL&amp;FMCG 19T '!$M$166</f>
        <v>45.614994618742543</v>
      </c>
      <c r="AP41" s="685">
        <f>'B4 - TCO PL&amp;FMCG 19T '!$M$167</f>
        <v>45.559685990919284</v>
      </c>
      <c r="AQ41" s="685">
        <f>'B4 - TCO PL&amp;FMCG 19T '!$M$168</f>
        <v>39.463671874277814</v>
      </c>
      <c r="AR41" s="685">
        <f>'B4 - TCO PL&amp;FMCG 19T '!$M$169</f>
        <v>64.259057383899403</v>
      </c>
      <c r="AS41" s="695">
        <f>'B4 - TCO PL&amp;FMCG 19T '!$M$170</f>
        <v>66.931015824332491</v>
      </c>
      <c r="AU41" s="693">
        <f t="shared" ref="AU41:AZ41" si="99">IF(BA41=0, 0, EXP($D41*$E$2 * (($BA41/BA41) - 1)) )</f>
        <v>1</v>
      </c>
      <c r="AV41" s="693">
        <f t="shared" si="99"/>
        <v>0.86811277635256989</v>
      </c>
      <c r="AW41" s="693">
        <f t="shared" si="99"/>
        <v>0.89669388978078124</v>
      </c>
      <c r="AX41" s="693">
        <f t="shared" si="99"/>
        <v>47.102214912993468</v>
      </c>
      <c r="AY41" s="693">
        <f t="shared" si="99"/>
        <v>0.17787500824955174</v>
      </c>
      <c r="AZ41" s="693">
        <f t="shared" si="99"/>
        <v>0.12679853164563873</v>
      </c>
      <c r="BA41" s="685">
        <f>'B4 - TCO PL&amp;FMCG 19T '!$R$165</f>
        <v>53.137233507202104</v>
      </c>
      <c r="BB41" s="685">
        <f>'B4 - TCO PL&amp;FMCG 19T '!$R$166</f>
        <v>53.720282363105724</v>
      </c>
      <c r="BC41" s="685">
        <f>'B4 - TCO PL&amp;FMCG 19T '!$R$167</f>
        <v>53.585618368297219</v>
      </c>
      <c r="BD41" s="685">
        <f>'B4 - TCO PL&amp;FMCG 19T '!$R$168</f>
        <v>41.012923989885699</v>
      </c>
      <c r="BE41" s="685">
        <f>'B4 - TCO PL&amp;FMCG 19T '!$R$169</f>
        <v>61.253476904680689</v>
      </c>
      <c r="BF41" s="685">
        <f>'B4 - TCO PL&amp;FMCG 19T '!$R$170</f>
        <v>63.144138887868209</v>
      </c>
      <c r="BH41" s="688">
        <f t="shared" ref="BH41:BM41" si="100">IF(BN41=0, 0, EXP($D41*$E$2 * (($BN41/BN41) - 1)) )</f>
        <v>1</v>
      </c>
      <c r="BI41" s="30">
        <f t="shared" si="100"/>
        <v>0.63357623240806338</v>
      </c>
      <c r="BJ41" s="30">
        <f t="shared" si="100"/>
        <v>0.6703789892825559</v>
      </c>
      <c r="BK41" s="30">
        <f t="shared" si="100"/>
        <v>81.638344258272454</v>
      </c>
      <c r="BL41" s="30">
        <f t="shared" si="100"/>
        <v>0.99771783671530145</v>
      </c>
      <c r="BM41" s="30">
        <f t="shared" si="100"/>
        <v>0.62793314412956869</v>
      </c>
      <c r="BN41" s="492">
        <f>'B4 - TCO PL&amp;FMCG 19T '!$W$165</f>
        <v>60.388654589299385</v>
      </c>
      <c r="BO41" s="492">
        <f>'B4 - TCO PL&amp;FMCG 19T '!$W$166</f>
        <v>62.580316071600642</v>
      </c>
      <c r="BP41" s="492">
        <f>'B4 - TCO PL&amp;FMCG 19T '!$W$167</f>
        <v>62.300578096502669</v>
      </c>
      <c r="BQ41" s="492">
        <f>'B4 - TCO PL&amp;FMCG 19T '!$W$168</f>
        <v>45.1393834127676</v>
      </c>
      <c r="BR41" s="492">
        <f>'B4 - TCO PL&amp;FMCG 19T '!$W$169</f>
        <v>60.399244399599304</v>
      </c>
      <c r="BS41" s="492">
        <f>'B4 - TCO PL&amp;FMCG 19T '!$W$170</f>
        <v>62.62487168474734</v>
      </c>
      <c r="BU41" s="688">
        <f t="shared" ref="BU41:BZ41" si="101">IF(CA41=0, 0, EXP($D41*$E$2 * (($CA41/CA41) - 1)) )</f>
        <v>1</v>
      </c>
      <c r="BV41" s="30">
        <f t="shared" si="101"/>
        <v>0.46970018503994088</v>
      </c>
      <c r="BW41" s="30">
        <f t="shared" si="101"/>
        <v>0.50407907924242534</v>
      </c>
      <c r="BX41" s="30">
        <f t="shared" si="101"/>
        <v>208.15050349793202</v>
      </c>
      <c r="BY41" s="30">
        <f t="shared" si="101"/>
        <v>4.7323692347126229</v>
      </c>
      <c r="BZ41" s="30">
        <f t="shared" si="101"/>
        <v>3.5996404610897965</v>
      </c>
      <c r="CA41" s="492">
        <f>'B4 - TCO PL&amp;FMCG 19T '!$AB$165</f>
        <v>69.689210975592275</v>
      </c>
      <c r="CB41" s="492">
        <f>'B4 - TCO PL&amp;FMCG 19T '!$AB$166</f>
        <v>73.979139228252222</v>
      </c>
      <c r="CC41" s="492">
        <f>'B4 - TCO PL&amp;FMCG 19T '!$AB$167</f>
        <v>73.555869804886981</v>
      </c>
      <c r="CD41" s="492">
        <f>'B4 - TCO PL&amp;FMCG 19T '!$AB$168</f>
        <v>49.437217524123092</v>
      </c>
      <c r="CE41" s="492">
        <f>'B4 - TCO PL&amp;FMCG 19T '!$AB$169</f>
        <v>62.262286111731335</v>
      </c>
      <c r="CF41" s="492">
        <f>'B4 - TCO PL&amp;FMCG 19T '!$AB$170</f>
        <v>63.452501572863092</v>
      </c>
      <c r="CH41" s="30">
        <f>IF(CK41=0, 0, EXP($D41*$E$2 * (($CN41/CK41) - 1)))</f>
        <v>155.37955310344924</v>
      </c>
      <c r="CI41" s="30">
        <f>IF(CL41=0, 0, EXP($D41*$E$2 * (($CN41/CL41) - 1)))</f>
        <v>7.8744964715095005</v>
      </c>
      <c r="CJ41" s="30">
        <f>IF(CM41=0, 0, EXP($D41*$E$2 * (($CN41/CM41) - 1)))</f>
        <v>6.1849515659019767</v>
      </c>
      <c r="CK41" s="492">
        <f>'B4 - TCO PL&amp;FMCG 19T '!$AG$168</f>
        <v>57.424055410339989</v>
      </c>
      <c r="CL41" s="492">
        <f>'B4 - TCO PL&amp;FMCG 19T '!$AG$169</f>
        <v>68.769121823614014</v>
      </c>
      <c r="CM41" s="492">
        <f>'B4 - TCO PL&amp;FMCG 19T '!$AG$170</f>
        <v>69.887281284039474</v>
      </c>
      <c r="CN41" s="17">
        <f>'B4 - TCO PL&amp;FMCG 19T '!$AG$165</f>
        <v>79.659402554865423</v>
      </c>
    </row>
    <row r="42" spans="1:92">
      <c r="A42" s="818"/>
      <c r="B42" s="824"/>
      <c r="C42" s="23" t="s">
        <v>458</v>
      </c>
      <c r="D42" s="29">
        <f t="shared" si="97"/>
        <v>5.75</v>
      </c>
      <c r="E42" s="451">
        <v>5</v>
      </c>
      <c r="F42" s="27">
        <v>4</v>
      </c>
      <c r="G42" s="27">
        <v>8</v>
      </c>
      <c r="H42" s="26">
        <v>6</v>
      </c>
      <c r="I42" s="27">
        <v>8</v>
      </c>
      <c r="J42" s="26">
        <v>5</v>
      </c>
      <c r="K42" s="27">
        <v>3</v>
      </c>
      <c r="L42" s="27">
        <v>3</v>
      </c>
      <c r="M42" s="27">
        <v>3</v>
      </c>
      <c r="N42" s="27">
        <v>5</v>
      </c>
      <c r="O42" s="27">
        <v>2</v>
      </c>
      <c r="P42" s="27">
        <v>5</v>
      </c>
      <c r="Q42" s="26">
        <v>9</v>
      </c>
      <c r="R42" s="27">
        <v>9</v>
      </c>
      <c r="S42" s="27">
        <v>9</v>
      </c>
      <c r="T42" s="27">
        <v>8</v>
      </c>
      <c r="U42" s="27"/>
      <c r="V42" s="27"/>
      <c r="W42" s="26"/>
      <c r="X42" s="27"/>
      <c r="Y42" s="27"/>
      <c r="Z42" s="26"/>
      <c r="AA42" s="27"/>
      <c r="AB42" s="27"/>
      <c r="AD42" s="26"/>
      <c r="AE42" s="27"/>
      <c r="AF42" s="27"/>
      <c r="AH42" s="693">
        <f t="shared" ref="AH42:AM42" si="102">IF(AN42=0, 0, EXP($D42*$F$2 * (($AN42/AN42) - 1)) )</f>
        <v>1</v>
      </c>
      <c r="AI42" s="693">
        <f t="shared" si="102"/>
        <v>0.52498814966167839</v>
      </c>
      <c r="AJ42" s="693">
        <f t="shared" si="102"/>
        <v>0.31591706019284116</v>
      </c>
      <c r="AK42" s="693">
        <f t="shared" si="102"/>
        <v>3.7813767764195129E-2</v>
      </c>
      <c r="AL42" s="693">
        <f t="shared" si="102"/>
        <v>0.18885301433416984</v>
      </c>
      <c r="AM42" s="693">
        <f t="shared" si="102"/>
        <v>7.9216397025711534E-3</v>
      </c>
      <c r="AN42" s="678">
        <f>'B4 - TCO PL&amp;FMCG 19T '!$M$63</f>
        <v>4159600</v>
      </c>
      <c r="AO42" s="678">
        <f>'B4 - TCO PL&amp;FMCG 19T '!$M$81</f>
        <v>4495458.7677523671</v>
      </c>
      <c r="AP42" s="678">
        <f>'B4 - TCO PL&amp;FMCG 19T '!$M$98</f>
        <v>4801000</v>
      </c>
      <c r="AQ42" s="678">
        <f>'B4 - TCO PL&amp;FMCG 19T '!$M$132</f>
        <v>6706000</v>
      </c>
      <c r="AR42" s="678">
        <f>'B4 - TCO PL&amp;FMCG 19T '!$M$115</f>
        <v>5156000</v>
      </c>
      <c r="AS42" s="682">
        <f>'B4 - TCO PL&amp;FMCG 19T '!$M$149</f>
        <v>9474000</v>
      </c>
      <c r="AU42" s="693">
        <f t="shared" ref="AU42:AZ42" si="103">IF(BA42=0, 0, EXP($D42*$F$2 * (($BA42/BA42) - 1)) )</f>
        <v>1</v>
      </c>
      <c r="AV42" s="693">
        <f t="shared" si="103"/>
        <v>0.52506075687002607</v>
      </c>
      <c r="AW42" s="693">
        <f t="shared" si="103"/>
        <v>0.34735431666525746</v>
      </c>
      <c r="AX42" s="693">
        <f t="shared" si="103"/>
        <v>7.0103192489481173E-2</v>
      </c>
      <c r="AY42" s="693">
        <f t="shared" si="103"/>
        <v>0.28820546512030176</v>
      </c>
      <c r="AZ42" s="693">
        <f t="shared" si="103"/>
        <v>1.5841993998052657E-2</v>
      </c>
      <c r="BA42" s="678">
        <f>'B4 - TCO PL&amp;FMCG 19T '!$R$63</f>
        <v>4822200</v>
      </c>
      <c r="BB42" s="678">
        <f>'B4 - TCO PL&amp;FMCG 19T '!$R$81</f>
        <v>5211468.8015399454</v>
      </c>
      <c r="BC42" s="678">
        <f>'B4 - TCO PL&amp;FMCG 19T '!$R$98</f>
        <v>5496000</v>
      </c>
      <c r="BD42" s="678">
        <f>'B4 - TCO PL&amp;FMCG 19T '!$R$132</f>
        <v>6970000</v>
      </c>
      <c r="BE42" s="678">
        <f>'B4 - TCO PL&amp;FMCG 19T '!$R$115</f>
        <v>5635000</v>
      </c>
      <c r="BF42" s="678">
        <f>'B4 - TCO PL&amp;FMCG 19T '!$R$149</f>
        <v>9284000</v>
      </c>
      <c r="BH42" s="688">
        <f t="shared" ref="BH42:BM42" si="104">IF(BN42=0, 0, EXP($D42*$F$2 * (($BN42/BN42) - 1)) )</f>
        <v>1</v>
      </c>
      <c r="BI42" s="30">
        <f t="shared" si="104"/>
        <v>0.52509715728931416</v>
      </c>
      <c r="BJ42" s="30">
        <f t="shared" si="104"/>
        <v>0.37939299802548754</v>
      </c>
      <c r="BK42" s="30">
        <f t="shared" si="104"/>
        <v>0.11065987569392527</v>
      </c>
      <c r="BL42" s="30">
        <f t="shared" si="104"/>
        <v>0.31897629129099864</v>
      </c>
      <c r="BM42" s="30">
        <f t="shared" si="104"/>
        <v>2.6694299490767789E-2</v>
      </c>
      <c r="BN42" s="493">
        <f>'B4 - TCO PL&amp;FMCG 19T '!$W$63</f>
        <v>5590300</v>
      </c>
      <c r="BO42" s="493">
        <f>'B4 - TCO PL&amp;FMCG 19T '!$W$81</f>
        <v>6041520.6706485515</v>
      </c>
      <c r="BP42" s="493">
        <f>'B4 - TCO PL&amp;FMCG 19T '!$W$98</f>
        <v>6298000</v>
      </c>
      <c r="BQ42" s="493">
        <f>'B4 - TCO PL&amp;FMCG 19T '!$W$132</f>
        <v>7506000</v>
      </c>
      <c r="BR42" s="493">
        <f>'B4 - TCO PL&amp;FMCG 19T '!$W$115</f>
        <v>6444000</v>
      </c>
      <c r="BS42" s="493">
        <f>'B4 - TCO PL&amp;FMCG 19T '!$W$149</f>
        <v>9640000</v>
      </c>
      <c r="BU42" s="688">
        <f t="shared" ref="BU42:BZ42" si="105">IF(CA42=0, 0, EXP($D42*$F$2 * (($CA42/CA42) - 1)) )</f>
        <v>1</v>
      </c>
      <c r="BV42" s="30">
        <f t="shared" si="105"/>
        <v>0.52510371589575855</v>
      </c>
      <c r="BW42" s="30">
        <f t="shared" si="105"/>
        <v>0.41126223711057103</v>
      </c>
      <c r="BX42" s="30">
        <f t="shared" si="105"/>
        <v>0.15271846910288878</v>
      </c>
      <c r="BY42" s="30">
        <f t="shared" si="105"/>
        <v>0.35030255643440467</v>
      </c>
      <c r="BZ42" s="30">
        <f t="shared" si="105"/>
        <v>4.4173578728950454E-2</v>
      </c>
      <c r="CA42" s="493">
        <f>'B4 - TCO PL&amp;FMCG 19T '!$AB$63</f>
        <v>6480700</v>
      </c>
      <c r="CB42" s="493">
        <f>'B4 - TCO PL&amp;FMCG 19T '!$AB$81</f>
        <v>7003778.2828304162</v>
      </c>
      <c r="CC42" s="493">
        <f>'B4 - TCO PL&amp;FMCG 19T '!$AB$98</f>
        <v>7225000</v>
      </c>
      <c r="CD42" s="493">
        <f>'B4 - TCO PL&amp;FMCG 19T '!$AB$132</f>
        <v>8286000</v>
      </c>
      <c r="CE42" s="493">
        <f>'B4 - TCO PL&amp;FMCG 19T '!$AB$115</f>
        <v>7378000</v>
      </c>
      <c r="CF42" s="493">
        <f>'B4 - TCO PL&amp;FMCG 19T '!$AB$149</f>
        <v>10153000</v>
      </c>
      <c r="CH42" s="30">
        <f>IF(CK42=0, 0, EXP($D42*$F$2 * (($CN42/CK42) - 1)))</f>
        <v>0.18151842011016645</v>
      </c>
      <c r="CI42" s="30">
        <f>IF(CL42=0, 0, EXP($D42*$F$2 * (($CN42/CL42) - 1)))</f>
        <v>0.3821864815918512</v>
      </c>
      <c r="CJ42" s="30">
        <f>IF(CM42=0, 0, EXP($D42*$F$2 * (($CN42/CM42) - 1)))</f>
        <v>5.9473661712679954E-2</v>
      </c>
      <c r="CK42" s="493">
        <f>'B4 - TCO PL&amp;FMCG 19T '!$AG$132</f>
        <v>9366000</v>
      </c>
      <c r="CL42" s="493">
        <f>'B4 - TCO PL&amp;FMCG 19T '!$AG$115</f>
        <v>8456000</v>
      </c>
      <c r="CM42" s="493">
        <f>'B4 - TCO PL&amp;FMCG 19T '!$AG$149</f>
        <v>11167000</v>
      </c>
      <c r="CN42" s="17">
        <f>'B4 - TCO PL&amp;FMCG 19T '!$AG$63</f>
        <v>7513000</v>
      </c>
    </row>
    <row r="43" spans="1:92">
      <c r="A43" s="818"/>
      <c r="B43" s="824"/>
      <c r="C43" s="23" t="s">
        <v>459</v>
      </c>
      <c r="D43" s="29">
        <f t="shared" si="97"/>
        <v>5</v>
      </c>
      <c r="E43" s="451">
        <v>8</v>
      </c>
      <c r="F43" s="32">
        <v>1</v>
      </c>
      <c r="G43" s="32">
        <v>2</v>
      </c>
      <c r="H43" s="32">
        <v>6</v>
      </c>
      <c r="I43" s="32">
        <v>10</v>
      </c>
      <c r="J43" s="32">
        <v>1</v>
      </c>
      <c r="K43" s="32">
        <v>1</v>
      </c>
      <c r="L43" s="32">
        <v>1</v>
      </c>
      <c r="M43" s="32">
        <v>1</v>
      </c>
      <c r="N43" s="32">
        <v>1</v>
      </c>
      <c r="O43" s="32">
        <v>6</v>
      </c>
      <c r="P43" s="32">
        <v>9</v>
      </c>
      <c r="Q43" s="32">
        <v>8</v>
      </c>
      <c r="R43" s="32">
        <v>8</v>
      </c>
      <c r="S43" s="32">
        <v>8</v>
      </c>
      <c r="T43" s="32">
        <v>9</v>
      </c>
      <c r="U43" s="32"/>
      <c r="V43" s="32"/>
      <c r="W43" s="32"/>
      <c r="X43" s="32"/>
      <c r="Y43" s="32"/>
      <c r="Z43" s="32"/>
      <c r="AA43" s="32"/>
      <c r="AB43" s="32"/>
      <c r="AD43" s="32"/>
      <c r="AE43" s="32"/>
      <c r="AF43" s="32"/>
      <c r="AH43" s="693">
        <f t="shared" ref="AH43:AM44" si="106">IF(AN43=0, 0, EXP($D43*$E$2 * ((AN43/$AN43) - 1)) )</f>
        <v>1</v>
      </c>
      <c r="AI43" s="693">
        <f t="shared" si="106"/>
        <v>1</v>
      </c>
      <c r="AJ43" s="693">
        <f t="shared" si="106"/>
        <v>1</v>
      </c>
      <c r="AK43" s="693">
        <f t="shared" si="106"/>
        <v>0.31890655732397039</v>
      </c>
      <c r="AL43" s="693">
        <f t="shared" si="106"/>
        <v>1</v>
      </c>
      <c r="AM43" s="693">
        <f t="shared" si="106"/>
        <v>0.52578802442577965</v>
      </c>
      <c r="AN43" s="678">
        <f>'B4 - TCO PL&amp;FMCG 19T '!$C$17</f>
        <v>10500</v>
      </c>
      <c r="AO43" s="678">
        <f>AN43</f>
        <v>10500</v>
      </c>
      <c r="AP43" s="678">
        <f>AN43</f>
        <v>10500</v>
      </c>
      <c r="AQ43" s="678">
        <f>'B4 - TCO PL&amp;FMCG 19T '!C18</f>
        <v>8900</v>
      </c>
      <c r="AR43" s="678">
        <f>AN43</f>
        <v>10500</v>
      </c>
      <c r="AS43" s="682">
        <f>'B4 - TCO PL&amp;FMCG 19T '!C19</f>
        <v>9600</v>
      </c>
      <c r="AU43" s="693">
        <f t="shared" ref="AU43:AZ44" si="107">IF(BA43=0, 0, EXP($D43*$E$2 * ((BA43/$BA43) - 1)) )</f>
        <v>1</v>
      </c>
      <c r="AV43" s="693">
        <f t="shared" si="107"/>
        <v>1</v>
      </c>
      <c r="AW43" s="693">
        <f t="shared" si="107"/>
        <v>1</v>
      </c>
      <c r="AX43" s="693">
        <f t="shared" si="107"/>
        <v>0.31890655732397039</v>
      </c>
      <c r="AY43" s="693">
        <f t="shared" si="107"/>
        <v>1</v>
      </c>
      <c r="AZ43" s="693">
        <f t="shared" si="107"/>
        <v>0.52578802442577965</v>
      </c>
      <c r="BA43" s="678">
        <f>'B4 - TCO PL&amp;FMCG 19T '!$C$17</f>
        <v>10500</v>
      </c>
      <c r="BB43" s="678">
        <f>BA43</f>
        <v>10500</v>
      </c>
      <c r="BC43" s="678">
        <f>BA43</f>
        <v>10500</v>
      </c>
      <c r="BD43" s="678">
        <f>'B4 - TCO PL&amp;FMCG 19T '!C18</f>
        <v>8900</v>
      </c>
      <c r="BE43" s="678">
        <f>BA43</f>
        <v>10500</v>
      </c>
      <c r="BF43" s="678">
        <f>'B4 - TCO PL&amp;FMCG 19T '!C19</f>
        <v>9600</v>
      </c>
      <c r="BH43" s="688">
        <f t="shared" ref="BH43:BM44" si="108">IF(BN43=0, 0, EXP($D43*$E$2 * ((BN43/$BN43) - 1)) )</f>
        <v>1</v>
      </c>
      <c r="BI43" s="30">
        <f t="shared" si="108"/>
        <v>1</v>
      </c>
      <c r="BJ43" s="30">
        <f t="shared" si="108"/>
        <v>1</v>
      </c>
      <c r="BK43" s="30">
        <f t="shared" si="108"/>
        <v>0.31890655732397039</v>
      </c>
      <c r="BL43" s="30">
        <f t="shared" si="108"/>
        <v>1</v>
      </c>
      <c r="BM43" s="30">
        <f t="shared" si="108"/>
        <v>0.52578802442577965</v>
      </c>
      <c r="BN43" s="493">
        <f>'B4 - TCO PL&amp;FMCG 19T '!C17</f>
        <v>10500</v>
      </c>
      <c r="BO43" s="493">
        <f>BN43</f>
        <v>10500</v>
      </c>
      <c r="BP43" s="493">
        <f>BN43</f>
        <v>10500</v>
      </c>
      <c r="BQ43" s="493">
        <f>'B4 - TCO PL&amp;FMCG 19T '!C18</f>
        <v>8900</v>
      </c>
      <c r="BR43" s="493">
        <f>BN43</f>
        <v>10500</v>
      </c>
      <c r="BS43" s="493">
        <f>'B4 - TCO PL&amp;FMCG 19T '!C19</f>
        <v>9600</v>
      </c>
      <c r="BU43" s="688">
        <f t="shared" ref="BU43:BZ44" si="109">IF(CA43=0, 0, EXP($D43*$E$2 * ((CA43/$CA43) - 1)) )</f>
        <v>1</v>
      </c>
      <c r="BV43" s="30">
        <f t="shared" si="109"/>
        <v>1</v>
      </c>
      <c r="BW43" s="30">
        <f t="shared" si="109"/>
        <v>1</v>
      </c>
      <c r="BX43" s="30">
        <f t="shared" si="109"/>
        <v>0.31890655732397039</v>
      </c>
      <c r="BY43" s="30">
        <f t="shared" si="109"/>
        <v>1</v>
      </c>
      <c r="BZ43" s="30">
        <f t="shared" si="109"/>
        <v>0.52578802442577965</v>
      </c>
      <c r="CA43" s="493">
        <f>'B4 - TCO PL&amp;FMCG 19T '!C17</f>
        <v>10500</v>
      </c>
      <c r="CB43" s="493">
        <f>CA43</f>
        <v>10500</v>
      </c>
      <c r="CC43" s="493">
        <f>CA43</f>
        <v>10500</v>
      </c>
      <c r="CD43" s="493">
        <f>'B4 - TCO PL&amp;FMCG 19T '!C18</f>
        <v>8900</v>
      </c>
      <c r="CE43" s="493">
        <f>CA43</f>
        <v>10500</v>
      </c>
      <c r="CF43" s="493">
        <f>'B4 - TCO PL&amp;FMCG 19T '!C19</f>
        <v>9600</v>
      </c>
      <c r="CH43" s="30">
        <f t="shared" ref="CH43:CJ44" si="110">IF(CK43=0, 0, EXP($D43*$E$2 * ((CK43/$CN43) - 1)))</f>
        <v>0.31890655732397039</v>
      </c>
      <c r="CI43" s="30">
        <f t="shared" si="110"/>
        <v>1</v>
      </c>
      <c r="CJ43" s="30">
        <f t="shared" si="110"/>
        <v>0.52578802442577965</v>
      </c>
      <c r="CK43" s="493">
        <f t="shared" ref="CK43:CM45" si="111">BQ43</f>
        <v>8900</v>
      </c>
      <c r="CL43" s="493">
        <f t="shared" si="111"/>
        <v>10500</v>
      </c>
      <c r="CM43" s="493">
        <f t="shared" si="111"/>
        <v>9600</v>
      </c>
      <c r="CN43" s="17">
        <f>'B4 - TCO PL&amp;FMCG 19T '!C17</f>
        <v>10500</v>
      </c>
    </row>
    <row r="44" spans="1:92">
      <c r="A44" s="818"/>
      <c r="B44" s="824"/>
      <c r="C44" s="23" t="s">
        <v>460</v>
      </c>
      <c r="D44" s="29">
        <f t="shared" si="97"/>
        <v>5.5</v>
      </c>
      <c r="E44" s="451">
        <v>9</v>
      </c>
      <c r="F44" s="32">
        <v>6</v>
      </c>
      <c r="G44" s="32">
        <v>9</v>
      </c>
      <c r="H44" s="32">
        <v>3</v>
      </c>
      <c r="I44" s="32">
        <v>9</v>
      </c>
      <c r="J44" s="32">
        <v>6</v>
      </c>
      <c r="K44" s="32">
        <v>1</v>
      </c>
      <c r="L44" s="32">
        <v>1</v>
      </c>
      <c r="M44" s="32">
        <v>1</v>
      </c>
      <c r="N44" s="32">
        <v>6</v>
      </c>
      <c r="O44" s="32">
        <v>5</v>
      </c>
      <c r="P44" s="32">
        <v>8</v>
      </c>
      <c r="Q44" s="32">
        <v>4</v>
      </c>
      <c r="R44" s="32">
        <v>7</v>
      </c>
      <c r="S44" s="32">
        <v>5</v>
      </c>
      <c r="T44" s="32">
        <v>8</v>
      </c>
      <c r="U44" s="32"/>
      <c r="V44" s="32"/>
      <c r="W44" s="32"/>
      <c r="X44" s="32"/>
      <c r="Y44" s="32"/>
      <c r="Z44" s="32"/>
      <c r="AA44" s="32"/>
      <c r="AB44" s="32"/>
      <c r="AD44" s="32"/>
      <c r="AE44" s="32"/>
      <c r="AF44" s="32"/>
      <c r="AH44" s="693">
        <f t="shared" si="106"/>
        <v>1</v>
      </c>
      <c r="AI44" s="693">
        <f t="shared" si="106"/>
        <v>0.66199319669083379</v>
      </c>
      <c r="AJ44" s="693">
        <f t="shared" si="106"/>
        <v>0.66199319669083379</v>
      </c>
      <c r="AK44" s="693">
        <f t="shared" si="106"/>
        <v>3.4469852208994722</v>
      </c>
      <c r="AL44" s="693">
        <f t="shared" si="106"/>
        <v>0.66199319669083379</v>
      </c>
      <c r="AM44" s="693">
        <f t="shared" si="106"/>
        <v>3.4469852208994722</v>
      </c>
      <c r="AN44" s="679">
        <f t="shared" ref="AN44:AS47" si="112">AN11</f>
        <v>1</v>
      </c>
      <c r="AO44" s="679">
        <f t="shared" si="112"/>
        <v>0.95</v>
      </c>
      <c r="AP44" s="679">
        <f t="shared" si="112"/>
        <v>0.95</v>
      </c>
      <c r="AQ44" s="679">
        <f t="shared" si="112"/>
        <v>1.1499999999999999</v>
      </c>
      <c r="AR44" s="679">
        <f t="shared" si="112"/>
        <v>0.95</v>
      </c>
      <c r="AS44" s="683">
        <f t="shared" si="112"/>
        <v>1.1499999999999999</v>
      </c>
      <c r="AU44" s="693">
        <f t="shared" si="107"/>
        <v>1</v>
      </c>
      <c r="AV44" s="693">
        <f t="shared" si="107"/>
        <v>0.66199319669083379</v>
      </c>
      <c r="AW44" s="693">
        <f t="shared" si="107"/>
        <v>0.66199319669083379</v>
      </c>
      <c r="AX44" s="693">
        <f t="shared" si="107"/>
        <v>3.4469852208994722</v>
      </c>
      <c r="AY44" s="693">
        <f t="shared" si="107"/>
        <v>0.66199319669083379</v>
      </c>
      <c r="AZ44" s="693">
        <f t="shared" si="107"/>
        <v>3.4469852208994722</v>
      </c>
      <c r="BA44" s="679">
        <f t="shared" ref="BA44:BF47" si="113">BA11</f>
        <v>1</v>
      </c>
      <c r="BB44" s="679">
        <f t="shared" si="113"/>
        <v>0.95</v>
      </c>
      <c r="BC44" s="679">
        <f t="shared" si="113"/>
        <v>0.95</v>
      </c>
      <c r="BD44" s="679">
        <f t="shared" si="113"/>
        <v>1.1499999999999999</v>
      </c>
      <c r="BE44" s="679">
        <f t="shared" si="113"/>
        <v>0.95</v>
      </c>
      <c r="BF44" s="679">
        <f t="shared" si="113"/>
        <v>1.1499999999999999</v>
      </c>
      <c r="BH44" s="688">
        <f t="shared" si="108"/>
        <v>1</v>
      </c>
      <c r="BI44" s="30">
        <f t="shared" si="108"/>
        <v>0.66199319669083379</v>
      </c>
      <c r="BJ44" s="30">
        <f t="shared" si="108"/>
        <v>0.66199319669083379</v>
      </c>
      <c r="BK44" s="30">
        <f t="shared" si="108"/>
        <v>3.4469852208994722</v>
      </c>
      <c r="BL44" s="30">
        <f t="shared" si="108"/>
        <v>0.66199319669083379</v>
      </c>
      <c r="BM44" s="30">
        <f t="shared" si="108"/>
        <v>3.4469852208994722</v>
      </c>
      <c r="BN44" s="490">
        <f t="shared" ref="BN44:BS45" si="114">BN33</f>
        <v>1</v>
      </c>
      <c r="BO44" s="490">
        <f t="shared" si="114"/>
        <v>0.95</v>
      </c>
      <c r="BP44" s="490">
        <f t="shared" si="114"/>
        <v>0.95</v>
      </c>
      <c r="BQ44" s="490">
        <f t="shared" si="114"/>
        <v>1.1499999999999999</v>
      </c>
      <c r="BR44" s="490">
        <f t="shared" si="114"/>
        <v>0.95</v>
      </c>
      <c r="BS44" s="490">
        <f t="shared" si="114"/>
        <v>1.1499999999999999</v>
      </c>
      <c r="BU44" s="688">
        <f t="shared" si="109"/>
        <v>1</v>
      </c>
      <c r="BV44" s="30">
        <f t="shared" si="109"/>
        <v>0.66199319669083379</v>
      </c>
      <c r="BW44" s="30">
        <f t="shared" si="109"/>
        <v>0.66199319669083379</v>
      </c>
      <c r="BX44" s="30">
        <f t="shared" si="109"/>
        <v>3.4469852208994722</v>
      </c>
      <c r="BY44" s="30">
        <f t="shared" si="109"/>
        <v>0.66199319669083379</v>
      </c>
      <c r="BZ44" s="30">
        <f t="shared" si="109"/>
        <v>3.4469852208994722</v>
      </c>
      <c r="CA44" s="490">
        <f t="shared" ref="CA44:CF45" si="115">CA33</f>
        <v>1</v>
      </c>
      <c r="CB44" s="490">
        <f t="shared" si="115"/>
        <v>0.95</v>
      </c>
      <c r="CC44" s="490">
        <f t="shared" si="115"/>
        <v>0.95</v>
      </c>
      <c r="CD44" s="490">
        <f t="shared" si="115"/>
        <v>1.1499999999999999</v>
      </c>
      <c r="CE44" s="490">
        <f t="shared" si="115"/>
        <v>0.95</v>
      </c>
      <c r="CF44" s="490">
        <f t="shared" si="115"/>
        <v>1.1499999999999999</v>
      </c>
      <c r="CH44" s="30">
        <f t="shared" si="110"/>
        <v>3.4469852208994722</v>
      </c>
      <c r="CI44" s="30">
        <f t="shared" si="110"/>
        <v>0.66199319669083379</v>
      </c>
      <c r="CJ44" s="30">
        <f t="shared" si="110"/>
        <v>3.4469852208994722</v>
      </c>
      <c r="CK44" s="490">
        <f t="shared" si="111"/>
        <v>1.1499999999999999</v>
      </c>
      <c r="CL44" s="490">
        <f t="shared" si="111"/>
        <v>0.95</v>
      </c>
      <c r="CM44" s="490">
        <f t="shared" si="111"/>
        <v>1.1499999999999999</v>
      </c>
      <c r="CN44" s="704">
        <f>CN33</f>
        <v>1</v>
      </c>
    </row>
    <row r="45" spans="1:92">
      <c r="A45" s="818"/>
      <c r="B45" s="824"/>
      <c r="C45" s="34" t="s">
        <v>461</v>
      </c>
      <c r="D45" s="29">
        <f t="shared" si="97"/>
        <v>8.5625</v>
      </c>
      <c r="E45" s="451">
        <v>10</v>
      </c>
      <c r="F45" s="26">
        <v>9</v>
      </c>
      <c r="G45" s="26">
        <v>9</v>
      </c>
      <c r="H45" s="26">
        <v>10</v>
      </c>
      <c r="I45" s="26">
        <v>9</v>
      </c>
      <c r="J45" s="26">
        <v>9</v>
      </c>
      <c r="K45" s="26">
        <v>10</v>
      </c>
      <c r="L45" s="26">
        <v>10</v>
      </c>
      <c r="M45" s="26">
        <v>10</v>
      </c>
      <c r="N45" s="26">
        <v>9</v>
      </c>
      <c r="O45" s="26">
        <v>6</v>
      </c>
      <c r="P45" s="26">
        <v>7</v>
      </c>
      <c r="Q45" s="26">
        <v>3</v>
      </c>
      <c r="R45" s="26">
        <v>9</v>
      </c>
      <c r="S45" s="26">
        <v>9</v>
      </c>
      <c r="T45" s="26">
        <v>8</v>
      </c>
      <c r="U45" s="26"/>
      <c r="V45" s="26"/>
      <c r="W45" s="26"/>
      <c r="X45" s="26"/>
      <c r="Y45" s="26"/>
      <c r="Z45" s="26"/>
      <c r="AA45" s="26"/>
      <c r="AB45" s="26"/>
      <c r="AD45" s="26"/>
      <c r="AE45" s="26"/>
      <c r="AF45" s="26"/>
      <c r="AH45" s="693">
        <f t="shared" ref="AH45:AM45" si="116">IF(AN45=0, 0, EXP($D45*$E$2  * (($AN45/AN45) - 1)) )</f>
        <v>1</v>
      </c>
      <c r="AI45" s="693">
        <f t="shared" si="116"/>
        <v>0.54247832794327511</v>
      </c>
      <c r="AJ45" s="693">
        <f t="shared" si="116"/>
        <v>0.31110847407961917</v>
      </c>
      <c r="AK45" s="693">
        <f t="shared" si="116"/>
        <v>0.11758133171956553</v>
      </c>
      <c r="AL45" s="693">
        <f t="shared" si="116"/>
        <v>1</v>
      </c>
      <c r="AM45" s="693">
        <f t="shared" si="116"/>
        <v>1</v>
      </c>
      <c r="AN45" s="679">
        <f t="shared" si="112"/>
        <v>1</v>
      </c>
      <c r="AO45" s="679">
        <f t="shared" si="112"/>
        <v>1.05</v>
      </c>
      <c r="AP45" s="679">
        <f t="shared" si="112"/>
        <v>1.1000000000000001</v>
      </c>
      <c r="AQ45" s="679">
        <f t="shared" si="112"/>
        <v>1.2</v>
      </c>
      <c r="AR45" s="679">
        <f t="shared" si="112"/>
        <v>1</v>
      </c>
      <c r="AS45" s="683">
        <f t="shared" si="112"/>
        <v>1</v>
      </c>
      <c r="AU45" s="693">
        <f t="shared" ref="AU45:AZ45" si="117">IF(BA45=0, 0, EXP($D45*$E$2 * (($BA45/BA45) - 1)) )</f>
        <v>1</v>
      </c>
      <c r="AV45" s="693">
        <f t="shared" si="117"/>
        <v>0.54247832794327511</v>
      </c>
      <c r="AW45" s="693">
        <f t="shared" si="117"/>
        <v>0.31110847407961917</v>
      </c>
      <c r="AX45" s="693">
        <f t="shared" si="117"/>
        <v>0.11758133171956553</v>
      </c>
      <c r="AY45" s="693">
        <f t="shared" si="117"/>
        <v>1</v>
      </c>
      <c r="AZ45" s="693">
        <f t="shared" si="117"/>
        <v>1</v>
      </c>
      <c r="BA45" s="679">
        <f t="shared" si="113"/>
        <v>1</v>
      </c>
      <c r="BB45" s="679">
        <f t="shared" si="113"/>
        <v>1.05</v>
      </c>
      <c r="BC45" s="679">
        <f t="shared" si="113"/>
        <v>1.1000000000000001</v>
      </c>
      <c r="BD45" s="679">
        <f t="shared" si="113"/>
        <v>1.2</v>
      </c>
      <c r="BE45" s="679">
        <f t="shared" si="113"/>
        <v>1</v>
      </c>
      <c r="BF45" s="679">
        <f t="shared" si="113"/>
        <v>1</v>
      </c>
      <c r="BH45" s="688">
        <f t="shared" ref="BH45:BM45" si="118">IF(BN45=0, 0, EXP($D45*$E$2 * (($BN45/BN45) - 1)) )</f>
        <v>1</v>
      </c>
      <c r="BI45" s="30">
        <f t="shared" si="118"/>
        <v>0.54247832794327511</v>
      </c>
      <c r="BJ45" s="30">
        <f t="shared" si="118"/>
        <v>0.31110847407961917</v>
      </c>
      <c r="BK45" s="30">
        <f t="shared" si="118"/>
        <v>0.11758133171956553</v>
      </c>
      <c r="BL45" s="30">
        <f t="shared" si="118"/>
        <v>1</v>
      </c>
      <c r="BM45" s="30">
        <f t="shared" si="118"/>
        <v>1</v>
      </c>
      <c r="BN45" s="490">
        <f t="shared" si="114"/>
        <v>1</v>
      </c>
      <c r="BO45" s="490">
        <f t="shared" si="114"/>
        <v>1.05</v>
      </c>
      <c r="BP45" s="490">
        <f t="shared" si="114"/>
        <v>1.1000000000000001</v>
      </c>
      <c r="BQ45" s="490">
        <f t="shared" si="114"/>
        <v>1.2</v>
      </c>
      <c r="BR45" s="490">
        <f t="shared" si="114"/>
        <v>1</v>
      </c>
      <c r="BS45" s="490">
        <f t="shared" si="114"/>
        <v>1</v>
      </c>
      <c r="BU45" s="688">
        <f t="shared" ref="BU45:BZ45" si="119">IF(CA45=0, 0, EXP($D45*$E$2 * (($CA45/CA45) - 1)) )</f>
        <v>1</v>
      </c>
      <c r="BV45" s="30">
        <f t="shared" si="119"/>
        <v>0.54247832794327511</v>
      </c>
      <c r="BW45" s="30">
        <f t="shared" si="119"/>
        <v>0.31110847407961917</v>
      </c>
      <c r="BX45" s="30">
        <f t="shared" si="119"/>
        <v>0.11758133171956553</v>
      </c>
      <c r="BY45" s="30">
        <f t="shared" si="119"/>
        <v>1</v>
      </c>
      <c r="BZ45" s="30">
        <f t="shared" si="119"/>
        <v>1</v>
      </c>
      <c r="CA45" s="490">
        <f t="shared" si="115"/>
        <v>1</v>
      </c>
      <c r="CB45" s="490">
        <f t="shared" si="115"/>
        <v>1.05</v>
      </c>
      <c r="CC45" s="490">
        <f t="shared" si="115"/>
        <v>1.1000000000000001</v>
      </c>
      <c r="CD45" s="490">
        <f t="shared" si="115"/>
        <v>1.2</v>
      </c>
      <c r="CE45" s="490">
        <f t="shared" si="115"/>
        <v>1</v>
      </c>
      <c r="CF45" s="490">
        <f t="shared" si="115"/>
        <v>1</v>
      </c>
      <c r="CH45" s="30">
        <f>IF(CK45=0, 0, EXP($D45*$E$2 * (($CN45/CK45) - 1)))</f>
        <v>0.11758133171956553</v>
      </c>
      <c r="CI45" s="30">
        <f>IF(CL45=0, 0, EXP($D45*$E$2 * (($CN45/CL45) - 1)))</f>
        <v>1</v>
      </c>
      <c r="CJ45" s="30">
        <f>IF(CM45=0, 0, EXP($D45*$E$2 * (($CN45/CM45) - 1)))</f>
        <v>1</v>
      </c>
      <c r="CK45" s="490">
        <f t="shared" si="111"/>
        <v>1.2</v>
      </c>
      <c r="CL45" s="490">
        <f t="shared" si="111"/>
        <v>1</v>
      </c>
      <c r="CM45" s="490">
        <f t="shared" si="111"/>
        <v>1</v>
      </c>
      <c r="CN45" s="704">
        <f>CN34</f>
        <v>1</v>
      </c>
    </row>
    <row r="46" spans="1:92">
      <c r="A46" s="818"/>
      <c r="B46" s="824"/>
      <c r="C46" s="23" t="s">
        <v>462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64"/>
      <c r="AH46" s="23"/>
      <c r="AI46" s="23"/>
      <c r="AJ46" s="23"/>
      <c r="AK46" s="23"/>
      <c r="AL46" s="23"/>
      <c r="AM46" s="23"/>
      <c r="AN46" s="680">
        <f t="shared" si="112"/>
        <v>2025</v>
      </c>
      <c r="AO46" s="680">
        <f t="shared" si="112"/>
        <v>2025</v>
      </c>
      <c r="AP46" s="680">
        <f t="shared" si="112"/>
        <v>2025</v>
      </c>
      <c r="AQ46" s="680">
        <f t="shared" si="112"/>
        <v>2025</v>
      </c>
      <c r="AR46" s="680">
        <f t="shared" si="112"/>
        <v>2028</v>
      </c>
      <c r="AS46" s="696">
        <f t="shared" si="112"/>
        <v>2030</v>
      </c>
      <c r="AU46" s="23"/>
      <c r="AV46" s="23"/>
      <c r="AW46" s="23"/>
      <c r="AX46" s="23"/>
      <c r="AY46" s="23"/>
      <c r="AZ46" s="23"/>
      <c r="BA46" s="680">
        <f t="shared" si="113"/>
        <v>2025</v>
      </c>
      <c r="BB46" s="680">
        <f t="shared" si="113"/>
        <v>2025</v>
      </c>
      <c r="BC46" s="680">
        <f t="shared" si="113"/>
        <v>2025</v>
      </c>
      <c r="BD46" s="680">
        <f t="shared" si="113"/>
        <v>2025</v>
      </c>
      <c r="BE46" s="680">
        <f t="shared" si="113"/>
        <v>2028</v>
      </c>
      <c r="BF46" s="680">
        <f t="shared" si="113"/>
        <v>2030</v>
      </c>
      <c r="BH46" s="681"/>
      <c r="BI46" s="23"/>
      <c r="BJ46" s="23"/>
      <c r="BK46" s="23"/>
      <c r="BL46" s="23"/>
      <c r="BM46" s="23"/>
      <c r="BN46" s="491">
        <f t="shared" ref="BN46" si="120">BN13</f>
        <v>2025</v>
      </c>
      <c r="BO46" s="491">
        <f t="shared" ref="BO46:BS47" si="121">BO13</f>
        <v>2025</v>
      </c>
      <c r="BP46" s="491">
        <f t="shared" si="121"/>
        <v>2025</v>
      </c>
      <c r="BQ46" s="491">
        <f t="shared" si="121"/>
        <v>2025</v>
      </c>
      <c r="BR46" s="491">
        <f t="shared" si="121"/>
        <v>2028</v>
      </c>
      <c r="BS46" s="491">
        <f t="shared" si="121"/>
        <v>2030</v>
      </c>
      <c r="BU46" s="681"/>
      <c r="BV46" s="23"/>
      <c r="BW46" s="23"/>
      <c r="BX46" s="23"/>
      <c r="BY46" s="23"/>
      <c r="BZ46" s="23"/>
      <c r="CA46" s="491">
        <f>BN46</f>
        <v>2025</v>
      </c>
      <c r="CB46" s="491">
        <f t="shared" ref="CB46:CB48" si="122">BO46</f>
        <v>2025</v>
      </c>
      <c r="CC46" s="491">
        <f t="shared" ref="CC46:CC48" si="123">BP46</f>
        <v>2025</v>
      </c>
      <c r="CD46" s="491">
        <f t="shared" ref="CD46:CD48" si="124">BQ46</f>
        <v>2025</v>
      </c>
      <c r="CE46" s="491">
        <f t="shared" ref="CE46:CE48" si="125">BR46</f>
        <v>2028</v>
      </c>
      <c r="CF46" s="491">
        <f t="shared" ref="CF46:CF48" si="126">BS46</f>
        <v>2030</v>
      </c>
      <c r="CN46" s="17">
        <f>CN13</f>
        <v>2025</v>
      </c>
    </row>
    <row r="47" spans="1:92">
      <c r="A47" s="818"/>
      <c r="B47" s="824"/>
      <c r="C47" s="23" t="s">
        <v>463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64"/>
      <c r="AH47" s="23">
        <v>1</v>
      </c>
      <c r="AI47" s="701">
        <f>$BH47-($BO47-$BN47)/($BO$1-$BN47)</f>
        <v>0.9</v>
      </c>
      <c r="AJ47" s="701">
        <f>$BH47-($BP47-$BN47)/($BO$1-$BN47)</f>
        <v>0.75</v>
      </c>
      <c r="AK47" s="701">
        <f>$BH47-($BQ47-$BN47)/($BO$1-$BN47)</f>
        <v>0.9</v>
      </c>
      <c r="AL47" s="701">
        <f>$BH47-($BR47-$BN47)/($BO$1-$BN47)</f>
        <v>0.55000000000000004</v>
      </c>
      <c r="AM47" s="701">
        <f>$BH47-($BS47-$BN46)/($BO$1-$BN46)</f>
        <v>0.35</v>
      </c>
      <c r="AN47" s="680">
        <f t="shared" si="112"/>
        <v>2025</v>
      </c>
      <c r="AO47" s="680">
        <f t="shared" si="112"/>
        <v>2027</v>
      </c>
      <c r="AP47" s="680">
        <f t="shared" si="112"/>
        <v>2030</v>
      </c>
      <c r="AQ47" s="680">
        <f t="shared" si="112"/>
        <v>2027</v>
      </c>
      <c r="AR47" s="680">
        <f t="shared" si="112"/>
        <v>2034</v>
      </c>
      <c r="AS47" s="696">
        <f t="shared" si="112"/>
        <v>2038</v>
      </c>
      <c r="AU47" s="23">
        <v>1</v>
      </c>
      <c r="AV47" s="701">
        <f>$BH47-($BO47-$BN47)/($BO$1-$BN47)</f>
        <v>0.9</v>
      </c>
      <c r="AW47" s="701">
        <f>$BH47-($BP47-$BN47)/($BO$1-$BN47)</f>
        <v>0.75</v>
      </c>
      <c r="AX47" s="701">
        <f>$BH47-($BQ47-$BN47)/($BO$1-$BN47)</f>
        <v>0.9</v>
      </c>
      <c r="AY47" s="701">
        <f>$BH47-($BR47-$BN47)/($BO$1-$BN47)</f>
        <v>0.55000000000000004</v>
      </c>
      <c r="AZ47" s="701">
        <f>$BH47-($BS47-$BN46)/($BO$1-$BN46)</f>
        <v>0.35</v>
      </c>
      <c r="BA47" s="680">
        <f t="shared" si="113"/>
        <v>2025</v>
      </c>
      <c r="BB47" s="680">
        <f t="shared" si="113"/>
        <v>2027</v>
      </c>
      <c r="BC47" s="680">
        <f t="shared" si="113"/>
        <v>2030</v>
      </c>
      <c r="BD47" s="680">
        <f t="shared" si="113"/>
        <v>2027</v>
      </c>
      <c r="BE47" s="680">
        <f t="shared" si="113"/>
        <v>2034</v>
      </c>
      <c r="BF47" s="680">
        <f t="shared" si="113"/>
        <v>2038</v>
      </c>
      <c r="BH47" s="688">
        <v>1</v>
      </c>
      <c r="BI47" s="30">
        <f>$BH47-($BO47-$BN47)/($BO$1-$BN47)</f>
        <v>0.9</v>
      </c>
      <c r="BJ47" s="30">
        <f>$BH47-($BP47-$BN47)/($BO$1-$BN47)</f>
        <v>0.75</v>
      </c>
      <c r="BK47" s="30">
        <f>$BH47-($BQ47-$BN47)/($BO$1-$BN47)</f>
        <v>0.9</v>
      </c>
      <c r="BL47" s="30">
        <f>$BH47-($BR47-$BN47)/($BO$1-$BN47)</f>
        <v>0.55000000000000004</v>
      </c>
      <c r="BM47" s="30">
        <f>$BH47-($BS47-$BN46)/($BO$1-$BN46)</f>
        <v>0.35</v>
      </c>
      <c r="BN47" s="491">
        <f t="shared" ref="BN47" si="127">BN14</f>
        <v>2025</v>
      </c>
      <c r="BO47" s="491">
        <f t="shared" si="121"/>
        <v>2027</v>
      </c>
      <c r="BP47" s="491">
        <f t="shared" si="121"/>
        <v>2030</v>
      </c>
      <c r="BQ47" s="491">
        <f t="shared" si="121"/>
        <v>2027</v>
      </c>
      <c r="BR47" s="491">
        <f t="shared" si="121"/>
        <v>2034</v>
      </c>
      <c r="BS47" s="491">
        <f t="shared" si="121"/>
        <v>2038</v>
      </c>
      <c r="BU47" s="688">
        <v>1</v>
      </c>
      <c r="BV47" s="30">
        <f>$BU47-($CB47-$CA47)/($CB$1-$CA47)</f>
        <v>0.92</v>
      </c>
      <c r="BW47" s="30">
        <f>$BU47-($CC47-$CA47)/($CB$1-$CA47)</f>
        <v>0.8</v>
      </c>
      <c r="BX47" s="30">
        <f>$BU47-($CD47-$CA47)/($CB$1-$CA47)</f>
        <v>0.92</v>
      </c>
      <c r="BY47" s="30">
        <f>$BU47-($CE47-$CA47)/($CB$1-$CA47)</f>
        <v>0.64</v>
      </c>
      <c r="BZ47" s="30">
        <f>$BU47-($CF47-$CA46)/($CB$1-$CA46)</f>
        <v>0.48</v>
      </c>
      <c r="CA47" s="491">
        <f>BN47</f>
        <v>2025</v>
      </c>
      <c r="CB47" s="491">
        <f t="shared" si="122"/>
        <v>2027</v>
      </c>
      <c r="CC47" s="491">
        <f t="shared" si="123"/>
        <v>2030</v>
      </c>
      <c r="CD47" s="491">
        <f t="shared" si="124"/>
        <v>2027</v>
      </c>
      <c r="CE47" s="491">
        <f t="shared" si="125"/>
        <v>2034</v>
      </c>
      <c r="CF47" s="491">
        <f t="shared" si="126"/>
        <v>2038</v>
      </c>
      <c r="CN47" s="17">
        <f>CN14</f>
        <v>2025</v>
      </c>
    </row>
    <row r="48" spans="1:92">
      <c r="A48" s="818"/>
      <c r="B48" s="823"/>
      <c r="C48" s="23" t="s">
        <v>464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64"/>
      <c r="AH48" s="694">
        <v>1</v>
      </c>
      <c r="AI48" s="694">
        <f>$BH48-($BO47-$BN47)/($BO48-$BN47)+($BO$1-$BO48)/($BO$1-$BN47)</f>
        <v>0.35</v>
      </c>
      <c r="AJ48" s="694">
        <f>$BH48-($BP47-$BN47)/($BP48-$BN47)+($BO$1-$BP48)/($BO$1-$BN47)</f>
        <v>-2.5000000000000022E-2</v>
      </c>
      <c r="AK48" s="694">
        <f>$BH48-($BQ47-$BN47)/($BQ48-$BN47)+($BO$1-$BQ48)/($BO$1-$BN47)</f>
        <v>0.3</v>
      </c>
      <c r="AL48" s="694">
        <f>$BH48-($BR47-$BN47)/($BR48-$BN47)+($BO$1-$BR48)/($BO$1-$BN47)</f>
        <v>-0.37941176470588234</v>
      </c>
      <c r="AM48" s="694">
        <f>$BH48-($BS47-$BN46)/($BS48-$BN46)+($BO$1-$BS48)/($BO$1-$BN46)</f>
        <v>-0.65</v>
      </c>
      <c r="AN48" s="687">
        <f t="shared" ref="AN48:AS48" si="128">AN37</f>
        <v>2025</v>
      </c>
      <c r="AO48" s="687">
        <f t="shared" si="128"/>
        <v>2030</v>
      </c>
      <c r="AP48" s="687">
        <f t="shared" si="128"/>
        <v>2033</v>
      </c>
      <c r="AQ48" s="687">
        <f t="shared" si="128"/>
        <v>2035</v>
      </c>
      <c r="AR48" s="687">
        <f t="shared" si="128"/>
        <v>2042</v>
      </c>
      <c r="AS48" s="697">
        <f t="shared" si="128"/>
        <v>2045</v>
      </c>
      <c r="AU48" s="694">
        <v>1</v>
      </c>
      <c r="AV48" s="694">
        <f>$BH48-($BO47-$BN47)/($BO48-$BN47)+($BO$1-$BO48)/($BO$1-$BN47)</f>
        <v>0.35</v>
      </c>
      <c r="AW48" s="694">
        <f>$BH48-($BP47-$BN47)/($BP48-$BN47)+($BO$1-$BP48)/($BO$1-$BN47)</f>
        <v>-2.5000000000000022E-2</v>
      </c>
      <c r="AX48" s="694">
        <f>$BH48-($BQ47-$BN47)/($BQ48-$BN47)+($BO$1-$BQ48)/($BO$1-$BN47)</f>
        <v>0.3</v>
      </c>
      <c r="AY48" s="694">
        <f>$BH48-($BR47-$BN47)/($BR48-$BN47)+($BO$1-$BR48)/($BO$1-$BN47)</f>
        <v>-0.37941176470588234</v>
      </c>
      <c r="AZ48" s="694">
        <f>$BH48-($BS47-$BN46)/($BS48-$BN46)+($BO$1-$BS48)/($BO$1-$BN46)</f>
        <v>-0.65</v>
      </c>
      <c r="BA48" s="687">
        <f t="shared" ref="BA48:BF48" si="129">BA37</f>
        <v>2025</v>
      </c>
      <c r="BB48" s="687">
        <f t="shared" si="129"/>
        <v>2030</v>
      </c>
      <c r="BC48" s="687">
        <f t="shared" si="129"/>
        <v>2033</v>
      </c>
      <c r="BD48" s="687">
        <f t="shared" si="129"/>
        <v>2035</v>
      </c>
      <c r="BE48" s="687">
        <f t="shared" si="129"/>
        <v>2042</v>
      </c>
      <c r="BF48" s="687">
        <f t="shared" si="129"/>
        <v>2045</v>
      </c>
      <c r="BH48" s="681"/>
      <c r="BI48" s="23"/>
      <c r="BJ48" s="23"/>
      <c r="BK48" s="23"/>
      <c r="BL48" s="23"/>
      <c r="BM48" s="23"/>
      <c r="BN48" s="491">
        <f t="shared" ref="BN48" si="130">BN37</f>
        <v>2025</v>
      </c>
      <c r="BO48" s="491">
        <f t="shared" ref="BO48:BS48" si="131">BO37</f>
        <v>2030</v>
      </c>
      <c r="BP48" s="491">
        <f t="shared" si="131"/>
        <v>2033</v>
      </c>
      <c r="BQ48" s="491">
        <f t="shared" si="131"/>
        <v>2035</v>
      </c>
      <c r="BR48" s="491">
        <f t="shared" si="131"/>
        <v>2042</v>
      </c>
      <c r="BS48" s="491">
        <f t="shared" si="131"/>
        <v>2045</v>
      </c>
      <c r="BU48" s="688">
        <v>1</v>
      </c>
      <c r="BV48" s="30">
        <f>$BU48-($CB48-$CA48)/($CB$1-$CA48)</f>
        <v>0.8</v>
      </c>
      <c r="BW48" s="30">
        <f>$BU48-($CC48-$CA48)/($CB$1-$CA48)</f>
        <v>0.67999999999999994</v>
      </c>
      <c r="BX48" s="30">
        <f>$BU48-($CD48-$CA48)/($CB$1-$CA48)</f>
        <v>0.6</v>
      </c>
      <c r="BY48" s="30">
        <f>$BU48-($CE48-$CA48)/($CB$1-$CA48)</f>
        <v>0.31999999999999995</v>
      </c>
      <c r="BZ48" s="30">
        <f>$BU48-($CF48-$CA47)/($CB$1-$CA47)</f>
        <v>0.19999999999999996</v>
      </c>
      <c r="CA48" s="491">
        <f>BN48</f>
        <v>2025</v>
      </c>
      <c r="CB48" s="491">
        <f t="shared" si="122"/>
        <v>2030</v>
      </c>
      <c r="CC48" s="491">
        <f t="shared" si="123"/>
        <v>2033</v>
      </c>
      <c r="CD48" s="491">
        <f t="shared" si="124"/>
        <v>2035</v>
      </c>
      <c r="CE48" s="491">
        <f t="shared" si="125"/>
        <v>2042</v>
      </c>
      <c r="CF48" s="491">
        <f t="shared" si="126"/>
        <v>2045</v>
      </c>
      <c r="CH48" s="30">
        <f>CD48/CD48</f>
        <v>1</v>
      </c>
      <c r="CI48" s="30">
        <f>1-(CE48-CD48)/($CK$1-CD48)</f>
        <v>0.65</v>
      </c>
      <c r="CJ48" s="30">
        <f>1-(CF48-CD48)/($CK$1-CD48)</f>
        <v>0.5</v>
      </c>
      <c r="CK48" s="936" t="s">
        <v>1059</v>
      </c>
      <c r="CL48" s="937"/>
      <c r="CM48" s="937"/>
      <c r="CN48" s="17">
        <f>CN37</f>
        <v>2025</v>
      </c>
    </row>
    <row r="49" spans="1:92">
      <c r="A49" s="818">
        <v>5</v>
      </c>
      <c r="B49" s="822" t="s">
        <v>840</v>
      </c>
      <c r="C49" s="23" t="s">
        <v>452</v>
      </c>
      <c r="D49" s="450"/>
      <c r="E49" s="24" t="s">
        <v>467</v>
      </c>
      <c r="F49" s="25" t="s">
        <v>467</v>
      </c>
      <c r="G49" s="25" t="s">
        <v>467</v>
      </c>
      <c r="H49" s="24" t="s">
        <v>468</v>
      </c>
      <c r="I49" s="25" t="s">
        <v>454</v>
      </c>
      <c r="J49" s="24" t="s">
        <v>467</v>
      </c>
      <c r="K49" s="25" t="s">
        <v>467</v>
      </c>
      <c r="L49" s="25" t="s">
        <v>467</v>
      </c>
      <c r="M49" s="25" t="s">
        <v>468</v>
      </c>
      <c r="N49" s="25" t="s">
        <v>469</v>
      </c>
      <c r="O49" s="25" t="s">
        <v>468</v>
      </c>
      <c r="P49" s="25" t="s">
        <v>454</v>
      </c>
      <c r="Q49" s="24" t="s">
        <v>453</v>
      </c>
      <c r="R49" s="25" t="s">
        <v>454</v>
      </c>
      <c r="S49" s="25" t="s">
        <v>453</v>
      </c>
      <c r="T49" s="25" t="s">
        <v>454</v>
      </c>
      <c r="U49" s="25"/>
      <c r="V49" s="25"/>
      <c r="W49" s="24"/>
      <c r="X49" s="25"/>
      <c r="Y49" s="25"/>
      <c r="Z49" s="24"/>
      <c r="AA49" s="25"/>
      <c r="AB49" s="25"/>
      <c r="AD49" s="26"/>
      <c r="AE49" s="27"/>
      <c r="AF49" s="27"/>
      <c r="AH49" s="684"/>
      <c r="AI49" s="684"/>
      <c r="AJ49" s="684"/>
      <c r="AK49" s="684"/>
      <c r="AL49" s="684"/>
      <c r="AM49" s="684"/>
      <c r="AN49" s="684"/>
      <c r="AO49" s="684"/>
      <c r="AP49" s="684"/>
      <c r="AQ49" s="684"/>
      <c r="AR49" s="684"/>
      <c r="AS49" s="684"/>
      <c r="AU49" s="684"/>
      <c r="AV49" s="684"/>
      <c r="AW49" s="684"/>
      <c r="AX49" s="684"/>
      <c r="AY49" s="684"/>
      <c r="AZ49" s="684"/>
      <c r="BA49" s="684"/>
      <c r="BB49" s="684"/>
      <c r="BC49" s="684"/>
      <c r="BD49" s="684"/>
      <c r="BE49" s="684"/>
      <c r="BF49" s="689"/>
      <c r="BH49" s="447"/>
      <c r="BI49" s="445"/>
      <c r="BJ49" s="445"/>
      <c r="BK49" s="445"/>
      <c r="BL49" s="445"/>
      <c r="BM49" s="445"/>
      <c r="BU49" s="447"/>
      <c r="BV49" s="445"/>
      <c r="BW49" s="445"/>
      <c r="BX49" s="445"/>
      <c r="BY49" s="445"/>
      <c r="BZ49" s="445"/>
    </row>
    <row r="50" spans="1:92">
      <c r="A50" s="818"/>
      <c r="B50" s="824"/>
      <c r="C50" s="23" t="s">
        <v>455</v>
      </c>
      <c r="D50" s="450"/>
      <c r="E50" s="24"/>
      <c r="F50" s="24"/>
      <c r="G50" s="25"/>
      <c r="H50" s="24"/>
      <c r="I50" s="25"/>
      <c r="J50" s="25"/>
      <c r="K50" s="25"/>
      <c r="L50" s="25"/>
      <c r="M50" s="25"/>
      <c r="N50" s="25"/>
      <c r="O50" s="25"/>
      <c r="P50" s="25"/>
      <c r="Q50" s="24"/>
      <c r="R50" s="25"/>
      <c r="S50" s="25"/>
      <c r="T50" s="25"/>
      <c r="U50" s="25"/>
      <c r="V50" s="25"/>
      <c r="W50" s="24"/>
      <c r="X50" s="25"/>
      <c r="Y50" s="25"/>
      <c r="Z50" s="24"/>
      <c r="AA50" s="25"/>
      <c r="AB50" s="25"/>
      <c r="AD50" s="26"/>
      <c r="AE50" s="27"/>
      <c r="AF50" s="27"/>
      <c r="AH50" s="68">
        <f>Buckets!H7</f>
        <v>43730</v>
      </c>
      <c r="AI50" s="68">
        <f>Buckets!J7</f>
        <v>28760</v>
      </c>
      <c r="AJ50" s="68">
        <f>Buckets!K7</f>
        <v>14970</v>
      </c>
      <c r="AK50" s="691">
        <f>AH50</f>
        <v>43730</v>
      </c>
      <c r="AL50" s="691">
        <f>AH50</f>
        <v>43730</v>
      </c>
      <c r="AM50" s="691">
        <f>AH50</f>
        <v>43730</v>
      </c>
      <c r="AU50" s="68">
        <f>Buckets!M7</f>
        <v>61330</v>
      </c>
      <c r="AV50" s="68">
        <f>Buckets!O7</f>
        <v>40330</v>
      </c>
      <c r="AW50" s="68">
        <f>Buckets!P7</f>
        <v>21000</v>
      </c>
      <c r="AX50" s="691">
        <f>AU50</f>
        <v>61330</v>
      </c>
      <c r="AY50" s="691">
        <f>AU50</f>
        <v>61330</v>
      </c>
      <c r="AZ50" s="691">
        <f>AU50</f>
        <v>61330</v>
      </c>
      <c r="BH50" s="68">
        <f>Buckets!R7</f>
        <v>81270</v>
      </c>
      <c r="BI50" s="68">
        <f>Buckets!T7</f>
        <v>53450</v>
      </c>
      <c r="BJ50" s="68">
        <f>Buckets!U7</f>
        <v>27820</v>
      </c>
      <c r="BK50" s="691">
        <f>BH50</f>
        <v>81270</v>
      </c>
      <c r="BL50" s="691">
        <f>BH50</f>
        <v>81270</v>
      </c>
      <c r="BM50" s="691">
        <f>BH50</f>
        <v>81270</v>
      </c>
      <c r="BN50" s="445" t="s">
        <v>178</v>
      </c>
      <c r="BO50" s="22" t="s">
        <v>179</v>
      </c>
      <c r="BP50" s="22" t="s">
        <v>180</v>
      </c>
      <c r="BQ50" s="22" t="s">
        <v>182</v>
      </c>
      <c r="BR50" s="22" t="s">
        <v>181</v>
      </c>
      <c r="BS50" s="445" t="s">
        <v>183</v>
      </c>
      <c r="BU50" s="68">
        <f>Buckets!W7</f>
        <v>102560</v>
      </c>
      <c r="BV50" s="68">
        <f>Buckets!Y7</f>
        <v>67450</v>
      </c>
      <c r="BW50" s="68">
        <f>Buckets!Z7</f>
        <v>35110</v>
      </c>
      <c r="BX50" s="691">
        <f>BU50</f>
        <v>102560</v>
      </c>
      <c r="BY50" s="691">
        <f>BU50</f>
        <v>102560</v>
      </c>
      <c r="BZ50" s="691">
        <f>BU50</f>
        <v>102560</v>
      </c>
      <c r="CA50" s="445" t="s">
        <v>178</v>
      </c>
      <c r="CB50" s="22" t="s">
        <v>179</v>
      </c>
      <c r="CC50" s="22" t="s">
        <v>180</v>
      </c>
      <c r="CD50" s="22" t="s">
        <v>182</v>
      </c>
      <c r="CE50" s="22" t="s">
        <v>181</v>
      </c>
      <c r="CF50" s="445" t="s">
        <v>183</v>
      </c>
      <c r="CK50" s="22" t="s">
        <v>182</v>
      </c>
      <c r="CL50" s="22" t="s">
        <v>181</v>
      </c>
      <c r="CM50" s="445" t="s">
        <v>183</v>
      </c>
    </row>
    <row r="51" spans="1:92">
      <c r="A51" s="818"/>
      <c r="B51" s="824"/>
      <c r="C51" s="28" t="s">
        <v>456</v>
      </c>
      <c r="D51" s="450"/>
      <c r="E51" s="24"/>
      <c r="F51" s="25"/>
      <c r="G51" s="25"/>
      <c r="H51" s="24"/>
      <c r="I51" s="25"/>
      <c r="J51" s="24"/>
      <c r="K51" s="25"/>
      <c r="L51" s="25"/>
      <c r="M51" s="25"/>
      <c r="N51" s="25"/>
      <c r="O51" s="25"/>
      <c r="P51" s="25"/>
      <c r="Q51" s="24"/>
      <c r="R51" s="25"/>
      <c r="S51" s="25"/>
      <c r="T51" s="25"/>
      <c r="U51" s="25"/>
      <c r="V51" s="25"/>
      <c r="W51" s="24"/>
      <c r="X51" s="25"/>
      <c r="Y51" s="25"/>
      <c r="Z51" s="24"/>
      <c r="AA51" s="25"/>
      <c r="AB51" s="25"/>
      <c r="AD51" s="26"/>
      <c r="AE51" s="27"/>
      <c r="AF51" s="27"/>
      <c r="AH51" s="686"/>
      <c r="AI51" s="686"/>
      <c r="AJ51" s="686"/>
      <c r="AK51" s="686"/>
      <c r="AL51" s="686"/>
      <c r="AM51" s="686"/>
      <c r="AN51" s="686"/>
      <c r="AO51" s="686"/>
      <c r="AP51" s="686"/>
      <c r="AQ51" s="686"/>
      <c r="AR51" s="686"/>
      <c r="AS51" s="686"/>
      <c r="AU51" s="686"/>
      <c r="AV51" s="686"/>
      <c r="AW51" s="686"/>
      <c r="AX51" s="686"/>
      <c r="AY51" s="686"/>
      <c r="AZ51" s="686"/>
      <c r="BA51" s="686"/>
      <c r="BB51" s="686"/>
      <c r="BC51" s="686"/>
      <c r="BD51" s="686"/>
      <c r="BE51" s="686"/>
      <c r="BF51" s="690"/>
      <c r="BH51" s="447"/>
      <c r="BI51" s="445"/>
      <c r="BJ51" s="445"/>
      <c r="BK51" s="445"/>
      <c r="BL51" s="445"/>
      <c r="BM51" s="445"/>
      <c r="BU51" s="447"/>
      <c r="BV51" s="445"/>
      <c r="BW51" s="445"/>
      <c r="BX51" s="445"/>
      <c r="BY51" s="445"/>
      <c r="BZ51" s="445"/>
    </row>
    <row r="52" spans="1:92">
      <c r="A52" s="818"/>
      <c r="B52" s="824"/>
      <c r="C52" s="23" t="s">
        <v>457</v>
      </c>
      <c r="D52" s="29">
        <f t="shared" ref="D52:D56" si="132">AVERAGE(E52:AB52)</f>
        <v>8.6875</v>
      </c>
      <c r="E52" s="451">
        <v>9</v>
      </c>
      <c r="F52" s="27">
        <v>9</v>
      </c>
      <c r="G52" s="27">
        <v>7</v>
      </c>
      <c r="H52" s="26">
        <v>9</v>
      </c>
      <c r="I52" s="27">
        <v>8</v>
      </c>
      <c r="J52" s="26">
        <v>8</v>
      </c>
      <c r="K52" s="27">
        <v>9</v>
      </c>
      <c r="L52" s="27">
        <v>9</v>
      </c>
      <c r="M52" s="27">
        <v>9</v>
      </c>
      <c r="N52" s="27">
        <v>8</v>
      </c>
      <c r="O52" s="27">
        <v>9</v>
      </c>
      <c r="P52" s="27">
        <v>9</v>
      </c>
      <c r="Q52" s="26">
        <v>9</v>
      </c>
      <c r="R52" s="27">
        <v>9</v>
      </c>
      <c r="S52" s="27">
        <v>9</v>
      </c>
      <c r="T52" s="27">
        <v>9</v>
      </c>
      <c r="U52" s="27"/>
      <c r="V52" s="27"/>
      <c r="W52" s="26"/>
      <c r="X52" s="27"/>
      <c r="Y52" s="27"/>
      <c r="Z52" s="26"/>
      <c r="AA52" s="27"/>
      <c r="AB52" s="27"/>
      <c r="AD52" s="26"/>
      <c r="AE52" s="27"/>
      <c r="AF52" s="27"/>
      <c r="AH52" s="693">
        <f t="shared" ref="AH52:AM52" si="133">IF(AN52=0, 0, EXP($D52*$E$2  * (($AN52/AN52) - 1)) )</f>
        <v>1</v>
      </c>
      <c r="AI52" s="693">
        <f t="shared" si="133"/>
        <v>1.1505148931982818</v>
      </c>
      <c r="AJ52" s="693">
        <f t="shared" si="133"/>
        <v>1.2273137223811665</v>
      </c>
      <c r="AK52" s="693">
        <f t="shared" si="133"/>
        <v>4.4903525084448903</v>
      </c>
      <c r="AL52" s="693">
        <f t="shared" si="133"/>
        <v>3.1911001942005357E-2</v>
      </c>
      <c r="AM52" s="693">
        <f t="shared" si="133"/>
        <v>2.6747427579988912E-2</v>
      </c>
      <c r="AN52" s="685">
        <f>'B5 - TCO PL&amp;FMCG 28T '!$M$165</f>
        <v>55.358732126068482</v>
      </c>
      <c r="AO52" s="685">
        <f>'B5 - TCO PL&amp;FMCG 28T '!$M$166</f>
        <v>54.769440993904034</v>
      </c>
      <c r="AP52" s="685">
        <f>'B5 - TCO PL&amp;FMCG 28T '!$M$167</f>
        <v>54.502057790300441</v>
      </c>
      <c r="AQ52" s="685">
        <f>'B5 - TCO PL&amp;FMCG 28T '!$M$168</f>
        <v>49.637685491971752</v>
      </c>
      <c r="AR52" s="685">
        <f>'B5 - TCO PL&amp;FMCG 28T '!$M$169</f>
        <v>75.25140298527343</v>
      </c>
      <c r="AS52" s="695">
        <f>'B5 - TCO PL&amp;FMCG 28T '!$M$170</f>
        <v>76.662976892551811</v>
      </c>
      <c r="AU52" s="693">
        <f t="shared" ref="AU52:AZ52" si="134">IF(BA52=0, 0, EXP($D52*$E$2 * (($BA52/BA52) - 1)) )</f>
        <v>1</v>
      </c>
      <c r="AV52" s="693">
        <f t="shared" si="134"/>
        <v>0.83640022274592218</v>
      </c>
      <c r="AW52" s="693">
        <f t="shared" si="134"/>
        <v>0.90270414229700113</v>
      </c>
      <c r="AX52" s="693">
        <f t="shared" si="134"/>
        <v>19.870922600047471</v>
      </c>
      <c r="AY52" s="693">
        <f t="shared" si="134"/>
        <v>0.20306361642220627</v>
      </c>
      <c r="AZ52" s="693">
        <f t="shared" si="134"/>
        <v>0.17862905370939738</v>
      </c>
      <c r="BA52" s="685">
        <f>'B5 - TCO PL&amp;FMCG 28T '!$R$165</f>
        <v>63.590947181835077</v>
      </c>
      <c r="BB52" s="685">
        <f>'B5 - TCO PL&amp;FMCG 28T '!$R$166</f>
        <v>64.474845900613587</v>
      </c>
      <c r="BC52" s="685">
        <f>'B5 - TCO PL&amp;FMCG 28T '!$R$167</f>
        <v>64.094408510592487</v>
      </c>
      <c r="BD52" s="685">
        <f>'B5 - TCO PL&amp;FMCG 28T '!$R$168</f>
        <v>51.725548090187829</v>
      </c>
      <c r="BE52" s="685">
        <f>'B5 - TCO PL&amp;FMCG 28T '!$R$169</f>
        <v>72.455059346689836</v>
      </c>
      <c r="BF52" s="685">
        <f>'B5 - TCO PL&amp;FMCG 28T '!$R$170</f>
        <v>73.276482656792624</v>
      </c>
      <c r="BH52" s="688">
        <f t="shared" ref="BH52:BM52" si="135">IF(BN52=0, 0, EXP($D52*$E$2 * (($BN52/BN52) - 1)) )</f>
        <v>1</v>
      </c>
      <c r="BI52" s="30">
        <f t="shared" si="135"/>
        <v>0.62543669853258788</v>
      </c>
      <c r="BJ52" s="30">
        <f t="shared" si="135"/>
        <v>0.68788862595781597</v>
      </c>
      <c r="BK52" s="30">
        <f t="shared" si="135"/>
        <v>33.780888963261944</v>
      </c>
      <c r="BL52" s="30">
        <f t="shared" si="135"/>
        <v>1.0283435605213254</v>
      </c>
      <c r="BM52" s="30">
        <f t="shared" si="135"/>
        <v>0.81739633647953125</v>
      </c>
      <c r="BN52" s="492">
        <f>'B5 - TCO PL&amp;FMCG 28T '!$W$165</f>
        <v>72.357266630367548</v>
      </c>
      <c r="BO52" s="492">
        <f>'B5 - TCO PL&amp;FMCG 28T '!$W$166</f>
        <v>75.060481673428882</v>
      </c>
      <c r="BP52" s="492">
        <f>'B5 - TCO PL&amp;FMCG 28T '!$W$167</f>
        <v>74.496054927435722</v>
      </c>
      <c r="BQ52" s="492">
        <f>'B5 - TCO PL&amp;FMCG 28T '!$W$168</f>
        <v>56.96920773929866</v>
      </c>
      <c r="BR52" s="492">
        <f>'B5 - TCO PL&amp;FMCG 28T '!$W$169</f>
        <v>72.202407521505108</v>
      </c>
      <c r="BS52" s="492">
        <f>'B5 - TCO PL&amp;FMCG 28T '!$W$170</f>
        <v>73.494438511760521</v>
      </c>
      <c r="BU52" s="688">
        <f t="shared" ref="BU52:BZ52" si="136">IF(CA52=0, 0, EXP($D52*$E$2 * (($CA52/CA52) - 1)) )</f>
        <v>1</v>
      </c>
      <c r="BV52" s="30">
        <f t="shared" si="136"/>
        <v>0.47550125720703085</v>
      </c>
      <c r="BW52" s="30">
        <f t="shared" si="136"/>
        <v>0.52822618883025674</v>
      </c>
      <c r="BX52" s="30">
        <f t="shared" si="136"/>
        <v>84.945821895566439</v>
      </c>
      <c r="BY52" s="30">
        <f t="shared" si="136"/>
        <v>4.4847079591201497</v>
      </c>
      <c r="BZ52" s="30">
        <f t="shared" si="136"/>
        <v>4.2985086237446222</v>
      </c>
      <c r="CA52" s="492">
        <f>'B5 - TCO PL&amp;FMCG 28T '!$AB$165</f>
        <v>83.656301608862975</v>
      </c>
      <c r="CB52" s="492">
        <f>'B5 - TCO PL&amp;FMCG 28T '!$AB$166</f>
        <v>88.717303384065062</v>
      </c>
      <c r="CC52" s="492">
        <f>'B5 - TCO PL&amp;FMCG 28T '!$AB$167</f>
        <v>87.964535023264105</v>
      </c>
      <c r="CD52" s="492">
        <f>'B5 - TCO PL&amp;FMCG 28T '!$AB$168</f>
        <v>62.389385367001104</v>
      </c>
      <c r="CE52" s="492">
        <f>'B5 - TCO PL&amp;FMCG 28T '!$AB$169</f>
        <v>75.017336105922681</v>
      </c>
      <c r="CF52" s="492">
        <f>'B5 - TCO PL&amp;FMCG 28T '!$AB$170</f>
        <v>75.236883000220161</v>
      </c>
      <c r="CH52" s="30">
        <f>IF(CK52=0, 0, EXP($D52*$E$2 * (($CN52/CK52) - 1)))</f>
        <v>66.085851332966342</v>
      </c>
      <c r="CI52" s="30">
        <f>IF(CL52=0, 0, EXP($D52*$E$2 * (($CN52/CL52) - 1)))</f>
        <v>7.1254382738894222</v>
      </c>
      <c r="CJ52" s="30">
        <f>IF(CM52=0, 0, EXP($D52*$E$2 * (($CN52/CM52) - 1)))</f>
        <v>6.9815258670991716</v>
      </c>
      <c r="CK52" s="492">
        <f>'B5 - TCO PL&amp;FMCG 28T '!$AG$168</f>
        <v>72.442334162328009</v>
      </c>
      <c r="CL52" s="492">
        <f>'B5 - TCO PL&amp;FMCG 28T '!$AG$169</f>
        <v>83.202618164878473</v>
      </c>
      <c r="CM52" s="492">
        <f>'B5 - TCO PL&amp;FMCG 28T '!$AG$170</f>
        <v>83.315987053994107</v>
      </c>
      <c r="CN52" s="703">
        <f>'B5 - TCO PL&amp;FMCG 28T '!$AG$165</f>
        <v>95.740370727566244</v>
      </c>
    </row>
    <row r="53" spans="1:92">
      <c r="A53" s="818"/>
      <c r="B53" s="824"/>
      <c r="C53" s="23" t="s">
        <v>458</v>
      </c>
      <c r="D53" s="29">
        <f t="shared" si="132"/>
        <v>5.75</v>
      </c>
      <c r="E53" s="451">
        <v>5</v>
      </c>
      <c r="F53" s="27">
        <v>4</v>
      </c>
      <c r="G53" s="27">
        <v>8</v>
      </c>
      <c r="H53" s="26">
        <v>6</v>
      </c>
      <c r="I53" s="27">
        <v>8</v>
      </c>
      <c r="J53" s="26">
        <v>5</v>
      </c>
      <c r="K53" s="27">
        <v>3</v>
      </c>
      <c r="L53" s="27">
        <v>3</v>
      </c>
      <c r="M53" s="27">
        <v>3</v>
      </c>
      <c r="N53" s="27">
        <v>5</v>
      </c>
      <c r="O53" s="27">
        <v>2</v>
      </c>
      <c r="P53" s="27">
        <v>5</v>
      </c>
      <c r="Q53" s="26">
        <v>9</v>
      </c>
      <c r="R53" s="27">
        <v>9</v>
      </c>
      <c r="S53" s="27">
        <v>9</v>
      </c>
      <c r="T53" s="27">
        <v>8</v>
      </c>
      <c r="U53" s="27"/>
      <c r="V53" s="27"/>
      <c r="W53" s="26"/>
      <c r="X53" s="27"/>
      <c r="Y53" s="27"/>
      <c r="Z53" s="26"/>
      <c r="AA53" s="27"/>
      <c r="AB53" s="27"/>
      <c r="AD53" s="26"/>
      <c r="AE53" s="27"/>
      <c r="AF53" s="27"/>
      <c r="AH53" s="693">
        <f t="shared" ref="AH53:AM53" si="137">IF(AN53=0, 0, EXP($D53*$F$2 * (($AN53/AN53) - 1)) )</f>
        <v>1</v>
      </c>
      <c r="AI53" s="693">
        <f t="shared" si="137"/>
        <v>0.59790821670952943</v>
      </c>
      <c r="AJ53" s="693">
        <f t="shared" si="137"/>
        <v>0.39433070418261457</v>
      </c>
      <c r="AK53" s="693">
        <f t="shared" si="137"/>
        <v>4.311022953478235E-2</v>
      </c>
      <c r="AL53" s="693">
        <f t="shared" si="137"/>
        <v>0.25556503992726887</v>
      </c>
      <c r="AM53" s="693">
        <f t="shared" si="137"/>
        <v>1.3496428919226011E-2</v>
      </c>
      <c r="AN53" s="678">
        <f>'B5 - TCO PL&amp;FMCG 28T '!$M$63</f>
        <v>5301800</v>
      </c>
      <c r="AO53" s="678">
        <f>'B5 - TCO PL&amp;FMCG 28T '!$M$81</f>
        <v>5638000</v>
      </c>
      <c r="AP53" s="678">
        <f>'B5 - TCO PL&amp;FMCG 28T '!$M$98</f>
        <v>5943000</v>
      </c>
      <c r="AQ53" s="678">
        <f>'B5 - TCO PL&amp;FMCG 28T '!$M$132</f>
        <v>8343000</v>
      </c>
      <c r="AR53" s="678">
        <f>'B5 - TCO PL&amp;FMCG 28T '!$M$115</f>
        <v>6298000</v>
      </c>
      <c r="AS53" s="682">
        <f>'B5 - TCO PL&amp;FMCG 28T '!$M$149</f>
        <v>10586000</v>
      </c>
      <c r="AU53" s="693">
        <f t="shared" ref="AU53:AZ53" si="138">IF(BA53=0, 0, EXP($D53*$F$2 * (($BA53/BA53) - 1)) )</f>
        <v>1</v>
      </c>
      <c r="AV53" s="693">
        <f t="shared" si="138"/>
        <v>0.59786774606690074</v>
      </c>
      <c r="AW53" s="693">
        <f t="shared" si="138"/>
        <v>0.42650560708500523</v>
      </c>
      <c r="AX53" s="693">
        <f t="shared" si="138"/>
        <v>7.8195192412888581E-2</v>
      </c>
      <c r="AY53" s="693">
        <f t="shared" si="138"/>
        <v>0.36517225007829274</v>
      </c>
      <c r="AZ53" s="693">
        <f t="shared" si="138"/>
        <v>2.6993968037055595E-2</v>
      </c>
      <c r="BA53" s="678">
        <f>'B5 - TCO PL&amp;FMCG 28T '!$R$63</f>
        <v>6146200</v>
      </c>
      <c r="BB53" s="678">
        <f>'B5 - TCO PL&amp;FMCG 28T '!$R$81</f>
        <v>6536000</v>
      </c>
      <c r="BC53" s="678">
        <f>'B5 - TCO PL&amp;FMCG 28T '!$R$98</f>
        <v>6820000</v>
      </c>
      <c r="BD53" s="678">
        <f>'B5 - TCO PL&amp;FMCG 28T '!$R$132</f>
        <v>8724000</v>
      </c>
      <c r="BE53" s="678">
        <f>'B5 - TCO PL&amp;FMCG 28T '!$R$115</f>
        <v>6959000</v>
      </c>
      <c r="BF53" s="678">
        <f>'B5 - TCO PL&amp;FMCG 28T '!$R$149</f>
        <v>10575000</v>
      </c>
      <c r="BH53" s="688">
        <f t="shared" ref="BH53:BM53" si="139">IF(BN53=0, 0, EXP($D53*$F$2 * (($BN53/BN53) - 1)) )</f>
        <v>1</v>
      </c>
      <c r="BI53" s="30">
        <f t="shared" si="139"/>
        <v>0.59785693799250217</v>
      </c>
      <c r="BJ53" s="30">
        <f t="shared" si="139"/>
        <v>0.4586461623620644</v>
      </c>
      <c r="BK53" s="30">
        <f t="shared" si="139"/>
        <v>0.12171581314569917</v>
      </c>
      <c r="BL53" s="30">
        <f t="shared" si="139"/>
        <v>0.39731180581386005</v>
      </c>
      <c r="BM53" s="30">
        <f t="shared" si="139"/>
        <v>4.4712888269145913E-2</v>
      </c>
      <c r="BN53" s="493">
        <f>'B5 - TCO PL&amp;FMCG 28T '!$W$63</f>
        <v>7125100</v>
      </c>
      <c r="BO53" s="493">
        <f>'B5 - TCO PL&amp;FMCG 28T '!$W$81</f>
        <v>7577000</v>
      </c>
      <c r="BP53" s="493">
        <f>'B5 - TCO PL&amp;FMCG 28T '!$W$98</f>
        <v>7833000</v>
      </c>
      <c r="BQ53" s="493">
        <f>'B5 - TCO PL&amp;FMCG 28T '!$W$132</f>
        <v>9427000</v>
      </c>
      <c r="BR53" s="493">
        <f>'B5 - TCO PL&amp;FMCG 28T '!$W$115</f>
        <v>7979000</v>
      </c>
      <c r="BS53" s="493">
        <f>'B5 - TCO PL&amp;FMCG 28T '!$W$149</f>
        <v>11138000</v>
      </c>
      <c r="BU53" s="688">
        <f t="shared" ref="BU53:BZ53" si="140">IF(CA53=0, 0, EXP($D53*$F$2 * (($CA53/CA53) - 1)) )</f>
        <v>1</v>
      </c>
      <c r="BV53" s="30">
        <f t="shared" si="140"/>
        <v>0.59840146966504948</v>
      </c>
      <c r="BW53" s="30">
        <f t="shared" si="140"/>
        <v>0.49037373156041336</v>
      </c>
      <c r="BX53" s="30">
        <f t="shared" si="140"/>
        <v>0.1665574266543349</v>
      </c>
      <c r="BY53" s="30">
        <f t="shared" si="140"/>
        <v>0.42964661427450329</v>
      </c>
      <c r="BZ53" s="30">
        <f t="shared" si="140"/>
        <v>7.1817181992021931E-2</v>
      </c>
      <c r="CA53" s="493">
        <f>'B5 - TCO PL&amp;FMCG 28T '!$AB$63</f>
        <v>8260100</v>
      </c>
      <c r="CB53" s="493">
        <f>'B5 - TCO PL&amp;FMCG 28T '!$AB$81</f>
        <v>8783000</v>
      </c>
      <c r="CC53" s="493">
        <f>'B5 - TCO PL&amp;FMCG 28T '!$AB$98</f>
        <v>9004000</v>
      </c>
      <c r="CD53" s="493">
        <f>'B5 - TCO PL&amp;FMCG 28T '!$AB$132</f>
        <v>10427000</v>
      </c>
      <c r="CE53" s="493">
        <f>'B5 - TCO PL&amp;FMCG 28T '!$AB$115</f>
        <v>9157000</v>
      </c>
      <c r="CF53" s="493">
        <f>'B5 - TCO PL&amp;FMCG 28T '!$AB$149</f>
        <v>11891000</v>
      </c>
      <c r="CH53" s="30">
        <f>IF(CK53=0, 0, EXP($D53*$F$2 * (($CN53/CK53) - 1)))</f>
        <v>0.19593700024243438</v>
      </c>
      <c r="CI53" s="30">
        <f>IF(CL53=0, 0, EXP($D53*$F$2 * (($CN53/CL53) - 1)))</f>
        <v>0.46141658542296254</v>
      </c>
      <c r="CJ53" s="30">
        <f>IF(CM53=0, 0, EXP($D53*$F$2 * (($CN53/CM53) - 1)))</f>
        <v>9.4367617059303896E-2</v>
      </c>
      <c r="CK53" s="493">
        <f>'B5 - TCO PL&amp;FMCG 28T '!$AG$132</f>
        <v>11807000</v>
      </c>
      <c r="CL53" s="493">
        <f>'B5 - TCO PL&amp;FMCG 28T '!$AG$115</f>
        <v>10519000</v>
      </c>
      <c r="CM53" s="493">
        <f>'B5 - TCO PL&amp;FMCG 28T '!$AG$149</f>
        <v>13184000</v>
      </c>
      <c r="CN53" s="17">
        <f>'B5 - TCO PL&amp;FMCG 28T '!$AG$63</f>
        <v>9575700</v>
      </c>
    </row>
    <row r="54" spans="1:92">
      <c r="A54" s="818"/>
      <c r="B54" s="824"/>
      <c r="C54" s="23" t="s">
        <v>459</v>
      </c>
      <c r="D54" s="29">
        <f t="shared" si="132"/>
        <v>5</v>
      </c>
      <c r="E54" s="451">
        <v>8</v>
      </c>
      <c r="F54" s="32">
        <v>1</v>
      </c>
      <c r="G54" s="32">
        <v>2</v>
      </c>
      <c r="H54" s="32">
        <v>6</v>
      </c>
      <c r="I54" s="32">
        <v>10</v>
      </c>
      <c r="J54" s="32">
        <v>1</v>
      </c>
      <c r="K54" s="32">
        <v>1</v>
      </c>
      <c r="L54" s="32">
        <v>1</v>
      </c>
      <c r="M54" s="32">
        <v>1</v>
      </c>
      <c r="N54" s="32">
        <v>1</v>
      </c>
      <c r="O54" s="32">
        <v>6</v>
      </c>
      <c r="P54" s="32">
        <v>9</v>
      </c>
      <c r="Q54" s="32">
        <v>8</v>
      </c>
      <c r="R54" s="32">
        <v>8</v>
      </c>
      <c r="S54" s="32">
        <v>8</v>
      </c>
      <c r="T54" s="32">
        <v>9</v>
      </c>
      <c r="U54" s="32"/>
      <c r="V54" s="32"/>
      <c r="W54" s="32"/>
      <c r="X54" s="32"/>
      <c r="Y54" s="32"/>
      <c r="Z54" s="32"/>
      <c r="AA54" s="32"/>
      <c r="AB54" s="32"/>
      <c r="AD54" s="32"/>
      <c r="AE54" s="32"/>
      <c r="AF54" s="32"/>
      <c r="AH54" s="693">
        <f t="shared" ref="AH54:AM55" si="141">IF(AN54=0, 0, EXP($D54*$E$2 * ((AN54/$AN54) - 1)) )</f>
        <v>1</v>
      </c>
      <c r="AI54" s="693">
        <f t="shared" si="141"/>
        <v>1</v>
      </c>
      <c r="AJ54" s="693">
        <f t="shared" si="141"/>
        <v>1</v>
      </c>
      <c r="AK54" s="693">
        <f t="shared" si="141"/>
        <v>0.4444975166820565</v>
      </c>
      <c r="AL54" s="693">
        <f t="shared" si="141"/>
        <v>1</v>
      </c>
      <c r="AM54" s="693">
        <f t="shared" si="141"/>
        <v>0.6942904675750291</v>
      </c>
      <c r="AN54" s="678">
        <f>'B5 - TCO PL&amp;FMCG 28T '!$C$17</f>
        <v>18500</v>
      </c>
      <c r="AO54" s="678">
        <f>AN54</f>
        <v>18500</v>
      </c>
      <c r="AP54" s="678">
        <f>AN54</f>
        <v>18500</v>
      </c>
      <c r="AQ54" s="678">
        <f>'B5 - TCO PL&amp;FMCG 28T '!C18</f>
        <v>16500</v>
      </c>
      <c r="AR54" s="678">
        <f>AN54</f>
        <v>18500</v>
      </c>
      <c r="AS54" s="682">
        <f>'B5 - TCO PL&amp;FMCG 28T '!C19</f>
        <v>17600</v>
      </c>
      <c r="AU54" s="693">
        <f t="shared" ref="AU54:AZ55" si="142">IF(BA54=0, 0, EXP($D54*$E$2 * ((BA54/$BA54) - 1)) )</f>
        <v>1</v>
      </c>
      <c r="AV54" s="693">
        <f t="shared" si="142"/>
        <v>1</v>
      </c>
      <c r="AW54" s="693">
        <f t="shared" si="142"/>
        <v>1</v>
      </c>
      <c r="AX54" s="693">
        <f t="shared" si="142"/>
        <v>0.4444975166820565</v>
      </c>
      <c r="AY54" s="693">
        <f t="shared" si="142"/>
        <v>1</v>
      </c>
      <c r="AZ54" s="693">
        <f t="shared" si="142"/>
        <v>0.6942904675750291</v>
      </c>
      <c r="BA54" s="678">
        <f>'B5 - TCO PL&amp;FMCG 28T '!$C$17</f>
        <v>18500</v>
      </c>
      <c r="BB54" s="678">
        <f>BA54</f>
        <v>18500</v>
      </c>
      <c r="BC54" s="678">
        <f>BA54</f>
        <v>18500</v>
      </c>
      <c r="BD54" s="678">
        <f>'B5 - TCO PL&amp;FMCG 28T '!C18</f>
        <v>16500</v>
      </c>
      <c r="BE54" s="678">
        <f>BA54</f>
        <v>18500</v>
      </c>
      <c r="BF54" s="678">
        <f>'B5 - TCO PL&amp;FMCG 28T '!C19</f>
        <v>17600</v>
      </c>
      <c r="BH54" s="688">
        <f t="shared" ref="BH54:BM55" si="143">IF(BN54=0, 0, EXP($D54*$E$2 * ((BN54/$BN54) - 1)) )</f>
        <v>1</v>
      </c>
      <c r="BI54" s="30">
        <f t="shared" si="143"/>
        <v>1</v>
      </c>
      <c r="BJ54" s="30">
        <f t="shared" si="143"/>
        <v>1</v>
      </c>
      <c r="BK54" s="30">
        <f t="shared" si="143"/>
        <v>0.4444975166820565</v>
      </c>
      <c r="BL54" s="30">
        <f t="shared" si="143"/>
        <v>1</v>
      </c>
      <c r="BM54" s="30">
        <f t="shared" si="143"/>
        <v>0.6942904675750291</v>
      </c>
      <c r="BN54" s="493">
        <f>'B5 - TCO PL&amp;FMCG 28T '!C17</f>
        <v>18500</v>
      </c>
      <c r="BO54" s="493">
        <f>BN54</f>
        <v>18500</v>
      </c>
      <c r="BP54" s="493">
        <f>BN54</f>
        <v>18500</v>
      </c>
      <c r="BQ54" s="493">
        <f>'B5 - TCO PL&amp;FMCG 28T '!C18</f>
        <v>16500</v>
      </c>
      <c r="BR54" s="493">
        <f>BN54</f>
        <v>18500</v>
      </c>
      <c r="BS54" s="493">
        <f>'B5 - TCO PL&amp;FMCG 28T '!C19</f>
        <v>17600</v>
      </c>
      <c r="BU54" s="688">
        <f t="shared" ref="BU54:BZ55" si="144">IF(CA54=0, 0, EXP($D54*$E$2 * ((CA54/$CA54) - 1)) )</f>
        <v>1</v>
      </c>
      <c r="BV54" s="30">
        <f t="shared" si="144"/>
        <v>1</v>
      </c>
      <c r="BW54" s="30">
        <f t="shared" si="144"/>
        <v>1</v>
      </c>
      <c r="BX54" s="30">
        <f t="shared" si="144"/>
        <v>0.4444975166820565</v>
      </c>
      <c r="BY54" s="30">
        <f t="shared" si="144"/>
        <v>1</v>
      </c>
      <c r="BZ54" s="30">
        <f t="shared" si="144"/>
        <v>0.6942904675750291</v>
      </c>
      <c r="CA54" s="493">
        <f>'B5 - TCO PL&amp;FMCG 28T '!C17</f>
        <v>18500</v>
      </c>
      <c r="CB54" s="493">
        <f>CA54</f>
        <v>18500</v>
      </c>
      <c r="CC54" s="493">
        <f>CA54</f>
        <v>18500</v>
      </c>
      <c r="CD54" s="493">
        <f>'B5 - TCO PL&amp;FMCG 28T '!C18</f>
        <v>16500</v>
      </c>
      <c r="CE54" s="493">
        <f>CA54</f>
        <v>18500</v>
      </c>
      <c r="CF54" s="493">
        <f>'B5 - TCO PL&amp;FMCG 28T '!C19</f>
        <v>17600</v>
      </c>
      <c r="CH54" s="30">
        <f t="shared" ref="CH54:CJ55" si="145">IF(CK54=0, 0, EXP($D54*$E$2 * ((CK54/$CN54) - 1)))</f>
        <v>0.4444975166820565</v>
      </c>
      <c r="CI54" s="30">
        <f t="shared" si="145"/>
        <v>1</v>
      </c>
      <c r="CJ54" s="30">
        <f t="shared" si="145"/>
        <v>0.6942904675750291</v>
      </c>
      <c r="CK54" s="493">
        <f t="shared" ref="CK54:CM56" si="146">BQ54</f>
        <v>16500</v>
      </c>
      <c r="CL54" s="493">
        <f t="shared" si="146"/>
        <v>18500</v>
      </c>
      <c r="CM54" s="493">
        <f t="shared" si="146"/>
        <v>17600</v>
      </c>
      <c r="CN54" s="17">
        <f>'B5 - TCO PL&amp;FMCG 28T '!C17</f>
        <v>18500</v>
      </c>
    </row>
    <row r="55" spans="1:92">
      <c r="A55" s="818"/>
      <c r="B55" s="824"/>
      <c r="C55" s="23" t="s">
        <v>460</v>
      </c>
      <c r="D55" s="29">
        <f t="shared" si="132"/>
        <v>5.5</v>
      </c>
      <c r="E55" s="451">
        <v>9</v>
      </c>
      <c r="F55" s="32">
        <v>6</v>
      </c>
      <c r="G55" s="32">
        <v>9</v>
      </c>
      <c r="H55" s="32">
        <v>3</v>
      </c>
      <c r="I55" s="32">
        <v>9</v>
      </c>
      <c r="J55" s="32">
        <v>6</v>
      </c>
      <c r="K55" s="32">
        <v>1</v>
      </c>
      <c r="L55" s="32">
        <v>1</v>
      </c>
      <c r="M55" s="32">
        <v>1</v>
      </c>
      <c r="N55" s="32">
        <v>6</v>
      </c>
      <c r="O55" s="32">
        <v>5</v>
      </c>
      <c r="P55" s="32">
        <v>8</v>
      </c>
      <c r="Q55" s="32">
        <v>4</v>
      </c>
      <c r="R55" s="32">
        <v>7</v>
      </c>
      <c r="S55" s="32">
        <v>5</v>
      </c>
      <c r="T55" s="32">
        <v>8</v>
      </c>
      <c r="U55" s="32"/>
      <c r="V55" s="32"/>
      <c r="W55" s="32"/>
      <c r="X55" s="32"/>
      <c r="Y55" s="32"/>
      <c r="Z55" s="32"/>
      <c r="AA55" s="32"/>
      <c r="AB55" s="32"/>
      <c r="AD55" s="32"/>
      <c r="AE55" s="32"/>
      <c r="AF55" s="32"/>
      <c r="AH55" s="693">
        <f t="shared" si="141"/>
        <v>1</v>
      </c>
      <c r="AI55" s="693">
        <f t="shared" si="141"/>
        <v>0.66199319669083379</v>
      </c>
      <c r="AJ55" s="693">
        <f t="shared" si="141"/>
        <v>0.66199319669083379</v>
      </c>
      <c r="AK55" s="693">
        <f t="shared" si="141"/>
        <v>3.4469852208994722</v>
      </c>
      <c r="AL55" s="693">
        <f t="shared" si="141"/>
        <v>0.66199319669083379</v>
      </c>
      <c r="AM55" s="693">
        <f t="shared" si="141"/>
        <v>3.4469852208994722</v>
      </c>
      <c r="AN55" s="679">
        <f t="shared" ref="AN55:AS56" si="147">AN11</f>
        <v>1</v>
      </c>
      <c r="AO55" s="679">
        <f t="shared" si="147"/>
        <v>0.95</v>
      </c>
      <c r="AP55" s="679">
        <f t="shared" si="147"/>
        <v>0.95</v>
      </c>
      <c r="AQ55" s="679">
        <f t="shared" si="147"/>
        <v>1.1499999999999999</v>
      </c>
      <c r="AR55" s="679">
        <f t="shared" si="147"/>
        <v>0.95</v>
      </c>
      <c r="AS55" s="683">
        <f t="shared" si="147"/>
        <v>1.1499999999999999</v>
      </c>
      <c r="AU55" s="693">
        <f t="shared" si="142"/>
        <v>1</v>
      </c>
      <c r="AV55" s="693">
        <f t="shared" si="142"/>
        <v>0.66199319669083379</v>
      </c>
      <c r="AW55" s="693">
        <f t="shared" si="142"/>
        <v>0.66199319669083379</v>
      </c>
      <c r="AX55" s="693">
        <f t="shared" si="142"/>
        <v>3.4469852208994722</v>
      </c>
      <c r="AY55" s="693">
        <f t="shared" si="142"/>
        <v>0.66199319669083379</v>
      </c>
      <c r="AZ55" s="693">
        <f t="shared" si="142"/>
        <v>3.4469852208994722</v>
      </c>
      <c r="BA55" s="679">
        <f t="shared" ref="BA55:BF56" si="148">BA11</f>
        <v>1</v>
      </c>
      <c r="BB55" s="679">
        <f t="shared" si="148"/>
        <v>0.95</v>
      </c>
      <c r="BC55" s="679">
        <f t="shared" si="148"/>
        <v>0.95</v>
      </c>
      <c r="BD55" s="679">
        <f t="shared" si="148"/>
        <v>1.1499999999999999</v>
      </c>
      <c r="BE55" s="679">
        <f t="shared" si="148"/>
        <v>0.95</v>
      </c>
      <c r="BF55" s="679">
        <f t="shared" si="148"/>
        <v>1.1499999999999999</v>
      </c>
      <c r="BH55" s="688">
        <f t="shared" si="143"/>
        <v>1</v>
      </c>
      <c r="BI55" s="30">
        <f t="shared" si="143"/>
        <v>0.66199319669083379</v>
      </c>
      <c r="BJ55" s="30">
        <f t="shared" si="143"/>
        <v>0.66199319669083379</v>
      </c>
      <c r="BK55" s="30">
        <f t="shared" si="143"/>
        <v>3.4469852208994722</v>
      </c>
      <c r="BL55" s="30">
        <f t="shared" si="143"/>
        <v>0.66199319669083379</v>
      </c>
      <c r="BM55" s="30">
        <f t="shared" si="143"/>
        <v>3.4469852208994722</v>
      </c>
      <c r="BN55" s="490">
        <f t="shared" ref="BN55:BS56" si="149">BN44</f>
        <v>1</v>
      </c>
      <c r="BO55" s="490">
        <f t="shared" si="149"/>
        <v>0.95</v>
      </c>
      <c r="BP55" s="490">
        <f t="shared" si="149"/>
        <v>0.95</v>
      </c>
      <c r="BQ55" s="490">
        <f t="shared" si="149"/>
        <v>1.1499999999999999</v>
      </c>
      <c r="BR55" s="490">
        <f t="shared" si="149"/>
        <v>0.95</v>
      </c>
      <c r="BS55" s="490">
        <f t="shared" si="149"/>
        <v>1.1499999999999999</v>
      </c>
      <c r="BU55" s="688">
        <f t="shared" si="144"/>
        <v>1</v>
      </c>
      <c r="BV55" s="30">
        <f t="shared" si="144"/>
        <v>0.66199319669083379</v>
      </c>
      <c r="BW55" s="30">
        <f t="shared" si="144"/>
        <v>0.66199319669083379</v>
      </c>
      <c r="BX55" s="30">
        <f t="shared" si="144"/>
        <v>3.4469852208994722</v>
      </c>
      <c r="BY55" s="30">
        <f t="shared" si="144"/>
        <v>0.66199319669083379</v>
      </c>
      <c r="BZ55" s="30">
        <f t="shared" si="144"/>
        <v>3.4469852208994722</v>
      </c>
      <c r="CA55" s="490">
        <f t="shared" ref="CA55:CF56" si="150">CA44</f>
        <v>1</v>
      </c>
      <c r="CB55" s="490">
        <f t="shared" si="150"/>
        <v>0.95</v>
      </c>
      <c r="CC55" s="490">
        <f t="shared" si="150"/>
        <v>0.95</v>
      </c>
      <c r="CD55" s="490">
        <f t="shared" si="150"/>
        <v>1.1499999999999999</v>
      </c>
      <c r="CE55" s="490">
        <f t="shared" si="150"/>
        <v>0.95</v>
      </c>
      <c r="CF55" s="490">
        <f t="shared" si="150"/>
        <v>1.1499999999999999</v>
      </c>
      <c r="CH55" s="30">
        <f t="shared" si="145"/>
        <v>3.4469852208994722</v>
      </c>
      <c r="CI55" s="30">
        <f t="shared" si="145"/>
        <v>0.66199319669083379</v>
      </c>
      <c r="CJ55" s="30">
        <f t="shared" si="145"/>
        <v>3.4469852208994722</v>
      </c>
      <c r="CK55" s="490">
        <f t="shared" si="146"/>
        <v>1.1499999999999999</v>
      </c>
      <c r="CL55" s="490">
        <f t="shared" si="146"/>
        <v>0.95</v>
      </c>
      <c r="CM55" s="490">
        <f t="shared" si="146"/>
        <v>1.1499999999999999</v>
      </c>
      <c r="CN55" s="704">
        <f>CN44</f>
        <v>1</v>
      </c>
    </row>
    <row r="56" spans="1:92">
      <c r="A56" s="818"/>
      <c r="B56" s="824"/>
      <c r="C56" s="34" t="s">
        <v>461</v>
      </c>
      <c r="D56" s="29">
        <f t="shared" si="132"/>
        <v>8.5625</v>
      </c>
      <c r="E56" s="451">
        <v>10</v>
      </c>
      <c r="F56" s="26">
        <v>9</v>
      </c>
      <c r="G56" s="26">
        <v>9</v>
      </c>
      <c r="H56" s="26">
        <v>10</v>
      </c>
      <c r="I56" s="26">
        <v>9</v>
      </c>
      <c r="J56" s="26">
        <v>9</v>
      </c>
      <c r="K56" s="26">
        <v>10</v>
      </c>
      <c r="L56" s="26">
        <v>10</v>
      </c>
      <c r="M56" s="26">
        <v>10</v>
      </c>
      <c r="N56" s="26">
        <v>9</v>
      </c>
      <c r="O56" s="26">
        <v>6</v>
      </c>
      <c r="P56" s="26">
        <v>7</v>
      </c>
      <c r="Q56" s="26">
        <v>3</v>
      </c>
      <c r="R56" s="26">
        <v>9</v>
      </c>
      <c r="S56" s="26">
        <v>9</v>
      </c>
      <c r="T56" s="26">
        <v>8</v>
      </c>
      <c r="U56" s="26"/>
      <c r="V56" s="26"/>
      <c r="W56" s="26"/>
      <c r="X56" s="26"/>
      <c r="Y56" s="26"/>
      <c r="Z56" s="26"/>
      <c r="AA56" s="26"/>
      <c r="AB56" s="26"/>
      <c r="AD56" s="26"/>
      <c r="AE56" s="26"/>
      <c r="AF56" s="26"/>
      <c r="AH56" s="693">
        <f t="shared" ref="AH56:AM56" si="151">IF(AN56=0, 0, EXP($D56*$E$2  * (($AN56/AN56) - 1)) )</f>
        <v>1</v>
      </c>
      <c r="AI56" s="693">
        <f t="shared" si="151"/>
        <v>0.54247832794327511</v>
      </c>
      <c r="AJ56" s="693">
        <f t="shared" si="151"/>
        <v>0.31110847407961917</v>
      </c>
      <c r="AK56" s="693">
        <f t="shared" si="151"/>
        <v>0.11758133171956553</v>
      </c>
      <c r="AL56" s="693">
        <f t="shared" si="151"/>
        <v>1</v>
      </c>
      <c r="AM56" s="693">
        <f t="shared" si="151"/>
        <v>1</v>
      </c>
      <c r="AN56" s="679">
        <f t="shared" si="147"/>
        <v>1</v>
      </c>
      <c r="AO56" s="679">
        <f t="shared" si="147"/>
        <v>1.05</v>
      </c>
      <c r="AP56" s="679">
        <f t="shared" si="147"/>
        <v>1.1000000000000001</v>
      </c>
      <c r="AQ56" s="679">
        <f t="shared" si="147"/>
        <v>1.2</v>
      </c>
      <c r="AR56" s="679">
        <f t="shared" si="147"/>
        <v>1</v>
      </c>
      <c r="AS56" s="683">
        <f t="shared" si="147"/>
        <v>1</v>
      </c>
      <c r="AU56" s="693">
        <f t="shared" ref="AU56:AZ56" si="152">IF(BA56=0, 0, EXP($D56*$E$2 * (($BA56/BA56) - 1)) )</f>
        <v>1</v>
      </c>
      <c r="AV56" s="693">
        <f t="shared" si="152"/>
        <v>0.54247832794327511</v>
      </c>
      <c r="AW56" s="693">
        <f t="shared" si="152"/>
        <v>0.31110847407961917</v>
      </c>
      <c r="AX56" s="693">
        <f t="shared" si="152"/>
        <v>0.11758133171956553</v>
      </c>
      <c r="AY56" s="693">
        <f t="shared" si="152"/>
        <v>1</v>
      </c>
      <c r="AZ56" s="693">
        <f t="shared" si="152"/>
        <v>1</v>
      </c>
      <c r="BA56" s="679">
        <f t="shared" si="148"/>
        <v>1</v>
      </c>
      <c r="BB56" s="679">
        <f t="shared" si="148"/>
        <v>1.05</v>
      </c>
      <c r="BC56" s="679">
        <f t="shared" si="148"/>
        <v>1.1000000000000001</v>
      </c>
      <c r="BD56" s="679">
        <f t="shared" si="148"/>
        <v>1.2</v>
      </c>
      <c r="BE56" s="679">
        <f t="shared" si="148"/>
        <v>1</v>
      </c>
      <c r="BF56" s="679">
        <f t="shared" si="148"/>
        <v>1</v>
      </c>
      <c r="BH56" s="688">
        <f t="shared" ref="BH56:BM56" si="153">IF(BN56=0, 0, EXP($D56*$E$2 * (($BN56/BN56) - 1)) )</f>
        <v>1</v>
      </c>
      <c r="BI56" s="30">
        <f t="shared" si="153"/>
        <v>0.54247832794327511</v>
      </c>
      <c r="BJ56" s="30">
        <f t="shared" si="153"/>
        <v>0.31110847407961917</v>
      </c>
      <c r="BK56" s="30">
        <f t="shared" si="153"/>
        <v>0.11758133171956553</v>
      </c>
      <c r="BL56" s="30">
        <f t="shared" si="153"/>
        <v>1</v>
      </c>
      <c r="BM56" s="30">
        <f t="shared" si="153"/>
        <v>1</v>
      </c>
      <c r="BN56" s="490">
        <f t="shared" si="149"/>
        <v>1</v>
      </c>
      <c r="BO56" s="490">
        <f t="shared" si="149"/>
        <v>1.05</v>
      </c>
      <c r="BP56" s="490">
        <f t="shared" si="149"/>
        <v>1.1000000000000001</v>
      </c>
      <c r="BQ56" s="490">
        <f t="shared" si="149"/>
        <v>1.2</v>
      </c>
      <c r="BR56" s="490">
        <f t="shared" si="149"/>
        <v>1</v>
      </c>
      <c r="BS56" s="490">
        <f t="shared" si="149"/>
        <v>1</v>
      </c>
      <c r="BU56" s="688">
        <f t="shared" ref="BU56:BZ56" si="154">IF(CA56=0, 0, EXP($D56*$E$2 * (($CA56/CA56) - 1)) )</f>
        <v>1</v>
      </c>
      <c r="BV56" s="30">
        <f t="shared" si="154"/>
        <v>0.54247832794327511</v>
      </c>
      <c r="BW56" s="30">
        <f t="shared" si="154"/>
        <v>0.31110847407961917</v>
      </c>
      <c r="BX56" s="30">
        <f t="shared" si="154"/>
        <v>0.11758133171956553</v>
      </c>
      <c r="BY56" s="30">
        <f t="shared" si="154"/>
        <v>1</v>
      </c>
      <c r="BZ56" s="30">
        <f t="shared" si="154"/>
        <v>1</v>
      </c>
      <c r="CA56" s="490">
        <f t="shared" si="150"/>
        <v>1</v>
      </c>
      <c r="CB56" s="490">
        <f t="shared" si="150"/>
        <v>1.05</v>
      </c>
      <c r="CC56" s="490">
        <f t="shared" si="150"/>
        <v>1.1000000000000001</v>
      </c>
      <c r="CD56" s="490">
        <f t="shared" si="150"/>
        <v>1.2</v>
      </c>
      <c r="CE56" s="490">
        <f t="shared" si="150"/>
        <v>1</v>
      </c>
      <c r="CF56" s="490">
        <f t="shared" si="150"/>
        <v>1</v>
      </c>
      <c r="CH56" s="30">
        <f>IF(CK56=0, 0, EXP($D56*$E$2 * (($CN56/CK56) - 1)))</f>
        <v>0.11758133171956553</v>
      </c>
      <c r="CI56" s="30">
        <f>IF(CL56=0, 0, EXP($D56*$E$2 * (($CN56/CL56) - 1)))</f>
        <v>1</v>
      </c>
      <c r="CJ56" s="30">
        <f>IF(CM56=0, 0, EXP($D56*$E$2 * (($CN56/CM56) - 1)))</f>
        <v>1</v>
      </c>
      <c r="CK56" s="490">
        <f t="shared" si="146"/>
        <v>1.2</v>
      </c>
      <c r="CL56" s="490">
        <f t="shared" si="146"/>
        <v>1</v>
      </c>
      <c r="CM56" s="490">
        <f t="shared" si="146"/>
        <v>1</v>
      </c>
      <c r="CN56" s="704">
        <f>CN45</f>
        <v>1</v>
      </c>
    </row>
    <row r="57" spans="1:92">
      <c r="A57" s="818"/>
      <c r="B57" s="824"/>
      <c r="C57" s="23" t="s">
        <v>462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64"/>
      <c r="AH57" s="23"/>
      <c r="AI57" s="23"/>
      <c r="AJ57" s="23"/>
      <c r="AK57" s="23"/>
      <c r="AL57" s="23"/>
      <c r="AM57" s="23"/>
      <c r="AN57" s="680">
        <f t="shared" ref="AN57:AS58" si="155">AN24</f>
        <v>2025</v>
      </c>
      <c r="AO57" s="680">
        <f t="shared" si="155"/>
        <v>2025</v>
      </c>
      <c r="AP57" s="680">
        <f t="shared" si="155"/>
        <v>2025</v>
      </c>
      <c r="AQ57" s="680">
        <f t="shared" si="155"/>
        <v>2025</v>
      </c>
      <c r="AR57" s="680">
        <f t="shared" si="155"/>
        <v>2028</v>
      </c>
      <c r="AS57" s="696">
        <f t="shared" si="155"/>
        <v>2030</v>
      </c>
      <c r="AU57" s="23"/>
      <c r="AV57" s="23"/>
      <c r="AW57" s="23"/>
      <c r="AX57" s="23"/>
      <c r="AY57" s="23"/>
      <c r="AZ57" s="23"/>
      <c r="BA57" s="680">
        <f t="shared" ref="BA57:BF58" si="156">BA24</f>
        <v>2025</v>
      </c>
      <c r="BB57" s="680">
        <f t="shared" si="156"/>
        <v>2025</v>
      </c>
      <c r="BC57" s="680">
        <f t="shared" si="156"/>
        <v>2025</v>
      </c>
      <c r="BD57" s="680">
        <f t="shared" si="156"/>
        <v>2025</v>
      </c>
      <c r="BE57" s="680">
        <f t="shared" si="156"/>
        <v>2028</v>
      </c>
      <c r="BF57" s="680">
        <f t="shared" si="156"/>
        <v>2030</v>
      </c>
      <c r="BH57" s="681"/>
      <c r="BI57" s="23"/>
      <c r="BJ57" s="23"/>
      <c r="BK57" s="23"/>
      <c r="BL57" s="23"/>
      <c r="BM57" s="23"/>
      <c r="BN57" s="491">
        <f t="shared" ref="BN57" si="157">BN24</f>
        <v>2025</v>
      </c>
      <c r="BO57" s="491">
        <f t="shared" ref="BO57:BS58" si="158">BO24</f>
        <v>2025</v>
      </c>
      <c r="BP57" s="491">
        <f t="shared" si="158"/>
        <v>2025</v>
      </c>
      <c r="BQ57" s="491">
        <f t="shared" si="158"/>
        <v>2025</v>
      </c>
      <c r="BR57" s="491">
        <f t="shared" si="158"/>
        <v>2028</v>
      </c>
      <c r="BS57" s="491">
        <f t="shared" si="158"/>
        <v>2030</v>
      </c>
      <c r="BU57" s="681"/>
      <c r="BV57" s="23"/>
      <c r="BW57" s="23"/>
      <c r="BX57" s="23"/>
      <c r="BY57" s="23"/>
      <c r="BZ57" s="23"/>
      <c r="CA57" s="491">
        <f>BN57</f>
        <v>2025</v>
      </c>
      <c r="CB57" s="491">
        <f t="shared" ref="CB57:CB59" si="159">BO57</f>
        <v>2025</v>
      </c>
      <c r="CC57" s="491">
        <f t="shared" ref="CC57:CC59" si="160">BP57</f>
        <v>2025</v>
      </c>
      <c r="CD57" s="491">
        <f t="shared" ref="CD57:CD59" si="161">BQ57</f>
        <v>2025</v>
      </c>
      <c r="CE57" s="491">
        <f t="shared" ref="CE57:CE59" si="162">BR57</f>
        <v>2028</v>
      </c>
      <c r="CF57" s="491">
        <f t="shared" ref="CF57:CF59" si="163">BS57</f>
        <v>2030</v>
      </c>
      <c r="CN57" s="17">
        <f>CN24</f>
        <v>2025</v>
      </c>
    </row>
    <row r="58" spans="1:92">
      <c r="A58" s="818"/>
      <c r="B58" s="824"/>
      <c r="C58" s="23" t="s">
        <v>463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64"/>
      <c r="AH58" s="23">
        <v>1</v>
      </c>
      <c r="AI58" s="701">
        <f>$BH58-($BO58-$BN58)/($BO$1-$BN58)</f>
        <v>0.9</v>
      </c>
      <c r="AJ58" s="701">
        <f>$BH58-($BP58-$BN58)/($BO$1-$BN58)</f>
        <v>0.75</v>
      </c>
      <c r="AK58" s="701">
        <f>$BH58-($BQ58-$BN58)/($BO$1-$BN58)</f>
        <v>0.85</v>
      </c>
      <c r="AL58" s="701">
        <f>$BH58-($BR58-$BN58)/($BO$1-$BN58)</f>
        <v>0.55000000000000004</v>
      </c>
      <c r="AM58" s="701">
        <f>$BH58-($BS58-$BN57)/($BO$1-$BN57)</f>
        <v>0.35</v>
      </c>
      <c r="AN58" s="680">
        <f t="shared" si="155"/>
        <v>2025</v>
      </c>
      <c r="AO58" s="680">
        <f t="shared" si="155"/>
        <v>2027</v>
      </c>
      <c r="AP58" s="680">
        <f t="shared" si="155"/>
        <v>2030</v>
      </c>
      <c r="AQ58" s="680">
        <f t="shared" si="155"/>
        <v>2028</v>
      </c>
      <c r="AR58" s="680">
        <f t="shared" si="155"/>
        <v>2034</v>
      </c>
      <c r="AS58" s="696">
        <f t="shared" si="155"/>
        <v>2038</v>
      </c>
      <c r="AU58" s="23">
        <v>1</v>
      </c>
      <c r="AV58" s="701">
        <f>$BH58-($BO58-$BN58)/($BO$1-$BN58)</f>
        <v>0.9</v>
      </c>
      <c r="AW58" s="701">
        <f>$BH58-($BP58-$BN58)/($BO$1-$BN58)</f>
        <v>0.75</v>
      </c>
      <c r="AX58" s="701">
        <f>$BH58-($BQ58-$BN58)/($BO$1-$BN58)</f>
        <v>0.85</v>
      </c>
      <c r="AY58" s="701">
        <f>$BH58-($BR58-$BN58)/($BO$1-$BN58)</f>
        <v>0.55000000000000004</v>
      </c>
      <c r="AZ58" s="701">
        <f>$BH58-($BS58-$BN57)/($BO$1-$BN57)</f>
        <v>0.35</v>
      </c>
      <c r="BA58" s="680">
        <f t="shared" si="156"/>
        <v>2025</v>
      </c>
      <c r="BB58" s="680">
        <f t="shared" si="156"/>
        <v>2027</v>
      </c>
      <c r="BC58" s="680">
        <f t="shared" si="156"/>
        <v>2030</v>
      </c>
      <c r="BD58" s="680">
        <f t="shared" si="156"/>
        <v>2028</v>
      </c>
      <c r="BE58" s="680">
        <f t="shared" si="156"/>
        <v>2034</v>
      </c>
      <c r="BF58" s="680">
        <f t="shared" si="156"/>
        <v>2038</v>
      </c>
      <c r="BH58" s="688">
        <v>1</v>
      </c>
      <c r="BI58" s="30">
        <f>$BH58-($BO58-$BN58)/($BO$1-$BN58)</f>
        <v>0.9</v>
      </c>
      <c r="BJ58" s="30">
        <f>$BH58-($BP58-$BN58)/($BO$1-$BN58)</f>
        <v>0.75</v>
      </c>
      <c r="BK58" s="30">
        <f>$BH58-($BQ58-$BN58)/($BO$1-$BN58)</f>
        <v>0.85</v>
      </c>
      <c r="BL58" s="30">
        <f>$BH58-($BR58-$BN58)/($BO$1-$BN58)</f>
        <v>0.55000000000000004</v>
      </c>
      <c r="BM58" s="30">
        <f>$BH58-($BS58-$BN57)/($BO$1-$BN57)</f>
        <v>0.35</v>
      </c>
      <c r="BN58" s="491">
        <f t="shared" ref="BN58" si="164">BN25</f>
        <v>2025</v>
      </c>
      <c r="BO58" s="491">
        <f t="shared" si="158"/>
        <v>2027</v>
      </c>
      <c r="BP58" s="491">
        <f t="shared" si="158"/>
        <v>2030</v>
      </c>
      <c r="BQ58" s="491">
        <f t="shared" si="158"/>
        <v>2028</v>
      </c>
      <c r="BR58" s="491">
        <f t="shared" si="158"/>
        <v>2034</v>
      </c>
      <c r="BS58" s="491">
        <f t="shared" si="158"/>
        <v>2038</v>
      </c>
      <c r="BU58" s="688">
        <v>1</v>
      </c>
      <c r="BV58" s="30">
        <f>$BU58-($CB58-$CA58)/($CB$1-$CA58)</f>
        <v>0.92</v>
      </c>
      <c r="BW58" s="30">
        <f>$BU58-($CC58-$CA58)/($CB$1-$CA58)</f>
        <v>0.8</v>
      </c>
      <c r="BX58" s="30">
        <f>$BU58-($CD58-$CA58)/($CB$1-$CA58)</f>
        <v>0.88</v>
      </c>
      <c r="BY58" s="30">
        <f>$BU58-($CE58-$CA58)/($CB$1-$CA58)</f>
        <v>0.64</v>
      </c>
      <c r="BZ58" s="30">
        <f>$BU58-($CF58-$CA57)/($CB$1-$CA57)</f>
        <v>0.48</v>
      </c>
      <c r="CA58" s="491">
        <f>BN58</f>
        <v>2025</v>
      </c>
      <c r="CB58" s="491">
        <f t="shared" si="159"/>
        <v>2027</v>
      </c>
      <c r="CC58" s="491">
        <f t="shared" si="160"/>
        <v>2030</v>
      </c>
      <c r="CD58" s="491">
        <f t="shared" si="161"/>
        <v>2028</v>
      </c>
      <c r="CE58" s="491">
        <f t="shared" si="162"/>
        <v>2034</v>
      </c>
      <c r="CF58" s="491">
        <f t="shared" si="163"/>
        <v>2038</v>
      </c>
      <c r="CN58" s="17">
        <f>CN25</f>
        <v>2025</v>
      </c>
    </row>
    <row r="59" spans="1:92">
      <c r="A59" s="818"/>
      <c r="B59" s="823"/>
      <c r="C59" s="23" t="s">
        <v>464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64"/>
      <c r="AH59" s="694">
        <v>1</v>
      </c>
      <c r="AI59" s="694">
        <f>$BH59-($BO58-$BN58)/($BO59-$BN58)+($BO$1-$BO59)/($BO$1-$BN58)</f>
        <v>0.35</v>
      </c>
      <c r="AJ59" s="694">
        <f>$BH59-($BP58-$BN58)/($BP59-$BN58)+($BO$1-$BP59)/($BO$1-$BN58)</f>
        <v>-2.5000000000000022E-2</v>
      </c>
      <c r="AK59" s="694">
        <f>$BH59-($BQ58-$BN58)/($BQ59-$BN58)+($BO$1-$BQ59)/($BO$1-$BN58)</f>
        <v>0.2</v>
      </c>
      <c r="AL59" s="694">
        <f>$BH59-($BR58-$BN58)/($BR59-$BN58)+($BO$1-$BR59)/($BO$1-$BN58)</f>
        <v>-0.37941176470588234</v>
      </c>
      <c r="AM59" s="694">
        <f>$BH59-($BS58-$BN57)/($BS59-$BN57)+($BO$1-$BS59)/($BO$1-$BN57)</f>
        <v>-0.65</v>
      </c>
      <c r="AN59" s="687">
        <f t="shared" ref="AN59:AS59" si="165">AN48</f>
        <v>2025</v>
      </c>
      <c r="AO59" s="687">
        <f t="shared" si="165"/>
        <v>2030</v>
      </c>
      <c r="AP59" s="687">
        <f t="shared" si="165"/>
        <v>2033</v>
      </c>
      <c r="AQ59" s="687">
        <f t="shared" si="165"/>
        <v>2035</v>
      </c>
      <c r="AR59" s="687">
        <f t="shared" si="165"/>
        <v>2042</v>
      </c>
      <c r="AS59" s="697">
        <f t="shared" si="165"/>
        <v>2045</v>
      </c>
      <c r="AU59" s="694">
        <v>1</v>
      </c>
      <c r="AV59" s="694">
        <f>$BH59-($BO58-$BN58)/($BO59-$BN58)+($BO$1-$BO59)/($BO$1-$BN58)</f>
        <v>0.35</v>
      </c>
      <c r="AW59" s="694">
        <f>$BH59-($BP58-$BN58)/($BP59-$BN58)+($BO$1-$BP59)/($BO$1-$BN58)</f>
        <v>-2.5000000000000022E-2</v>
      </c>
      <c r="AX59" s="694">
        <f>$BH59-($BQ58-$BN58)/($BQ59-$BN58)+($BO$1-$BQ59)/($BO$1-$BN58)</f>
        <v>0.2</v>
      </c>
      <c r="AY59" s="694">
        <f>$BH59-($BR58-$BN58)/($BR59-$BN58)+($BO$1-$BR59)/($BO$1-$BN58)</f>
        <v>-0.37941176470588234</v>
      </c>
      <c r="AZ59" s="694">
        <f>$BH59-($BS58-$BN57)/($BS59-$BN57)+($BO$1-$BS59)/($BO$1-$BN57)</f>
        <v>-0.65</v>
      </c>
      <c r="BA59" s="687">
        <f t="shared" ref="BA59:BF59" si="166">BA48</f>
        <v>2025</v>
      </c>
      <c r="BB59" s="687">
        <f t="shared" si="166"/>
        <v>2030</v>
      </c>
      <c r="BC59" s="687">
        <f t="shared" si="166"/>
        <v>2033</v>
      </c>
      <c r="BD59" s="687">
        <f t="shared" si="166"/>
        <v>2035</v>
      </c>
      <c r="BE59" s="687">
        <f t="shared" si="166"/>
        <v>2042</v>
      </c>
      <c r="BF59" s="687">
        <f t="shared" si="166"/>
        <v>2045</v>
      </c>
      <c r="BH59" s="681"/>
      <c r="BI59" s="23"/>
      <c r="BJ59" s="23"/>
      <c r="BK59" s="23"/>
      <c r="BL59" s="23"/>
      <c r="BM59" s="23"/>
      <c r="BN59" s="491">
        <f t="shared" ref="BN59" si="167">BN48</f>
        <v>2025</v>
      </c>
      <c r="BO59" s="491">
        <f t="shared" ref="BO59:BS59" si="168">BO48</f>
        <v>2030</v>
      </c>
      <c r="BP59" s="491">
        <f t="shared" si="168"/>
        <v>2033</v>
      </c>
      <c r="BQ59" s="491">
        <f t="shared" si="168"/>
        <v>2035</v>
      </c>
      <c r="BR59" s="491">
        <f t="shared" si="168"/>
        <v>2042</v>
      </c>
      <c r="BS59" s="491">
        <f t="shared" si="168"/>
        <v>2045</v>
      </c>
      <c r="BU59" s="688">
        <v>1</v>
      </c>
      <c r="BV59" s="30">
        <f>$BU59-($CB59-$CA59)/($CB$1-$CA59)</f>
        <v>0.8</v>
      </c>
      <c r="BW59" s="30">
        <f>$BU59-($CC59-$CA59)/($CB$1-$CA59)</f>
        <v>0.67999999999999994</v>
      </c>
      <c r="BX59" s="30">
        <f>$BU59-($CD59-$CA59)/($CB$1-$CA59)</f>
        <v>0.6</v>
      </c>
      <c r="BY59" s="30">
        <f>$BU59-($CE59-$CA59)/($CB$1-$CA59)</f>
        <v>0.31999999999999995</v>
      </c>
      <c r="BZ59" s="30">
        <f>$BU59-($CF59-$CA58)/($CB$1-$CA58)</f>
        <v>0.19999999999999996</v>
      </c>
      <c r="CA59" s="491">
        <f>BN59</f>
        <v>2025</v>
      </c>
      <c r="CB59" s="491">
        <f t="shared" si="159"/>
        <v>2030</v>
      </c>
      <c r="CC59" s="491">
        <f t="shared" si="160"/>
        <v>2033</v>
      </c>
      <c r="CD59" s="491">
        <f t="shared" si="161"/>
        <v>2035</v>
      </c>
      <c r="CE59" s="491">
        <f t="shared" si="162"/>
        <v>2042</v>
      </c>
      <c r="CF59" s="491">
        <f t="shared" si="163"/>
        <v>2045</v>
      </c>
      <c r="CH59" s="30">
        <f>CD59/CD59</f>
        <v>1</v>
      </c>
      <c r="CI59" s="30">
        <f>1-(CE59-CD59)/($CK$1-CD59)</f>
        <v>0.65</v>
      </c>
      <c r="CJ59" s="30">
        <f>1-(CF59-CD59)/($CK$1-CD59)</f>
        <v>0.5</v>
      </c>
      <c r="CK59" s="936" t="s">
        <v>1059</v>
      </c>
      <c r="CL59" s="937"/>
      <c r="CM59" s="937"/>
      <c r="CN59" s="17">
        <f>CN48</f>
        <v>2025</v>
      </c>
    </row>
    <row r="60" spans="1:92">
      <c r="A60" s="818">
        <v>6</v>
      </c>
      <c r="B60" s="822" t="s">
        <v>841</v>
      </c>
      <c r="C60" s="23" t="s">
        <v>452</v>
      </c>
      <c r="D60" s="450"/>
      <c r="E60" s="24" t="s">
        <v>467</v>
      </c>
      <c r="F60" s="25" t="s">
        <v>467</v>
      </c>
      <c r="G60" s="25" t="s">
        <v>467</v>
      </c>
      <c r="H60" s="24" t="s">
        <v>468</v>
      </c>
      <c r="I60" s="25" t="s">
        <v>454</v>
      </c>
      <c r="J60" s="24" t="s">
        <v>467</v>
      </c>
      <c r="K60" s="25" t="s">
        <v>467</v>
      </c>
      <c r="L60" s="25" t="s">
        <v>467</v>
      </c>
      <c r="M60" s="25" t="s">
        <v>468</v>
      </c>
      <c r="N60" s="25" t="s">
        <v>469</v>
      </c>
      <c r="O60" s="25" t="s">
        <v>468</v>
      </c>
      <c r="P60" s="25" t="s">
        <v>454</v>
      </c>
      <c r="Q60" s="24" t="s">
        <v>453</v>
      </c>
      <c r="R60" s="25" t="s">
        <v>454</v>
      </c>
      <c r="S60" s="25" t="s">
        <v>453</v>
      </c>
      <c r="T60" s="25" t="s">
        <v>454</v>
      </c>
      <c r="U60" s="25"/>
      <c r="V60" s="25"/>
      <c r="W60" s="24"/>
      <c r="X60" s="25"/>
      <c r="Y60" s="25"/>
      <c r="Z60" s="24"/>
      <c r="AA60" s="25"/>
      <c r="AB60" s="25"/>
      <c r="AD60" s="26"/>
      <c r="AE60" s="27"/>
      <c r="AF60" s="27"/>
      <c r="AH60" s="684"/>
      <c r="AI60" s="684"/>
      <c r="AJ60" s="684"/>
      <c r="AK60" s="684"/>
      <c r="AL60" s="684"/>
      <c r="AM60" s="684"/>
      <c r="AN60" s="684"/>
      <c r="AO60" s="684"/>
      <c r="AP60" s="684"/>
      <c r="AQ60" s="684"/>
      <c r="AR60" s="684"/>
      <c r="AS60" s="684"/>
      <c r="AU60" s="684"/>
      <c r="AV60" s="684"/>
      <c r="AW60" s="684"/>
      <c r="AX60" s="684"/>
      <c r="AY60" s="684"/>
      <c r="AZ60" s="684"/>
      <c r="BA60" s="684"/>
      <c r="BB60" s="684"/>
      <c r="BC60" s="684"/>
      <c r="BD60" s="684"/>
      <c r="BE60" s="684"/>
      <c r="BF60" s="689"/>
      <c r="BH60" s="447"/>
      <c r="BI60" s="445"/>
      <c r="BJ60" s="445"/>
      <c r="BK60" s="445"/>
      <c r="BL60" s="445"/>
      <c r="BM60" s="445"/>
      <c r="BU60" s="447"/>
      <c r="BV60" s="445"/>
      <c r="BW60" s="445"/>
      <c r="BX60" s="445"/>
      <c r="BY60" s="445"/>
      <c r="BZ60" s="445"/>
    </row>
    <row r="61" spans="1:92">
      <c r="A61" s="818"/>
      <c r="B61" s="824"/>
      <c r="C61" s="23" t="s">
        <v>455</v>
      </c>
      <c r="D61" s="450"/>
      <c r="E61" s="24"/>
      <c r="F61" s="24"/>
      <c r="G61" s="25"/>
      <c r="H61" s="24"/>
      <c r="I61" s="25"/>
      <c r="J61" s="25"/>
      <c r="K61" s="25"/>
      <c r="L61" s="25"/>
      <c r="M61" s="25"/>
      <c r="N61" s="25"/>
      <c r="O61" s="25"/>
      <c r="P61" s="25"/>
      <c r="Q61" s="24"/>
      <c r="R61" s="25"/>
      <c r="S61" s="25"/>
      <c r="T61" s="25"/>
      <c r="U61" s="25"/>
      <c r="V61" s="25"/>
      <c r="W61" s="24"/>
      <c r="X61" s="25"/>
      <c r="Y61" s="25"/>
      <c r="Z61" s="24"/>
      <c r="AA61" s="25"/>
      <c r="AB61" s="25"/>
      <c r="AD61" s="26"/>
      <c r="AE61" s="27"/>
      <c r="AF61" s="27"/>
      <c r="AH61" s="68">
        <f>Buckets!H8</f>
        <v>27900</v>
      </c>
      <c r="AI61" s="68">
        <f>Buckets!J8</f>
        <v>27230</v>
      </c>
      <c r="AJ61" s="68">
        <f>Buckets!K8</f>
        <v>670</v>
      </c>
      <c r="AK61" s="691">
        <f>AH61</f>
        <v>27900</v>
      </c>
      <c r="AL61" s="691">
        <f>AH61</f>
        <v>27900</v>
      </c>
      <c r="AM61" s="691">
        <f>AH61</f>
        <v>27900</v>
      </c>
      <c r="AU61" s="68">
        <f>Buckets!M8</f>
        <v>36630</v>
      </c>
      <c r="AV61" s="68">
        <f>Buckets!O8</f>
        <v>35750</v>
      </c>
      <c r="AW61" s="68">
        <f>Buckets!P8</f>
        <v>880</v>
      </c>
      <c r="AX61" s="691">
        <f>AU61</f>
        <v>36630</v>
      </c>
      <c r="AY61" s="691">
        <f>AU61</f>
        <v>36630</v>
      </c>
      <c r="AZ61" s="691">
        <f>AU61</f>
        <v>36630</v>
      </c>
      <c r="BH61" s="68">
        <f>Buckets!R8</f>
        <v>49420</v>
      </c>
      <c r="BI61" s="68">
        <f>Buckets!T8</f>
        <v>48230</v>
      </c>
      <c r="BJ61" s="68">
        <f>Buckets!U8</f>
        <v>1190</v>
      </c>
      <c r="BK61" s="691">
        <f>BH61</f>
        <v>49420</v>
      </c>
      <c r="BL61" s="691">
        <f>BH61</f>
        <v>49420</v>
      </c>
      <c r="BM61" s="691">
        <f>BH61</f>
        <v>49420</v>
      </c>
      <c r="BN61" s="445" t="s">
        <v>178</v>
      </c>
      <c r="BO61" s="22" t="s">
        <v>179</v>
      </c>
      <c r="BP61" s="22" t="s">
        <v>180</v>
      </c>
      <c r="BQ61" s="22" t="s">
        <v>182</v>
      </c>
      <c r="BR61" s="22" t="s">
        <v>181</v>
      </c>
      <c r="BS61" s="445" t="s">
        <v>183</v>
      </c>
      <c r="BU61" s="68">
        <f>Buckets!W8</f>
        <v>61240</v>
      </c>
      <c r="BV61" s="68">
        <f>Buckets!Y8</f>
        <v>59770</v>
      </c>
      <c r="BW61" s="68">
        <f>Buckets!Z8</f>
        <v>1470</v>
      </c>
      <c r="BX61" s="691">
        <f>BU61</f>
        <v>61240</v>
      </c>
      <c r="BY61" s="691">
        <f>BU61</f>
        <v>61240</v>
      </c>
      <c r="BZ61" s="691">
        <f>BU61</f>
        <v>61240</v>
      </c>
      <c r="CA61" s="445" t="s">
        <v>178</v>
      </c>
      <c r="CB61" s="22" t="s">
        <v>179</v>
      </c>
      <c r="CC61" s="22" t="s">
        <v>180</v>
      </c>
      <c r="CD61" s="22" t="s">
        <v>182</v>
      </c>
      <c r="CE61" s="22" t="s">
        <v>181</v>
      </c>
      <c r="CF61" s="445" t="s">
        <v>183</v>
      </c>
      <c r="CK61" s="22" t="s">
        <v>182</v>
      </c>
      <c r="CL61" s="22" t="s">
        <v>181</v>
      </c>
      <c r="CM61" s="445" t="s">
        <v>183</v>
      </c>
    </row>
    <row r="62" spans="1:92">
      <c r="A62" s="818"/>
      <c r="B62" s="824"/>
      <c r="C62" s="28" t="s">
        <v>456</v>
      </c>
      <c r="D62" s="450"/>
      <c r="E62" s="24"/>
      <c r="F62" s="25"/>
      <c r="G62" s="25"/>
      <c r="H62" s="24"/>
      <c r="I62" s="25"/>
      <c r="J62" s="24"/>
      <c r="K62" s="25"/>
      <c r="L62" s="25"/>
      <c r="M62" s="25"/>
      <c r="N62" s="25"/>
      <c r="O62" s="25"/>
      <c r="P62" s="25"/>
      <c r="Q62" s="24"/>
      <c r="R62" s="25"/>
      <c r="S62" s="25"/>
      <c r="T62" s="25"/>
      <c r="U62" s="25"/>
      <c r="V62" s="25"/>
      <c r="W62" s="24"/>
      <c r="X62" s="25"/>
      <c r="Y62" s="25"/>
      <c r="Z62" s="24"/>
      <c r="AA62" s="25"/>
      <c r="AB62" s="25"/>
      <c r="AD62" s="26"/>
      <c r="AE62" s="27"/>
      <c r="AF62" s="27"/>
      <c r="AH62" s="686"/>
      <c r="AI62" s="686"/>
      <c r="AJ62" s="686"/>
      <c r="AK62" s="686"/>
      <c r="AL62" s="686"/>
      <c r="AM62" s="686"/>
      <c r="AN62" s="686"/>
      <c r="AO62" s="686"/>
      <c r="AP62" s="686"/>
      <c r="AQ62" s="686"/>
      <c r="AR62" s="686"/>
      <c r="AS62" s="686"/>
      <c r="AU62" s="686"/>
      <c r="AV62" s="686"/>
      <c r="AW62" s="686"/>
      <c r="AX62" s="686"/>
      <c r="AY62" s="686"/>
      <c r="AZ62" s="686"/>
      <c r="BA62" s="686"/>
      <c r="BB62" s="686"/>
      <c r="BC62" s="686"/>
      <c r="BD62" s="686"/>
      <c r="BE62" s="686"/>
      <c r="BF62" s="690"/>
      <c r="BH62" s="447"/>
      <c r="BI62" s="445"/>
      <c r="BJ62" s="445"/>
      <c r="BK62" s="445"/>
      <c r="BL62" s="445"/>
      <c r="BM62" s="445"/>
      <c r="BU62" s="447"/>
      <c r="BV62" s="445"/>
      <c r="BW62" s="445"/>
      <c r="BX62" s="445"/>
      <c r="BY62" s="445"/>
      <c r="BZ62" s="445"/>
    </row>
    <row r="63" spans="1:92">
      <c r="A63" s="818"/>
      <c r="B63" s="824"/>
      <c r="C63" s="23" t="s">
        <v>457</v>
      </c>
      <c r="D63" s="29">
        <f t="shared" ref="D63:D67" si="169">AVERAGE(E63:AB63)</f>
        <v>8.6875</v>
      </c>
      <c r="E63" s="451">
        <v>9</v>
      </c>
      <c r="F63" s="27">
        <v>9</v>
      </c>
      <c r="G63" s="27">
        <v>7</v>
      </c>
      <c r="H63" s="26">
        <v>9</v>
      </c>
      <c r="I63" s="27">
        <v>8</v>
      </c>
      <c r="J63" s="26">
        <v>8</v>
      </c>
      <c r="K63" s="27">
        <v>9</v>
      </c>
      <c r="L63" s="27">
        <v>9</v>
      </c>
      <c r="M63" s="27">
        <v>9</v>
      </c>
      <c r="N63" s="27">
        <v>8</v>
      </c>
      <c r="O63" s="27">
        <v>9</v>
      </c>
      <c r="P63" s="27">
        <v>9</v>
      </c>
      <c r="Q63" s="26">
        <v>9</v>
      </c>
      <c r="R63" s="27">
        <v>9</v>
      </c>
      <c r="S63" s="27">
        <v>9</v>
      </c>
      <c r="T63" s="27">
        <v>9</v>
      </c>
      <c r="U63" s="27"/>
      <c r="V63" s="27"/>
      <c r="W63" s="26"/>
      <c r="X63" s="27"/>
      <c r="Y63" s="27"/>
      <c r="Z63" s="26"/>
      <c r="AA63" s="27"/>
      <c r="AB63" s="27"/>
      <c r="AD63" s="26"/>
      <c r="AE63" s="27"/>
      <c r="AF63" s="27"/>
      <c r="AH63" s="693">
        <f t="shared" ref="AH63:AM63" si="170">IF(AN63=0, 0, EXP($D63*$E$2 * (($AN63/AN63) - 1)) )</f>
        <v>1</v>
      </c>
      <c r="AI63" s="693">
        <f t="shared" si="170"/>
        <v>1.0487193290221235</v>
      </c>
      <c r="AJ63" s="693">
        <f t="shared" si="170"/>
        <v>1.0800848338883611</v>
      </c>
      <c r="AK63" s="693">
        <f t="shared" si="170"/>
        <v>5.3643399770407587</v>
      </c>
      <c r="AL63" s="693">
        <f t="shared" si="170"/>
        <v>2.9263597026273219E-2</v>
      </c>
      <c r="AM63" s="693">
        <f t="shared" si="170"/>
        <v>1.8408589564654413E-2</v>
      </c>
      <c r="AN63" s="685">
        <f>'B6 Perishables 15T'!$M$165</f>
        <v>40.173801864460295</v>
      </c>
      <c r="AO63" s="685">
        <f>'B6 Perishables 15T'!$M$166</f>
        <v>40.027683401836597</v>
      </c>
      <c r="AP63" s="685">
        <f>'B6 Perishables 15T'!$M$167</f>
        <v>39.937693780245915</v>
      </c>
      <c r="AQ63" s="685">
        <f>'B6 Perishables 15T'!$M$168</f>
        <v>35.586569559495871</v>
      </c>
      <c r="AR63" s="685">
        <f>'B6 Perishables 15T'!$M$169</f>
        <v>55.107760585851096</v>
      </c>
      <c r="AS63" s="695">
        <f>'B6 Perishables 15T'!$M$170</f>
        <v>57.93456995535022</v>
      </c>
      <c r="AU63" s="693">
        <f t="shared" ref="AU63:AZ63" si="171">IF(BA63=0, 0, EXP($D63*$E$2 * (($BA63/BA63) - 1)) )</f>
        <v>1</v>
      </c>
      <c r="AV63" s="693">
        <f t="shared" si="171"/>
        <v>0.75662323427295941</v>
      </c>
      <c r="AW63" s="693">
        <f t="shared" si="171"/>
        <v>0.78815232254966061</v>
      </c>
      <c r="AX63" s="693">
        <f t="shared" si="171"/>
        <v>23.401412200125957</v>
      </c>
      <c r="AY63" s="693">
        <f t="shared" si="171"/>
        <v>0.18220372268939963</v>
      </c>
      <c r="AZ63" s="693">
        <f t="shared" si="171"/>
        <v>0.12124969965332225</v>
      </c>
      <c r="BA63" s="685">
        <f>'B6 Perishables 15T'!$R$165</f>
        <v>45.985836505488741</v>
      </c>
      <c r="BB63" s="685">
        <f>'B6 Perishables 15T'!$R$166</f>
        <v>46.991531395838763</v>
      </c>
      <c r="BC63" s="685">
        <f>'B6 Perishables 15T'!$R$167</f>
        <v>46.841570779616561</v>
      </c>
      <c r="BD63" s="685">
        <f>'B6 Perishables 15T'!$R$168</f>
        <v>37.027385996425231</v>
      </c>
      <c r="BE63" s="685">
        <f>'B6 Perishables 15T'!$R$169</f>
        <v>52.897257096427765</v>
      </c>
      <c r="BF63" s="685">
        <f>'B6 Perishables 15T'!$R$170</f>
        <v>54.869874968413484</v>
      </c>
      <c r="BH63" s="688">
        <f t="shared" ref="BH63:BM63" si="172">IF(BN63=0, 0, EXP($D63*$E$2 * (($BN63/BN63) - 1)) )</f>
        <v>1</v>
      </c>
      <c r="BI63" s="30">
        <f t="shared" si="172"/>
        <v>0.55979197774770095</v>
      </c>
      <c r="BJ63" s="30">
        <f t="shared" si="172"/>
        <v>0.59724672609345941</v>
      </c>
      <c r="BK63" s="30">
        <f t="shared" si="172"/>
        <v>41.19698486079681</v>
      </c>
      <c r="BL63" s="30">
        <f t="shared" si="172"/>
        <v>0.95658687477151882</v>
      </c>
      <c r="BM63" s="30">
        <f t="shared" si="172"/>
        <v>0.57683732508073671</v>
      </c>
      <c r="BN63" s="492">
        <f>'B6 Perishables 15T'!$W$165</f>
        <v>52.310414399912929</v>
      </c>
      <c r="BO63" s="492">
        <f>'B6 Perishables 15T'!$W$166</f>
        <v>54.747956353283911</v>
      </c>
      <c r="BP63" s="492">
        <f>'B6 Perishables 15T'!$W$167</f>
        <v>54.464654647696243</v>
      </c>
      <c r="BQ63" s="492">
        <f>'B6 Perishables 15T'!$W$168</f>
        <v>40.697656917610686</v>
      </c>
      <c r="BR63" s="492">
        <f>'B6 Perishables 15T'!$W$169</f>
        <v>52.489189481946909</v>
      </c>
      <c r="BS63" s="492">
        <f>'B6 Perishables 15T'!$W$170</f>
        <v>54.616383535042218</v>
      </c>
      <c r="BU63" s="688">
        <f t="shared" ref="BU63:BZ63" si="173">IF(CA63=0, 0, EXP($D63*$E$2 * (($CA63/CA63) - 1)) )</f>
        <v>1</v>
      </c>
      <c r="BV63" s="30">
        <f t="shared" si="173"/>
        <v>0.42201583489233041</v>
      </c>
      <c r="BW63" s="30">
        <f t="shared" si="173"/>
        <v>0.45481986690520709</v>
      </c>
      <c r="BX63" s="30">
        <f t="shared" si="173"/>
        <v>94.159332831406672</v>
      </c>
      <c r="BY63" s="30">
        <f t="shared" si="173"/>
        <v>4.0060891104365401</v>
      </c>
      <c r="BZ63" s="30">
        <f t="shared" si="173"/>
        <v>2.9766569450641329</v>
      </c>
      <c r="CA63" s="492">
        <f>'B6 Perishables 15T'!$AB$165</f>
        <v>60.279812821353055</v>
      </c>
      <c r="CB63" s="492">
        <f>'B6 Perishables 15T'!$AB$166</f>
        <v>64.553468902702548</v>
      </c>
      <c r="CC63" s="492">
        <f>'B6 Perishables 15T'!$AB$167</f>
        <v>64.158775903619855</v>
      </c>
      <c r="CD63" s="492">
        <f>'B6 Perishables 15T'!$AB$168</f>
        <v>44.69223129313653</v>
      </c>
      <c r="CE63" s="492">
        <f>'B6 Perishables 15T'!$AB$169</f>
        <v>54.477962656478546</v>
      </c>
      <c r="CF63" s="492">
        <f>'B6 Perishables 15T'!$AB$170</f>
        <v>55.623741885122293</v>
      </c>
      <c r="CH63" s="30">
        <f>IF(CK63=0, 0, EXP($D63*$E$2 * (($CN63/CK63) - 1)))</f>
        <v>72.856819920270297</v>
      </c>
      <c r="CI63" s="30">
        <f>IF(CL63=0, 0, EXP($D63*$E$2 * (($CN63/CL63) - 1)))</f>
        <v>6.4329093890898408</v>
      </c>
      <c r="CJ63" s="30">
        <f>IF(CM63=0, 0, EXP($D63*$E$2 * (($CN63/CM63) - 1)))</f>
        <v>5.0469178996440114</v>
      </c>
      <c r="CK63" s="492">
        <f>'B6 Perishables 15T'!$AG$168</f>
        <v>51.913905669862842</v>
      </c>
      <c r="CL63" s="492">
        <f>'B6 Perishables 15T'!$AG$169</f>
        <v>60.374348625833328</v>
      </c>
      <c r="CM63" s="492">
        <f>'B6 Perishables 15T'!$AG$170</f>
        <v>61.374332083770895</v>
      </c>
      <c r="CN63" s="703">
        <f>'B6 Perishables 15T'!$AG$165</f>
        <v>68.99842053181861</v>
      </c>
    </row>
    <row r="64" spans="1:92">
      <c r="A64" s="818"/>
      <c r="B64" s="824"/>
      <c r="C64" s="23" t="s">
        <v>458</v>
      </c>
      <c r="D64" s="29">
        <f t="shared" si="169"/>
        <v>5.75</v>
      </c>
      <c r="E64" s="451">
        <v>5</v>
      </c>
      <c r="F64" s="27">
        <v>4</v>
      </c>
      <c r="G64" s="27">
        <v>8</v>
      </c>
      <c r="H64" s="26">
        <v>6</v>
      </c>
      <c r="I64" s="27">
        <v>8</v>
      </c>
      <c r="J64" s="26">
        <v>5</v>
      </c>
      <c r="K64" s="27">
        <v>3</v>
      </c>
      <c r="L64" s="27">
        <v>3</v>
      </c>
      <c r="M64" s="27">
        <v>3</v>
      </c>
      <c r="N64" s="27">
        <v>5</v>
      </c>
      <c r="O64" s="27">
        <v>2</v>
      </c>
      <c r="P64" s="27">
        <v>5</v>
      </c>
      <c r="Q64" s="26">
        <v>9</v>
      </c>
      <c r="R64" s="27">
        <v>9</v>
      </c>
      <c r="S64" s="27">
        <v>9</v>
      </c>
      <c r="T64" s="27">
        <v>8</v>
      </c>
      <c r="U64" s="27"/>
      <c r="V64" s="27"/>
      <c r="W64" s="26"/>
      <c r="X64" s="27"/>
      <c r="Y64" s="27"/>
      <c r="Z64" s="26"/>
      <c r="AA64" s="27"/>
      <c r="AB64" s="27"/>
      <c r="AD64" s="26"/>
      <c r="AE64" s="27"/>
      <c r="AF64" s="27"/>
      <c r="AH64" s="693">
        <f t="shared" ref="AH64:AM64" si="174">IF(AN64=0, 0, EXP($D64*$F$2 * (($AN64/AN64) - 1)) )</f>
        <v>1</v>
      </c>
      <c r="AI64" s="693">
        <f t="shared" si="174"/>
        <v>0.59548454653857563</v>
      </c>
      <c r="AJ64" s="693">
        <f t="shared" si="174"/>
        <v>0.23258584099264701</v>
      </c>
      <c r="AK64" s="693">
        <f t="shared" si="174"/>
        <v>1.9169040738759566E-2</v>
      </c>
      <c r="AL64" s="693">
        <f t="shared" si="174"/>
        <v>0.12595509839428748</v>
      </c>
      <c r="AM64" s="693">
        <f t="shared" si="174"/>
        <v>4.2543136069526305E-3</v>
      </c>
      <c r="AN64" s="678">
        <f>'B6 Perishables 15T'!$M$63</f>
        <v>3151600</v>
      </c>
      <c r="AO64" s="678">
        <f>'B6 Perishables 15T'!$M$81</f>
        <v>3353129.8453098629</v>
      </c>
      <c r="AP64" s="678">
        <f>'B6 Perishables 15T'!$M$98</f>
        <v>3793000</v>
      </c>
      <c r="AQ64" s="678">
        <f>'B6 Perishables 15T'!$M$132</f>
        <v>5820000</v>
      </c>
      <c r="AR64" s="678">
        <f>'B6 Perishables 15T'!$M$115</f>
        <v>4148000</v>
      </c>
      <c r="AS64" s="682">
        <f>'B6 Perishables 15T'!$M$149</f>
        <v>8588000</v>
      </c>
      <c r="AU64" s="693">
        <f t="shared" ref="AU64:AZ64" si="175">IF(BA64=0, 0, EXP($D64*$F$2 * (($BA64/BA64) - 1)) )</f>
        <v>1</v>
      </c>
      <c r="AV64" s="693">
        <f t="shared" si="175"/>
        <v>0.59539447866983664</v>
      </c>
      <c r="AW64" s="693">
        <f t="shared" si="175"/>
        <v>0.261195493816474</v>
      </c>
      <c r="AX64" s="693">
        <f t="shared" si="175"/>
        <v>3.6280697666781755E-2</v>
      </c>
      <c r="AY64" s="693">
        <f t="shared" si="175"/>
        <v>0.20822262745216696</v>
      </c>
      <c r="AZ64" s="693">
        <f t="shared" si="175"/>
        <v>8.1851657477417343E-3</v>
      </c>
      <c r="BA64" s="678">
        <f>'B6 Perishables 15T'!$R$63</f>
        <v>3653500</v>
      </c>
      <c r="BB64" s="678">
        <f>'B6 Perishables 15T'!$R$81</f>
        <v>3887196.497429294</v>
      </c>
      <c r="BC64" s="678">
        <f>'B6 Perishables 15T'!$R$98</f>
        <v>4327000</v>
      </c>
      <c r="BD64" s="678">
        <f>'B6 Perishables 15T'!$R$132</f>
        <v>5936000</v>
      </c>
      <c r="BE64" s="678">
        <f>'B6 Perishables 15T'!$R$115</f>
        <v>4466000</v>
      </c>
      <c r="BF64" s="678">
        <f>'B6 Perishables 15T'!$R$149</f>
        <v>8250000</v>
      </c>
      <c r="BH64" s="688">
        <f t="shared" ref="BH64:BM64" si="176">IF(BN64=0, 0, EXP($D64*$F$2 * (($BN64/BN64) - 1)) )</f>
        <v>1</v>
      </c>
      <c r="BI64" s="30">
        <f t="shared" si="176"/>
        <v>0.59549952165115105</v>
      </c>
      <c r="BJ64" s="30">
        <f t="shared" si="176"/>
        <v>0.29054239811958793</v>
      </c>
      <c r="BK64" s="30">
        <f t="shared" si="176"/>
        <v>5.922575331205409E-2</v>
      </c>
      <c r="BL64" s="30">
        <f t="shared" si="176"/>
        <v>0.23538351791759751</v>
      </c>
      <c r="BM64" s="30">
        <f t="shared" si="176"/>
        <v>1.3655935167823765E-2</v>
      </c>
      <c r="BN64" s="493">
        <f>'B6 Perishables 15T'!$W$63</f>
        <v>4235500</v>
      </c>
      <c r="BO64" s="493">
        <f>'B6 Perishables 15T'!$W$81</f>
        <v>4506326.1211795481</v>
      </c>
      <c r="BP64" s="493">
        <f>'B6 Perishables 15T'!$W$98</f>
        <v>4944000</v>
      </c>
      <c r="BQ64" s="493">
        <f>'B6 Perishables 15T'!$W$132</f>
        <v>6300000</v>
      </c>
      <c r="BR64" s="493">
        <f>'B6 Perishables 15T'!$W$115</f>
        <v>5089000</v>
      </c>
      <c r="BS64" s="494">
        <f>'B6 Perishables 15T'!$W$149</f>
        <v>8434000</v>
      </c>
      <c r="BU64" s="688">
        <f t="shared" ref="BU64:BZ64" si="177">IF(CA64=0, 0, EXP($D64*$F$2 * (($CA64/CA64) - 1)) )</f>
        <v>1</v>
      </c>
      <c r="BV64" s="30">
        <f t="shared" si="177"/>
        <v>0.59549426983920983</v>
      </c>
      <c r="BW64" s="30">
        <f t="shared" si="177"/>
        <v>0.32148764605179025</v>
      </c>
      <c r="BX64" s="30">
        <f t="shared" si="177"/>
        <v>8.4700121162244568E-2</v>
      </c>
      <c r="BY64" s="30">
        <f t="shared" si="177"/>
        <v>0.26391072531893922</v>
      </c>
      <c r="BZ64" s="30">
        <f t="shared" si="177"/>
        <v>2.2758178069103435E-2</v>
      </c>
      <c r="CA64" s="493">
        <f>'B6 Perishables 15T'!$AB$63</f>
        <v>4910100</v>
      </c>
      <c r="CB64" s="493">
        <f>'B6 Perishables 15T'!$AB$81</f>
        <v>5224067.0426243301</v>
      </c>
      <c r="CC64" s="493">
        <f>'B6 Perishables 15T'!$AB$98</f>
        <v>5654000</v>
      </c>
      <c r="CD64" s="493">
        <f>'B6 Perishables 15T'!$AB$132</f>
        <v>6879000</v>
      </c>
      <c r="CE64" s="493">
        <f>'B6 Perishables 15T'!$AB$115</f>
        <v>5807000</v>
      </c>
      <c r="CF64" s="494">
        <f>'B6 Perishables 15T'!$AB$149</f>
        <v>8746000</v>
      </c>
      <c r="CH64" s="30">
        <f>IF(CK64=0, 0, EXP($D64*$F$2 * (($CN64/CK64) - 1)))</f>
        <v>0.10318043316383364</v>
      </c>
      <c r="CI64" s="30">
        <f>IF(CL64=0, 0, EXP($D64*$F$2 * (($CN64/CL64) - 1)))</f>
        <v>0.29359061367503736</v>
      </c>
      <c r="CJ64" s="30">
        <f>IF(CM64=0, 0, EXP($D64*$F$2 * (($CN64/CM64) - 1)))</f>
        <v>3.1063315522843558E-2</v>
      </c>
      <c r="CK64" s="493">
        <f>'B6 Perishables 15T'!$AG$132</f>
        <v>7727000</v>
      </c>
      <c r="CL64" s="493">
        <f>'B6 Perishables 15T'!$AG$115</f>
        <v>6635000</v>
      </c>
      <c r="CM64" s="494">
        <f>'B6 Perishables 15T'!$AG$149</f>
        <v>9527000</v>
      </c>
      <c r="CN64" s="17">
        <f>'B6 Perishables 15T'!$AG$63</f>
        <v>5692200</v>
      </c>
    </row>
    <row r="65" spans="1:92">
      <c r="A65" s="818"/>
      <c r="B65" s="824"/>
      <c r="C65" s="23" t="s">
        <v>459</v>
      </c>
      <c r="D65" s="29">
        <f t="shared" si="169"/>
        <v>5</v>
      </c>
      <c r="E65" s="451">
        <v>8</v>
      </c>
      <c r="F65" s="32">
        <v>1</v>
      </c>
      <c r="G65" s="32">
        <v>2</v>
      </c>
      <c r="H65" s="32">
        <v>6</v>
      </c>
      <c r="I65" s="32">
        <v>10</v>
      </c>
      <c r="J65" s="32">
        <v>1</v>
      </c>
      <c r="K65" s="32">
        <v>1</v>
      </c>
      <c r="L65" s="32">
        <v>1</v>
      </c>
      <c r="M65" s="32">
        <v>1</v>
      </c>
      <c r="N65" s="32">
        <v>1</v>
      </c>
      <c r="O65" s="32">
        <v>6</v>
      </c>
      <c r="P65" s="32">
        <v>9</v>
      </c>
      <c r="Q65" s="32">
        <v>8</v>
      </c>
      <c r="R65" s="32">
        <v>8</v>
      </c>
      <c r="S65" s="32">
        <v>8</v>
      </c>
      <c r="T65" s="32">
        <v>9</v>
      </c>
      <c r="U65" s="32"/>
      <c r="V65" s="32"/>
      <c r="W65" s="32"/>
      <c r="X65" s="32"/>
      <c r="Y65" s="32"/>
      <c r="Z65" s="32"/>
      <c r="AA65" s="32"/>
      <c r="AB65" s="32"/>
      <c r="AD65" s="32"/>
      <c r="AE65" s="32"/>
      <c r="AF65" s="32"/>
      <c r="AH65" s="693">
        <f t="shared" ref="AH65:AM66" si="178">IF(AN65=0, 0, EXP($D65*$E$2 * ((AN65/$AN65) - 1)) )</f>
        <v>1</v>
      </c>
      <c r="AI65" s="693">
        <f t="shared" si="178"/>
        <v>1</v>
      </c>
      <c r="AJ65" s="693">
        <f t="shared" si="178"/>
        <v>1</v>
      </c>
      <c r="AK65" s="693">
        <f t="shared" si="178"/>
        <v>0.28275968979620331</v>
      </c>
      <c r="AL65" s="693">
        <f t="shared" si="178"/>
        <v>1</v>
      </c>
      <c r="AM65" s="693">
        <f t="shared" si="178"/>
        <v>0.49138550543985771</v>
      </c>
      <c r="AN65" s="678">
        <f>'B6 Perishables 15T'!$C$17</f>
        <v>9500</v>
      </c>
      <c r="AO65" s="678">
        <f>AN65</f>
        <v>9500</v>
      </c>
      <c r="AP65" s="678">
        <f>AN65</f>
        <v>9500</v>
      </c>
      <c r="AQ65" s="678">
        <f>'B6 Perishables 15T'!C18</f>
        <v>7900</v>
      </c>
      <c r="AR65" s="678">
        <f>AN65</f>
        <v>9500</v>
      </c>
      <c r="AS65" s="682">
        <f>'B6 Perishables 15T'!C19</f>
        <v>8600</v>
      </c>
      <c r="AU65" s="693">
        <f t="shared" ref="AU65:AZ66" si="179">IF(BA65=0, 0, EXP($D65*$E$2 * ((BA65/$BA65) - 1)) )</f>
        <v>1</v>
      </c>
      <c r="AV65" s="693">
        <f t="shared" si="179"/>
        <v>1</v>
      </c>
      <c r="AW65" s="693">
        <f t="shared" si="179"/>
        <v>1</v>
      </c>
      <c r="AX65" s="693">
        <f t="shared" si="179"/>
        <v>0.28275968979620331</v>
      </c>
      <c r="AY65" s="693">
        <f t="shared" si="179"/>
        <v>1</v>
      </c>
      <c r="AZ65" s="693">
        <f t="shared" si="179"/>
        <v>0.49138550543985771</v>
      </c>
      <c r="BA65" s="678">
        <f>'B6 Perishables 15T'!$C$17</f>
        <v>9500</v>
      </c>
      <c r="BB65" s="678">
        <f>BA65</f>
        <v>9500</v>
      </c>
      <c r="BC65" s="678">
        <f>BA65</f>
        <v>9500</v>
      </c>
      <c r="BD65" s="678">
        <f>'B6 Perishables 15T'!C18</f>
        <v>7900</v>
      </c>
      <c r="BE65" s="678">
        <f>BA65</f>
        <v>9500</v>
      </c>
      <c r="BF65" s="678">
        <f>'B6 Perishables 15T'!C19</f>
        <v>8600</v>
      </c>
      <c r="BH65" s="688">
        <f t="shared" ref="BH65:BM66" si="180">IF(BN65=0, 0, EXP($D65*$E$2 * ((BN65/$BN65) - 1)) )</f>
        <v>1</v>
      </c>
      <c r="BI65" s="30">
        <f t="shared" si="180"/>
        <v>1</v>
      </c>
      <c r="BJ65" s="30">
        <f t="shared" si="180"/>
        <v>1</v>
      </c>
      <c r="BK65" s="30">
        <f t="shared" si="180"/>
        <v>0.28275968979620331</v>
      </c>
      <c r="BL65" s="30">
        <f t="shared" si="180"/>
        <v>1</v>
      </c>
      <c r="BM65" s="30">
        <f t="shared" si="180"/>
        <v>0.49138550543985771</v>
      </c>
      <c r="BN65" s="493">
        <f>'B6 Perishables 15T'!$C$17</f>
        <v>9500</v>
      </c>
      <c r="BO65" s="493">
        <f>BN65</f>
        <v>9500</v>
      </c>
      <c r="BP65" s="493">
        <f>BN65</f>
        <v>9500</v>
      </c>
      <c r="BQ65" s="493">
        <f>'B6 Perishables 15T'!$C$18</f>
        <v>7900</v>
      </c>
      <c r="BR65" s="493">
        <f>BN65</f>
        <v>9500</v>
      </c>
      <c r="BS65" s="493">
        <f>'B6 Perishables 15T'!$C$19</f>
        <v>8600</v>
      </c>
      <c r="BU65" s="688">
        <f t="shared" ref="BU65:BZ66" si="181">IF(CA65=0, 0, EXP($D65*$E$2 * ((CA65/$CA65) - 1)) )</f>
        <v>1</v>
      </c>
      <c r="BV65" s="30">
        <f t="shared" si="181"/>
        <v>1</v>
      </c>
      <c r="BW65" s="30">
        <f t="shared" si="181"/>
        <v>1</v>
      </c>
      <c r="BX65" s="30">
        <f t="shared" si="181"/>
        <v>0.28275968979620331</v>
      </c>
      <c r="BY65" s="30">
        <f t="shared" si="181"/>
        <v>1</v>
      </c>
      <c r="BZ65" s="30">
        <f t="shared" si="181"/>
        <v>0.49138550543985771</v>
      </c>
      <c r="CA65" s="493">
        <f>'B6 Perishables 15T'!$C$17</f>
        <v>9500</v>
      </c>
      <c r="CB65" s="493">
        <f>CA65</f>
        <v>9500</v>
      </c>
      <c r="CC65" s="493">
        <f>CA65</f>
        <v>9500</v>
      </c>
      <c r="CD65" s="493">
        <f>'B6 Perishables 15T'!$C$18</f>
        <v>7900</v>
      </c>
      <c r="CE65" s="493">
        <f>CA65</f>
        <v>9500</v>
      </c>
      <c r="CF65" s="493">
        <f>'B6 Perishables 15T'!$C$19</f>
        <v>8600</v>
      </c>
      <c r="CH65" s="30">
        <f t="shared" ref="CH65:CJ66" si="182">IF(CK65=0, 0, EXP($D65*$E$2 * ((CK65/$CN65) - 1)))</f>
        <v>0.28275968979620331</v>
      </c>
      <c r="CI65" s="30">
        <f t="shared" si="182"/>
        <v>1</v>
      </c>
      <c r="CJ65" s="30">
        <f t="shared" si="182"/>
        <v>0.49138550543985771</v>
      </c>
      <c r="CK65" s="493">
        <f t="shared" ref="CK65" si="183">BQ65</f>
        <v>7900</v>
      </c>
      <c r="CL65" s="493">
        <f t="shared" ref="CL65:CL67" si="184">BR65</f>
        <v>9500</v>
      </c>
      <c r="CM65" s="493">
        <f t="shared" ref="CM65:CM67" si="185">BS65</f>
        <v>8600</v>
      </c>
      <c r="CN65" s="17">
        <f>'B6 Perishables 15T'!$C$17</f>
        <v>9500</v>
      </c>
    </row>
    <row r="66" spans="1:92">
      <c r="A66" s="818"/>
      <c r="B66" s="824"/>
      <c r="C66" s="23" t="s">
        <v>460</v>
      </c>
      <c r="D66" s="29">
        <f t="shared" si="169"/>
        <v>5.5</v>
      </c>
      <c r="E66" s="451">
        <v>9</v>
      </c>
      <c r="F66" s="32">
        <v>6</v>
      </c>
      <c r="G66" s="32">
        <v>9</v>
      </c>
      <c r="H66" s="32">
        <v>3</v>
      </c>
      <c r="I66" s="32">
        <v>9</v>
      </c>
      <c r="J66" s="32">
        <v>6</v>
      </c>
      <c r="K66" s="32">
        <v>1</v>
      </c>
      <c r="L66" s="32">
        <v>1</v>
      </c>
      <c r="M66" s="32">
        <v>1</v>
      </c>
      <c r="N66" s="32">
        <v>6</v>
      </c>
      <c r="O66" s="32">
        <v>5</v>
      </c>
      <c r="P66" s="32">
        <v>8</v>
      </c>
      <c r="Q66" s="32">
        <v>4</v>
      </c>
      <c r="R66" s="32">
        <v>7</v>
      </c>
      <c r="S66" s="32">
        <v>5</v>
      </c>
      <c r="T66" s="32">
        <v>8</v>
      </c>
      <c r="U66" s="32"/>
      <c r="V66" s="32"/>
      <c r="W66" s="32"/>
      <c r="X66" s="32"/>
      <c r="Y66" s="32"/>
      <c r="Z66" s="32"/>
      <c r="AA66" s="32"/>
      <c r="AB66" s="32"/>
      <c r="AD66" s="32"/>
      <c r="AE66" s="32"/>
      <c r="AF66" s="32"/>
      <c r="AH66" s="693">
        <f t="shared" si="178"/>
        <v>1</v>
      </c>
      <c r="AI66" s="693">
        <f t="shared" si="178"/>
        <v>0.66199319669083379</v>
      </c>
      <c r="AJ66" s="693">
        <f t="shared" si="178"/>
        <v>0.66199319669083379</v>
      </c>
      <c r="AK66" s="693">
        <f t="shared" si="178"/>
        <v>3.4469852208994722</v>
      </c>
      <c r="AL66" s="693">
        <f t="shared" si="178"/>
        <v>0.66199319669083379</v>
      </c>
      <c r="AM66" s="693">
        <f t="shared" si="178"/>
        <v>3.4469852208994722</v>
      </c>
      <c r="AN66" s="679">
        <f t="shared" ref="AN66:AS67" si="186">AN11</f>
        <v>1</v>
      </c>
      <c r="AO66" s="679">
        <f t="shared" si="186"/>
        <v>0.95</v>
      </c>
      <c r="AP66" s="679">
        <f t="shared" si="186"/>
        <v>0.95</v>
      </c>
      <c r="AQ66" s="679">
        <f t="shared" si="186"/>
        <v>1.1499999999999999</v>
      </c>
      <c r="AR66" s="679">
        <f t="shared" si="186"/>
        <v>0.95</v>
      </c>
      <c r="AS66" s="683">
        <f t="shared" si="186"/>
        <v>1.1499999999999999</v>
      </c>
      <c r="AU66" s="693">
        <f t="shared" si="179"/>
        <v>1</v>
      </c>
      <c r="AV66" s="693">
        <f t="shared" si="179"/>
        <v>0.66199319669083379</v>
      </c>
      <c r="AW66" s="693">
        <f t="shared" si="179"/>
        <v>0.66199319669083379</v>
      </c>
      <c r="AX66" s="693">
        <f t="shared" si="179"/>
        <v>3.4469852208994722</v>
      </c>
      <c r="AY66" s="693">
        <f t="shared" si="179"/>
        <v>0.66199319669083379</v>
      </c>
      <c r="AZ66" s="693">
        <f t="shared" si="179"/>
        <v>3.4469852208994722</v>
      </c>
      <c r="BA66" s="679">
        <f t="shared" ref="BA66:BF67" si="187">BA11</f>
        <v>1</v>
      </c>
      <c r="BB66" s="679">
        <f t="shared" si="187"/>
        <v>0.95</v>
      </c>
      <c r="BC66" s="679">
        <f t="shared" si="187"/>
        <v>0.95</v>
      </c>
      <c r="BD66" s="679">
        <f t="shared" si="187"/>
        <v>1.1499999999999999</v>
      </c>
      <c r="BE66" s="679">
        <f t="shared" si="187"/>
        <v>0.95</v>
      </c>
      <c r="BF66" s="679">
        <f t="shared" si="187"/>
        <v>1.1499999999999999</v>
      </c>
      <c r="BH66" s="688">
        <f t="shared" si="180"/>
        <v>1</v>
      </c>
      <c r="BI66" s="30">
        <f t="shared" si="180"/>
        <v>0.66199319669083379</v>
      </c>
      <c r="BJ66" s="30">
        <f t="shared" si="180"/>
        <v>0.66199319669083379</v>
      </c>
      <c r="BK66" s="30">
        <f t="shared" si="180"/>
        <v>3.4469852208994722</v>
      </c>
      <c r="BL66" s="30">
        <f t="shared" si="180"/>
        <v>0.66199319669083379</v>
      </c>
      <c r="BM66" s="30">
        <f t="shared" si="180"/>
        <v>3.4469852208994722</v>
      </c>
      <c r="BN66" s="490">
        <f t="shared" ref="BN66:BS67" si="188">BN55</f>
        <v>1</v>
      </c>
      <c r="BO66" s="490">
        <f t="shared" si="188"/>
        <v>0.95</v>
      </c>
      <c r="BP66" s="490">
        <f t="shared" si="188"/>
        <v>0.95</v>
      </c>
      <c r="BQ66" s="490">
        <f t="shared" si="188"/>
        <v>1.1499999999999999</v>
      </c>
      <c r="BR66" s="490">
        <f t="shared" si="188"/>
        <v>0.95</v>
      </c>
      <c r="BS66" s="490">
        <f t="shared" si="188"/>
        <v>1.1499999999999999</v>
      </c>
      <c r="BU66" s="688">
        <f t="shared" si="181"/>
        <v>1</v>
      </c>
      <c r="BV66" s="30">
        <f t="shared" si="181"/>
        <v>0.66199319669083379</v>
      </c>
      <c r="BW66" s="30">
        <f t="shared" si="181"/>
        <v>0.66199319669083379</v>
      </c>
      <c r="BX66" s="30">
        <f t="shared" si="181"/>
        <v>3.4469852208994722</v>
      </c>
      <c r="BY66" s="30">
        <f t="shared" si="181"/>
        <v>0.66199319669083379</v>
      </c>
      <c r="BZ66" s="30">
        <f t="shared" si="181"/>
        <v>3.4469852208994722</v>
      </c>
      <c r="CA66" s="490">
        <f t="shared" ref="CA66:CF67" si="189">CA55</f>
        <v>1</v>
      </c>
      <c r="CB66" s="490">
        <f t="shared" si="189"/>
        <v>0.95</v>
      </c>
      <c r="CC66" s="490">
        <f t="shared" si="189"/>
        <v>0.95</v>
      </c>
      <c r="CD66" s="490">
        <f t="shared" si="189"/>
        <v>1.1499999999999999</v>
      </c>
      <c r="CE66" s="490">
        <f t="shared" si="189"/>
        <v>0.95</v>
      </c>
      <c r="CF66" s="490">
        <f t="shared" si="189"/>
        <v>1.1499999999999999</v>
      </c>
      <c r="CH66" s="30">
        <f t="shared" si="182"/>
        <v>3.4469852208994722</v>
      </c>
      <c r="CI66" s="30">
        <f t="shared" si="182"/>
        <v>0.66199319669083379</v>
      </c>
      <c r="CJ66" s="30">
        <f t="shared" si="182"/>
        <v>3.4469852208994722</v>
      </c>
      <c r="CK66" s="490">
        <f>BQ66</f>
        <v>1.1499999999999999</v>
      </c>
      <c r="CL66" s="490">
        <f t="shared" si="184"/>
        <v>0.95</v>
      </c>
      <c r="CM66" s="490">
        <f t="shared" si="185"/>
        <v>1.1499999999999999</v>
      </c>
      <c r="CN66" s="704">
        <f>CN55</f>
        <v>1</v>
      </c>
    </row>
    <row r="67" spans="1:92">
      <c r="A67" s="818"/>
      <c r="B67" s="824"/>
      <c r="C67" s="34" t="s">
        <v>461</v>
      </c>
      <c r="D67" s="29">
        <f t="shared" si="169"/>
        <v>8.5625</v>
      </c>
      <c r="E67" s="451">
        <v>10</v>
      </c>
      <c r="F67" s="26">
        <v>9</v>
      </c>
      <c r="G67" s="26">
        <v>9</v>
      </c>
      <c r="H67" s="26">
        <v>10</v>
      </c>
      <c r="I67" s="26">
        <v>9</v>
      </c>
      <c r="J67" s="26">
        <v>9</v>
      </c>
      <c r="K67" s="26">
        <v>10</v>
      </c>
      <c r="L67" s="26">
        <v>10</v>
      </c>
      <c r="M67" s="26">
        <v>10</v>
      </c>
      <c r="N67" s="26">
        <v>9</v>
      </c>
      <c r="O67" s="26">
        <v>6</v>
      </c>
      <c r="P67" s="26">
        <v>7</v>
      </c>
      <c r="Q67" s="26">
        <v>3</v>
      </c>
      <c r="R67" s="26">
        <v>9</v>
      </c>
      <c r="S67" s="26">
        <v>9</v>
      </c>
      <c r="T67" s="26">
        <v>8</v>
      </c>
      <c r="U67" s="26"/>
      <c r="V67" s="26"/>
      <c r="W67" s="26"/>
      <c r="X67" s="26"/>
      <c r="Y67" s="26"/>
      <c r="Z67" s="26"/>
      <c r="AA67" s="26"/>
      <c r="AB67" s="26"/>
      <c r="AD67" s="26"/>
      <c r="AE67" s="26"/>
      <c r="AF67" s="26"/>
      <c r="AH67" s="693">
        <f t="shared" ref="AH67:AM67" si="190">IF(AN67=0, 0, EXP($D67*$E$2 * (($AN67/AN67) - 1)) )</f>
        <v>1</v>
      </c>
      <c r="AI67" s="693">
        <f t="shared" si="190"/>
        <v>0.54247832794327511</v>
      </c>
      <c r="AJ67" s="693">
        <f t="shared" si="190"/>
        <v>0.31110847407961917</v>
      </c>
      <c r="AK67" s="693">
        <f t="shared" si="190"/>
        <v>0.11758133171956553</v>
      </c>
      <c r="AL67" s="693">
        <f t="shared" si="190"/>
        <v>1</v>
      </c>
      <c r="AM67" s="693">
        <f t="shared" si="190"/>
        <v>1</v>
      </c>
      <c r="AN67" s="679">
        <f t="shared" si="186"/>
        <v>1</v>
      </c>
      <c r="AO67" s="679">
        <f t="shared" si="186"/>
        <v>1.05</v>
      </c>
      <c r="AP67" s="679">
        <f t="shared" si="186"/>
        <v>1.1000000000000001</v>
      </c>
      <c r="AQ67" s="679">
        <f t="shared" si="186"/>
        <v>1.2</v>
      </c>
      <c r="AR67" s="679">
        <f t="shared" si="186"/>
        <v>1</v>
      </c>
      <c r="AS67" s="683">
        <f t="shared" si="186"/>
        <v>1</v>
      </c>
      <c r="AU67" s="693">
        <f t="shared" ref="AU67:AZ67" si="191">IF(BA67=0, 0, EXP($D67*$E$2 * (($BA67/BA67) - 1)) )</f>
        <v>1</v>
      </c>
      <c r="AV67" s="693">
        <f t="shared" si="191"/>
        <v>0.54247832794327511</v>
      </c>
      <c r="AW67" s="693">
        <f t="shared" si="191"/>
        <v>0.31110847407961917</v>
      </c>
      <c r="AX67" s="693">
        <f t="shared" si="191"/>
        <v>0.11758133171956553</v>
      </c>
      <c r="AY67" s="693">
        <f t="shared" si="191"/>
        <v>1</v>
      </c>
      <c r="AZ67" s="693">
        <f t="shared" si="191"/>
        <v>1</v>
      </c>
      <c r="BA67" s="679">
        <f t="shared" si="187"/>
        <v>1</v>
      </c>
      <c r="BB67" s="679">
        <f t="shared" si="187"/>
        <v>1.05</v>
      </c>
      <c r="BC67" s="679">
        <f t="shared" si="187"/>
        <v>1.1000000000000001</v>
      </c>
      <c r="BD67" s="679">
        <f t="shared" si="187"/>
        <v>1.2</v>
      </c>
      <c r="BE67" s="679">
        <f t="shared" si="187"/>
        <v>1</v>
      </c>
      <c r="BF67" s="679">
        <f t="shared" si="187"/>
        <v>1</v>
      </c>
      <c r="BH67" s="688">
        <f t="shared" ref="BH67:BM67" si="192">IF(BN67=0, 0, EXP($D67*$E$2 * (($BN67/BN67) - 1)) )</f>
        <v>1</v>
      </c>
      <c r="BI67" s="30">
        <f t="shared" si="192"/>
        <v>0.54247832794327511</v>
      </c>
      <c r="BJ67" s="30">
        <f t="shared" si="192"/>
        <v>0.31110847407961917</v>
      </c>
      <c r="BK67" s="30">
        <f t="shared" si="192"/>
        <v>0.11758133171956553</v>
      </c>
      <c r="BL67" s="30">
        <f t="shared" si="192"/>
        <v>1</v>
      </c>
      <c r="BM67" s="30">
        <f t="shared" si="192"/>
        <v>1</v>
      </c>
      <c r="BN67" s="490">
        <f t="shared" si="188"/>
        <v>1</v>
      </c>
      <c r="BO67" s="490">
        <f t="shared" si="188"/>
        <v>1.05</v>
      </c>
      <c r="BP67" s="490">
        <f t="shared" si="188"/>
        <v>1.1000000000000001</v>
      </c>
      <c r="BQ67" s="490">
        <f t="shared" si="188"/>
        <v>1.2</v>
      </c>
      <c r="BR67" s="490">
        <f t="shared" si="188"/>
        <v>1</v>
      </c>
      <c r="BS67" s="490">
        <f t="shared" si="188"/>
        <v>1</v>
      </c>
      <c r="BU67" s="688">
        <f t="shared" ref="BU67:BZ67" si="193">IF(CA67=0, 0, EXP($D67*$E$2 * (($CA67/CA67) - 1)) )</f>
        <v>1</v>
      </c>
      <c r="BV67" s="30">
        <f t="shared" si="193"/>
        <v>0.54247832794327511</v>
      </c>
      <c r="BW67" s="30">
        <f t="shared" si="193"/>
        <v>0.31110847407961917</v>
      </c>
      <c r="BX67" s="30">
        <f t="shared" si="193"/>
        <v>0.11758133171956553</v>
      </c>
      <c r="BY67" s="30">
        <f t="shared" si="193"/>
        <v>1</v>
      </c>
      <c r="BZ67" s="30">
        <f t="shared" si="193"/>
        <v>1</v>
      </c>
      <c r="CA67" s="490">
        <f t="shared" si="189"/>
        <v>1</v>
      </c>
      <c r="CB67" s="490">
        <f t="shared" si="189"/>
        <v>1.05</v>
      </c>
      <c r="CC67" s="490">
        <f t="shared" si="189"/>
        <v>1.1000000000000001</v>
      </c>
      <c r="CD67" s="490">
        <f t="shared" si="189"/>
        <v>1.2</v>
      </c>
      <c r="CE67" s="490">
        <f t="shared" si="189"/>
        <v>1</v>
      </c>
      <c r="CF67" s="490">
        <f t="shared" si="189"/>
        <v>1</v>
      </c>
      <c r="CH67" s="30">
        <f>IF(CK67=0, 0, EXP($D67*$E$2 * (($CN67/CK67) - 1)))</f>
        <v>0.11758133171956553</v>
      </c>
      <c r="CI67" s="30">
        <f>IF(CL67=0, 0, EXP($D67*$E$2 * (($CN67/CL67) - 1)))</f>
        <v>1</v>
      </c>
      <c r="CJ67" s="30">
        <f>IF(CM67=0, 0, EXP($D67*$E$2 * (($CN67/CM67) - 1)))</f>
        <v>1</v>
      </c>
      <c r="CK67" s="490">
        <f>BQ67</f>
        <v>1.2</v>
      </c>
      <c r="CL67" s="490">
        <f t="shared" si="184"/>
        <v>1</v>
      </c>
      <c r="CM67" s="490">
        <f t="shared" si="185"/>
        <v>1</v>
      </c>
      <c r="CN67" s="704">
        <f>CN56</f>
        <v>1</v>
      </c>
    </row>
    <row r="68" spans="1:92">
      <c r="A68" s="818"/>
      <c r="B68" s="824"/>
      <c r="C68" s="23" t="s">
        <v>462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64"/>
      <c r="AH68" s="23"/>
      <c r="AI68" s="23"/>
      <c r="AJ68" s="23"/>
      <c r="AK68" s="23"/>
      <c r="AL68" s="23"/>
      <c r="AM68" s="23"/>
      <c r="AN68" s="680">
        <f>'No change with year'!D65</f>
        <v>2025</v>
      </c>
      <c r="AO68" s="680">
        <f>'No change with year'!E65</f>
        <v>2025</v>
      </c>
      <c r="AP68" s="680">
        <f>'No change with year'!F65</f>
        <v>2025</v>
      </c>
      <c r="AQ68" s="680">
        <f>'No change with year'!G65</f>
        <v>2025</v>
      </c>
      <c r="AR68" s="680">
        <f>'No change with year'!H65</f>
        <v>2028</v>
      </c>
      <c r="AS68" s="696">
        <f>'No change with year'!I65</f>
        <v>2030</v>
      </c>
      <c r="AU68" s="23"/>
      <c r="AV68" s="23"/>
      <c r="AW68" s="23"/>
      <c r="AX68" s="23"/>
      <c r="AY68" s="23"/>
      <c r="AZ68" s="23"/>
      <c r="BA68" s="680">
        <f>'No change with year'!D65</f>
        <v>2025</v>
      </c>
      <c r="BB68" s="680">
        <f>'No change with year'!E65</f>
        <v>2025</v>
      </c>
      <c r="BC68" s="680">
        <f>'No change with year'!F65</f>
        <v>2025</v>
      </c>
      <c r="BD68" s="680">
        <f>'No change with year'!G65</f>
        <v>2025</v>
      </c>
      <c r="BE68" s="680">
        <f>'No change with year'!H65</f>
        <v>2028</v>
      </c>
      <c r="BF68" s="680">
        <f>'No change with year'!I65</f>
        <v>2030</v>
      </c>
      <c r="BH68" s="681"/>
      <c r="BI68" s="23"/>
      <c r="BJ68" s="23"/>
      <c r="BK68" s="23"/>
      <c r="BL68" s="23"/>
      <c r="BM68" s="23"/>
      <c r="BN68" s="491">
        <f>'No change with year'!D65</f>
        <v>2025</v>
      </c>
      <c r="BO68" s="491">
        <f>'No change with year'!E65</f>
        <v>2025</v>
      </c>
      <c r="BP68" s="491">
        <f>'No change with year'!F65</f>
        <v>2025</v>
      </c>
      <c r="BQ68" s="491">
        <f>'No change with year'!G65</f>
        <v>2025</v>
      </c>
      <c r="BR68" s="491">
        <f>'No change with year'!H65</f>
        <v>2028</v>
      </c>
      <c r="BS68" s="491">
        <f>'No change with year'!I65</f>
        <v>2030</v>
      </c>
      <c r="BU68" s="681"/>
      <c r="BV68" s="23"/>
      <c r="BW68" s="23"/>
      <c r="BX68" s="23"/>
      <c r="BY68" s="23"/>
      <c r="BZ68" s="23"/>
      <c r="CA68" s="491">
        <f>BN68</f>
        <v>2025</v>
      </c>
      <c r="CB68" s="491">
        <f t="shared" ref="CB68:CB70" si="194">BO68</f>
        <v>2025</v>
      </c>
      <c r="CC68" s="491">
        <f t="shared" ref="CC68:CC70" si="195">BP68</f>
        <v>2025</v>
      </c>
      <c r="CD68" s="491">
        <f t="shared" ref="CD68:CD70" si="196">BQ68</f>
        <v>2025</v>
      </c>
      <c r="CE68" s="491">
        <f t="shared" ref="CE68:CE70" si="197">BR68</f>
        <v>2028</v>
      </c>
      <c r="CF68" s="491">
        <f t="shared" ref="CF68:CF70" si="198">BS68</f>
        <v>2030</v>
      </c>
      <c r="CN68" s="17">
        <f>'No change with year'!D65</f>
        <v>2025</v>
      </c>
    </row>
    <row r="69" spans="1:92">
      <c r="A69" s="818"/>
      <c r="B69" s="824"/>
      <c r="C69" s="23" t="s">
        <v>463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64"/>
      <c r="AH69" s="23">
        <v>1</v>
      </c>
      <c r="AI69" s="701">
        <f>$BH69-($BO69-$BN69)/($BO$1-$BN69)</f>
        <v>0.9</v>
      </c>
      <c r="AJ69" s="701">
        <f>$BH69-($BP69-$BN69)/($BO$1-$BN69)</f>
        <v>0.75</v>
      </c>
      <c r="AK69" s="701">
        <f>$BH69-($BQ69-$BN69)/($BO$1-$BN69)</f>
        <v>0.9</v>
      </c>
      <c r="AL69" s="701">
        <f>$BH69-($BR69-$BN69)/($BO$1-$BN69)</f>
        <v>0.55000000000000004</v>
      </c>
      <c r="AM69" s="701">
        <f>$BH69-($BS69-$BN68)/($BO$1-$BN68)</f>
        <v>0.35</v>
      </c>
      <c r="AN69" s="680">
        <f>'No change with year'!J65</f>
        <v>2025</v>
      </c>
      <c r="AO69" s="680">
        <f>'No change with year'!K65</f>
        <v>2027</v>
      </c>
      <c r="AP69" s="680">
        <f>'No change with year'!L65</f>
        <v>2030</v>
      </c>
      <c r="AQ69" s="680">
        <f>'No change with year'!M65</f>
        <v>2027</v>
      </c>
      <c r="AR69" s="680">
        <f>'No change with year'!N65</f>
        <v>2034</v>
      </c>
      <c r="AS69" s="696">
        <f>'No change with year'!O65</f>
        <v>2038</v>
      </c>
      <c r="AU69" s="23">
        <v>1</v>
      </c>
      <c r="AV69" s="701">
        <f>$BH69-($BO69-$BN69)/($BO$1-$BN69)</f>
        <v>0.9</v>
      </c>
      <c r="AW69" s="701">
        <f>$BH69-($BP69-$BN69)/($BO$1-$BN69)</f>
        <v>0.75</v>
      </c>
      <c r="AX69" s="701">
        <f>$BH69-($BQ69-$BN69)/($BO$1-$BN69)</f>
        <v>0.9</v>
      </c>
      <c r="AY69" s="701">
        <f>$BH69-($BR69-$BN69)/($BO$1-$BN69)</f>
        <v>0.55000000000000004</v>
      </c>
      <c r="AZ69" s="701">
        <f>$BH69-($BS69-$BN68)/($BO$1-$BN68)</f>
        <v>0.35</v>
      </c>
      <c r="BA69" s="680">
        <f>'No change with year'!J65</f>
        <v>2025</v>
      </c>
      <c r="BB69" s="680">
        <f>'No change with year'!K65</f>
        <v>2027</v>
      </c>
      <c r="BC69" s="680">
        <f>'No change with year'!L65</f>
        <v>2030</v>
      </c>
      <c r="BD69" s="680">
        <f>'No change with year'!M65</f>
        <v>2027</v>
      </c>
      <c r="BE69" s="680">
        <f>'No change with year'!N65</f>
        <v>2034</v>
      </c>
      <c r="BF69" s="680">
        <f>'No change with year'!O65</f>
        <v>2038</v>
      </c>
      <c r="BH69" s="688">
        <v>1</v>
      </c>
      <c r="BI69" s="30">
        <f>$BH69-($BO69-$BN69)/($BO$1-$BN69)</f>
        <v>0.9</v>
      </c>
      <c r="BJ69" s="30">
        <f>$BH69-($BP69-$BN69)/($BO$1-$BN69)</f>
        <v>0.75</v>
      </c>
      <c r="BK69" s="30">
        <f>$BH69-($BQ69-$BN69)/($BO$1-$BN69)</f>
        <v>0.9</v>
      </c>
      <c r="BL69" s="30">
        <f>$BH69-($BR69-$BN69)/($BO$1-$BN69)</f>
        <v>0.55000000000000004</v>
      </c>
      <c r="BM69" s="30">
        <f>$BH69-($BS69-$BN68)/($BO$1-$BN68)</f>
        <v>0.35</v>
      </c>
      <c r="BN69" s="491">
        <f>'No change with year'!J65</f>
        <v>2025</v>
      </c>
      <c r="BO69" s="491">
        <f>'No change with year'!K65</f>
        <v>2027</v>
      </c>
      <c r="BP69" s="491">
        <f>'No change with year'!L65</f>
        <v>2030</v>
      </c>
      <c r="BQ69" s="491">
        <f>'No change with year'!M65</f>
        <v>2027</v>
      </c>
      <c r="BR69" s="491">
        <f>'No change with year'!N65</f>
        <v>2034</v>
      </c>
      <c r="BS69" s="491">
        <f>'No change with year'!O65</f>
        <v>2038</v>
      </c>
      <c r="BU69" s="688">
        <v>1</v>
      </c>
      <c r="BV69" s="30">
        <f>$BU69-($CB69-$CA69)/($CB$1-$CA69)</f>
        <v>0.92</v>
      </c>
      <c r="BW69" s="30">
        <f>$BU69-($CC69-$CA69)/($CB$1-$CA69)</f>
        <v>0.8</v>
      </c>
      <c r="BX69" s="30">
        <f>$BU69-($CD69-$CA69)/($CB$1-$CA69)</f>
        <v>0.92</v>
      </c>
      <c r="BY69" s="30">
        <f>$BU69-($CE69-$CA69)/($CB$1-$CA69)</f>
        <v>0.64</v>
      </c>
      <c r="BZ69" s="30">
        <f>$BU69-($CF69-$CA68)/($CB$1-$CA68)</f>
        <v>0.48</v>
      </c>
      <c r="CA69" s="491">
        <f>BN69</f>
        <v>2025</v>
      </c>
      <c r="CB69" s="491">
        <f t="shared" si="194"/>
        <v>2027</v>
      </c>
      <c r="CC69" s="491">
        <f t="shared" si="195"/>
        <v>2030</v>
      </c>
      <c r="CD69" s="491">
        <f t="shared" si="196"/>
        <v>2027</v>
      </c>
      <c r="CE69" s="491">
        <f t="shared" si="197"/>
        <v>2034</v>
      </c>
      <c r="CF69" s="491">
        <f t="shared" si="198"/>
        <v>2038</v>
      </c>
      <c r="CN69" s="17">
        <f>'No change with year'!J65</f>
        <v>2025</v>
      </c>
    </row>
    <row r="70" spans="1:92">
      <c r="A70" s="818"/>
      <c r="B70" s="823"/>
      <c r="C70" s="23" t="s">
        <v>464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64"/>
      <c r="AH70" s="694">
        <v>1</v>
      </c>
      <c r="AI70" s="694">
        <f>$BH70-($BO69-$BN69)/($BO70-$BN69)+($BO$1-$BO70)/($BO$1-$BN69)</f>
        <v>0.35</v>
      </c>
      <c r="AJ70" s="694">
        <f>$BH70-($BP69-$BN69)/($BP70-$BN69)+($BO$1-$BP70)/($BO$1-$BN69)</f>
        <v>-2.5000000000000022E-2</v>
      </c>
      <c r="AK70" s="694">
        <f>$BH70-($BQ69-$BN69)/($BQ70-$BN69)+($BO$1-$BQ70)/($BO$1-$BN69)</f>
        <v>0.3</v>
      </c>
      <c r="AL70" s="694">
        <f>$BH70-($BR69-$BN69)/($BR70-$BN69)+($BO$1-$BR70)/($BO$1-$BN69)</f>
        <v>-0.37941176470588234</v>
      </c>
      <c r="AM70" s="694">
        <f>$BH70-($BS69-$BN68)/($BS70-$BN68)+($BO$1-$BS70)/($BO$1-$BN68)</f>
        <v>-0.65</v>
      </c>
      <c r="AN70" s="687">
        <f t="shared" ref="AN70:AS70" si="199">AN59</f>
        <v>2025</v>
      </c>
      <c r="AO70" s="687">
        <f t="shared" si="199"/>
        <v>2030</v>
      </c>
      <c r="AP70" s="687">
        <f t="shared" si="199"/>
        <v>2033</v>
      </c>
      <c r="AQ70" s="687">
        <f t="shared" si="199"/>
        <v>2035</v>
      </c>
      <c r="AR70" s="687">
        <f t="shared" si="199"/>
        <v>2042</v>
      </c>
      <c r="AS70" s="697">
        <f t="shared" si="199"/>
        <v>2045</v>
      </c>
      <c r="AU70" s="694">
        <v>1</v>
      </c>
      <c r="AV70" s="694">
        <f>$BH70-($BO69-$BN69)/($BO70-$BN69)+($BO$1-$BO70)/($BO$1-$BN69)</f>
        <v>0.35</v>
      </c>
      <c r="AW70" s="694">
        <f>$BH70-($BP69-$BN69)/($BP70-$BN69)+($BO$1-$BP70)/($BO$1-$BN69)</f>
        <v>-2.5000000000000022E-2</v>
      </c>
      <c r="AX70" s="694">
        <f>$BH70-($BQ69-$BN69)/($BQ70-$BN69)+($BO$1-$BQ70)/($BO$1-$BN69)</f>
        <v>0.3</v>
      </c>
      <c r="AY70" s="694">
        <f>$BH70-($BR69-$BN69)/($BR70-$BN69)+($BO$1-$BR70)/($BO$1-$BN69)</f>
        <v>-0.37941176470588234</v>
      </c>
      <c r="AZ70" s="694">
        <f>$BH70-($BS69-$BN68)/($BS70-$BN68)+($BO$1-$BS70)/($BO$1-$BN68)</f>
        <v>-0.65</v>
      </c>
      <c r="BA70" s="687">
        <f t="shared" ref="BA70:BF70" si="200">BA59</f>
        <v>2025</v>
      </c>
      <c r="BB70" s="687">
        <f t="shared" si="200"/>
        <v>2030</v>
      </c>
      <c r="BC70" s="687">
        <f t="shared" si="200"/>
        <v>2033</v>
      </c>
      <c r="BD70" s="687">
        <f t="shared" si="200"/>
        <v>2035</v>
      </c>
      <c r="BE70" s="687">
        <f t="shared" si="200"/>
        <v>2042</v>
      </c>
      <c r="BF70" s="687">
        <f t="shared" si="200"/>
        <v>2045</v>
      </c>
      <c r="BH70" s="681"/>
      <c r="BI70" s="23"/>
      <c r="BJ70" s="23"/>
      <c r="BK70" s="23"/>
      <c r="BL70" s="23"/>
      <c r="BM70" s="23"/>
      <c r="BN70" s="491">
        <f t="shared" ref="BN70" si="201">BN59</f>
        <v>2025</v>
      </c>
      <c r="BO70" s="491">
        <f t="shared" ref="BO70:BS70" si="202">BO59</f>
        <v>2030</v>
      </c>
      <c r="BP70" s="491">
        <f t="shared" si="202"/>
        <v>2033</v>
      </c>
      <c r="BQ70" s="491">
        <f t="shared" si="202"/>
        <v>2035</v>
      </c>
      <c r="BR70" s="491">
        <f t="shared" si="202"/>
        <v>2042</v>
      </c>
      <c r="BS70" s="491">
        <f t="shared" si="202"/>
        <v>2045</v>
      </c>
      <c r="BU70" s="688">
        <v>1</v>
      </c>
      <c r="BV70" s="30">
        <f>$BU70-($CB70-$CA70)/($CB$1-$CA70)</f>
        <v>0.8</v>
      </c>
      <c r="BW70" s="30">
        <f>$BU70-($CC70-$CA70)/($CB$1-$CA70)</f>
        <v>0.67999999999999994</v>
      </c>
      <c r="BX70" s="30">
        <f>$BU70-($CD70-$CA70)/($CB$1-$CA70)</f>
        <v>0.6</v>
      </c>
      <c r="BY70" s="30">
        <f>$BU70-($CE70-$CA70)/($CB$1-$CA70)</f>
        <v>0.31999999999999995</v>
      </c>
      <c r="BZ70" s="30">
        <f>$BU70-($CF70-$CA69)/($CB$1-$CA69)</f>
        <v>0.19999999999999996</v>
      </c>
      <c r="CA70" s="491">
        <f>BN70</f>
        <v>2025</v>
      </c>
      <c r="CB70" s="491">
        <f t="shared" si="194"/>
        <v>2030</v>
      </c>
      <c r="CC70" s="491">
        <f t="shared" si="195"/>
        <v>2033</v>
      </c>
      <c r="CD70" s="491">
        <f t="shared" si="196"/>
        <v>2035</v>
      </c>
      <c r="CE70" s="491">
        <f t="shared" si="197"/>
        <v>2042</v>
      </c>
      <c r="CF70" s="491">
        <f t="shared" si="198"/>
        <v>2045</v>
      </c>
      <c r="CH70" s="30">
        <f>CD70/CD70</f>
        <v>1</v>
      </c>
      <c r="CI70" s="30">
        <f>1-(CE70-CD70)/($CK$1-CD70)</f>
        <v>0.65</v>
      </c>
      <c r="CJ70" s="30">
        <f>1-(CF70-CD70)/($CK$1-CD70)</f>
        <v>0.5</v>
      </c>
      <c r="CK70" s="936" t="s">
        <v>1059</v>
      </c>
      <c r="CL70" s="937"/>
      <c r="CM70" s="937"/>
      <c r="CN70" s="17">
        <f>CN59</f>
        <v>2025</v>
      </c>
    </row>
    <row r="71" spans="1:92">
      <c r="A71" s="818">
        <v>7</v>
      </c>
      <c r="B71" s="822" t="s">
        <v>842</v>
      </c>
      <c r="C71" s="23" t="s">
        <v>452</v>
      </c>
      <c r="D71" s="450"/>
      <c r="E71" s="24" t="s">
        <v>470</v>
      </c>
      <c r="F71" s="25" t="s">
        <v>470</v>
      </c>
      <c r="G71" s="25" t="s">
        <v>470</v>
      </c>
      <c r="H71" s="24"/>
      <c r="I71" s="25"/>
      <c r="J71" s="25"/>
      <c r="K71" s="24"/>
      <c r="L71" s="25"/>
      <c r="M71" s="25"/>
      <c r="N71" s="25"/>
      <c r="O71" s="25"/>
      <c r="P71" s="25"/>
      <c r="Q71" s="24"/>
      <c r="R71" s="25"/>
      <c r="S71" s="25"/>
      <c r="T71" s="25"/>
      <c r="U71" s="25"/>
      <c r="V71" s="25"/>
      <c r="W71" s="24"/>
      <c r="X71" s="25"/>
      <c r="Y71" s="25"/>
      <c r="Z71" s="24"/>
      <c r="AA71" s="25"/>
      <c r="AB71" s="25"/>
      <c r="AD71" s="26"/>
      <c r="AE71" s="27"/>
      <c r="AF71" s="27"/>
      <c r="AH71" s="684"/>
      <c r="AI71" s="684"/>
      <c r="AJ71" s="684"/>
      <c r="AK71" s="684"/>
      <c r="AL71" s="684"/>
      <c r="AM71" s="684"/>
      <c r="AN71" s="684"/>
      <c r="AO71" s="684"/>
      <c r="AP71" s="684"/>
      <c r="AQ71" s="684"/>
      <c r="AR71" s="684"/>
      <c r="AS71" s="684"/>
      <c r="AU71" s="684"/>
      <c r="AV71" s="684"/>
      <c r="AW71" s="684"/>
      <c r="AX71" s="684"/>
      <c r="AY71" s="684"/>
      <c r="AZ71" s="684"/>
      <c r="BA71" s="684"/>
      <c r="BB71" s="684"/>
      <c r="BC71" s="684"/>
      <c r="BD71" s="684"/>
      <c r="BE71" s="684"/>
      <c r="BF71" s="689"/>
      <c r="BH71" s="447"/>
      <c r="BI71" s="445"/>
      <c r="BJ71" s="445"/>
      <c r="BK71" s="445"/>
      <c r="BL71" s="445"/>
      <c r="BM71" s="445"/>
      <c r="BO71" s="445"/>
      <c r="BP71" s="445"/>
      <c r="BU71" s="447"/>
      <c r="BV71" s="445"/>
      <c r="BW71" s="445"/>
      <c r="BX71" s="445"/>
      <c r="BY71" s="445"/>
      <c r="BZ71" s="445"/>
      <c r="CB71" s="445"/>
      <c r="CC71" s="445"/>
    </row>
    <row r="72" spans="1:92">
      <c r="A72" s="818"/>
      <c r="B72" s="824"/>
      <c r="C72" s="23" t="s">
        <v>455</v>
      </c>
      <c r="D72" s="450"/>
      <c r="E72" s="24"/>
      <c r="F72" s="24"/>
      <c r="G72" s="25"/>
      <c r="H72" s="24"/>
      <c r="I72" s="25"/>
      <c r="J72" s="25"/>
      <c r="K72" s="25"/>
      <c r="L72" s="25"/>
      <c r="M72" s="25"/>
      <c r="N72" s="25"/>
      <c r="O72" s="25"/>
      <c r="P72" s="25"/>
      <c r="Q72" s="24"/>
      <c r="R72" s="25"/>
      <c r="S72" s="25"/>
      <c r="T72" s="25"/>
      <c r="U72" s="25"/>
      <c r="V72" s="25"/>
      <c r="W72" s="24"/>
      <c r="X72" s="25"/>
      <c r="Y72" s="25"/>
      <c r="Z72" s="24"/>
      <c r="AA72" s="25"/>
      <c r="AB72" s="25"/>
      <c r="AD72" s="26"/>
      <c r="AE72" s="27"/>
      <c r="AF72" s="27"/>
      <c r="AH72" s="68">
        <f>Buckets!H9</f>
        <v>57980</v>
      </c>
      <c r="AI72" s="68">
        <f>Buckets!J9</f>
        <v>57980</v>
      </c>
      <c r="AJ72" s="68">
        <f>Buckets!K9</f>
        <v>0</v>
      </c>
      <c r="AK72" s="691">
        <f>AH72</f>
        <v>57980</v>
      </c>
      <c r="AL72" s="691">
        <f>AH72</f>
        <v>57980</v>
      </c>
      <c r="AM72" s="691">
        <f>AH72</f>
        <v>57980</v>
      </c>
      <c r="AU72" s="68">
        <f>Buckets!M9</f>
        <v>69860</v>
      </c>
      <c r="AV72" s="68">
        <f>Buckets!O9</f>
        <v>69860</v>
      </c>
      <c r="AW72" s="68">
        <f>Buckets!P9</f>
        <v>0</v>
      </c>
      <c r="AX72" s="691">
        <f>AU72</f>
        <v>69860</v>
      </c>
      <c r="AY72" s="691">
        <f>AU72</f>
        <v>69860</v>
      </c>
      <c r="AZ72" s="691">
        <f>AU72</f>
        <v>69860</v>
      </c>
      <c r="BH72" s="68">
        <f>Buckets!R9</f>
        <v>85820</v>
      </c>
      <c r="BI72" s="68">
        <f>Buckets!T9</f>
        <v>85820</v>
      </c>
      <c r="BJ72" s="68">
        <f>Buckets!U9</f>
        <v>0</v>
      </c>
      <c r="BK72" s="691">
        <f>BH72</f>
        <v>85820</v>
      </c>
      <c r="BL72" s="691">
        <f>BH72</f>
        <v>85820</v>
      </c>
      <c r="BM72" s="691">
        <f>BH72</f>
        <v>85820</v>
      </c>
      <c r="BU72" s="68">
        <f>Buckets!W9</f>
        <v>101390</v>
      </c>
      <c r="BV72" s="68">
        <f>Buckets!Y9</f>
        <v>101390</v>
      </c>
      <c r="BW72" s="68">
        <f>Buckets!Z9</f>
        <v>0</v>
      </c>
      <c r="BX72" s="691">
        <f>BU72</f>
        <v>101390</v>
      </c>
      <c r="BY72" s="691">
        <f>BU72</f>
        <v>101390</v>
      </c>
      <c r="BZ72" s="691">
        <f>BU72</f>
        <v>101390</v>
      </c>
    </row>
    <row r="73" spans="1:92">
      <c r="A73" s="818"/>
      <c r="B73" s="824"/>
      <c r="C73" s="28" t="s">
        <v>456</v>
      </c>
      <c r="D73" s="450"/>
      <c r="E73" s="24"/>
      <c r="F73" s="25"/>
      <c r="G73" s="25"/>
      <c r="H73" s="24"/>
      <c r="I73" s="25"/>
      <c r="J73" s="25"/>
      <c r="K73" s="24"/>
      <c r="L73" s="25"/>
      <c r="M73" s="25"/>
      <c r="N73" s="25"/>
      <c r="O73" s="25"/>
      <c r="P73" s="25"/>
      <c r="Q73" s="24"/>
      <c r="R73" s="25"/>
      <c r="S73" s="25"/>
      <c r="T73" s="25"/>
      <c r="U73" s="25"/>
      <c r="V73" s="25"/>
      <c r="W73" s="24"/>
      <c r="X73" s="25"/>
      <c r="Y73" s="25"/>
      <c r="Z73" s="24"/>
      <c r="AA73" s="25"/>
      <c r="AB73" s="25"/>
      <c r="AD73" s="26"/>
      <c r="AE73" s="27"/>
      <c r="AF73" s="27"/>
      <c r="AH73" s="686"/>
      <c r="AI73" s="686"/>
      <c r="AJ73" s="686"/>
      <c r="AK73" s="686"/>
      <c r="AL73" s="686"/>
      <c r="AM73" s="686"/>
      <c r="AN73" s="686"/>
      <c r="AO73" s="686"/>
      <c r="AP73" s="686"/>
      <c r="AQ73" s="686"/>
      <c r="AR73" s="686"/>
      <c r="AS73" s="686"/>
      <c r="AU73" s="686"/>
      <c r="AV73" s="686"/>
      <c r="AW73" s="686"/>
      <c r="AX73" s="686"/>
      <c r="AY73" s="686"/>
      <c r="AZ73" s="686"/>
      <c r="BA73" s="686"/>
      <c r="BB73" s="686"/>
      <c r="BC73" s="686"/>
      <c r="BD73" s="686"/>
      <c r="BE73" s="686"/>
      <c r="BF73" s="690"/>
      <c r="BH73" s="447"/>
      <c r="BI73" s="445"/>
      <c r="BJ73" s="445"/>
      <c r="BK73" s="445"/>
      <c r="BL73" s="445"/>
      <c r="BM73" s="445"/>
      <c r="BO73" s="445"/>
      <c r="BP73" s="445"/>
      <c r="BU73" s="447"/>
      <c r="BV73" s="445"/>
      <c r="BW73" s="445"/>
      <c r="BX73" s="445"/>
      <c r="BY73" s="445"/>
      <c r="BZ73" s="445"/>
      <c r="CB73" s="445"/>
      <c r="CC73" s="445"/>
    </row>
    <row r="74" spans="1:92">
      <c r="A74" s="818"/>
      <c r="B74" s="824"/>
      <c r="C74" s="23" t="s">
        <v>457</v>
      </c>
      <c r="D74" s="29">
        <f t="shared" ref="D74:D78" si="203">AVERAGE(E74:AB74)</f>
        <v>9</v>
      </c>
      <c r="E74" s="451">
        <v>9</v>
      </c>
      <c r="F74" s="27">
        <v>9</v>
      </c>
      <c r="G74" s="27">
        <v>9</v>
      </c>
      <c r="H74" s="26"/>
      <c r="I74" s="27"/>
      <c r="J74" s="27"/>
      <c r="K74" s="26"/>
      <c r="L74" s="27"/>
      <c r="M74" s="27"/>
      <c r="N74" s="27"/>
      <c r="O74" s="27"/>
      <c r="P74" s="27"/>
      <c r="Q74" s="26"/>
      <c r="R74" s="27"/>
      <c r="S74" s="27"/>
      <c r="T74" s="27"/>
      <c r="U74" s="27"/>
      <c r="V74" s="27"/>
      <c r="W74" s="26"/>
      <c r="X74" s="27"/>
      <c r="Y74" s="27"/>
      <c r="Z74" s="26"/>
      <c r="AA74" s="27"/>
      <c r="AB74" s="27"/>
      <c r="AD74" s="32"/>
      <c r="AE74" s="27"/>
      <c r="AF74" s="27"/>
      <c r="AH74" s="693">
        <f t="shared" ref="AH74:AM74" si="204">IF(AN74=0, 0, EXP($D74*$E$2  * (($AN74/AN74) - 1)) )</f>
        <v>1</v>
      </c>
      <c r="AI74" s="693">
        <f t="shared" si="204"/>
        <v>0.79995250972359899</v>
      </c>
      <c r="AJ74" s="693">
        <f t="shared" si="204"/>
        <v>0.99371739880218191</v>
      </c>
      <c r="AK74" s="693">
        <f t="shared" si="204"/>
        <v>2.6672134561329286</v>
      </c>
      <c r="AL74" s="693">
        <f t="shared" si="204"/>
        <v>5.0291139625583056E-2</v>
      </c>
      <c r="AM74" s="693">
        <f t="shared" si="204"/>
        <v>2.9830424995513739E-2</v>
      </c>
      <c r="AN74" s="685">
        <f>'B7 C&amp;M 28Tip'!$M$165</f>
        <v>83.95724759122912</v>
      </c>
      <c r="AO74" s="685">
        <f>'B7 C&amp;M 28Tip'!$M$166</f>
        <v>85.368695123073962</v>
      </c>
      <c r="AP74" s="685">
        <f>'B7 C&amp;M 28Tip'!$M$167</f>
        <v>83.996460995521318</v>
      </c>
      <c r="AQ74" s="685">
        <f>'B7 C&amp;M 28Tip'!$M$168</f>
        <v>78.269467547645718</v>
      </c>
      <c r="AR74" s="685">
        <f>'B7 C&amp;M 28Tip'!$M$169</f>
        <v>107.84157011310066</v>
      </c>
      <c r="AS74" s="695">
        <f>'B7 C&amp;M 28Tip'!$M$170</f>
        <v>113.48103107394491</v>
      </c>
      <c r="AU74" s="693">
        <f t="shared" ref="AU74:AZ74" si="205">IF(BA74=0, 0, EXP($D74*$E$2 * (($BA74/BA74) - 1)) )</f>
        <v>1</v>
      </c>
      <c r="AV74" s="693">
        <f t="shared" si="205"/>
        <v>0.61755196181795047</v>
      </c>
      <c r="AW74" s="693">
        <f t="shared" si="205"/>
        <v>0.79256885167233826</v>
      </c>
      <c r="AX74" s="693">
        <f t="shared" si="205"/>
        <v>10.925500505407328</v>
      </c>
      <c r="AY74" s="693">
        <f t="shared" si="205"/>
        <v>0.25268271903778911</v>
      </c>
      <c r="AZ74" s="693">
        <f t="shared" si="205"/>
        <v>0.19005357583754579</v>
      </c>
      <c r="BA74" s="685">
        <f>'B7 C&amp;M 28Tip'!$R$165</f>
        <v>96.774458072679039</v>
      </c>
      <c r="BB74" s="685">
        <f>'B7 C&amp;M 28Tip'!$R$166</f>
        <v>100.35753477315814</v>
      </c>
      <c r="BC74" s="685">
        <f>'B7 C&amp;M 28Tip'!$R$167</f>
        <v>98.47015719960973</v>
      </c>
      <c r="BD74" s="685">
        <f>'B7 C&amp;M 28Tip'!$R$168</f>
        <v>82.213013620713809</v>
      </c>
      <c r="BE74" s="685">
        <f>'B7 C&amp;M 28Tip'!$R$169</f>
        <v>107.754396864838</v>
      </c>
      <c r="BF74" s="685">
        <f>'B7 C&amp;M 28Tip'!$R$170</f>
        <v>110.34668574904458</v>
      </c>
      <c r="BH74" s="688">
        <f t="shared" ref="BH74:BM74" si="206">IF(BN74=0, 0, EXP($D74*$E$2 * (($BN74/BN74) - 1)) )</f>
        <v>1</v>
      </c>
      <c r="BI74" s="30">
        <f t="shared" si="206"/>
        <v>0.48655288393735396</v>
      </c>
      <c r="BJ74" s="30">
        <f t="shared" si="206"/>
        <v>0.64598011131626398</v>
      </c>
      <c r="BK74" s="30">
        <f t="shared" si="206"/>
        <v>18.456562638552754</v>
      </c>
      <c r="BL74" s="30">
        <f t="shared" si="206"/>
        <v>0.96694642657942831</v>
      </c>
      <c r="BM74" s="30">
        <f t="shared" si="206"/>
        <v>0.76135430339586885</v>
      </c>
      <c r="BN74" s="492">
        <f>'B7 C&amp;M 28Tip'!$W$165</f>
        <v>111.04595130222489</v>
      </c>
      <c r="BO74" s="492">
        <f>'B7 C&amp;M 28Tip'!$W$166</f>
        <v>117.30582163359817</v>
      </c>
      <c r="BP74" s="492">
        <f>'B7 C&amp;M 28Tip'!$W$167</f>
        <v>114.76068288703345</v>
      </c>
      <c r="BQ74" s="492">
        <f>'B7 C&amp;M 28Tip'!$W$168</f>
        <v>91.323910204532496</v>
      </c>
      <c r="BR74" s="492">
        <f>'B7 C&amp;M 28Tip'!$W$169</f>
        <v>111.32312267910702</v>
      </c>
      <c r="BS74" s="492">
        <f>'B7 C&amp;M 28Tip'!$W$170</f>
        <v>113.33495174577919</v>
      </c>
      <c r="BU74" s="688">
        <f t="shared" ref="BU74:BZ74" si="207">IF(CA74=0, 0, EXP($D74*$E$2 * (($CA74/CA74) - 1)) )</f>
        <v>1</v>
      </c>
      <c r="BV74" s="30">
        <f t="shared" si="207"/>
        <v>0.39038993186933402</v>
      </c>
      <c r="BW74" s="30">
        <f t="shared" si="207"/>
        <v>0.5309595492940804</v>
      </c>
      <c r="BX74" s="30">
        <f t="shared" si="207"/>
        <v>35.990392122659024</v>
      </c>
      <c r="BY74" s="30">
        <f t="shared" si="207"/>
        <v>3.0823507985274876</v>
      </c>
      <c r="BZ74" s="30">
        <f t="shared" si="207"/>
        <v>2.9629949832792626</v>
      </c>
      <c r="CA74" s="492">
        <f>'B7 C&amp;M 28Tip'!$AB$165</f>
        <v>128.79442289090937</v>
      </c>
      <c r="CB74" s="492">
        <f>'B7 C&amp;M 28Tip'!$AB$166</f>
        <v>138.44021088758953</v>
      </c>
      <c r="CC74" s="492">
        <f>'B7 C&amp;M 28Tip'!$AB$167</f>
        <v>135.13127321109749</v>
      </c>
      <c r="CD74" s="492">
        <f>'B7 C&amp;M 28Tip'!$AB$168</f>
        <v>101.77949182397943</v>
      </c>
      <c r="CE74" s="492">
        <f>'B7 C&amp;M 28Tip'!$AB$169</f>
        <v>118.88153007655741</v>
      </c>
      <c r="CF74" s="492">
        <f>'B7 C&amp;M 28Tip'!$AB$170</f>
        <v>119.20340050386973</v>
      </c>
      <c r="CH74" s="30">
        <f>IF(CK74=0, 0, EXP($D74*$E$2 * (($CN74/CK74) - 1)))</f>
        <v>31.874494703207095</v>
      </c>
      <c r="CI74" s="30">
        <f>IF(CL74=0, 0, EXP($D74*$E$2 * (($CN74/CL74) - 1)))</f>
        <v>4.3505536666163058</v>
      </c>
      <c r="CJ74" s="30">
        <f>IF(CM74=0, 0, EXP($D74*$E$2 * (($CN74/CM74) - 1)))</f>
        <v>4.7053837157140785</v>
      </c>
      <c r="CK74" s="492">
        <f>'B7 C&amp;M 28Tip'!$AG$168</f>
        <v>118.28964655896924</v>
      </c>
      <c r="CL74" s="492">
        <f>'B7 C&amp;M 28Tip'!$AG$169</f>
        <v>134.02574677036958</v>
      </c>
      <c r="CM74" s="492">
        <f>'B7 C&amp;M 28Tip'!$AG$170</f>
        <v>133.32746868652063</v>
      </c>
      <c r="CN74" s="703">
        <f>'B7 C&amp;M 28Tip'!$AG$165</f>
        <v>148.62267071053688</v>
      </c>
    </row>
    <row r="75" spans="1:92">
      <c r="A75" s="818"/>
      <c r="B75" s="824"/>
      <c r="C75" s="23" t="s">
        <v>458</v>
      </c>
      <c r="D75" s="29">
        <f t="shared" si="203"/>
        <v>9</v>
      </c>
      <c r="E75" s="451">
        <v>9</v>
      </c>
      <c r="F75" s="27">
        <v>9</v>
      </c>
      <c r="G75" s="27">
        <v>9</v>
      </c>
      <c r="H75" s="26"/>
      <c r="I75" s="27"/>
      <c r="J75" s="27"/>
      <c r="K75" s="26"/>
      <c r="L75" s="27"/>
      <c r="M75" s="27"/>
      <c r="N75" s="27"/>
      <c r="O75" s="27"/>
      <c r="P75" s="27"/>
      <c r="Q75" s="26"/>
      <c r="R75" s="27"/>
      <c r="S75" s="27"/>
      <c r="T75" s="27"/>
      <c r="U75" s="27"/>
      <c r="V75" s="27"/>
      <c r="W75" s="26"/>
      <c r="X75" s="27"/>
      <c r="Y75" s="27"/>
      <c r="Z75" s="26"/>
      <c r="AA75" s="27"/>
      <c r="AB75" s="27"/>
      <c r="AD75" s="32"/>
      <c r="AE75" s="27"/>
      <c r="AF75" s="27"/>
      <c r="AH75" s="693">
        <f t="shared" ref="AH75:AM75" si="208">IF(AN75=0, 0, EXP($D75*$F$2 * (($AN75/AN75) - 1)) )</f>
        <v>1</v>
      </c>
      <c r="AI75" s="693">
        <f t="shared" si="208"/>
        <v>0.4947193250083593</v>
      </c>
      <c r="AJ75" s="693">
        <f t="shared" si="208"/>
        <v>0.27754008804681557</v>
      </c>
      <c r="AK75" s="693">
        <f t="shared" si="208"/>
        <v>8.4309452688525969E-3</v>
      </c>
      <c r="AL75" s="693">
        <f t="shared" si="208"/>
        <v>0.15047021102350394</v>
      </c>
      <c r="AM75" s="693">
        <f t="shared" si="208"/>
        <v>1.5602593433411882E-3</v>
      </c>
      <c r="AN75" s="678">
        <f>'B7 C&amp;M 28Tip'!$M$63</f>
        <v>6108200</v>
      </c>
      <c r="AO75" s="678">
        <f>'B7 C&amp;M 28Tip'!$M$81</f>
        <v>6444137.5178013453</v>
      </c>
      <c r="AP75" s="678">
        <f>'B7 C&amp;M 28Tip'!$M$98</f>
        <v>6749000</v>
      </c>
      <c r="AQ75" s="678">
        <f>'B7 C&amp;M 28Tip'!$M$132</f>
        <v>9452000</v>
      </c>
      <c r="AR75" s="678">
        <f>'B7 C&amp;M 28Tip'!$M$115</f>
        <v>7105000</v>
      </c>
      <c r="AS75" s="682">
        <f>'B7 C&amp;M 28Tip'!$M$149</f>
        <v>11718000</v>
      </c>
      <c r="AU75" s="693">
        <f t="shared" ref="AU75:AZ75" si="209">IF(BA75=0, 0, EXP($D75*$F$2 * (($BA75/BA75) - 1)) )</f>
        <v>1</v>
      </c>
      <c r="AV75" s="693">
        <f t="shared" si="209"/>
        <v>0.49456030586057803</v>
      </c>
      <c r="AW75" s="693">
        <f t="shared" si="209"/>
        <v>0.30928823894663476</v>
      </c>
      <c r="AX75" s="693">
        <f t="shared" si="209"/>
        <v>2.0468155744742429E-2</v>
      </c>
      <c r="AY75" s="693">
        <f t="shared" si="209"/>
        <v>0.24932535739437228</v>
      </c>
      <c r="AZ75" s="693">
        <f t="shared" si="209"/>
        <v>4.4627353201637902E-3</v>
      </c>
      <c r="BA75" s="678">
        <f>'B7 C&amp;M 28Tip'!$R$63</f>
        <v>7080900</v>
      </c>
      <c r="BB75" s="678">
        <f>'B7 C&amp;M 28Tip'!$R$81</f>
        <v>7470521.5556110553</v>
      </c>
      <c r="BC75" s="678">
        <f>'B7 C&amp;M 28Tip'!$R$98</f>
        <v>7755000</v>
      </c>
      <c r="BD75" s="678">
        <f>'B7 C&amp;M 28Tip'!$R$132</f>
        <v>9946000</v>
      </c>
      <c r="BE75" s="678">
        <f>'B7 C&amp;M 28Tip'!$R$115</f>
        <v>7893000</v>
      </c>
      <c r="BF75" s="678">
        <f>'B7 C&amp;M 28Tip'!$R$149</f>
        <v>11819000</v>
      </c>
      <c r="BH75" s="688">
        <f t="shared" ref="BH75:BM75" si="210">IF(BN75=0, 0, EXP($D75*$F$2 * (($BN75/BN75) - 1)) )</f>
        <v>1</v>
      </c>
      <c r="BI75" s="30">
        <f t="shared" si="210"/>
        <v>0.49455738194768334</v>
      </c>
      <c r="BJ75" s="30">
        <f t="shared" si="210"/>
        <v>0.3422070376631578</v>
      </c>
      <c r="BK75" s="30">
        <f t="shared" si="210"/>
        <v>3.9123780097664249E-2</v>
      </c>
      <c r="BL75" s="30">
        <f t="shared" si="210"/>
        <v>0.28011859705801123</v>
      </c>
      <c r="BM75" s="30">
        <f t="shared" si="210"/>
        <v>9.4725437337466571E-3</v>
      </c>
      <c r="BN75" s="493">
        <f>'B7 C&amp;M 28Tip'!$W$63</f>
        <v>8208700</v>
      </c>
      <c r="BO75" s="493">
        <f>'B7 C&amp;M 28Tip'!$W$81</f>
        <v>8660381.9609192014</v>
      </c>
      <c r="BP75" s="493">
        <f>'B7 C&amp;M 28Tip'!$W$98</f>
        <v>8917000</v>
      </c>
      <c r="BQ75" s="493">
        <f>'B7 C&amp;M 28Tip'!$W$132</f>
        <v>10802000</v>
      </c>
      <c r="BR75" s="493">
        <f>'B7 C&amp;M 28Tip'!$W$115</f>
        <v>9063000</v>
      </c>
      <c r="BS75" s="494">
        <f>'B7 C&amp;M 28Tip'!$W$149</f>
        <v>12535000</v>
      </c>
      <c r="BU75" s="688">
        <f t="shared" ref="BU75:BZ75" si="211">IF(CA75=0, 0, EXP($D75*$F$2 * (($CA75/CA75) - 1)) )</f>
        <v>1</v>
      </c>
      <c r="BV75" s="30">
        <f t="shared" si="211"/>
        <v>0.4946683885309644</v>
      </c>
      <c r="BW75" s="30">
        <f t="shared" si="211"/>
        <v>0.37539633168960435</v>
      </c>
      <c r="BX75" s="30">
        <f t="shared" si="211"/>
        <v>6.1769855321268434E-2</v>
      </c>
      <c r="BY75" s="30">
        <f t="shared" si="211"/>
        <v>0.31232308079490667</v>
      </c>
      <c r="BZ75" s="30">
        <f t="shared" si="211"/>
        <v>1.9082874280210979E-2</v>
      </c>
      <c r="CA75" s="493">
        <f>'B7 C&amp;M 28Tip'!$AB$63</f>
        <v>9516300</v>
      </c>
      <c r="CB75" s="493">
        <f>'B7 C&amp;M 28Tip'!$AB$81</f>
        <v>10039756.280829027</v>
      </c>
      <c r="CC75" s="493">
        <f>'B7 C&amp;M 28Tip'!$AB$98</f>
        <v>10261000</v>
      </c>
      <c r="CD75" s="493">
        <f>'B7 C&amp;M 28Tip'!$AB$132</f>
        <v>11989000</v>
      </c>
      <c r="CE75" s="493">
        <f>'B7 C&amp;M 28Tip'!$AB$115</f>
        <v>10414000</v>
      </c>
      <c r="CF75" s="494">
        <f>'B7 C&amp;M 28Tip'!$AB$149</f>
        <v>13465000</v>
      </c>
      <c r="CH75" s="30">
        <f>IF(CK75=0, 0, EXP($D75*$F$2 * (($CN75/CK75) - 1)))</f>
        <v>7.9109148187325382E-2</v>
      </c>
      <c r="CI75" s="30">
        <f>IF(CL75=0, 0, EXP($D75*$F$2 * (($CN75/CL75) - 1)))</f>
        <v>0.34542593283832845</v>
      </c>
      <c r="CJ75" s="30">
        <f>IF(CM75=0, 0, EXP($D75*$F$2 * (($CN75/CM75) - 1)))</f>
        <v>2.8842856391956943E-2</v>
      </c>
      <c r="CK75" s="493">
        <f>'B7 C&amp;M 28Tip'!$AG$132</f>
        <v>13585000</v>
      </c>
      <c r="CL75" s="493">
        <f>'B7 C&amp;M 28Tip'!$AG$115</f>
        <v>11975000</v>
      </c>
      <c r="CM75" s="494">
        <f>'B7 C&amp;M 28Tip'!$AG$149</f>
        <v>14962000</v>
      </c>
      <c r="CN75" s="17">
        <f>'B7 C&amp;M 28Tip'!$AG$63</f>
        <v>11032100</v>
      </c>
    </row>
    <row r="76" spans="1:92">
      <c r="A76" s="818"/>
      <c r="B76" s="824"/>
      <c r="C76" s="23" t="s">
        <v>459</v>
      </c>
      <c r="D76" s="29">
        <f t="shared" si="203"/>
        <v>5.666666666666667</v>
      </c>
      <c r="E76" s="451">
        <v>4</v>
      </c>
      <c r="F76" s="32">
        <v>4</v>
      </c>
      <c r="G76" s="32">
        <v>9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D76" s="26"/>
      <c r="AE76" s="32"/>
      <c r="AF76" s="32"/>
      <c r="AH76" s="693">
        <f t="shared" ref="AH76:AM77" si="212">IF(AN76=0, 0, EXP($D76*$E$2 * ((AN76/$AN76) - 1)) )</f>
        <v>1</v>
      </c>
      <c r="AI76" s="693">
        <f t="shared" si="212"/>
        <v>1</v>
      </c>
      <c r="AJ76" s="693">
        <f t="shared" si="212"/>
        <v>1</v>
      </c>
      <c r="AK76" s="693">
        <f t="shared" si="212"/>
        <v>0.30961868311660362</v>
      </c>
      <c r="AL76" s="693">
        <f t="shared" si="212"/>
        <v>1</v>
      </c>
      <c r="AM76" s="693">
        <f t="shared" si="212"/>
        <v>0.5900274563984732</v>
      </c>
      <c r="AN76" s="678">
        <f>'B7 C&amp;M 28Tip'!$C$17</f>
        <v>14500</v>
      </c>
      <c r="AO76" s="678">
        <f>AN76</f>
        <v>14500</v>
      </c>
      <c r="AP76" s="678">
        <f>AN76</f>
        <v>14500</v>
      </c>
      <c r="AQ76" s="678">
        <f>'B7 C&amp;M 28Tip'!C18</f>
        <v>12500</v>
      </c>
      <c r="AR76" s="678">
        <f>AN76</f>
        <v>14500</v>
      </c>
      <c r="AS76" s="682">
        <f>'B7 C&amp;M 28Tip'!C19</f>
        <v>13600</v>
      </c>
      <c r="AU76" s="693">
        <f t="shared" ref="AU76:AZ77" si="213">IF(BA76=0, 0, EXP($D76*$E$2 * ((BA76/$BA76) - 1)) )</f>
        <v>1</v>
      </c>
      <c r="AV76" s="693">
        <f t="shared" si="213"/>
        <v>1</v>
      </c>
      <c r="AW76" s="693">
        <f t="shared" si="213"/>
        <v>1</v>
      </c>
      <c r="AX76" s="693">
        <f t="shared" si="213"/>
        <v>0.30961868311660362</v>
      </c>
      <c r="AY76" s="693">
        <f t="shared" si="213"/>
        <v>1</v>
      </c>
      <c r="AZ76" s="693">
        <f t="shared" si="213"/>
        <v>0.5900274563984732</v>
      </c>
      <c r="BA76" s="678">
        <f>'B7 C&amp;M 28Tip'!$C$17</f>
        <v>14500</v>
      </c>
      <c r="BB76" s="678">
        <f>BA76</f>
        <v>14500</v>
      </c>
      <c r="BC76" s="678">
        <f>BA76</f>
        <v>14500</v>
      </c>
      <c r="BD76" s="678">
        <f>'B7 C&amp;M 28Tip'!C18</f>
        <v>12500</v>
      </c>
      <c r="BE76" s="678">
        <f>BA76</f>
        <v>14500</v>
      </c>
      <c r="BF76" s="678">
        <f>'B7 C&amp;M 28Tip'!C19</f>
        <v>13600</v>
      </c>
      <c r="BH76" s="688">
        <f t="shared" ref="BH76:BM77" si="214">IF(BN76=0, 0, EXP($D76*$E$2 * ((BN76/$BN76) - 1)) )</f>
        <v>1</v>
      </c>
      <c r="BI76" s="30">
        <f t="shared" si="214"/>
        <v>1</v>
      </c>
      <c r="BJ76" s="30">
        <f t="shared" si="214"/>
        <v>1</v>
      </c>
      <c r="BK76" s="30">
        <f t="shared" si="214"/>
        <v>0.30961868311660362</v>
      </c>
      <c r="BL76" s="30">
        <f t="shared" si="214"/>
        <v>1</v>
      </c>
      <c r="BM76" s="30">
        <f t="shared" si="214"/>
        <v>0.5900274563984732</v>
      </c>
      <c r="BN76" s="493">
        <f>'B7 C&amp;M 28Tip'!$C$17</f>
        <v>14500</v>
      </c>
      <c r="BO76" s="493">
        <f>BN76</f>
        <v>14500</v>
      </c>
      <c r="BP76" s="493">
        <f>BN76</f>
        <v>14500</v>
      </c>
      <c r="BQ76" s="493">
        <f>'B7 C&amp;M 28Tip'!$C$18</f>
        <v>12500</v>
      </c>
      <c r="BR76" s="493">
        <f>BN76</f>
        <v>14500</v>
      </c>
      <c r="BS76" s="493">
        <f>'B7 C&amp;M 28Tip'!$C$19</f>
        <v>13600</v>
      </c>
      <c r="BU76" s="688">
        <f t="shared" ref="BU76:BZ77" si="215">IF(CA76=0, 0, EXP($D76*$E$2 * ((CA76/$CA76) - 1)) )</f>
        <v>1</v>
      </c>
      <c r="BV76" s="30">
        <f t="shared" si="215"/>
        <v>1</v>
      </c>
      <c r="BW76" s="30">
        <f t="shared" si="215"/>
        <v>1</v>
      </c>
      <c r="BX76" s="30">
        <f t="shared" si="215"/>
        <v>0.30961868311660362</v>
      </c>
      <c r="BY76" s="30">
        <f t="shared" si="215"/>
        <v>1</v>
      </c>
      <c r="BZ76" s="30">
        <f t="shared" si="215"/>
        <v>0.5900274563984732</v>
      </c>
      <c r="CA76" s="493">
        <f>'B7 C&amp;M 28Tip'!$C$17</f>
        <v>14500</v>
      </c>
      <c r="CB76" s="493">
        <f>CA76</f>
        <v>14500</v>
      </c>
      <c r="CC76" s="493">
        <f>CA76</f>
        <v>14500</v>
      </c>
      <c r="CD76" s="493">
        <f>'B7 C&amp;M 28Tip'!$C$18</f>
        <v>12500</v>
      </c>
      <c r="CE76" s="493">
        <f>CA76</f>
        <v>14500</v>
      </c>
      <c r="CF76" s="493">
        <f>'B7 C&amp;M 28Tip'!$C$19</f>
        <v>13600</v>
      </c>
      <c r="CH76" s="30">
        <f t="shared" ref="CH76:CJ77" si="216">IF(CK76=0, 0, EXP($D76*$E$2 * ((CK76/$CN76) - 1)))</f>
        <v>0.30961868311660362</v>
      </c>
      <c r="CI76" s="30">
        <f t="shared" si="216"/>
        <v>1</v>
      </c>
      <c r="CJ76" s="30">
        <f t="shared" si="216"/>
        <v>0.5900274563984732</v>
      </c>
      <c r="CK76" s="493">
        <f t="shared" ref="CK76:CM78" si="217">BQ76</f>
        <v>12500</v>
      </c>
      <c r="CL76" s="493">
        <f t="shared" si="217"/>
        <v>14500</v>
      </c>
      <c r="CM76" s="493">
        <f t="shared" si="217"/>
        <v>13600</v>
      </c>
      <c r="CN76" s="17">
        <f>'B7 C&amp;M 28Tip'!$C$17</f>
        <v>14500</v>
      </c>
    </row>
    <row r="77" spans="1:92">
      <c r="A77" s="818"/>
      <c r="B77" s="824"/>
      <c r="C77" s="23" t="s">
        <v>460</v>
      </c>
      <c r="D77" s="29">
        <f t="shared" si="203"/>
        <v>7</v>
      </c>
      <c r="E77" s="451">
        <v>7</v>
      </c>
      <c r="F77" s="32">
        <v>6</v>
      </c>
      <c r="G77" s="32">
        <v>8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D77" s="23"/>
      <c r="AE77" s="32"/>
      <c r="AF77" s="32"/>
      <c r="AH77" s="693">
        <f t="shared" si="212"/>
        <v>1</v>
      </c>
      <c r="AI77" s="693">
        <f t="shared" si="212"/>
        <v>0.59155536436681477</v>
      </c>
      <c r="AJ77" s="693">
        <f t="shared" si="212"/>
        <v>0.59155536436681477</v>
      </c>
      <c r="AK77" s="693">
        <f t="shared" si="212"/>
        <v>4.8307416181102738</v>
      </c>
      <c r="AL77" s="693">
        <f t="shared" si="212"/>
        <v>0.59155536436681477</v>
      </c>
      <c r="AM77" s="693">
        <f t="shared" si="212"/>
        <v>4.8307416181102738</v>
      </c>
      <c r="AN77" s="679">
        <f t="shared" ref="AN77:AS78" si="218">AN11</f>
        <v>1</v>
      </c>
      <c r="AO77" s="679">
        <f t="shared" si="218"/>
        <v>0.95</v>
      </c>
      <c r="AP77" s="679">
        <f t="shared" si="218"/>
        <v>0.95</v>
      </c>
      <c r="AQ77" s="679">
        <f t="shared" si="218"/>
        <v>1.1499999999999999</v>
      </c>
      <c r="AR77" s="679">
        <f t="shared" si="218"/>
        <v>0.95</v>
      </c>
      <c r="AS77" s="683">
        <f t="shared" si="218"/>
        <v>1.1499999999999999</v>
      </c>
      <c r="AU77" s="693">
        <f t="shared" si="213"/>
        <v>1</v>
      </c>
      <c r="AV77" s="693">
        <f t="shared" si="213"/>
        <v>0.59155536436681477</v>
      </c>
      <c r="AW77" s="693">
        <f t="shared" si="213"/>
        <v>0.59155536436681477</v>
      </c>
      <c r="AX77" s="693">
        <f t="shared" si="213"/>
        <v>4.8307416181102738</v>
      </c>
      <c r="AY77" s="693">
        <f t="shared" si="213"/>
        <v>0.59155536436681477</v>
      </c>
      <c r="AZ77" s="693">
        <f t="shared" si="213"/>
        <v>4.8307416181102738</v>
      </c>
      <c r="BA77" s="679">
        <f t="shared" ref="BA77:BF78" si="219">BA11</f>
        <v>1</v>
      </c>
      <c r="BB77" s="679">
        <f t="shared" si="219"/>
        <v>0.95</v>
      </c>
      <c r="BC77" s="679">
        <f t="shared" si="219"/>
        <v>0.95</v>
      </c>
      <c r="BD77" s="679">
        <f t="shared" si="219"/>
        <v>1.1499999999999999</v>
      </c>
      <c r="BE77" s="679">
        <f t="shared" si="219"/>
        <v>0.95</v>
      </c>
      <c r="BF77" s="679">
        <f t="shared" si="219"/>
        <v>1.1499999999999999</v>
      </c>
      <c r="BH77" s="688">
        <f t="shared" si="214"/>
        <v>1</v>
      </c>
      <c r="BI77" s="30">
        <f t="shared" si="214"/>
        <v>0.59155536436681477</v>
      </c>
      <c r="BJ77" s="30">
        <f t="shared" si="214"/>
        <v>0.59155536436681477</v>
      </c>
      <c r="BK77" s="30">
        <f t="shared" si="214"/>
        <v>4.8307416181102738</v>
      </c>
      <c r="BL77" s="30">
        <f t="shared" si="214"/>
        <v>0.59155536436681477</v>
      </c>
      <c r="BM77" s="30">
        <f t="shared" si="214"/>
        <v>4.8307416181102738</v>
      </c>
      <c r="BN77" s="490">
        <f t="shared" ref="BN77:BS79" si="220">BN66</f>
        <v>1</v>
      </c>
      <c r="BO77" s="490">
        <f t="shared" si="220"/>
        <v>0.95</v>
      </c>
      <c r="BP77" s="490">
        <f t="shared" si="220"/>
        <v>0.95</v>
      </c>
      <c r="BQ77" s="490">
        <f t="shared" si="220"/>
        <v>1.1499999999999999</v>
      </c>
      <c r="BR77" s="490">
        <f t="shared" si="220"/>
        <v>0.95</v>
      </c>
      <c r="BS77" s="490">
        <f t="shared" si="220"/>
        <v>1.1499999999999999</v>
      </c>
      <c r="BU77" s="688">
        <f t="shared" si="215"/>
        <v>1</v>
      </c>
      <c r="BV77" s="30">
        <f t="shared" si="215"/>
        <v>0.59155536436681477</v>
      </c>
      <c r="BW77" s="30">
        <f t="shared" si="215"/>
        <v>0.59155536436681477</v>
      </c>
      <c r="BX77" s="30">
        <f t="shared" si="215"/>
        <v>4.8307416181102738</v>
      </c>
      <c r="BY77" s="30">
        <f t="shared" si="215"/>
        <v>0.59155536436681477</v>
      </c>
      <c r="BZ77" s="30">
        <f t="shared" si="215"/>
        <v>4.8307416181102738</v>
      </c>
      <c r="CA77" s="490">
        <f t="shared" ref="CA77:CF78" si="221">CA66</f>
        <v>1</v>
      </c>
      <c r="CB77" s="490">
        <f t="shared" si="221"/>
        <v>0.95</v>
      </c>
      <c r="CC77" s="490">
        <f t="shared" si="221"/>
        <v>0.95</v>
      </c>
      <c r="CD77" s="490">
        <f t="shared" si="221"/>
        <v>1.1499999999999999</v>
      </c>
      <c r="CE77" s="490">
        <f t="shared" si="221"/>
        <v>0.95</v>
      </c>
      <c r="CF77" s="490">
        <f t="shared" si="221"/>
        <v>1.1499999999999999</v>
      </c>
      <c r="CH77" s="30">
        <f t="shared" si="216"/>
        <v>4.8307416181102738</v>
      </c>
      <c r="CI77" s="30">
        <f t="shared" si="216"/>
        <v>0.59155536436681477</v>
      </c>
      <c r="CJ77" s="30">
        <f t="shared" si="216"/>
        <v>4.8307416181102738</v>
      </c>
      <c r="CK77" s="490">
        <f t="shared" si="217"/>
        <v>1.1499999999999999</v>
      </c>
      <c r="CL77" s="490">
        <f t="shared" si="217"/>
        <v>0.95</v>
      </c>
      <c r="CM77" s="490">
        <f t="shared" si="217"/>
        <v>1.1499999999999999</v>
      </c>
      <c r="CN77" s="704">
        <f>CN66</f>
        <v>1</v>
      </c>
    </row>
    <row r="78" spans="1:92">
      <c r="A78" s="818"/>
      <c r="B78" s="824"/>
      <c r="C78" s="34" t="s">
        <v>461</v>
      </c>
      <c r="D78" s="29">
        <f t="shared" si="203"/>
        <v>8</v>
      </c>
      <c r="E78" s="451">
        <v>8</v>
      </c>
      <c r="F78" s="26">
        <v>8</v>
      </c>
      <c r="G78" s="26">
        <v>8</v>
      </c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D78" s="23"/>
      <c r="AE78" s="26"/>
      <c r="AF78" s="26"/>
      <c r="AH78" s="693">
        <f t="shared" ref="AH78:AM78" si="222">IF(AN78=0, 0, EXP($D78*$E$2  * (($AN78/AN78) - 1)) )</f>
        <v>1</v>
      </c>
      <c r="AI78" s="693">
        <f t="shared" si="222"/>
        <v>0.56471812200775884</v>
      </c>
      <c r="AJ78" s="693">
        <f t="shared" si="222"/>
        <v>0.33591098123916224</v>
      </c>
      <c r="AK78" s="693">
        <f t="shared" si="222"/>
        <v>0.13533528323661276</v>
      </c>
      <c r="AL78" s="693">
        <f t="shared" si="222"/>
        <v>1</v>
      </c>
      <c r="AM78" s="693">
        <f t="shared" si="222"/>
        <v>1</v>
      </c>
      <c r="AN78" s="679">
        <f t="shared" si="218"/>
        <v>1</v>
      </c>
      <c r="AO78" s="679">
        <f t="shared" si="218"/>
        <v>1.05</v>
      </c>
      <c r="AP78" s="679">
        <f t="shared" si="218"/>
        <v>1.1000000000000001</v>
      </c>
      <c r="AQ78" s="679">
        <f t="shared" si="218"/>
        <v>1.2</v>
      </c>
      <c r="AR78" s="679">
        <f t="shared" si="218"/>
        <v>1</v>
      </c>
      <c r="AS78" s="683">
        <f t="shared" si="218"/>
        <v>1</v>
      </c>
      <c r="AU78" s="693">
        <f t="shared" ref="AU78:AZ78" si="223">IF(BA78=0, 0, EXP($D78*$E$2 * (($BA78/BA78) - 1)) )</f>
        <v>1</v>
      </c>
      <c r="AV78" s="693">
        <f t="shared" si="223"/>
        <v>0.56471812200775884</v>
      </c>
      <c r="AW78" s="693">
        <f t="shared" si="223"/>
        <v>0.33591098123916224</v>
      </c>
      <c r="AX78" s="693">
        <f t="shared" si="223"/>
        <v>0.13533528323661276</v>
      </c>
      <c r="AY78" s="693">
        <f t="shared" si="223"/>
        <v>1</v>
      </c>
      <c r="AZ78" s="693">
        <f t="shared" si="223"/>
        <v>1</v>
      </c>
      <c r="BA78" s="679">
        <f t="shared" si="219"/>
        <v>1</v>
      </c>
      <c r="BB78" s="679">
        <f t="shared" si="219"/>
        <v>1.05</v>
      </c>
      <c r="BC78" s="679">
        <f t="shared" si="219"/>
        <v>1.1000000000000001</v>
      </c>
      <c r="BD78" s="679">
        <f t="shared" si="219"/>
        <v>1.2</v>
      </c>
      <c r="BE78" s="679">
        <f t="shared" si="219"/>
        <v>1</v>
      </c>
      <c r="BF78" s="679">
        <f t="shared" si="219"/>
        <v>1</v>
      </c>
      <c r="BH78" s="688">
        <f t="shared" ref="BH78:BM78" si="224">IF(BN78=0, 0, EXP($D78*$E$2 * (($BN78/BN78) - 1)) )</f>
        <v>1</v>
      </c>
      <c r="BI78" s="30">
        <f t="shared" si="224"/>
        <v>0.56471812200775884</v>
      </c>
      <c r="BJ78" s="30">
        <f t="shared" si="224"/>
        <v>0.33591098123916224</v>
      </c>
      <c r="BK78" s="30">
        <f t="shared" si="224"/>
        <v>0.13533528323661276</v>
      </c>
      <c r="BL78" s="30">
        <f t="shared" si="224"/>
        <v>1</v>
      </c>
      <c r="BM78" s="30">
        <f t="shared" si="224"/>
        <v>1</v>
      </c>
      <c r="BN78" s="490">
        <f t="shared" si="220"/>
        <v>1</v>
      </c>
      <c r="BO78" s="490">
        <f t="shared" si="220"/>
        <v>1.05</v>
      </c>
      <c r="BP78" s="490">
        <f t="shared" si="220"/>
        <v>1.1000000000000001</v>
      </c>
      <c r="BQ78" s="490">
        <f t="shared" si="220"/>
        <v>1.2</v>
      </c>
      <c r="BR78" s="490">
        <f t="shared" si="220"/>
        <v>1</v>
      </c>
      <c r="BS78" s="490">
        <f t="shared" si="220"/>
        <v>1</v>
      </c>
      <c r="BU78" s="688">
        <f t="shared" ref="BU78:BZ78" si="225">IF(CA78=0, 0, EXP($D78*$E$2 * (($CA78/CA78) - 1)) )</f>
        <v>1</v>
      </c>
      <c r="BV78" s="30">
        <f t="shared" si="225"/>
        <v>0.56471812200775884</v>
      </c>
      <c r="BW78" s="30">
        <f t="shared" si="225"/>
        <v>0.33591098123916224</v>
      </c>
      <c r="BX78" s="30">
        <f t="shared" si="225"/>
        <v>0.13533528323661276</v>
      </c>
      <c r="BY78" s="30">
        <f t="shared" si="225"/>
        <v>1</v>
      </c>
      <c r="BZ78" s="30">
        <f t="shared" si="225"/>
        <v>1</v>
      </c>
      <c r="CA78" s="490">
        <f t="shared" si="221"/>
        <v>1</v>
      </c>
      <c r="CB78" s="490">
        <f t="shared" si="221"/>
        <v>1.05</v>
      </c>
      <c r="CC78" s="490">
        <f t="shared" si="221"/>
        <v>1.1000000000000001</v>
      </c>
      <c r="CD78" s="490">
        <f t="shared" si="221"/>
        <v>1.2</v>
      </c>
      <c r="CE78" s="490">
        <f t="shared" si="221"/>
        <v>1</v>
      </c>
      <c r="CF78" s="490">
        <f t="shared" si="221"/>
        <v>1</v>
      </c>
      <c r="CH78" s="30">
        <f>IF(CK78=0, 0, EXP($D78*$E$2 * (($CN78/CK78) - 1)))</f>
        <v>0.13533528323661276</v>
      </c>
      <c r="CI78" s="30">
        <f>IF(CL78=0, 0, EXP($D78*$E$2 * (($CN78/CL78) - 1)))</f>
        <v>1</v>
      </c>
      <c r="CJ78" s="30">
        <f>IF(CM78=0, 0, EXP($D78*$E$2 * (($CN78/CM78) - 1)))</f>
        <v>1</v>
      </c>
      <c r="CK78" s="490">
        <f t="shared" si="217"/>
        <v>1.2</v>
      </c>
      <c r="CL78" s="490">
        <f t="shared" si="217"/>
        <v>1</v>
      </c>
      <c r="CM78" s="490">
        <f t="shared" si="217"/>
        <v>1</v>
      </c>
      <c r="CN78" s="704">
        <f>CN67</f>
        <v>1</v>
      </c>
    </row>
    <row r="79" spans="1:92">
      <c r="A79" s="818"/>
      <c r="B79" s="824"/>
      <c r="C79" s="23" t="s">
        <v>462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64"/>
      <c r="AH79" s="23"/>
      <c r="AI79" s="23"/>
      <c r="AJ79" s="23"/>
      <c r="AK79" s="23"/>
      <c r="AL79" s="23"/>
      <c r="AM79" s="23"/>
      <c r="AN79" s="680">
        <f t="shared" ref="AN79:AS79" si="226">AN68</f>
        <v>2025</v>
      </c>
      <c r="AO79" s="680">
        <f t="shared" si="226"/>
        <v>2025</v>
      </c>
      <c r="AP79" s="680">
        <f t="shared" si="226"/>
        <v>2025</v>
      </c>
      <c r="AQ79" s="680">
        <f t="shared" si="226"/>
        <v>2025</v>
      </c>
      <c r="AR79" s="680">
        <f t="shared" si="226"/>
        <v>2028</v>
      </c>
      <c r="AS79" s="696">
        <f t="shared" si="226"/>
        <v>2030</v>
      </c>
      <c r="AU79" s="23"/>
      <c r="AV79" s="23"/>
      <c r="AW79" s="23"/>
      <c r="AX79" s="23"/>
      <c r="AY79" s="23"/>
      <c r="AZ79" s="23"/>
      <c r="BA79" s="680">
        <f t="shared" ref="BA79:BF79" si="227">BA68</f>
        <v>2025</v>
      </c>
      <c r="BB79" s="680">
        <f t="shared" si="227"/>
        <v>2025</v>
      </c>
      <c r="BC79" s="680">
        <f t="shared" si="227"/>
        <v>2025</v>
      </c>
      <c r="BD79" s="680">
        <f t="shared" si="227"/>
        <v>2025</v>
      </c>
      <c r="BE79" s="680">
        <f t="shared" si="227"/>
        <v>2028</v>
      </c>
      <c r="BF79" s="680">
        <f t="shared" si="227"/>
        <v>2030</v>
      </c>
      <c r="BH79" s="681"/>
      <c r="BI79" s="23"/>
      <c r="BJ79" s="23"/>
      <c r="BK79" s="23"/>
      <c r="BL79" s="23"/>
      <c r="BM79" s="23"/>
      <c r="BN79" s="491">
        <f t="shared" ref="BN79" si="228">BN68</f>
        <v>2025</v>
      </c>
      <c r="BO79" s="491">
        <f t="shared" si="220"/>
        <v>2025</v>
      </c>
      <c r="BP79" s="491">
        <f t="shared" si="220"/>
        <v>2025</v>
      </c>
      <c r="BQ79" s="491">
        <f t="shared" si="220"/>
        <v>2025</v>
      </c>
      <c r="BR79" s="491">
        <f t="shared" si="220"/>
        <v>2028</v>
      </c>
      <c r="BS79" s="491">
        <f t="shared" si="220"/>
        <v>2030</v>
      </c>
      <c r="BU79" s="681"/>
      <c r="BV79" s="23"/>
      <c r="BW79" s="23"/>
      <c r="BX79" s="23"/>
      <c r="BY79" s="23"/>
      <c r="BZ79" s="23"/>
      <c r="CA79" s="491">
        <f>BN79</f>
        <v>2025</v>
      </c>
      <c r="CB79" s="491">
        <f t="shared" ref="CB79:CB81" si="229">BO79</f>
        <v>2025</v>
      </c>
      <c r="CC79" s="491">
        <f t="shared" ref="CC79:CC81" si="230">BP79</f>
        <v>2025</v>
      </c>
      <c r="CD79" s="491">
        <f t="shared" ref="CD79:CD81" si="231">BQ79</f>
        <v>2025</v>
      </c>
      <c r="CE79" s="491">
        <f t="shared" ref="CE79:CE81" si="232">BR79</f>
        <v>2028</v>
      </c>
      <c r="CF79" s="491">
        <f t="shared" ref="CF79:CF81" si="233">BS79</f>
        <v>2030</v>
      </c>
      <c r="CN79" s="17">
        <f>CN68</f>
        <v>2025</v>
      </c>
    </row>
    <row r="80" spans="1:92">
      <c r="A80" s="818"/>
      <c r="B80" s="824"/>
      <c r="C80" s="23" t="s">
        <v>463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6"/>
      <c r="AE80" s="23"/>
      <c r="AF80" s="23"/>
      <c r="AG80" s="64"/>
      <c r="AH80" s="23">
        <v>1</v>
      </c>
      <c r="AI80" s="701">
        <f>$BH80-($BO80-$BN80)/($BO$1-$BN80)</f>
        <v>0.9</v>
      </c>
      <c r="AJ80" s="701">
        <f>$BH80-($BP80-$BN80)/($BO$1-$BN80)</f>
        <v>0.75</v>
      </c>
      <c r="AK80" s="701">
        <f>$BH80-($BQ80-$BN80)/($BO$1-$BN80)</f>
        <v>0.85</v>
      </c>
      <c r="AL80" s="701">
        <f>$BH80-($BR80-$BN80)/($BO$1-$BN80)</f>
        <v>0.55000000000000004</v>
      </c>
      <c r="AM80" s="701">
        <f>$BH80-($BS80-$BN79)/($BO$1-$BN79)</f>
        <v>0.35</v>
      </c>
      <c r="AN80" s="680">
        <f>'No change with year'!J70</f>
        <v>2025</v>
      </c>
      <c r="AO80" s="680">
        <f>'No change with year'!K70</f>
        <v>2027</v>
      </c>
      <c r="AP80" s="680">
        <f>'No change with year'!L70</f>
        <v>2030</v>
      </c>
      <c r="AQ80" s="680">
        <f>'No change with year'!M70</f>
        <v>2028</v>
      </c>
      <c r="AR80" s="680">
        <f>'No change with year'!N70</f>
        <v>2034</v>
      </c>
      <c r="AS80" s="696">
        <f>'No change with year'!O70</f>
        <v>2038</v>
      </c>
      <c r="AU80" s="23">
        <v>1</v>
      </c>
      <c r="AV80" s="701">
        <f>$BH80-($BO80-$BN80)/($BO$1-$BN80)</f>
        <v>0.9</v>
      </c>
      <c r="AW80" s="701">
        <f>$BH80-($BP80-$BN80)/($BO$1-$BN80)</f>
        <v>0.75</v>
      </c>
      <c r="AX80" s="701">
        <f>$BH80-($BQ80-$BN80)/($BO$1-$BN80)</f>
        <v>0.85</v>
      </c>
      <c r="AY80" s="701">
        <f>$BH80-($BR80-$BN80)/($BO$1-$BN80)</f>
        <v>0.55000000000000004</v>
      </c>
      <c r="AZ80" s="701">
        <f>$BH80-($BS80-$BN79)/($BO$1-$BN79)</f>
        <v>0.35</v>
      </c>
      <c r="BA80" s="680">
        <f>'No change with year'!J70</f>
        <v>2025</v>
      </c>
      <c r="BB80" s="680">
        <f>'No change with year'!K70</f>
        <v>2027</v>
      </c>
      <c r="BC80" s="680">
        <f>'No change with year'!L70</f>
        <v>2030</v>
      </c>
      <c r="BD80" s="680">
        <f>'No change with year'!M70</f>
        <v>2028</v>
      </c>
      <c r="BE80" s="680">
        <f>'No change with year'!N70</f>
        <v>2034</v>
      </c>
      <c r="BF80" s="680">
        <f>'No change with year'!O70</f>
        <v>2038</v>
      </c>
      <c r="BH80" s="688">
        <v>1</v>
      </c>
      <c r="BI80" s="30">
        <f>$BH80-($BO80-$BN80)/($BO$1-$BN80)</f>
        <v>0.9</v>
      </c>
      <c r="BJ80" s="30">
        <f>$BH80-($BP80-$BN80)/($BO$1-$BN80)</f>
        <v>0.75</v>
      </c>
      <c r="BK80" s="30">
        <f>$BH80-($BQ80-$BN80)/($BO$1-$BN80)</f>
        <v>0.85</v>
      </c>
      <c r="BL80" s="30">
        <f>$BH80-($BR80-$BN80)/($BO$1-$BN80)</f>
        <v>0.55000000000000004</v>
      </c>
      <c r="BM80" s="30">
        <f>$BH80-($BS80-$BN79)/($BO$1-$BN79)</f>
        <v>0.35</v>
      </c>
      <c r="BN80" s="491">
        <f>'No change with year'!J70</f>
        <v>2025</v>
      </c>
      <c r="BO80" s="491">
        <f>'No change with year'!K70</f>
        <v>2027</v>
      </c>
      <c r="BP80" s="491">
        <f>'No change with year'!L70</f>
        <v>2030</v>
      </c>
      <c r="BQ80" s="491">
        <f>'No change with year'!M70</f>
        <v>2028</v>
      </c>
      <c r="BR80" s="491">
        <f>'No change with year'!N70</f>
        <v>2034</v>
      </c>
      <c r="BS80" s="491">
        <f>'No change with year'!O70</f>
        <v>2038</v>
      </c>
      <c r="BU80" s="688">
        <v>1</v>
      </c>
      <c r="BV80" s="30">
        <f>$BU80-($CB80-$CA80)/($CB$1-$CA80)</f>
        <v>0.92</v>
      </c>
      <c r="BW80" s="30">
        <f>$BU80-($CC80-$CA80)/($CB$1-$CA80)</f>
        <v>0.8</v>
      </c>
      <c r="BX80" s="30">
        <f>$BU80-($CD80-$CA80)/($CB$1-$CA80)</f>
        <v>0.88</v>
      </c>
      <c r="BY80" s="30">
        <f>$BU80-($CE80-$CA80)/($CB$1-$CA80)</f>
        <v>0.64</v>
      </c>
      <c r="BZ80" s="30">
        <f>$BU80-($CF80-$CA79)/($CB$1-$CA79)</f>
        <v>0.48</v>
      </c>
      <c r="CA80" s="491">
        <f>BN80</f>
        <v>2025</v>
      </c>
      <c r="CB80" s="491">
        <f t="shared" si="229"/>
        <v>2027</v>
      </c>
      <c r="CC80" s="491">
        <f t="shared" si="230"/>
        <v>2030</v>
      </c>
      <c r="CD80" s="491">
        <f t="shared" si="231"/>
        <v>2028</v>
      </c>
      <c r="CE80" s="491">
        <f t="shared" si="232"/>
        <v>2034</v>
      </c>
      <c r="CF80" s="491">
        <f t="shared" si="233"/>
        <v>2038</v>
      </c>
      <c r="CN80" s="17">
        <f>'No change with year'!J70</f>
        <v>2025</v>
      </c>
    </row>
    <row r="81" spans="1:92">
      <c r="A81" s="818"/>
      <c r="B81" s="823"/>
      <c r="C81" s="23" t="s">
        <v>464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6"/>
      <c r="AE81" s="23"/>
      <c r="AF81" s="23"/>
      <c r="AG81" s="64"/>
      <c r="AH81" s="694">
        <v>1</v>
      </c>
      <c r="AI81" s="694">
        <f>$BH81-($BO80-$BN80)/($BO81-$BN80)+($BO$1-$BO81)/($BO$1-$BN80)</f>
        <v>0.35</v>
      </c>
      <c r="AJ81" s="694">
        <f>$BH81-($BP80-$BN80)/($BP81-$BN80)+($BO$1-$BP81)/($BO$1-$BN80)</f>
        <v>-2.5000000000000022E-2</v>
      </c>
      <c r="AK81" s="694">
        <f>$BH81-($BQ80-$BN80)/($BQ81-$BN80)+($BO$1-$BQ81)/($BO$1-$BN80)</f>
        <v>0.2</v>
      </c>
      <c r="AL81" s="694">
        <f>$BH81-($BR80-$BN80)/($BR81-$BN80)+($BO$1-$BR81)/($BO$1-$BN80)</f>
        <v>-0.37941176470588234</v>
      </c>
      <c r="AM81" s="694">
        <f>$BH81-($BS80-$BN79)/($BS81-$BN79)+($BO$1-$BS81)/($BO$1-$BN79)</f>
        <v>-0.65</v>
      </c>
      <c r="AN81" s="687">
        <f t="shared" ref="AN81:AS81" si="234">AN70</f>
        <v>2025</v>
      </c>
      <c r="AO81" s="687">
        <f t="shared" si="234"/>
        <v>2030</v>
      </c>
      <c r="AP81" s="687">
        <f t="shared" si="234"/>
        <v>2033</v>
      </c>
      <c r="AQ81" s="687">
        <f t="shared" si="234"/>
        <v>2035</v>
      </c>
      <c r="AR81" s="687">
        <f t="shared" si="234"/>
        <v>2042</v>
      </c>
      <c r="AS81" s="697">
        <f t="shared" si="234"/>
        <v>2045</v>
      </c>
      <c r="AU81" s="694">
        <v>1</v>
      </c>
      <c r="AV81" s="694">
        <f>$BH81-($BO80-$BN80)/($BO81-$BN80)+($BO$1-$BO81)/($BO$1-$BN80)</f>
        <v>0.35</v>
      </c>
      <c r="AW81" s="694">
        <f>$BH81-($BP80-$BN80)/($BP81-$BN80)+($BO$1-$BP81)/($BO$1-$BN80)</f>
        <v>-2.5000000000000022E-2</v>
      </c>
      <c r="AX81" s="694">
        <f>$BH81-($BQ80-$BN80)/($BQ81-$BN80)+($BO$1-$BQ81)/($BO$1-$BN80)</f>
        <v>0.2</v>
      </c>
      <c r="AY81" s="694">
        <f>$BH81-($BR80-$BN80)/($BR81-$BN80)+($BO$1-$BR81)/($BO$1-$BN80)</f>
        <v>-0.37941176470588234</v>
      </c>
      <c r="AZ81" s="694">
        <f>$BH81-($BS80-$BN79)/($BS81-$BN79)+($BO$1-$BS81)/($BO$1-$BN79)</f>
        <v>-0.65</v>
      </c>
      <c r="BA81" s="687">
        <f t="shared" ref="BA81:BF81" si="235">BA70</f>
        <v>2025</v>
      </c>
      <c r="BB81" s="687">
        <f t="shared" si="235"/>
        <v>2030</v>
      </c>
      <c r="BC81" s="687">
        <f t="shared" si="235"/>
        <v>2033</v>
      </c>
      <c r="BD81" s="687">
        <f t="shared" si="235"/>
        <v>2035</v>
      </c>
      <c r="BE81" s="687">
        <f t="shared" si="235"/>
        <v>2042</v>
      </c>
      <c r="BF81" s="687">
        <f t="shared" si="235"/>
        <v>2045</v>
      </c>
      <c r="BH81" s="681"/>
      <c r="BI81" s="23"/>
      <c r="BJ81" s="23"/>
      <c r="BK81" s="23"/>
      <c r="BL81" s="23"/>
      <c r="BM81" s="23"/>
      <c r="BN81" s="491">
        <f t="shared" ref="BN81" si="236">BN70</f>
        <v>2025</v>
      </c>
      <c r="BO81" s="491">
        <f t="shared" ref="BO81:BS81" si="237">BO70</f>
        <v>2030</v>
      </c>
      <c r="BP81" s="491">
        <f t="shared" si="237"/>
        <v>2033</v>
      </c>
      <c r="BQ81" s="491">
        <f t="shared" si="237"/>
        <v>2035</v>
      </c>
      <c r="BR81" s="491">
        <f t="shared" si="237"/>
        <v>2042</v>
      </c>
      <c r="BS81" s="491">
        <f t="shared" si="237"/>
        <v>2045</v>
      </c>
      <c r="BU81" s="688">
        <v>1</v>
      </c>
      <c r="BV81" s="30">
        <f>$BU81-($CB81-$CA81)/($CB$1-$CA81)</f>
        <v>0.8</v>
      </c>
      <c r="BW81" s="30">
        <f>$BU81-($CC81-$CA81)/($CB$1-$CA81)</f>
        <v>0.67999999999999994</v>
      </c>
      <c r="BX81" s="30">
        <f>$BU81-($CD81-$CA81)/($CB$1-$CA81)</f>
        <v>0.6</v>
      </c>
      <c r="BY81" s="30">
        <f>$BU81-($CE81-$CA81)/($CB$1-$CA81)</f>
        <v>0.31999999999999995</v>
      </c>
      <c r="BZ81" s="30">
        <f>$BU81-($CF81-$CA80)/($CB$1-$CA80)</f>
        <v>0.19999999999999996</v>
      </c>
      <c r="CA81" s="491">
        <f>BN81</f>
        <v>2025</v>
      </c>
      <c r="CB81" s="491">
        <f t="shared" si="229"/>
        <v>2030</v>
      </c>
      <c r="CC81" s="491">
        <f t="shared" si="230"/>
        <v>2033</v>
      </c>
      <c r="CD81" s="491">
        <f t="shared" si="231"/>
        <v>2035</v>
      </c>
      <c r="CE81" s="491">
        <f t="shared" si="232"/>
        <v>2042</v>
      </c>
      <c r="CF81" s="491">
        <f t="shared" si="233"/>
        <v>2045</v>
      </c>
      <c r="CH81" s="30">
        <f>CD81/CD81</f>
        <v>1</v>
      </c>
      <c r="CI81" s="30">
        <f>1-(CE81-CD81)/($CK$1-CD81)</f>
        <v>0.65</v>
      </c>
      <c r="CJ81" s="30">
        <f>1-(CF81-CD81)/($CK$1-CD81)</f>
        <v>0.5</v>
      </c>
      <c r="CK81" s="936" t="s">
        <v>1059</v>
      </c>
      <c r="CL81" s="937"/>
      <c r="CM81" s="937"/>
      <c r="CN81" s="17">
        <f>CN70</f>
        <v>2025</v>
      </c>
    </row>
    <row r="82" spans="1:92">
      <c r="A82" s="818">
        <v>8</v>
      </c>
      <c r="B82" s="822" t="s">
        <v>843</v>
      </c>
      <c r="C82" s="23" t="s">
        <v>452</v>
      </c>
      <c r="D82" s="450"/>
      <c r="E82" s="24" t="s">
        <v>470</v>
      </c>
      <c r="F82" s="25" t="s">
        <v>470</v>
      </c>
      <c r="G82" s="25" t="s">
        <v>470</v>
      </c>
      <c r="H82" s="24"/>
      <c r="I82" s="25"/>
      <c r="J82" s="25"/>
      <c r="K82" s="24"/>
      <c r="L82" s="25"/>
      <c r="M82" s="25"/>
      <c r="N82" s="25"/>
      <c r="O82" s="25"/>
      <c r="P82" s="25"/>
      <c r="Q82" s="24"/>
      <c r="R82" s="25"/>
      <c r="S82" s="25"/>
      <c r="T82" s="25"/>
      <c r="U82" s="25"/>
      <c r="V82" s="25"/>
      <c r="W82" s="24"/>
      <c r="X82" s="25"/>
      <c r="Y82" s="25"/>
      <c r="Z82" s="24"/>
      <c r="AA82" s="25"/>
      <c r="AB82" s="25"/>
      <c r="AD82" s="26"/>
      <c r="AE82" s="27"/>
      <c r="AF82" s="27"/>
      <c r="AH82" s="684"/>
      <c r="AI82" s="684"/>
      <c r="AJ82" s="684"/>
      <c r="AK82" s="684"/>
      <c r="AL82" s="684"/>
      <c r="AM82" s="684"/>
      <c r="AN82" s="684"/>
      <c r="AO82" s="684"/>
      <c r="AP82" s="684"/>
      <c r="AQ82" s="684"/>
      <c r="AR82" s="684"/>
      <c r="AS82" s="684"/>
      <c r="AU82" s="684"/>
      <c r="AV82" s="684"/>
      <c r="AW82" s="684"/>
      <c r="AX82" s="684"/>
      <c r="AY82" s="684"/>
      <c r="AZ82" s="684"/>
      <c r="BA82" s="684"/>
      <c r="BB82" s="684"/>
      <c r="BC82" s="684"/>
      <c r="BD82" s="684"/>
      <c r="BE82" s="684"/>
      <c r="BF82" s="689"/>
      <c r="BH82" s="447"/>
      <c r="BI82" s="445"/>
      <c r="BJ82" s="445"/>
      <c r="BK82" s="445"/>
      <c r="BL82" s="445"/>
      <c r="BM82" s="445"/>
      <c r="BO82" s="445"/>
      <c r="BP82" s="445"/>
      <c r="BU82" s="447"/>
      <c r="BV82" s="445"/>
      <c r="BW82" s="445"/>
      <c r="BX82" s="445"/>
      <c r="BY82" s="445"/>
      <c r="BZ82" s="445"/>
      <c r="CB82" s="445"/>
      <c r="CC82" s="445"/>
    </row>
    <row r="83" spans="1:92">
      <c r="A83" s="818"/>
      <c r="B83" s="824"/>
      <c r="C83" s="23" t="s">
        <v>455</v>
      </c>
      <c r="D83" s="450"/>
      <c r="E83" s="24"/>
      <c r="F83" s="24"/>
      <c r="G83" s="25"/>
      <c r="H83" s="24"/>
      <c r="I83" s="25"/>
      <c r="J83" s="25"/>
      <c r="K83" s="25"/>
      <c r="L83" s="25"/>
      <c r="M83" s="25"/>
      <c r="N83" s="25"/>
      <c r="O83" s="25"/>
      <c r="P83" s="25"/>
      <c r="Q83" s="24"/>
      <c r="R83" s="25"/>
      <c r="S83" s="25"/>
      <c r="T83" s="25"/>
      <c r="U83" s="25"/>
      <c r="V83" s="25"/>
      <c r="W83" s="24"/>
      <c r="X83" s="25"/>
      <c r="Y83" s="25"/>
      <c r="Z83" s="24"/>
      <c r="AA83" s="25"/>
      <c r="AB83" s="25"/>
      <c r="AD83" s="26"/>
      <c r="AE83" s="27"/>
      <c r="AF83" s="27"/>
      <c r="AH83" s="68">
        <f>Buckets!H10</f>
        <v>84000</v>
      </c>
      <c r="AI83" s="68">
        <f>Buckets!J10</f>
        <v>62390</v>
      </c>
      <c r="AJ83" s="68">
        <f>Buckets!K10</f>
        <v>21610</v>
      </c>
      <c r="AK83" s="691">
        <f>AH83</f>
        <v>84000</v>
      </c>
      <c r="AL83" s="691">
        <f>AH83</f>
        <v>84000</v>
      </c>
      <c r="AM83" s="691">
        <f>AH83</f>
        <v>84000</v>
      </c>
      <c r="AU83" s="68">
        <f>Buckets!M10</f>
        <v>101210</v>
      </c>
      <c r="AV83" s="68">
        <f>Buckets!O10</f>
        <v>75170</v>
      </c>
      <c r="AW83" s="68">
        <f>Buckets!P10</f>
        <v>26040</v>
      </c>
      <c r="AX83" s="691">
        <f>AU83</f>
        <v>101210</v>
      </c>
      <c r="AY83" s="691">
        <f>AU83</f>
        <v>101210</v>
      </c>
      <c r="AZ83" s="691">
        <f>AU83</f>
        <v>101210</v>
      </c>
      <c r="BH83" s="68">
        <f>Buckets!R10</f>
        <v>124320</v>
      </c>
      <c r="BI83" s="68">
        <f>Buckets!T10</f>
        <v>92340</v>
      </c>
      <c r="BJ83" s="68">
        <v>0</v>
      </c>
      <c r="BK83" s="68">
        <f>BH83</f>
        <v>124320</v>
      </c>
      <c r="BL83" s="68">
        <f>BH83</f>
        <v>124320</v>
      </c>
      <c r="BM83" s="68">
        <f>BH83</f>
        <v>124320</v>
      </c>
      <c r="BU83" s="68">
        <f>Buckets!W10</f>
        <v>146890</v>
      </c>
      <c r="BV83" s="68">
        <f>Buckets!Y10</f>
        <v>109100</v>
      </c>
      <c r="BW83" s="68">
        <f>Buckets!Z10</f>
        <v>37790</v>
      </c>
      <c r="BX83" s="691">
        <f>BU83</f>
        <v>146890</v>
      </c>
      <c r="BY83" s="691">
        <f>BU83</f>
        <v>146890</v>
      </c>
      <c r="BZ83" s="691">
        <f>BU83</f>
        <v>146890</v>
      </c>
    </row>
    <row r="84" spans="1:92">
      <c r="A84" s="818"/>
      <c r="B84" s="824"/>
      <c r="C84" s="28" t="s">
        <v>456</v>
      </c>
      <c r="D84" s="450"/>
      <c r="E84" s="24"/>
      <c r="F84" s="25"/>
      <c r="G84" s="25"/>
      <c r="H84" s="24"/>
      <c r="I84" s="25"/>
      <c r="J84" s="25"/>
      <c r="K84" s="24"/>
      <c r="L84" s="25"/>
      <c r="M84" s="25"/>
      <c r="N84" s="25"/>
      <c r="O84" s="25"/>
      <c r="P84" s="25"/>
      <c r="Q84" s="24"/>
      <c r="R84" s="25"/>
      <c r="S84" s="25"/>
      <c r="T84" s="25"/>
      <c r="U84" s="25"/>
      <c r="V84" s="25"/>
      <c r="W84" s="24"/>
      <c r="X84" s="25"/>
      <c r="Y84" s="25"/>
      <c r="Z84" s="24"/>
      <c r="AA84" s="25"/>
      <c r="AB84" s="25"/>
      <c r="AD84" s="26"/>
      <c r="AE84" s="27"/>
      <c r="AF84" s="27"/>
      <c r="AH84" s="686"/>
      <c r="AI84" s="686"/>
      <c r="AJ84" s="686"/>
      <c r="AK84" s="686"/>
      <c r="AL84" s="686"/>
      <c r="AM84" s="686"/>
      <c r="AN84" s="686"/>
      <c r="AO84" s="686"/>
      <c r="AP84" s="686"/>
      <c r="AQ84" s="686"/>
      <c r="AR84" s="686"/>
      <c r="AS84" s="686"/>
      <c r="AU84" s="686"/>
      <c r="AV84" s="686"/>
      <c r="AW84" s="686"/>
      <c r="AX84" s="686"/>
      <c r="AY84" s="686"/>
      <c r="AZ84" s="686"/>
      <c r="BA84" s="686"/>
      <c r="BB84" s="686"/>
      <c r="BC84" s="686"/>
      <c r="BD84" s="686"/>
      <c r="BE84" s="686"/>
      <c r="BF84" s="690"/>
      <c r="BH84" s="447"/>
      <c r="BI84" s="445"/>
      <c r="BJ84" s="445"/>
      <c r="BK84" s="445"/>
      <c r="BL84" s="445"/>
      <c r="BM84" s="445"/>
      <c r="BO84" s="445"/>
      <c r="BP84" s="445"/>
      <c r="BU84" s="447"/>
      <c r="BV84" s="445"/>
      <c r="BW84" s="445"/>
      <c r="BX84" s="445"/>
      <c r="BY84" s="445"/>
      <c r="BZ84" s="445"/>
      <c r="CB84" s="445"/>
      <c r="CC84" s="445"/>
    </row>
    <row r="85" spans="1:92">
      <c r="A85" s="818"/>
      <c r="B85" s="824"/>
      <c r="C85" s="23" t="s">
        <v>457</v>
      </c>
      <c r="D85" s="29">
        <f t="shared" ref="D85:D89" si="238">AVERAGE(E85:AB85)</f>
        <v>9</v>
      </c>
      <c r="E85" s="451">
        <v>9</v>
      </c>
      <c r="F85" s="27">
        <v>9</v>
      </c>
      <c r="G85" s="27">
        <v>9</v>
      </c>
      <c r="H85" s="26"/>
      <c r="I85" s="27"/>
      <c r="J85" s="27"/>
      <c r="K85" s="26"/>
      <c r="L85" s="27"/>
      <c r="M85" s="27"/>
      <c r="N85" s="27"/>
      <c r="O85" s="27"/>
      <c r="P85" s="27"/>
      <c r="Q85" s="26"/>
      <c r="R85" s="27"/>
      <c r="S85" s="27"/>
      <c r="T85" s="27"/>
      <c r="U85" s="27"/>
      <c r="V85" s="27"/>
      <c r="W85" s="26"/>
      <c r="X85" s="27"/>
      <c r="Y85" s="27"/>
      <c r="Z85" s="26"/>
      <c r="AA85" s="27"/>
      <c r="AB85" s="27"/>
      <c r="AD85" s="32"/>
      <c r="AE85" s="27"/>
      <c r="AF85" s="27"/>
      <c r="AH85" s="693">
        <f t="shared" ref="AH85:AM85" si="239">IF(AN85=0, 0, EXP($D85*$E$2  * (($AN85/AN85) - 1)) )</f>
        <v>1</v>
      </c>
      <c r="AI85" s="693">
        <f t="shared" si="239"/>
        <v>1.1193508439684972</v>
      </c>
      <c r="AJ85" s="693">
        <f t="shared" si="239"/>
        <v>1.1490881936861654</v>
      </c>
      <c r="AK85" s="693">
        <f t="shared" si="239"/>
        <v>6.1198853612401169</v>
      </c>
      <c r="AL85" s="693">
        <f t="shared" si="239"/>
        <v>4.6006427961638265E-2</v>
      </c>
      <c r="AM85" s="693">
        <f t="shared" si="239"/>
        <v>3.9798295609794324E-2</v>
      </c>
      <c r="AN85" s="685">
        <f>'B8 C&amp;M 35Tip'!$M$165</f>
        <v>97.921783490411528</v>
      </c>
      <c r="AO85" s="685">
        <f>'B8 C&amp;M 35Tip'!$M$166</f>
        <v>97.110736817662428</v>
      </c>
      <c r="AP85" s="685">
        <f>'B8 C&amp;M 35Tip'!$M$167</f>
        <v>96.924049103526002</v>
      </c>
      <c r="AQ85" s="685">
        <f>'B8 C&amp;M 35Tip'!$M$168</f>
        <v>86.336435566862335</v>
      </c>
      <c r="AR85" s="685">
        <f>'B8 C&amp;M 35Tip'!$M$169</f>
        <v>126.85354557706758</v>
      </c>
      <c r="AS85" s="695">
        <f>'B8 C&amp;M 35Tip'!$M$170</f>
        <v>128.64297639043957</v>
      </c>
      <c r="AU85" s="693">
        <f t="shared" ref="AU85:AZ85" si="240">IF(BA85=0, 0, EXP($D85*$E$2* (($BA85/BA85) - 1)) )</f>
        <v>1</v>
      </c>
      <c r="AV85" s="693">
        <f t="shared" si="240"/>
        <v>0.85249553780208998</v>
      </c>
      <c r="AW85" s="693">
        <f t="shared" si="240"/>
        <v>0.8929635806832622</v>
      </c>
      <c r="AX85" s="693">
        <f t="shared" si="240"/>
        <v>26.46821837124212</v>
      </c>
      <c r="AY85" s="693">
        <f t="shared" si="240"/>
        <v>0.25127890187808877</v>
      </c>
      <c r="AZ85" s="693">
        <f t="shared" si="240"/>
        <v>0.27439241696163036</v>
      </c>
      <c r="BA85" s="685">
        <f>'B8 C&amp;M 35Tip'!$R$165</f>
        <v>113.08115408631508</v>
      </c>
      <c r="BB85" s="685">
        <f>'B8 C&amp;M 35Tip'!$R$166</f>
        <v>114.43390957710396</v>
      </c>
      <c r="BC85" s="685">
        <f>'B8 C&amp;M 35Tip'!$R$167</f>
        <v>114.03745939834566</v>
      </c>
      <c r="BD85" s="685">
        <f>'B8 C&amp;M 35Tip'!$R$168</f>
        <v>90.999082726680072</v>
      </c>
      <c r="BE85" s="685">
        <f>'B8 C&amp;M 35Tip'!$R$169</f>
        <v>125.96911793632992</v>
      </c>
      <c r="BF85" s="685">
        <f>'B8 C&amp;M 35Tip'!$R$170</f>
        <v>125.06103829289385</v>
      </c>
      <c r="BH85" s="688">
        <f t="shared" ref="BH85:BM85" si="241">IF(BN85=0, 0, EXP($D85*$E$2 * (($BN85/BN85) - 1)) )</f>
        <v>1</v>
      </c>
      <c r="BI85" s="30">
        <f t="shared" si="241"/>
        <v>0.66438071371738139</v>
      </c>
      <c r="BJ85" s="30">
        <f t="shared" si="241"/>
        <v>0.71084558707790291</v>
      </c>
      <c r="BK85" s="30">
        <f t="shared" si="241"/>
        <v>44.060487527121865</v>
      </c>
      <c r="BL85" s="30">
        <f t="shared" si="241"/>
        <v>1.0840356029712135</v>
      </c>
      <c r="BM85" s="30">
        <f t="shared" si="241"/>
        <v>1.218430563525694</v>
      </c>
      <c r="BN85" s="492">
        <f>'B8 C&amp;M 35Tip'!$W$165</f>
        <v>129.9800134092358</v>
      </c>
      <c r="BO85" s="492">
        <f>'B8 C&amp;M 35Tip'!$W$166</f>
        <v>134.0399333602918</v>
      </c>
      <c r="BP85" s="492">
        <f>'B8 C&amp;M 35Tip'!$W$167</f>
        <v>133.35133316171292</v>
      </c>
      <c r="BQ85" s="492">
        <f>'B8 C&amp;M 35Tip'!$W$168</f>
        <v>101.51420233004399</v>
      </c>
      <c r="BR85" s="492">
        <f>'B8 C&amp;M 35Tip'!$W$169</f>
        <v>129.2077268949501</v>
      </c>
      <c r="BS85" s="492">
        <f>'B8 C&amp;M 35Tip'!$W$170</f>
        <v>128.10527706515393</v>
      </c>
      <c r="BU85" s="688">
        <f t="shared" ref="BU85:BZ85" si="242">IF(CA85=0, 0, EXP($D85*$E$2 * (($CA85/CA85) - 1)) )</f>
        <v>1</v>
      </c>
      <c r="BV85" s="30">
        <f t="shared" si="242"/>
        <v>0.52690727680267502</v>
      </c>
      <c r="BW85" s="30">
        <f t="shared" si="242"/>
        <v>0.57248675384245751</v>
      </c>
      <c r="BX85" s="30">
        <f t="shared" si="242"/>
        <v>84.36340417813922</v>
      </c>
      <c r="BY85" s="30">
        <f t="shared" si="242"/>
        <v>3.7671544011772129</v>
      </c>
      <c r="BZ85" s="30">
        <f t="shared" si="242"/>
        <v>5.0141329219263104</v>
      </c>
      <c r="CA85" s="492">
        <f>'B8 C&amp;M 35Tip'!$AB$165</f>
        <v>150.92922041873328</v>
      </c>
      <c r="CB85" s="492">
        <f>'B8 C&amp;M 35Tip'!$AB$166</f>
        <v>158.44947537331305</v>
      </c>
      <c r="CC85" s="492">
        <f>'B8 C&amp;M 35Tip'!$AB$167</f>
        <v>157.43374949528058</v>
      </c>
      <c r="CD85" s="492">
        <f>'B8 C&amp;M 35Tip'!$AB$168</f>
        <v>113.60631645408054</v>
      </c>
      <c r="CE85" s="492">
        <f>'B8 C&amp;M 35Tip'!$AB$169</f>
        <v>137.42752667130225</v>
      </c>
      <c r="CF85" s="492">
        <f>'B8 C&amp;M 35Tip'!$AB$170</f>
        <v>134.82724668268128</v>
      </c>
      <c r="CH85" s="30">
        <f>IF(CK85=0, 0, EXP($D85*$E$2 * (($CN85/CK85) - 1)))</f>
        <v>70.737844855863344</v>
      </c>
      <c r="CI85" s="30">
        <f>IF(CL85=0, 0, EXP($D85*$E$2 * (($CN85/CL85) - 1)))</f>
        <v>5.4825719925320255</v>
      </c>
      <c r="CJ85" s="30">
        <f>IF(CM85=0, 0, EXP($D85*$E$2 * (($CN85/CM85) - 1)))</f>
        <v>8.0071715675621764</v>
      </c>
      <c r="CK85" s="492">
        <f>'B8 C&amp;M 35Tip'!$AG$168</f>
        <v>132.59473712385125</v>
      </c>
      <c r="CL85" s="492">
        <f>'B8 C&amp;M 35Tip'!$AG$169</f>
        <v>154.90154692698175</v>
      </c>
      <c r="CM85" s="492">
        <f>'B8 C&amp;M 35Tip'!$AG$170</f>
        <v>151.13583815704507</v>
      </c>
      <c r="CN85" s="703">
        <f>'B8 C&amp;M 35Tip'!$AG$165</f>
        <v>174.42573183988884</v>
      </c>
    </row>
    <row r="86" spans="1:92">
      <c r="A86" s="818"/>
      <c r="B86" s="824"/>
      <c r="C86" s="23" t="s">
        <v>458</v>
      </c>
      <c r="D86" s="29">
        <f t="shared" si="238"/>
        <v>9</v>
      </c>
      <c r="E86" s="451">
        <v>9</v>
      </c>
      <c r="F86" s="27">
        <v>9</v>
      </c>
      <c r="G86" s="27">
        <v>9</v>
      </c>
      <c r="H86" s="26"/>
      <c r="I86" s="27"/>
      <c r="J86" s="27"/>
      <c r="K86" s="26"/>
      <c r="L86" s="27"/>
      <c r="M86" s="27"/>
      <c r="N86" s="27"/>
      <c r="O86" s="27"/>
      <c r="P86" s="27"/>
      <c r="Q86" s="26"/>
      <c r="R86" s="27"/>
      <c r="S86" s="27"/>
      <c r="T86" s="27"/>
      <c r="U86" s="27"/>
      <c r="V86" s="27"/>
      <c r="W86" s="26"/>
      <c r="X86" s="27"/>
      <c r="Y86" s="27"/>
      <c r="Z86" s="26"/>
      <c r="AA86" s="27"/>
      <c r="AB86" s="27"/>
      <c r="AD86" s="32"/>
      <c r="AE86" s="27"/>
      <c r="AF86" s="27"/>
      <c r="AH86" s="693">
        <f t="shared" ref="AH86:AM86" si="243">IF(AN86=0, 0, EXP($D86*$F$2 * (($AN86/AN86) - 1)) )</f>
        <v>1</v>
      </c>
      <c r="AI86" s="693">
        <f t="shared" si="243"/>
        <v>0.53494595465507289</v>
      </c>
      <c r="AJ86" s="693">
        <f t="shared" si="243"/>
        <v>0.31786066941886815</v>
      </c>
      <c r="AK86" s="693">
        <f t="shared" si="243"/>
        <v>8.6950130748019907E-3</v>
      </c>
      <c r="AL86" s="693">
        <f t="shared" si="243"/>
        <v>0.1825900239998145</v>
      </c>
      <c r="AM86" s="693">
        <f t="shared" si="243"/>
        <v>2.5457476134721209E-3</v>
      </c>
      <c r="AN86" s="678">
        <f>'B8 C&amp;M 35Tip'!$M$63</f>
        <v>6914500</v>
      </c>
      <c r="AO86" s="678">
        <f>'B8 C&amp;M 35Tip'!$M$81</f>
        <v>7250487.3454078175</v>
      </c>
      <c r="AP86" s="678">
        <f>'B8 C&amp;M 35Tip'!$M$98</f>
        <v>7556000</v>
      </c>
      <c r="AQ86" s="678">
        <f>'B8 C&amp;M 35Tip'!$M$132</f>
        <v>10662000</v>
      </c>
      <c r="AR86" s="678">
        <f>'B8 C&amp;M 35Tip'!$M$115</f>
        <v>7911000</v>
      </c>
      <c r="AS86" s="682">
        <f>'B8 C&amp;M 35Tip'!$M$149</f>
        <v>12402000</v>
      </c>
      <c r="AU86" s="693">
        <f t="shared" ref="AU86:AZ86" si="244">IF(BA86=0, 0, EXP($D86*$F$2 * (($BA86/BA86) - 1)) )</f>
        <v>1</v>
      </c>
      <c r="AV86" s="693">
        <f t="shared" si="244"/>
        <v>0.53503137657133737</v>
      </c>
      <c r="AW86" s="693">
        <f t="shared" si="244"/>
        <v>0.350911598412047</v>
      </c>
      <c r="AX86" s="693">
        <f t="shared" si="244"/>
        <v>2.1370676157914211E-2</v>
      </c>
      <c r="AY86" s="693">
        <f t="shared" si="244"/>
        <v>0.28883959519500702</v>
      </c>
      <c r="AZ86" s="693">
        <f t="shared" si="244"/>
        <v>7.2616616951197439E-3</v>
      </c>
      <c r="BA86" s="678">
        <f>'B8 C&amp;M 35Tip'!$R$63</f>
        <v>8015900</v>
      </c>
      <c r="BB86" s="678">
        <f>'B8 C&amp;M 35Tip'!$R$81</f>
        <v>8405302.0055715125</v>
      </c>
      <c r="BC86" s="678">
        <f>'B8 C&amp;M 35Tip'!$R$98</f>
        <v>8690000</v>
      </c>
      <c r="BD86" s="678">
        <f>'B8 C&amp;M 35Tip'!$R$132</f>
        <v>11209000</v>
      </c>
      <c r="BE86" s="678">
        <f>'B8 C&amp;M 35Tip'!$R$115</f>
        <v>8828000</v>
      </c>
      <c r="BF86" s="678">
        <f>'B8 C&amp;M 35Tip'!$R$149</f>
        <v>12620000</v>
      </c>
      <c r="BH86" s="688">
        <f t="shared" ref="BH86:BM86" si="245">IF(BN86=0, 0, EXP($D86*$F$2 * (($BN86/BN86) - 1)) )</f>
        <v>1</v>
      </c>
      <c r="BI86" s="30">
        <f t="shared" si="245"/>
        <v>0.53508693566079091</v>
      </c>
      <c r="BJ86" s="30">
        <f t="shared" si="245"/>
        <v>0.38438547488432728</v>
      </c>
      <c r="BK86" s="30">
        <f t="shared" si="245"/>
        <v>4.1414788156114532E-2</v>
      </c>
      <c r="BL86" s="30">
        <f t="shared" si="245"/>
        <v>0.32090921224557994</v>
      </c>
      <c r="BM86" s="30">
        <f t="shared" si="245"/>
        <v>1.5187312101899312E-2</v>
      </c>
      <c r="BN86" s="493">
        <f>'B8 C&amp;M 35Tip'!$W$63</f>
        <v>9292700</v>
      </c>
      <c r="BO86" s="493">
        <f>'B8 C&amp;M 35Tip'!$W$81</f>
        <v>9744048.7017208487</v>
      </c>
      <c r="BP86" s="493">
        <f>'B8 C&amp;M 35Tip'!$W$98</f>
        <v>10001000</v>
      </c>
      <c r="BQ86" s="493">
        <f>'B8 C&amp;M 35Tip'!$W$132</f>
        <v>12161000</v>
      </c>
      <c r="BR86" s="493">
        <f>'B8 C&amp;M 35Tip'!$W$115</f>
        <v>10147000</v>
      </c>
      <c r="BS86" s="494">
        <f>'B8 C&amp;M 35Tip'!$W$149</f>
        <v>13471000</v>
      </c>
      <c r="BU86" s="688">
        <f t="shared" ref="BU86:BZ86" si="246">IF(CA86=0, 0, EXP($D86*$F$2 * (($CA86/CA86) - 1)) )</f>
        <v>1</v>
      </c>
      <c r="BV86" s="30">
        <f t="shared" si="246"/>
        <v>0.5350957669075983</v>
      </c>
      <c r="BW86" s="30">
        <f t="shared" si="246"/>
        <v>0.41797379242302984</v>
      </c>
      <c r="BX86" s="30">
        <f t="shared" si="246"/>
        <v>6.6243555990284517E-2</v>
      </c>
      <c r="BY86" s="30">
        <f t="shared" si="246"/>
        <v>0.35420053937088442</v>
      </c>
      <c r="BZ86" s="30">
        <f t="shared" si="246"/>
        <v>2.9893587722631822E-2</v>
      </c>
      <c r="CA86" s="493">
        <f>'B8 C&amp;M 35Tip'!$AB$63</f>
        <v>10772800</v>
      </c>
      <c r="CB86" s="493">
        <f>'B8 C&amp;M 35Tip'!$AB$81</f>
        <v>11296023.038621556</v>
      </c>
      <c r="CC86" s="493">
        <f>'B8 C&amp;M 35Tip'!$AB$98</f>
        <v>11517000</v>
      </c>
      <c r="CD86" s="493">
        <f>'B8 C&amp;M 35Tip'!$AB$132</f>
        <v>13484000</v>
      </c>
      <c r="CE86" s="493">
        <f>'B8 C&amp;M 35Tip'!$AB$115</f>
        <v>11670000</v>
      </c>
      <c r="CF86" s="494">
        <f>'B8 C&amp;M 35Tip'!$AB$149</f>
        <v>14558000</v>
      </c>
      <c r="CH86" s="30">
        <f>IF(CK86=0, 0, EXP($D86*$F$2 * (($CN86/CK86) - 1)))</f>
        <v>8.4675003934437859E-2</v>
      </c>
      <c r="CI86" s="30">
        <f>IF(CL86=0, 0, EXP($D86*$F$2 * (($CN86/CL86) - 1)))</f>
        <v>0.3875249732726323</v>
      </c>
      <c r="CJ86" s="30">
        <f>IF(CM86=0, 0, EXP($D86*$F$2 * (($CN86/CM86) - 1)))</f>
        <v>4.4317203492001335E-2</v>
      </c>
      <c r="CK86" s="493">
        <f>'B8 C&amp;M 35Tip'!$AG$132</f>
        <v>15284000</v>
      </c>
      <c r="CL86" s="493">
        <f>'B8 C&amp;M 35Tip'!$AG$115</f>
        <v>13432000</v>
      </c>
      <c r="CM86" s="494">
        <f>'B8 C&amp;M 35Tip'!$AG$149</f>
        <v>16237000</v>
      </c>
      <c r="CN86" s="17">
        <f>'B8 C&amp;M 35Tip'!$AG$63</f>
        <v>12488800</v>
      </c>
    </row>
    <row r="87" spans="1:92">
      <c r="A87" s="818"/>
      <c r="B87" s="824"/>
      <c r="C87" s="23" t="s">
        <v>459</v>
      </c>
      <c r="D87" s="29">
        <f t="shared" si="238"/>
        <v>5.666666666666667</v>
      </c>
      <c r="E87" s="451">
        <v>4</v>
      </c>
      <c r="F87" s="32">
        <v>4</v>
      </c>
      <c r="G87" s="32">
        <v>9</v>
      </c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D87" s="26"/>
      <c r="AE87" s="32"/>
      <c r="AF87" s="32"/>
      <c r="AH87" s="693">
        <f t="shared" ref="AH87:AM88" si="247">IF(AN87=0, 0, EXP($D87*$E$2 * ((AN87/$AN87) - 1)) )</f>
        <v>1</v>
      </c>
      <c r="AI87" s="693">
        <f t="shared" si="247"/>
        <v>1</v>
      </c>
      <c r="AJ87" s="693">
        <f t="shared" si="247"/>
        <v>1</v>
      </c>
      <c r="AK87" s="693">
        <f t="shared" si="247"/>
        <v>0.3605949401730783</v>
      </c>
      <c r="AL87" s="693">
        <f t="shared" si="247"/>
        <v>1</v>
      </c>
      <c r="AM87" s="693">
        <f t="shared" si="247"/>
        <v>0.68215389097645196</v>
      </c>
      <c r="AN87" s="678">
        <f>'B8 C&amp;M 35Tip'!$C$17</f>
        <v>20000</v>
      </c>
      <c r="AO87" s="678">
        <f>AN87</f>
        <v>20000</v>
      </c>
      <c r="AP87" s="678">
        <f>AN87</f>
        <v>20000</v>
      </c>
      <c r="AQ87" s="678">
        <f>'B8 C&amp;M 35Tip'!C18</f>
        <v>17600</v>
      </c>
      <c r="AR87" s="678">
        <f>AN87</f>
        <v>20000</v>
      </c>
      <c r="AS87" s="682">
        <f>'B8 C&amp;M 35Tip'!C19</f>
        <v>19100</v>
      </c>
      <c r="AU87" s="693">
        <f t="shared" ref="AU87:AZ88" si="248">IF(BA87=0, 0, EXP($D87*$E$2 * ((BA87/$BA87) - 1)) )</f>
        <v>1</v>
      </c>
      <c r="AV87" s="693">
        <f t="shared" si="248"/>
        <v>1</v>
      </c>
      <c r="AW87" s="693">
        <f t="shared" si="248"/>
        <v>1</v>
      </c>
      <c r="AX87" s="693">
        <f t="shared" si="248"/>
        <v>0.3605949401730783</v>
      </c>
      <c r="AY87" s="693">
        <f t="shared" si="248"/>
        <v>1</v>
      </c>
      <c r="AZ87" s="693">
        <f t="shared" si="248"/>
        <v>0.68215389097645196</v>
      </c>
      <c r="BA87" s="678">
        <f>'B8 C&amp;M 35Tip'!$C$17</f>
        <v>20000</v>
      </c>
      <c r="BB87" s="678">
        <f>BA87</f>
        <v>20000</v>
      </c>
      <c r="BC87" s="678">
        <f>BA87</f>
        <v>20000</v>
      </c>
      <c r="BD87" s="678">
        <f>'B8 C&amp;M 35Tip'!C18</f>
        <v>17600</v>
      </c>
      <c r="BE87" s="678">
        <f>BA87</f>
        <v>20000</v>
      </c>
      <c r="BF87" s="678">
        <f>'B8 C&amp;M 35Tip'!C19</f>
        <v>19100</v>
      </c>
      <c r="BH87" s="688">
        <f t="shared" ref="BH87:BM88" si="249">IF(BN87=0, 0, EXP($D87*$E$2 * ((BN87/$BN87) - 1)) )</f>
        <v>1</v>
      </c>
      <c r="BI87" s="30">
        <f t="shared" si="249"/>
        <v>1</v>
      </c>
      <c r="BJ87" s="30">
        <f t="shared" si="249"/>
        <v>1</v>
      </c>
      <c r="BK87" s="30">
        <f t="shared" si="249"/>
        <v>0.3605949401730783</v>
      </c>
      <c r="BL87" s="30">
        <f t="shared" si="249"/>
        <v>1</v>
      </c>
      <c r="BM87" s="30">
        <f t="shared" si="249"/>
        <v>0.68215389097645196</v>
      </c>
      <c r="BN87" s="493">
        <f>'B8 C&amp;M 35Tip'!$C$17</f>
        <v>20000</v>
      </c>
      <c r="BO87" s="493">
        <f>BN87</f>
        <v>20000</v>
      </c>
      <c r="BP87" s="493">
        <f>BN87</f>
        <v>20000</v>
      </c>
      <c r="BQ87" s="493">
        <f>'B8 C&amp;M 35Tip'!$C$18</f>
        <v>17600</v>
      </c>
      <c r="BR87" s="493">
        <f>BN87</f>
        <v>20000</v>
      </c>
      <c r="BS87" s="493">
        <f>'B8 C&amp;M 35Tip'!$C$19</f>
        <v>19100</v>
      </c>
      <c r="BU87" s="688">
        <f t="shared" ref="BU87:BZ88" si="250">IF(CA87=0, 0, EXP($D87*$E$2 * ((CA87/$CA87) - 1)) )</f>
        <v>1</v>
      </c>
      <c r="BV87" s="30">
        <f t="shared" si="250"/>
        <v>1</v>
      </c>
      <c r="BW87" s="30">
        <f t="shared" si="250"/>
        <v>1</v>
      </c>
      <c r="BX87" s="30">
        <f t="shared" si="250"/>
        <v>0.3605949401730783</v>
      </c>
      <c r="BY87" s="30">
        <f t="shared" si="250"/>
        <v>1</v>
      </c>
      <c r="BZ87" s="30">
        <f t="shared" si="250"/>
        <v>0.68215389097645196</v>
      </c>
      <c r="CA87" s="493">
        <f>'B8 C&amp;M 35Tip'!$C$17</f>
        <v>20000</v>
      </c>
      <c r="CB87" s="493">
        <f>CA87</f>
        <v>20000</v>
      </c>
      <c r="CC87" s="493">
        <f>CA87</f>
        <v>20000</v>
      </c>
      <c r="CD87" s="493">
        <f>'B8 C&amp;M 35Tip'!$C$18</f>
        <v>17600</v>
      </c>
      <c r="CE87" s="493">
        <f>CA87</f>
        <v>20000</v>
      </c>
      <c r="CF87" s="493">
        <f>'B8 C&amp;M 35Tip'!$C$19</f>
        <v>19100</v>
      </c>
      <c r="CH87" s="30">
        <f t="shared" ref="CH87:CJ88" si="251">IF(CK87=0, 0, EXP($D87*$E$2 * ((CK87/$CN87) - 1)))</f>
        <v>0.3605949401730783</v>
      </c>
      <c r="CI87" s="30">
        <f t="shared" si="251"/>
        <v>1</v>
      </c>
      <c r="CJ87" s="30">
        <f t="shared" si="251"/>
        <v>0.68215389097645196</v>
      </c>
      <c r="CK87" s="493">
        <f t="shared" ref="CK87:CM89" si="252">BQ87</f>
        <v>17600</v>
      </c>
      <c r="CL87" s="493">
        <f t="shared" si="252"/>
        <v>20000</v>
      </c>
      <c r="CM87" s="493">
        <f t="shared" si="252"/>
        <v>19100</v>
      </c>
      <c r="CN87" s="17">
        <f>'B8 C&amp;M 35Tip'!$C$17</f>
        <v>20000</v>
      </c>
    </row>
    <row r="88" spans="1:92">
      <c r="A88" s="818"/>
      <c r="B88" s="824"/>
      <c r="C88" s="23" t="s">
        <v>460</v>
      </c>
      <c r="D88" s="29">
        <f t="shared" si="238"/>
        <v>7</v>
      </c>
      <c r="E88" s="451">
        <v>7</v>
      </c>
      <c r="F88" s="32">
        <v>6</v>
      </c>
      <c r="G88" s="32">
        <v>8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D88" s="23"/>
      <c r="AE88" s="32"/>
      <c r="AF88" s="32"/>
      <c r="AH88" s="693">
        <f t="shared" si="247"/>
        <v>1</v>
      </c>
      <c r="AI88" s="693">
        <f t="shared" si="247"/>
        <v>0.59155536436681477</v>
      </c>
      <c r="AJ88" s="693">
        <f t="shared" si="247"/>
        <v>0.59155536436681477</v>
      </c>
      <c r="AK88" s="693">
        <f t="shared" si="247"/>
        <v>4.8307416181102738</v>
      </c>
      <c r="AL88" s="693">
        <f t="shared" si="247"/>
        <v>0.59155536436681477</v>
      </c>
      <c r="AM88" s="693">
        <f t="shared" si="247"/>
        <v>4.8307416181102738</v>
      </c>
      <c r="AN88" s="679">
        <f t="shared" ref="AN88:AS89" si="253">AN11</f>
        <v>1</v>
      </c>
      <c r="AO88" s="679">
        <f t="shared" si="253"/>
        <v>0.95</v>
      </c>
      <c r="AP88" s="679">
        <f t="shared" si="253"/>
        <v>0.95</v>
      </c>
      <c r="AQ88" s="679">
        <f t="shared" si="253"/>
        <v>1.1499999999999999</v>
      </c>
      <c r="AR88" s="679">
        <f t="shared" si="253"/>
        <v>0.95</v>
      </c>
      <c r="AS88" s="683">
        <f t="shared" si="253"/>
        <v>1.1499999999999999</v>
      </c>
      <c r="AU88" s="693">
        <f t="shared" si="248"/>
        <v>1</v>
      </c>
      <c r="AV88" s="693">
        <f t="shared" si="248"/>
        <v>0.59155536436681477</v>
      </c>
      <c r="AW88" s="693">
        <f t="shared" si="248"/>
        <v>0.59155536436681477</v>
      </c>
      <c r="AX88" s="693">
        <f t="shared" si="248"/>
        <v>4.8307416181102738</v>
      </c>
      <c r="AY88" s="693">
        <f t="shared" si="248"/>
        <v>0.59155536436681477</v>
      </c>
      <c r="AZ88" s="693">
        <f t="shared" si="248"/>
        <v>4.8307416181102738</v>
      </c>
      <c r="BA88" s="679">
        <f t="shared" ref="BA88:BF89" si="254">BA11</f>
        <v>1</v>
      </c>
      <c r="BB88" s="679">
        <f t="shared" si="254"/>
        <v>0.95</v>
      </c>
      <c r="BC88" s="679">
        <f t="shared" si="254"/>
        <v>0.95</v>
      </c>
      <c r="BD88" s="679">
        <f t="shared" si="254"/>
        <v>1.1499999999999999</v>
      </c>
      <c r="BE88" s="679">
        <f t="shared" si="254"/>
        <v>0.95</v>
      </c>
      <c r="BF88" s="679">
        <f t="shared" si="254"/>
        <v>1.1499999999999999</v>
      </c>
      <c r="BH88" s="688">
        <f t="shared" si="249"/>
        <v>1</v>
      </c>
      <c r="BI88" s="30">
        <f t="shared" si="249"/>
        <v>0.59155536436681477</v>
      </c>
      <c r="BJ88" s="30">
        <f t="shared" si="249"/>
        <v>0.59155536436681477</v>
      </c>
      <c r="BK88" s="30">
        <f t="shared" si="249"/>
        <v>4.8307416181102738</v>
      </c>
      <c r="BL88" s="30">
        <f t="shared" si="249"/>
        <v>0.59155536436681477</v>
      </c>
      <c r="BM88" s="30">
        <f t="shared" si="249"/>
        <v>4.8307416181102738</v>
      </c>
      <c r="BN88" s="490">
        <f t="shared" ref="BN88:BS90" si="255">BN77</f>
        <v>1</v>
      </c>
      <c r="BO88" s="490">
        <f t="shared" si="255"/>
        <v>0.95</v>
      </c>
      <c r="BP88" s="490">
        <f t="shared" si="255"/>
        <v>0.95</v>
      </c>
      <c r="BQ88" s="490">
        <f t="shared" si="255"/>
        <v>1.1499999999999999</v>
      </c>
      <c r="BR88" s="490">
        <f t="shared" si="255"/>
        <v>0.95</v>
      </c>
      <c r="BS88" s="490">
        <f t="shared" si="255"/>
        <v>1.1499999999999999</v>
      </c>
      <c r="BU88" s="688">
        <f t="shared" si="250"/>
        <v>1</v>
      </c>
      <c r="BV88" s="30">
        <f t="shared" si="250"/>
        <v>0.59155536436681477</v>
      </c>
      <c r="BW88" s="30">
        <f t="shared" si="250"/>
        <v>0.59155536436681477</v>
      </c>
      <c r="BX88" s="30">
        <f t="shared" si="250"/>
        <v>4.8307416181102738</v>
      </c>
      <c r="BY88" s="30">
        <f t="shared" si="250"/>
        <v>0.59155536436681477</v>
      </c>
      <c r="BZ88" s="30">
        <f t="shared" si="250"/>
        <v>4.8307416181102738</v>
      </c>
      <c r="CA88" s="490">
        <f t="shared" ref="CA88:CF89" si="256">CA77</f>
        <v>1</v>
      </c>
      <c r="CB88" s="490">
        <f t="shared" si="256"/>
        <v>0.95</v>
      </c>
      <c r="CC88" s="490">
        <f t="shared" si="256"/>
        <v>0.95</v>
      </c>
      <c r="CD88" s="490">
        <f t="shared" si="256"/>
        <v>1.1499999999999999</v>
      </c>
      <c r="CE88" s="490">
        <f t="shared" si="256"/>
        <v>0.95</v>
      </c>
      <c r="CF88" s="490">
        <f t="shared" si="256"/>
        <v>1.1499999999999999</v>
      </c>
      <c r="CH88" s="30">
        <f t="shared" si="251"/>
        <v>4.8307416181102738</v>
      </c>
      <c r="CI88" s="30">
        <f t="shared" si="251"/>
        <v>0.59155536436681477</v>
      </c>
      <c r="CJ88" s="30">
        <f t="shared" si="251"/>
        <v>4.8307416181102738</v>
      </c>
      <c r="CK88" s="490">
        <f t="shared" si="252"/>
        <v>1.1499999999999999</v>
      </c>
      <c r="CL88" s="490">
        <f t="shared" si="252"/>
        <v>0.95</v>
      </c>
      <c r="CM88" s="490">
        <f t="shared" si="252"/>
        <v>1.1499999999999999</v>
      </c>
      <c r="CN88" s="704">
        <f>CN77</f>
        <v>1</v>
      </c>
    </row>
    <row r="89" spans="1:92">
      <c r="A89" s="818"/>
      <c r="B89" s="824"/>
      <c r="C89" s="34" t="s">
        <v>461</v>
      </c>
      <c r="D89" s="29">
        <f t="shared" si="238"/>
        <v>8</v>
      </c>
      <c r="E89" s="451">
        <v>8</v>
      </c>
      <c r="F89" s="26">
        <v>8</v>
      </c>
      <c r="G89" s="26">
        <v>8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D89" s="23"/>
      <c r="AE89" s="26"/>
      <c r="AF89" s="26"/>
      <c r="AH89" s="693">
        <f t="shared" ref="AH89:AM89" si="257">IF(AN89=0, 0, EXP($D89*$E$2  * (($AN89/AN89) - 1)) )</f>
        <v>1</v>
      </c>
      <c r="AI89" s="693">
        <f t="shared" si="257"/>
        <v>0.56471812200775884</v>
      </c>
      <c r="AJ89" s="693">
        <f t="shared" si="257"/>
        <v>0.33591098123916224</v>
      </c>
      <c r="AK89" s="693">
        <f t="shared" si="257"/>
        <v>0.13533528323661276</v>
      </c>
      <c r="AL89" s="693">
        <f t="shared" si="257"/>
        <v>1</v>
      </c>
      <c r="AM89" s="693">
        <f t="shared" si="257"/>
        <v>1</v>
      </c>
      <c r="AN89" s="679">
        <f t="shared" si="253"/>
        <v>1</v>
      </c>
      <c r="AO89" s="679">
        <f t="shared" si="253"/>
        <v>1.05</v>
      </c>
      <c r="AP89" s="679">
        <f t="shared" si="253"/>
        <v>1.1000000000000001</v>
      </c>
      <c r="AQ89" s="679">
        <f t="shared" si="253"/>
        <v>1.2</v>
      </c>
      <c r="AR89" s="679">
        <f t="shared" si="253"/>
        <v>1</v>
      </c>
      <c r="AS89" s="683">
        <f t="shared" si="253"/>
        <v>1</v>
      </c>
      <c r="AU89" s="693">
        <f t="shared" ref="AU89:AZ89" si="258">IF(BA89=0, 0, EXP($D89*$E$2* (($BA89/BA89) - 1)) )</f>
        <v>1</v>
      </c>
      <c r="AV89" s="693">
        <f t="shared" si="258"/>
        <v>0.56471812200775884</v>
      </c>
      <c r="AW89" s="693">
        <f t="shared" si="258"/>
        <v>0.33591098123916224</v>
      </c>
      <c r="AX89" s="693">
        <f t="shared" si="258"/>
        <v>0.13533528323661276</v>
      </c>
      <c r="AY89" s="693">
        <f t="shared" si="258"/>
        <v>1</v>
      </c>
      <c r="AZ89" s="693">
        <f t="shared" si="258"/>
        <v>1</v>
      </c>
      <c r="BA89" s="679">
        <f t="shared" si="254"/>
        <v>1</v>
      </c>
      <c r="BB89" s="679">
        <f t="shared" si="254"/>
        <v>1.05</v>
      </c>
      <c r="BC89" s="679">
        <f t="shared" si="254"/>
        <v>1.1000000000000001</v>
      </c>
      <c r="BD89" s="679">
        <f t="shared" si="254"/>
        <v>1.2</v>
      </c>
      <c r="BE89" s="679">
        <f t="shared" si="254"/>
        <v>1</v>
      </c>
      <c r="BF89" s="679">
        <f t="shared" si="254"/>
        <v>1</v>
      </c>
      <c r="BH89" s="688">
        <f t="shared" ref="BH89:BM89" si="259">IF(BN89=0, 0, EXP($D89*$E$2 * (($BN89/BN89) - 1)) )</f>
        <v>1</v>
      </c>
      <c r="BI89" s="30">
        <f t="shared" si="259"/>
        <v>0.56471812200775884</v>
      </c>
      <c r="BJ89" s="30">
        <f t="shared" si="259"/>
        <v>0.33591098123916224</v>
      </c>
      <c r="BK89" s="30">
        <f t="shared" si="259"/>
        <v>0.13533528323661276</v>
      </c>
      <c r="BL89" s="30">
        <f t="shared" si="259"/>
        <v>1</v>
      </c>
      <c r="BM89" s="30">
        <f t="shared" si="259"/>
        <v>1</v>
      </c>
      <c r="BN89" s="490">
        <f t="shared" si="255"/>
        <v>1</v>
      </c>
      <c r="BO89" s="490">
        <f t="shared" si="255"/>
        <v>1.05</v>
      </c>
      <c r="BP89" s="490">
        <f t="shared" si="255"/>
        <v>1.1000000000000001</v>
      </c>
      <c r="BQ89" s="490">
        <f t="shared" si="255"/>
        <v>1.2</v>
      </c>
      <c r="BR89" s="490">
        <f t="shared" si="255"/>
        <v>1</v>
      </c>
      <c r="BS89" s="490">
        <f t="shared" si="255"/>
        <v>1</v>
      </c>
      <c r="BU89" s="688">
        <f t="shared" ref="BU89:BZ89" si="260">IF(CA89=0, 0, EXP($D89*$E$2 * (($CA89/CA89) - 1)) )</f>
        <v>1</v>
      </c>
      <c r="BV89" s="30">
        <f t="shared" si="260"/>
        <v>0.56471812200775884</v>
      </c>
      <c r="BW89" s="30">
        <f t="shared" si="260"/>
        <v>0.33591098123916224</v>
      </c>
      <c r="BX89" s="30">
        <f t="shared" si="260"/>
        <v>0.13533528323661276</v>
      </c>
      <c r="BY89" s="30">
        <f t="shared" si="260"/>
        <v>1</v>
      </c>
      <c r="BZ89" s="30">
        <f t="shared" si="260"/>
        <v>1</v>
      </c>
      <c r="CA89" s="490">
        <f t="shared" si="256"/>
        <v>1</v>
      </c>
      <c r="CB89" s="490">
        <f t="shared" si="256"/>
        <v>1.05</v>
      </c>
      <c r="CC89" s="490">
        <f t="shared" si="256"/>
        <v>1.1000000000000001</v>
      </c>
      <c r="CD89" s="490">
        <f t="shared" si="256"/>
        <v>1.2</v>
      </c>
      <c r="CE89" s="490">
        <f t="shared" si="256"/>
        <v>1</v>
      </c>
      <c r="CF89" s="490">
        <f t="shared" si="256"/>
        <v>1</v>
      </c>
      <c r="CH89" s="30">
        <f>IF(CK89=0, 0, EXP($D89*$E$2 * (($CN89/CK89) - 1)))</f>
        <v>0.13533528323661276</v>
      </c>
      <c r="CI89" s="30">
        <f>IF(CL89=0, 0, EXP($D89*$E$2 * (($CN89/CL89) - 1)))</f>
        <v>1</v>
      </c>
      <c r="CJ89" s="30">
        <f>IF(CM89=0, 0, EXP($D89*$E$2 * (($CN89/CM89) - 1)))</f>
        <v>1</v>
      </c>
      <c r="CK89" s="490">
        <f t="shared" si="252"/>
        <v>1.2</v>
      </c>
      <c r="CL89" s="490">
        <f t="shared" si="252"/>
        <v>1</v>
      </c>
      <c r="CM89" s="490">
        <f t="shared" si="252"/>
        <v>1</v>
      </c>
      <c r="CN89" s="704">
        <f>CN78</f>
        <v>1</v>
      </c>
    </row>
    <row r="90" spans="1:92">
      <c r="A90" s="818"/>
      <c r="B90" s="824"/>
      <c r="C90" s="23" t="s">
        <v>462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64"/>
      <c r="AH90" s="23"/>
      <c r="AI90" s="23"/>
      <c r="AJ90" s="23"/>
      <c r="AK90" s="23"/>
      <c r="AL90" s="23"/>
      <c r="AM90" s="23"/>
      <c r="AN90" s="680">
        <f t="shared" ref="AN90:AS90" si="261">AN79</f>
        <v>2025</v>
      </c>
      <c r="AO90" s="680">
        <f t="shared" si="261"/>
        <v>2025</v>
      </c>
      <c r="AP90" s="680">
        <f t="shared" si="261"/>
        <v>2025</v>
      </c>
      <c r="AQ90" s="680">
        <f t="shared" si="261"/>
        <v>2025</v>
      </c>
      <c r="AR90" s="680">
        <f t="shared" si="261"/>
        <v>2028</v>
      </c>
      <c r="AS90" s="696">
        <f t="shared" si="261"/>
        <v>2030</v>
      </c>
      <c r="AU90" s="23"/>
      <c r="AV90" s="23"/>
      <c r="AW90" s="23"/>
      <c r="AX90" s="23"/>
      <c r="AY90" s="23"/>
      <c r="AZ90" s="23"/>
      <c r="BA90" s="680">
        <f t="shared" ref="BA90:BF90" si="262">BA79</f>
        <v>2025</v>
      </c>
      <c r="BB90" s="680">
        <f t="shared" si="262"/>
        <v>2025</v>
      </c>
      <c r="BC90" s="680">
        <f t="shared" si="262"/>
        <v>2025</v>
      </c>
      <c r="BD90" s="680">
        <f t="shared" si="262"/>
        <v>2025</v>
      </c>
      <c r="BE90" s="680">
        <f t="shared" si="262"/>
        <v>2028</v>
      </c>
      <c r="BF90" s="680">
        <f t="shared" si="262"/>
        <v>2030</v>
      </c>
      <c r="BH90" s="681"/>
      <c r="BI90" s="23"/>
      <c r="BJ90" s="23"/>
      <c r="BK90" s="23"/>
      <c r="BL90" s="23"/>
      <c r="BM90" s="23"/>
      <c r="BN90" s="491">
        <f t="shared" ref="BN90" si="263">BN79</f>
        <v>2025</v>
      </c>
      <c r="BO90" s="491">
        <f t="shared" si="255"/>
        <v>2025</v>
      </c>
      <c r="BP90" s="491">
        <f t="shared" si="255"/>
        <v>2025</v>
      </c>
      <c r="BQ90" s="491">
        <f t="shared" si="255"/>
        <v>2025</v>
      </c>
      <c r="BR90" s="491">
        <f t="shared" si="255"/>
        <v>2028</v>
      </c>
      <c r="BS90" s="491">
        <f t="shared" si="255"/>
        <v>2030</v>
      </c>
      <c r="BU90" s="681"/>
      <c r="BV90" s="23"/>
      <c r="BW90" s="23"/>
      <c r="BX90" s="23"/>
      <c r="BY90" s="23"/>
      <c r="BZ90" s="23"/>
      <c r="CA90" s="491">
        <f>BN90</f>
        <v>2025</v>
      </c>
      <c r="CB90" s="491">
        <f t="shared" ref="CB90:CB92" si="264">BO90</f>
        <v>2025</v>
      </c>
      <c r="CC90" s="491">
        <f t="shared" ref="CC90:CC92" si="265">BP90</f>
        <v>2025</v>
      </c>
      <c r="CD90" s="491">
        <f t="shared" ref="CD90:CD92" si="266">BQ90</f>
        <v>2025</v>
      </c>
      <c r="CE90" s="491">
        <f t="shared" ref="CE90:CE92" si="267">BR90</f>
        <v>2028</v>
      </c>
      <c r="CF90" s="491">
        <f t="shared" ref="CF90:CF92" si="268">BS90</f>
        <v>2030</v>
      </c>
      <c r="CN90" s="17">
        <f>CN79</f>
        <v>2025</v>
      </c>
    </row>
    <row r="91" spans="1:92">
      <c r="A91" s="818"/>
      <c r="B91" s="824"/>
      <c r="C91" s="23" t="s">
        <v>463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6"/>
      <c r="AE91" s="23"/>
      <c r="AF91" s="23"/>
      <c r="AG91" s="64"/>
      <c r="AH91" s="23">
        <v>1</v>
      </c>
      <c r="AI91" s="701">
        <f>$BH91-($BO91-$BN91)/($BO$1-$BN91)</f>
        <v>0.85</v>
      </c>
      <c r="AJ91" s="701">
        <f>$BH91-($BP91-$BN91)/($BO$1-$BN91)</f>
        <v>0.75</v>
      </c>
      <c r="AK91" s="701">
        <f>$BH91-($BQ91-$BN91)/($BO$1-$BN91)</f>
        <v>0.85</v>
      </c>
      <c r="AL91" s="701">
        <f>$BH91-($BR91-$BN91)/($BO$1-$BN91)</f>
        <v>0.55000000000000004</v>
      </c>
      <c r="AM91" s="701">
        <f>$BH91-($BS91-$BN90)/($BO$1-$BN90)</f>
        <v>0.35</v>
      </c>
      <c r="AN91" s="680">
        <f>'No change with year'!J71</f>
        <v>2025</v>
      </c>
      <c r="AO91" s="680">
        <f>'No change with year'!K71</f>
        <v>2028</v>
      </c>
      <c r="AP91" s="680">
        <f>'No change with year'!L71</f>
        <v>2030</v>
      </c>
      <c r="AQ91" s="680">
        <f>'No change with year'!M71</f>
        <v>2028</v>
      </c>
      <c r="AR91" s="680">
        <f>'No change with year'!N71</f>
        <v>2034</v>
      </c>
      <c r="AS91" s="696">
        <f>'No change with year'!O71</f>
        <v>2038</v>
      </c>
      <c r="AU91" s="23">
        <v>1</v>
      </c>
      <c r="AV91" s="701">
        <f>$BH91-($BO91-$BN91)/($BO$1-$BN91)</f>
        <v>0.85</v>
      </c>
      <c r="AW91" s="701">
        <f>$BH91-($BP91-$BN91)/($BO$1-$BN91)</f>
        <v>0.75</v>
      </c>
      <c r="AX91" s="701">
        <f>$BH91-($BQ91-$BN91)/($BO$1-$BN91)</f>
        <v>0.85</v>
      </c>
      <c r="AY91" s="701">
        <f>$BH91-($BR91-$BN91)/($BO$1-$BN91)</f>
        <v>0.55000000000000004</v>
      </c>
      <c r="AZ91" s="701">
        <f>$BH91-($BS91-$BN90)/($BO$1-$BN90)</f>
        <v>0.35</v>
      </c>
      <c r="BA91" s="680">
        <f>'No change with year'!J71</f>
        <v>2025</v>
      </c>
      <c r="BB91" s="680">
        <f>'No change with year'!K71</f>
        <v>2028</v>
      </c>
      <c r="BC91" s="680">
        <f>'No change with year'!L71</f>
        <v>2030</v>
      </c>
      <c r="BD91" s="680">
        <f>'No change with year'!M71</f>
        <v>2028</v>
      </c>
      <c r="BE91" s="680">
        <f>'No change with year'!N71</f>
        <v>2034</v>
      </c>
      <c r="BF91" s="680">
        <f>'No change with year'!O71</f>
        <v>2038</v>
      </c>
      <c r="BH91" s="688">
        <v>1</v>
      </c>
      <c r="BI91" s="30">
        <f>$BH91-($BO91-$BN91)/($BO$1-$BN91)</f>
        <v>0.85</v>
      </c>
      <c r="BJ91" s="30">
        <f>$BH91-($BP91-$BN91)/($BO$1-$BN91)</f>
        <v>0.75</v>
      </c>
      <c r="BK91" s="30">
        <f>$BH91-($BQ91-$BN91)/($BO$1-$BN91)</f>
        <v>0.85</v>
      </c>
      <c r="BL91" s="30">
        <f>$BH91-($BR91-$BN91)/($BO$1-$BN91)</f>
        <v>0.55000000000000004</v>
      </c>
      <c r="BM91" s="30">
        <f>$BH91-($BS91-$BN90)/($BO$1-$BN90)</f>
        <v>0.35</v>
      </c>
      <c r="BN91" s="491">
        <f>'No change with year'!J71</f>
        <v>2025</v>
      </c>
      <c r="BO91" s="491">
        <f>'No change with year'!K71</f>
        <v>2028</v>
      </c>
      <c r="BP91" s="491">
        <f>'No change with year'!L71</f>
        <v>2030</v>
      </c>
      <c r="BQ91" s="491">
        <f>'No change with year'!M71</f>
        <v>2028</v>
      </c>
      <c r="BR91" s="491">
        <f>'No change with year'!N71</f>
        <v>2034</v>
      </c>
      <c r="BS91" s="491">
        <f>'No change with year'!O71</f>
        <v>2038</v>
      </c>
      <c r="BU91" s="688">
        <v>1</v>
      </c>
      <c r="BV91" s="30">
        <f>$BU91-($CB91-$CA91)/($CB$1-$CA91)</f>
        <v>0.88</v>
      </c>
      <c r="BW91" s="30">
        <f>$BU91-($CC91-$CA91)/($CB$1-$CA91)</f>
        <v>0.8</v>
      </c>
      <c r="BX91" s="30">
        <f>$BU91-($CD91-$CA91)/($CB$1-$CA91)</f>
        <v>0.88</v>
      </c>
      <c r="BY91" s="30">
        <f>$BU91-($CE91-$CA91)/($CB$1-$CA91)</f>
        <v>0.64</v>
      </c>
      <c r="BZ91" s="30">
        <f>$BU91-($CF91-$CA90)/($CB$1-$CA90)</f>
        <v>0.48</v>
      </c>
      <c r="CA91" s="491">
        <f>BN91</f>
        <v>2025</v>
      </c>
      <c r="CB91" s="491">
        <f t="shared" si="264"/>
        <v>2028</v>
      </c>
      <c r="CC91" s="491">
        <f t="shared" si="265"/>
        <v>2030</v>
      </c>
      <c r="CD91" s="491">
        <f t="shared" si="266"/>
        <v>2028</v>
      </c>
      <c r="CE91" s="491">
        <f t="shared" si="267"/>
        <v>2034</v>
      </c>
      <c r="CF91" s="491">
        <f t="shared" si="268"/>
        <v>2038</v>
      </c>
      <c r="CN91" s="17">
        <f>'No change with year'!J71</f>
        <v>2025</v>
      </c>
    </row>
    <row r="92" spans="1:92">
      <c r="A92" s="818"/>
      <c r="B92" s="823"/>
      <c r="C92" s="23" t="s">
        <v>464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6"/>
      <c r="AE92" s="23"/>
      <c r="AF92" s="23"/>
      <c r="AG92" s="64"/>
      <c r="AH92" s="694">
        <v>1</v>
      </c>
      <c r="AI92" s="694">
        <f>$BH92-($BO91-$BN91)/($BO92-$BN91)+($BO$1-$BO92)/($BO$1-$BN91)</f>
        <v>0.15000000000000002</v>
      </c>
      <c r="AJ92" s="694">
        <f>$BH92-($BP91-$BN91)/($BP92-$BN91)+($BO$1-$BP92)/($BO$1-$BN91)</f>
        <v>-2.5000000000000022E-2</v>
      </c>
      <c r="AK92" s="694">
        <f>$BH92-($BQ91-$BN91)/($BQ92-$BN91)+($BO$1-$BQ92)/($BO$1-$BN91)</f>
        <v>0.2</v>
      </c>
      <c r="AL92" s="694">
        <f>$BH92-($BR91-$BN91)/($BR92-$BN91)+($BO$1-$BR92)/($BO$1-$BN91)</f>
        <v>-0.37941176470588234</v>
      </c>
      <c r="AM92" s="694">
        <f>$BH92-($BS91-$BN90)/($BS92-$BN90)+($BO$1-$BS92)/($BO$1-$BN90)</f>
        <v>-0.65</v>
      </c>
      <c r="AN92" s="687">
        <f t="shared" ref="AN92:AS92" si="269">AN81</f>
        <v>2025</v>
      </c>
      <c r="AO92" s="687">
        <f t="shared" si="269"/>
        <v>2030</v>
      </c>
      <c r="AP92" s="687">
        <f t="shared" si="269"/>
        <v>2033</v>
      </c>
      <c r="AQ92" s="687">
        <f t="shared" si="269"/>
        <v>2035</v>
      </c>
      <c r="AR92" s="687">
        <f t="shared" si="269"/>
        <v>2042</v>
      </c>
      <c r="AS92" s="697">
        <f t="shared" si="269"/>
        <v>2045</v>
      </c>
      <c r="AU92" s="694">
        <v>1</v>
      </c>
      <c r="AV92" s="694">
        <f>$BH92-($BO91-$BN91)/($BO92-$BN91)+($BO$1-$BO92)/($BO$1-$BN91)</f>
        <v>0.15000000000000002</v>
      </c>
      <c r="AW92" s="694">
        <f>$BH92-($BP91-$BN91)/($BP92-$BN91)+($BO$1-$BP92)/($BO$1-$BN91)</f>
        <v>-2.5000000000000022E-2</v>
      </c>
      <c r="AX92" s="694">
        <f>$BH92-($BQ91-$BN91)/($BQ92-$BN91)+($BO$1-$BQ92)/($BO$1-$BN91)</f>
        <v>0.2</v>
      </c>
      <c r="AY92" s="694">
        <f>$BH92-($BR91-$BN91)/($BR92-$BN91)+($BO$1-$BR92)/($BO$1-$BN91)</f>
        <v>-0.37941176470588234</v>
      </c>
      <c r="AZ92" s="694">
        <f>$BH92-($BS91-$BN90)/($BS92-$BN90)+($BO$1-$BS92)/($BO$1-$BN90)</f>
        <v>-0.65</v>
      </c>
      <c r="BA92" s="687">
        <f t="shared" ref="BA92:BF92" si="270">BA81</f>
        <v>2025</v>
      </c>
      <c r="BB92" s="687">
        <f t="shared" si="270"/>
        <v>2030</v>
      </c>
      <c r="BC92" s="687">
        <f t="shared" si="270"/>
        <v>2033</v>
      </c>
      <c r="BD92" s="687">
        <f t="shared" si="270"/>
        <v>2035</v>
      </c>
      <c r="BE92" s="687">
        <f t="shared" si="270"/>
        <v>2042</v>
      </c>
      <c r="BF92" s="687">
        <f t="shared" si="270"/>
        <v>2045</v>
      </c>
      <c r="BH92" s="681"/>
      <c r="BI92" s="23"/>
      <c r="BJ92" s="23"/>
      <c r="BK92" s="23"/>
      <c r="BL92" s="23"/>
      <c r="BM92" s="23"/>
      <c r="BN92" s="491">
        <f t="shared" ref="BN92" si="271">BN81</f>
        <v>2025</v>
      </c>
      <c r="BO92" s="491">
        <f t="shared" ref="BO92:BS92" si="272">BO81</f>
        <v>2030</v>
      </c>
      <c r="BP92" s="491">
        <f t="shared" si="272"/>
        <v>2033</v>
      </c>
      <c r="BQ92" s="491">
        <f t="shared" si="272"/>
        <v>2035</v>
      </c>
      <c r="BR92" s="491">
        <f t="shared" si="272"/>
        <v>2042</v>
      </c>
      <c r="BS92" s="491">
        <f t="shared" si="272"/>
        <v>2045</v>
      </c>
      <c r="BU92" s="688">
        <v>1</v>
      </c>
      <c r="BV92" s="30">
        <f>$BU92-($CB92-$CA92)/($CB$1-$CA92)</f>
        <v>0.8</v>
      </c>
      <c r="BW92" s="30">
        <f>$BU92-($CC92-$CA92)/($CB$1-$CA92)</f>
        <v>0.67999999999999994</v>
      </c>
      <c r="BX92" s="30">
        <f>$BU92-($CD92-$CA92)/($CB$1-$CA92)</f>
        <v>0.6</v>
      </c>
      <c r="BY92" s="30">
        <f>$BU92-($CE92-$CA92)/($CB$1-$CA92)</f>
        <v>0.31999999999999995</v>
      </c>
      <c r="BZ92" s="30">
        <f>$BU92-($CF92-$CA91)/($CB$1-$CA91)</f>
        <v>0.19999999999999996</v>
      </c>
      <c r="CA92" s="491">
        <f>BN92</f>
        <v>2025</v>
      </c>
      <c r="CB92" s="491">
        <f t="shared" si="264"/>
        <v>2030</v>
      </c>
      <c r="CC92" s="491">
        <f t="shared" si="265"/>
        <v>2033</v>
      </c>
      <c r="CD92" s="491">
        <f t="shared" si="266"/>
        <v>2035</v>
      </c>
      <c r="CE92" s="491">
        <f t="shared" si="267"/>
        <v>2042</v>
      </c>
      <c r="CF92" s="491">
        <f t="shared" si="268"/>
        <v>2045</v>
      </c>
      <c r="CH92" s="30">
        <f>CD92/CD92</f>
        <v>1</v>
      </c>
      <c r="CI92" s="30">
        <f>1-(CE92-CD92)/($CK$1-CD92)</f>
        <v>0.65</v>
      </c>
      <c r="CJ92" s="30">
        <f>1-(CF92-CD92)/($CK$1-CD92)</f>
        <v>0.5</v>
      </c>
      <c r="CK92" s="936" t="s">
        <v>1059</v>
      </c>
      <c r="CL92" s="937"/>
      <c r="CM92" s="937"/>
      <c r="CN92" s="17">
        <f>CN81</f>
        <v>2025</v>
      </c>
    </row>
    <row r="93" spans="1:92">
      <c r="A93" s="818">
        <v>9</v>
      </c>
      <c r="B93" s="822" t="s">
        <v>844</v>
      </c>
      <c r="C93" s="23" t="s">
        <v>452</v>
      </c>
      <c r="D93" s="450"/>
      <c r="E93" s="24" t="s">
        <v>453</v>
      </c>
      <c r="F93" s="24" t="s">
        <v>453</v>
      </c>
      <c r="G93" s="24" t="s">
        <v>453</v>
      </c>
      <c r="H93" s="25" t="s">
        <v>470</v>
      </c>
      <c r="I93" s="25" t="s">
        <v>468</v>
      </c>
      <c r="J93" s="25"/>
      <c r="K93" s="24"/>
      <c r="L93" s="25"/>
      <c r="M93" s="25"/>
      <c r="N93" s="25"/>
      <c r="O93" s="25"/>
      <c r="P93" s="25"/>
      <c r="Q93" s="24"/>
      <c r="R93" s="25"/>
      <c r="S93" s="25"/>
      <c r="T93" s="25"/>
      <c r="U93" s="25"/>
      <c r="V93" s="25"/>
      <c r="W93" s="24"/>
      <c r="X93" s="25"/>
      <c r="Y93" s="25"/>
      <c r="Z93" s="24"/>
      <c r="AA93" s="25"/>
      <c r="AB93" s="25"/>
      <c r="AD93" s="26" t="s">
        <v>454</v>
      </c>
      <c r="AE93" s="27"/>
      <c r="AF93" s="27"/>
      <c r="AH93" s="684"/>
      <c r="AI93" s="684"/>
      <c r="AJ93" s="684"/>
      <c r="AK93" s="684"/>
      <c r="AL93" s="684"/>
      <c r="AM93" s="684"/>
      <c r="AN93" s="684"/>
      <c r="AO93" s="684"/>
      <c r="AP93" s="684"/>
      <c r="AQ93" s="684"/>
      <c r="AR93" s="684"/>
      <c r="AS93" s="684"/>
      <c r="AU93" s="684"/>
      <c r="AV93" s="684"/>
      <c r="AW93" s="684"/>
      <c r="AX93" s="684"/>
      <c r="AY93" s="684"/>
      <c r="AZ93" s="684"/>
      <c r="BA93" s="684"/>
      <c r="BB93" s="684"/>
      <c r="BC93" s="684"/>
      <c r="BD93" s="684"/>
      <c r="BE93" s="684"/>
      <c r="BF93" s="689"/>
      <c r="BH93" s="447"/>
      <c r="BI93" s="445"/>
      <c r="BJ93" s="445"/>
      <c r="BK93" s="445"/>
      <c r="BL93" s="445"/>
      <c r="BM93" s="445"/>
      <c r="BO93" s="445"/>
      <c r="BP93" s="445"/>
      <c r="BU93" s="447"/>
      <c r="BV93" s="445"/>
      <c r="BW93" s="445"/>
      <c r="BX93" s="445"/>
      <c r="BY93" s="445"/>
      <c r="BZ93" s="445"/>
      <c r="CB93" s="445"/>
      <c r="CC93" s="445"/>
    </row>
    <row r="94" spans="1:92">
      <c r="A94" s="818"/>
      <c r="B94" s="824"/>
      <c r="C94" s="23" t="s">
        <v>455</v>
      </c>
      <c r="D94" s="450"/>
      <c r="E94" s="24"/>
      <c r="F94" s="24"/>
      <c r="G94" s="25"/>
      <c r="H94" s="24"/>
      <c r="I94" s="25"/>
      <c r="J94" s="25"/>
      <c r="K94" s="25"/>
      <c r="L94" s="25"/>
      <c r="M94" s="25"/>
      <c r="N94" s="25"/>
      <c r="O94" s="25"/>
      <c r="P94" s="25"/>
      <c r="Q94" s="24"/>
      <c r="R94" s="25"/>
      <c r="S94" s="25"/>
      <c r="T94" s="25"/>
      <c r="U94" s="25"/>
      <c r="V94" s="25"/>
      <c r="W94" s="24"/>
      <c r="X94" s="25"/>
      <c r="Y94" s="25"/>
      <c r="Z94" s="24"/>
      <c r="AA94" s="25"/>
      <c r="AB94" s="25"/>
      <c r="AD94" s="26"/>
      <c r="AE94" s="27"/>
      <c r="AF94" s="27"/>
      <c r="AH94" s="68">
        <f>Buckets!H11</f>
        <v>30020</v>
      </c>
      <c r="AI94" s="68">
        <f>Buckets!J11</f>
        <v>30020</v>
      </c>
      <c r="AJ94" s="68">
        <f>Buckets!K11</f>
        <v>0</v>
      </c>
      <c r="AK94" s="691">
        <f>AH94</f>
        <v>30020</v>
      </c>
      <c r="AL94" s="691">
        <f>AH94</f>
        <v>30020</v>
      </c>
      <c r="AM94" s="691">
        <f>AH94</f>
        <v>30020</v>
      </c>
      <c r="AU94" s="68">
        <f>Buckets!M11</f>
        <v>37540</v>
      </c>
      <c r="AV94" s="68">
        <f>Buckets!O11</f>
        <v>37540</v>
      </c>
      <c r="AW94" s="68">
        <f>Buckets!P11</f>
        <v>0</v>
      </c>
      <c r="AX94" s="691">
        <f>AU94</f>
        <v>37540</v>
      </c>
      <c r="AY94" s="691">
        <f>AU94</f>
        <v>37540</v>
      </c>
      <c r="AZ94" s="691">
        <f>AU94</f>
        <v>37540</v>
      </c>
      <c r="BH94" s="68">
        <f>Buckets!R11</f>
        <v>44370</v>
      </c>
      <c r="BI94" s="68">
        <f>Buckets!T11</f>
        <v>44370</v>
      </c>
      <c r="BJ94" s="68">
        <f>Buckets!U11</f>
        <v>0</v>
      </c>
      <c r="BK94" s="691">
        <f>BH94</f>
        <v>44370</v>
      </c>
      <c r="BL94" s="691">
        <f>BH94</f>
        <v>44370</v>
      </c>
      <c r="BM94" s="691">
        <f>BH94</f>
        <v>44370</v>
      </c>
      <c r="BU94" s="68">
        <f>Buckets!W11</f>
        <v>50420</v>
      </c>
      <c r="BV94" s="68">
        <f>Buckets!Y11</f>
        <v>50420</v>
      </c>
      <c r="BW94" s="68">
        <f>Buckets!Z11</f>
        <v>0</v>
      </c>
      <c r="BX94" s="691">
        <f>BU94</f>
        <v>50420</v>
      </c>
      <c r="BY94" s="691">
        <f>BU94</f>
        <v>50420</v>
      </c>
      <c r="BZ94" s="691">
        <f>BU94</f>
        <v>50420</v>
      </c>
    </row>
    <row r="95" spans="1:92">
      <c r="A95" s="818"/>
      <c r="B95" s="824"/>
      <c r="C95" s="28" t="s">
        <v>456</v>
      </c>
      <c r="D95" s="450"/>
      <c r="E95" s="24"/>
      <c r="F95" s="25"/>
      <c r="G95" s="25"/>
      <c r="H95" s="25"/>
      <c r="I95" s="25"/>
      <c r="J95" s="25"/>
      <c r="K95" s="24"/>
      <c r="L95" s="25"/>
      <c r="M95" s="25"/>
      <c r="N95" s="25"/>
      <c r="O95" s="25"/>
      <c r="P95" s="25"/>
      <c r="Q95" s="24"/>
      <c r="R95" s="25"/>
      <c r="S95" s="25"/>
      <c r="T95" s="25"/>
      <c r="U95" s="25"/>
      <c r="V95" s="25"/>
      <c r="W95" s="24"/>
      <c r="X95" s="25"/>
      <c r="Y95" s="25"/>
      <c r="Z95" s="24"/>
      <c r="AA95" s="25"/>
      <c r="AB95" s="25"/>
      <c r="AD95" s="26">
        <v>8</v>
      </c>
      <c r="AE95" s="27"/>
      <c r="AF95" s="27"/>
      <c r="AH95" s="686"/>
      <c r="AI95" s="686"/>
      <c r="AJ95" s="686"/>
      <c r="AK95" s="686"/>
      <c r="AL95" s="686"/>
      <c r="AM95" s="686"/>
      <c r="AN95" s="686"/>
      <c r="AO95" s="686"/>
      <c r="AP95" s="686"/>
      <c r="AQ95" s="686"/>
      <c r="AR95" s="686"/>
      <c r="AS95" s="686"/>
      <c r="AU95" s="686"/>
      <c r="AV95" s="686"/>
      <c r="AW95" s="686"/>
      <c r="AX95" s="686"/>
      <c r="AY95" s="686"/>
      <c r="AZ95" s="686"/>
      <c r="BA95" s="686"/>
      <c r="BB95" s="686"/>
      <c r="BC95" s="686"/>
      <c r="BD95" s="686"/>
      <c r="BE95" s="686"/>
      <c r="BF95" s="690"/>
      <c r="BH95" s="447"/>
      <c r="BI95" s="445"/>
      <c r="BJ95" s="445"/>
      <c r="BK95" s="445"/>
      <c r="BL95" s="445"/>
      <c r="BM95" s="445"/>
      <c r="BO95" s="445"/>
      <c r="BP95" s="445"/>
      <c r="BU95" s="447"/>
      <c r="BV95" s="445"/>
      <c r="BW95" s="445"/>
      <c r="BX95" s="445"/>
      <c r="BY95" s="445"/>
      <c r="BZ95" s="445"/>
      <c r="CB95" s="445"/>
      <c r="CC95" s="445"/>
    </row>
    <row r="96" spans="1:92">
      <c r="A96" s="818"/>
      <c r="B96" s="824"/>
      <c r="C96" s="23" t="s">
        <v>457</v>
      </c>
      <c r="D96" s="29">
        <f t="shared" ref="D96:D100" si="273">AVERAGE(E96:AB96)</f>
        <v>9</v>
      </c>
      <c r="E96" s="451">
        <v>10</v>
      </c>
      <c r="F96" s="25">
        <v>9</v>
      </c>
      <c r="G96" s="27">
        <v>9</v>
      </c>
      <c r="H96" s="27">
        <v>8</v>
      </c>
      <c r="I96" s="27">
        <v>9</v>
      </c>
      <c r="J96" s="27"/>
      <c r="K96" s="26"/>
      <c r="L96" s="27"/>
      <c r="M96" s="27"/>
      <c r="N96" s="27"/>
      <c r="O96" s="27"/>
      <c r="P96" s="27"/>
      <c r="Q96" s="26"/>
      <c r="R96" s="27"/>
      <c r="S96" s="27"/>
      <c r="T96" s="27"/>
      <c r="U96" s="27"/>
      <c r="V96" s="27"/>
      <c r="W96" s="26"/>
      <c r="X96" s="27"/>
      <c r="Y96" s="27"/>
      <c r="Z96" s="26"/>
      <c r="AA96" s="27"/>
      <c r="AB96" s="27"/>
      <c r="AD96" s="26">
        <v>7</v>
      </c>
      <c r="AE96" s="27"/>
      <c r="AF96" s="27"/>
      <c r="AH96" s="693">
        <f t="shared" ref="AH96:AM96" si="274">IF(AN96=0, 0, EXP($D96*$E$2  * (($AN96/AN96) - 1)) )</f>
        <v>1</v>
      </c>
      <c r="AI96" s="693">
        <f t="shared" si="274"/>
        <v>1</v>
      </c>
      <c r="AJ96" s="693">
        <f t="shared" si="274"/>
        <v>2.1939561902676541E-2</v>
      </c>
      <c r="AK96" s="693">
        <f t="shared" si="274"/>
        <v>13.406576130915555</v>
      </c>
      <c r="AL96" s="693">
        <f t="shared" si="274"/>
        <v>2.1939561902676541E-2</v>
      </c>
      <c r="AM96" s="693">
        <f t="shared" si="274"/>
        <v>2.1982402033991207E-2</v>
      </c>
      <c r="AN96" s="685">
        <f>'B9 Cement 48T Rigid '!$M$167</f>
        <v>78.827097010583643</v>
      </c>
      <c r="AO96" s="685">
        <f>'B9 Cement 48T Rigid '!$M$167</f>
        <v>78.827097010583643</v>
      </c>
      <c r="AP96" s="685">
        <f>'B9 Cement 48T Rigid '!$M$169</f>
        <v>109.92839516443571</v>
      </c>
      <c r="AQ96" s="685">
        <f>'B9 Cement 48T Rigid '!$M$168</f>
        <v>66.114727028233204</v>
      </c>
      <c r="AR96" s="685">
        <f>'B9 Cement 48T Rigid '!$M$169</f>
        <v>109.92839516443571</v>
      </c>
      <c r="AS96" s="695">
        <f>'B9 Cement 48T Rigid '!$M$170</f>
        <v>109.90624779534352</v>
      </c>
      <c r="AU96" s="693">
        <f t="shared" ref="AU96:AZ96" si="275">IF(BA96=0, 0, EXP($D96*$E$2 * (($BA96/BA96) - 1)) )</f>
        <v>1</v>
      </c>
      <c r="AV96" s="693">
        <f t="shared" si="275"/>
        <v>1</v>
      </c>
      <c r="AW96" s="693">
        <f t="shared" si="275"/>
        <v>0.19629625222334121</v>
      </c>
      <c r="AX96" s="693">
        <f t="shared" si="275"/>
        <v>91.732376159642513</v>
      </c>
      <c r="AY96" s="693">
        <f t="shared" si="275"/>
        <v>0.19629625222334121</v>
      </c>
      <c r="AZ96" s="693">
        <f t="shared" si="275"/>
        <v>0.20753428821132519</v>
      </c>
      <c r="BA96" s="685">
        <f>'B9 Cement 48T Rigid '!$R$167</f>
        <v>92.665303398556063</v>
      </c>
      <c r="BB96" s="685">
        <f>'B9 Cement 48T Rigid '!$R$167</f>
        <v>92.665303398556063</v>
      </c>
      <c r="BC96" s="685">
        <f>'B9 Cement 48T Rigid '!$R$169</f>
        <v>105.37359525736875</v>
      </c>
      <c r="BD96" s="685">
        <f>'B9 Cement 48T Rigid '!$R$168</f>
        <v>69.426175013044372</v>
      </c>
      <c r="BE96" s="685">
        <f>'B9 Cement 48T Rigid '!$R$169</f>
        <v>105.37359525736875</v>
      </c>
      <c r="BF96" s="685">
        <f>'B9 Cement 48T Rigid '!$R$170</f>
        <v>104.88176610039724</v>
      </c>
      <c r="BH96" s="688">
        <f t="shared" ref="BH96:BM96" si="276">IF(BN96=0, 0, EXP($D96*$E$2 * (($BN96/BN96) - 1)) )</f>
        <v>1</v>
      </c>
      <c r="BI96" s="30">
        <f t="shared" si="276"/>
        <v>0.700603203351432</v>
      </c>
      <c r="BJ96" s="30">
        <f t="shared" si="276"/>
        <v>0.79798444074139652</v>
      </c>
      <c r="BK96" s="30">
        <f t="shared" si="276"/>
        <v>170.44949142752498</v>
      </c>
      <c r="BL96" s="30">
        <f t="shared" si="276"/>
        <v>1.3034404804498525</v>
      </c>
      <c r="BM96" s="30">
        <f t="shared" si="276"/>
        <v>1.2309717455561675</v>
      </c>
      <c r="BN96" s="492">
        <f>'B9 Cement 48T Rigid '!$W$165</f>
        <v>106.09420962933837</v>
      </c>
      <c r="BO96" s="492">
        <f>'B9 Cement 48T Rigid '!$W$166</f>
        <v>108.96618367743109</v>
      </c>
      <c r="BP96" s="492">
        <f>'B9 Cement 48T Rigid '!$W$167</f>
        <v>107.89783121082138</v>
      </c>
      <c r="BQ96" s="492">
        <f>'B9 Cement 48T Rigid '!$W$168</f>
        <v>76.845052788649312</v>
      </c>
      <c r="BR96" s="492">
        <f>'B9 Cement 48T Rigid '!$W$169</f>
        <v>104.05165791862906</v>
      </c>
      <c r="BS96" s="492">
        <f>'B9 Cement 48T Rigid '!$W$170</f>
        <v>104.48587104240833</v>
      </c>
      <c r="BU96" s="688">
        <f t="shared" ref="BU96:BZ96" si="277">IF(CA96=0, 0, EXP($D96*$E$2 * (($CA96/CA96) - 1)) )</f>
        <v>1</v>
      </c>
      <c r="BV96" s="30">
        <f t="shared" si="277"/>
        <v>0.51920469400394476</v>
      </c>
      <c r="BW96" s="30">
        <f t="shared" si="277"/>
        <v>0.59413293057644279</v>
      </c>
      <c r="BX96" s="30">
        <f t="shared" si="277"/>
        <v>403.41702943964572</v>
      </c>
      <c r="BY96" s="30">
        <f t="shared" si="277"/>
        <v>6.4233852977541357</v>
      </c>
      <c r="BZ96" s="30">
        <f t="shared" si="277"/>
        <v>7.1275930962843832</v>
      </c>
      <c r="CA96" s="492">
        <f>'B9 Cement 48T Rigid '!$AB$165</f>
        <v>122.38298648394323</v>
      </c>
      <c r="CB96" s="492">
        <f>'B9 Cement 48T Rigid '!$AB$166</f>
        <v>128.62819073411384</v>
      </c>
      <c r="CC96" s="492">
        <f>'B9 Cement 48T Rigid '!$AB$167</f>
        <v>127.29224476129141</v>
      </c>
      <c r="CD96" s="492">
        <f>'B9 Cement 48T Rigid '!$AB$168</f>
        <v>84.726809652185437</v>
      </c>
      <c r="CE96" s="492">
        <f>'B9 Cement 48T Rigid '!$AB$169</f>
        <v>107.56355488385591</v>
      </c>
      <c r="CF96" s="492">
        <f>'B9 Cement 48T Rigid '!$AB$170</f>
        <v>106.83995976187076</v>
      </c>
      <c r="CH96" s="30">
        <f>IF(CK96=0, 0, EXP($D96*$E$2 * (($CN96/CK96) - 1)))</f>
        <v>966.32498634648505</v>
      </c>
      <c r="CI96" s="30">
        <f>IF(CL96=0, 0, EXP($D96*$E$2 * (($CN96/CL96) - 1)))</f>
        <v>29.178492864002152</v>
      </c>
      <c r="CJ96" s="30">
        <f>IF(CM96=0, 0, EXP($D96*$E$2 * (($CN96/CM96) - 1)))</f>
        <v>32.956308586440748</v>
      </c>
      <c r="CK96" s="492">
        <f>'B9 Cement 48T Rigid '!$AG$168</f>
        <v>98.597488877978847</v>
      </c>
      <c r="CL96" s="492">
        <f>'B9 Cement 48T Rigid '!$AG$169</f>
        <v>119.04963806147605</v>
      </c>
      <c r="CM96" s="492">
        <f>'B9 Cement 48T Rigid '!$AG$170</f>
        <v>118.19678522065837</v>
      </c>
      <c r="CN96" s="703">
        <f>'B9 Cement 48T Rigid '!$AG$167</f>
        <v>148.79821923066456</v>
      </c>
    </row>
    <row r="97" spans="1:92">
      <c r="A97" s="818"/>
      <c r="B97" s="824"/>
      <c r="C97" s="23" t="s">
        <v>458</v>
      </c>
      <c r="D97" s="29">
        <f t="shared" si="273"/>
        <v>8.8000000000000007</v>
      </c>
      <c r="E97" s="451">
        <v>9</v>
      </c>
      <c r="F97" s="31">
        <v>9</v>
      </c>
      <c r="G97" s="27">
        <v>7</v>
      </c>
      <c r="H97" s="27">
        <v>10</v>
      </c>
      <c r="I97" s="27">
        <v>9</v>
      </c>
      <c r="J97" s="27"/>
      <c r="K97" s="26"/>
      <c r="L97" s="27"/>
      <c r="M97" s="27"/>
      <c r="N97" s="27"/>
      <c r="O97" s="27"/>
      <c r="P97" s="27"/>
      <c r="Q97" s="26"/>
      <c r="R97" s="27"/>
      <c r="S97" s="27"/>
      <c r="T97" s="27"/>
      <c r="U97" s="27"/>
      <c r="V97" s="27"/>
      <c r="W97" s="26"/>
      <c r="X97" s="27"/>
      <c r="Y97" s="27"/>
      <c r="Z97" s="26"/>
      <c r="AA97" s="27"/>
      <c r="AB97" s="27"/>
      <c r="AD97" s="32">
        <v>10</v>
      </c>
      <c r="AE97" s="27"/>
      <c r="AF97" s="27"/>
      <c r="AH97" s="693">
        <f t="shared" ref="AH97:AM97" si="278">IF(AN97=0, 0, EXP($D97*$F$2 * (($AN97/AN97) - 1)) )</f>
        <v>1</v>
      </c>
      <c r="AI97" s="693">
        <f t="shared" si="278"/>
        <v>0.53619619160390852</v>
      </c>
      <c r="AJ97" s="693">
        <f t="shared" si="278"/>
        <v>0.31982160761591089</v>
      </c>
      <c r="AK97" s="693">
        <f t="shared" si="278"/>
        <v>6.0746807850847514E-3</v>
      </c>
      <c r="AL97" s="693">
        <f t="shared" si="278"/>
        <v>0.18441419569624817</v>
      </c>
      <c r="AM97" s="693">
        <f t="shared" si="278"/>
        <v>1.1755472561863431E-3</v>
      </c>
      <c r="AN97" s="678">
        <f>'B9 Cement 48T Rigid '!$M$63</f>
        <v>6780100</v>
      </c>
      <c r="AO97" s="678">
        <f>'B9 Cement 48T Rigid '!$M$81</f>
        <v>7116095.7074734038</v>
      </c>
      <c r="AP97" s="678">
        <f>'B9 Cement 48T Rigid '!$M$98</f>
        <v>7421000</v>
      </c>
      <c r="AQ97" s="678">
        <f>'B9 Cement 48T Rigid '!$M$132</f>
        <v>11054000</v>
      </c>
      <c r="AR97" s="678">
        <f>'B9 Cement 48T Rigid '!$M$115</f>
        <v>7776000</v>
      </c>
      <c r="AS97" s="682">
        <f>'B9 Cement 48T Rigid '!$M$149</f>
        <v>13867000</v>
      </c>
      <c r="AU97" s="693">
        <f t="shared" ref="AU97:AZ97" si="279">IF(BA97=0, 0, EXP($D97*$F$2 * (($BA97/BA97) - 1)) )</f>
        <v>1</v>
      </c>
      <c r="AV97" s="693">
        <f t="shared" si="279"/>
        <v>0.53620120972826146</v>
      </c>
      <c r="AW97" s="693">
        <f t="shared" si="279"/>
        <v>0.35256781095535983</v>
      </c>
      <c r="AX97" s="693">
        <f t="shared" si="279"/>
        <v>1.5125034237047953E-2</v>
      </c>
      <c r="AY97" s="693">
        <f t="shared" si="279"/>
        <v>0.29055050575571872</v>
      </c>
      <c r="AZ97" s="693">
        <f t="shared" si="279"/>
        <v>3.3343810531687489E-3</v>
      </c>
      <c r="BA97" s="678">
        <f>'B9 Cement 48T Rigid '!$R$63</f>
        <v>7860000</v>
      </c>
      <c r="BB97" s="678">
        <f>'B9 Cement 48T Rigid '!$R$81</f>
        <v>8249505.2639114344</v>
      </c>
      <c r="BC97" s="678">
        <f>'B9 Cement 48T Rigid '!$R$98</f>
        <v>8534000</v>
      </c>
      <c r="BD97" s="678">
        <f>'B9 Cement 48T Rigid '!$R$132</f>
        <v>11517000</v>
      </c>
      <c r="BE97" s="678">
        <f>'B9 Cement 48T Rigid '!$R$115</f>
        <v>8672000</v>
      </c>
      <c r="BF97" s="678">
        <f>'B9 Cement 48T Rigid '!$R$149</f>
        <v>13840000</v>
      </c>
      <c r="BH97" s="688">
        <f t="shared" ref="BH97:BM97" si="280">IF(BN97=0, 0, EXP($D97*$F$2 * (($BN97/BN97) - 1)) )</f>
        <v>1</v>
      </c>
      <c r="BI97" s="30">
        <f t="shared" si="280"/>
        <v>0.53627949977360989</v>
      </c>
      <c r="BJ97" s="30">
        <f t="shared" si="280"/>
        <v>0.38608781797014741</v>
      </c>
      <c r="BK97" s="30">
        <f t="shared" si="280"/>
        <v>3.012273105720268E-2</v>
      </c>
      <c r="BL97" s="30">
        <f t="shared" si="280"/>
        <v>0.32266978124076812</v>
      </c>
      <c r="BM97" s="30">
        <f t="shared" si="280"/>
        <v>7.4353913026001242E-3</v>
      </c>
      <c r="BN97" s="493">
        <f>'B9 Cement 48T Rigid '!$W$63</f>
        <v>9112000</v>
      </c>
      <c r="BO97" s="493">
        <f>'B9 Cement 48T Rigid '!$W$81</f>
        <v>9563437.5782539099</v>
      </c>
      <c r="BP97" s="493">
        <f>'B9 Cement 48T Rigid '!$W$98</f>
        <v>9820000</v>
      </c>
      <c r="BQ97" s="493">
        <f>'B9 Cement 48T Rigid '!$W$132</f>
        <v>12403000</v>
      </c>
      <c r="BR97" s="493">
        <f>'B9 Cement 48T Rigid '!$W$115</f>
        <v>9966000</v>
      </c>
      <c r="BS97" s="494">
        <f>'B9 Cement 48T Rigid '!$W$149</f>
        <v>14494000</v>
      </c>
      <c r="BU97" s="688">
        <f t="shared" ref="BU97:BZ97" si="281">IF(CA97=0, 0, EXP($D97*$F$2 * (($CA97/CA97) - 1)) )</f>
        <v>1</v>
      </c>
      <c r="BV97" s="30">
        <f t="shared" si="281"/>
        <v>0.53633992817847309</v>
      </c>
      <c r="BW97" s="30">
        <f t="shared" si="281"/>
        <v>0.41929402310055486</v>
      </c>
      <c r="BX97" s="30">
        <f t="shared" si="281"/>
        <v>4.9501355429293091E-2</v>
      </c>
      <c r="BY97" s="30">
        <f t="shared" si="281"/>
        <v>0.35565482620404476</v>
      </c>
      <c r="BZ97" s="30">
        <f t="shared" si="281"/>
        <v>1.5823722371605415E-2</v>
      </c>
      <c r="CA97" s="493">
        <f>'B9 Cement 48T Rigid '!$AB$63</f>
        <v>10563400</v>
      </c>
      <c r="CB97" s="493">
        <f>'B9 Cement 48T Rigid '!$AB$81</f>
        <v>11086645.245656138</v>
      </c>
      <c r="CC97" s="493">
        <f>'B9 Cement 48T Rigid '!$AB$98</f>
        <v>11308000</v>
      </c>
      <c r="CD97" s="493">
        <f>'B9 Cement 48T Rigid '!$AB$132</f>
        <v>13678000</v>
      </c>
      <c r="CE97" s="493">
        <f>'B9 Cement 48T Rigid '!$AB$115</f>
        <v>11461000</v>
      </c>
      <c r="CF97" s="494">
        <f>'B9 Cement 48T Rigid '!$AB$149</f>
        <v>15401000</v>
      </c>
      <c r="CH97" s="30">
        <f>IF(CK97=0, 0, EXP($D97*$F$2 * (($CN97/CK97) - 1)))</f>
        <v>6.4122785540395008E-2</v>
      </c>
      <c r="CI97" s="30">
        <f>IF(CL97=0, 0, EXP($D97*$F$2 * (($CN97/CL97) - 1)))</f>
        <v>0.38911257857993747</v>
      </c>
      <c r="CJ97" s="30">
        <f>IF(CM97=0, 0, EXP($D97*$F$2 * (($CN97/CM97) - 1)))</f>
        <v>2.4143271263786067E-2</v>
      </c>
      <c r="CK97" s="493">
        <f>'B9 Cement 48T Rigid '!$AG$132</f>
        <v>15464000</v>
      </c>
      <c r="CL97" s="493">
        <f>'B9 Cement 48T Rigid '!$AG$115</f>
        <v>13189000</v>
      </c>
      <c r="CM97" s="494">
        <f>'B9 Cement 48T Rigid '!$AG$149</f>
        <v>17058000</v>
      </c>
      <c r="CN97" s="17">
        <f>'B9 Cement 48T Rigid '!$AG$63</f>
        <v>12245900</v>
      </c>
    </row>
    <row r="98" spans="1:92">
      <c r="A98" s="818"/>
      <c r="B98" s="824"/>
      <c r="C98" s="23" t="s">
        <v>459</v>
      </c>
      <c r="D98" s="29">
        <f t="shared" si="273"/>
        <v>7.2</v>
      </c>
      <c r="E98" s="451">
        <v>6</v>
      </c>
      <c r="F98" s="31">
        <v>9</v>
      </c>
      <c r="G98" s="32">
        <v>8</v>
      </c>
      <c r="H98" s="32">
        <v>4</v>
      </c>
      <c r="I98" s="32">
        <v>9</v>
      </c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D98" s="32">
        <v>1</v>
      </c>
      <c r="AE98" s="32"/>
      <c r="AF98" s="32"/>
      <c r="AH98" s="693">
        <f t="shared" ref="AH98:AM99" si="282">IF(AN98=0, 0, EXP($D98*$E$2 * ((AN98/$AN98) - 1)) )</f>
        <v>1</v>
      </c>
      <c r="AI98" s="693">
        <f t="shared" si="282"/>
        <v>1</v>
      </c>
      <c r="AJ98" s="693">
        <f t="shared" si="282"/>
        <v>1</v>
      </c>
      <c r="AK98" s="693">
        <f t="shared" si="282"/>
        <v>0.42147281477591775</v>
      </c>
      <c r="AL98" s="693">
        <f t="shared" si="282"/>
        <v>1</v>
      </c>
      <c r="AM98" s="693">
        <f t="shared" si="282"/>
        <v>0.71217716489086835</v>
      </c>
      <c r="AN98" s="678">
        <f>'B9 Cement 48T Rigid '!$C$17</f>
        <v>35000</v>
      </c>
      <c r="AO98" s="678">
        <f>AN98</f>
        <v>35000</v>
      </c>
      <c r="AP98" s="678">
        <f>AN98</f>
        <v>35000</v>
      </c>
      <c r="AQ98" s="678">
        <f>'B9 Cement 48T Rigid '!C18</f>
        <v>32200</v>
      </c>
      <c r="AR98" s="678">
        <f>AN98</f>
        <v>35000</v>
      </c>
      <c r="AS98" s="682">
        <f>'B9 Cement 48T Rigid '!C19</f>
        <v>33900</v>
      </c>
      <c r="AU98" s="693">
        <f t="shared" ref="AU98:AZ99" si="283">IF(BA98=0, 0, EXP($D98*$E$2 * ((BA98/$BA98) - 1)) )</f>
        <v>1</v>
      </c>
      <c r="AV98" s="693">
        <f t="shared" si="283"/>
        <v>1</v>
      </c>
      <c r="AW98" s="693">
        <f t="shared" si="283"/>
        <v>1</v>
      </c>
      <c r="AX98" s="693">
        <f t="shared" si="283"/>
        <v>0.42147281477591775</v>
      </c>
      <c r="AY98" s="693">
        <f t="shared" si="283"/>
        <v>1</v>
      </c>
      <c r="AZ98" s="693">
        <f t="shared" si="283"/>
        <v>0.71217716489086835</v>
      </c>
      <c r="BA98" s="678">
        <f>'B9 Cement 48T Rigid '!$C$17</f>
        <v>35000</v>
      </c>
      <c r="BB98" s="678">
        <f>BA98</f>
        <v>35000</v>
      </c>
      <c r="BC98" s="678">
        <f>BA98</f>
        <v>35000</v>
      </c>
      <c r="BD98" s="678">
        <f>'B9 Cement 48T Rigid '!C18</f>
        <v>32200</v>
      </c>
      <c r="BE98" s="678">
        <f>BA98</f>
        <v>35000</v>
      </c>
      <c r="BF98" s="678">
        <f>'B9 Cement 48T Rigid '!C19</f>
        <v>33900</v>
      </c>
      <c r="BH98" s="688">
        <f t="shared" ref="BH98:BM99" si="284">IF(BN98=0, 0, EXP($D98*$E$2 * ((BN98/$BN98) - 1)) )</f>
        <v>1</v>
      </c>
      <c r="BI98" s="30">
        <f t="shared" si="284"/>
        <v>1</v>
      </c>
      <c r="BJ98" s="30">
        <f t="shared" si="284"/>
        <v>1</v>
      </c>
      <c r="BK98" s="30">
        <f t="shared" si="284"/>
        <v>0.42147281477591775</v>
      </c>
      <c r="BL98" s="30">
        <f t="shared" si="284"/>
        <v>1</v>
      </c>
      <c r="BM98" s="30">
        <f t="shared" si="284"/>
        <v>0.71217716489086835</v>
      </c>
      <c r="BN98" s="493">
        <f>'B9 Cement 48T Rigid '!$C$17</f>
        <v>35000</v>
      </c>
      <c r="BO98" s="493">
        <f>BN98</f>
        <v>35000</v>
      </c>
      <c r="BP98" s="493">
        <f>BN98</f>
        <v>35000</v>
      </c>
      <c r="BQ98" s="493">
        <f>'B9 Cement 48T Rigid '!$C$18</f>
        <v>32200</v>
      </c>
      <c r="BR98" s="493">
        <f>BN98</f>
        <v>35000</v>
      </c>
      <c r="BS98" s="493">
        <f>'B9 Cement 48T Rigid '!$C$19</f>
        <v>33900</v>
      </c>
      <c r="BU98" s="688">
        <f t="shared" ref="BU98:BZ99" si="285">IF(CA98=0, 0, EXP($D98*$E$2 * ((CA98/$CA98) - 1)) )</f>
        <v>1</v>
      </c>
      <c r="BV98" s="30">
        <f t="shared" si="285"/>
        <v>1</v>
      </c>
      <c r="BW98" s="30">
        <f t="shared" si="285"/>
        <v>1</v>
      </c>
      <c r="BX98" s="30">
        <f t="shared" si="285"/>
        <v>0.42147281477591775</v>
      </c>
      <c r="BY98" s="30">
        <f t="shared" si="285"/>
        <v>1</v>
      </c>
      <c r="BZ98" s="30">
        <f t="shared" si="285"/>
        <v>0.71217716489086835</v>
      </c>
      <c r="CA98" s="493">
        <f>'B9 Cement 48T Rigid '!$C$17</f>
        <v>35000</v>
      </c>
      <c r="CB98" s="493">
        <f>CA98</f>
        <v>35000</v>
      </c>
      <c r="CC98" s="493">
        <f>CA98</f>
        <v>35000</v>
      </c>
      <c r="CD98" s="493">
        <f>'B9 Cement 48T Rigid '!$C$18</f>
        <v>32200</v>
      </c>
      <c r="CE98" s="493">
        <f>CA98</f>
        <v>35000</v>
      </c>
      <c r="CF98" s="493">
        <f>'B9 Cement 48T Rigid '!$C$19</f>
        <v>33900</v>
      </c>
      <c r="CH98" s="30">
        <f t="shared" ref="CH98:CJ99" si="286">IF(CK98=0, 0, EXP($D98*$E$2 * ((CK98/$CN98) - 1)))</f>
        <v>0.42147281477591775</v>
      </c>
      <c r="CI98" s="30">
        <f t="shared" si="286"/>
        <v>1</v>
      </c>
      <c r="CJ98" s="30">
        <f t="shared" si="286"/>
        <v>0.71217716489086835</v>
      </c>
      <c r="CK98" s="493">
        <f t="shared" ref="CK98:CM100" si="287">BQ98</f>
        <v>32200</v>
      </c>
      <c r="CL98" s="493">
        <f t="shared" si="287"/>
        <v>35000</v>
      </c>
      <c r="CM98" s="493">
        <f t="shared" si="287"/>
        <v>33900</v>
      </c>
      <c r="CN98" s="17">
        <f>'B9 Cement 48T Rigid '!$C$17</f>
        <v>35000</v>
      </c>
    </row>
    <row r="99" spans="1:92">
      <c r="A99" s="818"/>
      <c r="B99" s="824"/>
      <c r="C99" s="23" t="s">
        <v>460</v>
      </c>
      <c r="D99" s="29">
        <f t="shared" si="273"/>
        <v>5.4</v>
      </c>
      <c r="E99" s="451">
        <v>3</v>
      </c>
      <c r="F99" s="24">
        <v>9</v>
      </c>
      <c r="G99" s="32">
        <v>4</v>
      </c>
      <c r="H99" s="32">
        <v>6</v>
      </c>
      <c r="I99" s="32">
        <v>5</v>
      </c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D99" s="32">
        <v>8</v>
      </c>
      <c r="AE99" s="32"/>
      <c r="AF99" s="32"/>
      <c r="AH99" s="693">
        <f t="shared" si="282"/>
        <v>1</v>
      </c>
      <c r="AI99" s="693">
        <f t="shared" si="282"/>
        <v>0.66697681085847416</v>
      </c>
      <c r="AJ99" s="693">
        <f t="shared" si="282"/>
        <v>0.66697681085847416</v>
      </c>
      <c r="AK99" s="693">
        <f t="shared" si="282"/>
        <v>3.3702940643216048</v>
      </c>
      <c r="AL99" s="693">
        <f t="shared" si="282"/>
        <v>0.66697681085847416</v>
      </c>
      <c r="AM99" s="693">
        <f t="shared" si="282"/>
        <v>3.3702940643216048</v>
      </c>
      <c r="AN99" s="679">
        <f t="shared" ref="AN99:AS100" si="288">AN11</f>
        <v>1</v>
      </c>
      <c r="AO99" s="679">
        <f t="shared" si="288"/>
        <v>0.95</v>
      </c>
      <c r="AP99" s="679">
        <f t="shared" si="288"/>
        <v>0.95</v>
      </c>
      <c r="AQ99" s="679">
        <f t="shared" si="288"/>
        <v>1.1499999999999999</v>
      </c>
      <c r="AR99" s="679">
        <f t="shared" si="288"/>
        <v>0.95</v>
      </c>
      <c r="AS99" s="683">
        <f t="shared" si="288"/>
        <v>1.1499999999999999</v>
      </c>
      <c r="AU99" s="693">
        <f t="shared" si="283"/>
        <v>1</v>
      </c>
      <c r="AV99" s="693">
        <f t="shared" si="283"/>
        <v>0.66697681085847416</v>
      </c>
      <c r="AW99" s="693">
        <f t="shared" si="283"/>
        <v>0.66697681085847416</v>
      </c>
      <c r="AX99" s="693">
        <f t="shared" si="283"/>
        <v>3.3702940643216048</v>
      </c>
      <c r="AY99" s="693">
        <f t="shared" si="283"/>
        <v>0.66697681085847416</v>
      </c>
      <c r="AZ99" s="693">
        <f t="shared" si="283"/>
        <v>3.3702940643216048</v>
      </c>
      <c r="BA99" s="679">
        <f t="shared" ref="BA99:BF100" si="289">BA11</f>
        <v>1</v>
      </c>
      <c r="BB99" s="679">
        <f t="shared" si="289"/>
        <v>0.95</v>
      </c>
      <c r="BC99" s="679">
        <f t="shared" si="289"/>
        <v>0.95</v>
      </c>
      <c r="BD99" s="679">
        <f t="shared" si="289"/>
        <v>1.1499999999999999</v>
      </c>
      <c r="BE99" s="679">
        <f t="shared" si="289"/>
        <v>0.95</v>
      </c>
      <c r="BF99" s="679">
        <f t="shared" si="289"/>
        <v>1.1499999999999999</v>
      </c>
      <c r="BH99" s="688">
        <f t="shared" si="284"/>
        <v>1</v>
      </c>
      <c r="BI99" s="30">
        <f t="shared" si="284"/>
        <v>0.66697681085847416</v>
      </c>
      <c r="BJ99" s="30">
        <f t="shared" si="284"/>
        <v>0.66697681085847416</v>
      </c>
      <c r="BK99" s="30">
        <f t="shared" si="284"/>
        <v>3.3702940643216048</v>
      </c>
      <c r="BL99" s="30">
        <f t="shared" si="284"/>
        <v>0.66697681085847416</v>
      </c>
      <c r="BM99" s="30">
        <f t="shared" si="284"/>
        <v>3.3702940643216048</v>
      </c>
      <c r="BN99" s="490">
        <f t="shared" ref="BN99:BS100" si="290">BN88</f>
        <v>1</v>
      </c>
      <c r="BO99" s="490">
        <f t="shared" si="290"/>
        <v>0.95</v>
      </c>
      <c r="BP99" s="490">
        <f t="shared" si="290"/>
        <v>0.95</v>
      </c>
      <c r="BQ99" s="490">
        <f t="shared" si="290"/>
        <v>1.1499999999999999</v>
      </c>
      <c r="BR99" s="490">
        <f t="shared" si="290"/>
        <v>0.95</v>
      </c>
      <c r="BS99" s="490">
        <f t="shared" si="290"/>
        <v>1.1499999999999999</v>
      </c>
      <c r="BU99" s="688">
        <f t="shared" si="285"/>
        <v>1</v>
      </c>
      <c r="BV99" s="30">
        <f t="shared" si="285"/>
        <v>0.66697681085847416</v>
      </c>
      <c r="BW99" s="30">
        <f t="shared" si="285"/>
        <v>0.66697681085847416</v>
      </c>
      <c r="BX99" s="30">
        <f t="shared" si="285"/>
        <v>3.3702940643216048</v>
      </c>
      <c r="BY99" s="30">
        <f t="shared" si="285"/>
        <v>0.66697681085847416</v>
      </c>
      <c r="BZ99" s="30">
        <f t="shared" si="285"/>
        <v>3.3702940643216048</v>
      </c>
      <c r="CA99" s="490">
        <f t="shared" ref="CA99:CF100" si="291">CA88</f>
        <v>1</v>
      </c>
      <c r="CB99" s="490">
        <f t="shared" si="291"/>
        <v>0.95</v>
      </c>
      <c r="CC99" s="490">
        <f t="shared" si="291"/>
        <v>0.95</v>
      </c>
      <c r="CD99" s="490">
        <f t="shared" si="291"/>
        <v>1.1499999999999999</v>
      </c>
      <c r="CE99" s="490">
        <f t="shared" si="291"/>
        <v>0.95</v>
      </c>
      <c r="CF99" s="490">
        <f t="shared" si="291"/>
        <v>1.1499999999999999</v>
      </c>
      <c r="CH99" s="30">
        <f t="shared" si="286"/>
        <v>3.3702940643216048</v>
      </c>
      <c r="CI99" s="30">
        <f t="shared" si="286"/>
        <v>0.66697681085847416</v>
      </c>
      <c r="CJ99" s="30">
        <f t="shared" si="286"/>
        <v>3.3702940643216048</v>
      </c>
      <c r="CK99" s="490">
        <f t="shared" si="287"/>
        <v>1.1499999999999999</v>
      </c>
      <c r="CL99" s="490">
        <f t="shared" si="287"/>
        <v>0.95</v>
      </c>
      <c r="CM99" s="490">
        <f t="shared" si="287"/>
        <v>1.1499999999999999</v>
      </c>
      <c r="CN99" s="704">
        <f>CN88</f>
        <v>1</v>
      </c>
    </row>
    <row r="100" spans="1:92">
      <c r="A100" s="818"/>
      <c r="B100" s="824"/>
      <c r="C100" s="34" t="s">
        <v>461</v>
      </c>
      <c r="D100" s="29">
        <f t="shared" si="273"/>
        <v>8</v>
      </c>
      <c r="E100" s="36">
        <v>8</v>
      </c>
      <c r="F100" s="37">
        <v>10</v>
      </c>
      <c r="G100" s="26">
        <v>8</v>
      </c>
      <c r="H100" s="26">
        <v>9</v>
      </c>
      <c r="I100" s="26">
        <v>5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D100" s="26">
        <v>6</v>
      </c>
      <c r="AE100" s="26"/>
      <c r="AF100" s="26"/>
      <c r="AH100" s="693">
        <f t="shared" ref="AH100:AM100" si="292">IF(AN100=0, 0, EXP($D100*$E$2  * (($AN100/AN100) - 1)) )</f>
        <v>1</v>
      </c>
      <c r="AI100" s="693">
        <f t="shared" si="292"/>
        <v>0.56471812200775884</v>
      </c>
      <c r="AJ100" s="693">
        <f t="shared" si="292"/>
        <v>0.33591098123916224</v>
      </c>
      <c r="AK100" s="693">
        <f t="shared" si="292"/>
        <v>0.13533528323661276</v>
      </c>
      <c r="AL100" s="693">
        <f t="shared" si="292"/>
        <v>1</v>
      </c>
      <c r="AM100" s="693">
        <f t="shared" si="292"/>
        <v>1</v>
      </c>
      <c r="AN100" s="679">
        <f t="shared" si="288"/>
        <v>1</v>
      </c>
      <c r="AO100" s="679">
        <f t="shared" si="288"/>
        <v>1.05</v>
      </c>
      <c r="AP100" s="679">
        <f t="shared" si="288"/>
        <v>1.1000000000000001</v>
      </c>
      <c r="AQ100" s="679">
        <f t="shared" si="288"/>
        <v>1.2</v>
      </c>
      <c r="AR100" s="679">
        <f t="shared" si="288"/>
        <v>1</v>
      </c>
      <c r="AS100" s="683">
        <f t="shared" si="288"/>
        <v>1</v>
      </c>
      <c r="AU100" s="693">
        <f t="shared" ref="AU100:AZ100" si="293">IF(BA100=0, 0, EXP($D100*$E$2 * (($BA100/BA100) - 1)) )</f>
        <v>1</v>
      </c>
      <c r="AV100" s="693">
        <f t="shared" si="293"/>
        <v>0.56471812200775884</v>
      </c>
      <c r="AW100" s="693">
        <f t="shared" si="293"/>
        <v>0.33591098123916224</v>
      </c>
      <c r="AX100" s="693">
        <f t="shared" si="293"/>
        <v>0.13533528323661276</v>
      </c>
      <c r="AY100" s="693">
        <f t="shared" si="293"/>
        <v>1</v>
      </c>
      <c r="AZ100" s="693">
        <f t="shared" si="293"/>
        <v>1</v>
      </c>
      <c r="BA100" s="679">
        <f t="shared" si="289"/>
        <v>1</v>
      </c>
      <c r="BB100" s="679">
        <f t="shared" si="289"/>
        <v>1.05</v>
      </c>
      <c r="BC100" s="679">
        <f t="shared" si="289"/>
        <v>1.1000000000000001</v>
      </c>
      <c r="BD100" s="679">
        <f t="shared" si="289"/>
        <v>1.2</v>
      </c>
      <c r="BE100" s="679">
        <f t="shared" si="289"/>
        <v>1</v>
      </c>
      <c r="BF100" s="679">
        <f t="shared" si="289"/>
        <v>1</v>
      </c>
      <c r="BH100" s="688">
        <f t="shared" ref="BH100:BM100" si="294">IF(BN100=0, 0, EXP($D100*$E$2 * (($BN100/BN100) - 1)) )</f>
        <v>1</v>
      </c>
      <c r="BI100" s="30">
        <f t="shared" si="294"/>
        <v>0.56471812200775884</v>
      </c>
      <c r="BJ100" s="30">
        <f t="shared" si="294"/>
        <v>0.33591098123916224</v>
      </c>
      <c r="BK100" s="30">
        <f t="shared" si="294"/>
        <v>0.13533528323661276</v>
      </c>
      <c r="BL100" s="30">
        <f t="shared" si="294"/>
        <v>1</v>
      </c>
      <c r="BM100" s="30">
        <f t="shared" si="294"/>
        <v>1</v>
      </c>
      <c r="BN100" s="490">
        <f t="shared" si="290"/>
        <v>1</v>
      </c>
      <c r="BO100" s="490">
        <f t="shared" si="290"/>
        <v>1.05</v>
      </c>
      <c r="BP100" s="490">
        <f t="shared" si="290"/>
        <v>1.1000000000000001</v>
      </c>
      <c r="BQ100" s="490">
        <f t="shared" si="290"/>
        <v>1.2</v>
      </c>
      <c r="BR100" s="490">
        <f t="shared" si="290"/>
        <v>1</v>
      </c>
      <c r="BS100" s="490">
        <f t="shared" si="290"/>
        <v>1</v>
      </c>
      <c r="BU100" s="688">
        <f t="shared" ref="BU100:BZ100" si="295">IF(CA100=0, 0, EXP($D100*$E$2 * (($CA100/CA100) - 1)) )</f>
        <v>1</v>
      </c>
      <c r="BV100" s="30">
        <f t="shared" si="295"/>
        <v>0.56471812200775884</v>
      </c>
      <c r="BW100" s="30">
        <f t="shared" si="295"/>
        <v>0.33591098123916224</v>
      </c>
      <c r="BX100" s="30">
        <f t="shared" si="295"/>
        <v>0.13533528323661276</v>
      </c>
      <c r="BY100" s="30">
        <f t="shared" si="295"/>
        <v>1</v>
      </c>
      <c r="BZ100" s="30">
        <f t="shared" si="295"/>
        <v>1</v>
      </c>
      <c r="CA100" s="490">
        <f t="shared" si="291"/>
        <v>1</v>
      </c>
      <c r="CB100" s="490">
        <f t="shared" si="291"/>
        <v>1.05</v>
      </c>
      <c r="CC100" s="490">
        <f t="shared" si="291"/>
        <v>1.1000000000000001</v>
      </c>
      <c r="CD100" s="490">
        <f t="shared" si="291"/>
        <v>1.2</v>
      </c>
      <c r="CE100" s="490">
        <f t="shared" si="291"/>
        <v>1</v>
      </c>
      <c r="CF100" s="490">
        <f t="shared" si="291"/>
        <v>1</v>
      </c>
      <c r="CH100" s="30">
        <f>IF(CK100=0, 0, EXP($D100*$E$2 * (($CN100/CK100) - 1)))</f>
        <v>0.13533528323661276</v>
      </c>
      <c r="CI100" s="30">
        <f>IF(CL100=0, 0, EXP($D100*$E$2 * (($CN100/CL100) - 1)))</f>
        <v>1</v>
      </c>
      <c r="CJ100" s="30">
        <f>IF(CM100=0, 0, EXP($D100*$E$2 * (($CN100/CM100) - 1)))</f>
        <v>1</v>
      </c>
      <c r="CK100" s="490">
        <f t="shared" si="287"/>
        <v>1.2</v>
      </c>
      <c r="CL100" s="490">
        <f t="shared" si="287"/>
        <v>1</v>
      </c>
      <c r="CM100" s="490">
        <f t="shared" si="287"/>
        <v>1</v>
      </c>
      <c r="CN100" s="704">
        <f>CN89</f>
        <v>1</v>
      </c>
    </row>
    <row r="101" spans="1:92">
      <c r="A101" s="818"/>
      <c r="B101" s="824"/>
      <c r="C101" s="23" t="s">
        <v>462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64"/>
      <c r="AH101" s="23"/>
      <c r="AI101" s="23"/>
      <c r="AJ101" s="23"/>
      <c r="AK101" s="23"/>
      <c r="AL101" s="23"/>
      <c r="AM101" s="23"/>
      <c r="AN101" s="680">
        <f t="shared" ref="AN101:AS102" si="296">AN35</f>
        <v>2025</v>
      </c>
      <c r="AO101" s="680">
        <f t="shared" si="296"/>
        <v>2025</v>
      </c>
      <c r="AP101" s="680">
        <f t="shared" si="296"/>
        <v>2025</v>
      </c>
      <c r="AQ101" s="680">
        <f t="shared" si="296"/>
        <v>2025</v>
      </c>
      <c r="AR101" s="680">
        <f t="shared" si="296"/>
        <v>2028</v>
      </c>
      <c r="AS101" s="696">
        <f t="shared" si="296"/>
        <v>2030</v>
      </c>
      <c r="AU101" s="23"/>
      <c r="AV101" s="23"/>
      <c r="AW101" s="23"/>
      <c r="AX101" s="23"/>
      <c r="AY101" s="23"/>
      <c r="AZ101" s="23"/>
      <c r="BA101" s="680">
        <f t="shared" ref="BA101:BF102" si="297">BA35</f>
        <v>2025</v>
      </c>
      <c r="BB101" s="680">
        <f t="shared" si="297"/>
        <v>2025</v>
      </c>
      <c r="BC101" s="680">
        <f t="shared" si="297"/>
        <v>2025</v>
      </c>
      <c r="BD101" s="680">
        <f t="shared" si="297"/>
        <v>2025</v>
      </c>
      <c r="BE101" s="680">
        <f t="shared" si="297"/>
        <v>2028</v>
      </c>
      <c r="BF101" s="680">
        <f t="shared" si="297"/>
        <v>2030</v>
      </c>
      <c r="BH101" s="681"/>
      <c r="BI101" s="23"/>
      <c r="BJ101" s="23"/>
      <c r="BK101" s="23"/>
      <c r="BL101" s="23"/>
      <c r="BM101" s="23"/>
      <c r="BN101" s="491">
        <f t="shared" ref="BN101" si="298">BN35</f>
        <v>2025</v>
      </c>
      <c r="BO101" s="491">
        <f t="shared" ref="BO101:BS102" si="299">BO35</f>
        <v>2025</v>
      </c>
      <c r="BP101" s="491">
        <f t="shared" si="299"/>
        <v>2025</v>
      </c>
      <c r="BQ101" s="491">
        <f t="shared" si="299"/>
        <v>2025</v>
      </c>
      <c r="BR101" s="491">
        <f t="shared" si="299"/>
        <v>2028</v>
      </c>
      <c r="BS101" s="491">
        <f t="shared" si="299"/>
        <v>2030</v>
      </c>
      <c r="BU101" s="681"/>
      <c r="BV101" s="23"/>
      <c r="BW101" s="23"/>
      <c r="BX101" s="23"/>
      <c r="BY101" s="23"/>
      <c r="BZ101" s="23"/>
      <c r="CA101" s="491">
        <f>BN101</f>
        <v>2025</v>
      </c>
      <c r="CB101" s="491">
        <f t="shared" ref="CB101:CB103" si="300">BO101</f>
        <v>2025</v>
      </c>
      <c r="CC101" s="491">
        <f t="shared" ref="CC101:CC103" si="301">BP101</f>
        <v>2025</v>
      </c>
      <c r="CD101" s="491">
        <f t="shared" ref="CD101:CD103" si="302">BQ101</f>
        <v>2025</v>
      </c>
      <c r="CE101" s="491">
        <f t="shared" ref="CE101:CE103" si="303">BR101</f>
        <v>2028</v>
      </c>
      <c r="CF101" s="491">
        <f t="shared" ref="CF101:CF103" si="304">BS101</f>
        <v>2030</v>
      </c>
      <c r="CN101" s="17">
        <f>CN35</f>
        <v>2025</v>
      </c>
    </row>
    <row r="102" spans="1:92">
      <c r="A102" s="818"/>
      <c r="B102" s="824"/>
      <c r="C102" s="23" t="s">
        <v>463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6"/>
      <c r="AE102" s="23"/>
      <c r="AF102" s="23"/>
      <c r="AG102" s="64"/>
      <c r="AH102" s="23">
        <v>1</v>
      </c>
      <c r="AI102" s="701">
        <f>$BH102-($BO102-$BN102)/($BO$1-$BN102)</f>
        <v>0.85</v>
      </c>
      <c r="AJ102" s="701">
        <f>$BH102-($BP102-$BN102)/($BO$1-$BN102)</f>
        <v>0.75</v>
      </c>
      <c r="AK102" s="701">
        <f>$BH102-($BQ102-$BN102)/($BO$1-$BN102)</f>
        <v>0.85</v>
      </c>
      <c r="AL102" s="701">
        <f>$BH102-($BR102-$BN102)/($BO$1-$BN102)</f>
        <v>0.55000000000000004</v>
      </c>
      <c r="AM102" s="701">
        <f>$BH102-($BS102-$BN101)/($BO$1-$BN101)</f>
        <v>0.35</v>
      </c>
      <c r="AN102" s="680">
        <f t="shared" si="296"/>
        <v>2025</v>
      </c>
      <c r="AO102" s="680">
        <f t="shared" si="296"/>
        <v>2028</v>
      </c>
      <c r="AP102" s="680">
        <f t="shared" si="296"/>
        <v>2030</v>
      </c>
      <c r="AQ102" s="680">
        <f t="shared" si="296"/>
        <v>2028</v>
      </c>
      <c r="AR102" s="680">
        <f t="shared" si="296"/>
        <v>2034</v>
      </c>
      <c r="AS102" s="696">
        <f t="shared" si="296"/>
        <v>2038</v>
      </c>
      <c r="AU102" s="23">
        <v>1</v>
      </c>
      <c r="AV102" s="701">
        <f>$BH102-($BO102-$BN102)/($BO$1-$BN102)</f>
        <v>0.85</v>
      </c>
      <c r="AW102" s="701">
        <f>$BH102-($BP102-$BN102)/($BO$1-$BN102)</f>
        <v>0.75</v>
      </c>
      <c r="AX102" s="701">
        <f>$BH102-($BQ102-$BN102)/($BO$1-$BN102)</f>
        <v>0.85</v>
      </c>
      <c r="AY102" s="701">
        <f>$BH102-($BR102-$BN102)/($BO$1-$BN102)</f>
        <v>0.55000000000000004</v>
      </c>
      <c r="AZ102" s="701">
        <f>$BH102-($BS102-$BN101)/($BO$1-$BN101)</f>
        <v>0.35</v>
      </c>
      <c r="BA102" s="680">
        <f t="shared" si="297"/>
        <v>2025</v>
      </c>
      <c r="BB102" s="680">
        <f t="shared" si="297"/>
        <v>2028</v>
      </c>
      <c r="BC102" s="680">
        <f t="shared" si="297"/>
        <v>2030</v>
      </c>
      <c r="BD102" s="680">
        <f t="shared" si="297"/>
        <v>2028</v>
      </c>
      <c r="BE102" s="680">
        <f t="shared" si="297"/>
        <v>2034</v>
      </c>
      <c r="BF102" s="680">
        <f t="shared" si="297"/>
        <v>2038</v>
      </c>
      <c r="BH102" s="688">
        <v>1</v>
      </c>
      <c r="BI102" s="30">
        <f>$BH102-($BO102-$BN102)/($BO$1-$BN102)</f>
        <v>0.85</v>
      </c>
      <c r="BJ102" s="30">
        <f>$BH102-($BP102-$BN102)/($BO$1-$BN102)</f>
        <v>0.75</v>
      </c>
      <c r="BK102" s="30">
        <f>$BH102-($BQ102-$BN102)/($BO$1-$BN102)</f>
        <v>0.85</v>
      </c>
      <c r="BL102" s="30">
        <f>$BH102-($BR102-$BN102)/($BO$1-$BN102)</f>
        <v>0.55000000000000004</v>
      </c>
      <c r="BM102" s="30">
        <f>$BH102-($BS102-$BN101)/($BO$1-$BN101)</f>
        <v>0.35</v>
      </c>
      <c r="BN102" s="491">
        <f t="shared" ref="BN102" si="305">BN36</f>
        <v>2025</v>
      </c>
      <c r="BO102" s="491">
        <f t="shared" si="299"/>
        <v>2028</v>
      </c>
      <c r="BP102" s="491">
        <f t="shared" si="299"/>
        <v>2030</v>
      </c>
      <c r="BQ102" s="491">
        <f t="shared" si="299"/>
        <v>2028</v>
      </c>
      <c r="BR102" s="491">
        <f t="shared" si="299"/>
        <v>2034</v>
      </c>
      <c r="BS102" s="491">
        <f t="shared" si="299"/>
        <v>2038</v>
      </c>
      <c r="BU102" s="688">
        <v>1</v>
      </c>
      <c r="BV102" s="30">
        <f>$BU102-($CB102-$CA102)/($CB$1-$CA102)</f>
        <v>0.88</v>
      </c>
      <c r="BW102" s="30">
        <f>$BU102-($CC102-$CA102)/($CB$1-$CA102)</f>
        <v>0.8</v>
      </c>
      <c r="BX102" s="30">
        <f>$BU102-($CD102-$CA102)/($CB$1-$CA102)</f>
        <v>0.88</v>
      </c>
      <c r="BY102" s="30">
        <f>$BU102-($CE102-$CA102)/($CB$1-$CA102)</f>
        <v>0.64</v>
      </c>
      <c r="BZ102" s="30">
        <f>$BU102-($CF102-$CA101)/($CB$1-$CA101)</f>
        <v>0.48</v>
      </c>
      <c r="CA102" s="491">
        <f>BN102</f>
        <v>2025</v>
      </c>
      <c r="CB102" s="491">
        <f t="shared" si="300"/>
        <v>2028</v>
      </c>
      <c r="CC102" s="491">
        <f t="shared" si="301"/>
        <v>2030</v>
      </c>
      <c r="CD102" s="491">
        <f t="shared" si="302"/>
        <v>2028</v>
      </c>
      <c r="CE102" s="491">
        <f t="shared" si="303"/>
        <v>2034</v>
      </c>
      <c r="CF102" s="491">
        <f t="shared" si="304"/>
        <v>2038</v>
      </c>
      <c r="CN102" s="17">
        <f>CN36</f>
        <v>2025</v>
      </c>
    </row>
    <row r="103" spans="1:92">
      <c r="A103" s="818"/>
      <c r="B103" s="823"/>
      <c r="C103" s="23" t="s">
        <v>464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6"/>
      <c r="AE103" s="23"/>
      <c r="AF103" s="23"/>
      <c r="AG103" s="64"/>
      <c r="AH103" s="694">
        <v>1</v>
      </c>
      <c r="AI103" s="694">
        <f>$BH103-($BO102-$BN102)/($BO103-$BN102)+($BO$1-$BO103)/($BO$1-$BN102)</f>
        <v>0.15000000000000002</v>
      </c>
      <c r="AJ103" s="694">
        <f>$BH103-($BP102-$BN102)/($BP103-$BN102)+($BO$1-$BP103)/($BO$1-$BN102)</f>
        <v>-2.5000000000000022E-2</v>
      </c>
      <c r="AK103" s="694">
        <f>$BH103-($BQ102-$BN102)/($BQ103-$BN102)+($BO$1-$BQ103)/($BO$1-$BN102)</f>
        <v>0.2</v>
      </c>
      <c r="AL103" s="694">
        <f>$BH103-($BR102-$BN102)/($BR103-$BN102)+($BO$1-$BR103)/($BO$1-$BN102)</f>
        <v>-0.37941176470588234</v>
      </c>
      <c r="AM103" s="694">
        <f>$BH103-($BS102-$BN101)/($BS103-$BN101)+($BO$1-$BS103)/($BO$1-$BN101)</f>
        <v>-0.65</v>
      </c>
      <c r="AN103" s="687">
        <f t="shared" ref="AN103:AS103" si="306">AN92</f>
        <v>2025</v>
      </c>
      <c r="AO103" s="687">
        <f t="shared" si="306"/>
        <v>2030</v>
      </c>
      <c r="AP103" s="687">
        <f t="shared" si="306"/>
        <v>2033</v>
      </c>
      <c r="AQ103" s="687">
        <f t="shared" si="306"/>
        <v>2035</v>
      </c>
      <c r="AR103" s="687">
        <f t="shared" si="306"/>
        <v>2042</v>
      </c>
      <c r="AS103" s="697">
        <f t="shared" si="306"/>
        <v>2045</v>
      </c>
      <c r="AU103" s="694">
        <v>1</v>
      </c>
      <c r="AV103" s="694">
        <f>$BH103-($BO102-$BN102)/($BO103-$BN102)+($BO$1-$BO103)/($BO$1-$BN102)</f>
        <v>0.15000000000000002</v>
      </c>
      <c r="AW103" s="694">
        <f>$BH103-($BP102-$BN102)/($BP103-$BN102)+($BO$1-$BP103)/($BO$1-$BN102)</f>
        <v>-2.5000000000000022E-2</v>
      </c>
      <c r="AX103" s="694">
        <f>$BH103-($BQ102-$BN102)/($BQ103-$BN102)+($BO$1-$BQ103)/($BO$1-$BN102)</f>
        <v>0.2</v>
      </c>
      <c r="AY103" s="694">
        <f>$BH103-($BR102-$BN102)/($BR103-$BN102)+($BO$1-$BR103)/($BO$1-$BN102)</f>
        <v>-0.37941176470588234</v>
      </c>
      <c r="AZ103" s="694">
        <f>$BH103-($BS102-$BN101)/($BS103-$BN101)+($BO$1-$BS103)/($BO$1-$BN101)</f>
        <v>-0.65</v>
      </c>
      <c r="BA103" s="687">
        <f t="shared" ref="BA103:BF103" si="307">BA92</f>
        <v>2025</v>
      </c>
      <c r="BB103" s="687">
        <f t="shared" si="307"/>
        <v>2030</v>
      </c>
      <c r="BC103" s="687">
        <f t="shared" si="307"/>
        <v>2033</v>
      </c>
      <c r="BD103" s="687">
        <f t="shared" si="307"/>
        <v>2035</v>
      </c>
      <c r="BE103" s="687">
        <f t="shared" si="307"/>
        <v>2042</v>
      </c>
      <c r="BF103" s="687">
        <f t="shared" si="307"/>
        <v>2045</v>
      </c>
      <c r="BH103" s="681"/>
      <c r="BI103" s="23"/>
      <c r="BJ103" s="23"/>
      <c r="BK103" s="23"/>
      <c r="BL103" s="23"/>
      <c r="BM103" s="23"/>
      <c r="BN103" s="491">
        <f t="shared" ref="BN103" si="308">BN92</f>
        <v>2025</v>
      </c>
      <c r="BO103" s="491">
        <f t="shared" ref="BO103:BS103" si="309">BO92</f>
        <v>2030</v>
      </c>
      <c r="BP103" s="491">
        <f t="shared" si="309"/>
        <v>2033</v>
      </c>
      <c r="BQ103" s="491">
        <f t="shared" si="309"/>
        <v>2035</v>
      </c>
      <c r="BR103" s="491">
        <f t="shared" si="309"/>
        <v>2042</v>
      </c>
      <c r="BS103" s="491">
        <f t="shared" si="309"/>
        <v>2045</v>
      </c>
      <c r="BU103" s="688">
        <v>1</v>
      </c>
      <c r="BV103" s="30">
        <f>$BU103-($CB103-$CA103)/($CB$1-$CA103)</f>
        <v>0.8</v>
      </c>
      <c r="BW103" s="30">
        <f>$BU103-($CC103-$CA103)/($CB$1-$CA103)</f>
        <v>0.67999999999999994</v>
      </c>
      <c r="BX103" s="30">
        <f>$BU103-($CD103-$CA103)/($CB$1-$CA103)</f>
        <v>0.6</v>
      </c>
      <c r="BY103" s="30">
        <f>$BU103-($CE103-$CA103)/($CB$1-$CA103)</f>
        <v>0.31999999999999995</v>
      </c>
      <c r="BZ103" s="30">
        <f>$BU103-($CF103-$CA102)/($CB$1-$CA102)</f>
        <v>0.19999999999999996</v>
      </c>
      <c r="CA103" s="491">
        <f>BN103</f>
        <v>2025</v>
      </c>
      <c r="CB103" s="491">
        <f t="shared" si="300"/>
        <v>2030</v>
      </c>
      <c r="CC103" s="491">
        <f t="shared" si="301"/>
        <v>2033</v>
      </c>
      <c r="CD103" s="491">
        <f t="shared" si="302"/>
        <v>2035</v>
      </c>
      <c r="CE103" s="491">
        <f t="shared" si="303"/>
        <v>2042</v>
      </c>
      <c r="CF103" s="491">
        <f t="shared" si="304"/>
        <v>2045</v>
      </c>
      <c r="CH103" s="30">
        <f>CD103/CD103</f>
        <v>1</v>
      </c>
      <c r="CI103" s="30">
        <f>1-(CE103-CD103)/($CK$1-CD103)</f>
        <v>0.65</v>
      </c>
      <c r="CJ103" s="30">
        <f>1-(CF103-CD103)/($CK$1-CD103)</f>
        <v>0.5</v>
      </c>
      <c r="CK103" s="936" t="s">
        <v>1059</v>
      </c>
      <c r="CL103" s="937"/>
      <c r="CM103" s="937"/>
      <c r="CN103" s="17">
        <f>CN92</f>
        <v>2025</v>
      </c>
    </row>
    <row r="104" spans="1:92">
      <c r="A104" s="818">
        <v>10</v>
      </c>
      <c r="B104" s="822" t="s">
        <v>845</v>
      </c>
      <c r="C104" s="23" t="s">
        <v>452</v>
      </c>
      <c r="D104" s="450"/>
      <c r="E104" s="24" t="s">
        <v>453</v>
      </c>
      <c r="F104" s="24" t="s">
        <v>453</v>
      </c>
      <c r="G104" s="24" t="s">
        <v>453</v>
      </c>
      <c r="H104" s="25" t="s">
        <v>470</v>
      </c>
      <c r="I104" s="25" t="s">
        <v>468</v>
      </c>
      <c r="J104" s="25"/>
      <c r="K104" s="24"/>
      <c r="L104" s="25"/>
      <c r="M104" s="25"/>
      <c r="N104" s="25"/>
      <c r="O104" s="25"/>
      <c r="P104" s="25"/>
      <c r="Q104" s="24"/>
      <c r="R104" s="25"/>
      <c r="S104" s="25"/>
      <c r="T104" s="25"/>
      <c r="U104" s="25"/>
      <c r="V104" s="25"/>
      <c r="W104" s="24"/>
      <c r="X104" s="25"/>
      <c r="Y104" s="25"/>
      <c r="Z104" s="24"/>
      <c r="AA104" s="25"/>
      <c r="AB104" s="25"/>
      <c r="AD104" s="26" t="s">
        <v>454</v>
      </c>
      <c r="AE104" s="27"/>
      <c r="AF104" s="27"/>
      <c r="AH104" s="684"/>
      <c r="AI104" s="684"/>
      <c r="AJ104" s="684"/>
      <c r="AK104" s="684"/>
      <c r="AL104" s="684"/>
      <c r="AM104" s="684"/>
      <c r="AN104" s="684"/>
      <c r="AO104" s="684"/>
      <c r="AP104" s="684"/>
      <c r="AQ104" s="684"/>
      <c r="AR104" s="684"/>
      <c r="AS104" s="684"/>
      <c r="AU104" s="684"/>
      <c r="AV104" s="684"/>
      <c r="AW104" s="684"/>
      <c r="AX104" s="684"/>
      <c r="AY104" s="684"/>
      <c r="AZ104" s="684"/>
      <c r="BA104" s="684"/>
      <c r="BB104" s="684"/>
      <c r="BC104" s="684"/>
      <c r="BD104" s="684"/>
      <c r="BE104" s="684"/>
      <c r="BF104" s="689"/>
      <c r="BH104" s="447"/>
      <c r="BI104" s="445"/>
      <c r="BJ104" s="445"/>
      <c r="BK104" s="445"/>
      <c r="BL104" s="445"/>
      <c r="BM104" s="445"/>
      <c r="BO104" s="445"/>
      <c r="BP104" s="445"/>
      <c r="BU104" s="447"/>
      <c r="BV104" s="445"/>
      <c r="BW104" s="445"/>
      <c r="BX104" s="445"/>
      <c r="BY104" s="445"/>
      <c r="BZ104" s="445"/>
      <c r="CB104" s="445"/>
      <c r="CC104" s="445"/>
    </row>
    <row r="105" spans="1:92">
      <c r="A105" s="818"/>
      <c r="B105" s="824"/>
      <c r="C105" s="23" t="s">
        <v>455</v>
      </c>
      <c r="D105" s="450"/>
      <c r="E105" s="24"/>
      <c r="F105" s="24"/>
      <c r="G105" s="25"/>
      <c r="H105" s="24"/>
      <c r="I105" s="25"/>
      <c r="J105" s="25"/>
      <c r="K105" s="25"/>
      <c r="L105" s="25"/>
      <c r="M105" s="25"/>
      <c r="N105" s="25"/>
      <c r="O105" s="25"/>
      <c r="P105" s="25"/>
      <c r="Q105" s="24"/>
      <c r="R105" s="25"/>
      <c r="S105" s="25"/>
      <c r="T105" s="25"/>
      <c r="U105" s="25"/>
      <c r="V105" s="25"/>
      <c r="W105" s="24"/>
      <c r="X105" s="25"/>
      <c r="Y105" s="25"/>
      <c r="Z105" s="24"/>
      <c r="AA105" s="25"/>
      <c r="AB105" s="25"/>
      <c r="AD105" s="26"/>
      <c r="AE105" s="27"/>
      <c r="AF105" s="27"/>
      <c r="AH105" s="68">
        <f>Buckets!H12</f>
        <v>22470</v>
      </c>
      <c r="AI105" s="68">
        <f>Buckets!J12</f>
        <v>0</v>
      </c>
      <c r="AJ105" s="68">
        <f>Buckets!K12</f>
        <v>22470</v>
      </c>
      <c r="AK105" s="691">
        <f>AH105</f>
        <v>22470</v>
      </c>
      <c r="AL105" s="691">
        <f>AH105</f>
        <v>22470</v>
      </c>
      <c r="AM105" s="691">
        <f>AH105</f>
        <v>22470</v>
      </c>
      <c r="AU105" s="68">
        <f>Buckets!M12</f>
        <v>28120</v>
      </c>
      <c r="AV105" s="68">
        <f>Buckets!O12</f>
        <v>0</v>
      </c>
      <c r="AW105" s="68">
        <f>Buckets!P12</f>
        <v>28120</v>
      </c>
      <c r="AX105" s="691">
        <f>AU105</f>
        <v>28120</v>
      </c>
      <c r="AY105" s="691">
        <f>AU105</f>
        <v>28120</v>
      </c>
      <c r="AZ105" s="691">
        <f>AU105</f>
        <v>28120</v>
      </c>
      <c r="BH105" s="68">
        <f>Buckets!R12</f>
        <v>33230</v>
      </c>
      <c r="BI105" s="68">
        <f>Buckets!T12</f>
        <v>0</v>
      </c>
      <c r="BJ105" s="68">
        <f>Buckets!U12</f>
        <v>33230</v>
      </c>
      <c r="BK105" s="691">
        <f>BH105</f>
        <v>33230</v>
      </c>
      <c r="BL105" s="691">
        <f>BH105</f>
        <v>33230</v>
      </c>
      <c r="BM105" s="691">
        <f>BH105</f>
        <v>33230</v>
      </c>
      <c r="BU105" s="68">
        <f>Buckets!W12</f>
        <v>37770</v>
      </c>
      <c r="BV105" s="68">
        <f>Buckets!Y12</f>
        <v>0</v>
      </c>
      <c r="BW105" s="68">
        <f>Buckets!Z12</f>
        <v>37770</v>
      </c>
      <c r="BX105" s="691">
        <f>BU105</f>
        <v>37770</v>
      </c>
      <c r="BY105" s="691">
        <f>BU105</f>
        <v>37770</v>
      </c>
      <c r="BZ105" s="691">
        <f>BU105</f>
        <v>37770</v>
      </c>
    </row>
    <row r="106" spans="1:92">
      <c r="A106" s="818"/>
      <c r="B106" s="824"/>
      <c r="C106" s="28" t="s">
        <v>456</v>
      </c>
      <c r="D106" s="450"/>
      <c r="E106" s="24"/>
      <c r="F106" s="25"/>
      <c r="G106" s="25"/>
      <c r="H106" s="25"/>
      <c r="I106" s="25"/>
      <c r="J106" s="25"/>
      <c r="K106" s="24"/>
      <c r="L106" s="25"/>
      <c r="M106" s="25"/>
      <c r="N106" s="25"/>
      <c r="O106" s="25"/>
      <c r="P106" s="25"/>
      <c r="Q106" s="24"/>
      <c r="R106" s="25"/>
      <c r="S106" s="25"/>
      <c r="T106" s="25"/>
      <c r="U106" s="25"/>
      <c r="V106" s="25"/>
      <c r="W106" s="24"/>
      <c r="X106" s="25"/>
      <c r="Y106" s="25"/>
      <c r="Z106" s="24"/>
      <c r="AA106" s="25"/>
      <c r="AB106" s="25"/>
      <c r="AD106" s="26">
        <v>8</v>
      </c>
      <c r="AE106" s="27"/>
      <c r="AF106" s="27"/>
      <c r="AH106" s="686"/>
      <c r="AI106" s="686"/>
      <c r="AJ106" s="686"/>
      <c r="AK106" s="686"/>
      <c r="AL106" s="686"/>
      <c r="AM106" s="686"/>
      <c r="AN106" s="686"/>
      <c r="AO106" s="686"/>
      <c r="AP106" s="686"/>
      <c r="AQ106" s="686"/>
      <c r="AR106" s="686"/>
      <c r="AS106" s="686"/>
      <c r="AU106" s="686"/>
      <c r="AV106" s="686"/>
      <c r="AW106" s="686"/>
      <c r="AX106" s="686"/>
      <c r="AY106" s="686"/>
      <c r="AZ106" s="686"/>
      <c r="BA106" s="686"/>
      <c r="BB106" s="686"/>
      <c r="BC106" s="686"/>
      <c r="BD106" s="686"/>
      <c r="BE106" s="686"/>
      <c r="BF106" s="690"/>
      <c r="BH106" s="447"/>
      <c r="BI106" s="445"/>
      <c r="BJ106" s="445"/>
      <c r="BK106" s="445"/>
      <c r="BL106" s="445"/>
      <c r="BM106" s="445"/>
      <c r="BO106" s="445"/>
      <c r="BP106" s="445"/>
      <c r="BU106" s="447"/>
      <c r="BV106" s="445"/>
      <c r="BW106" s="445"/>
      <c r="BX106" s="445"/>
      <c r="BY106" s="445"/>
      <c r="BZ106" s="445"/>
      <c r="CB106" s="445"/>
      <c r="CC106" s="445"/>
    </row>
    <row r="107" spans="1:92">
      <c r="A107" s="818"/>
      <c r="B107" s="824"/>
      <c r="C107" s="23" t="s">
        <v>457</v>
      </c>
      <c r="D107" s="29">
        <f t="shared" ref="D107:D111" si="310">AVERAGE(E107:AB107)</f>
        <v>9</v>
      </c>
      <c r="E107" s="451">
        <v>10</v>
      </c>
      <c r="F107" s="25">
        <v>9</v>
      </c>
      <c r="G107" s="27">
        <v>9</v>
      </c>
      <c r="H107" s="27">
        <v>8</v>
      </c>
      <c r="I107" s="27">
        <v>9</v>
      </c>
      <c r="J107" s="27"/>
      <c r="K107" s="26"/>
      <c r="L107" s="27"/>
      <c r="M107" s="27"/>
      <c r="N107" s="27"/>
      <c r="O107" s="27"/>
      <c r="P107" s="27"/>
      <c r="Q107" s="26"/>
      <c r="R107" s="27"/>
      <c r="S107" s="27"/>
      <c r="T107" s="27"/>
      <c r="U107" s="27"/>
      <c r="V107" s="27"/>
      <c r="W107" s="26"/>
      <c r="X107" s="27"/>
      <c r="Y107" s="27"/>
      <c r="Z107" s="26"/>
      <c r="AA107" s="27"/>
      <c r="AB107" s="27"/>
      <c r="AD107" s="26">
        <v>7</v>
      </c>
      <c r="AE107" s="27"/>
      <c r="AF107" s="27"/>
      <c r="AH107" s="693">
        <f t="shared" ref="AH107:AM107" si="311">IF(AN107=0, 0, EXP($D107*$E$2  * (($AN107/AN107) - 1)) )</f>
        <v>1</v>
      </c>
      <c r="AI107" s="693">
        <f t="shared" si="311"/>
        <v>1.4872645439881638</v>
      </c>
      <c r="AJ107" s="693">
        <f t="shared" si="311"/>
        <v>1.3817384704532882</v>
      </c>
      <c r="AK107" s="693">
        <f t="shared" si="311"/>
        <v>52.583761698328068</v>
      </c>
      <c r="AL107" s="693">
        <f t="shared" si="311"/>
        <v>2.6311666333582888E-2</v>
      </c>
      <c r="AM107" s="693">
        <f t="shared" si="311"/>
        <v>2.7341777374798669E-2</v>
      </c>
      <c r="AN107" s="685">
        <f>'B10 Cement 55 Tractor '!$M$165</f>
        <v>86.196133382247979</v>
      </c>
      <c r="AO107" s="685">
        <f>'B10 Cement 55 Tractor '!$M$166</f>
        <v>83.734111362618165</v>
      </c>
      <c r="AP107" s="685">
        <f>'B10 Cement 55 Tractor '!$M$167</f>
        <v>84.179915486674091</v>
      </c>
      <c r="AQ107" s="685">
        <f>'B10 Cement 55 Tractor '!$M$168</f>
        <v>66.637307029288323</v>
      </c>
      <c r="AR107" s="685">
        <f>'B10 Cement 55 Tractor '!$M$169</f>
        <v>117.99000808012494</v>
      </c>
      <c r="AS107" s="695">
        <f>'B10 Cement 55 Tractor '!$M$170</f>
        <v>117.53233974428443</v>
      </c>
      <c r="AU107" s="693">
        <f t="shared" ref="AU107:AZ107" si="312">IF(BA107=0, 0, EXP($D107*$E$2 * (($BA107/BA107) - 1)) )</f>
        <v>1</v>
      </c>
      <c r="AV107" s="693">
        <f t="shared" si="312"/>
        <v>1.0293185238308629</v>
      </c>
      <c r="AW107" s="693">
        <f t="shared" si="312"/>
        <v>0.97205864150655219</v>
      </c>
      <c r="AX107" s="693">
        <f t="shared" si="312"/>
        <v>253.3406813430822</v>
      </c>
      <c r="AY107" s="693">
        <f t="shared" si="312"/>
        <v>0.19934714280142088</v>
      </c>
      <c r="AZ107" s="693">
        <f t="shared" si="312"/>
        <v>0.21461893742599175</v>
      </c>
      <c r="BA107" s="685">
        <f>'B10 Cement 55 Tractor '!$R$165</f>
        <v>98.709504205426981</v>
      </c>
      <c r="BB107" s="685">
        <f>'B10 Cement 55 Tractor '!$R$166</f>
        <v>98.498666307755656</v>
      </c>
      <c r="BC107" s="685">
        <f>'B10 Cement 55 Tractor '!$R$167</f>
        <v>98.917150689360199</v>
      </c>
      <c r="BD107" s="685">
        <f>'B10 Cement 55 Tractor '!$R$168</f>
        <v>70.007714649433396</v>
      </c>
      <c r="BE107" s="685">
        <f>'B10 Cement 55 Tractor '!$R$169</f>
        <v>112.10107861097788</v>
      </c>
      <c r="BF107" s="685">
        <f>'B10 Cement 55 Tractor '!$R$170</f>
        <v>111.40926229208225</v>
      </c>
      <c r="BH107" s="688">
        <f t="shared" ref="BH107:BM107" si="313">IF(BN107=0, 0, EXP($D107*$E$2 * (($BN107/BN107) - 1)) )</f>
        <v>1</v>
      </c>
      <c r="BI107" s="30">
        <f t="shared" si="313"/>
        <v>0.73441599727373819</v>
      </c>
      <c r="BJ107" s="30">
        <f t="shared" si="313"/>
        <v>0.71520960139900569</v>
      </c>
      <c r="BK107" s="30">
        <f t="shared" si="313"/>
        <v>406.74261469920839</v>
      </c>
      <c r="BL107" s="30">
        <f t="shared" si="313"/>
        <v>1.3538130511891795</v>
      </c>
      <c r="BM107" s="30">
        <f t="shared" si="313"/>
        <v>1.2594769046035206</v>
      </c>
      <c r="BN107" s="492">
        <f>'B10 Cement 55 Tractor '!$W$165</f>
        <v>112.09205613237668</v>
      </c>
      <c r="BO107" s="492">
        <f>'B10 Cement 55 Tractor '!$W$166</f>
        <v>114.71503370815661</v>
      </c>
      <c r="BP107" s="492">
        <f>'B10 Cement 55 Tractor '!$W$167</f>
        <v>114.94594801200748</v>
      </c>
      <c r="BQ107" s="492">
        <f>'B10 Cement 55 Tractor '!$W$168</f>
        <v>77.569650889647974</v>
      </c>
      <c r="BR107" s="492">
        <f>'B10 Cement 55 Tractor '!$W$169</f>
        <v>109.63203433628399</v>
      </c>
      <c r="BS107" s="492">
        <f>'B10 Cement 55 Tractor '!$W$170</f>
        <v>110.20873995910229</v>
      </c>
      <c r="BU107" s="688">
        <f t="shared" ref="BU107:BZ107" si="314">IF(CA107=0, 0, EXP($D107*$E$2 * (($CA107/CA107) - 1)) )</f>
        <v>1</v>
      </c>
      <c r="BV107" s="30">
        <f t="shared" si="314"/>
        <v>0.53447680801960684</v>
      </c>
      <c r="BW107" s="30">
        <f t="shared" si="314"/>
        <v>0.52802239126211215</v>
      </c>
      <c r="BX107" s="30">
        <f t="shared" si="314"/>
        <v>988.35084952377815</v>
      </c>
      <c r="BY107" s="30">
        <f t="shared" si="314"/>
        <v>7.4972059013282308</v>
      </c>
      <c r="BZ107" s="30">
        <f t="shared" si="314"/>
        <v>7.972052649393059</v>
      </c>
      <c r="CA107" s="492">
        <f>'B10 Cement 55 Tractor '!$AB$165</f>
        <v>129.10647117417682</v>
      </c>
      <c r="CB107" s="492">
        <f>'B10 Cement 55 Tractor '!$AB$166</f>
        <v>135.38920144618746</v>
      </c>
      <c r="CC107" s="492">
        <f>'B10 Cement 55 Tractor '!$AB$167</f>
        <v>135.51709836209807</v>
      </c>
      <c r="CD107" s="492">
        <f>'B10 Cement 55 Tractor '!$AB$168</f>
        <v>85.454703633816436</v>
      </c>
      <c r="CE107" s="492">
        <f>'B10 Cement 55 Tractor '!$AB$169</f>
        <v>112.34225692903459</v>
      </c>
      <c r="CF107" s="492">
        <f>'B10 Cement 55 Tractor '!$AB$170</f>
        <v>111.89932269334659</v>
      </c>
      <c r="CH107" s="30">
        <f>IF(CK107=0, 0, EXP($D107*$E$2 * (($CN107/CK107) - 1)))</f>
        <v>674.44896895267539</v>
      </c>
      <c r="CI107" s="30">
        <f>IF(CL107=0, 0, EXP($D107*$E$2 * (($CN107/CL107) - 1)))</f>
        <v>13.351589638528207</v>
      </c>
      <c r="CJ107" s="30">
        <f>IF(CM107=0, 0, EXP($D107*$E$2 * (($CN107/CM107) - 1)))</f>
        <v>14.016421129554439</v>
      </c>
      <c r="CK107" s="492">
        <f>'B10 Cement 55 Tractor '!$AG$168</f>
        <v>99.453567036374494</v>
      </c>
      <c r="CL107" s="492">
        <f>'B10 Cement 55 Tractor '!$AG$169</f>
        <v>123.69490689541121</v>
      </c>
      <c r="CM107" s="492">
        <f>'B10 Cement 55 Tractor '!$AG$170</f>
        <v>123.32249297504754</v>
      </c>
      <c r="CN107" s="703">
        <f>'B10 Cement 55 Tractor '!$AG$165</f>
        <v>147.44098881524917</v>
      </c>
    </row>
    <row r="108" spans="1:92">
      <c r="A108" s="818"/>
      <c r="B108" s="824"/>
      <c r="C108" s="23" t="s">
        <v>458</v>
      </c>
      <c r="D108" s="29">
        <f t="shared" si="310"/>
        <v>8.8000000000000007</v>
      </c>
      <c r="E108" s="451">
        <v>9</v>
      </c>
      <c r="F108" s="31">
        <v>9</v>
      </c>
      <c r="G108" s="27">
        <v>7</v>
      </c>
      <c r="H108" s="27">
        <v>10</v>
      </c>
      <c r="I108" s="27">
        <v>9</v>
      </c>
      <c r="J108" s="27"/>
      <c r="K108" s="26"/>
      <c r="L108" s="27"/>
      <c r="M108" s="27"/>
      <c r="N108" s="27"/>
      <c r="O108" s="27"/>
      <c r="P108" s="27"/>
      <c r="Q108" s="26"/>
      <c r="R108" s="27"/>
      <c r="S108" s="27"/>
      <c r="T108" s="27"/>
      <c r="U108" s="27"/>
      <c r="V108" s="27"/>
      <c r="W108" s="26"/>
      <c r="X108" s="27"/>
      <c r="Y108" s="27"/>
      <c r="Z108" s="26"/>
      <c r="AA108" s="27"/>
      <c r="AB108" s="27"/>
      <c r="AD108" s="32">
        <v>10</v>
      </c>
      <c r="AE108" s="27"/>
      <c r="AF108" s="27"/>
      <c r="AH108" s="693">
        <f t="shared" ref="AH108:AM108" si="315">IF(AN108=0, 0, EXP($D108*$F$2 * (($AN108/AN108) - 1)) )</f>
        <v>1</v>
      </c>
      <c r="AI108" s="693">
        <f t="shared" si="315"/>
        <v>0.55434479119261582</v>
      </c>
      <c r="AJ108" s="693">
        <f t="shared" si="315"/>
        <v>0.1362185280698324</v>
      </c>
      <c r="AK108" s="693">
        <f t="shared" si="315"/>
        <v>1.0826604570559815E-2</v>
      </c>
      <c r="AL108" s="693">
        <f t="shared" si="315"/>
        <v>0.20018204181275295</v>
      </c>
      <c r="AM108" s="693">
        <f t="shared" si="315"/>
        <v>1.4217315395897137E-3</v>
      </c>
      <c r="AN108" s="678">
        <f>'B10 Cement 55 Tractor '!$M$63</f>
        <v>7183200</v>
      </c>
      <c r="AO108" s="678">
        <f>'B10 Cement 55 Tractor '!$M$81</f>
        <v>7519270.6212766413</v>
      </c>
      <c r="AP108" s="678">
        <f>'B10 Cement 55 Tractor '!$M$98</f>
        <v>8461000</v>
      </c>
      <c r="AQ108" s="678">
        <f>'B10 Cement 55 Tractor '!$M$132</f>
        <v>10931000</v>
      </c>
      <c r="AR108" s="678">
        <f>'B10 Cement 55 Tractor '!$M$115</f>
        <v>8180000</v>
      </c>
      <c r="AS108" s="682">
        <f>'B10 Cement 55 Tractor '!$M$149</f>
        <v>14271000</v>
      </c>
      <c r="AU108" s="693">
        <f t="shared" ref="AU108:AZ108" si="316">IF(BA108=0, 0, EXP($D108*$F$2 * (($BA108/BA108) - 1)) )</f>
        <v>1</v>
      </c>
      <c r="AV108" s="693">
        <f t="shared" si="316"/>
        <v>0.55434686419517043</v>
      </c>
      <c r="AW108" s="693">
        <f t="shared" si="316"/>
        <v>0.15995736252920795</v>
      </c>
      <c r="AX108" s="693">
        <f t="shared" si="316"/>
        <v>2.5754902443723211E-2</v>
      </c>
      <c r="AY108" s="693">
        <f t="shared" si="316"/>
        <v>0.3092199611327493</v>
      </c>
      <c r="AZ108" s="693">
        <f t="shared" si="316"/>
        <v>4.0177933837604509E-3</v>
      </c>
      <c r="BA108" s="678">
        <f>'B10 Cement 55 Tractor '!$R$63</f>
        <v>8327300</v>
      </c>
      <c r="BB108" s="678">
        <f>'B10 Cement 55 Tractor '!$R$81</f>
        <v>8716895.4888916668</v>
      </c>
      <c r="BC108" s="678">
        <f>'B10 Cement 55 Tractor '!$R$98</f>
        <v>9670000</v>
      </c>
      <c r="BD108" s="678">
        <f>'B10 Cement 55 Tractor '!$R$132</f>
        <v>11521000</v>
      </c>
      <c r="BE108" s="678">
        <f>'B10 Cement 55 Tractor '!$R$115</f>
        <v>9140000</v>
      </c>
      <c r="BF108" s="678">
        <f>'B10 Cement 55 Tractor '!$R$149</f>
        <v>14307000</v>
      </c>
      <c r="BH108" s="688">
        <f t="shared" ref="BH108:BM108" si="317">IF(BN108=0, 0, EXP($D108*$F$2 * (($BN108/BN108) - 1)) )</f>
        <v>1</v>
      </c>
      <c r="BI108" s="30">
        <f t="shared" si="317"/>
        <v>0.55433021058277543</v>
      </c>
      <c r="BJ108" s="30">
        <f t="shared" si="317"/>
        <v>0.18567996930417952</v>
      </c>
      <c r="BK108" s="30">
        <f t="shared" si="317"/>
        <v>4.8660097650853343E-2</v>
      </c>
      <c r="BL108" s="30">
        <f t="shared" si="317"/>
        <v>0.3422783581278892</v>
      </c>
      <c r="BM108" s="30">
        <f t="shared" si="317"/>
        <v>8.8691919307796515E-3</v>
      </c>
      <c r="BN108" s="493">
        <f>'B10 Cement 55 Tractor '!$W$63</f>
        <v>9653600</v>
      </c>
      <c r="BO108" s="493">
        <f>'B10 Cement 55 Tractor '!$W$81</f>
        <v>10105270.948654735</v>
      </c>
      <c r="BP108" s="493">
        <f>'B10 Cement 55 Tractor '!$W$98</f>
        <v>11065000</v>
      </c>
      <c r="BQ108" s="493">
        <f>'B10 Cement 55 Tractor '!$W$132</f>
        <v>12521000</v>
      </c>
      <c r="BR108" s="493">
        <f>'B10 Cement 55 Tractor '!$W$115</f>
        <v>10507000</v>
      </c>
      <c r="BS108" s="494">
        <f>'B10 Cement 55 Tractor '!$W$149</f>
        <v>15036000</v>
      </c>
      <c r="BU108" s="688">
        <f t="shared" ref="BU108:BZ108" si="318">IF(CA108=0, 0, EXP($D108*$F$2 * (($CA108/CA108) - 1)) )</f>
        <v>1</v>
      </c>
      <c r="BV108" s="30">
        <f t="shared" si="318"/>
        <v>0.5543500712242373</v>
      </c>
      <c r="BW108" s="30">
        <f t="shared" si="318"/>
        <v>0.21325659400790783</v>
      </c>
      <c r="BX108" s="30">
        <f t="shared" si="318"/>
        <v>7.6178283808829517E-2</v>
      </c>
      <c r="BY108" s="30">
        <f t="shared" si="318"/>
        <v>0.37519500600626032</v>
      </c>
      <c r="BZ108" s="30">
        <f t="shared" si="318"/>
        <v>1.8622419602833829E-2</v>
      </c>
      <c r="CA108" s="493">
        <f>'B10 Cement 55 Tractor '!$AB$63</f>
        <v>11191200</v>
      </c>
      <c r="CB108" s="493">
        <f>'B10 Cement 55 Tractor '!$AB$81</f>
        <v>11714778.624552405</v>
      </c>
      <c r="CC108" s="493">
        <f>'B10 Cement 55 Tractor '!$AB$98</f>
        <v>12675000</v>
      </c>
      <c r="CD108" s="493">
        <f>'B10 Cement 55 Tractor '!$AB$132</f>
        <v>13903000</v>
      </c>
      <c r="CE108" s="493">
        <f>'B10 Cement 55 Tractor '!$AB$115</f>
        <v>12089000</v>
      </c>
      <c r="CF108" s="494">
        <f>'B10 Cement 55 Tractor '!$AB$149</f>
        <v>16028000</v>
      </c>
      <c r="CH108" s="30">
        <f>IF(CK108=0, 0, EXP($D108*$F$2 * (($CN108/CK108) - 1)))</f>
        <v>9.6336801673312378E-2</v>
      </c>
      <c r="CI108" s="30">
        <f>IF(CL108=0, 0, EXP($D108*$F$2 * (($CN108/CL108) - 1)))</f>
        <v>0.40872960899050986</v>
      </c>
      <c r="CJ108" s="30">
        <f>IF(CM108=0, 0, EXP($D108*$F$2 * (($CN108/CM108) - 1)))</f>
        <v>2.8129412108128731E-2</v>
      </c>
      <c r="CK108" s="493">
        <f>'B10 Cement 55 Tractor '!$AG$132</f>
        <v>15769000</v>
      </c>
      <c r="CL108" s="493">
        <f>'B10 Cement 55 Tractor '!$AG$115</f>
        <v>13917000</v>
      </c>
      <c r="CM108" s="494">
        <f>'B10 Cement 55 Tractor '!$AG$149</f>
        <v>17785000</v>
      </c>
      <c r="CN108" s="17">
        <f>'B10 Cement 55 Tractor '!$AG$63</f>
        <v>12973700</v>
      </c>
    </row>
    <row r="109" spans="1:92">
      <c r="A109" s="818"/>
      <c r="B109" s="824"/>
      <c r="C109" s="23" t="s">
        <v>459</v>
      </c>
      <c r="D109" s="29">
        <f t="shared" si="310"/>
        <v>7.2</v>
      </c>
      <c r="E109" s="451">
        <v>6</v>
      </c>
      <c r="F109" s="31">
        <v>9</v>
      </c>
      <c r="G109" s="32">
        <v>8</v>
      </c>
      <c r="H109" s="32">
        <v>4</v>
      </c>
      <c r="I109" s="32">
        <v>9</v>
      </c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D109" s="32">
        <v>1</v>
      </c>
      <c r="AE109" s="32"/>
      <c r="AF109" s="32"/>
      <c r="AH109" s="693">
        <f t="shared" ref="AH109:AM110" si="319">IF(AN109=0, 0, EXP($D109*$E$2 * ((AN109/$AN109) - 1)) )</f>
        <v>1</v>
      </c>
      <c r="AI109" s="693">
        <f t="shared" si="319"/>
        <v>1</v>
      </c>
      <c r="AJ109" s="693">
        <f t="shared" si="319"/>
        <v>1</v>
      </c>
      <c r="AK109" s="693">
        <f t="shared" si="319"/>
        <v>0.51881779249624593</v>
      </c>
      <c r="AL109" s="693">
        <f t="shared" si="319"/>
        <v>1</v>
      </c>
      <c r="AM109" s="693">
        <f t="shared" si="319"/>
        <v>0.74025578754107368</v>
      </c>
      <c r="AN109" s="678">
        <f>'B10 Cement 55 Tractor '!$C$17</f>
        <v>39500</v>
      </c>
      <c r="AO109" s="678">
        <f>AN109</f>
        <v>39500</v>
      </c>
      <c r="AP109" s="678">
        <f>AN109</f>
        <v>39500</v>
      </c>
      <c r="AQ109" s="678">
        <f>'B10 Cement 55 Tractor '!C18</f>
        <v>37100</v>
      </c>
      <c r="AR109" s="678">
        <f>AN109</f>
        <v>39500</v>
      </c>
      <c r="AS109" s="682">
        <f>'B10 Cement 55 Tractor '!C19</f>
        <v>38400</v>
      </c>
      <c r="AU109" s="693">
        <f t="shared" ref="AU109:AZ110" si="320">IF(BA109=0, 0, EXP($D109*$E$2 * ((BA109/$BA109) - 1)) )</f>
        <v>1</v>
      </c>
      <c r="AV109" s="693">
        <f t="shared" si="320"/>
        <v>1</v>
      </c>
      <c r="AW109" s="693">
        <f t="shared" si="320"/>
        <v>1</v>
      </c>
      <c r="AX109" s="693">
        <f t="shared" si="320"/>
        <v>0.51881779249624593</v>
      </c>
      <c r="AY109" s="693">
        <f t="shared" si="320"/>
        <v>1</v>
      </c>
      <c r="AZ109" s="693">
        <f t="shared" si="320"/>
        <v>0.74025578754107368</v>
      </c>
      <c r="BA109" s="678">
        <f>'B10 Cement 55 Tractor '!$C$17</f>
        <v>39500</v>
      </c>
      <c r="BB109" s="678">
        <f>BA109</f>
        <v>39500</v>
      </c>
      <c r="BC109" s="678">
        <f>BA109</f>
        <v>39500</v>
      </c>
      <c r="BD109" s="678">
        <f>'B10 Cement 55 Tractor '!C18</f>
        <v>37100</v>
      </c>
      <c r="BE109" s="678">
        <f>BA109</f>
        <v>39500</v>
      </c>
      <c r="BF109" s="678">
        <f>'B10 Cement 55 Tractor '!C19</f>
        <v>38400</v>
      </c>
      <c r="BH109" s="688">
        <f t="shared" ref="BH109:BM110" si="321">IF(BN109=0, 0, EXP($D109*$E$2 * ((BN109/$BN109) - 1)) )</f>
        <v>1</v>
      </c>
      <c r="BI109" s="30">
        <f t="shared" si="321"/>
        <v>1</v>
      </c>
      <c r="BJ109" s="30">
        <f t="shared" si="321"/>
        <v>1</v>
      </c>
      <c r="BK109" s="30">
        <f t="shared" si="321"/>
        <v>0.51881779249624593</v>
      </c>
      <c r="BL109" s="30">
        <f t="shared" si="321"/>
        <v>1</v>
      </c>
      <c r="BM109" s="30">
        <f t="shared" si="321"/>
        <v>0.74025578754107368</v>
      </c>
      <c r="BN109" s="493">
        <f>'B10 Cement 55 Tractor '!C17</f>
        <v>39500</v>
      </c>
      <c r="BO109" s="493">
        <f>BN109</f>
        <v>39500</v>
      </c>
      <c r="BP109" s="493">
        <f>BN109</f>
        <v>39500</v>
      </c>
      <c r="BQ109" s="493">
        <f>'B10 Cement 55 Tractor '!C18</f>
        <v>37100</v>
      </c>
      <c r="BR109" s="493">
        <f>BN109</f>
        <v>39500</v>
      </c>
      <c r="BS109" s="493">
        <f>'B10 Cement 55 Tractor '!C19</f>
        <v>38400</v>
      </c>
      <c r="BU109" s="688">
        <f t="shared" ref="BU109:BZ110" si="322">IF(CA109=0, 0, EXP($D109*$E$2 * ((CA109/$CA109) - 1)) )</f>
        <v>1</v>
      </c>
      <c r="BV109" s="30">
        <f t="shared" si="322"/>
        <v>1</v>
      </c>
      <c r="BW109" s="30">
        <f t="shared" si="322"/>
        <v>1</v>
      </c>
      <c r="BX109" s="30">
        <f t="shared" si="322"/>
        <v>0.51881779249624593</v>
      </c>
      <c r="BY109" s="30">
        <f t="shared" si="322"/>
        <v>1</v>
      </c>
      <c r="BZ109" s="30">
        <f t="shared" si="322"/>
        <v>0.74025578754107368</v>
      </c>
      <c r="CA109" s="493">
        <f>'B10 Cement 55 Tractor '!C17</f>
        <v>39500</v>
      </c>
      <c r="CB109" s="493">
        <f>CA109</f>
        <v>39500</v>
      </c>
      <c r="CC109" s="493">
        <f>CA109</f>
        <v>39500</v>
      </c>
      <c r="CD109" s="493">
        <f>'B10 Cement 55 Tractor '!C18</f>
        <v>37100</v>
      </c>
      <c r="CE109" s="493">
        <f>CA109</f>
        <v>39500</v>
      </c>
      <c r="CF109" s="493">
        <f>'B10 Cement 55 Tractor '!C19</f>
        <v>38400</v>
      </c>
      <c r="CH109" s="30">
        <f t="shared" ref="CH109:CJ110" si="323">IF(CK109=0, 0, EXP($D109*$E$2 * ((CK109/$CN109) - 1)))</f>
        <v>0.51881779249624593</v>
      </c>
      <c r="CI109" s="30">
        <f t="shared" si="323"/>
        <v>1</v>
      </c>
      <c r="CJ109" s="30">
        <f t="shared" si="323"/>
        <v>0.74025578754107368</v>
      </c>
      <c r="CK109" s="493">
        <f t="shared" ref="CK109:CM111" si="324">BQ109</f>
        <v>37100</v>
      </c>
      <c r="CL109" s="493">
        <f t="shared" si="324"/>
        <v>39500</v>
      </c>
      <c r="CM109" s="493">
        <f t="shared" si="324"/>
        <v>38400</v>
      </c>
      <c r="CN109" s="17">
        <f>'B10 Cement 55 Tractor '!C17</f>
        <v>39500</v>
      </c>
    </row>
    <row r="110" spans="1:92">
      <c r="A110" s="818"/>
      <c r="B110" s="824"/>
      <c r="C110" s="23" t="s">
        <v>460</v>
      </c>
      <c r="D110" s="29">
        <f t="shared" si="310"/>
        <v>5.4</v>
      </c>
      <c r="E110" s="451">
        <v>3</v>
      </c>
      <c r="F110" s="24">
        <v>9</v>
      </c>
      <c r="G110" s="32">
        <v>4</v>
      </c>
      <c r="H110" s="32">
        <v>6</v>
      </c>
      <c r="I110" s="32">
        <v>5</v>
      </c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D110" s="32">
        <v>8</v>
      </c>
      <c r="AE110" s="32"/>
      <c r="AF110" s="32"/>
      <c r="AH110" s="693">
        <f t="shared" si="319"/>
        <v>1</v>
      </c>
      <c r="AI110" s="693">
        <f t="shared" si="319"/>
        <v>0.66697681085847416</v>
      </c>
      <c r="AJ110" s="693">
        <f t="shared" si="319"/>
        <v>0.66697681085847416</v>
      </c>
      <c r="AK110" s="693">
        <f t="shared" si="319"/>
        <v>3.3702940643216048</v>
      </c>
      <c r="AL110" s="693">
        <f t="shared" si="319"/>
        <v>0.66697681085847416</v>
      </c>
      <c r="AM110" s="693">
        <f t="shared" si="319"/>
        <v>3.3702940643216048</v>
      </c>
      <c r="AN110" s="679">
        <f t="shared" ref="AN110:AS111" si="325">AN11</f>
        <v>1</v>
      </c>
      <c r="AO110" s="679">
        <f t="shared" si="325"/>
        <v>0.95</v>
      </c>
      <c r="AP110" s="679">
        <f t="shared" si="325"/>
        <v>0.95</v>
      </c>
      <c r="AQ110" s="679">
        <f t="shared" si="325"/>
        <v>1.1499999999999999</v>
      </c>
      <c r="AR110" s="679">
        <f t="shared" si="325"/>
        <v>0.95</v>
      </c>
      <c r="AS110" s="683">
        <f t="shared" si="325"/>
        <v>1.1499999999999999</v>
      </c>
      <c r="AU110" s="693">
        <f t="shared" si="320"/>
        <v>1</v>
      </c>
      <c r="AV110" s="693">
        <f t="shared" si="320"/>
        <v>0.66697681085847416</v>
      </c>
      <c r="AW110" s="693">
        <f t="shared" si="320"/>
        <v>0.66697681085847416</v>
      </c>
      <c r="AX110" s="693">
        <f t="shared" si="320"/>
        <v>3.3702940643216048</v>
      </c>
      <c r="AY110" s="693">
        <f t="shared" si="320"/>
        <v>0.66697681085847416</v>
      </c>
      <c r="AZ110" s="693">
        <f t="shared" si="320"/>
        <v>3.3702940643216048</v>
      </c>
      <c r="BA110" s="679">
        <f t="shared" ref="BA110:BF111" si="326">BA11</f>
        <v>1</v>
      </c>
      <c r="BB110" s="679">
        <f t="shared" si="326"/>
        <v>0.95</v>
      </c>
      <c r="BC110" s="679">
        <f t="shared" si="326"/>
        <v>0.95</v>
      </c>
      <c r="BD110" s="679">
        <f t="shared" si="326"/>
        <v>1.1499999999999999</v>
      </c>
      <c r="BE110" s="679">
        <f t="shared" si="326"/>
        <v>0.95</v>
      </c>
      <c r="BF110" s="679">
        <f t="shared" si="326"/>
        <v>1.1499999999999999</v>
      </c>
      <c r="BH110" s="688">
        <f t="shared" si="321"/>
        <v>1</v>
      </c>
      <c r="BI110" s="30">
        <f t="shared" si="321"/>
        <v>0.66697681085847416</v>
      </c>
      <c r="BJ110" s="30">
        <f t="shared" si="321"/>
        <v>0.66697681085847416</v>
      </c>
      <c r="BK110" s="30">
        <f t="shared" si="321"/>
        <v>3.3702940643216048</v>
      </c>
      <c r="BL110" s="30">
        <f t="shared" si="321"/>
        <v>0.66697681085847416</v>
      </c>
      <c r="BM110" s="30">
        <f t="shared" si="321"/>
        <v>3.3702940643216048</v>
      </c>
      <c r="BN110" s="490">
        <f t="shared" ref="BN110:BS112" si="327">BN99</f>
        <v>1</v>
      </c>
      <c r="BO110" s="490">
        <f t="shared" si="327"/>
        <v>0.95</v>
      </c>
      <c r="BP110" s="490">
        <f t="shared" si="327"/>
        <v>0.95</v>
      </c>
      <c r="BQ110" s="490">
        <f t="shared" si="327"/>
        <v>1.1499999999999999</v>
      </c>
      <c r="BR110" s="490">
        <f t="shared" si="327"/>
        <v>0.95</v>
      </c>
      <c r="BS110" s="490">
        <f t="shared" si="327"/>
        <v>1.1499999999999999</v>
      </c>
      <c r="BU110" s="688">
        <f t="shared" si="322"/>
        <v>1</v>
      </c>
      <c r="BV110" s="30">
        <f t="shared" si="322"/>
        <v>0.66697681085847416</v>
      </c>
      <c r="BW110" s="30">
        <f t="shared" si="322"/>
        <v>0.66697681085847416</v>
      </c>
      <c r="BX110" s="30">
        <f t="shared" si="322"/>
        <v>3.3702940643216048</v>
      </c>
      <c r="BY110" s="30">
        <f t="shared" si="322"/>
        <v>0.66697681085847416</v>
      </c>
      <c r="BZ110" s="30">
        <f t="shared" si="322"/>
        <v>3.3702940643216048</v>
      </c>
      <c r="CA110" s="490">
        <f t="shared" ref="CA110:CF111" si="328">CA99</f>
        <v>1</v>
      </c>
      <c r="CB110" s="490">
        <f t="shared" si="328"/>
        <v>0.95</v>
      </c>
      <c r="CC110" s="490">
        <f t="shared" si="328"/>
        <v>0.95</v>
      </c>
      <c r="CD110" s="490">
        <f t="shared" si="328"/>
        <v>1.1499999999999999</v>
      </c>
      <c r="CE110" s="490">
        <f t="shared" si="328"/>
        <v>0.95</v>
      </c>
      <c r="CF110" s="490">
        <f t="shared" si="328"/>
        <v>1.1499999999999999</v>
      </c>
      <c r="CH110" s="30">
        <f t="shared" si="323"/>
        <v>3.3702940643216048</v>
      </c>
      <c r="CI110" s="30">
        <f t="shared" si="323"/>
        <v>0.66697681085847416</v>
      </c>
      <c r="CJ110" s="30">
        <f t="shared" si="323"/>
        <v>3.3702940643216048</v>
      </c>
      <c r="CK110" s="490">
        <f t="shared" si="324"/>
        <v>1.1499999999999999</v>
      </c>
      <c r="CL110" s="490">
        <f t="shared" si="324"/>
        <v>0.95</v>
      </c>
      <c r="CM110" s="490">
        <f t="shared" si="324"/>
        <v>1.1499999999999999</v>
      </c>
      <c r="CN110" s="704">
        <f>CN99</f>
        <v>1</v>
      </c>
    </row>
    <row r="111" spans="1:92">
      <c r="A111" s="818"/>
      <c r="B111" s="824"/>
      <c r="C111" s="34" t="s">
        <v>461</v>
      </c>
      <c r="D111" s="29">
        <f t="shared" si="310"/>
        <v>8</v>
      </c>
      <c r="E111" s="36">
        <v>8</v>
      </c>
      <c r="F111" s="37">
        <v>10</v>
      </c>
      <c r="G111" s="26">
        <v>8</v>
      </c>
      <c r="H111" s="26">
        <v>9</v>
      </c>
      <c r="I111" s="26">
        <v>5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D111" s="26">
        <v>6</v>
      </c>
      <c r="AE111" s="26"/>
      <c r="AF111" s="26"/>
      <c r="AH111" s="693">
        <f t="shared" ref="AH111:AM111" si="329">IF(AN111=0, 0, EXP($D111*$E$2  * (($AN111/AN111) - 1)) )</f>
        <v>1</v>
      </c>
      <c r="AI111" s="693">
        <f t="shared" si="329"/>
        <v>0.56471812200775884</v>
      </c>
      <c r="AJ111" s="693">
        <f t="shared" si="329"/>
        <v>0.33591098123916224</v>
      </c>
      <c r="AK111" s="693">
        <f t="shared" si="329"/>
        <v>0.13533528323661276</v>
      </c>
      <c r="AL111" s="693">
        <f t="shared" si="329"/>
        <v>1</v>
      </c>
      <c r="AM111" s="693">
        <f t="shared" si="329"/>
        <v>1</v>
      </c>
      <c r="AN111" s="679">
        <f t="shared" si="325"/>
        <v>1</v>
      </c>
      <c r="AO111" s="679">
        <f t="shared" si="325"/>
        <v>1.05</v>
      </c>
      <c r="AP111" s="679">
        <f t="shared" si="325"/>
        <v>1.1000000000000001</v>
      </c>
      <c r="AQ111" s="679">
        <f t="shared" si="325"/>
        <v>1.2</v>
      </c>
      <c r="AR111" s="679">
        <f t="shared" si="325"/>
        <v>1</v>
      </c>
      <c r="AS111" s="683">
        <f t="shared" si="325"/>
        <v>1</v>
      </c>
      <c r="AU111" s="693">
        <f t="shared" ref="AU111:AZ111" si="330">IF(BA111=0, 0, EXP($D111*$E$2 * (($BA111/BA111) - 1)) )</f>
        <v>1</v>
      </c>
      <c r="AV111" s="693">
        <f t="shared" si="330"/>
        <v>0.56471812200775884</v>
      </c>
      <c r="AW111" s="693">
        <f t="shared" si="330"/>
        <v>0.33591098123916224</v>
      </c>
      <c r="AX111" s="693">
        <f t="shared" si="330"/>
        <v>0.13533528323661276</v>
      </c>
      <c r="AY111" s="693">
        <f t="shared" si="330"/>
        <v>1</v>
      </c>
      <c r="AZ111" s="693">
        <f t="shared" si="330"/>
        <v>1</v>
      </c>
      <c r="BA111" s="679">
        <f t="shared" si="326"/>
        <v>1</v>
      </c>
      <c r="BB111" s="679">
        <f t="shared" si="326"/>
        <v>1.05</v>
      </c>
      <c r="BC111" s="679">
        <f t="shared" si="326"/>
        <v>1.1000000000000001</v>
      </c>
      <c r="BD111" s="679">
        <f t="shared" si="326"/>
        <v>1.2</v>
      </c>
      <c r="BE111" s="679">
        <f t="shared" si="326"/>
        <v>1</v>
      </c>
      <c r="BF111" s="679">
        <f t="shared" si="326"/>
        <v>1</v>
      </c>
      <c r="BH111" s="688">
        <f t="shared" ref="BH111:BM111" si="331">IF(BN111=0, 0, EXP($D111*$E$2 * (($BN111/BN111) - 1)) )</f>
        <v>1</v>
      </c>
      <c r="BI111" s="30">
        <f t="shared" si="331"/>
        <v>0.56471812200775884</v>
      </c>
      <c r="BJ111" s="30">
        <f t="shared" si="331"/>
        <v>0.33591098123916224</v>
      </c>
      <c r="BK111" s="30">
        <f t="shared" si="331"/>
        <v>0.13533528323661276</v>
      </c>
      <c r="BL111" s="30">
        <f t="shared" si="331"/>
        <v>1</v>
      </c>
      <c r="BM111" s="30">
        <f t="shared" si="331"/>
        <v>1</v>
      </c>
      <c r="BN111" s="490">
        <f t="shared" si="327"/>
        <v>1</v>
      </c>
      <c r="BO111" s="490">
        <f t="shared" si="327"/>
        <v>1.05</v>
      </c>
      <c r="BP111" s="490">
        <f t="shared" si="327"/>
        <v>1.1000000000000001</v>
      </c>
      <c r="BQ111" s="490">
        <f t="shared" si="327"/>
        <v>1.2</v>
      </c>
      <c r="BR111" s="490">
        <f t="shared" si="327"/>
        <v>1</v>
      </c>
      <c r="BS111" s="490">
        <f t="shared" si="327"/>
        <v>1</v>
      </c>
      <c r="BU111" s="688">
        <f t="shared" ref="BU111:BZ111" si="332">IF(CA111=0, 0, EXP($D111*$E$2 * (($CA111/CA111) - 1)) )</f>
        <v>1</v>
      </c>
      <c r="BV111" s="30">
        <f t="shared" si="332"/>
        <v>0.56471812200775884</v>
      </c>
      <c r="BW111" s="30">
        <f t="shared" si="332"/>
        <v>0.33591098123916224</v>
      </c>
      <c r="BX111" s="30">
        <f t="shared" si="332"/>
        <v>0.13533528323661276</v>
      </c>
      <c r="BY111" s="30">
        <f t="shared" si="332"/>
        <v>1</v>
      </c>
      <c r="BZ111" s="30">
        <f t="shared" si="332"/>
        <v>1</v>
      </c>
      <c r="CA111" s="490">
        <f t="shared" si="328"/>
        <v>1</v>
      </c>
      <c r="CB111" s="490">
        <f t="shared" si="328"/>
        <v>1.05</v>
      </c>
      <c r="CC111" s="490">
        <f t="shared" si="328"/>
        <v>1.1000000000000001</v>
      </c>
      <c r="CD111" s="490">
        <f t="shared" si="328"/>
        <v>1.2</v>
      </c>
      <c r="CE111" s="490">
        <f t="shared" si="328"/>
        <v>1</v>
      </c>
      <c r="CF111" s="490">
        <f t="shared" si="328"/>
        <v>1</v>
      </c>
      <c r="CH111" s="30">
        <f>IF(CK111=0, 0, EXP($D111*$E$2 * (($CN111/CK111) - 1)))</f>
        <v>0.13533528323661276</v>
      </c>
      <c r="CI111" s="30">
        <f>IF(CL111=0, 0, EXP($D111*$E$2 * (($CN111/CL111) - 1)))</f>
        <v>1</v>
      </c>
      <c r="CJ111" s="30">
        <f>IF(CM111=0, 0, EXP($D111*$E$2 * (($CN111/CM111) - 1)))</f>
        <v>1</v>
      </c>
      <c r="CK111" s="490">
        <f t="shared" si="324"/>
        <v>1.2</v>
      </c>
      <c r="CL111" s="490">
        <f t="shared" si="324"/>
        <v>1</v>
      </c>
      <c r="CM111" s="490">
        <f t="shared" si="324"/>
        <v>1</v>
      </c>
      <c r="CN111" s="704">
        <f>CN100</f>
        <v>1</v>
      </c>
    </row>
    <row r="112" spans="1:92">
      <c r="A112" s="818"/>
      <c r="B112" s="824"/>
      <c r="C112" s="23" t="s">
        <v>462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64"/>
      <c r="AH112" s="23"/>
      <c r="AI112" s="23"/>
      <c r="AJ112" s="23"/>
      <c r="AK112" s="23"/>
      <c r="AL112" s="23"/>
      <c r="AM112" s="23"/>
      <c r="AN112" s="680">
        <f t="shared" ref="AN112:AS112" si="333">AN101</f>
        <v>2025</v>
      </c>
      <c r="AO112" s="680">
        <f t="shared" si="333"/>
        <v>2025</v>
      </c>
      <c r="AP112" s="680">
        <f t="shared" si="333"/>
        <v>2025</v>
      </c>
      <c r="AQ112" s="680">
        <f t="shared" si="333"/>
        <v>2025</v>
      </c>
      <c r="AR112" s="680">
        <f t="shared" si="333"/>
        <v>2028</v>
      </c>
      <c r="AS112" s="696">
        <f t="shared" si="333"/>
        <v>2030</v>
      </c>
      <c r="AU112" s="23"/>
      <c r="AV112" s="23"/>
      <c r="AW112" s="23"/>
      <c r="AX112" s="23"/>
      <c r="AY112" s="23"/>
      <c r="AZ112" s="23"/>
      <c r="BA112" s="680">
        <f t="shared" ref="BA112:BF112" si="334">BA101</f>
        <v>2025</v>
      </c>
      <c r="BB112" s="680">
        <f t="shared" si="334"/>
        <v>2025</v>
      </c>
      <c r="BC112" s="680">
        <f t="shared" si="334"/>
        <v>2025</v>
      </c>
      <c r="BD112" s="680">
        <f t="shared" si="334"/>
        <v>2025</v>
      </c>
      <c r="BE112" s="680">
        <f t="shared" si="334"/>
        <v>2028</v>
      </c>
      <c r="BF112" s="680">
        <f t="shared" si="334"/>
        <v>2030</v>
      </c>
      <c r="BH112" s="681"/>
      <c r="BI112" s="23"/>
      <c r="BJ112" s="23"/>
      <c r="BK112" s="23"/>
      <c r="BL112" s="23"/>
      <c r="BM112" s="23"/>
      <c r="BN112" s="491">
        <f t="shared" ref="BN112" si="335">BN101</f>
        <v>2025</v>
      </c>
      <c r="BO112" s="491">
        <f t="shared" si="327"/>
        <v>2025</v>
      </c>
      <c r="BP112" s="491">
        <f t="shared" si="327"/>
        <v>2025</v>
      </c>
      <c r="BQ112" s="491">
        <f t="shared" si="327"/>
        <v>2025</v>
      </c>
      <c r="BR112" s="491">
        <f t="shared" si="327"/>
        <v>2028</v>
      </c>
      <c r="BS112" s="491">
        <f t="shared" si="327"/>
        <v>2030</v>
      </c>
      <c r="BU112" s="681"/>
      <c r="BV112" s="23"/>
      <c r="BW112" s="23"/>
      <c r="BX112" s="23"/>
      <c r="BY112" s="23"/>
      <c r="BZ112" s="23"/>
      <c r="CA112" s="491">
        <f>BN112</f>
        <v>2025</v>
      </c>
      <c r="CB112" s="491">
        <f t="shared" ref="CB112:CB114" si="336">BO112</f>
        <v>2025</v>
      </c>
      <c r="CC112" s="491">
        <f t="shared" ref="CC112:CC114" si="337">BP112</f>
        <v>2025</v>
      </c>
      <c r="CD112" s="491">
        <f t="shared" ref="CD112:CD114" si="338">BQ112</f>
        <v>2025</v>
      </c>
      <c r="CE112" s="491">
        <f t="shared" ref="CE112:CE114" si="339">BR112</f>
        <v>2028</v>
      </c>
      <c r="CF112" s="491">
        <f t="shared" ref="CF112:CF114" si="340">BS112</f>
        <v>2030</v>
      </c>
      <c r="CN112" s="17">
        <f>CN101</f>
        <v>2025</v>
      </c>
    </row>
    <row r="113" spans="1:92">
      <c r="A113" s="818"/>
      <c r="B113" s="824"/>
      <c r="C113" s="23" t="s">
        <v>463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6"/>
      <c r="AE113" s="23"/>
      <c r="AF113" s="23"/>
      <c r="AG113" s="64"/>
      <c r="AH113" s="23">
        <v>1</v>
      </c>
      <c r="AI113" s="701">
        <f>$BH113-($BO113-$BN113)/($BO$1-$BN113)</f>
        <v>0.85</v>
      </c>
      <c r="AJ113" s="701">
        <f>$BH113-($BP113-$BN113)/($BO$1-$BN113)</f>
        <v>0.85</v>
      </c>
      <c r="AK113" s="701">
        <f>$BH113-($BQ113-$BN113)/($BO$1-$BN113)</f>
        <v>0.9</v>
      </c>
      <c r="AL113" s="701">
        <f>$BH113-($BR113-$BN113)/($BO$1-$BN113)</f>
        <v>0.55000000000000004</v>
      </c>
      <c r="AM113" s="701">
        <f>$BH113-($BS113-$BN112)/($BO$1-$BN112)</f>
        <v>0.35</v>
      </c>
      <c r="AN113" s="680">
        <f>'No change with year'!J73</f>
        <v>2025</v>
      </c>
      <c r="AO113" s="680">
        <f>'No change with year'!K73</f>
        <v>2028</v>
      </c>
      <c r="AP113" s="680">
        <f>'No change with year'!L73</f>
        <v>2028</v>
      </c>
      <c r="AQ113" s="680">
        <f>'No change with year'!M73</f>
        <v>2027</v>
      </c>
      <c r="AR113" s="680">
        <f>'No change with year'!N73</f>
        <v>2034</v>
      </c>
      <c r="AS113" s="696">
        <f>'No change with year'!O73</f>
        <v>2038</v>
      </c>
      <c r="AU113" s="23">
        <v>1</v>
      </c>
      <c r="AV113" s="701">
        <f>$BH113-($BO113-$BN113)/($BO$1-$BN113)</f>
        <v>0.85</v>
      </c>
      <c r="AW113" s="701">
        <f>$BH113-($BP113-$BN113)/($BO$1-$BN113)</f>
        <v>0.85</v>
      </c>
      <c r="AX113" s="701">
        <f>$BH113-($BQ113-$BN113)/($BO$1-$BN113)</f>
        <v>0.9</v>
      </c>
      <c r="AY113" s="701">
        <f>$BH113-($BR113-$BN113)/($BO$1-$BN113)</f>
        <v>0.55000000000000004</v>
      </c>
      <c r="AZ113" s="701">
        <f>$BH113-($BS113-$BN112)/($BO$1-$BN112)</f>
        <v>0.35</v>
      </c>
      <c r="BA113" s="680">
        <f>'No change with year'!J73</f>
        <v>2025</v>
      </c>
      <c r="BB113" s="680">
        <f>'No change with year'!K73</f>
        <v>2028</v>
      </c>
      <c r="BC113" s="680">
        <f>'No change with year'!L73</f>
        <v>2028</v>
      </c>
      <c r="BD113" s="680">
        <f>'No change with year'!M73</f>
        <v>2027</v>
      </c>
      <c r="BE113" s="680">
        <f>'No change with year'!N73</f>
        <v>2034</v>
      </c>
      <c r="BF113" s="680">
        <f>'No change with year'!O73</f>
        <v>2038</v>
      </c>
      <c r="BH113" s="688">
        <v>1</v>
      </c>
      <c r="BI113" s="30">
        <f>$BH113-($BO113-$BN113)/($BO$1-$BN113)</f>
        <v>0.85</v>
      </c>
      <c r="BJ113" s="30">
        <f>$BH113-($BP113-$BN113)/($BO$1-$BN113)</f>
        <v>0.85</v>
      </c>
      <c r="BK113" s="30">
        <f>$BH113-($BQ113-$BN113)/($BO$1-$BN113)</f>
        <v>0.9</v>
      </c>
      <c r="BL113" s="30">
        <f>$BH113-($BR113-$BN113)/($BO$1-$BN113)</f>
        <v>0.55000000000000004</v>
      </c>
      <c r="BM113" s="30">
        <f>$BH113-($BS113-$BN112)/($BO$1-$BN112)</f>
        <v>0.35</v>
      </c>
      <c r="BN113" s="491">
        <f>'No change with year'!J73</f>
        <v>2025</v>
      </c>
      <c r="BO113" s="491">
        <f>'No change with year'!K73</f>
        <v>2028</v>
      </c>
      <c r="BP113" s="491">
        <f>'No change with year'!L73</f>
        <v>2028</v>
      </c>
      <c r="BQ113" s="491">
        <f>'No change with year'!M73</f>
        <v>2027</v>
      </c>
      <c r="BR113" s="491">
        <f>'No change with year'!N73</f>
        <v>2034</v>
      </c>
      <c r="BS113" s="491">
        <f>'No change with year'!O73</f>
        <v>2038</v>
      </c>
      <c r="BU113" s="688">
        <v>1</v>
      </c>
      <c r="BV113" s="30">
        <f>$BU113-($CB113-$CA113)/($CB$1-$CA113)</f>
        <v>0.88</v>
      </c>
      <c r="BW113" s="30">
        <f>$BU113-($CC113-$CA113)/($CB$1-$CA113)</f>
        <v>0.88</v>
      </c>
      <c r="BX113" s="30">
        <f>$BU113-($CD113-$CA113)/($CB$1-$CA113)</f>
        <v>0.92</v>
      </c>
      <c r="BY113" s="30">
        <f>$BU113-($CE113-$CA113)/($CB$1-$CA113)</f>
        <v>0.64</v>
      </c>
      <c r="BZ113" s="30">
        <f>$BU113-($CF113-$CA112)/($CB$1-$CA112)</f>
        <v>0.48</v>
      </c>
      <c r="CA113" s="491">
        <f>BN113</f>
        <v>2025</v>
      </c>
      <c r="CB113" s="491">
        <f t="shared" si="336"/>
        <v>2028</v>
      </c>
      <c r="CC113" s="491">
        <f t="shared" si="337"/>
        <v>2028</v>
      </c>
      <c r="CD113" s="491">
        <f t="shared" si="338"/>
        <v>2027</v>
      </c>
      <c r="CE113" s="491">
        <f t="shared" si="339"/>
        <v>2034</v>
      </c>
      <c r="CF113" s="491">
        <f t="shared" si="340"/>
        <v>2038</v>
      </c>
      <c r="CN113" s="17">
        <f>'No change with year'!J73</f>
        <v>2025</v>
      </c>
    </row>
    <row r="114" spans="1:92">
      <c r="A114" s="818"/>
      <c r="B114" s="823"/>
      <c r="C114" s="23" t="s">
        <v>464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6"/>
      <c r="AE114" s="23"/>
      <c r="AF114" s="23"/>
      <c r="AG114" s="64"/>
      <c r="AH114" s="694">
        <v>1</v>
      </c>
      <c r="AI114" s="694">
        <f>$BH114-($BO113-$BN113)/($BO114-$BN113)+($BO$1-$BO114)/($BO$1-$BN113)</f>
        <v>0.15000000000000002</v>
      </c>
      <c r="AJ114" s="694">
        <f>$BH114-($BP113-$BN113)/($BP114-$BN113)+($BO$1-$BP114)/($BO$1-$BN113)</f>
        <v>0.22499999999999998</v>
      </c>
      <c r="AK114" s="694">
        <f>$BH114-($BQ113-$BN113)/($BQ114-$BN113)+($BO$1-$BQ114)/($BO$1-$BN113)</f>
        <v>0.3</v>
      </c>
      <c r="AL114" s="694">
        <f>$BH114-($BR113-$BN113)/($BR114-$BN113)+($BO$1-$BR114)/($BO$1-$BN113)</f>
        <v>-0.37941176470588234</v>
      </c>
      <c r="AM114" s="694">
        <f>$BH114-($BS113-$BN112)/($BS114-$BN112)+($BO$1-$BS114)/($BO$1-$BN112)</f>
        <v>-0.65</v>
      </c>
      <c r="AN114" s="687">
        <f t="shared" ref="AN114:AS114" si="341">AN103</f>
        <v>2025</v>
      </c>
      <c r="AO114" s="687">
        <f t="shared" si="341"/>
        <v>2030</v>
      </c>
      <c r="AP114" s="687">
        <f t="shared" si="341"/>
        <v>2033</v>
      </c>
      <c r="AQ114" s="687">
        <f t="shared" si="341"/>
        <v>2035</v>
      </c>
      <c r="AR114" s="687">
        <f t="shared" si="341"/>
        <v>2042</v>
      </c>
      <c r="AS114" s="697">
        <f t="shared" si="341"/>
        <v>2045</v>
      </c>
      <c r="AU114" s="694">
        <v>1</v>
      </c>
      <c r="AV114" s="694">
        <f>$BH114-($BO113-$BN113)/($BO114-$BN113)+($BO$1-$BO114)/($BO$1-$BN113)</f>
        <v>0.15000000000000002</v>
      </c>
      <c r="AW114" s="694">
        <f>$BH114-($BP113-$BN113)/($BP114-$BN113)+($BO$1-$BP114)/($BO$1-$BN113)</f>
        <v>0.22499999999999998</v>
      </c>
      <c r="AX114" s="694">
        <f>$BH114-($BQ113-$BN113)/($BQ114-$BN113)+($BO$1-$BQ114)/($BO$1-$BN113)</f>
        <v>0.3</v>
      </c>
      <c r="AY114" s="694">
        <f>$BH114-($BR113-$BN113)/($BR114-$BN113)+($BO$1-$BR114)/($BO$1-$BN113)</f>
        <v>-0.37941176470588234</v>
      </c>
      <c r="AZ114" s="694">
        <f>$BH114-($BS113-$BN112)/($BS114-$BN112)+($BO$1-$BS114)/($BO$1-$BN112)</f>
        <v>-0.65</v>
      </c>
      <c r="BA114" s="687">
        <f t="shared" ref="BA114:BF114" si="342">BA103</f>
        <v>2025</v>
      </c>
      <c r="BB114" s="687">
        <f t="shared" si="342"/>
        <v>2030</v>
      </c>
      <c r="BC114" s="687">
        <f t="shared" si="342"/>
        <v>2033</v>
      </c>
      <c r="BD114" s="687">
        <f t="shared" si="342"/>
        <v>2035</v>
      </c>
      <c r="BE114" s="687">
        <f t="shared" si="342"/>
        <v>2042</v>
      </c>
      <c r="BF114" s="687">
        <f t="shared" si="342"/>
        <v>2045</v>
      </c>
      <c r="BH114" s="681"/>
      <c r="BI114" s="23"/>
      <c r="BJ114" s="23"/>
      <c r="BK114" s="23"/>
      <c r="BL114" s="23"/>
      <c r="BM114" s="23"/>
      <c r="BN114" s="491">
        <f t="shared" ref="BN114" si="343">BN103</f>
        <v>2025</v>
      </c>
      <c r="BO114" s="491">
        <f t="shared" ref="BO114:BS114" si="344">BO103</f>
        <v>2030</v>
      </c>
      <c r="BP114" s="491">
        <f t="shared" si="344"/>
        <v>2033</v>
      </c>
      <c r="BQ114" s="491">
        <f t="shared" si="344"/>
        <v>2035</v>
      </c>
      <c r="BR114" s="491">
        <f t="shared" si="344"/>
        <v>2042</v>
      </c>
      <c r="BS114" s="491">
        <f t="shared" si="344"/>
        <v>2045</v>
      </c>
      <c r="BU114" s="688">
        <v>1</v>
      </c>
      <c r="BV114" s="30">
        <f>$BU114-($CB114-$CA114)/($CB$1-$CA114)</f>
        <v>0.8</v>
      </c>
      <c r="BW114" s="30">
        <f>$BU114-($CC114-$CA114)/($CB$1-$CA114)</f>
        <v>0.67999999999999994</v>
      </c>
      <c r="BX114" s="30">
        <f>$BU114-($CD114-$CA114)/($CB$1-$CA114)</f>
        <v>0.6</v>
      </c>
      <c r="BY114" s="30">
        <f>$BU114-($CE114-$CA114)/($CB$1-$CA114)</f>
        <v>0.31999999999999995</v>
      </c>
      <c r="BZ114" s="30">
        <f>$BU114-($CF114-$CA113)/($CB$1-$CA113)</f>
        <v>0.19999999999999996</v>
      </c>
      <c r="CA114" s="491">
        <f>BN114</f>
        <v>2025</v>
      </c>
      <c r="CB114" s="491">
        <f t="shared" si="336"/>
        <v>2030</v>
      </c>
      <c r="CC114" s="491">
        <f t="shared" si="337"/>
        <v>2033</v>
      </c>
      <c r="CD114" s="491">
        <f t="shared" si="338"/>
        <v>2035</v>
      </c>
      <c r="CE114" s="491">
        <f t="shared" si="339"/>
        <v>2042</v>
      </c>
      <c r="CF114" s="491">
        <f t="shared" si="340"/>
        <v>2045</v>
      </c>
      <c r="CH114" s="30">
        <f>CD114/CD114</f>
        <v>1</v>
      </c>
      <c r="CI114" s="30">
        <f>1-(CE114-CD114)/($CK$1-CD114)</f>
        <v>0.65</v>
      </c>
      <c r="CJ114" s="30">
        <f>1-(CF114-CD114)/($CK$1-CD114)</f>
        <v>0.5</v>
      </c>
      <c r="CK114" s="936" t="s">
        <v>1059</v>
      </c>
      <c r="CL114" s="937"/>
      <c r="CM114" s="937"/>
      <c r="CN114" s="17">
        <f>CN103</f>
        <v>2025</v>
      </c>
    </row>
    <row r="115" spans="1:92">
      <c r="A115" s="818">
        <v>11</v>
      </c>
      <c r="B115" s="822" t="s">
        <v>846</v>
      </c>
      <c r="C115" s="23" t="s">
        <v>452</v>
      </c>
      <c r="D115" s="450"/>
      <c r="E115" s="24" t="s">
        <v>470</v>
      </c>
      <c r="F115" s="25" t="s">
        <v>470</v>
      </c>
      <c r="G115" s="25" t="s">
        <v>454</v>
      </c>
      <c r="H115" s="24" t="s">
        <v>470</v>
      </c>
      <c r="I115" s="25" t="s">
        <v>453</v>
      </c>
      <c r="J115" s="25"/>
      <c r="K115" s="24"/>
      <c r="L115" s="25"/>
      <c r="M115" s="25"/>
      <c r="N115" s="25"/>
      <c r="O115" s="25"/>
      <c r="P115" s="25"/>
      <c r="Q115" s="24"/>
      <c r="R115" s="25"/>
      <c r="S115" s="25"/>
      <c r="T115" s="25"/>
      <c r="U115" s="25"/>
      <c r="V115" s="25"/>
      <c r="W115" s="24"/>
      <c r="X115" s="25"/>
      <c r="Y115" s="25"/>
      <c r="Z115" s="24"/>
      <c r="AA115" s="25"/>
      <c r="AB115" s="25"/>
      <c r="AD115" s="26"/>
      <c r="AE115" s="27"/>
      <c r="AF115" s="27"/>
      <c r="AH115" s="684"/>
      <c r="AI115" s="684"/>
      <c r="AJ115" s="684"/>
      <c r="AK115" s="684"/>
      <c r="AL115" s="684"/>
      <c r="AM115" s="684"/>
      <c r="AN115" s="684"/>
      <c r="AO115" s="684"/>
      <c r="AP115" s="684"/>
      <c r="AQ115" s="684"/>
      <c r="AR115" s="684"/>
      <c r="AS115" s="684"/>
      <c r="AU115" s="684"/>
      <c r="AV115" s="684"/>
      <c r="AW115" s="684"/>
      <c r="AX115" s="684"/>
      <c r="AY115" s="684"/>
      <c r="AZ115" s="684"/>
      <c r="BA115" s="684"/>
      <c r="BB115" s="684"/>
      <c r="BC115" s="684"/>
      <c r="BD115" s="684"/>
      <c r="BE115" s="684"/>
      <c r="BF115" s="689"/>
      <c r="BH115" s="447"/>
      <c r="BI115" s="445"/>
      <c r="BJ115" s="445"/>
      <c r="BK115" s="445"/>
      <c r="BL115" s="445"/>
      <c r="BM115" s="445"/>
      <c r="BO115" s="445"/>
      <c r="BP115" s="445"/>
      <c r="BU115" s="447"/>
      <c r="BV115" s="445"/>
      <c r="BW115" s="445"/>
      <c r="BX115" s="445"/>
      <c r="BY115" s="445"/>
      <c r="BZ115" s="445"/>
      <c r="CB115" s="445"/>
      <c r="CC115" s="445"/>
    </row>
    <row r="116" spans="1:92">
      <c r="A116" s="818"/>
      <c r="B116" s="824"/>
      <c r="C116" s="23" t="s">
        <v>455</v>
      </c>
      <c r="D116" s="450"/>
      <c r="E116" s="24"/>
      <c r="F116" s="24"/>
      <c r="G116" s="25"/>
      <c r="H116" s="24"/>
      <c r="I116" s="25"/>
      <c r="J116" s="25"/>
      <c r="K116" s="25"/>
      <c r="L116" s="25"/>
      <c r="M116" s="25"/>
      <c r="N116" s="25"/>
      <c r="O116" s="25"/>
      <c r="P116" s="25"/>
      <c r="Q116" s="24"/>
      <c r="R116" s="25"/>
      <c r="S116" s="25"/>
      <c r="T116" s="25"/>
      <c r="U116" s="25"/>
      <c r="V116" s="25"/>
      <c r="W116" s="24"/>
      <c r="X116" s="25"/>
      <c r="Y116" s="25"/>
      <c r="Z116" s="24"/>
      <c r="AA116" s="25"/>
      <c r="AB116" s="25"/>
      <c r="AD116" s="26"/>
      <c r="AE116" s="27"/>
      <c r="AF116" s="27"/>
      <c r="AH116" s="68">
        <f>Buckets!H13</f>
        <v>35940</v>
      </c>
      <c r="AI116" s="68">
        <f>Buckets!J13</f>
        <v>1860</v>
      </c>
      <c r="AJ116" s="68">
        <f>Buckets!K13</f>
        <v>34080</v>
      </c>
      <c r="AK116" s="691">
        <f>AH116</f>
        <v>35940</v>
      </c>
      <c r="AL116" s="691">
        <f>AH116</f>
        <v>35940</v>
      </c>
      <c r="AM116" s="691">
        <f>AH116</f>
        <v>35940</v>
      </c>
      <c r="AU116" s="68">
        <f>Buckets!M13</f>
        <v>51820</v>
      </c>
      <c r="AV116" s="68">
        <f>Buckets!O13</f>
        <v>2680</v>
      </c>
      <c r="AW116" s="68">
        <f>Buckets!P13</f>
        <v>49140</v>
      </c>
      <c r="AX116" s="691">
        <f>AU116</f>
        <v>51820</v>
      </c>
      <c r="AY116" s="691">
        <f>AU116</f>
        <v>51820</v>
      </c>
      <c r="AZ116" s="691">
        <f>AU116</f>
        <v>51820</v>
      </c>
      <c r="BH116" s="68">
        <f>Buckets!R13</f>
        <v>68660</v>
      </c>
      <c r="BI116" s="68">
        <f>Buckets!T13</f>
        <v>3550</v>
      </c>
      <c r="BJ116" s="68">
        <f>Buckets!U13</f>
        <v>65110</v>
      </c>
      <c r="BK116" s="691">
        <f>BH116</f>
        <v>68660</v>
      </c>
      <c r="BL116" s="691">
        <f>BH116</f>
        <v>68660</v>
      </c>
      <c r="BM116" s="691">
        <f>BH116</f>
        <v>68660</v>
      </c>
      <c r="BU116" s="68">
        <f>Buckets!W13</f>
        <v>90100</v>
      </c>
      <c r="BV116" s="68">
        <f>Buckets!Y13</f>
        <v>4650</v>
      </c>
      <c r="BW116" s="68">
        <f>Buckets!Z13</f>
        <v>85450</v>
      </c>
      <c r="BX116" s="691">
        <f>BU116</f>
        <v>90100</v>
      </c>
      <c r="BY116" s="691">
        <f>BU116</f>
        <v>90100</v>
      </c>
      <c r="BZ116" s="691">
        <f>BU116</f>
        <v>90100</v>
      </c>
    </row>
    <row r="117" spans="1:92">
      <c r="A117" s="818"/>
      <c r="B117" s="824"/>
      <c r="C117" s="28" t="s">
        <v>456</v>
      </c>
      <c r="D117" s="450"/>
      <c r="E117" s="24"/>
      <c r="F117" s="25"/>
      <c r="G117" s="24"/>
      <c r="H117" s="24"/>
      <c r="I117" s="25"/>
      <c r="J117" s="25"/>
      <c r="K117" s="24"/>
      <c r="L117" s="25"/>
      <c r="M117" s="25"/>
      <c r="N117" s="25"/>
      <c r="O117" s="25"/>
      <c r="P117" s="25"/>
      <c r="Q117" s="24"/>
      <c r="R117" s="25"/>
      <c r="S117" s="25"/>
      <c r="T117" s="25"/>
      <c r="U117" s="25"/>
      <c r="V117" s="25"/>
      <c r="W117" s="24"/>
      <c r="X117" s="25"/>
      <c r="Y117" s="25"/>
      <c r="Z117" s="24"/>
      <c r="AA117" s="25"/>
      <c r="AB117" s="25"/>
      <c r="AD117" s="26"/>
      <c r="AE117" s="27"/>
      <c r="AF117" s="27"/>
      <c r="AH117" s="686"/>
      <c r="AI117" s="686"/>
      <c r="AJ117" s="686"/>
      <c r="AK117" s="686"/>
      <c r="AL117" s="686"/>
      <c r="AM117" s="686"/>
      <c r="AN117" s="686"/>
      <c r="AO117" s="686"/>
      <c r="AP117" s="686"/>
      <c r="AQ117" s="686"/>
      <c r="AR117" s="686"/>
      <c r="AS117" s="686"/>
      <c r="AU117" s="686"/>
      <c r="AV117" s="686"/>
      <c r="AW117" s="686"/>
      <c r="AX117" s="686"/>
      <c r="AY117" s="686"/>
      <c r="AZ117" s="686"/>
      <c r="BA117" s="686"/>
      <c r="BB117" s="686"/>
      <c r="BC117" s="686"/>
      <c r="BD117" s="686"/>
      <c r="BE117" s="686"/>
      <c r="BF117" s="690"/>
      <c r="BH117" s="447"/>
      <c r="BI117" s="445"/>
      <c r="BJ117" s="445"/>
      <c r="BK117" s="445"/>
      <c r="BL117" s="445"/>
      <c r="BM117" s="445"/>
      <c r="BO117" s="445"/>
      <c r="BP117" s="445"/>
      <c r="BU117" s="447"/>
      <c r="BV117" s="445"/>
      <c r="BW117" s="445"/>
      <c r="BX117" s="445"/>
      <c r="BY117" s="445"/>
      <c r="BZ117" s="445"/>
      <c r="CB117" s="445"/>
      <c r="CC117" s="445"/>
    </row>
    <row r="118" spans="1:92">
      <c r="A118" s="818"/>
      <c r="B118" s="824"/>
      <c r="C118" s="23" t="s">
        <v>457</v>
      </c>
      <c r="D118" s="29">
        <f t="shared" ref="D118:D122" si="345">AVERAGE(E118:AB118)</f>
        <v>8.6</v>
      </c>
      <c r="E118" s="451">
        <v>8</v>
      </c>
      <c r="F118" s="27">
        <v>8</v>
      </c>
      <c r="G118" s="27">
        <v>9</v>
      </c>
      <c r="H118" s="26">
        <v>9</v>
      </c>
      <c r="I118" s="27">
        <v>9</v>
      </c>
      <c r="J118" s="27"/>
      <c r="K118" s="26"/>
      <c r="L118" s="27"/>
      <c r="M118" s="27"/>
      <c r="N118" s="27"/>
      <c r="O118" s="27"/>
      <c r="P118" s="27"/>
      <c r="Q118" s="26"/>
      <c r="R118" s="27"/>
      <c r="S118" s="27"/>
      <c r="T118" s="27"/>
      <c r="U118" s="27"/>
      <c r="V118" s="27"/>
      <c r="W118" s="26"/>
      <c r="X118" s="27"/>
      <c r="Y118" s="27"/>
      <c r="Z118" s="26"/>
      <c r="AA118" s="27"/>
      <c r="AB118" s="27"/>
      <c r="AD118" s="32"/>
      <c r="AE118" s="27"/>
      <c r="AF118" s="27"/>
      <c r="AH118" s="693">
        <f t="shared" ref="AH118:AM118" si="346">IF(AN118=0, 0, EXP($D118*$E$2 * (($AN118/AN118) - 1)) )</f>
        <v>1</v>
      </c>
      <c r="AI118" s="693">
        <f t="shared" si="346"/>
        <v>1</v>
      </c>
      <c r="AJ118" s="693">
        <f t="shared" si="346"/>
        <v>3.1032608139238013E-2</v>
      </c>
      <c r="AK118" s="693">
        <f t="shared" si="346"/>
        <v>21.160412607176141</v>
      </c>
      <c r="AL118" s="693">
        <f t="shared" si="346"/>
        <v>3.1032608139238013E-2</v>
      </c>
      <c r="AM118" s="693">
        <f t="shared" si="346"/>
        <v>2.7366705706935165E-2</v>
      </c>
      <c r="AN118" s="685">
        <f>'B11 S&amp;M 55Tractor'!$M$167</f>
        <v>90.418141143975106</v>
      </c>
      <c r="AO118" s="685">
        <f>'B11 S&amp;M 55Tractor'!$M$167</f>
        <v>90.418141143975106</v>
      </c>
      <c r="AP118" s="685">
        <f>'B11 S&amp;M 55Tractor'!$M$169</f>
        <v>123.7253607489491</v>
      </c>
      <c r="AQ118" s="685">
        <f>'B11 S&amp;M 55Tractor'!$M$168</f>
        <v>73.11837771857391</v>
      </c>
      <c r="AR118" s="685">
        <f>'B11 S&amp;M 55Tractor'!$M$169</f>
        <v>123.7253607489491</v>
      </c>
      <c r="AS118" s="695">
        <f>'B11 S&amp;M 55Tractor'!$M$170</f>
        <v>125.39751736433179</v>
      </c>
      <c r="AU118" s="693">
        <f t="shared" ref="AU118:AZ118" si="347">IF(BA118=0, 0, EXP($D118*$E$2 * (($BA118/BA118) - 1)) )</f>
        <v>1</v>
      </c>
      <c r="AV118" s="693">
        <f t="shared" si="347"/>
        <v>1</v>
      </c>
      <c r="AW118" s="693">
        <f t="shared" si="347"/>
        <v>0.26476701359923144</v>
      </c>
      <c r="AX118" s="693">
        <f t="shared" si="347"/>
        <v>131.16246761700739</v>
      </c>
      <c r="AY118" s="693">
        <f t="shared" si="347"/>
        <v>0.26476701359923144</v>
      </c>
      <c r="AZ118" s="693">
        <f t="shared" si="347"/>
        <v>0.23727251197143803</v>
      </c>
      <c r="BA118" s="685">
        <f>'B11 S&amp;M 55Tractor'!$R$167</f>
        <v>106.52826287188871</v>
      </c>
      <c r="BB118" s="685">
        <f>'B11 S&amp;M 55Tractor'!$R$167</f>
        <v>106.52826287188871</v>
      </c>
      <c r="BC118" s="685">
        <f>'B11 S&amp;M 55Tractor'!$R$169</f>
        <v>118.76270958341861</v>
      </c>
      <c r="BD118" s="685">
        <f>'B11 S&amp;M 55Tractor'!$R$168</f>
        <v>77.305402042511744</v>
      </c>
      <c r="BE118" s="685">
        <f>'B11 S&amp;M 55Tractor'!$R$169</f>
        <v>118.76270958341861</v>
      </c>
      <c r="BF118" s="685">
        <f>'B11 S&amp;M 55Tractor'!$R$170</f>
        <v>119.89880045893281</v>
      </c>
      <c r="BH118" s="688">
        <f t="shared" ref="BH118:BM118" si="348">IF(BN118=0, 0, EXP($D118*$E$2 * (($BN118/BN118) - 1)) )</f>
        <v>1</v>
      </c>
      <c r="BI118" s="30">
        <f t="shared" si="348"/>
        <v>0.60079307652512315</v>
      </c>
      <c r="BJ118" s="30">
        <f t="shared" si="348"/>
        <v>0.63965655012021905</v>
      </c>
      <c r="BK118" s="30">
        <f t="shared" si="348"/>
        <v>153.05233169430824</v>
      </c>
      <c r="BL118" s="30">
        <f t="shared" si="348"/>
        <v>1.2598620282494637</v>
      </c>
      <c r="BM118" s="30">
        <f t="shared" si="348"/>
        <v>0.9791952821791553</v>
      </c>
      <c r="BN118" s="492">
        <f>'B11 S&amp;M 55Tractor'!$W$165</f>
        <v>119.74407858796572</v>
      </c>
      <c r="BO118" s="492">
        <f>'B11 S&amp;M 55Tractor'!$W$166</f>
        <v>124.66802792611317</v>
      </c>
      <c r="BP118" s="492">
        <f>'B11 S&amp;M 55Tractor'!$W$167</f>
        <v>124.04053389927576</v>
      </c>
      <c r="BQ118" s="492">
        <f>'B11 S&amp;M 55Tractor'!$W$168</f>
        <v>86.147876578066018</v>
      </c>
      <c r="BR118" s="492">
        <f>'B11 S&amp;M 55Tractor'!$W$169</f>
        <v>117.63752596031348</v>
      </c>
      <c r="BS118" s="492">
        <f>'B11 S&amp;M 55Tractor'!$W$170</f>
        <v>119.939553890477</v>
      </c>
      <c r="BU118" s="688">
        <f t="shared" ref="BU118:BZ118" si="349">IF(CA118=0, 0, EXP($D118*$E$2 * (($CA118/CA118) - 1)) )</f>
        <v>1</v>
      </c>
      <c r="BV118" s="30">
        <f t="shared" si="349"/>
        <v>0.4567782468847264</v>
      </c>
      <c r="BW118" s="30">
        <f t="shared" si="349"/>
        <v>0.4914277212752674</v>
      </c>
      <c r="BX118" s="30">
        <f t="shared" si="349"/>
        <v>340.58883989049662</v>
      </c>
      <c r="BY118" s="30">
        <f t="shared" si="349"/>
        <v>5.8324610032835684</v>
      </c>
      <c r="BZ118" s="30">
        <f t="shared" si="349"/>
        <v>5.1508075354580392</v>
      </c>
      <c r="CA118" s="492">
        <f>'B11 S&amp;M 55Tractor'!$AB$165</f>
        <v>138.53390197464671</v>
      </c>
      <c r="CB118" s="492">
        <f>'B11 S&amp;M 55Tractor'!$AB$166</f>
        <v>147.49273951352862</v>
      </c>
      <c r="CC118" s="492">
        <f>'B11 S&amp;M 55Tractor'!$AB$167</f>
        <v>146.60803140026809</v>
      </c>
      <c r="CD118" s="492">
        <f>'B11 S&amp;M 55Tractor'!$AB$168</f>
        <v>95.4096550126811</v>
      </c>
      <c r="CE118" s="492">
        <f>'B11 S&amp;M 55Tractor'!$AB$169</f>
        <v>121.87368398000815</v>
      </c>
      <c r="CF118" s="492">
        <f>'B11 S&amp;M 55Tractor'!$AB$170</f>
        <v>122.91550087912992</v>
      </c>
      <c r="CH118" s="30">
        <f>IF(CK118=0, 0, EXP($D118*$E$2 * (($CN118/CK118) - 1)))</f>
        <v>1043.7343156717561</v>
      </c>
      <c r="CI118" s="30">
        <f>IF(CL118=0, 0, EXP($D118*$E$2 * (($CN118/CL118) - 1)))</f>
        <v>31.574240173673427</v>
      </c>
      <c r="CJ118" s="30">
        <f>IF(CM118=0, 0, EXP($D118*$E$2 * (($CN118/CM118) - 1)))</f>
        <v>27.401114013368481</v>
      </c>
      <c r="CK118" s="492">
        <f>'B11 S&amp;M 55Tractor'!$AG$168</f>
        <v>111.35845710788814</v>
      </c>
      <c r="CL118" s="492">
        <f>'B11 S&amp;M 55Tractor'!$AG$169</f>
        <v>135.18111446269651</v>
      </c>
      <c r="CM118" s="492">
        <f>'B11 S&amp;M 55Tractor'!$AG$170</f>
        <v>136.36324311782249</v>
      </c>
      <c r="CN118" s="703">
        <f>'B11 S&amp;M 55Tractor'!$AG$167</f>
        <v>171.35874124593909</v>
      </c>
    </row>
    <row r="119" spans="1:92">
      <c r="A119" s="818"/>
      <c r="B119" s="824"/>
      <c r="C119" s="23" t="s">
        <v>458</v>
      </c>
      <c r="D119" s="29">
        <f t="shared" si="345"/>
        <v>7.8</v>
      </c>
      <c r="E119" s="451">
        <v>8</v>
      </c>
      <c r="F119" s="27">
        <v>10</v>
      </c>
      <c r="G119" s="27">
        <v>3</v>
      </c>
      <c r="H119" s="26">
        <v>9</v>
      </c>
      <c r="I119" s="27">
        <v>9</v>
      </c>
      <c r="J119" s="27"/>
      <c r="K119" s="26"/>
      <c r="L119" s="27"/>
      <c r="M119" s="27"/>
      <c r="N119" s="27"/>
      <c r="O119" s="27"/>
      <c r="P119" s="27"/>
      <c r="Q119" s="26"/>
      <c r="R119" s="27"/>
      <c r="S119" s="27"/>
      <c r="T119" s="27"/>
      <c r="U119" s="27"/>
      <c r="V119" s="27"/>
      <c r="W119" s="26"/>
      <c r="X119" s="27"/>
      <c r="Y119" s="27"/>
      <c r="Z119" s="26"/>
      <c r="AA119" s="27"/>
      <c r="AB119" s="27"/>
      <c r="AD119" s="32"/>
      <c r="AE119" s="27"/>
      <c r="AF119" s="27"/>
      <c r="AH119" s="693">
        <f t="shared" ref="AH119:AM119" si="350">IF(AN119=0, 0, EXP($D119*$F$2 * (($AN119/AN119) - 1)) )</f>
        <v>1</v>
      </c>
      <c r="AI119" s="693">
        <f t="shared" si="350"/>
        <v>0.59278319539586222</v>
      </c>
      <c r="AJ119" s="693">
        <f t="shared" si="350"/>
        <v>0.17085135797839654</v>
      </c>
      <c r="AK119" s="693">
        <f t="shared" si="350"/>
        <v>1.8106955135900611E-2</v>
      </c>
      <c r="AL119" s="693">
        <f t="shared" si="350"/>
        <v>0.24033035299483835</v>
      </c>
      <c r="AM119" s="693">
        <f t="shared" si="350"/>
        <v>2.9947533036004037E-3</v>
      </c>
      <c r="AN119" s="678">
        <f>'B11 S&amp;M 55Tractor'!$M$63</f>
        <v>7183200</v>
      </c>
      <c r="AO119" s="678">
        <f>'B11 S&amp;M 55Tractor'!$M$81</f>
        <v>7519270.6212766413</v>
      </c>
      <c r="AP119" s="678">
        <f>'B11 S&amp;M 55Tractor'!$M$98</f>
        <v>8461000</v>
      </c>
      <c r="AQ119" s="678">
        <f>'B11 S&amp;M 55Tractor'!$M$132</f>
        <v>10931000</v>
      </c>
      <c r="AR119" s="678">
        <f>'B11 S&amp;M 55Tractor'!$M$115</f>
        <v>8180000</v>
      </c>
      <c r="AS119" s="682">
        <f>'B11 S&amp;M 55Tractor'!$M$149</f>
        <v>14271000</v>
      </c>
      <c r="AU119" s="693">
        <f t="shared" ref="AU119:AZ119" si="351">IF(BA119=0, 0, EXP($D119*$F$2 * (($BA119/BA119) - 1)) )</f>
        <v>1</v>
      </c>
      <c r="AV119" s="693">
        <f t="shared" si="351"/>
        <v>0.59278516023765859</v>
      </c>
      <c r="AW119" s="693">
        <f t="shared" si="351"/>
        <v>0.1969964041382577</v>
      </c>
      <c r="AX119" s="693">
        <f t="shared" si="351"/>
        <v>3.9034085619989424E-2</v>
      </c>
      <c r="AY119" s="693">
        <f t="shared" si="351"/>
        <v>0.35333907400957354</v>
      </c>
      <c r="AZ119" s="693">
        <f t="shared" si="351"/>
        <v>7.5207601016783077E-3</v>
      </c>
      <c r="BA119" s="678">
        <f>'B11 S&amp;M 55Tractor'!$R$63</f>
        <v>8327300</v>
      </c>
      <c r="BB119" s="678">
        <f>'B11 S&amp;M 55Tractor'!$R$81</f>
        <v>8716895.4888916668</v>
      </c>
      <c r="BC119" s="678">
        <f>'B11 S&amp;M 55Tractor'!$R$98</f>
        <v>9670000</v>
      </c>
      <c r="BD119" s="678">
        <f>'B11 S&amp;M 55Tractor'!$R$132</f>
        <v>11521000</v>
      </c>
      <c r="BE119" s="678">
        <f>'B11 S&amp;M 55Tractor'!$R$115</f>
        <v>9140000</v>
      </c>
      <c r="BF119" s="678">
        <f>'B11 S&amp;M 55Tractor'!$R$149</f>
        <v>14307000</v>
      </c>
      <c r="BH119" s="688">
        <f t="shared" ref="BH119:BM119" si="352">IF(BN119=0, 0, EXP($D119*$F$2 * (($BN119/BN119) - 1)) )</f>
        <v>1</v>
      </c>
      <c r="BI119" s="30">
        <f t="shared" si="352"/>
        <v>0.59276937551876241</v>
      </c>
      <c r="BJ119" s="30">
        <f t="shared" si="352"/>
        <v>0.22483293802135054</v>
      </c>
      <c r="BK119" s="30">
        <f t="shared" si="352"/>
        <v>6.8605331189013852E-2</v>
      </c>
      <c r="BL119" s="30">
        <f t="shared" si="352"/>
        <v>0.38662583176139542</v>
      </c>
      <c r="BM119" s="30">
        <f t="shared" si="352"/>
        <v>1.5173265151861431E-2</v>
      </c>
      <c r="BN119" s="493">
        <f>'B11 S&amp;M 55Tractor'!$W$63</f>
        <v>9653600</v>
      </c>
      <c r="BO119" s="493">
        <f>'B11 S&amp;M 55Tractor'!$W$81</f>
        <v>10105270.948654735</v>
      </c>
      <c r="BP119" s="493">
        <f>'B11 S&amp;M 55Tractor'!$W$98</f>
        <v>11065000</v>
      </c>
      <c r="BQ119" s="493">
        <f>'B11 S&amp;M 55Tractor'!$W$132</f>
        <v>12521000</v>
      </c>
      <c r="BR119" s="493">
        <f>'B11 S&amp;M 55Tractor'!$W$115</f>
        <v>10507000</v>
      </c>
      <c r="BS119" s="494">
        <f>'B11 S&amp;M 55Tractor'!$W$149</f>
        <v>15036000</v>
      </c>
      <c r="BU119" s="688">
        <f t="shared" ref="BU119:BZ119" si="353">IF(CA119=0, 0, EXP($D119*$F$2 * (($CA119/CA119) - 1)) )</f>
        <v>1</v>
      </c>
      <c r="BV119" s="30">
        <f t="shared" si="353"/>
        <v>0.59278819993547682</v>
      </c>
      <c r="BW119" s="30">
        <f t="shared" si="353"/>
        <v>0.25419297954167219</v>
      </c>
      <c r="BX119" s="30">
        <f t="shared" si="353"/>
        <v>0.10206946126561924</v>
      </c>
      <c r="BY119" s="30">
        <f t="shared" si="353"/>
        <v>0.41940821220430702</v>
      </c>
      <c r="BZ119" s="30">
        <f t="shared" si="353"/>
        <v>2.9283495348297061E-2</v>
      </c>
      <c r="CA119" s="493">
        <f>'B11 S&amp;M 55Tractor'!$AB$63</f>
        <v>11191200</v>
      </c>
      <c r="CB119" s="493">
        <f>'B11 S&amp;M 55Tractor'!$AB$81</f>
        <v>11714778.624552405</v>
      </c>
      <c r="CC119" s="493">
        <f>'B11 S&amp;M 55Tractor'!$AB$98</f>
        <v>12675000</v>
      </c>
      <c r="CD119" s="493">
        <f>'B11 S&amp;M 55Tractor'!$AB$132</f>
        <v>13903000</v>
      </c>
      <c r="CE119" s="493">
        <f>'B11 S&amp;M 55Tractor'!$AB$115</f>
        <v>12089000</v>
      </c>
      <c r="CF119" s="494">
        <f>'B11 S&amp;M 55Tractor'!$AB$149</f>
        <v>16028000</v>
      </c>
      <c r="CH119" s="30">
        <f>IF(CK119=0, 0, EXP($D119*$F$2 * (($CN119/CK119) - 1)))</f>
        <v>0.12568121782201344</v>
      </c>
      <c r="CI119" s="30">
        <f>IF(CL119=0, 0, EXP($D119*$F$2 * (($CN119/CL119) - 1)))</f>
        <v>0.45247135323733723</v>
      </c>
      <c r="CJ119" s="30">
        <f>IF(CM119=0, 0, EXP($D119*$F$2 * (($CN119/CM119) - 1)))</f>
        <v>4.220776922960489E-2</v>
      </c>
      <c r="CK119" s="493">
        <f>'B11 S&amp;M 55Tractor'!$AG$132</f>
        <v>15769000</v>
      </c>
      <c r="CL119" s="493">
        <f>'B11 S&amp;M 55Tractor'!$AG$115</f>
        <v>13917000</v>
      </c>
      <c r="CM119" s="494">
        <f>'B11 S&amp;M 55Tractor'!$AG$149</f>
        <v>17785000</v>
      </c>
      <c r="CN119" s="17">
        <f>'B11 S&amp;M 55Tractor'!$AG$63</f>
        <v>12973700</v>
      </c>
    </row>
    <row r="120" spans="1:92">
      <c r="A120" s="818"/>
      <c r="B120" s="824"/>
      <c r="C120" s="23" t="s">
        <v>459</v>
      </c>
      <c r="D120" s="29">
        <f t="shared" si="345"/>
        <v>5.8</v>
      </c>
      <c r="E120" s="451">
        <v>2</v>
      </c>
      <c r="F120" s="32">
        <v>4</v>
      </c>
      <c r="G120" s="32">
        <v>9</v>
      </c>
      <c r="H120" s="32">
        <v>6</v>
      </c>
      <c r="I120" s="32">
        <v>8</v>
      </c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D120" s="26"/>
      <c r="AE120" s="32"/>
      <c r="AF120" s="32"/>
      <c r="AH120" s="693">
        <f t="shared" ref="AH120:AM121" si="354">IF(AN120=0, 0, EXP($D120*$E$2 * ((AN120/$AN120) - 1)) )</f>
        <v>1</v>
      </c>
      <c r="AI120" s="693">
        <f t="shared" si="354"/>
        <v>1</v>
      </c>
      <c r="AJ120" s="693">
        <f t="shared" si="354"/>
        <v>1</v>
      </c>
      <c r="AK120" s="693">
        <f t="shared" si="354"/>
        <v>0.59333269512305176</v>
      </c>
      <c r="AL120" s="693">
        <f t="shared" si="354"/>
        <v>1</v>
      </c>
      <c r="AM120" s="693">
        <f t="shared" si="354"/>
        <v>0.78721805325675964</v>
      </c>
      <c r="AN120" s="678">
        <f>'B11 S&amp;M 55Tractor'!$C$17</f>
        <v>40000</v>
      </c>
      <c r="AO120" s="678">
        <f>AN120</f>
        <v>40000</v>
      </c>
      <c r="AP120" s="678">
        <f>AN120</f>
        <v>40000</v>
      </c>
      <c r="AQ120" s="678">
        <f>'B11 S&amp;M 55Tractor'!C18</f>
        <v>37600</v>
      </c>
      <c r="AR120" s="678">
        <f>AN120</f>
        <v>40000</v>
      </c>
      <c r="AS120" s="682">
        <f>'B11 S&amp;M 55Tractor'!C19</f>
        <v>38900</v>
      </c>
      <c r="AU120" s="693">
        <f t="shared" ref="AU120:AZ121" si="355">IF(BA120=0, 0, EXP($D120*$E$2 * ((BA120/$BA120) - 1)) )</f>
        <v>1</v>
      </c>
      <c r="AV120" s="693">
        <f t="shared" si="355"/>
        <v>1</v>
      </c>
      <c r="AW120" s="693">
        <f t="shared" si="355"/>
        <v>1</v>
      </c>
      <c r="AX120" s="693">
        <f t="shared" si="355"/>
        <v>0.59333269512305176</v>
      </c>
      <c r="AY120" s="693">
        <f t="shared" si="355"/>
        <v>1</v>
      </c>
      <c r="AZ120" s="693">
        <f t="shared" si="355"/>
        <v>0.78721805325675964</v>
      </c>
      <c r="BA120" s="678">
        <f>'B11 S&amp;M 55Tractor'!$C$17</f>
        <v>40000</v>
      </c>
      <c r="BB120" s="678">
        <f>BA120</f>
        <v>40000</v>
      </c>
      <c r="BC120" s="678">
        <f>BA120</f>
        <v>40000</v>
      </c>
      <c r="BD120" s="678">
        <f>'B11 S&amp;M 55Tractor'!C18</f>
        <v>37600</v>
      </c>
      <c r="BE120" s="678">
        <f>BA120</f>
        <v>40000</v>
      </c>
      <c r="BF120" s="678">
        <f>'B11 S&amp;M 55Tractor'!C19</f>
        <v>38900</v>
      </c>
      <c r="BH120" s="688">
        <f t="shared" ref="BH120:BM121" si="356">IF(BN120=0, 0, EXP($D120*$E$2 * ((BN120/$BN120) - 1)) )</f>
        <v>1</v>
      </c>
      <c r="BI120" s="30">
        <f t="shared" si="356"/>
        <v>1</v>
      </c>
      <c r="BJ120" s="30">
        <f t="shared" si="356"/>
        <v>1</v>
      </c>
      <c r="BK120" s="30">
        <f t="shared" si="356"/>
        <v>0.59333269512305176</v>
      </c>
      <c r="BL120" s="30">
        <f t="shared" si="356"/>
        <v>1</v>
      </c>
      <c r="BM120" s="30">
        <f t="shared" si="356"/>
        <v>0.78721805325675964</v>
      </c>
      <c r="BN120" s="493">
        <f>'B11 S&amp;M 55Tractor'!$C$17</f>
        <v>40000</v>
      </c>
      <c r="BO120" s="493">
        <f>BN120</f>
        <v>40000</v>
      </c>
      <c r="BP120" s="493">
        <f>BN120</f>
        <v>40000</v>
      </c>
      <c r="BQ120" s="493">
        <f>'B11 S&amp;M 55Tractor'!$C$18</f>
        <v>37600</v>
      </c>
      <c r="BR120" s="493">
        <f>BN120</f>
        <v>40000</v>
      </c>
      <c r="BS120" s="493">
        <f>'B11 S&amp;M 55Tractor'!$C$19</f>
        <v>38900</v>
      </c>
      <c r="BU120" s="688">
        <f t="shared" ref="BU120:BZ121" si="357">IF(CA120=0, 0, EXP($D120*$E$2 * ((CA120/$CA120) - 1)) )</f>
        <v>1</v>
      </c>
      <c r="BV120" s="30">
        <f t="shared" si="357"/>
        <v>1</v>
      </c>
      <c r="BW120" s="30">
        <f t="shared" si="357"/>
        <v>1</v>
      </c>
      <c r="BX120" s="30">
        <f t="shared" si="357"/>
        <v>0.59333269512305176</v>
      </c>
      <c r="BY120" s="30">
        <f t="shared" si="357"/>
        <v>1</v>
      </c>
      <c r="BZ120" s="30">
        <f t="shared" si="357"/>
        <v>0.78721805325675964</v>
      </c>
      <c r="CA120" s="493">
        <f>'B11 S&amp;M 55Tractor'!$C$17</f>
        <v>40000</v>
      </c>
      <c r="CB120" s="493">
        <f>CA120</f>
        <v>40000</v>
      </c>
      <c r="CC120" s="493">
        <f>CA120</f>
        <v>40000</v>
      </c>
      <c r="CD120" s="493">
        <f>'B11 S&amp;M 55Tractor'!$C$18</f>
        <v>37600</v>
      </c>
      <c r="CE120" s="493">
        <f>CA120</f>
        <v>40000</v>
      </c>
      <c r="CF120" s="493">
        <f>'B11 S&amp;M 55Tractor'!$C$19</f>
        <v>38900</v>
      </c>
      <c r="CH120" s="30">
        <f t="shared" ref="CH120:CJ121" si="358">IF(CK120=0, 0, EXP($D120*$E$2 * ((CK120/$CN120) - 1)))</f>
        <v>0.59333269512305176</v>
      </c>
      <c r="CI120" s="30">
        <f t="shared" si="358"/>
        <v>1</v>
      </c>
      <c r="CJ120" s="30">
        <f t="shared" si="358"/>
        <v>0.78721805325675964</v>
      </c>
      <c r="CK120" s="493">
        <f t="shared" ref="CK120:CM122" si="359">BQ120</f>
        <v>37600</v>
      </c>
      <c r="CL120" s="493">
        <f t="shared" si="359"/>
        <v>40000</v>
      </c>
      <c r="CM120" s="493">
        <f t="shared" si="359"/>
        <v>38900</v>
      </c>
      <c r="CN120" s="17">
        <f>'B11 S&amp;M 55Tractor'!$C$17</f>
        <v>40000</v>
      </c>
    </row>
    <row r="121" spans="1:92">
      <c r="A121" s="818"/>
      <c r="B121" s="824"/>
      <c r="C121" s="23" t="s">
        <v>460</v>
      </c>
      <c r="D121" s="29">
        <f t="shared" si="345"/>
        <v>3.8</v>
      </c>
      <c r="E121" s="451">
        <v>4</v>
      </c>
      <c r="F121" s="32">
        <v>6</v>
      </c>
      <c r="G121" s="32">
        <v>1</v>
      </c>
      <c r="H121" s="32">
        <v>4</v>
      </c>
      <c r="I121" s="32">
        <v>4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D121" s="23"/>
      <c r="AE121" s="32"/>
      <c r="AF121" s="32"/>
      <c r="AH121" s="693">
        <f t="shared" si="354"/>
        <v>1</v>
      </c>
      <c r="AI121" s="693">
        <f t="shared" si="354"/>
        <v>0.75201425431938251</v>
      </c>
      <c r="AJ121" s="693">
        <f t="shared" si="354"/>
        <v>0.75201425431938251</v>
      </c>
      <c r="AK121" s="693">
        <f t="shared" si="354"/>
        <v>2.3513743805749008</v>
      </c>
      <c r="AL121" s="693">
        <f t="shared" si="354"/>
        <v>0.75201425431938251</v>
      </c>
      <c r="AM121" s="693">
        <f t="shared" si="354"/>
        <v>2.3513743805749008</v>
      </c>
      <c r="AN121" s="679">
        <f t="shared" ref="AN121:AS122" si="360">AN11</f>
        <v>1</v>
      </c>
      <c r="AO121" s="679">
        <f t="shared" si="360"/>
        <v>0.95</v>
      </c>
      <c r="AP121" s="679">
        <f t="shared" si="360"/>
        <v>0.95</v>
      </c>
      <c r="AQ121" s="679">
        <f t="shared" si="360"/>
        <v>1.1499999999999999</v>
      </c>
      <c r="AR121" s="679">
        <f t="shared" si="360"/>
        <v>0.95</v>
      </c>
      <c r="AS121" s="683">
        <f t="shared" si="360"/>
        <v>1.1499999999999999</v>
      </c>
      <c r="AU121" s="693">
        <f t="shared" si="355"/>
        <v>1</v>
      </c>
      <c r="AV121" s="693">
        <f t="shared" si="355"/>
        <v>0.75201425431938251</v>
      </c>
      <c r="AW121" s="693">
        <f t="shared" si="355"/>
        <v>0.75201425431938251</v>
      </c>
      <c r="AX121" s="693">
        <f t="shared" si="355"/>
        <v>2.3513743805749008</v>
      </c>
      <c r="AY121" s="693">
        <f t="shared" si="355"/>
        <v>0.75201425431938251</v>
      </c>
      <c r="AZ121" s="693">
        <f t="shared" si="355"/>
        <v>2.3513743805749008</v>
      </c>
      <c r="BA121" s="679">
        <f t="shared" ref="BA121:BF122" si="361">BA11</f>
        <v>1</v>
      </c>
      <c r="BB121" s="679">
        <f t="shared" si="361"/>
        <v>0.95</v>
      </c>
      <c r="BC121" s="679">
        <f t="shared" si="361"/>
        <v>0.95</v>
      </c>
      <c r="BD121" s="679">
        <f t="shared" si="361"/>
        <v>1.1499999999999999</v>
      </c>
      <c r="BE121" s="679">
        <f t="shared" si="361"/>
        <v>0.95</v>
      </c>
      <c r="BF121" s="679">
        <f t="shared" si="361"/>
        <v>1.1499999999999999</v>
      </c>
      <c r="BH121" s="688">
        <f t="shared" si="356"/>
        <v>1</v>
      </c>
      <c r="BI121" s="30">
        <f t="shared" si="356"/>
        <v>0.75201425431938251</v>
      </c>
      <c r="BJ121" s="30">
        <f t="shared" si="356"/>
        <v>0.75201425431938251</v>
      </c>
      <c r="BK121" s="30">
        <f t="shared" si="356"/>
        <v>2.3513743805749008</v>
      </c>
      <c r="BL121" s="30">
        <f t="shared" si="356"/>
        <v>0.75201425431938251</v>
      </c>
      <c r="BM121" s="30">
        <f t="shared" si="356"/>
        <v>2.3513743805749008</v>
      </c>
      <c r="BN121" s="490">
        <f t="shared" ref="BN121:BS125" si="362">BN110</f>
        <v>1</v>
      </c>
      <c r="BO121" s="490">
        <f t="shared" si="362"/>
        <v>0.95</v>
      </c>
      <c r="BP121" s="490">
        <f t="shared" si="362"/>
        <v>0.95</v>
      </c>
      <c r="BQ121" s="490">
        <f t="shared" si="362"/>
        <v>1.1499999999999999</v>
      </c>
      <c r="BR121" s="490">
        <f t="shared" si="362"/>
        <v>0.95</v>
      </c>
      <c r="BS121" s="490">
        <f t="shared" si="362"/>
        <v>1.1499999999999999</v>
      </c>
      <c r="BU121" s="688">
        <f t="shared" si="357"/>
        <v>1</v>
      </c>
      <c r="BV121" s="30">
        <f t="shared" si="357"/>
        <v>0.75201425431938251</v>
      </c>
      <c r="BW121" s="30">
        <f t="shared" si="357"/>
        <v>0.75201425431938251</v>
      </c>
      <c r="BX121" s="30">
        <f t="shared" si="357"/>
        <v>2.3513743805749008</v>
      </c>
      <c r="BY121" s="30">
        <f t="shared" si="357"/>
        <v>0.75201425431938251</v>
      </c>
      <c r="BZ121" s="30">
        <f t="shared" si="357"/>
        <v>2.3513743805749008</v>
      </c>
      <c r="CA121" s="490">
        <f t="shared" ref="CA121:CF122" si="363">CA110</f>
        <v>1</v>
      </c>
      <c r="CB121" s="490">
        <f t="shared" si="363"/>
        <v>0.95</v>
      </c>
      <c r="CC121" s="490">
        <f t="shared" si="363"/>
        <v>0.95</v>
      </c>
      <c r="CD121" s="490">
        <f t="shared" si="363"/>
        <v>1.1499999999999999</v>
      </c>
      <c r="CE121" s="490">
        <f t="shared" si="363"/>
        <v>0.95</v>
      </c>
      <c r="CF121" s="490">
        <f t="shared" si="363"/>
        <v>1.1499999999999999</v>
      </c>
      <c r="CH121" s="30">
        <f t="shared" si="358"/>
        <v>2.3513743805749008</v>
      </c>
      <c r="CI121" s="30">
        <f t="shared" si="358"/>
        <v>0.75201425431938251</v>
      </c>
      <c r="CJ121" s="30">
        <f t="shared" si="358"/>
        <v>2.3513743805749008</v>
      </c>
      <c r="CK121" s="490">
        <f t="shared" si="359"/>
        <v>1.1499999999999999</v>
      </c>
      <c r="CL121" s="490">
        <f t="shared" si="359"/>
        <v>0.95</v>
      </c>
      <c r="CM121" s="490">
        <f t="shared" si="359"/>
        <v>1.1499999999999999</v>
      </c>
      <c r="CN121" s="704">
        <f>CN110</f>
        <v>1</v>
      </c>
    </row>
    <row r="122" spans="1:92">
      <c r="A122" s="818"/>
      <c r="B122" s="824"/>
      <c r="C122" s="34" t="s">
        <v>461</v>
      </c>
      <c r="D122" s="29">
        <f t="shared" si="345"/>
        <v>5.8</v>
      </c>
      <c r="E122" s="451">
        <v>7</v>
      </c>
      <c r="F122" s="26">
        <v>9</v>
      </c>
      <c r="G122" s="26">
        <v>3</v>
      </c>
      <c r="H122" s="26">
        <v>3</v>
      </c>
      <c r="I122" s="26">
        <v>7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D122" s="23"/>
      <c r="AE122" s="26"/>
      <c r="AF122" s="26"/>
      <c r="AH122" s="693">
        <f t="shared" ref="AH122:AM122" si="364">IF(AN122=0, 0, EXP($D122*$E$2 * (($AN122/AN122) - 1)) )</f>
        <v>1</v>
      </c>
      <c r="AI122" s="693">
        <f t="shared" si="364"/>
        <v>0.66081212082832619</v>
      </c>
      <c r="AJ122" s="693">
        <f t="shared" si="364"/>
        <v>0.45343239658718076</v>
      </c>
      <c r="AK122" s="693">
        <f t="shared" si="364"/>
        <v>0.23457028809379776</v>
      </c>
      <c r="AL122" s="693">
        <f t="shared" si="364"/>
        <v>1</v>
      </c>
      <c r="AM122" s="693">
        <f t="shared" si="364"/>
        <v>1</v>
      </c>
      <c r="AN122" s="679">
        <f t="shared" si="360"/>
        <v>1</v>
      </c>
      <c r="AO122" s="679">
        <f t="shared" si="360"/>
        <v>1.05</v>
      </c>
      <c r="AP122" s="679">
        <f t="shared" si="360"/>
        <v>1.1000000000000001</v>
      </c>
      <c r="AQ122" s="679">
        <f t="shared" si="360"/>
        <v>1.2</v>
      </c>
      <c r="AR122" s="679">
        <f t="shared" si="360"/>
        <v>1</v>
      </c>
      <c r="AS122" s="683">
        <f t="shared" si="360"/>
        <v>1</v>
      </c>
      <c r="AU122" s="693">
        <f t="shared" ref="AU122:AZ122" si="365">IF(BA122=0, 0, EXP($D122*$E$2 * (($BA122/BA122) - 1)) )</f>
        <v>1</v>
      </c>
      <c r="AV122" s="693">
        <f t="shared" si="365"/>
        <v>0.66081212082832619</v>
      </c>
      <c r="AW122" s="693">
        <f t="shared" si="365"/>
        <v>0.45343239658718076</v>
      </c>
      <c r="AX122" s="693">
        <f t="shared" si="365"/>
        <v>0.23457028809379776</v>
      </c>
      <c r="AY122" s="693">
        <f t="shared" si="365"/>
        <v>1</v>
      </c>
      <c r="AZ122" s="693">
        <f t="shared" si="365"/>
        <v>1</v>
      </c>
      <c r="BA122" s="679">
        <f t="shared" si="361"/>
        <v>1</v>
      </c>
      <c r="BB122" s="679">
        <f t="shared" si="361"/>
        <v>1.05</v>
      </c>
      <c r="BC122" s="679">
        <f t="shared" si="361"/>
        <v>1.1000000000000001</v>
      </c>
      <c r="BD122" s="679">
        <f t="shared" si="361"/>
        <v>1.2</v>
      </c>
      <c r="BE122" s="679">
        <f t="shared" si="361"/>
        <v>1</v>
      </c>
      <c r="BF122" s="679">
        <f t="shared" si="361"/>
        <v>1</v>
      </c>
      <c r="BH122" s="688">
        <f t="shared" ref="BH122:BM122" si="366">IF(BN122=0, 0, EXP($D122*$E$2 * (($BN122/BN122) - 1)) )</f>
        <v>1</v>
      </c>
      <c r="BI122" s="30">
        <f t="shared" si="366"/>
        <v>0.66081212082832619</v>
      </c>
      <c r="BJ122" s="30">
        <f t="shared" si="366"/>
        <v>0.45343239658718076</v>
      </c>
      <c r="BK122" s="30">
        <f t="shared" si="366"/>
        <v>0.23457028809379776</v>
      </c>
      <c r="BL122" s="30">
        <f t="shared" si="366"/>
        <v>1</v>
      </c>
      <c r="BM122" s="30">
        <f t="shared" si="366"/>
        <v>1</v>
      </c>
      <c r="BN122" s="490">
        <f t="shared" si="362"/>
        <v>1</v>
      </c>
      <c r="BO122" s="490">
        <f t="shared" si="362"/>
        <v>1.05</v>
      </c>
      <c r="BP122" s="490">
        <f t="shared" si="362"/>
        <v>1.1000000000000001</v>
      </c>
      <c r="BQ122" s="490">
        <f t="shared" si="362"/>
        <v>1.2</v>
      </c>
      <c r="BR122" s="490">
        <f t="shared" si="362"/>
        <v>1</v>
      </c>
      <c r="BS122" s="490">
        <f t="shared" si="362"/>
        <v>1</v>
      </c>
      <c r="BU122" s="688">
        <f t="shared" ref="BU122:BZ122" si="367">IF(CA122=0, 0, EXP($D122*$E$2 * (($CA122/CA122) - 1)) )</f>
        <v>1</v>
      </c>
      <c r="BV122" s="30">
        <f t="shared" si="367"/>
        <v>0.66081212082832619</v>
      </c>
      <c r="BW122" s="30">
        <f t="shared" si="367"/>
        <v>0.45343239658718076</v>
      </c>
      <c r="BX122" s="30">
        <f t="shared" si="367"/>
        <v>0.23457028809379776</v>
      </c>
      <c r="BY122" s="30">
        <f t="shared" si="367"/>
        <v>1</v>
      </c>
      <c r="BZ122" s="30">
        <f t="shared" si="367"/>
        <v>1</v>
      </c>
      <c r="CA122" s="490">
        <f t="shared" si="363"/>
        <v>1</v>
      </c>
      <c r="CB122" s="490">
        <f t="shared" si="363"/>
        <v>1.05</v>
      </c>
      <c r="CC122" s="490">
        <f t="shared" si="363"/>
        <v>1.1000000000000001</v>
      </c>
      <c r="CD122" s="490">
        <f t="shared" si="363"/>
        <v>1.2</v>
      </c>
      <c r="CE122" s="490">
        <f t="shared" si="363"/>
        <v>1</v>
      </c>
      <c r="CF122" s="490">
        <f t="shared" si="363"/>
        <v>1</v>
      </c>
      <c r="CH122" s="30">
        <f>IF(CK122=0, 0, EXP($D122*$E$2 * (($CN122/CK122) - 1)))</f>
        <v>0.23457028809379776</v>
      </c>
      <c r="CI122" s="30">
        <f>IF(CL122=0, 0, EXP($D122*$E$2 * (($CN122/CL122) - 1)))</f>
        <v>1</v>
      </c>
      <c r="CJ122" s="30">
        <f>IF(CM122=0, 0, EXP($D122*$E$2 * (($CN122/CM122) - 1)))</f>
        <v>1</v>
      </c>
      <c r="CK122" s="490">
        <f t="shared" si="359"/>
        <v>1.2</v>
      </c>
      <c r="CL122" s="490">
        <f t="shared" si="359"/>
        <v>1</v>
      </c>
      <c r="CM122" s="490">
        <f t="shared" si="359"/>
        <v>1</v>
      </c>
      <c r="CN122" s="704">
        <f>CN111</f>
        <v>1</v>
      </c>
    </row>
    <row r="123" spans="1:92">
      <c r="A123" s="818"/>
      <c r="B123" s="824"/>
      <c r="C123" s="23" t="s">
        <v>462</v>
      </c>
      <c r="D123" s="23"/>
      <c r="E123" s="23"/>
      <c r="F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64"/>
      <c r="AH123" s="23"/>
      <c r="AI123" s="23"/>
      <c r="AJ123" s="23"/>
      <c r="AK123" s="23"/>
      <c r="AL123" s="23"/>
      <c r="AM123" s="23"/>
      <c r="AN123" s="680">
        <f t="shared" ref="AN123:AS125" si="368">AN112</f>
        <v>2025</v>
      </c>
      <c r="AO123" s="680">
        <f t="shared" si="368"/>
        <v>2025</v>
      </c>
      <c r="AP123" s="680">
        <f t="shared" si="368"/>
        <v>2025</v>
      </c>
      <c r="AQ123" s="680">
        <f t="shared" si="368"/>
        <v>2025</v>
      </c>
      <c r="AR123" s="680">
        <f t="shared" si="368"/>
        <v>2028</v>
      </c>
      <c r="AS123" s="696">
        <f t="shared" si="368"/>
        <v>2030</v>
      </c>
      <c r="AU123" s="23"/>
      <c r="AV123" s="23"/>
      <c r="AW123" s="23"/>
      <c r="AX123" s="23"/>
      <c r="AY123" s="23"/>
      <c r="AZ123" s="23"/>
      <c r="BA123" s="680">
        <f t="shared" ref="BA123:BF125" si="369">BA112</f>
        <v>2025</v>
      </c>
      <c r="BB123" s="680">
        <f t="shared" si="369"/>
        <v>2025</v>
      </c>
      <c r="BC123" s="680">
        <f t="shared" si="369"/>
        <v>2025</v>
      </c>
      <c r="BD123" s="680">
        <f t="shared" si="369"/>
        <v>2025</v>
      </c>
      <c r="BE123" s="680">
        <f t="shared" si="369"/>
        <v>2028</v>
      </c>
      <c r="BF123" s="680">
        <f t="shared" si="369"/>
        <v>2030</v>
      </c>
      <c r="BH123" s="681"/>
      <c r="BI123" s="23"/>
      <c r="BJ123" s="23"/>
      <c r="BK123" s="23"/>
      <c r="BL123" s="23"/>
      <c r="BM123" s="23"/>
      <c r="BN123" s="491">
        <f t="shared" ref="BN123" si="370">BN112</f>
        <v>2025</v>
      </c>
      <c r="BO123" s="491">
        <f t="shared" si="362"/>
        <v>2025</v>
      </c>
      <c r="BP123" s="491">
        <f t="shared" si="362"/>
        <v>2025</v>
      </c>
      <c r="BQ123" s="491">
        <f t="shared" si="362"/>
        <v>2025</v>
      </c>
      <c r="BR123" s="491">
        <f t="shared" si="362"/>
        <v>2028</v>
      </c>
      <c r="BS123" s="491">
        <f t="shared" si="362"/>
        <v>2030</v>
      </c>
      <c r="BU123" s="681"/>
      <c r="BV123" s="23"/>
      <c r="BW123" s="23"/>
      <c r="BX123" s="23"/>
      <c r="BY123" s="23"/>
      <c r="BZ123" s="23"/>
      <c r="CA123" s="491">
        <f>BN123</f>
        <v>2025</v>
      </c>
      <c r="CB123" s="491">
        <f t="shared" ref="CB123:CB125" si="371">BO123</f>
        <v>2025</v>
      </c>
      <c r="CC123" s="491">
        <f t="shared" ref="CC123:CC125" si="372">BP123</f>
        <v>2025</v>
      </c>
      <c r="CD123" s="491">
        <f t="shared" ref="CD123:CD125" si="373">BQ123</f>
        <v>2025</v>
      </c>
      <c r="CE123" s="491">
        <f t="shared" ref="CE123:CE125" si="374">BR123</f>
        <v>2028</v>
      </c>
      <c r="CF123" s="491">
        <f t="shared" ref="CF123:CF125" si="375">BS123</f>
        <v>2030</v>
      </c>
      <c r="CN123" s="17">
        <f>CN112</f>
        <v>2025</v>
      </c>
    </row>
    <row r="124" spans="1:92">
      <c r="A124" s="818"/>
      <c r="B124" s="824"/>
      <c r="C124" s="23" t="s">
        <v>463</v>
      </c>
      <c r="D124" s="23"/>
      <c r="E124" s="23"/>
      <c r="F124" s="23"/>
      <c r="G124" s="23"/>
      <c r="H124" s="23"/>
      <c r="I124" s="23"/>
      <c r="J124" s="23"/>
      <c r="K124" s="23"/>
      <c r="L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6"/>
      <c r="AE124" s="23"/>
      <c r="AF124" s="23"/>
      <c r="AG124" s="64"/>
      <c r="AH124" s="23">
        <v>1</v>
      </c>
      <c r="AI124" s="701">
        <f>$BH124-($BO124-$BN124)/($BO$1-$BN124)</f>
        <v>0.85</v>
      </c>
      <c r="AJ124" s="701">
        <f>$BH124-($BP124-$BN124)/($BO$1-$BN124)</f>
        <v>0.85</v>
      </c>
      <c r="AK124" s="701">
        <f>$BH124-($BQ124-$BN124)/($BO$1-$BN124)</f>
        <v>0.9</v>
      </c>
      <c r="AL124" s="701">
        <f>$BH124-($BR124-$BN124)/($BO$1-$BN124)</f>
        <v>0.55000000000000004</v>
      </c>
      <c r="AM124" s="701">
        <f>$BH124-($BS124-$BN123)/($BO$1-$BN123)</f>
        <v>0.35</v>
      </c>
      <c r="AN124" s="680">
        <f t="shared" si="368"/>
        <v>2025</v>
      </c>
      <c r="AO124" s="680">
        <f t="shared" si="368"/>
        <v>2028</v>
      </c>
      <c r="AP124" s="680">
        <f t="shared" si="368"/>
        <v>2028</v>
      </c>
      <c r="AQ124" s="680">
        <f t="shared" si="368"/>
        <v>2027</v>
      </c>
      <c r="AR124" s="680">
        <f t="shared" si="368"/>
        <v>2034</v>
      </c>
      <c r="AS124" s="696">
        <f t="shared" si="368"/>
        <v>2038</v>
      </c>
      <c r="AU124" s="23">
        <v>1</v>
      </c>
      <c r="AV124" s="701">
        <f>$BH124-($BO124-$BN124)/($BO$1-$BN124)</f>
        <v>0.85</v>
      </c>
      <c r="AW124" s="701">
        <f>$BH124-($BP124-$BN124)/($BO$1-$BN124)</f>
        <v>0.85</v>
      </c>
      <c r="AX124" s="701">
        <f>$BH124-($BQ124-$BN124)/($BO$1-$BN124)</f>
        <v>0.9</v>
      </c>
      <c r="AY124" s="701">
        <f>$BH124-($BR124-$BN124)/($BO$1-$BN124)</f>
        <v>0.55000000000000004</v>
      </c>
      <c r="AZ124" s="701">
        <f>$BH124-($BS124-$BN123)/($BO$1-$BN123)</f>
        <v>0.35</v>
      </c>
      <c r="BA124" s="680">
        <f t="shared" si="369"/>
        <v>2025</v>
      </c>
      <c r="BB124" s="680">
        <f t="shared" si="369"/>
        <v>2028</v>
      </c>
      <c r="BC124" s="680">
        <f t="shared" si="369"/>
        <v>2028</v>
      </c>
      <c r="BD124" s="680">
        <f t="shared" si="369"/>
        <v>2027</v>
      </c>
      <c r="BE124" s="680">
        <f t="shared" si="369"/>
        <v>2034</v>
      </c>
      <c r="BF124" s="680">
        <f t="shared" si="369"/>
        <v>2038</v>
      </c>
      <c r="BH124" s="688">
        <v>1</v>
      </c>
      <c r="BI124" s="30">
        <f>$BH124-($BO124-$BN124)/($BO$1-$BN124)</f>
        <v>0.85</v>
      </c>
      <c r="BJ124" s="30">
        <f>$BH124-($BP124-$BN124)/($BO$1-$BN124)</f>
        <v>0.85</v>
      </c>
      <c r="BK124" s="30">
        <f>$BH124-($BQ124-$BN124)/($BO$1-$BN124)</f>
        <v>0.9</v>
      </c>
      <c r="BL124" s="30">
        <f>$BH124-($BR124-$BN124)/($BO$1-$BN124)</f>
        <v>0.55000000000000004</v>
      </c>
      <c r="BM124" s="30">
        <f>$BH124-($BS124-$BN123)/($BO$1-$BN123)</f>
        <v>0.35</v>
      </c>
      <c r="BN124" s="491">
        <f t="shared" ref="BN124" si="376">BN113</f>
        <v>2025</v>
      </c>
      <c r="BO124" s="491">
        <f t="shared" si="362"/>
        <v>2028</v>
      </c>
      <c r="BP124" s="491">
        <f t="shared" si="362"/>
        <v>2028</v>
      </c>
      <c r="BQ124" s="491">
        <f t="shared" si="362"/>
        <v>2027</v>
      </c>
      <c r="BR124" s="491">
        <f t="shared" si="362"/>
        <v>2034</v>
      </c>
      <c r="BS124" s="491">
        <f t="shared" si="362"/>
        <v>2038</v>
      </c>
      <c r="BU124" s="688">
        <v>1</v>
      </c>
      <c r="BV124" s="30">
        <f>$BU124-($CB124-$CA124)/($CB$1-$CA124)</f>
        <v>0.88</v>
      </c>
      <c r="BW124" s="30">
        <f>$BU124-($CC124-$CA124)/($CB$1-$CA124)</f>
        <v>0.88</v>
      </c>
      <c r="BX124" s="30">
        <f>$BU124-($CD124-$CA124)/($CB$1-$CA124)</f>
        <v>0.92</v>
      </c>
      <c r="BY124" s="30">
        <f>$BU124-($CE124-$CA124)/($CB$1-$CA124)</f>
        <v>0.64</v>
      </c>
      <c r="BZ124" s="30">
        <f>$BU124-($CF124-$CA123)/($CB$1-$CA123)</f>
        <v>0.48</v>
      </c>
      <c r="CA124" s="491">
        <f>BN124</f>
        <v>2025</v>
      </c>
      <c r="CB124" s="491">
        <f t="shared" si="371"/>
        <v>2028</v>
      </c>
      <c r="CC124" s="491">
        <f t="shared" si="372"/>
        <v>2028</v>
      </c>
      <c r="CD124" s="491">
        <f t="shared" si="373"/>
        <v>2027</v>
      </c>
      <c r="CE124" s="491">
        <f t="shared" si="374"/>
        <v>2034</v>
      </c>
      <c r="CF124" s="491">
        <f t="shared" si="375"/>
        <v>2038</v>
      </c>
      <c r="CN124" s="17">
        <f>CN113</f>
        <v>2025</v>
      </c>
    </row>
    <row r="125" spans="1:92">
      <c r="A125" s="818"/>
      <c r="B125" s="823"/>
      <c r="C125" s="23" t="s">
        <v>464</v>
      </c>
      <c r="D125" s="23"/>
      <c r="E125" s="23"/>
      <c r="F125" s="23"/>
      <c r="G125" s="23"/>
      <c r="H125" s="23"/>
      <c r="I125" s="23"/>
      <c r="J125" s="23"/>
      <c r="K125" s="23"/>
      <c r="L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6"/>
      <c r="AE125" s="23"/>
      <c r="AF125" s="23"/>
      <c r="AG125" s="64"/>
      <c r="AH125" s="694">
        <v>1</v>
      </c>
      <c r="AI125" s="694">
        <f>$BH125-($BO124-$BN124)/($BO125-$BN124)+($BO$1-$BO125)/($BO$1-$BN124)</f>
        <v>0.15000000000000002</v>
      </c>
      <c r="AJ125" s="694">
        <f>$BH125-($BP124-$BN124)/($BP125-$BN124)+($BO$1-$BP125)/($BO$1-$BN124)</f>
        <v>0.22499999999999998</v>
      </c>
      <c r="AK125" s="694">
        <f>$BH125-($BQ124-$BN124)/($BQ125-$BN124)+($BO$1-$BQ125)/($BO$1-$BN124)</f>
        <v>0.3</v>
      </c>
      <c r="AL125" s="694">
        <f>$BH125-($BR124-$BN124)/($BR125-$BN124)+($BO$1-$BR125)/($BO$1-$BN124)</f>
        <v>-0.37941176470588234</v>
      </c>
      <c r="AM125" s="694">
        <f>$BH125-($BS124-$BN123)/($BS125-$BN123)+($BO$1-$BS125)/($BO$1-$BN123)</f>
        <v>-0.65</v>
      </c>
      <c r="AN125" s="687">
        <f t="shared" si="368"/>
        <v>2025</v>
      </c>
      <c r="AO125" s="687">
        <f t="shared" si="368"/>
        <v>2030</v>
      </c>
      <c r="AP125" s="687">
        <f t="shared" si="368"/>
        <v>2033</v>
      </c>
      <c r="AQ125" s="687">
        <f t="shared" si="368"/>
        <v>2035</v>
      </c>
      <c r="AR125" s="687">
        <f t="shared" si="368"/>
        <v>2042</v>
      </c>
      <c r="AS125" s="697">
        <f t="shared" si="368"/>
        <v>2045</v>
      </c>
      <c r="AU125" s="694">
        <v>1</v>
      </c>
      <c r="AV125" s="694">
        <f>$BH125-($BO124-$BN124)/($BO125-$BN124)+($BO$1-$BO125)/($BO$1-$BN124)</f>
        <v>0.15000000000000002</v>
      </c>
      <c r="AW125" s="694">
        <f>$BH125-($BP124-$BN124)/($BP125-$BN124)+($BO$1-$BP125)/($BO$1-$BN124)</f>
        <v>0.22499999999999998</v>
      </c>
      <c r="AX125" s="694">
        <f>$BH125-($BQ124-$BN124)/($BQ125-$BN124)+($BO$1-$BQ125)/($BO$1-$BN124)</f>
        <v>0.3</v>
      </c>
      <c r="AY125" s="694">
        <f>$BH125-($BR124-$BN124)/($BR125-$BN124)+($BO$1-$BR125)/($BO$1-$BN124)</f>
        <v>-0.37941176470588234</v>
      </c>
      <c r="AZ125" s="694">
        <f>$BH125-($BS124-$BN123)/($BS125-$BN123)+($BO$1-$BS125)/($BO$1-$BN123)</f>
        <v>-0.65</v>
      </c>
      <c r="BA125" s="687">
        <f t="shared" si="369"/>
        <v>2025</v>
      </c>
      <c r="BB125" s="687">
        <f t="shared" si="369"/>
        <v>2030</v>
      </c>
      <c r="BC125" s="687">
        <f t="shared" si="369"/>
        <v>2033</v>
      </c>
      <c r="BD125" s="687">
        <f t="shared" si="369"/>
        <v>2035</v>
      </c>
      <c r="BE125" s="687">
        <f t="shared" si="369"/>
        <v>2042</v>
      </c>
      <c r="BF125" s="687">
        <f t="shared" si="369"/>
        <v>2045</v>
      </c>
      <c r="BH125" s="681"/>
      <c r="BI125" s="23"/>
      <c r="BJ125" s="23"/>
      <c r="BK125" s="23"/>
      <c r="BL125" s="23"/>
      <c r="BM125" s="23"/>
      <c r="BN125" s="491">
        <f t="shared" ref="BN125" si="377">BN114</f>
        <v>2025</v>
      </c>
      <c r="BO125" s="491">
        <f t="shared" si="362"/>
        <v>2030</v>
      </c>
      <c r="BP125" s="491">
        <f t="shared" si="362"/>
        <v>2033</v>
      </c>
      <c r="BQ125" s="491">
        <f t="shared" si="362"/>
        <v>2035</v>
      </c>
      <c r="BR125" s="491">
        <f t="shared" si="362"/>
        <v>2042</v>
      </c>
      <c r="BS125" s="491">
        <f t="shared" si="362"/>
        <v>2045</v>
      </c>
      <c r="BU125" s="688">
        <v>1</v>
      </c>
      <c r="BV125" s="30">
        <f>$BU125-($CB125-$CA125)/($CB$1-$CA125)</f>
        <v>0.8</v>
      </c>
      <c r="BW125" s="30">
        <f>$BU125-($CC125-$CA125)/($CB$1-$CA125)</f>
        <v>0.67999999999999994</v>
      </c>
      <c r="BX125" s="30">
        <f>$BU125-($CD125-$CA125)/($CB$1-$CA125)</f>
        <v>0.6</v>
      </c>
      <c r="BY125" s="30">
        <f>$BU125-($CE125-$CA125)/($CB$1-$CA125)</f>
        <v>0.31999999999999995</v>
      </c>
      <c r="BZ125" s="30">
        <f>$BU125-($CF125-$CA124)/($CB$1-$CA124)</f>
        <v>0.19999999999999996</v>
      </c>
      <c r="CA125" s="491">
        <f>BN125</f>
        <v>2025</v>
      </c>
      <c r="CB125" s="491">
        <f t="shared" si="371"/>
        <v>2030</v>
      </c>
      <c r="CC125" s="491">
        <f t="shared" si="372"/>
        <v>2033</v>
      </c>
      <c r="CD125" s="491">
        <f t="shared" si="373"/>
        <v>2035</v>
      </c>
      <c r="CE125" s="491">
        <f t="shared" si="374"/>
        <v>2042</v>
      </c>
      <c r="CF125" s="491">
        <f t="shared" si="375"/>
        <v>2045</v>
      </c>
      <c r="CH125" s="30">
        <f>CD125/CD125</f>
        <v>1</v>
      </c>
      <c r="CI125" s="30">
        <f>1-(CE125-CD125)/($CK$1-CD125)</f>
        <v>0.65</v>
      </c>
      <c r="CJ125" s="30">
        <f>1-(CF125-CD125)/($CK$1-CD125)</f>
        <v>0.5</v>
      </c>
      <c r="CK125" s="936" t="s">
        <v>1059</v>
      </c>
      <c r="CL125" s="937"/>
      <c r="CM125" s="937"/>
      <c r="CN125" s="17">
        <f>CN114</f>
        <v>2025</v>
      </c>
    </row>
    <row r="126" spans="1:92">
      <c r="A126" s="818">
        <v>12</v>
      </c>
      <c r="B126" s="822" t="s">
        <v>847</v>
      </c>
      <c r="C126" s="23" t="s">
        <v>452</v>
      </c>
      <c r="D126" s="450"/>
      <c r="E126" s="24" t="s">
        <v>454</v>
      </c>
      <c r="F126" s="24" t="s">
        <v>471</v>
      </c>
      <c r="G126" s="25"/>
      <c r="H126" s="24"/>
      <c r="I126" s="24" t="s">
        <v>454</v>
      </c>
      <c r="J126" s="25"/>
      <c r="K126" s="24"/>
      <c r="L126" s="25"/>
      <c r="M126" s="25"/>
      <c r="N126" s="25"/>
      <c r="O126" s="25"/>
      <c r="P126" s="25"/>
      <c r="Q126" s="24"/>
      <c r="R126" s="25"/>
      <c r="S126" s="25"/>
      <c r="T126" s="25"/>
      <c r="U126" s="25"/>
      <c r="V126" s="25"/>
      <c r="W126" s="24"/>
      <c r="X126" s="25"/>
      <c r="Y126" s="25"/>
      <c r="Z126" s="24"/>
      <c r="AA126" s="25"/>
      <c r="AB126" s="25"/>
      <c r="AD126" s="26"/>
      <c r="AE126" s="27"/>
      <c r="AF126" s="27"/>
      <c r="AH126" s="684"/>
      <c r="AI126" s="684"/>
      <c r="AJ126" s="684"/>
      <c r="AK126" s="684"/>
      <c r="AL126" s="684"/>
      <c r="AM126" s="684"/>
      <c r="AN126" s="684"/>
      <c r="AO126" s="684"/>
      <c r="AP126" s="684"/>
      <c r="AQ126" s="684"/>
      <c r="AR126" s="684"/>
      <c r="AS126" s="684"/>
      <c r="AU126" s="684"/>
      <c r="AV126" s="684"/>
      <c r="AW126" s="684"/>
      <c r="AX126" s="684"/>
      <c r="AY126" s="684"/>
      <c r="AZ126" s="684"/>
      <c r="BA126" s="684"/>
      <c r="BB126" s="684"/>
      <c r="BC126" s="684"/>
      <c r="BD126" s="684"/>
      <c r="BE126" s="684"/>
      <c r="BF126" s="689"/>
      <c r="BH126" s="447"/>
      <c r="BI126" s="445"/>
      <c r="BJ126" s="445"/>
      <c r="BK126" s="445"/>
      <c r="BL126" s="445"/>
      <c r="BM126" s="445"/>
      <c r="BO126" s="445"/>
      <c r="BP126" s="445"/>
      <c r="BU126" s="447"/>
      <c r="BV126" s="445"/>
      <c r="BW126" s="445"/>
      <c r="BX126" s="445"/>
      <c r="BY126" s="445"/>
      <c r="BZ126" s="445"/>
      <c r="CB126" s="445"/>
      <c r="CC126" s="445"/>
    </row>
    <row r="127" spans="1:92">
      <c r="A127" s="818"/>
      <c r="B127" s="824"/>
      <c r="C127" s="23" t="s">
        <v>455</v>
      </c>
      <c r="D127" s="450"/>
      <c r="E127" s="24"/>
      <c r="F127" s="24"/>
      <c r="G127" s="25"/>
      <c r="H127" s="24"/>
      <c r="I127" s="24"/>
      <c r="J127" s="25"/>
      <c r="K127" s="25"/>
      <c r="L127" s="25"/>
      <c r="M127" s="25"/>
      <c r="N127" s="25"/>
      <c r="O127" s="25"/>
      <c r="P127" s="25"/>
      <c r="Q127" s="24"/>
      <c r="R127" s="25"/>
      <c r="S127" s="25"/>
      <c r="T127" s="25"/>
      <c r="U127" s="25"/>
      <c r="V127" s="25"/>
      <c r="W127" s="24"/>
      <c r="X127" s="25"/>
      <c r="Y127" s="25"/>
      <c r="Z127" s="24"/>
      <c r="AA127" s="25"/>
      <c r="AB127" s="25"/>
      <c r="AD127" s="26"/>
      <c r="AE127" s="27"/>
      <c r="AF127" s="27"/>
      <c r="AH127" s="691">
        <f>Buckets!H14</f>
        <v>14390</v>
      </c>
      <c r="AI127" s="691">
        <f>Buckets!J14</f>
        <v>14390</v>
      </c>
      <c r="AJ127" s="691">
        <f>Buckets!K14</f>
        <v>0</v>
      </c>
      <c r="AK127" s="691">
        <f>AH127</f>
        <v>14390</v>
      </c>
      <c r="AL127" s="691">
        <f>AH127</f>
        <v>14390</v>
      </c>
      <c r="AM127" s="691">
        <f>AH127</f>
        <v>14390</v>
      </c>
      <c r="AU127" s="691">
        <f>Buckets!M14</f>
        <v>18030</v>
      </c>
      <c r="AV127" s="691">
        <f>Buckets!O14</f>
        <v>18030</v>
      </c>
      <c r="AW127" s="691">
        <f>Buckets!P14</f>
        <v>0</v>
      </c>
      <c r="AX127" s="691">
        <f>AU127</f>
        <v>18030</v>
      </c>
      <c r="AY127" s="691">
        <f>AU127</f>
        <v>18030</v>
      </c>
      <c r="AZ127" s="691">
        <f>AU127</f>
        <v>18030</v>
      </c>
      <c r="BH127" s="691">
        <f>Buckets!R14</f>
        <v>21520</v>
      </c>
      <c r="BI127" s="691">
        <f>Buckets!T14</f>
        <v>21520</v>
      </c>
      <c r="BJ127" s="691">
        <f>Buckets!U14</f>
        <v>0</v>
      </c>
      <c r="BK127" s="691">
        <f>BH127</f>
        <v>21520</v>
      </c>
      <c r="BL127" s="691">
        <f>BH127</f>
        <v>21520</v>
      </c>
      <c r="BM127" s="691">
        <f>BH127</f>
        <v>21520</v>
      </c>
      <c r="BU127" s="691">
        <f>Buckets!W14</f>
        <v>23550</v>
      </c>
      <c r="BV127" s="691">
        <f>Buckets!Y14</f>
        <v>23550</v>
      </c>
      <c r="BW127" s="691">
        <f>Buckets!Z14</f>
        <v>0</v>
      </c>
      <c r="BX127" s="691">
        <f>BU127</f>
        <v>23550</v>
      </c>
      <c r="BY127" s="691">
        <f>BU127</f>
        <v>23550</v>
      </c>
      <c r="BZ127" s="691">
        <f>BU127</f>
        <v>23550</v>
      </c>
    </row>
    <row r="128" spans="1:92">
      <c r="A128" s="818"/>
      <c r="B128" s="824"/>
      <c r="C128" s="28" t="s">
        <v>456</v>
      </c>
      <c r="D128" s="450"/>
      <c r="E128" s="24"/>
      <c r="F128" s="25"/>
      <c r="G128" s="25"/>
      <c r="H128" s="24"/>
      <c r="I128" s="24"/>
      <c r="J128" s="25"/>
      <c r="K128" s="24"/>
      <c r="L128" s="25"/>
      <c r="M128" s="25"/>
      <c r="N128" s="25"/>
      <c r="O128" s="25"/>
      <c r="P128" s="25"/>
      <c r="Q128" s="24"/>
      <c r="R128" s="25"/>
      <c r="S128" s="25"/>
      <c r="T128" s="25"/>
      <c r="U128" s="25"/>
      <c r="V128" s="25"/>
      <c r="W128" s="24"/>
      <c r="X128" s="25"/>
      <c r="Y128" s="25"/>
      <c r="Z128" s="24"/>
      <c r="AA128" s="25"/>
      <c r="AB128" s="25"/>
      <c r="AD128" s="26"/>
      <c r="AE128" s="27"/>
      <c r="AF128" s="27"/>
      <c r="AH128" s="686"/>
      <c r="AI128" s="686"/>
      <c r="AJ128" s="686"/>
      <c r="AK128" s="686"/>
      <c r="AL128" s="686"/>
      <c r="AM128" s="686"/>
      <c r="AN128" s="686"/>
      <c r="AO128" s="686"/>
      <c r="AP128" s="686"/>
      <c r="AQ128" s="686"/>
      <c r="AR128" s="686"/>
      <c r="AS128" s="686"/>
      <c r="AU128" s="686"/>
      <c r="AV128" s="686"/>
      <c r="AW128" s="686"/>
      <c r="AX128" s="686"/>
      <c r="AY128" s="686"/>
      <c r="AZ128" s="686"/>
      <c r="BA128" s="686"/>
      <c r="BB128" s="686"/>
      <c r="BC128" s="686"/>
      <c r="BD128" s="686"/>
      <c r="BE128" s="686"/>
      <c r="BF128" s="690"/>
      <c r="BH128" s="447"/>
      <c r="BI128" s="445"/>
      <c r="BJ128" s="445"/>
      <c r="BK128" s="445"/>
      <c r="BL128" s="445"/>
      <c r="BM128" s="445"/>
      <c r="BO128" s="445"/>
      <c r="BP128" s="445"/>
      <c r="BU128" s="447"/>
      <c r="BV128" s="445"/>
      <c r="BW128" s="445"/>
      <c r="BX128" s="445"/>
      <c r="BY128" s="445"/>
      <c r="BZ128" s="445"/>
      <c r="CB128" s="445"/>
      <c r="CC128" s="445"/>
    </row>
    <row r="129" spans="1:92">
      <c r="A129" s="818"/>
      <c r="B129" s="824"/>
      <c r="C129" s="23" t="s">
        <v>457</v>
      </c>
      <c r="D129" s="29">
        <f t="shared" ref="D129:D133" si="378">AVERAGE(E129:AB129)</f>
        <v>8.6666666666666661</v>
      </c>
      <c r="E129" s="451">
        <v>9</v>
      </c>
      <c r="F129" s="27">
        <v>9</v>
      </c>
      <c r="G129" s="27"/>
      <c r="H129" s="26"/>
      <c r="I129" s="451">
        <v>8</v>
      </c>
      <c r="J129" s="27"/>
      <c r="K129" s="26"/>
      <c r="L129" s="27"/>
      <c r="M129" s="27"/>
      <c r="N129" s="27"/>
      <c r="O129" s="27"/>
      <c r="P129" s="27"/>
      <c r="Q129" s="26"/>
      <c r="R129" s="27"/>
      <c r="S129" s="27"/>
      <c r="T129" s="27"/>
      <c r="U129" s="27"/>
      <c r="V129" s="27"/>
      <c r="W129" s="26"/>
      <c r="X129" s="27"/>
      <c r="Y129" s="27"/>
      <c r="Z129" s="26"/>
      <c r="AA129" s="27"/>
      <c r="AB129" s="27"/>
      <c r="AD129" s="32"/>
      <c r="AE129" s="27"/>
      <c r="AF129" s="27"/>
      <c r="AH129" s="693">
        <f t="shared" ref="AH129:AM129" si="379">IF(AN129=0, 0, EXP($D129*$E$2  * (($AN129/AN129) - 1)) )</f>
        <v>1</v>
      </c>
      <c r="AI129" s="693">
        <f t="shared" si="379"/>
        <v>0.90911160762111942</v>
      </c>
      <c r="AJ129" s="693">
        <f t="shared" si="379"/>
        <v>0.97127229863825115</v>
      </c>
      <c r="AK129" s="693">
        <f t="shared" si="379"/>
        <v>1.3023706387486731</v>
      </c>
      <c r="AL129" s="693">
        <f t="shared" si="379"/>
        <v>3.3640290895820789E-2</v>
      </c>
      <c r="AM129" s="693">
        <f t="shared" si="379"/>
        <v>1.4794618900649342E-2</v>
      </c>
      <c r="AN129" s="685">
        <f>'B12 POL&amp;CNG Tankers 28T'!$M$165</f>
        <v>59.477880787462929</v>
      </c>
      <c r="AO129" s="685">
        <f>'B12 POL&amp;CNG Tankers 28T'!$M$166</f>
        <v>59.917060914387719</v>
      </c>
      <c r="AP129" s="685">
        <f>'B12 POL&amp;CNG Tankers 28T'!$M$167</f>
        <v>59.611540953985326</v>
      </c>
      <c r="AQ129" s="685">
        <f>'B12 POL&amp;CNG Tankers 28T'!$M$168</f>
        <v>58.293244697220779</v>
      </c>
      <c r="AR129" s="685">
        <f>'B12 POL&amp;CNG Tankers 28T'!$M$169</f>
        <v>80.476158266934945</v>
      </c>
      <c r="AS129" s="695">
        <f>'B12 POL&amp;CNG Tankers 28T'!$M$170</f>
        <v>87.9999686364133</v>
      </c>
      <c r="AU129" s="693">
        <f t="shared" ref="AU129:AZ129" si="380">IF(BA129=0, 0, EXP($D129*$E$2* (($BA129/BA129) - 1)) )</f>
        <v>1</v>
      </c>
      <c r="AV129" s="693">
        <f t="shared" si="380"/>
        <v>0.68881061383278674</v>
      </c>
      <c r="AW129" s="693">
        <f t="shared" si="380"/>
        <v>0.74733835677260618</v>
      </c>
      <c r="AX129" s="693">
        <f t="shared" si="380"/>
        <v>5.6925117052667593</v>
      </c>
      <c r="AY129" s="693">
        <f t="shared" si="380"/>
        <v>0.20413058348392682</v>
      </c>
      <c r="AZ129" s="693">
        <f t="shared" si="380"/>
        <v>8.9082050219349396E-2</v>
      </c>
      <c r="BA129" s="685">
        <f>'B12 POL&amp;CNG Tankers 28T'!$R$165</f>
        <v>68.971470481622021</v>
      </c>
      <c r="BB129" s="685">
        <f>'B12 POL&amp;CNG Tankers 28T'!$R$166</f>
        <v>71.007692067142855</v>
      </c>
      <c r="BC129" s="685">
        <f>'B12 POL&amp;CNG Tankers 28T'!$R$167</f>
        <v>70.552038255047734</v>
      </c>
      <c r="BD129" s="685">
        <f>'B12 POL&amp;CNG Tankers 28T'!$R$168</f>
        <v>60.833156622722228</v>
      </c>
      <c r="BE129" s="685">
        <f>'B12 POL&amp;CNG Tankers 28T'!$R$169</f>
        <v>78.575826205654124</v>
      </c>
      <c r="BF129" s="685">
        <f>'B12 POL&amp;CNG Tankers 28T'!$R$170</f>
        <v>84.733117027917714</v>
      </c>
      <c r="BH129" s="688">
        <f>IF(BN129=0, 0, EXP($D129*$E$2 * (($BN129/BN129) - 1)) )</f>
        <v>1</v>
      </c>
      <c r="BI129" s="30">
        <f>IF(BO129=0, 0, EXP($D129*$E$2 * (($BN129/BO129) - 1)) )</f>
        <v>0.53647857098304652</v>
      </c>
      <c r="BJ129" s="30">
        <f>IF(BP129=0, 0, EXP($D129*$E$2 * (($BN129/BP129) - 1)) )</f>
        <v>0.59666822179708467</v>
      </c>
      <c r="BK129" s="30">
        <f>IF(BR129=0, 0, EXP($D129*$E$2 * (($BN129/BR129) - 1)) )</f>
        <v>0.83972396866973509</v>
      </c>
      <c r="BL129" s="30">
        <f>IF(BQ129=0, 0, EXP($D129*$E$2 * (($BN129/BQ129) - 1)) )</f>
        <v>9.2584962862813835</v>
      </c>
      <c r="BM129" s="30">
        <f>IF(BS129=0, 0, EXP($D129*$E$2 * (($BN129/BS129) - 1)) )</f>
        <v>0.32586619120450877</v>
      </c>
      <c r="BN129" s="492">
        <f>'B12 POL&amp;CNG Tankers 28T'!$W$165</f>
        <v>78.904323951838336</v>
      </c>
      <c r="BO129" s="492">
        <f>'B12 POL&amp;CNG Tankers 28T'!$W$166</f>
        <v>82.874179873193441</v>
      </c>
      <c r="BP129" s="492">
        <f>'B12 POL&amp;CNG Tankers 28T'!$W$167</f>
        <v>82.168262640275444</v>
      </c>
      <c r="BQ129" s="492">
        <f>'B12 POL&amp;CNG Tankers 28T'!$W$168</f>
        <v>67.370753378112639</v>
      </c>
      <c r="BR129" s="492">
        <f>'B12 POL&amp;CNG Tankers 28T'!$W$169</f>
        <v>79.979008346058038</v>
      </c>
      <c r="BS129" s="492">
        <f>'B12 POL&amp;CNG Tankers 28T'!$W$170</f>
        <v>86.352335352160395</v>
      </c>
      <c r="BU129" s="688">
        <f>IF(CA129=0, 0, EXP($D129*$E$2 * (($CA129/CA129) - 1)) )</f>
        <v>1</v>
      </c>
      <c r="BV129" s="30">
        <f>IF(CB129=0, 0, EXP($D129*$E$2 * (($CA129/CB129) - 1)) )</f>
        <v>0.42534469796244517</v>
      </c>
      <c r="BW129" s="30">
        <f>IF(CC129=0, 0, EXP($D129*$E$2 * (($CA129/CC129) - 1)) )</f>
        <v>0.47930915955794684</v>
      </c>
      <c r="BX129" s="30">
        <f>IF(CE129=0, 0, EXP($D129*$E$2 * (($CA129/CE129) - 1)) )</f>
        <v>3.3010906541544136</v>
      </c>
      <c r="BY129" s="30">
        <f>IF(CD129=0, 0, EXP($D129*$E$2 * (($CA129/CD129) - 1)) )</f>
        <v>24.630506973942492</v>
      </c>
      <c r="BZ129" s="30">
        <f>IF(CF129=0, 0, EXP($D129*$E$2 * (($CA129/CF129) - 1)) )</f>
        <v>1.5547162272653561</v>
      </c>
      <c r="CA129" s="492">
        <f>'B12 POL&amp;CNG Tankers 28T'!$AB$165</f>
        <v>92.100472901588105</v>
      </c>
      <c r="CB129" s="492">
        <f>'B12 POL&amp;CNG Tankers 28T'!$AB$166</f>
        <v>98.583111659102713</v>
      </c>
      <c r="CC129" s="492">
        <f>'B12 POL&amp;CNG Tankers 28T'!$AB$167</f>
        <v>97.623002095424681</v>
      </c>
      <c r="CD129" s="492">
        <f>'B12 POL&amp;CNG Tankers 28T'!$AB$168</f>
        <v>73.88960733673332</v>
      </c>
      <c r="CE129" s="492">
        <f>'B12 POL&amp;CNG Tankers 28T'!$AB$169</f>
        <v>84.351473436449055</v>
      </c>
      <c r="CF129" s="492">
        <f>'B12 POL&amp;CNG Tankers 28T'!$AB$170</f>
        <v>89.076708936676013</v>
      </c>
      <c r="CH129" s="30">
        <f>IF(CK129=0, 0, EXP($D129*$E$2 * (($CN129/CK129) - 1)))</f>
        <v>20.507737162645302</v>
      </c>
      <c r="CI129" s="30">
        <f>IF(CL129=0, 0, EXP($D129*$E$2 * (($CN129/CL129) - 1)))</f>
        <v>4.8468145542427594</v>
      </c>
      <c r="CJ129" s="30">
        <f>IF(CM129=0, 0, EXP($D129*$E$2 * (($CN129/CM129) - 1)))</f>
        <v>2.3620102258900322</v>
      </c>
      <c r="CK129" s="492">
        <f>'B12 POL&amp;CNG Tankers 28T'!$AG$168</f>
        <v>85.996417381699629</v>
      </c>
      <c r="CL129" s="492">
        <f>'B12 POL&amp;CNG Tankers 28T'!$AG$169</f>
        <v>94.505501025050179</v>
      </c>
      <c r="CM129" s="492">
        <f>'B12 POL&amp;CNG Tankers 28T'!$AG$170</f>
        <v>99.406926587109794</v>
      </c>
      <c r="CN129" s="703">
        <f>'B12 POL&amp;CNG Tankers 28T'!$AG$165</f>
        <v>105.97935353894397</v>
      </c>
    </row>
    <row r="130" spans="1:92">
      <c r="A130" s="818"/>
      <c r="B130" s="824"/>
      <c r="C130" s="23" t="s">
        <v>458</v>
      </c>
      <c r="D130" s="29">
        <f t="shared" si="378"/>
        <v>8.3333333333333339</v>
      </c>
      <c r="E130" s="451">
        <v>8</v>
      </c>
      <c r="F130" s="27">
        <v>8</v>
      </c>
      <c r="G130" s="27"/>
      <c r="H130" s="26"/>
      <c r="I130" s="451">
        <v>9</v>
      </c>
      <c r="J130" s="27"/>
      <c r="K130" s="26"/>
      <c r="L130" s="27"/>
      <c r="M130" s="27"/>
      <c r="N130" s="27"/>
      <c r="O130" s="27"/>
      <c r="P130" s="27"/>
      <c r="Q130" s="26"/>
      <c r="R130" s="27"/>
      <c r="S130" s="27"/>
      <c r="T130" s="27"/>
      <c r="U130" s="27"/>
      <c r="V130" s="27"/>
      <c r="W130" s="26"/>
      <c r="X130" s="27"/>
      <c r="Y130" s="27"/>
      <c r="Z130" s="26"/>
      <c r="AA130" s="27"/>
      <c r="AB130" s="27"/>
      <c r="AD130" s="32"/>
      <c r="AE130" s="27"/>
      <c r="AF130" s="27"/>
      <c r="AH130" s="693">
        <f t="shared" ref="AH130:AM130" si="381">IF(AN130=0, 0, EXP($D130*$F$2 * (($AN130/AN130) - 1)) )</f>
        <v>1</v>
      </c>
      <c r="AI130" s="693">
        <f t="shared" si="381"/>
        <v>0.47454993203977952</v>
      </c>
      <c r="AJ130" s="693">
        <f t="shared" si="381"/>
        <v>0.2595916485165099</v>
      </c>
      <c r="AK130" s="693">
        <f t="shared" si="381"/>
        <v>1.049858866987329E-2</v>
      </c>
      <c r="AL130" s="693">
        <f t="shared" si="381"/>
        <v>0.13845429762112887</v>
      </c>
      <c r="AM130" s="693">
        <f t="shared" si="381"/>
        <v>1.950618226468602E-3</v>
      </c>
      <c r="AN130" s="678">
        <f>'B12 POL&amp;CNG Tankers 28T'!$M$63</f>
        <v>5301800</v>
      </c>
      <c r="AO130" s="678">
        <f>'B12 POL&amp;CNG Tankers 28T'!$M$81</f>
        <v>5638000</v>
      </c>
      <c r="AP130" s="678">
        <f>'B12 POL&amp;CNG Tankers 28T'!$M$98</f>
        <v>5943000</v>
      </c>
      <c r="AQ130" s="678">
        <f>'B12 POL&amp;CNG Tankers 28T'!$M$132</f>
        <v>8343000</v>
      </c>
      <c r="AR130" s="678">
        <f>'B12 POL&amp;CNG Tankers 28T'!$M$115</f>
        <v>6298000</v>
      </c>
      <c r="AS130" s="682">
        <f>'B12 POL&amp;CNG Tankers 28T'!$M$149</f>
        <v>10586000</v>
      </c>
      <c r="AU130" s="693">
        <f t="shared" ref="AU130:AZ130" si="382">IF(BA130=0, 0, EXP($D130*$F$2 * (($BA130/BA130) - 1)) )</f>
        <v>1</v>
      </c>
      <c r="AV130" s="693">
        <f t="shared" si="382"/>
        <v>0.47450338074124165</v>
      </c>
      <c r="AW130" s="693">
        <f t="shared" si="382"/>
        <v>0.29084329137157167</v>
      </c>
      <c r="AX130" s="693">
        <f t="shared" si="382"/>
        <v>2.4883594743575217E-2</v>
      </c>
      <c r="AY130" s="693">
        <f t="shared" si="382"/>
        <v>0.23224094686735186</v>
      </c>
      <c r="AZ130" s="693">
        <f t="shared" si="382"/>
        <v>5.3268874490209322E-3</v>
      </c>
      <c r="BA130" s="678">
        <f>'B12 POL&amp;CNG Tankers 28T'!$R$63</f>
        <v>6146200</v>
      </c>
      <c r="BB130" s="678">
        <f>'B12 POL&amp;CNG Tankers 28T'!$R$81</f>
        <v>6536000</v>
      </c>
      <c r="BC130" s="678">
        <f>'B12 POL&amp;CNG Tankers 28T'!$R$98</f>
        <v>6820000</v>
      </c>
      <c r="BD130" s="678">
        <f>'B12 POL&amp;CNG Tankers 28T'!$R$132</f>
        <v>8724000</v>
      </c>
      <c r="BE130" s="678">
        <f>'B12 POL&amp;CNG Tankers 28T'!$R$115</f>
        <v>6959000</v>
      </c>
      <c r="BF130" s="678">
        <f>'B12 POL&amp;CNG Tankers 28T'!$R$149</f>
        <v>10575000</v>
      </c>
      <c r="BH130" s="688">
        <f t="shared" ref="BH130:BM130" si="383">IF(BN130=0, 0, EXP($D130*$F$2 * (($BN130/BN130) - 1)) )</f>
        <v>1</v>
      </c>
      <c r="BI130" s="30">
        <f t="shared" si="383"/>
        <v>0.47449094900871441</v>
      </c>
      <c r="BJ130" s="30">
        <f t="shared" si="383"/>
        <v>0.32313802311672807</v>
      </c>
      <c r="BK130" s="30">
        <f t="shared" si="383"/>
        <v>4.7251537999621999E-2</v>
      </c>
      <c r="BL130" s="30">
        <f t="shared" si="383"/>
        <v>0.26244065675401301</v>
      </c>
      <c r="BM130" s="30">
        <f t="shared" si="383"/>
        <v>1.1068923799772598E-2</v>
      </c>
      <c r="BN130" s="493">
        <f>'B12 POL&amp;CNG Tankers 28T'!$W$63</f>
        <v>7125100</v>
      </c>
      <c r="BO130" s="493">
        <f>'B12 POL&amp;CNG Tankers 28T'!$W$81</f>
        <v>7577000</v>
      </c>
      <c r="BP130" s="493">
        <f>'B12 POL&amp;CNG Tankers 28T'!$W$98</f>
        <v>7833000</v>
      </c>
      <c r="BQ130" s="493">
        <f>'B12 POL&amp;CNG Tankers 28T'!$W$132</f>
        <v>9427000</v>
      </c>
      <c r="BR130" s="493">
        <f>'B12 POL&amp;CNG Tankers 28T'!$W$115</f>
        <v>7979000</v>
      </c>
      <c r="BS130" s="494">
        <f>'B12 POL&amp;CNG Tankers 28T'!$W$149</f>
        <v>11138000</v>
      </c>
      <c r="BU130" s="688">
        <f t="shared" ref="BU130:BZ130" si="384">IF(CA130=0, 0, EXP($D130*$F$2 * (($CA130/CA130) - 1)) )</f>
        <v>1</v>
      </c>
      <c r="BV130" s="30">
        <f t="shared" si="384"/>
        <v>0.47511740929861818</v>
      </c>
      <c r="BW130" s="30">
        <f t="shared" si="384"/>
        <v>0.35603172002316863</v>
      </c>
      <c r="BX130" s="30">
        <f t="shared" si="384"/>
        <v>7.4444374867750976E-2</v>
      </c>
      <c r="BY130" s="30">
        <f t="shared" si="384"/>
        <v>0.29395265174090979</v>
      </c>
      <c r="BZ130" s="30">
        <f t="shared" si="384"/>
        <v>2.1996822078749489E-2</v>
      </c>
      <c r="CA130" s="493">
        <f>'B12 POL&amp;CNG Tankers 28T'!$AB$63</f>
        <v>8260100</v>
      </c>
      <c r="CB130" s="493">
        <f>'B12 POL&amp;CNG Tankers 28T'!$AB$81</f>
        <v>8783000</v>
      </c>
      <c r="CC130" s="493">
        <f>'B12 POL&amp;CNG Tankers 28T'!$AB$98</f>
        <v>9004000</v>
      </c>
      <c r="CD130" s="493">
        <f>'B12 POL&amp;CNG Tankers 28T'!$AB$132</f>
        <v>10427000</v>
      </c>
      <c r="CE130" s="493">
        <f>'B12 POL&amp;CNG Tankers 28T'!$AB$115</f>
        <v>9157000</v>
      </c>
      <c r="CF130" s="494">
        <f>'B12 POL&amp;CNG Tankers 28T'!$AB$149</f>
        <v>11891000</v>
      </c>
      <c r="CH130" s="30">
        <f>IF(CK130=0, 0, EXP($D130*$F$2 * (($CN130/CK130) - 1)))</f>
        <v>9.4206705975023675E-2</v>
      </c>
      <c r="CI130" s="30">
        <f>IF(CL130=0, 0, EXP($D130*$F$2 * (($CN130/CL130) - 1)))</f>
        <v>0.32597069029526032</v>
      </c>
      <c r="CJ130" s="30">
        <f>IF(CM130=0, 0, EXP($D130*$F$2 * (($CN130/CM130) - 1)))</f>
        <v>3.267655134767472E-2</v>
      </c>
      <c r="CK130" s="493">
        <f>'B12 POL&amp;CNG Tankers 28T'!$AG$132</f>
        <v>11807000</v>
      </c>
      <c r="CL130" s="493">
        <f>'B12 POL&amp;CNG Tankers 28T'!$AG$115</f>
        <v>10519000</v>
      </c>
      <c r="CM130" s="494">
        <f>'B12 POL&amp;CNG Tankers 28T'!$AG$149</f>
        <v>13184000</v>
      </c>
      <c r="CN130" s="17">
        <f>'B12 POL&amp;CNG Tankers 28T'!$AG$63</f>
        <v>9575700</v>
      </c>
    </row>
    <row r="131" spans="1:92">
      <c r="A131" s="818"/>
      <c r="B131" s="824"/>
      <c r="C131" s="23" t="s">
        <v>459</v>
      </c>
      <c r="D131" s="29">
        <f t="shared" si="378"/>
        <v>8.6666666666666661</v>
      </c>
      <c r="E131" s="451">
        <v>9</v>
      </c>
      <c r="F131" s="32">
        <v>9</v>
      </c>
      <c r="G131" s="32"/>
      <c r="H131" s="32"/>
      <c r="I131" s="451">
        <v>8</v>
      </c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D131" s="26"/>
      <c r="AE131" s="32"/>
      <c r="AF131" s="32"/>
      <c r="AH131" s="693">
        <f t="shared" ref="AH131:AM132" si="385">IF(AN131=0, 0, EXP($D131*$E$2 * ((AN131/$AN131) - 1)) )</f>
        <v>1</v>
      </c>
      <c r="AI131" s="693">
        <f t="shared" si="385"/>
        <v>1</v>
      </c>
      <c r="AJ131" s="693">
        <f t="shared" si="385"/>
        <v>1</v>
      </c>
      <c r="AK131" s="693">
        <f t="shared" si="385"/>
        <v>0.24526760348267987</v>
      </c>
      <c r="AL131" s="693">
        <f t="shared" si="385"/>
        <v>1</v>
      </c>
      <c r="AM131" s="693">
        <f t="shared" si="385"/>
        <v>0.53129788176043136</v>
      </c>
      <c r="AN131" s="678">
        <f>'B12 POL&amp;CNG Tankers 28T'!$C$17</f>
        <v>18500</v>
      </c>
      <c r="AO131" s="678">
        <f>AN131</f>
        <v>18500</v>
      </c>
      <c r="AP131" s="678">
        <f>AN131</f>
        <v>18500</v>
      </c>
      <c r="AQ131" s="678">
        <f>'B12 POL&amp;CNG Tankers 28T'!C18</f>
        <v>16500</v>
      </c>
      <c r="AR131" s="678">
        <f>AN131</f>
        <v>18500</v>
      </c>
      <c r="AS131" s="682">
        <f>'B12 POL&amp;CNG Tankers 28T'!C19</f>
        <v>17600</v>
      </c>
      <c r="AU131" s="693">
        <f t="shared" ref="AU131:AZ132" si="386">IF(BA131=0, 0, EXP($D131*$E$2 * ((BA131/$BA131) - 1)) )</f>
        <v>1</v>
      </c>
      <c r="AV131" s="693">
        <f t="shared" si="386"/>
        <v>1</v>
      </c>
      <c r="AW131" s="693">
        <f t="shared" si="386"/>
        <v>1</v>
      </c>
      <c r="AX131" s="693">
        <f t="shared" si="386"/>
        <v>0.24526760348267987</v>
      </c>
      <c r="AY131" s="693">
        <f t="shared" si="386"/>
        <v>1</v>
      </c>
      <c r="AZ131" s="693">
        <f t="shared" si="386"/>
        <v>0.53129788176043136</v>
      </c>
      <c r="BA131" s="678">
        <f>'B12 POL&amp;CNG Tankers 28T'!$C$17</f>
        <v>18500</v>
      </c>
      <c r="BB131" s="678">
        <f>BA131</f>
        <v>18500</v>
      </c>
      <c r="BC131" s="678">
        <f>BA131</f>
        <v>18500</v>
      </c>
      <c r="BD131" s="678">
        <f>'B12 POL&amp;CNG Tankers 28T'!C18</f>
        <v>16500</v>
      </c>
      <c r="BE131" s="678">
        <f>BA131</f>
        <v>18500</v>
      </c>
      <c r="BF131" s="678">
        <f>'B12 POL&amp;CNG Tankers 28T'!C19</f>
        <v>17600</v>
      </c>
      <c r="BH131" s="688">
        <f t="shared" ref="BH131:BM132" si="387">IF(BN131=0, 0, EXP($D131*$E$2 * ((BN131/$BN131) - 1)) )</f>
        <v>1</v>
      </c>
      <c r="BI131" s="30">
        <f t="shared" si="387"/>
        <v>1</v>
      </c>
      <c r="BJ131" s="30">
        <f t="shared" si="387"/>
        <v>1</v>
      </c>
      <c r="BK131" s="30">
        <f t="shared" si="387"/>
        <v>0.24526760348267987</v>
      </c>
      <c r="BL131" s="30">
        <f t="shared" si="387"/>
        <v>1</v>
      </c>
      <c r="BM131" s="30">
        <f t="shared" si="387"/>
        <v>0.53129788176043136</v>
      </c>
      <c r="BN131" s="493">
        <f>'B12 POL&amp;CNG Tankers 28T'!$C$17</f>
        <v>18500</v>
      </c>
      <c r="BO131" s="493">
        <f>BN131</f>
        <v>18500</v>
      </c>
      <c r="BP131" s="493">
        <f>BN131</f>
        <v>18500</v>
      </c>
      <c r="BQ131" s="493">
        <f>'B12 POL&amp;CNG Tankers 28T'!$C$18</f>
        <v>16500</v>
      </c>
      <c r="BR131" s="493">
        <f>BN131</f>
        <v>18500</v>
      </c>
      <c r="BS131" s="493">
        <f>'B12 POL&amp;CNG Tankers 28T'!$C$19</f>
        <v>17600</v>
      </c>
      <c r="BU131" s="688">
        <f t="shared" ref="BU131:BZ132" si="388">IF(CA131=0, 0, EXP($D131*$E$2 * ((CA131/$CA131) - 1)) )</f>
        <v>1</v>
      </c>
      <c r="BV131" s="30">
        <f t="shared" si="388"/>
        <v>1</v>
      </c>
      <c r="BW131" s="30">
        <f t="shared" si="388"/>
        <v>1</v>
      </c>
      <c r="BX131" s="30">
        <f t="shared" si="388"/>
        <v>0.24526760348267987</v>
      </c>
      <c r="BY131" s="30">
        <f t="shared" si="388"/>
        <v>1</v>
      </c>
      <c r="BZ131" s="30">
        <f t="shared" si="388"/>
        <v>0.53129788176043136</v>
      </c>
      <c r="CA131" s="493">
        <f>'B12 POL&amp;CNG Tankers 28T'!$C$17</f>
        <v>18500</v>
      </c>
      <c r="CB131" s="493">
        <f>CA131</f>
        <v>18500</v>
      </c>
      <c r="CC131" s="493">
        <f>CA131</f>
        <v>18500</v>
      </c>
      <c r="CD131" s="493">
        <f>'B12 POL&amp;CNG Tankers 28T'!$C$18</f>
        <v>16500</v>
      </c>
      <c r="CE131" s="493">
        <f>CA131</f>
        <v>18500</v>
      </c>
      <c r="CF131" s="493">
        <f>'B12 POL&amp;CNG Tankers 28T'!$C$19</f>
        <v>17600</v>
      </c>
      <c r="CH131" s="30">
        <f t="shared" ref="CH131:CJ132" si="389">IF(CK131=0, 0, EXP($D131*$E$2 * ((CK131/$CN131) - 1)))</f>
        <v>0.24526760348267987</v>
      </c>
      <c r="CI131" s="30">
        <f t="shared" si="389"/>
        <v>1</v>
      </c>
      <c r="CJ131" s="30">
        <f t="shared" si="389"/>
        <v>0.53129788176043136</v>
      </c>
      <c r="CK131" s="493">
        <f t="shared" ref="CK131:CM133" si="390">BQ131</f>
        <v>16500</v>
      </c>
      <c r="CL131" s="493">
        <f t="shared" si="390"/>
        <v>18500</v>
      </c>
      <c r="CM131" s="493">
        <f t="shared" si="390"/>
        <v>17600</v>
      </c>
      <c r="CN131" s="17">
        <f>'B12 POL&amp;CNG Tankers 28T'!$C$17</f>
        <v>18500</v>
      </c>
    </row>
    <row r="132" spans="1:92">
      <c r="A132" s="818"/>
      <c r="B132" s="824"/>
      <c r="C132" s="23" t="s">
        <v>460</v>
      </c>
      <c r="D132" s="29">
        <f t="shared" si="378"/>
        <v>2.3333333333333335</v>
      </c>
      <c r="E132" s="451">
        <v>2</v>
      </c>
      <c r="F132" s="32">
        <v>3</v>
      </c>
      <c r="G132" s="32"/>
      <c r="H132" s="32"/>
      <c r="I132" s="451">
        <v>2</v>
      </c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D132" s="23"/>
      <c r="AE132" s="32"/>
      <c r="AF132" s="32"/>
      <c r="AH132" s="693">
        <f t="shared" si="385"/>
        <v>1</v>
      </c>
      <c r="AI132" s="693">
        <f t="shared" si="385"/>
        <v>0.83945702076920725</v>
      </c>
      <c r="AJ132" s="693">
        <f t="shared" si="385"/>
        <v>0.83945702076920725</v>
      </c>
      <c r="AK132" s="693">
        <f t="shared" si="385"/>
        <v>1.6904588483790908</v>
      </c>
      <c r="AL132" s="693">
        <f t="shared" si="385"/>
        <v>0.83945702076920725</v>
      </c>
      <c r="AM132" s="693">
        <f t="shared" si="385"/>
        <v>1.6904588483790908</v>
      </c>
      <c r="AN132" s="679">
        <f t="shared" ref="AN132:AS133" si="391">AN11</f>
        <v>1</v>
      </c>
      <c r="AO132" s="679">
        <f t="shared" si="391"/>
        <v>0.95</v>
      </c>
      <c r="AP132" s="679">
        <f t="shared" si="391"/>
        <v>0.95</v>
      </c>
      <c r="AQ132" s="679">
        <f t="shared" si="391"/>
        <v>1.1499999999999999</v>
      </c>
      <c r="AR132" s="679">
        <f t="shared" si="391"/>
        <v>0.95</v>
      </c>
      <c r="AS132" s="683">
        <f t="shared" si="391"/>
        <v>1.1499999999999999</v>
      </c>
      <c r="AU132" s="693">
        <f t="shared" si="386"/>
        <v>1</v>
      </c>
      <c r="AV132" s="693">
        <f t="shared" si="386"/>
        <v>0.83945702076920725</v>
      </c>
      <c r="AW132" s="693">
        <f t="shared" si="386"/>
        <v>0.83945702076920725</v>
      </c>
      <c r="AX132" s="693">
        <f t="shared" si="386"/>
        <v>1.6904588483790908</v>
      </c>
      <c r="AY132" s="693">
        <f t="shared" si="386"/>
        <v>0.83945702076920725</v>
      </c>
      <c r="AZ132" s="693">
        <f t="shared" si="386"/>
        <v>1.6904588483790908</v>
      </c>
      <c r="BA132" s="679">
        <f t="shared" ref="BA132:BF133" si="392">BA11</f>
        <v>1</v>
      </c>
      <c r="BB132" s="679">
        <f t="shared" si="392"/>
        <v>0.95</v>
      </c>
      <c r="BC132" s="679">
        <f t="shared" si="392"/>
        <v>0.95</v>
      </c>
      <c r="BD132" s="679">
        <f t="shared" si="392"/>
        <v>1.1499999999999999</v>
      </c>
      <c r="BE132" s="679">
        <f t="shared" si="392"/>
        <v>0.95</v>
      </c>
      <c r="BF132" s="679">
        <f t="shared" si="392"/>
        <v>1.1499999999999999</v>
      </c>
      <c r="BH132" s="688">
        <f t="shared" si="387"/>
        <v>1</v>
      </c>
      <c r="BI132" s="30">
        <f t="shared" si="387"/>
        <v>0.83945702076920725</v>
      </c>
      <c r="BJ132" s="30">
        <f t="shared" si="387"/>
        <v>0.83945702076920725</v>
      </c>
      <c r="BK132" s="30">
        <f t="shared" si="387"/>
        <v>1.6904588483790908</v>
      </c>
      <c r="BL132" s="30">
        <f t="shared" si="387"/>
        <v>0.83945702076920725</v>
      </c>
      <c r="BM132" s="30">
        <f t="shared" si="387"/>
        <v>1.6904588483790908</v>
      </c>
      <c r="BN132" s="490">
        <f t="shared" ref="BN132:BS133" si="393">BN121</f>
        <v>1</v>
      </c>
      <c r="BO132" s="490">
        <f t="shared" si="393"/>
        <v>0.95</v>
      </c>
      <c r="BP132" s="490">
        <f t="shared" si="393"/>
        <v>0.95</v>
      </c>
      <c r="BQ132" s="490">
        <f t="shared" si="393"/>
        <v>1.1499999999999999</v>
      </c>
      <c r="BR132" s="490">
        <f t="shared" si="393"/>
        <v>0.95</v>
      </c>
      <c r="BS132" s="490">
        <f t="shared" si="393"/>
        <v>1.1499999999999999</v>
      </c>
      <c r="BU132" s="688">
        <f t="shared" si="388"/>
        <v>1</v>
      </c>
      <c r="BV132" s="30">
        <f t="shared" si="388"/>
        <v>0.83945702076920725</v>
      </c>
      <c r="BW132" s="30">
        <f t="shared" si="388"/>
        <v>0.83945702076920725</v>
      </c>
      <c r="BX132" s="30">
        <f t="shared" si="388"/>
        <v>1.6904588483790908</v>
      </c>
      <c r="BY132" s="30">
        <f t="shared" si="388"/>
        <v>0.83945702076920725</v>
      </c>
      <c r="BZ132" s="30">
        <f t="shared" si="388"/>
        <v>1.6904588483790908</v>
      </c>
      <c r="CA132" s="490">
        <f t="shared" ref="CA132:CF133" si="394">CA121</f>
        <v>1</v>
      </c>
      <c r="CB132" s="490">
        <f t="shared" si="394"/>
        <v>0.95</v>
      </c>
      <c r="CC132" s="490">
        <f t="shared" si="394"/>
        <v>0.95</v>
      </c>
      <c r="CD132" s="490">
        <f t="shared" si="394"/>
        <v>1.1499999999999999</v>
      </c>
      <c r="CE132" s="490">
        <f t="shared" si="394"/>
        <v>0.95</v>
      </c>
      <c r="CF132" s="490">
        <f t="shared" si="394"/>
        <v>1.1499999999999999</v>
      </c>
      <c r="CH132" s="30">
        <f t="shared" si="389"/>
        <v>1.6904588483790908</v>
      </c>
      <c r="CI132" s="30">
        <f t="shared" si="389"/>
        <v>0.83945702076920725</v>
      </c>
      <c r="CJ132" s="30">
        <f t="shared" si="389"/>
        <v>1.6904588483790908</v>
      </c>
      <c r="CK132" s="490">
        <f t="shared" si="390"/>
        <v>1.1499999999999999</v>
      </c>
      <c r="CL132" s="490">
        <f t="shared" si="390"/>
        <v>0.95</v>
      </c>
      <c r="CM132" s="490">
        <f t="shared" si="390"/>
        <v>1.1499999999999999</v>
      </c>
      <c r="CN132" s="704">
        <f>CN121</f>
        <v>1</v>
      </c>
    </row>
    <row r="133" spans="1:92">
      <c r="A133" s="818"/>
      <c r="B133" s="824"/>
      <c r="C133" s="34" t="s">
        <v>461</v>
      </c>
      <c r="D133" s="29">
        <f t="shared" si="378"/>
        <v>4.666666666666667</v>
      </c>
      <c r="E133" s="451">
        <v>1</v>
      </c>
      <c r="F133" s="26">
        <v>4</v>
      </c>
      <c r="G133" s="26"/>
      <c r="H133" s="26"/>
      <c r="I133" s="451">
        <v>9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D133" s="23"/>
      <c r="AE133" s="26"/>
      <c r="AF133" s="26"/>
      <c r="AH133" s="693">
        <f t="shared" ref="AH133:AM133" si="395">IF(AN133=0, 0, EXP($D133*$E$2  * (($AN133/AN133) - 1)) )</f>
        <v>1</v>
      </c>
      <c r="AI133" s="693">
        <f t="shared" si="395"/>
        <v>0.71653131057378894</v>
      </c>
      <c r="AJ133" s="693">
        <f t="shared" si="395"/>
        <v>0.52921334150005017</v>
      </c>
      <c r="AK133" s="693">
        <f t="shared" si="395"/>
        <v>0.31140322391459774</v>
      </c>
      <c r="AL133" s="693">
        <f t="shared" si="395"/>
        <v>1</v>
      </c>
      <c r="AM133" s="693">
        <f t="shared" si="395"/>
        <v>1</v>
      </c>
      <c r="AN133" s="679">
        <f t="shared" si="391"/>
        <v>1</v>
      </c>
      <c r="AO133" s="679">
        <f t="shared" si="391"/>
        <v>1.05</v>
      </c>
      <c r="AP133" s="679">
        <f t="shared" si="391"/>
        <v>1.1000000000000001</v>
      </c>
      <c r="AQ133" s="679">
        <f t="shared" si="391"/>
        <v>1.2</v>
      </c>
      <c r="AR133" s="679">
        <f t="shared" si="391"/>
        <v>1</v>
      </c>
      <c r="AS133" s="683">
        <f t="shared" si="391"/>
        <v>1</v>
      </c>
      <c r="AU133" s="693">
        <f t="shared" ref="AU133:AZ133" si="396">IF(BA133=0, 0, EXP($D133*$E$2* (($BA133/BA133) - 1)) )</f>
        <v>1</v>
      </c>
      <c r="AV133" s="693">
        <f t="shared" si="396"/>
        <v>0.71653131057378894</v>
      </c>
      <c r="AW133" s="693">
        <f t="shared" si="396"/>
        <v>0.52921334150005017</v>
      </c>
      <c r="AX133" s="693">
        <f t="shared" si="396"/>
        <v>0.31140322391459774</v>
      </c>
      <c r="AY133" s="693">
        <f t="shared" si="396"/>
        <v>1</v>
      </c>
      <c r="AZ133" s="693">
        <f t="shared" si="396"/>
        <v>1</v>
      </c>
      <c r="BA133" s="679">
        <f t="shared" si="392"/>
        <v>1</v>
      </c>
      <c r="BB133" s="679">
        <f t="shared" si="392"/>
        <v>1.05</v>
      </c>
      <c r="BC133" s="679">
        <f t="shared" si="392"/>
        <v>1.1000000000000001</v>
      </c>
      <c r="BD133" s="679">
        <f t="shared" si="392"/>
        <v>1.2</v>
      </c>
      <c r="BE133" s="679">
        <f t="shared" si="392"/>
        <v>1</v>
      </c>
      <c r="BF133" s="679">
        <f t="shared" si="392"/>
        <v>1</v>
      </c>
      <c r="BH133" s="688">
        <f t="shared" ref="BH133:BM133" si="397">IF(BN133=0, 0, EXP($D133*$E$2 * (($BN133/BN133) - 1)) )</f>
        <v>1</v>
      </c>
      <c r="BI133" s="30">
        <f t="shared" si="397"/>
        <v>0.71653131057378894</v>
      </c>
      <c r="BJ133" s="30">
        <f t="shared" si="397"/>
        <v>0.52921334150005017</v>
      </c>
      <c r="BK133" s="30">
        <f t="shared" si="397"/>
        <v>0.31140322391459774</v>
      </c>
      <c r="BL133" s="30">
        <f t="shared" si="397"/>
        <v>1</v>
      </c>
      <c r="BM133" s="30">
        <f t="shared" si="397"/>
        <v>1</v>
      </c>
      <c r="BN133" s="490">
        <f t="shared" si="393"/>
        <v>1</v>
      </c>
      <c r="BO133" s="490">
        <f t="shared" si="393"/>
        <v>1.05</v>
      </c>
      <c r="BP133" s="490">
        <f t="shared" si="393"/>
        <v>1.1000000000000001</v>
      </c>
      <c r="BQ133" s="490">
        <f t="shared" si="393"/>
        <v>1.2</v>
      </c>
      <c r="BR133" s="490">
        <f t="shared" si="393"/>
        <v>1</v>
      </c>
      <c r="BS133" s="490">
        <f t="shared" si="393"/>
        <v>1</v>
      </c>
      <c r="BU133" s="688">
        <f t="shared" ref="BU133:BZ133" si="398">IF(CA133=0, 0, EXP($D133*$E$2 * (($CA133/CA133) - 1)) )</f>
        <v>1</v>
      </c>
      <c r="BV133" s="30">
        <f t="shared" si="398"/>
        <v>0.71653131057378894</v>
      </c>
      <c r="BW133" s="30">
        <f t="shared" si="398"/>
        <v>0.52921334150005017</v>
      </c>
      <c r="BX133" s="30">
        <f t="shared" si="398"/>
        <v>0.31140322391459774</v>
      </c>
      <c r="BY133" s="30">
        <f t="shared" si="398"/>
        <v>1</v>
      </c>
      <c r="BZ133" s="30">
        <f t="shared" si="398"/>
        <v>1</v>
      </c>
      <c r="CA133" s="490">
        <f t="shared" si="394"/>
        <v>1</v>
      </c>
      <c r="CB133" s="490">
        <f t="shared" si="394"/>
        <v>1.05</v>
      </c>
      <c r="CC133" s="490">
        <f t="shared" si="394"/>
        <v>1.1000000000000001</v>
      </c>
      <c r="CD133" s="490">
        <f t="shared" si="394"/>
        <v>1.2</v>
      </c>
      <c r="CE133" s="490">
        <f t="shared" si="394"/>
        <v>1</v>
      </c>
      <c r="CF133" s="490">
        <f t="shared" si="394"/>
        <v>1</v>
      </c>
      <c r="CH133" s="30">
        <f>IF(CK133=0, 0, EXP($D133*$E$2 * (($CN133/CK133) - 1)))</f>
        <v>0.31140322391459774</v>
      </c>
      <c r="CI133" s="30">
        <f>IF(CL133=0, 0, EXP($D133*$E$2 * (($CN133/CL133) - 1)))</f>
        <v>1</v>
      </c>
      <c r="CJ133" s="30">
        <f>IF(CM133=0, 0, EXP($D133*$E$2 * (($CN133/CM133) - 1)))</f>
        <v>1</v>
      </c>
      <c r="CK133" s="490">
        <f t="shared" si="390"/>
        <v>1.2</v>
      </c>
      <c r="CL133" s="490">
        <f t="shared" si="390"/>
        <v>1</v>
      </c>
      <c r="CM133" s="490">
        <f t="shared" si="390"/>
        <v>1</v>
      </c>
      <c r="CN133" s="704">
        <f>CN122</f>
        <v>1</v>
      </c>
    </row>
    <row r="134" spans="1:92">
      <c r="A134" s="818"/>
      <c r="B134" s="824"/>
      <c r="C134" s="23" t="s">
        <v>462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64"/>
      <c r="AH134" s="23"/>
      <c r="AI134" s="23"/>
      <c r="AJ134" s="23"/>
      <c r="AK134" s="23"/>
      <c r="AL134" s="23"/>
      <c r="AM134" s="23"/>
      <c r="AN134" s="680">
        <f t="shared" ref="AN134:AS135" si="399">AN57</f>
        <v>2025</v>
      </c>
      <c r="AO134" s="680">
        <f t="shared" si="399"/>
        <v>2025</v>
      </c>
      <c r="AP134" s="680">
        <f t="shared" si="399"/>
        <v>2025</v>
      </c>
      <c r="AQ134" s="680">
        <f t="shared" si="399"/>
        <v>2025</v>
      </c>
      <c r="AR134" s="680">
        <f t="shared" si="399"/>
        <v>2028</v>
      </c>
      <c r="AS134" s="696">
        <f t="shared" si="399"/>
        <v>2030</v>
      </c>
      <c r="AU134" s="23"/>
      <c r="AV134" s="23"/>
      <c r="AW134" s="23"/>
      <c r="AX134" s="23"/>
      <c r="AY134" s="23"/>
      <c r="AZ134" s="23"/>
      <c r="BA134" s="680">
        <f t="shared" ref="BA134:BF135" si="400">BA57</f>
        <v>2025</v>
      </c>
      <c r="BB134" s="680">
        <f t="shared" si="400"/>
        <v>2025</v>
      </c>
      <c r="BC134" s="680">
        <f t="shared" si="400"/>
        <v>2025</v>
      </c>
      <c r="BD134" s="680">
        <f t="shared" si="400"/>
        <v>2025</v>
      </c>
      <c r="BE134" s="680">
        <f t="shared" si="400"/>
        <v>2028</v>
      </c>
      <c r="BF134" s="680">
        <f t="shared" si="400"/>
        <v>2030</v>
      </c>
      <c r="BH134" s="681"/>
      <c r="BI134" s="23"/>
      <c r="BJ134" s="23"/>
      <c r="BK134" s="23"/>
      <c r="BL134" s="23"/>
      <c r="BM134" s="23"/>
      <c r="BN134" s="491">
        <f t="shared" ref="BN134" si="401">BN57</f>
        <v>2025</v>
      </c>
      <c r="BO134" s="491">
        <f t="shared" ref="BO134:BS135" si="402">BO57</f>
        <v>2025</v>
      </c>
      <c r="BP134" s="491">
        <f t="shared" si="402"/>
        <v>2025</v>
      </c>
      <c r="BQ134" s="491">
        <f t="shared" si="402"/>
        <v>2025</v>
      </c>
      <c r="BR134" s="491">
        <f t="shared" si="402"/>
        <v>2028</v>
      </c>
      <c r="BS134" s="491">
        <f t="shared" si="402"/>
        <v>2030</v>
      </c>
      <c r="BU134" s="681"/>
      <c r="BV134" s="23"/>
      <c r="BW134" s="23"/>
      <c r="BX134" s="23"/>
      <c r="BY134" s="23"/>
      <c r="BZ134" s="23"/>
      <c r="CA134" s="491">
        <f>BN134</f>
        <v>2025</v>
      </c>
      <c r="CB134" s="491">
        <f t="shared" ref="CB134:CB136" si="403">BO134</f>
        <v>2025</v>
      </c>
      <c r="CC134" s="491">
        <f t="shared" ref="CC134:CC136" si="404">BP134</f>
        <v>2025</v>
      </c>
      <c r="CD134" s="491">
        <f t="shared" ref="CD134:CD136" si="405">BQ134</f>
        <v>2025</v>
      </c>
      <c r="CE134" s="491">
        <f t="shared" ref="CE134:CE136" si="406">BR134</f>
        <v>2028</v>
      </c>
      <c r="CF134" s="491">
        <f t="shared" ref="CF134:CF136" si="407">BS134</f>
        <v>2030</v>
      </c>
      <c r="CN134" s="17">
        <f>CN57</f>
        <v>2025</v>
      </c>
    </row>
    <row r="135" spans="1:92">
      <c r="A135" s="818"/>
      <c r="B135" s="824"/>
      <c r="C135" s="23" t="s">
        <v>463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E135" s="23"/>
      <c r="AF135" s="23"/>
      <c r="AG135" s="64"/>
      <c r="AH135" s="23">
        <v>1</v>
      </c>
      <c r="AI135" s="701">
        <f>$BH135-($BO135-$BN135)/($BO$1-$BN135)</f>
        <v>0.9</v>
      </c>
      <c r="AJ135" s="701">
        <f>$BH135-($BP135-$BN135)/($BO$1-$BN135)</f>
        <v>0.75</v>
      </c>
      <c r="AK135" s="701">
        <f>$BH135-($BQ135-$BN135)/($BO$1-$BN135)</f>
        <v>0.85</v>
      </c>
      <c r="AL135" s="701">
        <f>$BH135-($BR135-$BN135)/($BO$1-$BN135)</f>
        <v>0.55000000000000004</v>
      </c>
      <c r="AM135" s="701">
        <f>$BH135-($BS135-$BN134)/($BO$1-$BN134)</f>
        <v>0.35</v>
      </c>
      <c r="AN135" s="680">
        <f t="shared" si="399"/>
        <v>2025</v>
      </c>
      <c r="AO135" s="680">
        <f t="shared" si="399"/>
        <v>2027</v>
      </c>
      <c r="AP135" s="680">
        <f t="shared" si="399"/>
        <v>2030</v>
      </c>
      <c r="AQ135" s="680">
        <f t="shared" si="399"/>
        <v>2028</v>
      </c>
      <c r="AR135" s="680">
        <f t="shared" si="399"/>
        <v>2034</v>
      </c>
      <c r="AS135" s="696">
        <f t="shared" si="399"/>
        <v>2038</v>
      </c>
      <c r="AU135" s="23">
        <v>1</v>
      </c>
      <c r="AV135" s="701">
        <f>$BH135-($BO135-$BN135)/($BO$1-$BN135)</f>
        <v>0.9</v>
      </c>
      <c r="AW135" s="701">
        <f>$BH135-($BP135-$BN135)/($BO$1-$BN135)</f>
        <v>0.75</v>
      </c>
      <c r="AX135" s="701">
        <f>$BH135-($BQ135-$BN135)/($BO$1-$BN135)</f>
        <v>0.85</v>
      </c>
      <c r="AY135" s="701">
        <f>$BH135-($BR135-$BN135)/($BO$1-$BN135)</f>
        <v>0.55000000000000004</v>
      </c>
      <c r="AZ135" s="701">
        <f>$BH135-($BS135-$BN134)/($BO$1-$BN134)</f>
        <v>0.35</v>
      </c>
      <c r="BA135" s="680">
        <f t="shared" si="400"/>
        <v>2025</v>
      </c>
      <c r="BB135" s="680">
        <f t="shared" si="400"/>
        <v>2027</v>
      </c>
      <c r="BC135" s="680">
        <f t="shared" si="400"/>
        <v>2030</v>
      </c>
      <c r="BD135" s="680">
        <f t="shared" si="400"/>
        <v>2028</v>
      </c>
      <c r="BE135" s="680">
        <f t="shared" si="400"/>
        <v>2034</v>
      </c>
      <c r="BF135" s="680">
        <f t="shared" si="400"/>
        <v>2038</v>
      </c>
      <c r="BH135" s="688">
        <v>1</v>
      </c>
      <c r="BI135" s="30">
        <f>$BH135-($BO135-$BN135)/($BO$1-$BN135)</f>
        <v>0.9</v>
      </c>
      <c r="BJ135" s="30">
        <f>$BH135-($BP135-$BN135)/($BO$1-$BN135)</f>
        <v>0.75</v>
      </c>
      <c r="BK135" s="30">
        <f>$BH135-($BQ135-$BN135)/($BO$1-$BN135)</f>
        <v>0.85</v>
      </c>
      <c r="BL135" s="30">
        <f>$BH135-($BR135-$BN135)/($BO$1-$BN135)</f>
        <v>0.55000000000000004</v>
      </c>
      <c r="BM135" s="30">
        <f>$BH135-($BS135-$BN134)/($BO$1-$BN134)</f>
        <v>0.35</v>
      </c>
      <c r="BN135" s="491">
        <f t="shared" ref="BN135" si="408">BN58</f>
        <v>2025</v>
      </c>
      <c r="BO135" s="491">
        <f t="shared" si="402"/>
        <v>2027</v>
      </c>
      <c r="BP135" s="491">
        <f t="shared" si="402"/>
        <v>2030</v>
      </c>
      <c r="BQ135" s="491">
        <f t="shared" si="402"/>
        <v>2028</v>
      </c>
      <c r="BR135" s="491">
        <f t="shared" si="402"/>
        <v>2034</v>
      </c>
      <c r="BS135" s="491">
        <f t="shared" si="402"/>
        <v>2038</v>
      </c>
      <c r="BU135" s="688">
        <v>1</v>
      </c>
      <c r="BV135" s="30">
        <f>$BU135-($CB135-$CA135)/($CB$1-$CA135)</f>
        <v>0.92</v>
      </c>
      <c r="BW135" s="30">
        <f>$BU135-($CC135-$CA135)/($CB$1-$CA135)</f>
        <v>0.8</v>
      </c>
      <c r="BX135" s="30">
        <f>$BU135-($CD135-$CA135)/($CB$1-$CA135)</f>
        <v>0.88</v>
      </c>
      <c r="BY135" s="30">
        <f>$BU135-($CE135-$CA135)/($CB$1-$CA135)</f>
        <v>0.64</v>
      </c>
      <c r="BZ135" s="30">
        <f>$BU135-($CF135-$CA134)/($CB$1-$CA134)</f>
        <v>0.48</v>
      </c>
      <c r="CA135" s="491">
        <f>BN135</f>
        <v>2025</v>
      </c>
      <c r="CB135" s="491">
        <f t="shared" si="403"/>
        <v>2027</v>
      </c>
      <c r="CC135" s="491">
        <f t="shared" si="404"/>
        <v>2030</v>
      </c>
      <c r="CD135" s="491">
        <f t="shared" si="405"/>
        <v>2028</v>
      </c>
      <c r="CE135" s="491">
        <f t="shared" si="406"/>
        <v>2034</v>
      </c>
      <c r="CF135" s="491">
        <f t="shared" si="407"/>
        <v>2038</v>
      </c>
      <c r="CN135" s="17">
        <f>CN58</f>
        <v>2025</v>
      </c>
    </row>
    <row r="136" spans="1:92">
      <c r="A136" s="818"/>
      <c r="B136" s="823"/>
      <c r="C136" s="23" t="s">
        <v>464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E136" s="23"/>
      <c r="AF136" s="23"/>
      <c r="AG136" s="64"/>
      <c r="AH136" s="694">
        <v>1</v>
      </c>
      <c r="AI136" s="694">
        <f>$BH136-($BO135-$BN135)/($BO136-$BN135)+($BO$1-$BO136)/($BO$1-$BN135)</f>
        <v>0.35</v>
      </c>
      <c r="AJ136" s="694">
        <f>$BH136-($BP135-$BN135)/($BP136-$BN135)+($BO$1-$BP136)/($BO$1-$BN135)</f>
        <v>-2.5000000000000022E-2</v>
      </c>
      <c r="AK136" s="694">
        <f>$BH136-($BQ135-$BN135)/($BQ136-$BN135)+($BO$1-$BQ136)/($BO$1-$BN135)</f>
        <v>0.2</v>
      </c>
      <c r="AL136" s="694">
        <f>$BH136-($BR135-$BN135)/($BR136-$BN135)+($BO$1-$BR136)/($BO$1-$BN135)</f>
        <v>-0.37941176470588234</v>
      </c>
      <c r="AM136" s="694">
        <f>$BH136-($BS135-$BN134)/($BS136-$BN134)+($BO$1-$BS136)/($BO$1-$BN134)</f>
        <v>-0.65</v>
      </c>
      <c r="AN136" s="687">
        <f t="shared" ref="AN136:AS136" si="409">AN125</f>
        <v>2025</v>
      </c>
      <c r="AO136" s="687">
        <f t="shared" si="409"/>
        <v>2030</v>
      </c>
      <c r="AP136" s="687">
        <f t="shared" si="409"/>
        <v>2033</v>
      </c>
      <c r="AQ136" s="687">
        <f t="shared" si="409"/>
        <v>2035</v>
      </c>
      <c r="AR136" s="687">
        <f t="shared" si="409"/>
        <v>2042</v>
      </c>
      <c r="AS136" s="697">
        <f t="shared" si="409"/>
        <v>2045</v>
      </c>
      <c r="AU136" s="694">
        <v>1</v>
      </c>
      <c r="AV136" s="694">
        <f>$BH136-($BO135-$BN135)/($BO136-$BN135)+($BO$1-$BO136)/($BO$1-$BN135)</f>
        <v>0.35</v>
      </c>
      <c r="AW136" s="694">
        <f>$BH136-($BP135-$BN135)/($BP136-$BN135)+($BO$1-$BP136)/($BO$1-$BN135)</f>
        <v>-2.5000000000000022E-2</v>
      </c>
      <c r="AX136" s="694">
        <f>$BH136-($BQ135-$BN135)/($BQ136-$BN135)+($BO$1-$BQ136)/($BO$1-$BN135)</f>
        <v>0.2</v>
      </c>
      <c r="AY136" s="694">
        <f>$BH136-($BR135-$BN135)/($BR136-$BN135)+($BO$1-$BR136)/($BO$1-$BN135)</f>
        <v>-0.37941176470588234</v>
      </c>
      <c r="AZ136" s="694">
        <f>$BH136-($BS135-$BN134)/($BS136-$BN134)+($BO$1-$BS136)/($BO$1-$BN134)</f>
        <v>-0.65</v>
      </c>
      <c r="BA136" s="687">
        <f t="shared" ref="BA136:BF136" si="410">BA125</f>
        <v>2025</v>
      </c>
      <c r="BB136" s="687">
        <f t="shared" si="410"/>
        <v>2030</v>
      </c>
      <c r="BC136" s="687">
        <f t="shared" si="410"/>
        <v>2033</v>
      </c>
      <c r="BD136" s="687">
        <f t="shared" si="410"/>
        <v>2035</v>
      </c>
      <c r="BE136" s="687">
        <f t="shared" si="410"/>
        <v>2042</v>
      </c>
      <c r="BF136" s="687">
        <f t="shared" si="410"/>
        <v>2045</v>
      </c>
      <c r="BH136" s="681"/>
      <c r="BI136" s="23"/>
      <c r="BJ136" s="23"/>
      <c r="BK136" s="23"/>
      <c r="BL136" s="23"/>
      <c r="BM136" s="23"/>
      <c r="BN136" s="491">
        <f t="shared" ref="BN136" si="411">BN125</f>
        <v>2025</v>
      </c>
      <c r="BO136" s="491">
        <f t="shared" ref="BO136:BS136" si="412">BO125</f>
        <v>2030</v>
      </c>
      <c r="BP136" s="491">
        <f t="shared" si="412"/>
        <v>2033</v>
      </c>
      <c r="BQ136" s="491">
        <f t="shared" si="412"/>
        <v>2035</v>
      </c>
      <c r="BR136" s="491">
        <f t="shared" si="412"/>
        <v>2042</v>
      </c>
      <c r="BS136" s="491">
        <f t="shared" si="412"/>
        <v>2045</v>
      </c>
      <c r="BU136" s="688">
        <v>1</v>
      </c>
      <c r="BV136" s="30">
        <f>$BU136-($CB136-$CA136)/($CB$1-$CA136)</f>
        <v>0.8</v>
      </c>
      <c r="BW136" s="30">
        <f>$BU136-($CC136-$CA136)/($CB$1-$CA136)</f>
        <v>0.67999999999999994</v>
      </c>
      <c r="BX136" s="30">
        <f>$BU136-($CD136-$CA136)/($CB$1-$CA136)</f>
        <v>0.6</v>
      </c>
      <c r="BY136" s="30">
        <f>$BU136-($CE136-$CA136)/($CB$1-$CA136)</f>
        <v>0.31999999999999995</v>
      </c>
      <c r="BZ136" s="30">
        <f>$BU136-($CF136-$CA135)/($CB$1-$CA135)</f>
        <v>0.19999999999999996</v>
      </c>
      <c r="CA136" s="491">
        <f>BN136</f>
        <v>2025</v>
      </c>
      <c r="CB136" s="491">
        <f t="shared" si="403"/>
        <v>2030</v>
      </c>
      <c r="CC136" s="491">
        <f t="shared" si="404"/>
        <v>2033</v>
      </c>
      <c r="CD136" s="491">
        <f t="shared" si="405"/>
        <v>2035</v>
      </c>
      <c r="CE136" s="491">
        <f t="shared" si="406"/>
        <v>2042</v>
      </c>
      <c r="CF136" s="491">
        <f t="shared" si="407"/>
        <v>2045</v>
      </c>
      <c r="CH136" s="30">
        <f>CD136/CD136</f>
        <v>1</v>
      </c>
      <c r="CI136" s="30">
        <f>1-(CE136-CD136)/($CK$1-CD136)</f>
        <v>0.65</v>
      </c>
      <c r="CJ136" s="30">
        <f>1-(CF136-CD136)/($CK$1-CD136)</f>
        <v>0.5</v>
      </c>
      <c r="CK136" s="936" t="s">
        <v>1059</v>
      </c>
      <c r="CL136" s="937"/>
      <c r="CM136" s="937"/>
      <c r="CN136" s="17">
        <f>CN125</f>
        <v>2025</v>
      </c>
    </row>
    <row r="137" spans="1:92">
      <c r="A137" s="818">
        <v>13</v>
      </c>
      <c r="B137" s="822" t="s">
        <v>848</v>
      </c>
      <c r="C137" s="23" t="s">
        <v>452</v>
      </c>
      <c r="D137" s="450"/>
      <c r="E137" s="24" t="s">
        <v>454</v>
      </c>
      <c r="F137" s="24" t="s">
        <v>471</v>
      </c>
      <c r="G137" s="25"/>
      <c r="H137" s="24"/>
      <c r="I137" s="24" t="s">
        <v>454</v>
      </c>
      <c r="J137" s="25"/>
      <c r="K137" s="24"/>
      <c r="L137" s="25"/>
      <c r="M137" s="25"/>
      <c r="N137" s="25"/>
      <c r="O137" s="25"/>
      <c r="P137" s="25"/>
      <c r="Q137" s="24"/>
      <c r="R137" s="25"/>
      <c r="S137" s="25"/>
      <c r="T137" s="25"/>
      <c r="U137" s="25"/>
      <c r="V137" s="25"/>
      <c r="W137" s="24"/>
      <c r="X137" s="25"/>
      <c r="Y137" s="25"/>
      <c r="Z137" s="24"/>
      <c r="AA137" s="25"/>
      <c r="AB137" s="25"/>
      <c r="AD137" s="26"/>
      <c r="AE137" s="27"/>
      <c r="AF137" s="27"/>
      <c r="AH137" s="684"/>
      <c r="AI137" s="684"/>
      <c r="AJ137" s="684"/>
      <c r="AK137" s="684"/>
      <c r="AL137" s="684"/>
      <c r="AM137" s="684"/>
      <c r="AN137" s="684"/>
      <c r="AO137" s="684"/>
      <c r="AP137" s="684"/>
      <c r="AQ137" s="684"/>
      <c r="AR137" s="684"/>
      <c r="AS137" s="684"/>
      <c r="AU137" s="684"/>
      <c r="AV137" s="684"/>
      <c r="AW137" s="684"/>
      <c r="AX137" s="684"/>
      <c r="AY137" s="684"/>
      <c r="AZ137" s="684"/>
      <c r="BA137" s="684"/>
      <c r="BB137" s="684"/>
      <c r="BC137" s="684"/>
      <c r="BD137" s="684"/>
      <c r="BE137" s="684"/>
      <c r="BF137" s="689"/>
      <c r="BH137" s="447"/>
      <c r="BI137" s="445"/>
      <c r="BJ137" s="445"/>
      <c r="BK137" s="445"/>
      <c r="BL137" s="445"/>
      <c r="BM137" s="445"/>
      <c r="BO137" s="445"/>
      <c r="BP137" s="445"/>
      <c r="BU137" s="447"/>
      <c r="BV137" s="445"/>
      <c r="BW137" s="445"/>
      <c r="BX137" s="445"/>
      <c r="BY137" s="445"/>
      <c r="BZ137" s="445"/>
      <c r="CB137" s="445"/>
      <c r="CC137" s="445"/>
    </row>
    <row r="138" spans="1:92">
      <c r="A138" s="818"/>
      <c r="B138" s="824"/>
      <c r="C138" s="23" t="s">
        <v>455</v>
      </c>
      <c r="D138" s="450"/>
      <c r="E138" s="24"/>
      <c r="F138" s="24"/>
      <c r="G138" s="25"/>
      <c r="H138" s="24"/>
      <c r="I138" s="24"/>
      <c r="J138" s="25"/>
      <c r="K138" s="25"/>
      <c r="L138" s="25"/>
      <c r="M138" s="25"/>
      <c r="N138" s="25"/>
      <c r="O138" s="25"/>
      <c r="P138" s="25"/>
      <c r="Q138" s="24"/>
      <c r="R138" s="25"/>
      <c r="S138" s="25"/>
      <c r="T138" s="25"/>
      <c r="U138" s="25"/>
      <c r="V138" s="25"/>
      <c r="W138" s="24"/>
      <c r="X138" s="25"/>
      <c r="Y138" s="25"/>
      <c r="Z138" s="24"/>
      <c r="AA138" s="25"/>
      <c r="AB138" s="25"/>
      <c r="AD138" s="26"/>
      <c r="AE138" s="27"/>
      <c r="AF138" s="27"/>
      <c r="AH138" s="68">
        <f>Buckets!H15</f>
        <v>14100</v>
      </c>
      <c r="AI138" s="68">
        <f>Buckets!J15</f>
        <v>14100</v>
      </c>
      <c r="AJ138" s="68">
        <f>Buckets!K15</f>
        <v>0</v>
      </c>
      <c r="AK138" s="691">
        <f>AH138</f>
        <v>14100</v>
      </c>
      <c r="AL138" s="691">
        <f>AH138</f>
        <v>14100</v>
      </c>
      <c r="AM138" s="691">
        <f>AH138</f>
        <v>14100</v>
      </c>
      <c r="AU138" s="68">
        <f>Buckets!M15</f>
        <v>18520</v>
      </c>
      <c r="AV138" s="68">
        <f>Buckets!O15</f>
        <v>18520</v>
      </c>
      <c r="AW138" s="68">
        <f>Buckets!P15</f>
        <v>0</v>
      </c>
      <c r="AX138" s="691">
        <f>AU138</f>
        <v>18520</v>
      </c>
      <c r="AY138" s="691">
        <f>AU138</f>
        <v>18520</v>
      </c>
      <c r="AZ138" s="691">
        <f>AU138</f>
        <v>18520</v>
      </c>
      <c r="BH138" s="68">
        <f>Buckets!R15</f>
        <v>25730</v>
      </c>
      <c r="BI138" s="68">
        <f>Buckets!T15</f>
        <v>25730</v>
      </c>
      <c r="BJ138" s="68">
        <f>Buckets!U15</f>
        <v>0</v>
      </c>
      <c r="BK138" s="691">
        <f>BH138</f>
        <v>25730</v>
      </c>
      <c r="BL138" s="691">
        <f>BH138</f>
        <v>25730</v>
      </c>
      <c r="BM138" s="691">
        <f>BH138</f>
        <v>25730</v>
      </c>
      <c r="BU138" s="68">
        <f>Buckets!W15</f>
        <v>35370</v>
      </c>
      <c r="BV138" s="68">
        <f>Buckets!Y15</f>
        <v>35370</v>
      </c>
      <c r="BW138" s="68">
        <f>Buckets!Z15</f>
        <v>0</v>
      </c>
      <c r="BX138" s="691">
        <f>BU138</f>
        <v>35370</v>
      </c>
      <c r="BY138" s="691">
        <f>BU138</f>
        <v>35370</v>
      </c>
      <c r="BZ138" s="691">
        <f>BU138</f>
        <v>35370</v>
      </c>
    </row>
    <row r="139" spans="1:92">
      <c r="A139" s="818"/>
      <c r="B139" s="824"/>
      <c r="C139" s="28" t="s">
        <v>456</v>
      </c>
      <c r="D139" s="450"/>
      <c r="E139" s="24"/>
      <c r="F139" s="25"/>
      <c r="G139" s="25"/>
      <c r="H139" s="24"/>
      <c r="I139" s="24"/>
      <c r="J139" s="25"/>
      <c r="K139" s="24"/>
      <c r="L139" s="25"/>
      <c r="M139" s="25"/>
      <c r="N139" s="25"/>
      <c r="O139" s="25"/>
      <c r="P139" s="25"/>
      <c r="Q139" s="24"/>
      <c r="R139" s="25"/>
      <c r="S139" s="25"/>
      <c r="T139" s="25"/>
      <c r="U139" s="25"/>
      <c r="V139" s="25"/>
      <c r="W139" s="24"/>
      <c r="X139" s="25"/>
      <c r="Y139" s="25"/>
      <c r="Z139" s="24"/>
      <c r="AA139" s="25"/>
      <c r="AB139" s="25"/>
      <c r="AD139" s="26"/>
      <c r="AE139" s="27"/>
      <c r="AF139" s="27"/>
      <c r="AH139" s="686"/>
      <c r="AI139" s="686"/>
      <c r="AJ139" s="686"/>
      <c r="AK139" s="686"/>
      <c r="AL139" s="686"/>
      <c r="AM139" s="686"/>
      <c r="AN139" s="686"/>
      <c r="AO139" s="686"/>
      <c r="AP139" s="686"/>
      <c r="AQ139" s="686"/>
      <c r="AR139" s="686"/>
      <c r="AS139" s="686"/>
      <c r="AU139" s="686"/>
      <c r="AV139" s="686"/>
      <c r="AW139" s="686"/>
      <c r="AX139" s="686"/>
      <c r="AY139" s="686"/>
      <c r="AZ139" s="686"/>
      <c r="BA139" s="686"/>
      <c r="BB139" s="686"/>
      <c r="BC139" s="686"/>
      <c r="BD139" s="686"/>
      <c r="BE139" s="686"/>
      <c r="BF139" s="690"/>
      <c r="BH139" s="447"/>
      <c r="BI139" s="445"/>
      <c r="BJ139" s="445"/>
      <c r="BK139" s="445"/>
      <c r="BL139" s="445"/>
      <c r="BM139" s="445"/>
      <c r="BO139" s="445"/>
      <c r="BP139" s="445"/>
      <c r="BU139" s="447"/>
      <c r="BV139" s="445"/>
      <c r="BW139" s="445"/>
      <c r="BX139" s="445"/>
      <c r="BY139" s="445"/>
      <c r="BZ139" s="445"/>
      <c r="CB139" s="445"/>
      <c r="CC139" s="445"/>
    </row>
    <row r="140" spans="1:92">
      <c r="A140" s="818"/>
      <c r="B140" s="824"/>
      <c r="C140" s="23" t="s">
        <v>457</v>
      </c>
      <c r="D140" s="29">
        <f t="shared" ref="D140:D144" si="413">AVERAGE(E140:AB140)</f>
        <v>8.6666666666666661</v>
      </c>
      <c r="E140" s="451">
        <v>9</v>
      </c>
      <c r="F140" s="27">
        <v>9</v>
      </c>
      <c r="G140" s="27"/>
      <c r="H140" s="26"/>
      <c r="I140" s="451">
        <v>8</v>
      </c>
      <c r="J140" s="27"/>
      <c r="K140" s="26"/>
      <c r="L140" s="27"/>
      <c r="M140" s="27"/>
      <c r="N140" s="27"/>
      <c r="O140" s="27"/>
      <c r="P140" s="27"/>
      <c r="Q140" s="26"/>
      <c r="R140" s="27"/>
      <c r="S140" s="27"/>
      <c r="T140" s="27"/>
      <c r="U140" s="27"/>
      <c r="V140" s="27"/>
      <c r="W140" s="26"/>
      <c r="X140" s="27"/>
      <c r="Y140" s="27"/>
      <c r="Z140" s="26"/>
      <c r="AA140" s="27"/>
      <c r="AB140" s="27"/>
      <c r="AD140" s="32"/>
      <c r="AE140" s="27"/>
      <c r="AF140" s="27"/>
      <c r="AH140" s="693">
        <f t="shared" ref="AH140:AM140" si="414">IF(AN140=0, 0, EXP($D140*$E$2  * (($AN140/AN140) - 1)) )</f>
        <v>1</v>
      </c>
      <c r="AI140" s="693">
        <f t="shared" si="414"/>
        <v>0.94830441373306551</v>
      </c>
      <c r="AJ140" s="693">
        <f t="shared" si="414"/>
        <v>1.0450820149108659</v>
      </c>
      <c r="AK140" s="693">
        <f t="shared" si="414"/>
        <v>2.3107922053186423</v>
      </c>
      <c r="AL140" s="693">
        <f t="shared" si="414"/>
        <v>3.2556167601032734E-2</v>
      </c>
      <c r="AM140" s="693">
        <f t="shared" si="414"/>
        <v>1.8961896690820042E-2</v>
      </c>
      <c r="AN140" s="685">
        <f>'B13 Non POL Tankers 28T'!$M$165</f>
        <v>56.037470982569616</v>
      </c>
      <c r="AO140" s="685">
        <f>'B13 Non POL Tankers 28T'!$M$166</f>
        <v>56.267213115948259</v>
      </c>
      <c r="AP140" s="685">
        <f>'B13 Non POL Tankers 28T'!$M$167</f>
        <v>55.848037166292059</v>
      </c>
      <c r="AQ140" s="685">
        <f>'B13 Non POL Tankers 28T'!$M$168</f>
        <v>52.645518554585152</v>
      </c>
      <c r="AR140" s="685">
        <f>'B13 Non POL Tankers 28T'!$M$169</f>
        <v>76.080525090760744</v>
      </c>
      <c r="AS140" s="695">
        <f>'B13 Non POL Tankers 28T'!$M$170</f>
        <v>80.632343946103816</v>
      </c>
      <c r="AU140" s="693">
        <f t="shared" ref="AU140:AZ140" si="415">IF(BA140=0, 0, EXP($D140*$E$2 * (($BA140/BA140) - 1)) )</f>
        <v>1</v>
      </c>
      <c r="AV140" s="693">
        <f t="shared" si="415"/>
        <v>0.70573985886607138</v>
      </c>
      <c r="AW140" s="693">
        <f t="shared" si="415"/>
        <v>0.7874731223984317</v>
      </c>
      <c r="AX140" s="693">
        <f t="shared" si="415"/>
        <v>10.222941072264691</v>
      </c>
      <c r="AY140" s="693">
        <f t="shared" si="415"/>
        <v>0.20210556453400719</v>
      </c>
      <c r="AZ140" s="693">
        <f t="shared" si="415"/>
        <v>0.11920813156136789</v>
      </c>
      <c r="BA140" s="685">
        <f>'B13 Non POL Tankers 28T'!$R$165</f>
        <v>64.654686989945887</v>
      </c>
      <c r="BB140" s="685">
        <f>'B13 Non POL Tankers 28T'!$R$166</f>
        <v>66.435719161441128</v>
      </c>
      <c r="BC140" s="685">
        <f>'B13 Non POL Tankers 28T'!$R$167</f>
        <v>65.865218981418408</v>
      </c>
      <c r="BD140" s="685">
        <f>'B13 Non POL Tankers 28T'!$R$168</f>
        <v>54.84704648373198</v>
      </c>
      <c r="BE140" s="685">
        <f>'B13 Non POL Tankers 28T'!$R$169</f>
        <v>73.722336596459058</v>
      </c>
      <c r="BF140" s="685">
        <f>'B13 Non POL Tankers 28T'!$R$170</f>
        <v>77.301755517584169</v>
      </c>
      <c r="BH140" s="688">
        <f t="shared" ref="BH140:BM140" si="416">IF(BN140=0, 0, EXP($D140*$E$2 * (($BN140/BN140) - 1)) )</f>
        <v>1</v>
      </c>
      <c r="BI140" s="30">
        <f t="shared" si="416"/>
        <v>0.53953092132335101</v>
      </c>
      <c r="BJ140" s="30">
        <f t="shared" si="416"/>
        <v>0.61496310199396942</v>
      </c>
      <c r="BK140" s="30">
        <f t="shared" si="416"/>
        <v>16.994989306167685</v>
      </c>
      <c r="BL140" s="30">
        <f t="shared" si="416"/>
        <v>0.91781258160695756</v>
      </c>
      <c r="BM140" s="30">
        <f t="shared" si="416"/>
        <v>0.48072120493397374</v>
      </c>
      <c r="BN140" s="492">
        <f>'B13 Non POL Tankers 28T'!$W$165</f>
        <v>73.7294447580298</v>
      </c>
      <c r="BO140" s="492">
        <f>'B13 Non POL Tankers 28T'!$W$166</f>
        <v>77.403460636852515</v>
      </c>
      <c r="BP140" s="492">
        <f>'B13 Non POL Tankers 28T'!$W$167</f>
        <v>76.594019917351901</v>
      </c>
      <c r="BQ140" s="492">
        <f>'B13 Non POL Tankers 28T'!$W$168</f>
        <v>60.537340515621686</v>
      </c>
      <c r="BR140" s="492">
        <f>'B13 Non POL Tankers 28T'!$W$169</f>
        <v>74.219074091042046</v>
      </c>
      <c r="BS140" s="492">
        <f>'B13 Non POL Tankers 28T'!$W$170</f>
        <v>78.131670301524323</v>
      </c>
      <c r="BU140" s="688">
        <f t="shared" ref="BU140:BZ140" si="417">IF(CA140=0, 0, EXP($D140*$E$2 * (($CA140/CA140) - 1)) )</f>
        <v>1</v>
      </c>
      <c r="BV140" s="30">
        <f t="shared" si="417"/>
        <v>0.41995539512379332</v>
      </c>
      <c r="BW140" s="30">
        <f t="shared" si="417"/>
        <v>0.48370522742156841</v>
      </c>
      <c r="BX140" s="30">
        <f t="shared" si="417"/>
        <v>44.489701891277228</v>
      </c>
      <c r="BY140" s="30">
        <f t="shared" si="417"/>
        <v>3.8042485305402489</v>
      </c>
      <c r="BZ140" s="30">
        <f t="shared" si="417"/>
        <v>2.4011608239584734</v>
      </c>
      <c r="CA140" s="492">
        <f>'B13 Non POL Tankers 28T'!$AB$165</f>
        <v>85.629069767545673</v>
      </c>
      <c r="CB140" s="492">
        <f>'B13 Non POL Tankers 28T'!$AB$166</f>
        <v>91.752541017530206</v>
      </c>
      <c r="CC140" s="492">
        <f>'B13 Non POL Tankers 28T'!$AB$167</f>
        <v>90.696045695934885</v>
      </c>
      <c r="CD140" s="492">
        <f>'B13 Non POL Tankers 28T'!$AB$168</f>
        <v>66.279298831324269</v>
      </c>
      <c r="CE140" s="492">
        <f>'B13 Non POL Tankers 28T'!$AB$169</f>
        <v>77.648486848022628</v>
      </c>
      <c r="CF140" s="492">
        <f>'B13 Non POL Tankers 28T'!$AB$170</f>
        <v>80.223532277002377</v>
      </c>
      <c r="CH140" s="30">
        <f>IF(CK140=0, 0, EXP($D140*$E$2 * (($CN140/CK140) - 1)))</f>
        <v>36.034091168712429</v>
      </c>
      <c r="CI140" s="30">
        <f>IF(CL140=0, 0, EXP($D140*$E$2 * (($CN140/CL140) - 1)))</f>
        <v>5.8040215500399821</v>
      </c>
      <c r="CJ140" s="30">
        <f>IF(CM140=0, 0, EXP($D140*$E$2 * (($CN140/CM140) - 1)))</f>
        <v>3.7596820535833064</v>
      </c>
      <c r="CK140" s="492">
        <f>'B13 Non POL Tankers 28T'!$AG$168</f>
        <v>76.99093376659998</v>
      </c>
      <c r="CL140" s="492">
        <f>'B13 Non POL Tankers 28T'!$AG$169</f>
        <v>86.516181581359035</v>
      </c>
      <c r="CM140" s="492">
        <f>'B13 Non POL Tankers 28T'!$AG$170</f>
        <v>89.138765352639069</v>
      </c>
      <c r="CN140" s="703">
        <f>'B13 Non POL Tankers 28T'!$AG$165</f>
        <v>98.219498641897403</v>
      </c>
    </row>
    <row r="141" spans="1:92">
      <c r="A141" s="818"/>
      <c r="B141" s="824"/>
      <c r="C141" s="23" t="s">
        <v>458</v>
      </c>
      <c r="D141" s="29">
        <f t="shared" si="413"/>
        <v>8.3333333333333339</v>
      </c>
      <c r="E141" s="451">
        <v>8</v>
      </c>
      <c r="F141" s="27">
        <v>8</v>
      </c>
      <c r="G141" s="27"/>
      <c r="H141" s="26"/>
      <c r="I141" s="451">
        <v>9</v>
      </c>
      <c r="J141" s="27"/>
      <c r="K141" s="26"/>
      <c r="L141" s="27"/>
      <c r="M141" s="27"/>
      <c r="N141" s="27"/>
      <c r="O141" s="27"/>
      <c r="P141" s="27"/>
      <c r="Q141" s="26"/>
      <c r="R141" s="27"/>
      <c r="S141" s="27"/>
      <c r="T141" s="27"/>
      <c r="U141" s="27"/>
      <c r="V141" s="27"/>
      <c r="W141" s="26"/>
      <c r="X141" s="27"/>
      <c r="Y141" s="27"/>
      <c r="Z141" s="26"/>
      <c r="AA141" s="27"/>
      <c r="AB141" s="27"/>
      <c r="AD141" s="32"/>
      <c r="AE141" s="27"/>
      <c r="AF141" s="27"/>
      <c r="AH141" s="693">
        <f t="shared" ref="AH141:AM141" si="418">IF(AN141=0, 0, EXP($D141*$F$2 * (($AN141/AN141) - 1)) )</f>
        <v>1</v>
      </c>
      <c r="AI141" s="693">
        <f t="shared" si="418"/>
        <v>0.47454993203977952</v>
      </c>
      <c r="AJ141" s="693">
        <f t="shared" si="418"/>
        <v>0.2595916485165099</v>
      </c>
      <c r="AK141" s="693">
        <f t="shared" si="418"/>
        <v>1.049858866987329E-2</v>
      </c>
      <c r="AL141" s="693">
        <f t="shared" si="418"/>
        <v>0.13845429762112887</v>
      </c>
      <c r="AM141" s="693">
        <f t="shared" si="418"/>
        <v>1.950618226468602E-3</v>
      </c>
      <c r="AN141" s="678">
        <f>'B13 Non POL Tankers 28T'!$M$63</f>
        <v>5301800</v>
      </c>
      <c r="AO141" s="678">
        <f>'B13 Non POL Tankers 28T'!$M$81</f>
        <v>5638000</v>
      </c>
      <c r="AP141" s="678">
        <f>'B13 Non POL Tankers 28T'!$M$98</f>
        <v>5943000</v>
      </c>
      <c r="AQ141" s="678">
        <f>'B13 Non POL Tankers 28T'!$M$132</f>
        <v>8343000</v>
      </c>
      <c r="AR141" s="678">
        <f>'B13 Non POL Tankers 28T'!$M$115</f>
        <v>6298000</v>
      </c>
      <c r="AS141" s="682">
        <f>'B13 Non POL Tankers 28T'!$M$149</f>
        <v>10586000</v>
      </c>
      <c r="AU141" s="693">
        <f t="shared" ref="AU141:AZ141" si="419">IF(BA141=0, 0, EXP($D141*$F$2 * (($BA141/BA141) - 1)) )</f>
        <v>1</v>
      </c>
      <c r="AV141" s="693">
        <f t="shared" si="419"/>
        <v>0.47450338074124165</v>
      </c>
      <c r="AW141" s="693">
        <f t="shared" si="419"/>
        <v>0.29084329137157167</v>
      </c>
      <c r="AX141" s="693">
        <f t="shared" si="419"/>
        <v>2.4883594743575217E-2</v>
      </c>
      <c r="AY141" s="693">
        <f t="shared" si="419"/>
        <v>0.23224094686735186</v>
      </c>
      <c r="AZ141" s="693">
        <f t="shared" si="419"/>
        <v>5.3268874490209322E-3</v>
      </c>
      <c r="BA141" s="678">
        <f>'B13 Non POL Tankers 28T'!$R$63</f>
        <v>6146200</v>
      </c>
      <c r="BB141" s="678">
        <f>'B13 Non POL Tankers 28T'!$R$81</f>
        <v>6536000</v>
      </c>
      <c r="BC141" s="678">
        <f>'B13 Non POL Tankers 28T'!$R$98</f>
        <v>6820000</v>
      </c>
      <c r="BD141" s="678">
        <f>'B13 Non POL Tankers 28T'!$R$132</f>
        <v>8724000</v>
      </c>
      <c r="BE141" s="678">
        <f>'B13 Non POL Tankers 28T'!$R$115</f>
        <v>6959000</v>
      </c>
      <c r="BF141" s="678">
        <f>'B13 Non POL Tankers 28T'!$R$149</f>
        <v>10575000</v>
      </c>
      <c r="BH141" s="688">
        <f t="shared" ref="BH141:BM141" si="420">IF(BN141=0, 0, EXP($D141*$F$2 * (($BN141/BN141) - 1)) )</f>
        <v>1</v>
      </c>
      <c r="BI141" s="30">
        <f t="shared" si="420"/>
        <v>0.47449094900871441</v>
      </c>
      <c r="BJ141" s="30">
        <f t="shared" si="420"/>
        <v>0.32313802311672807</v>
      </c>
      <c r="BK141" s="30">
        <f t="shared" si="420"/>
        <v>4.7251537999621999E-2</v>
      </c>
      <c r="BL141" s="30">
        <f t="shared" si="420"/>
        <v>0.26244065675401301</v>
      </c>
      <c r="BM141" s="30">
        <f t="shared" si="420"/>
        <v>1.1068923799772598E-2</v>
      </c>
      <c r="BN141" s="493">
        <f>'B13 Non POL Tankers 28T'!$W$63</f>
        <v>7125100</v>
      </c>
      <c r="BO141" s="493">
        <f>'B13 Non POL Tankers 28T'!$W$81</f>
        <v>7577000</v>
      </c>
      <c r="BP141" s="493">
        <f>'B13 Non POL Tankers 28T'!$W$98</f>
        <v>7833000</v>
      </c>
      <c r="BQ141" s="493">
        <f>'B13 Non POL Tankers 28T'!$W$132</f>
        <v>9427000</v>
      </c>
      <c r="BR141" s="493">
        <f>'B13 Non POL Tankers 28T'!$W$115</f>
        <v>7979000</v>
      </c>
      <c r="BS141" s="494">
        <f>'B13 Non POL Tankers 28T'!$W$149</f>
        <v>11138000</v>
      </c>
      <c r="BU141" s="688">
        <f t="shared" ref="BU141:BZ141" si="421">IF(CA141=0, 0, EXP($D141*$F$2 * (($CA141/CA141) - 1)) )</f>
        <v>1</v>
      </c>
      <c r="BV141" s="30">
        <f t="shared" si="421"/>
        <v>0.47511740929861818</v>
      </c>
      <c r="BW141" s="30">
        <f t="shared" si="421"/>
        <v>0.35603172002316863</v>
      </c>
      <c r="BX141" s="30">
        <f t="shared" si="421"/>
        <v>7.4444374867750976E-2</v>
      </c>
      <c r="BY141" s="30">
        <f t="shared" si="421"/>
        <v>0.29395265174090979</v>
      </c>
      <c r="BZ141" s="30">
        <f t="shared" si="421"/>
        <v>2.1996822078749489E-2</v>
      </c>
      <c r="CA141" s="493">
        <f>'B13 Non POL Tankers 28T'!$AB$63</f>
        <v>8260100</v>
      </c>
      <c r="CB141" s="493">
        <f>'B13 Non POL Tankers 28T'!$AB$81</f>
        <v>8783000</v>
      </c>
      <c r="CC141" s="493">
        <f>'B13 Non POL Tankers 28T'!$AB$98</f>
        <v>9004000</v>
      </c>
      <c r="CD141" s="493">
        <f>'B13 Non POL Tankers 28T'!$AB$132</f>
        <v>10427000</v>
      </c>
      <c r="CE141" s="493">
        <f>'B13 Non POL Tankers 28T'!$AB$115</f>
        <v>9157000</v>
      </c>
      <c r="CF141" s="494">
        <f>'B13 Non POL Tankers 28T'!$AB$149</f>
        <v>11891000</v>
      </c>
      <c r="CH141" s="30">
        <f>IF(CK141=0, 0, EXP($D141*$F$2 * (($CN141/CK141) - 1)))</f>
        <v>9.4206705975023675E-2</v>
      </c>
      <c r="CI141" s="30">
        <f>IF(CL141=0, 0, EXP($D141*$F$2 * (($CN141/CL141) - 1)))</f>
        <v>0.32597069029526032</v>
      </c>
      <c r="CJ141" s="30">
        <f>IF(CM141=0, 0, EXP($D141*$F$2 * (($CN141/CM141) - 1)))</f>
        <v>3.267655134767472E-2</v>
      </c>
      <c r="CK141" s="493">
        <f>'B13 Non POL Tankers 28T'!$AG$132</f>
        <v>11807000</v>
      </c>
      <c r="CL141" s="493">
        <f>'B13 Non POL Tankers 28T'!$AG$115</f>
        <v>10519000</v>
      </c>
      <c r="CM141" s="494">
        <f>'B13 Non POL Tankers 28T'!$AG$149</f>
        <v>13184000</v>
      </c>
      <c r="CN141" s="17">
        <f>'B13 Non POL Tankers 28T'!$AG$63</f>
        <v>9575700</v>
      </c>
    </row>
    <row r="142" spans="1:92">
      <c r="A142" s="818"/>
      <c r="B142" s="824"/>
      <c r="C142" s="23" t="s">
        <v>459</v>
      </c>
      <c r="D142" s="29">
        <f t="shared" si="413"/>
        <v>8.6666666666666661</v>
      </c>
      <c r="E142" s="451">
        <v>9</v>
      </c>
      <c r="F142" s="32">
        <v>9</v>
      </c>
      <c r="G142" s="32"/>
      <c r="H142" s="32"/>
      <c r="I142" s="451">
        <v>8</v>
      </c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D142" s="26"/>
      <c r="AE142" s="32"/>
      <c r="AF142" s="32"/>
      <c r="AH142" s="693">
        <f t="shared" ref="AH142:AM143" si="422">IF(AN142=0, 0, EXP($D142*$E$2 * ((AN142/$AN142) - 1)) )</f>
        <v>1</v>
      </c>
      <c r="AI142" s="693">
        <f t="shared" si="422"/>
        <v>1</v>
      </c>
      <c r="AJ142" s="693">
        <f t="shared" si="422"/>
        <v>1</v>
      </c>
      <c r="AK142" s="693">
        <f t="shared" si="422"/>
        <v>0.24526760348267987</v>
      </c>
      <c r="AL142" s="693">
        <f t="shared" si="422"/>
        <v>1</v>
      </c>
      <c r="AM142" s="693">
        <f t="shared" si="422"/>
        <v>0.53129788176043136</v>
      </c>
      <c r="AN142" s="678">
        <f>'B13 Non POL Tankers 28T'!$C$17</f>
        <v>18500</v>
      </c>
      <c r="AO142" s="678">
        <f>AN142</f>
        <v>18500</v>
      </c>
      <c r="AP142" s="678">
        <f>AN142</f>
        <v>18500</v>
      </c>
      <c r="AQ142" s="678">
        <f>'B13 Non POL Tankers 28T'!C18</f>
        <v>16500</v>
      </c>
      <c r="AR142" s="678">
        <f>AN142</f>
        <v>18500</v>
      </c>
      <c r="AS142" s="682">
        <f>'B13 Non POL Tankers 28T'!C19</f>
        <v>17600</v>
      </c>
      <c r="AU142" s="693">
        <f t="shared" ref="AU142:AZ143" si="423">IF(BA142=0, 0, EXP($D142*$E$2 * ((BA142/$BA142) - 1)) )</f>
        <v>1</v>
      </c>
      <c r="AV142" s="693">
        <f t="shared" si="423"/>
        <v>1</v>
      </c>
      <c r="AW142" s="693">
        <f t="shared" si="423"/>
        <v>1</v>
      </c>
      <c r="AX142" s="693">
        <f t="shared" si="423"/>
        <v>0.24526760348267987</v>
      </c>
      <c r="AY142" s="693">
        <f t="shared" si="423"/>
        <v>1</v>
      </c>
      <c r="AZ142" s="693">
        <f t="shared" si="423"/>
        <v>0.53129788176043136</v>
      </c>
      <c r="BA142" s="678">
        <f>'B13 Non POL Tankers 28T'!$C$17</f>
        <v>18500</v>
      </c>
      <c r="BB142" s="678">
        <f>BA142</f>
        <v>18500</v>
      </c>
      <c r="BC142" s="678">
        <f>BA142</f>
        <v>18500</v>
      </c>
      <c r="BD142" s="678">
        <f>'B13 Non POL Tankers 28T'!C18</f>
        <v>16500</v>
      </c>
      <c r="BE142" s="678">
        <f>BA142</f>
        <v>18500</v>
      </c>
      <c r="BF142" s="678">
        <f>'B13 Non POL Tankers 28T'!C19</f>
        <v>17600</v>
      </c>
      <c r="BH142" s="688">
        <f t="shared" ref="BH142:BM143" si="424">IF(BN142=0, 0, EXP($D142*$E$2 * ((BN142/$BN142) - 1)) )</f>
        <v>1</v>
      </c>
      <c r="BI142" s="30">
        <f t="shared" si="424"/>
        <v>1</v>
      </c>
      <c r="BJ142" s="30">
        <f t="shared" si="424"/>
        <v>1</v>
      </c>
      <c r="BK142" s="30">
        <f t="shared" si="424"/>
        <v>0.24526760348267987</v>
      </c>
      <c r="BL142" s="30">
        <f t="shared" si="424"/>
        <v>1</v>
      </c>
      <c r="BM142" s="30">
        <f t="shared" si="424"/>
        <v>0.53129788176043136</v>
      </c>
      <c r="BN142" s="493">
        <f>'B13 Non POL Tankers 28T'!$C$17</f>
        <v>18500</v>
      </c>
      <c r="BO142" s="493">
        <f>BN142</f>
        <v>18500</v>
      </c>
      <c r="BP142" s="493">
        <f>BN142</f>
        <v>18500</v>
      </c>
      <c r="BQ142" s="493">
        <f>'B13 Non POL Tankers 28T'!$C$18</f>
        <v>16500</v>
      </c>
      <c r="BR142" s="493">
        <f>BN142</f>
        <v>18500</v>
      </c>
      <c r="BS142" s="493">
        <f>'B13 Non POL Tankers 28T'!$C$19</f>
        <v>17600</v>
      </c>
      <c r="BU142" s="688">
        <f t="shared" ref="BU142:BZ143" si="425">IF(CA142=0, 0, EXP($D142*$E$2 * ((CA142/$CA142) - 1)) )</f>
        <v>1</v>
      </c>
      <c r="BV142" s="30">
        <f t="shared" si="425"/>
        <v>1</v>
      </c>
      <c r="BW142" s="30">
        <f t="shared" si="425"/>
        <v>1</v>
      </c>
      <c r="BX142" s="30">
        <f t="shared" si="425"/>
        <v>0.24526760348267987</v>
      </c>
      <c r="BY142" s="30">
        <f t="shared" si="425"/>
        <v>1</v>
      </c>
      <c r="BZ142" s="30">
        <f t="shared" si="425"/>
        <v>0.53129788176043136</v>
      </c>
      <c r="CA142" s="493">
        <f>'B13 Non POL Tankers 28T'!$C$17</f>
        <v>18500</v>
      </c>
      <c r="CB142" s="493">
        <f>CA142</f>
        <v>18500</v>
      </c>
      <c r="CC142" s="493">
        <f>CA142</f>
        <v>18500</v>
      </c>
      <c r="CD142" s="493">
        <f>'B13 Non POL Tankers 28T'!$C$18</f>
        <v>16500</v>
      </c>
      <c r="CE142" s="493">
        <f>CA142</f>
        <v>18500</v>
      </c>
      <c r="CF142" s="493">
        <f>'B13 Non POL Tankers 28T'!$C$19</f>
        <v>17600</v>
      </c>
      <c r="CH142" s="30">
        <f t="shared" ref="CH142:CJ143" si="426">IF(CK142=0, 0, EXP($D142*$E$2 * ((CK142/$CN142) - 1)))</f>
        <v>0.24526760348267987</v>
      </c>
      <c r="CI142" s="30">
        <f t="shared" si="426"/>
        <v>1</v>
      </c>
      <c r="CJ142" s="30">
        <f t="shared" si="426"/>
        <v>0.53129788176043136</v>
      </c>
      <c r="CK142" s="493">
        <f t="shared" ref="CK142:CM144" si="427">BQ142</f>
        <v>16500</v>
      </c>
      <c r="CL142" s="493">
        <f t="shared" si="427"/>
        <v>18500</v>
      </c>
      <c r="CM142" s="493">
        <f t="shared" si="427"/>
        <v>17600</v>
      </c>
      <c r="CN142" s="17">
        <f>'B13 Non POL Tankers 28T'!$C$17</f>
        <v>18500</v>
      </c>
    </row>
    <row r="143" spans="1:92">
      <c r="A143" s="818"/>
      <c r="B143" s="824"/>
      <c r="C143" s="23" t="s">
        <v>460</v>
      </c>
      <c r="D143" s="29">
        <f t="shared" si="413"/>
        <v>2.3333333333333335</v>
      </c>
      <c r="E143" s="451">
        <v>2</v>
      </c>
      <c r="F143" s="32">
        <v>3</v>
      </c>
      <c r="G143" s="32"/>
      <c r="H143" s="32"/>
      <c r="I143" s="451">
        <v>2</v>
      </c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D143" s="23"/>
      <c r="AE143" s="32"/>
      <c r="AF143" s="32"/>
      <c r="AH143" s="693">
        <f t="shared" si="422"/>
        <v>1</v>
      </c>
      <c r="AI143" s="693">
        <f t="shared" si="422"/>
        <v>0.83945702076920725</v>
      </c>
      <c r="AJ143" s="693">
        <f t="shared" si="422"/>
        <v>0.83945702076920725</v>
      </c>
      <c r="AK143" s="693">
        <f t="shared" si="422"/>
        <v>1.6904588483790908</v>
      </c>
      <c r="AL143" s="693">
        <f t="shared" si="422"/>
        <v>0.83945702076920725</v>
      </c>
      <c r="AM143" s="693">
        <f t="shared" si="422"/>
        <v>1.6904588483790908</v>
      </c>
      <c r="AN143" s="679">
        <f t="shared" ref="AN143:AS144" si="428">AN11</f>
        <v>1</v>
      </c>
      <c r="AO143" s="679">
        <f t="shared" si="428"/>
        <v>0.95</v>
      </c>
      <c r="AP143" s="679">
        <f t="shared" si="428"/>
        <v>0.95</v>
      </c>
      <c r="AQ143" s="679">
        <f t="shared" si="428"/>
        <v>1.1499999999999999</v>
      </c>
      <c r="AR143" s="679">
        <f t="shared" si="428"/>
        <v>0.95</v>
      </c>
      <c r="AS143" s="683">
        <f t="shared" si="428"/>
        <v>1.1499999999999999</v>
      </c>
      <c r="AU143" s="693">
        <f t="shared" si="423"/>
        <v>1</v>
      </c>
      <c r="AV143" s="693">
        <f t="shared" si="423"/>
        <v>0.83945702076920725</v>
      </c>
      <c r="AW143" s="693">
        <f t="shared" si="423"/>
        <v>0.83945702076920725</v>
      </c>
      <c r="AX143" s="693">
        <f t="shared" si="423"/>
        <v>1.6904588483790908</v>
      </c>
      <c r="AY143" s="693">
        <f t="shared" si="423"/>
        <v>0.83945702076920725</v>
      </c>
      <c r="AZ143" s="693">
        <f t="shared" si="423"/>
        <v>1.6904588483790908</v>
      </c>
      <c r="BA143" s="679">
        <f t="shared" ref="BA143:BF144" si="429">BA11</f>
        <v>1</v>
      </c>
      <c r="BB143" s="679">
        <f t="shared" si="429"/>
        <v>0.95</v>
      </c>
      <c r="BC143" s="679">
        <f t="shared" si="429"/>
        <v>0.95</v>
      </c>
      <c r="BD143" s="679">
        <f t="shared" si="429"/>
        <v>1.1499999999999999</v>
      </c>
      <c r="BE143" s="679">
        <f t="shared" si="429"/>
        <v>0.95</v>
      </c>
      <c r="BF143" s="679">
        <f t="shared" si="429"/>
        <v>1.1499999999999999</v>
      </c>
      <c r="BH143" s="688">
        <f t="shared" si="424"/>
        <v>1</v>
      </c>
      <c r="BI143" s="30">
        <f t="shared" si="424"/>
        <v>0.83945702076920725</v>
      </c>
      <c r="BJ143" s="30">
        <f t="shared" si="424"/>
        <v>0.83945702076920725</v>
      </c>
      <c r="BK143" s="30">
        <f t="shared" si="424"/>
        <v>1.6904588483790908</v>
      </c>
      <c r="BL143" s="30">
        <f t="shared" si="424"/>
        <v>0.83945702076920725</v>
      </c>
      <c r="BM143" s="30">
        <f t="shared" si="424"/>
        <v>1.6904588483790908</v>
      </c>
      <c r="BN143" s="490">
        <f t="shared" ref="BN143:BS147" si="430">BN132</f>
        <v>1</v>
      </c>
      <c r="BO143" s="490">
        <f t="shared" si="430"/>
        <v>0.95</v>
      </c>
      <c r="BP143" s="490">
        <f t="shared" si="430"/>
        <v>0.95</v>
      </c>
      <c r="BQ143" s="490">
        <f t="shared" si="430"/>
        <v>1.1499999999999999</v>
      </c>
      <c r="BR143" s="490">
        <f t="shared" si="430"/>
        <v>0.95</v>
      </c>
      <c r="BS143" s="490">
        <f t="shared" si="430"/>
        <v>1.1499999999999999</v>
      </c>
      <c r="BU143" s="688">
        <f t="shared" si="425"/>
        <v>1</v>
      </c>
      <c r="BV143" s="30">
        <f t="shared" si="425"/>
        <v>0.83945702076920725</v>
      </c>
      <c r="BW143" s="30">
        <f t="shared" si="425"/>
        <v>0.83945702076920725</v>
      </c>
      <c r="BX143" s="30">
        <f t="shared" si="425"/>
        <v>1.6904588483790908</v>
      </c>
      <c r="BY143" s="30">
        <f t="shared" si="425"/>
        <v>0.83945702076920725</v>
      </c>
      <c r="BZ143" s="30">
        <f t="shared" si="425"/>
        <v>1.6904588483790908</v>
      </c>
      <c r="CA143" s="490">
        <f t="shared" ref="CA143:CF144" si="431">CA132</f>
        <v>1</v>
      </c>
      <c r="CB143" s="490">
        <f t="shared" si="431"/>
        <v>0.95</v>
      </c>
      <c r="CC143" s="490">
        <f t="shared" si="431"/>
        <v>0.95</v>
      </c>
      <c r="CD143" s="490">
        <f t="shared" si="431"/>
        <v>1.1499999999999999</v>
      </c>
      <c r="CE143" s="490">
        <f t="shared" si="431"/>
        <v>0.95</v>
      </c>
      <c r="CF143" s="490">
        <f t="shared" si="431"/>
        <v>1.1499999999999999</v>
      </c>
      <c r="CH143" s="30">
        <f t="shared" si="426"/>
        <v>1.6904588483790908</v>
      </c>
      <c r="CI143" s="30">
        <f t="shared" si="426"/>
        <v>0.83945702076920725</v>
      </c>
      <c r="CJ143" s="30">
        <f t="shared" si="426"/>
        <v>1.6904588483790908</v>
      </c>
      <c r="CK143" s="490">
        <f t="shared" si="427"/>
        <v>1.1499999999999999</v>
      </c>
      <c r="CL143" s="490">
        <f t="shared" si="427"/>
        <v>0.95</v>
      </c>
      <c r="CM143" s="490">
        <f t="shared" si="427"/>
        <v>1.1499999999999999</v>
      </c>
      <c r="CN143" s="704">
        <f>CN132</f>
        <v>1</v>
      </c>
    </row>
    <row r="144" spans="1:92">
      <c r="A144" s="818"/>
      <c r="B144" s="824"/>
      <c r="C144" s="34" t="s">
        <v>461</v>
      </c>
      <c r="D144" s="29">
        <f t="shared" si="413"/>
        <v>4.666666666666667</v>
      </c>
      <c r="E144" s="451">
        <v>1</v>
      </c>
      <c r="F144" s="26">
        <v>4</v>
      </c>
      <c r="G144" s="26"/>
      <c r="H144" s="26"/>
      <c r="I144" s="451">
        <v>9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D144" s="23"/>
      <c r="AE144" s="26"/>
      <c r="AF144" s="26"/>
      <c r="AH144" s="693">
        <f t="shared" ref="AH144:AM144" si="432">IF(AN144=0, 0, EXP($D144*$E$2  * (($AN144/AN144) - 1)) )</f>
        <v>1</v>
      </c>
      <c r="AI144" s="693">
        <f t="shared" si="432"/>
        <v>0.71653131057378894</v>
      </c>
      <c r="AJ144" s="693">
        <f t="shared" si="432"/>
        <v>0.52921334150005017</v>
      </c>
      <c r="AK144" s="693">
        <f t="shared" si="432"/>
        <v>0.31140322391459774</v>
      </c>
      <c r="AL144" s="693">
        <f t="shared" si="432"/>
        <v>1</v>
      </c>
      <c r="AM144" s="693">
        <f t="shared" si="432"/>
        <v>1</v>
      </c>
      <c r="AN144" s="679">
        <f t="shared" si="428"/>
        <v>1</v>
      </c>
      <c r="AO144" s="679">
        <f t="shared" si="428"/>
        <v>1.05</v>
      </c>
      <c r="AP144" s="679">
        <f t="shared" si="428"/>
        <v>1.1000000000000001</v>
      </c>
      <c r="AQ144" s="679">
        <f t="shared" si="428"/>
        <v>1.2</v>
      </c>
      <c r="AR144" s="679">
        <f t="shared" si="428"/>
        <v>1</v>
      </c>
      <c r="AS144" s="683">
        <f t="shared" si="428"/>
        <v>1</v>
      </c>
      <c r="AU144" s="693">
        <f t="shared" ref="AU144:AZ144" si="433">IF(BA144=0, 0, EXP($D144*$E$2 * (($BA144/BA144) - 1)) )</f>
        <v>1</v>
      </c>
      <c r="AV144" s="693">
        <f t="shared" si="433"/>
        <v>0.71653131057378894</v>
      </c>
      <c r="AW144" s="693">
        <f t="shared" si="433"/>
        <v>0.52921334150005017</v>
      </c>
      <c r="AX144" s="693">
        <f t="shared" si="433"/>
        <v>0.31140322391459774</v>
      </c>
      <c r="AY144" s="693">
        <f t="shared" si="433"/>
        <v>1</v>
      </c>
      <c r="AZ144" s="693">
        <f t="shared" si="433"/>
        <v>1</v>
      </c>
      <c r="BA144" s="679">
        <f t="shared" si="429"/>
        <v>1</v>
      </c>
      <c r="BB144" s="679">
        <f t="shared" si="429"/>
        <v>1.05</v>
      </c>
      <c r="BC144" s="679">
        <f t="shared" si="429"/>
        <v>1.1000000000000001</v>
      </c>
      <c r="BD144" s="679">
        <f t="shared" si="429"/>
        <v>1.2</v>
      </c>
      <c r="BE144" s="679">
        <f t="shared" si="429"/>
        <v>1</v>
      </c>
      <c r="BF144" s="679">
        <f t="shared" si="429"/>
        <v>1</v>
      </c>
      <c r="BH144" s="688">
        <f t="shared" ref="BH144:BM144" si="434">IF(BN144=0, 0, EXP($D144*$E$2 * (($BN144/BN144) - 1)) )</f>
        <v>1</v>
      </c>
      <c r="BI144" s="30">
        <f t="shared" si="434"/>
        <v>0.71653131057378894</v>
      </c>
      <c r="BJ144" s="30">
        <f t="shared" si="434"/>
        <v>0.52921334150005017</v>
      </c>
      <c r="BK144" s="30">
        <f t="shared" si="434"/>
        <v>0.31140322391459774</v>
      </c>
      <c r="BL144" s="30">
        <f t="shared" si="434"/>
        <v>1</v>
      </c>
      <c r="BM144" s="30">
        <f t="shared" si="434"/>
        <v>1</v>
      </c>
      <c r="BN144" s="490">
        <f t="shared" si="430"/>
        <v>1</v>
      </c>
      <c r="BO144" s="490">
        <f t="shared" si="430"/>
        <v>1.05</v>
      </c>
      <c r="BP144" s="490">
        <f t="shared" si="430"/>
        <v>1.1000000000000001</v>
      </c>
      <c r="BQ144" s="490">
        <f t="shared" si="430"/>
        <v>1.2</v>
      </c>
      <c r="BR144" s="490">
        <f t="shared" si="430"/>
        <v>1</v>
      </c>
      <c r="BS144" s="490">
        <f t="shared" si="430"/>
        <v>1</v>
      </c>
      <c r="BU144" s="688">
        <f t="shared" ref="BU144:BZ144" si="435">IF(CA144=0, 0, EXP($D144*$E$2 * (($CA144/CA144) - 1)) )</f>
        <v>1</v>
      </c>
      <c r="BV144" s="30">
        <f t="shared" si="435"/>
        <v>0.71653131057378894</v>
      </c>
      <c r="BW144" s="30">
        <f t="shared" si="435"/>
        <v>0.52921334150005017</v>
      </c>
      <c r="BX144" s="30">
        <f t="shared" si="435"/>
        <v>0.31140322391459774</v>
      </c>
      <c r="BY144" s="30">
        <f t="shared" si="435"/>
        <v>1</v>
      </c>
      <c r="BZ144" s="30">
        <f t="shared" si="435"/>
        <v>1</v>
      </c>
      <c r="CA144" s="490">
        <f t="shared" si="431"/>
        <v>1</v>
      </c>
      <c r="CB144" s="490">
        <f t="shared" si="431"/>
        <v>1.05</v>
      </c>
      <c r="CC144" s="490">
        <f t="shared" si="431"/>
        <v>1.1000000000000001</v>
      </c>
      <c r="CD144" s="490">
        <f t="shared" si="431"/>
        <v>1.2</v>
      </c>
      <c r="CE144" s="490">
        <f t="shared" si="431"/>
        <v>1</v>
      </c>
      <c r="CF144" s="490">
        <f t="shared" si="431"/>
        <v>1</v>
      </c>
      <c r="CH144" s="30">
        <f>IF(CK144=0, 0, EXP($D144*$E$2 * (($CN144/CK144) - 1)))</f>
        <v>0.31140322391459774</v>
      </c>
      <c r="CI144" s="30">
        <f>IF(CL144=0, 0, EXP($D144*$E$2 * (($CN144/CL144) - 1)))</f>
        <v>1</v>
      </c>
      <c r="CJ144" s="30">
        <f>IF(CM144=0, 0, EXP($D144*$E$2 * (($CN144/CM144) - 1)))</f>
        <v>1</v>
      </c>
      <c r="CK144" s="490">
        <f t="shared" si="427"/>
        <v>1.2</v>
      </c>
      <c r="CL144" s="490">
        <f t="shared" si="427"/>
        <v>1</v>
      </c>
      <c r="CM144" s="490">
        <f t="shared" si="427"/>
        <v>1</v>
      </c>
      <c r="CN144" s="704">
        <f>CN133</f>
        <v>1</v>
      </c>
    </row>
    <row r="145" spans="1:92">
      <c r="A145" s="818"/>
      <c r="B145" s="824"/>
      <c r="C145" s="23" t="s">
        <v>462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64"/>
      <c r="AH145" s="23"/>
      <c r="AI145" s="23"/>
      <c r="AJ145" s="23"/>
      <c r="AK145" s="23"/>
      <c r="AL145" s="23"/>
      <c r="AM145" s="23"/>
      <c r="AN145" s="680">
        <f t="shared" ref="AN145:AS147" si="436">AN134</f>
        <v>2025</v>
      </c>
      <c r="AO145" s="680">
        <f t="shared" si="436"/>
        <v>2025</v>
      </c>
      <c r="AP145" s="680">
        <f t="shared" si="436"/>
        <v>2025</v>
      </c>
      <c r="AQ145" s="680">
        <f t="shared" si="436"/>
        <v>2025</v>
      </c>
      <c r="AR145" s="680">
        <f t="shared" si="436"/>
        <v>2028</v>
      </c>
      <c r="AS145" s="696">
        <f t="shared" si="436"/>
        <v>2030</v>
      </c>
      <c r="AU145" s="23"/>
      <c r="AV145" s="23"/>
      <c r="AW145" s="23"/>
      <c r="AX145" s="23"/>
      <c r="AY145" s="23"/>
      <c r="AZ145" s="23"/>
      <c r="BA145" s="680">
        <f t="shared" ref="BA145:BF147" si="437">BA134</f>
        <v>2025</v>
      </c>
      <c r="BB145" s="680">
        <f t="shared" si="437"/>
        <v>2025</v>
      </c>
      <c r="BC145" s="680">
        <f t="shared" si="437"/>
        <v>2025</v>
      </c>
      <c r="BD145" s="680">
        <f t="shared" si="437"/>
        <v>2025</v>
      </c>
      <c r="BE145" s="680">
        <f t="shared" si="437"/>
        <v>2028</v>
      </c>
      <c r="BF145" s="680">
        <f t="shared" si="437"/>
        <v>2030</v>
      </c>
      <c r="BH145" s="681"/>
      <c r="BI145" s="23"/>
      <c r="BJ145" s="23"/>
      <c r="BK145" s="23"/>
      <c r="BL145" s="23"/>
      <c r="BM145" s="23"/>
      <c r="BN145" s="491">
        <f t="shared" ref="BN145" si="438">BN134</f>
        <v>2025</v>
      </c>
      <c r="BO145" s="491">
        <f t="shared" si="430"/>
        <v>2025</v>
      </c>
      <c r="BP145" s="491">
        <f t="shared" si="430"/>
        <v>2025</v>
      </c>
      <c r="BQ145" s="491">
        <f t="shared" si="430"/>
        <v>2025</v>
      </c>
      <c r="BR145" s="491">
        <f t="shared" si="430"/>
        <v>2028</v>
      </c>
      <c r="BS145" s="491">
        <f t="shared" si="430"/>
        <v>2030</v>
      </c>
      <c r="BU145" s="681"/>
      <c r="BV145" s="23"/>
      <c r="BW145" s="23"/>
      <c r="BX145" s="23"/>
      <c r="BY145" s="23"/>
      <c r="BZ145" s="23"/>
      <c r="CA145" s="491">
        <f>BN145</f>
        <v>2025</v>
      </c>
      <c r="CB145" s="491">
        <f t="shared" ref="CB145:CB147" si="439">BO145</f>
        <v>2025</v>
      </c>
      <c r="CC145" s="491">
        <f t="shared" ref="CC145:CC147" si="440">BP145</f>
        <v>2025</v>
      </c>
      <c r="CD145" s="491">
        <f t="shared" ref="CD145:CD147" si="441">BQ145</f>
        <v>2025</v>
      </c>
      <c r="CE145" s="491">
        <f t="shared" ref="CE145:CE147" si="442">BR145</f>
        <v>2028</v>
      </c>
      <c r="CF145" s="491">
        <f t="shared" ref="CF145:CF147" si="443">BS145</f>
        <v>2030</v>
      </c>
      <c r="CN145" s="17">
        <f>CN134</f>
        <v>2025</v>
      </c>
    </row>
    <row r="146" spans="1:92">
      <c r="A146" s="818"/>
      <c r="B146" s="824"/>
      <c r="C146" s="23" t="s">
        <v>463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E146" s="23"/>
      <c r="AF146" s="23"/>
      <c r="AG146" s="64"/>
      <c r="AH146" s="23">
        <v>1</v>
      </c>
      <c r="AI146" s="701">
        <f>$BH146-($BO146-$BN146)/($BO$1-$BN146)</f>
        <v>0.9</v>
      </c>
      <c r="AJ146" s="701">
        <f>$BH146-($BP146-$BN146)/($BO$1-$BN146)</f>
        <v>0.75</v>
      </c>
      <c r="AK146" s="701">
        <f>$BH146-($BQ146-$BN146)/($BO$1-$BN146)</f>
        <v>0.85</v>
      </c>
      <c r="AL146" s="701">
        <f>$BH146-($BR146-$BN146)/($BO$1-$BN146)</f>
        <v>0.55000000000000004</v>
      </c>
      <c r="AM146" s="701">
        <f>$BH146-($BS146-$BN145)/($BO$1-$BN145)</f>
        <v>0.35</v>
      </c>
      <c r="AN146" s="680">
        <f t="shared" si="436"/>
        <v>2025</v>
      </c>
      <c r="AO146" s="680">
        <f t="shared" si="436"/>
        <v>2027</v>
      </c>
      <c r="AP146" s="680">
        <f t="shared" si="436"/>
        <v>2030</v>
      </c>
      <c r="AQ146" s="680">
        <f t="shared" si="436"/>
        <v>2028</v>
      </c>
      <c r="AR146" s="680">
        <f t="shared" si="436"/>
        <v>2034</v>
      </c>
      <c r="AS146" s="696">
        <f t="shared" si="436"/>
        <v>2038</v>
      </c>
      <c r="AU146" s="23">
        <v>1</v>
      </c>
      <c r="AV146" s="701">
        <f>$BH146-($BO146-$BN146)/($BO$1-$BN146)</f>
        <v>0.9</v>
      </c>
      <c r="AW146" s="701">
        <f>$BH146-($BP146-$BN146)/($BO$1-$BN146)</f>
        <v>0.75</v>
      </c>
      <c r="AX146" s="701">
        <f>$BH146-($BQ146-$BN146)/($BO$1-$BN146)</f>
        <v>0.85</v>
      </c>
      <c r="AY146" s="701">
        <f>$BH146-($BR146-$BN146)/($BO$1-$BN146)</f>
        <v>0.55000000000000004</v>
      </c>
      <c r="AZ146" s="701">
        <f>$BH146-($BS146-$BN145)/($BO$1-$BN145)</f>
        <v>0.35</v>
      </c>
      <c r="BA146" s="680">
        <f t="shared" si="437"/>
        <v>2025</v>
      </c>
      <c r="BB146" s="680">
        <f t="shared" si="437"/>
        <v>2027</v>
      </c>
      <c r="BC146" s="680">
        <f t="shared" si="437"/>
        <v>2030</v>
      </c>
      <c r="BD146" s="680">
        <f t="shared" si="437"/>
        <v>2028</v>
      </c>
      <c r="BE146" s="680">
        <f t="shared" si="437"/>
        <v>2034</v>
      </c>
      <c r="BF146" s="680">
        <f t="shared" si="437"/>
        <v>2038</v>
      </c>
      <c r="BH146" s="688">
        <v>1</v>
      </c>
      <c r="BI146" s="30">
        <f>$BH146-($BO146-$BN146)/($BO$1-$BN146)</f>
        <v>0.9</v>
      </c>
      <c r="BJ146" s="30">
        <f>$BH146-($BP146-$BN146)/($BO$1-$BN146)</f>
        <v>0.75</v>
      </c>
      <c r="BK146" s="30">
        <f>$BH146-($BQ146-$BN146)/($BO$1-$BN146)</f>
        <v>0.85</v>
      </c>
      <c r="BL146" s="30">
        <f>$BH146-($BR146-$BN146)/($BO$1-$BN146)</f>
        <v>0.55000000000000004</v>
      </c>
      <c r="BM146" s="30">
        <f>$BH146-($BS146-$BN145)/($BO$1-$BN145)</f>
        <v>0.35</v>
      </c>
      <c r="BN146" s="491">
        <f t="shared" ref="BN146" si="444">BN135</f>
        <v>2025</v>
      </c>
      <c r="BO146" s="491">
        <f t="shared" si="430"/>
        <v>2027</v>
      </c>
      <c r="BP146" s="491">
        <f t="shared" si="430"/>
        <v>2030</v>
      </c>
      <c r="BQ146" s="491">
        <f t="shared" si="430"/>
        <v>2028</v>
      </c>
      <c r="BR146" s="491">
        <f t="shared" si="430"/>
        <v>2034</v>
      </c>
      <c r="BS146" s="491">
        <f t="shared" si="430"/>
        <v>2038</v>
      </c>
      <c r="BU146" s="688">
        <v>1</v>
      </c>
      <c r="BV146" s="30">
        <f>$BU146-($CB146-$CA146)/($CB$1-$CA146)</f>
        <v>0.92</v>
      </c>
      <c r="BW146" s="30">
        <f>$BU146-($CC146-$CA146)/($CB$1-$CA146)</f>
        <v>0.8</v>
      </c>
      <c r="BX146" s="30">
        <f>$BU146-($CD146-$CA146)/($CB$1-$CA146)</f>
        <v>0.88</v>
      </c>
      <c r="BY146" s="30">
        <f>$BU146-($CE146-$CA146)/($CB$1-$CA146)</f>
        <v>0.64</v>
      </c>
      <c r="BZ146" s="30">
        <f>$BU146-($CF146-$CA145)/($CB$1-$CA145)</f>
        <v>0.48</v>
      </c>
      <c r="CA146" s="491">
        <f>BN146</f>
        <v>2025</v>
      </c>
      <c r="CB146" s="491">
        <f t="shared" si="439"/>
        <v>2027</v>
      </c>
      <c r="CC146" s="491">
        <f t="shared" si="440"/>
        <v>2030</v>
      </c>
      <c r="CD146" s="491">
        <f t="shared" si="441"/>
        <v>2028</v>
      </c>
      <c r="CE146" s="491">
        <f t="shared" si="442"/>
        <v>2034</v>
      </c>
      <c r="CF146" s="491">
        <f t="shared" si="443"/>
        <v>2038</v>
      </c>
      <c r="CN146" s="17">
        <f>CN135</f>
        <v>2025</v>
      </c>
    </row>
    <row r="147" spans="1:92">
      <c r="A147" s="818"/>
      <c r="B147" s="823"/>
      <c r="C147" s="23" t="s">
        <v>464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E147" s="23"/>
      <c r="AF147" s="23"/>
      <c r="AG147" s="64"/>
      <c r="AH147" s="694">
        <v>1</v>
      </c>
      <c r="AI147" s="694">
        <f>$BH147-($BO146-$BN146)/($BO147-$BN146)+($BO$1-$BO147)/($BO$1-$BN146)</f>
        <v>0.35</v>
      </c>
      <c r="AJ147" s="694">
        <f>$BH147-($BP146-$BN146)/($BP147-$BN146)+($BO$1-$BP147)/($BO$1-$BN146)</f>
        <v>-2.5000000000000022E-2</v>
      </c>
      <c r="AK147" s="694">
        <f>$BH147-($BQ146-$BN146)/($BQ147-$BN146)+($BO$1-$BQ147)/($BO$1-$BN146)</f>
        <v>0.2</v>
      </c>
      <c r="AL147" s="694">
        <f>$BH147-($BR146-$BN146)/($BR147-$BN146)+($BO$1-$BR147)/($BO$1-$BN146)</f>
        <v>-0.37941176470588234</v>
      </c>
      <c r="AM147" s="694">
        <f>$BH147-($BS146-$BN145)/($BS147-$BN145)+($BO$1-$BS147)/($BO$1-$BN145)</f>
        <v>-0.65</v>
      </c>
      <c r="AN147" s="687">
        <f t="shared" si="436"/>
        <v>2025</v>
      </c>
      <c r="AO147" s="687">
        <f t="shared" si="436"/>
        <v>2030</v>
      </c>
      <c r="AP147" s="687">
        <f t="shared" si="436"/>
        <v>2033</v>
      </c>
      <c r="AQ147" s="687">
        <f t="shared" si="436"/>
        <v>2035</v>
      </c>
      <c r="AR147" s="687">
        <f t="shared" si="436"/>
        <v>2042</v>
      </c>
      <c r="AS147" s="697">
        <f t="shared" si="436"/>
        <v>2045</v>
      </c>
      <c r="AU147" s="694">
        <v>1</v>
      </c>
      <c r="AV147" s="694">
        <f>$BH147-($BO146-$BN146)/($BO147-$BN146)+($BO$1-$BO147)/($BO$1-$BN146)</f>
        <v>0.35</v>
      </c>
      <c r="AW147" s="694">
        <f>$BH147-($BP146-$BN146)/($BP147-$BN146)+($BO$1-$BP147)/($BO$1-$BN146)</f>
        <v>-2.5000000000000022E-2</v>
      </c>
      <c r="AX147" s="694">
        <f>$BH147-($BQ146-$BN146)/($BQ147-$BN146)+($BO$1-$BQ147)/($BO$1-$BN146)</f>
        <v>0.2</v>
      </c>
      <c r="AY147" s="694">
        <f>$BH147-($BR146-$BN146)/($BR147-$BN146)+($BO$1-$BR147)/($BO$1-$BN146)</f>
        <v>-0.37941176470588234</v>
      </c>
      <c r="AZ147" s="694">
        <f>$BH147-($BS146-$BN145)/($BS147-$BN145)+($BO$1-$BS147)/($BO$1-$BN145)</f>
        <v>-0.65</v>
      </c>
      <c r="BA147" s="687">
        <f t="shared" si="437"/>
        <v>2025</v>
      </c>
      <c r="BB147" s="687">
        <f t="shared" si="437"/>
        <v>2030</v>
      </c>
      <c r="BC147" s="687">
        <f t="shared" si="437"/>
        <v>2033</v>
      </c>
      <c r="BD147" s="687">
        <f t="shared" si="437"/>
        <v>2035</v>
      </c>
      <c r="BE147" s="687">
        <f t="shared" si="437"/>
        <v>2042</v>
      </c>
      <c r="BF147" s="687">
        <f t="shared" si="437"/>
        <v>2045</v>
      </c>
      <c r="BH147" s="681"/>
      <c r="BI147" s="23"/>
      <c r="BJ147" s="23"/>
      <c r="BK147" s="23"/>
      <c r="BL147" s="23"/>
      <c r="BM147" s="23"/>
      <c r="BN147" s="491">
        <f t="shared" ref="BN147" si="445">BN136</f>
        <v>2025</v>
      </c>
      <c r="BO147" s="491">
        <f t="shared" si="430"/>
        <v>2030</v>
      </c>
      <c r="BP147" s="491">
        <f t="shared" si="430"/>
        <v>2033</v>
      </c>
      <c r="BQ147" s="491">
        <f t="shared" si="430"/>
        <v>2035</v>
      </c>
      <c r="BR147" s="491">
        <f t="shared" si="430"/>
        <v>2042</v>
      </c>
      <c r="BS147" s="491">
        <f t="shared" si="430"/>
        <v>2045</v>
      </c>
      <c r="BU147" s="688">
        <v>1</v>
      </c>
      <c r="BV147" s="30">
        <f>$BU147-($CB147-$CA147)/($CB$1-$CA147)</f>
        <v>0.8</v>
      </c>
      <c r="BW147" s="30">
        <f>$BU147-($CC147-$CA147)/($CB$1-$CA147)</f>
        <v>0.67999999999999994</v>
      </c>
      <c r="BX147" s="30">
        <f>$BU147-($CD147-$CA147)/($CB$1-$CA147)</f>
        <v>0.6</v>
      </c>
      <c r="BY147" s="30">
        <f>$BU147-($CE147-$CA147)/($CB$1-$CA147)</f>
        <v>0.31999999999999995</v>
      </c>
      <c r="BZ147" s="30">
        <f>$BU147-($CF147-$CA146)/($CB$1-$CA146)</f>
        <v>0.19999999999999996</v>
      </c>
      <c r="CA147" s="491">
        <f>BN147</f>
        <v>2025</v>
      </c>
      <c r="CB147" s="491">
        <f t="shared" si="439"/>
        <v>2030</v>
      </c>
      <c r="CC147" s="491">
        <f t="shared" si="440"/>
        <v>2033</v>
      </c>
      <c r="CD147" s="491">
        <f t="shared" si="441"/>
        <v>2035</v>
      </c>
      <c r="CE147" s="491">
        <f t="shared" si="442"/>
        <v>2042</v>
      </c>
      <c r="CF147" s="491">
        <f t="shared" si="443"/>
        <v>2045</v>
      </c>
      <c r="CH147" s="30">
        <f>CD147/CD147</f>
        <v>1</v>
      </c>
      <c r="CI147" s="30">
        <f>1-(CE147-CD147)/($CK$1-CD147)</f>
        <v>0.65</v>
      </c>
      <c r="CJ147" s="30">
        <f>1-(CF147-CD147)/($CK$1-CD147)</f>
        <v>0.5</v>
      </c>
      <c r="CK147" s="936" t="s">
        <v>1059</v>
      </c>
      <c r="CL147" s="937"/>
      <c r="CM147" s="937"/>
      <c r="CN147" s="17">
        <f>CN136</f>
        <v>2025</v>
      </c>
    </row>
    <row r="148" spans="1:92">
      <c r="A148" s="818">
        <v>14</v>
      </c>
      <c r="B148" s="822" t="s">
        <v>849</v>
      </c>
      <c r="C148" s="23" t="s">
        <v>452</v>
      </c>
      <c r="D148" s="450"/>
      <c r="E148" s="24" t="s">
        <v>454</v>
      </c>
      <c r="F148" s="24" t="s">
        <v>471</v>
      </c>
      <c r="G148" s="25"/>
      <c r="H148" s="24"/>
      <c r="I148" s="24" t="s">
        <v>454</v>
      </c>
      <c r="J148" s="25"/>
      <c r="K148" s="24"/>
      <c r="L148" s="25"/>
      <c r="M148" s="25"/>
      <c r="N148" s="25"/>
      <c r="O148" s="25"/>
      <c r="P148" s="25"/>
      <c r="Q148" s="24"/>
      <c r="R148" s="25"/>
      <c r="S148" s="25"/>
      <c r="T148" s="25"/>
      <c r="U148" s="25"/>
      <c r="V148" s="25"/>
      <c r="W148" s="24"/>
      <c r="X148" s="25"/>
      <c r="Y148" s="25"/>
      <c r="Z148" s="24"/>
      <c r="AA148" s="25"/>
      <c r="AB148" s="25"/>
      <c r="AD148" s="26"/>
      <c r="AE148" s="27"/>
      <c r="AF148" s="27"/>
      <c r="AH148" s="684"/>
      <c r="AI148" s="684"/>
      <c r="AJ148" s="684"/>
      <c r="AK148" s="684"/>
      <c r="AL148" s="684"/>
      <c r="AM148" s="684"/>
      <c r="AN148" s="684"/>
      <c r="AO148" s="684"/>
      <c r="AP148" s="684"/>
      <c r="AQ148" s="684"/>
      <c r="AR148" s="684"/>
      <c r="AS148" s="684"/>
      <c r="AU148" s="684"/>
      <c r="AV148" s="684"/>
      <c r="AW148" s="684"/>
      <c r="AX148" s="684"/>
      <c r="AY148" s="684"/>
      <c r="AZ148" s="684"/>
      <c r="BA148" s="684"/>
      <c r="BB148" s="684"/>
      <c r="BC148" s="684"/>
      <c r="BD148" s="684"/>
      <c r="BE148" s="684"/>
      <c r="BF148" s="689"/>
      <c r="BH148" s="447"/>
      <c r="BI148" s="445"/>
      <c r="BJ148" s="445"/>
      <c r="BK148" s="445"/>
      <c r="BL148" s="445"/>
      <c r="BM148" s="445"/>
      <c r="BU148" s="447"/>
      <c r="BV148" s="445"/>
      <c r="BW148" s="445"/>
      <c r="BX148" s="445"/>
      <c r="BY148" s="445"/>
      <c r="BZ148" s="445"/>
    </row>
    <row r="149" spans="1:92">
      <c r="A149" s="818"/>
      <c r="B149" s="824"/>
      <c r="C149" s="23" t="s">
        <v>455</v>
      </c>
      <c r="D149" s="450"/>
      <c r="E149" s="24"/>
      <c r="F149" s="24"/>
      <c r="G149" s="25"/>
      <c r="H149" s="24"/>
      <c r="I149" s="24"/>
      <c r="J149" s="25"/>
      <c r="K149" s="25"/>
      <c r="L149" s="25"/>
      <c r="M149" s="25"/>
      <c r="N149" s="25"/>
      <c r="O149" s="25"/>
      <c r="P149" s="25"/>
      <c r="Q149" s="24"/>
      <c r="R149" s="25"/>
      <c r="S149" s="25"/>
      <c r="T149" s="25"/>
      <c r="U149" s="25"/>
      <c r="V149" s="25"/>
      <c r="W149" s="24"/>
      <c r="X149" s="25"/>
      <c r="Y149" s="25"/>
      <c r="Z149" s="24"/>
      <c r="AA149" s="25"/>
      <c r="AB149" s="25"/>
      <c r="AD149" s="26"/>
      <c r="AE149" s="27"/>
      <c r="AF149" s="27"/>
      <c r="AH149" s="691">
        <f>Buckets!H16</f>
        <v>8590</v>
      </c>
      <c r="AI149" s="691">
        <f>Buckets!J16</f>
        <v>5650</v>
      </c>
      <c r="AJ149" s="691">
        <f>Buckets!K16</f>
        <v>2940</v>
      </c>
      <c r="AK149" s="691">
        <f>AH149</f>
        <v>8590</v>
      </c>
      <c r="AL149" s="691">
        <f>AH149</f>
        <v>8590</v>
      </c>
      <c r="AM149" s="691">
        <f>AH149</f>
        <v>8590</v>
      </c>
      <c r="AU149" s="691">
        <f>Buckets!M16</f>
        <v>8920</v>
      </c>
      <c r="AV149" s="691">
        <f>Buckets!O16</f>
        <v>5870</v>
      </c>
      <c r="AW149" s="691">
        <f>Buckets!P16</f>
        <v>3050</v>
      </c>
      <c r="AX149" s="691">
        <f>AU149</f>
        <v>8920</v>
      </c>
      <c r="AY149" s="691">
        <f>AU149</f>
        <v>8920</v>
      </c>
      <c r="AZ149" s="691">
        <f>AU149</f>
        <v>8920</v>
      </c>
      <c r="BH149" s="691">
        <f>Buckets!R16</f>
        <v>9100</v>
      </c>
      <c r="BI149" s="691">
        <f>Buckets!T16</f>
        <v>5990</v>
      </c>
      <c r="BJ149" s="691">
        <f>Buckets!U16</f>
        <v>3110</v>
      </c>
      <c r="BK149" s="691">
        <f>BH149</f>
        <v>9100</v>
      </c>
      <c r="BL149" s="691">
        <f>BH149</f>
        <v>9100</v>
      </c>
      <c r="BM149" s="691">
        <f>BH149</f>
        <v>9100</v>
      </c>
      <c r="BU149" s="691">
        <f>Buckets!W16</f>
        <v>9460</v>
      </c>
      <c r="BV149" s="691">
        <f>Buckets!Y16</f>
        <v>6220</v>
      </c>
      <c r="BW149" s="691">
        <f>Buckets!Z16</f>
        <v>3240</v>
      </c>
      <c r="BX149" s="691">
        <f>BU149</f>
        <v>9460</v>
      </c>
      <c r="BY149" s="691">
        <f>BU149</f>
        <v>9460</v>
      </c>
      <c r="BZ149" s="691">
        <f>BU149</f>
        <v>9460</v>
      </c>
    </row>
    <row r="150" spans="1:92">
      <c r="A150" s="818"/>
      <c r="B150" s="824"/>
      <c r="C150" s="28" t="s">
        <v>456</v>
      </c>
      <c r="D150" s="450"/>
      <c r="E150" s="24"/>
      <c r="F150" s="25"/>
      <c r="G150" s="25"/>
      <c r="H150" s="24"/>
      <c r="I150" s="24"/>
      <c r="J150" s="25"/>
      <c r="K150" s="24"/>
      <c r="L150" s="25"/>
      <c r="M150" s="25"/>
      <c r="N150" s="25"/>
      <c r="O150" s="25"/>
      <c r="P150" s="25"/>
      <c r="Q150" s="24"/>
      <c r="R150" s="25"/>
      <c r="S150" s="25"/>
      <c r="T150" s="25"/>
      <c r="U150" s="25"/>
      <c r="V150" s="25"/>
      <c r="W150" s="24"/>
      <c r="X150" s="25"/>
      <c r="Y150" s="25"/>
      <c r="Z150" s="24"/>
      <c r="AA150" s="25"/>
      <c r="AB150" s="25"/>
      <c r="AD150" s="26"/>
      <c r="AE150" s="27"/>
      <c r="AF150" s="27"/>
      <c r="AH150" s="686"/>
      <c r="AI150" s="686"/>
      <c r="AJ150" s="686"/>
      <c r="AK150" s="686"/>
      <c r="AL150" s="686"/>
      <c r="AM150" s="686"/>
      <c r="AN150" s="686"/>
      <c r="AO150" s="686"/>
      <c r="AP150" s="686"/>
      <c r="AQ150" s="686"/>
      <c r="AR150" s="686"/>
      <c r="AS150" s="686"/>
      <c r="AU150" s="686"/>
      <c r="AV150" s="686"/>
      <c r="AW150" s="686"/>
      <c r="AX150" s="686"/>
      <c r="AY150" s="686"/>
      <c r="AZ150" s="686"/>
      <c r="BA150" s="686"/>
      <c r="BB150" s="686"/>
      <c r="BC150" s="686"/>
      <c r="BD150" s="686"/>
      <c r="BE150" s="686"/>
      <c r="BF150" s="690"/>
      <c r="BH150" s="447"/>
      <c r="BI150" s="445"/>
      <c r="BJ150" s="445"/>
      <c r="BK150" s="445"/>
      <c r="BL150" s="445"/>
      <c r="BM150" s="445"/>
      <c r="BU150" s="447"/>
      <c r="BV150" s="445"/>
      <c r="BW150" s="445"/>
      <c r="BX150" s="445"/>
      <c r="BY150" s="445"/>
      <c r="BZ150" s="445"/>
    </row>
    <row r="151" spans="1:92">
      <c r="A151" s="818"/>
      <c r="B151" s="824"/>
      <c r="C151" s="23" t="s">
        <v>457</v>
      </c>
      <c r="D151" s="29">
        <f t="shared" ref="D151:D155" si="446">AVERAGE(E151:AB151)</f>
        <v>8.6666666666666661</v>
      </c>
      <c r="E151" s="451">
        <v>9</v>
      </c>
      <c r="F151" s="27">
        <v>9</v>
      </c>
      <c r="G151" s="27"/>
      <c r="H151" s="26"/>
      <c r="I151" s="451">
        <v>8</v>
      </c>
      <c r="J151" s="27"/>
      <c r="K151" s="26"/>
      <c r="L151" s="27"/>
      <c r="M151" s="27"/>
      <c r="N151" s="27"/>
      <c r="O151" s="27"/>
      <c r="P151" s="27"/>
      <c r="Q151" s="26"/>
      <c r="R151" s="27"/>
      <c r="S151" s="27"/>
      <c r="T151" s="27"/>
      <c r="U151" s="27"/>
      <c r="V151" s="27"/>
      <c r="W151" s="26"/>
      <c r="X151" s="27"/>
      <c r="Y151" s="27"/>
      <c r="Z151" s="26"/>
      <c r="AA151" s="27"/>
      <c r="AB151" s="27"/>
      <c r="AD151" s="32"/>
      <c r="AE151" s="27"/>
      <c r="AF151" s="27"/>
      <c r="AH151" s="693">
        <f t="shared" ref="AH151:AM151" si="447">IF(AN151=0, 0, EXP($D151*$E$2  * (($AN151/AN151) - 1)) )</f>
        <v>1</v>
      </c>
      <c r="AI151" s="693">
        <f t="shared" si="447"/>
        <v>1.0005431825073319</v>
      </c>
      <c r="AJ151" s="693">
        <f t="shared" si="447"/>
        <v>0.78771628820269057</v>
      </c>
      <c r="AK151" s="693">
        <f t="shared" si="447"/>
        <v>1.1089317356347999</v>
      </c>
      <c r="AL151" s="693">
        <f t="shared" si="447"/>
        <v>3.8481158379593851E-2</v>
      </c>
      <c r="AM151" s="693">
        <f t="shared" si="447"/>
        <v>1.7671188810211864E-2</v>
      </c>
      <c r="AN151" s="685">
        <f>'B14 LPG Tankers 40T'!$M$165</f>
        <v>82.370244763925882</v>
      </c>
      <c r="AO151" s="685">
        <f>'B14 LPG Tankers 40T'!$M$166</f>
        <v>82.366804143883954</v>
      </c>
      <c r="AP151" s="685">
        <f>'B14 LPG Tankers 40T'!$M$167</f>
        <v>83.91043561864754</v>
      </c>
      <c r="AQ151" s="685">
        <f>'B14 LPG Tankers 40T'!$M$168</f>
        <v>81.720272196820702</v>
      </c>
      <c r="AR151" s="685">
        <f>'B14 LPG Tankers 40T'!$M$169</f>
        <v>109.91251679582433</v>
      </c>
      <c r="AS151" s="695">
        <f>'B14 LPG Tankers 40T'!$M$170</f>
        <v>119.45466825312414</v>
      </c>
      <c r="AU151" s="693">
        <f t="shared" ref="AU151:AZ151" si="448">IF(BA151=0, 0, EXP($D151*$E$2 * (($BA151/BA151) - 1)) )</f>
        <v>1</v>
      </c>
      <c r="AV151" s="693">
        <f t="shared" si="448"/>
        <v>0.76977851607143144</v>
      </c>
      <c r="AW151" s="693">
        <f t="shared" si="448"/>
        <v>0.62508792467064145</v>
      </c>
      <c r="AX151" s="693">
        <f t="shared" si="448"/>
        <v>4.6372785993043539</v>
      </c>
      <c r="AY151" s="693">
        <f t="shared" si="448"/>
        <v>0.22749373426778677</v>
      </c>
      <c r="AZ151" s="693">
        <f t="shared" si="448"/>
        <v>0.10227637251129752</v>
      </c>
      <c r="BA151" s="685">
        <f>'B14 LPG Tankers 40T'!$R$165</f>
        <v>96.022438207302301</v>
      </c>
      <c r="BB151" s="685">
        <f>'B14 LPG Tankers 40T'!$R$166</f>
        <v>97.994790258228917</v>
      </c>
      <c r="BC151" s="685">
        <f>'B14 LPG Tankers 40T'!$R$167</f>
        <v>99.623147989271246</v>
      </c>
      <c r="BD151" s="685">
        <f>'B14 LPG Tankers 40T'!$R$168</f>
        <v>85.886936162569668</v>
      </c>
      <c r="BE151" s="685">
        <f>'B14 LPG Tankers 40T'!$R$169</f>
        <v>108.36460471039884</v>
      </c>
      <c r="BF151" s="685">
        <f>'B14 LPG Tankers 40T'!$R$170</f>
        <v>116.44595297802755</v>
      </c>
      <c r="BH151" s="688">
        <f t="shared" ref="BH151:BM151" si="449">IF(BN151=0, 0, EXP($D151*$E$2 * (($BN151/BN151) - 1)) )</f>
        <v>1</v>
      </c>
      <c r="BI151" s="30">
        <f t="shared" si="449"/>
        <v>0.6091353343300262</v>
      </c>
      <c r="BJ151" s="30">
        <f t="shared" si="449"/>
        <v>0.52127519101936515</v>
      </c>
      <c r="BK151" s="30">
        <f t="shared" si="449"/>
        <v>7.1620548919743952</v>
      </c>
      <c r="BL151" s="30">
        <f t="shared" si="449"/>
        <v>0.87214954118299926</v>
      </c>
      <c r="BM151" s="30">
        <f t="shared" si="449"/>
        <v>0.3449864226712529</v>
      </c>
      <c r="BN151" s="492">
        <f>'B14 LPG Tankers 40T'!$W$165</f>
        <v>110.28041348675973</v>
      </c>
      <c r="BO151" s="492">
        <f>'B14 LPG Tankers 40T'!$W$166</f>
        <v>114.65232548561343</v>
      </c>
      <c r="BP151" s="492">
        <f>'B14 LPG Tankers 40T'!$W$167</f>
        <v>116.09853227813574</v>
      </c>
      <c r="BQ151" s="492">
        <f>'B14 LPG Tankers 40T'!$W$168</f>
        <v>95.77559114929096</v>
      </c>
      <c r="BR151" s="492">
        <f>'B14 LPG Tankers 40T'!$W$169</f>
        <v>111.4531958371751</v>
      </c>
      <c r="BS151" s="492">
        <f>'B14 LPG Tankers 40T'!$W$170</f>
        <v>120.11355812820349</v>
      </c>
      <c r="BU151" s="688">
        <f t="shared" ref="BU151:BZ151" si="450">IF(CA151=0, 0, EXP($D151*$E$2 * (($CA151/CA151) - 1)) )</f>
        <v>1</v>
      </c>
      <c r="BV151" s="30">
        <f t="shared" si="450"/>
        <v>0.49037530921708566</v>
      </c>
      <c r="BW151" s="30">
        <f t="shared" si="450"/>
        <v>0.43145037526542102</v>
      </c>
      <c r="BX151" s="30">
        <f t="shared" si="450"/>
        <v>18.421139906322626</v>
      </c>
      <c r="BY151" s="30">
        <f t="shared" si="450"/>
        <v>3.2583171486510678</v>
      </c>
      <c r="BZ151" s="30">
        <f t="shared" si="450"/>
        <v>1.5155957201813719</v>
      </c>
      <c r="CA151" s="492">
        <f>'B14 LPG Tankers 40T'!$AB$165</f>
        <v>129.3585704356116</v>
      </c>
      <c r="CB151" s="492">
        <f>'B14 LPG Tankers 40T'!$AB$166</f>
        <v>136.86046350513973</v>
      </c>
      <c r="CC151" s="492">
        <f>'B14 LPG Tankers 40T'!$AB$167</f>
        <v>138.30138001673481</v>
      </c>
      <c r="CD151" s="492">
        <f>'B14 LPG Tankers 40T'!$AB$168</f>
        <v>105.67515194794615</v>
      </c>
      <c r="CE151" s="492">
        <f>'B14 LPG Tankers 40T'!$AB$169</f>
        <v>118.58376787761941</v>
      </c>
      <c r="CF151" s="492">
        <f>'B14 LPG Tankers 40T'!$AB$170</f>
        <v>125.34924049467934</v>
      </c>
      <c r="CH151" s="30">
        <f>IF(CK151=0, 0, EXP($D151*$E$2 * (($CN151/CK151) - 1)))</f>
        <v>15.578232312296535</v>
      </c>
      <c r="CI151" s="30">
        <f>IF(CL151=0, 0, EXP($D151*$E$2 * (($CN151/CL151) - 1)))</f>
        <v>4.6231982948734638</v>
      </c>
      <c r="CJ151" s="30">
        <f>IF(CM151=0, 0, EXP($D151*$E$2 * (($CN151/CM151) - 1)))</f>
        <v>2.1999363834769543</v>
      </c>
      <c r="CK151" s="492">
        <f>'B14 LPG Tankers 40T'!$AG$168</f>
        <v>123.44541824812573</v>
      </c>
      <c r="CL151" s="492">
        <f>'B14 LPG Tankers 40T'!$AG$169</f>
        <v>133.76536165362307</v>
      </c>
      <c r="CM151" s="492">
        <f>'B14 LPG Tankers 40T'!$AG$170</f>
        <v>140.97009536718826</v>
      </c>
      <c r="CN151" s="703">
        <f>'B14 LPG Tankers 40T'!$AG$165</f>
        <v>149.51969789399743</v>
      </c>
    </row>
    <row r="152" spans="1:92">
      <c r="A152" s="818"/>
      <c r="B152" s="824"/>
      <c r="C152" s="23" t="s">
        <v>458</v>
      </c>
      <c r="D152" s="29">
        <f t="shared" si="446"/>
        <v>8.3333333333333339</v>
      </c>
      <c r="E152" s="451">
        <v>8</v>
      </c>
      <c r="F152" s="27">
        <v>8</v>
      </c>
      <c r="G152" s="27"/>
      <c r="H152" s="26"/>
      <c r="I152" s="451">
        <v>9</v>
      </c>
      <c r="J152" s="27"/>
      <c r="K152" s="26"/>
      <c r="L152" s="27"/>
      <c r="M152" s="27"/>
      <c r="N152" s="27"/>
      <c r="O152" s="27"/>
      <c r="P152" s="27"/>
      <c r="Q152" s="26"/>
      <c r="R152" s="27"/>
      <c r="S152" s="27"/>
      <c r="T152" s="27"/>
      <c r="U152" s="27"/>
      <c r="V152" s="27"/>
      <c r="W152" s="26"/>
      <c r="X152" s="27"/>
      <c r="Y152" s="27"/>
      <c r="Z152" s="26"/>
      <c r="AA152" s="27"/>
      <c r="AB152" s="27"/>
      <c r="AD152" s="32"/>
      <c r="AE152" s="27"/>
      <c r="AF152" s="27"/>
      <c r="AH152" s="693">
        <f t="shared" ref="AH152:AM152" si="451">IF(AN152=0, 0, EXP($D152*$F$2 * (($AN152/AN152) - 1)) )</f>
        <v>1</v>
      </c>
      <c r="AI152" s="693">
        <f t="shared" si="451"/>
        <v>0.52828680056254906</v>
      </c>
      <c r="AJ152" s="693">
        <f t="shared" si="451"/>
        <v>0.11948657506403448</v>
      </c>
      <c r="AK152" s="693">
        <f t="shared" si="451"/>
        <v>1.0614977572554368E-2</v>
      </c>
      <c r="AL152" s="693">
        <f t="shared" si="451"/>
        <v>0.17900011414240594</v>
      </c>
      <c r="AM152" s="693">
        <f t="shared" si="451"/>
        <v>3.2478464137890737E-3</v>
      </c>
      <c r="AN152" s="678">
        <f>'B14 LPG Tankers 40T'!$M$63</f>
        <v>6242700</v>
      </c>
      <c r="AO152" s="678">
        <f>'B14 LPG Tankers 40T'!$M$81</f>
        <v>6578529.1557357572</v>
      </c>
      <c r="AP152" s="678">
        <f>'B14 LPG Tankers 40T'!$M$98</f>
        <v>7521000</v>
      </c>
      <c r="AQ152" s="678">
        <f>'B14 LPG Tankers 40T'!$M$132</f>
        <v>9810000</v>
      </c>
      <c r="AR152" s="678">
        <f>'B14 LPG Tankers 40T'!$M$115</f>
        <v>7239000</v>
      </c>
      <c r="AS152" s="682">
        <f>'B14 LPG Tankers 40T'!$M$149</f>
        <v>11526000</v>
      </c>
      <c r="AU152" s="693">
        <f t="shared" ref="AU152:AZ152" si="452">IF(BA152=0, 0, EXP($D152*$F$2 * (($BA152/BA152) - 1)) )</f>
        <v>1</v>
      </c>
      <c r="AV152" s="693">
        <f t="shared" si="452"/>
        <v>0.52828657228464149</v>
      </c>
      <c r="AW152" s="693">
        <f t="shared" si="452"/>
        <v>0.14134026319431373</v>
      </c>
      <c r="AX152" s="693">
        <f t="shared" si="452"/>
        <v>2.4762285051901631E-2</v>
      </c>
      <c r="AY152" s="693">
        <f t="shared" si="452"/>
        <v>0.28336308595201121</v>
      </c>
      <c r="AZ152" s="693">
        <f t="shared" si="452"/>
        <v>8.6896004263579737E-3</v>
      </c>
      <c r="BA152" s="678">
        <f>'B14 LPG Tankers 40T'!$R$63</f>
        <v>7237000</v>
      </c>
      <c r="BB152" s="678">
        <f>'B14 LPG Tankers 40T'!$R$81</f>
        <v>7626318.2972711315</v>
      </c>
      <c r="BC152" s="678">
        <f>'B14 LPG Tankers 40T'!$R$98</f>
        <v>8580000</v>
      </c>
      <c r="BD152" s="678">
        <f>'B14 LPG Tankers 40T'!$R$132</f>
        <v>10278000</v>
      </c>
      <c r="BE152" s="678">
        <f>'B14 LPG Tankers 40T'!$R$115</f>
        <v>8049000</v>
      </c>
      <c r="BF152" s="678">
        <f>'B14 LPG Tankers 40T'!$R$149</f>
        <v>11666000</v>
      </c>
      <c r="BH152" s="688">
        <f t="shared" ref="BH152:BM152" si="453">IF(BN152=0, 0, EXP($D152*$F$2 * (($BN152/BN152) - 1)) )</f>
        <v>1</v>
      </c>
      <c r="BI152" s="30">
        <f t="shared" si="453"/>
        <v>0.52823692207301787</v>
      </c>
      <c r="BJ152" s="30">
        <f t="shared" si="453"/>
        <v>0.16528708278440626</v>
      </c>
      <c r="BK152" s="30">
        <f t="shared" si="453"/>
        <v>4.6653736930172489E-2</v>
      </c>
      <c r="BL152" s="30">
        <f t="shared" si="453"/>
        <v>0.31533597262074292</v>
      </c>
      <c r="BM152" s="30">
        <f t="shared" si="453"/>
        <v>1.7525369022073814E-2</v>
      </c>
      <c r="BN152" s="493">
        <f>'B14 LPG Tankers 40T'!$W$63</f>
        <v>8389600</v>
      </c>
      <c r="BO152" s="493">
        <f>'B14 LPG Tankers 40T'!$W$81</f>
        <v>8840993.0843861438</v>
      </c>
      <c r="BP152" s="493">
        <f>'B14 LPG Tankers 40T'!$W$98</f>
        <v>9801000</v>
      </c>
      <c r="BQ152" s="493">
        <f>'B14 LPG Tankers 40T'!$W$132</f>
        <v>11115000</v>
      </c>
      <c r="BR152" s="493">
        <f>'B14 LPG Tankers 40T'!$W$115</f>
        <v>9243000</v>
      </c>
      <c r="BS152" s="494">
        <f>'B14 LPG Tankers 40T'!$W$149</f>
        <v>12402000</v>
      </c>
      <c r="BU152" s="688">
        <f t="shared" ref="BU152:BZ152" si="454">IF(CA152=0, 0, EXP($D152*$F$2 * (($CA152/CA152) - 1)) )</f>
        <v>1</v>
      </c>
      <c r="BV152" s="30">
        <f t="shared" si="454"/>
        <v>0.52820743335195752</v>
      </c>
      <c r="BW152" s="30">
        <f t="shared" si="454"/>
        <v>0.19127788495765216</v>
      </c>
      <c r="BX152" s="30">
        <f t="shared" si="454"/>
        <v>7.332588647695415E-2</v>
      </c>
      <c r="BY152" s="30">
        <f t="shared" si="454"/>
        <v>0.34793898777603866</v>
      </c>
      <c r="BZ152" s="30">
        <f t="shared" si="454"/>
        <v>3.3432788706136737E-2</v>
      </c>
      <c r="CA152" s="493">
        <f>'B14 LPG Tankers 40T'!$AB$63</f>
        <v>9725800</v>
      </c>
      <c r="CB152" s="493">
        <f>'B14 LPG Tankers 40T'!$AB$81</f>
        <v>10249134.073794451</v>
      </c>
      <c r="CC152" s="493">
        <f>'B14 LPG Tankers 40T'!$AB$98</f>
        <v>11209000</v>
      </c>
      <c r="CD152" s="493">
        <f>'B14 LPG Tankers 40T'!$AB$132</f>
        <v>12296000</v>
      </c>
      <c r="CE152" s="493">
        <f>'B14 LPG Tankers 40T'!$AB$115</f>
        <v>10623000</v>
      </c>
      <c r="CF152" s="494">
        <f>'B14 LPG Tankers 40T'!$AB$149</f>
        <v>13357000</v>
      </c>
      <c r="CH152" s="30">
        <f>IF(CK152=0, 0, EXP($D152*$F$2 * (($CN152/CK152) - 1)))</f>
        <v>9.2307727185159311E-2</v>
      </c>
      <c r="CI152" s="30">
        <f>IF(CL152=0, 0, EXP($D152*$F$2 * (($CN152/CL152) - 1)))</f>
        <v>0.38099473730017713</v>
      </c>
      <c r="CJ152" s="30">
        <f>IF(CM152=0, 0, EXP($D152*$F$2 * (($CN152/CM152) - 1)))</f>
        <v>4.8292886471666421E-2</v>
      </c>
      <c r="CK152" s="493">
        <f>'B14 LPG Tankers 40T'!$AG$132</f>
        <v>13930000</v>
      </c>
      <c r="CL152" s="493">
        <f>'B14 LPG Tankers 40T'!$AG$115</f>
        <v>12218000</v>
      </c>
      <c r="CM152" s="494">
        <f>'B14 LPG Tankers 40T'!$AG$149</f>
        <v>14883000</v>
      </c>
      <c r="CN152" s="17">
        <f>'B14 LPG Tankers 40T'!$AG$63</f>
        <v>11274800</v>
      </c>
    </row>
    <row r="153" spans="1:92">
      <c r="A153" s="818"/>
      <c r="B153" s="824"/>
      <c r="C153" s="23" t="s">
        <v>459</v>
      </c>
      <c r="D153" s="29">
        <f t="shared" si="446"/>
        <v>8.6666666666666661</v>
      </c>
      <c r="E153" s="451">
        <v>9</v>
      </c>
      <c r="F153" s="32">
        <v>9</v>
      </c>
      <c r="G153" s="32"/>
      <c r="H153" s="32"/>
      <c r="I153" s="451">
        <v>8</v>
      </c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D153" s="26"/>
      <c r="AE153" s="32"/>
      <c r="AF153" s="32"/>
      <c r="AH153" s="693">
        <f t="shared" ref="AH153:AM154" si="455">IF(AN153=0, 0, EXP($D153*$E$2 * ((AN153/$AN153) - 1)) )</f>
        <v>1</v>
      </c>
      <c r="AI153" s="693">
        <f t="shared" si="455"/>
        <v>1</v>
      </c>
      <c r="AJ153" s="693">
        <f t="shared" si="455"/>
        <v>1</v>
      </c>
      <c r="AK153" s="693">
        <f t="shared" si="455"/>
        <v>0.21828554812642756</v>
      </c>
      <c r="AL153" s="693">
        <f t="shared" si="455"/>
        <v>1</v>
      </c>
      <c r="AM153" s="693">
        <f t="shared" si="455"/>
        <v>0.56511179095104691</v>
      </c>
      <c r="AN153" s="678">
        <f>'B14 LPG Tankers 40T'!$C$17</f>
        <v>20500</v>
      </c>
      <c r="AO153" s="678">
        <f>AN153</f>
        <v>20500</v>
      </c>
      <c r="AP153" s="678">
        <f>AN153</f>
        <v>20500</v>
      </c>
      <c r="AQ153" s="678">
        <f>'B14 LPG Tankers 40T'!C18</f>
        <v>18100</v>
      </c>
      <c r="AR153" s="678">
        <f>AN153</f>
        <v>20500</v>
      </c>
      <c r="AS153" s="682">
        <f>'B14 LPG Tankers 40T'!C19</f>
        <v>19600</v>
      </c>
      <c r="AU153" s="693">
        <f t="shared" ref="AU153:AZ154" si="456">IF(BA153=0, 0, EXP($D153*$E$2 * ((BA153/$BA153) - 1)) )</f>
        <v>1</v>
      </c>
      <c r="AV153" s="693">
        <f t="shared" si="456"/>
        <v>1</v>
      </c>
      <c r="AW153" s="693">
        <f t="shared" si="456"/>
        <v>1</v>
      </c>
      <c r="AX153" s="693">
        <f t="shared" si="456"/>
        <v>0.21828554812642756</v>
      </c>
      <c r="AY153" s="693">
        <f t="shared" si="456"/>
        <v>1</v>
      </c>
      <c r="AZ153" s="693">
        <f t="shared" si="456"/>
        <v>0.56511179095104691</v>
      </c>
      <c r="BA153" s="678">
        <f>'B14 LPG Tankers 40T'!$C$17</f>
        <v>20500</v>
      </c>
      <c r="BB153" s="678">
        <f>BA153</f>
        <v>20500</v>
      </c>
      <c r="BC153" s="678">
        <f>BA153</f>
        <v>20500</v>
      </c>
      <c r="BD153" s="678">
        <f>'B14 LPG Tankers 40T'!C18</f>
        <v>18100</v>
      </c>
      <c r="BE153" s="678">
        <f>BA153</f>
        <v>20500</v>
      </c>
      <c r="BF153" s="678">
        <f>'B14 LPG Tankers 40T'!C19</f>
        <v>19600</v>
      </c>
      <c r="BH153" s="688">
        <f t="shared" ref="BH153:BM154" si="457">IF(BN153=0, 0, EXP($D153*$E$2 * ((BN153/$BN153) - 1)) )</f>
        <v>1</v>
      </c>
      <c r="BI153" s="30">
        <f t="shared" si="457"/>
        <v>1</v>
      </c>
      <c r="BJ153" s="30">
        <f t="shared" si="457"/>
        <v>1</v>
      </c>
      <c r="BK153" s="30">
        <f t="shared" si="457"/>
        <v>0.21828554812642756</v>
      </c>
      <c r="BL153" s="30">
        <f t="shared" si="457"/>
        <v>1</v>
      </c>
      <c r="BM153" s="30">
        <f t="shared" si="457"/>
        <v>0.56511179095104691</v>
      </c>
      <c r="BN153" s="493">
        <f>'B14 LPG Tankers 40T'!$C$17</f>
        <v>20500</v>
      </c>
      <c r="BO153" s="493">
        <f>BN153</f>
        <v>20500</v>
      </c>
      <c r="BP153" s="493">
        <f>BN153</f>
        <v>20500</v>
      </c>
      <c r="BQ153" s="493">
        <f>'B14 LPG Tankers 40T'!$C$18</f>
        <v>18100</v>
      </c>
      <c r="BR153" s="493">
        <f>BN153</f>
        <v>20500</v>
      </c>
      <c r="BS153" s="493">
        <f>'B14 LPG Tankers 40T'!$C$19</f>
        <v>19600</v>
      </c>
      <c r="BU153" s="688">
        <f t="shared" ref="BU153:BZ154" si="458">IF(CA153=0, 0, EXP($D153*$E$2 * ((CA153/$CA153) - 1)) )</f>
        <v>1</v>
      </c>
      <c r="BV153" s="30">
        <f t="shared" si="458"/>
        <v>1</v>
      </c>
      <c r="BW153" s="30">
        <f t="shared" si="458"/>
        <v>1</v>
      </c>
      <c r="BX153" s="30">
        <f t="shared" si="458"/>
        <v>0.21828554812642756</v>
      </c>
      <c r="BY153" s="30">
        <f t="shared" si="458"/>
        <v>1</v>
      </c>
      <c r="BZ153" s="30">
        <f t="shared" si="458"/>
        <v>0.56511179095104691</v>
      </c>
      <c r="CA153" s="493">
        <f>'B14 LPG Tankers 40T'!$C$17</f>
        <v>20500</v>
      </c>
      <c r="CB153" s="493">
        <f>CA153</f>
        <v>20500</v>
      </c>
      <c r="CC153" s="493">
        <f>CA153</f>
        <v>20500</v>
      </c>
      <c r="CD153" s="493">
        <f>'B14 LPG Tankers 40T'!$C$18</f>
        <v>18100</v>
      </c>
      <c r="CE153" s="493">
        <f>CA153</f>
        <v>20500</v>
      </c>
      <c r="CF153" s="493">
        <f>'B14 LPG Tankers 40T'!$C$19</f>
        <v>19600</v>
      </c>
      <c r="CH153" s="30">
        <f t="shared" ref="CH153:CJ154" si="459">IF(CK153=0, 0, EXP($D153*$E$2 * ((CK153/$CN153) - 1)))</f>
        <v>0.21828554812642756</v>
      </c>
      <c r="CI153" s="30">
        <f t="shared" si="459"/>
        <v>1</v>
      </c>
      <c r="CJ153" s="30">
        <f t="shared" si="459"/>
        <v>0.56511179095104691</v>
      </c>
      <c r="CK153" s="493">
        <f t="shared" ref="CK153:CM155" si="460">BQ153</f>
        <v>18100</v>
      </c>
      <c r="CL153" s="493">
        <f t="shared" si="460"/>
        <v>20500</v>
      </c>
      <c r="CM153" s="493">
        <f t="shared" si="460"/>
        <v>19600</v>
      </c>
      <c r="CN153" s="17">
        <f>'B14 LPG Tankers 40T'!$C$17</f>
        <v>20500</v>
      </c>
    </row>
    <row r="154" spans="1:92">
      <c r="A154" s="818"/>
      <c r="B154" s="824"/>
      <c r="C154" s="23" t="s">
        <v>460</v>
      </c>
      <c r="D154" s="29">
        <f t="shared" si="446"/>
        <v>2.3333333333333335</v>
      </c>
      <c r="E154" s="451">
        <v>2</v>
      </c>
      <c r="F154" s="32">
        <v>3</v>
      </c>
      <c r="G154" s="32"/>
      <c r="H154" s="32"/>
      <c r="I154" s="451">
        <v>2</v>
      </c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D154" s="23"/>
      <c r="AE154" s="32"/>
      <c r="AF154" s="32"/>
      <c r="AH154" s="693">
        <f t="shared" si="455"/>
        <v>1</v>
      </c>
      <c r="AI154" s="693">
        <f t="shared" si="455"/>
        <v>0.83945702076920725</v>
      </c>
      <c r="AJ154" s="693">
        <f t="shared" si="455"/>
        <v>0.83945702076920725</v>
      </c>
      <c r="AK154" s="693">
        <f t="shared" si="455"/>
        <v>1.6904588483790908</v>
      </c>
      <c r="AL154" s="693">
        <f t="shared" si="455"/>
        <v>0.83945702076920725</v>
      </c>
      <c r="AM154" s="693">
        <f t="shared" si="455"/>
        <v>1.6904588483790908</v>
      </c>
      <c r="AN154" s="679">
        <f t="shared" ref="AN154:AS155" si="461">AN11</f>
        <v>1</v>
      </c>
      <c r="AO154" s="679">
        <f t="shared" si="461"/>
        <v>0.95</v>
      </c>
      <c r="AP154" s="679">
        <f t="shared" si="461"/>
        <v>0.95</v>
      </c>
      <c r="AQ154" s="679">
        <f t="shared" si="461"/>
        <v>1.1499999999999999</v>
      </c>
      <c r="AR154" s="679">
        <f t="shared" si="461"/>
        <v>0.95</v>
      </c>
      <c r="AS154" s="683">
        <f t="shared" si="461"/>
        <v>1.1499999999999999</v>
      </c>
      <c r="AU154" s="693">
        <f t="shared" si="456"/>
        <v>1</v>
      </c>
      <c r="AV154" s="693">
        <f t="shared" si="456"/>
        <v>0.83945702076920725</v>
      </c>
      <c r="AW154" s="693">
        <f t="shared" si="456"/>
        <v>0.83945702076920725</v>
      </c>
      <c r="AX154" s="693">
        <f t="shared" si="456"/>
        <v>1.6904588483790908</v>
      </c>
      <c r="AY154" s="693">
        <f t="shared" si="456"/>
        <v>0.83945702076920725</v>
      </c>
      <c r="AZ154" s="693">
        <f t="shared" si="456"/>
        <v>1.6904588483790908</v>
      </c>
      <c r="BA154" s="679">
        <f t="shared" ref="BA154:BF155" si="462">BA11</f>
        <v>1</v>
      </c>
      <c r="BB154" s="679">
        <f t="shared" si="462"/>
        <v>0.95</v>
      </c>
      <c r="BC154" s="679">
        <f t="shared" si="462"/>
        <v>0.95</v>
      </c>
      <c r="BD154" s="679">
        <f t="shared" si="462"/>
        <v>1.1499999999999999</v>
      </c>
      <c r="BE154" s="679">
        <f t="shared" si="462"/>
        <v>0.95</v>
      </c>
      <c r="BF154" s="679">
        <f t="shared" si="462"/>
        <v>1.1499999999999999</v>
      </c>
      <c r="BH154" s="688">
        <f t="shared" si="457"/>
        <v>1</v>
      </c>
      <c r="BI154" s="30">
        <f t="shared" si="457"/>
        <v>0.83945702076920725</v>
      </c>
      <c r="BJ154" s="30">
        <f t="shared" si="457"/>
        <v>0.83945702076920725</v>
      </c>
      <c r="BK154" s="30">
        <f t="shared" si="457"/>
        <v>1.6904588483790908</v>
      </c>
      <c r="BL154" s="30">
        <f t="shared" si="457"/>
        <v>0.83945702076920725</v>
      </c>
      <c r="BM154" s="30">
        <f t="shared" si="457"/>
        <v>1.6904588483790908</v>
      </c>
      <c r="BN154" s="490">
        <f t="shared" ref="BN154:BS156" si="463">BN143</f>
        <v>1</v>
      </c>
      <c r="BO154" s="490">
        <f t="shared" si="463"/>
        <v>0.95</v>
      </c>
      <c r="BP154" s="490">
        <f t="shared" si="463"/>
        <v>0.95</v>
      </c>
      <c r="BQ154" s="490">
        <f t="shared" si="463"/>
        <v>1.1499999999999999</v>
      </c>
      <c r="BR154" s="490">
        <f t="shared" si="463"/>
        <v>0.95</v>
      </c>
      <c r="BS154" s="490">
        <f t="shared" si="463"/>
        <v>1.1499999999999999</v>
      </c>
      <c r="BU154" s="688">
        <f t="shared" si="458"/>
        <v>1</v>
      </c>
      <c r="BV154" s="30">
        <f t="shared" si="458"/>
        <v>0.83945702076920725</v>
      </c>
      <c r="BW154" s="30">
        <f t="shared" si="458"/>
        <v>0.83945702076920725</v>
      </c>
      <c r="BX154" s="30">
        <f t="shared" si="458"/>
        <v>1.6904588483790908</v>
      </c>
      <c r="BY154" s="30">
        <f t="shared" si="458"/>
        <v>0.83945702076920725</v>
      </c>
      <c r="BZ154" s="30">
        <f t="shared" si="458"/>
        <v>1.6904588483790908</v>
      </c>
      <c r="CA154" s="490">
        <f t="shared" ref="CA154:CF155" si="464">CA143</f>
        <v>1</v>
      </c>
      <c r="CB154" s="490">
        <f t="shared" si="464"/>
        <v>0.95</v>
      </c>
      <c r="CC154" s="490">
        <f t="shared" si="464"/>
        <v>0.95</v>
      </c>
      <c r="CD154" s="490">
        <f t="shared" si="464"/>
        <v>1.1499999999999999</v>
      </c>
      <c r="CE154" s="490">
        <f t="shared" si="464"/>
        <v>0.95</v>
      </c>
      <c r="CF154" s="490">
        <f t="shared" si="464"/>
        <v>1.1499999999999999</v>
      </c>
      <c r="CH154" s="30">
        <f t="shared" si="459"/>
        <v>1.6904588483790908</v>
      </c>
      <c r="CI154" s="30">
        <f t="shared" si="459"/>
        <v>0.83945702076920725</v>
      </c>
      <c r="CJ154" s="30">
        <f t="shared" si="459"/>
        <v>1.6904588483790908</v>
      </c>
      <c r="CK154" s="490">
        <f t="shared" si="460"/>
        <v>1.1499999999999999</v>
      </c>
      <c r="CL154" s="490">
        <f t="shared" si="460"/>
        <v>0.95</v>
      </c>
      <c r="CM154" s="490">
        <f t="shared" si="460"/>
        <v>1.1499999999999999</v>
      </c>
      <c r="CN154" s="704">
        <f>CN143</f>
        <v>1</v>
      </c>
    </row>
    <row r="155" spans="1:92">
      <c r="A155" s="818"/>
      <c r="B155" s="824"/>
      <c r="C155" s="34" t="s">
        <v>461</v>
      </c>
      <c r="D155" s="29">
        <f t="shared" si="446"/>
        <v>4.666666666666667</v>
      </c>
      <c r="E155" s="451">
        <v>1</v>
      </c>
      <c r="F155" s="26">
        <v>4</v>
      </c>
      <c r="G155" s="26"/>
      <c r="H155" s="26"/>
      <c r="I155" s="451">
        <v>9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D155" s="23"/>
      <c r="AE155" s="26"/>
      <c r="AF155" s="26"/>
      <c r="AH155" s="693">
        <f t="shared" ref="AH155:AM155" si="465">IF(AN155=0, 0, EXP($D155*$E$2  * (($AN155/AN155) - 1)) )</f>
        <v>1</v>
      </c>
      <c r="AI155" s="693">
        <f t="shared" si="465"/>
        <v>0.71653131057378894</v>
      </c>
      <c r="AJ155" s="693">
        <f t="shared" si="465"/>
        <v>0.52921334150005017</v>
      </c>
      <c r="AK155" s="693">
        <f t="shared" si="465"/>
        <v>0.31140322391459774</v>
      </c>
      <c r="AL155" s="693">
        <f t="shared" si="465"/>
        <v>1</v>
      </c>
      <c r="AM155" s="693">
        <f t="shared" si="465"/>
        <v>1</v>
      </c>
      <c r="AN155" s="679">
        <f t="shared" si="461"/>
        <v>1</v>
      </c>
      <c r="AO155" s="679">
        <f t="shared" si="461"/>
        <v>1.05</v>
      </c>
      <c r="AP155" s="679">
        <f t="shared" si="461"/>
        <v>1.1000000000000001</v>
      </c>
      <c r="AQ155" s="679">
        <f t="shared" si="461"/>
        <v>1.2</v>
      </c>
      <c r="AR155" s="679">
        <f t="shared" si="461"/>
        <v>1</v>
      </c>
      <c r="AS155" s="683">
        <f t="shared" si="461"/>
        <v>1</v>
      </c>
      <c r="AU155" s="693">
        <f t="shared" ref="AU155:AZ155" si="466">IF(BA155=0, 0, EXP($D155*$E$2 * (($BA155/BA155) - 1)) )</f>
        <v>1</v>
      </c>
      <c r="AV155" s="693">
        <f t="shared" si="466"/>
        <v>0.71653131057378894</v>
      </c>
      <c r="AW155" s="693">
        <f t="shared" si="466"/>
        <v>0.52921334150005017</v>
      </c>
      <c r="AX155" s="693">
        <f t="shared" si="466"/>
        <v>0.31140322391459774</v>
      </c>
      <c r="AY155" s="693">
        <f t="shared" si="466"/>
        <v>1</v>
      </c>
      <c r="AZ155" s="693">
        <f t="shared" si="466"/>
        <v>1</v>
      </c>
      <c r="BA155" s="679">
        <f t="shared" si="462"/>
        <v>1</v>
      </c>
      <c r="BB155" s="679">
        <f t="shared" si="462"/>
        <v>1.05</v>
      </c>
      <c r="BC155" s="679">
        <f t="shared" si="462"/>
        <v>1.1000000000000001</v>
      </c>
      <c r="BD155" s="679">
        <f t="shared" si="462"/>
        <v>1.2</v>
      </c>
      <c r="BE155" s="679">
        <f t="shared" si="462"/>
        <v>1</v>
      </c>
      <c r="BF155" s="679">
        <f t="shared" si="462"/>
        <v>1</v>
      </c>
      <c r="BH155" s="688">
        <f t="shared" ref="BH155:BM155" si="467">IF(BN155=0, 0, EXP($D155*$E$2 * (($BN155/BN155) - 1)) )</f>
        <v>1</v>
      </c>
      <c r="BI155" s="30">
        <f t="shared" si="467"/>
        <v>0.71653131057378894</v>
      </c>
      <c r="BJ155" s="30">
        <f t="shared" si="467"/>
        <v>0.52921334150005017</v>
      </c>
      <c r="BK155" s="30">
        <f t="shared" si="467"/>
        <v>0.31140322391459774</v>
      </c>
      <c r="BL155" s="30">
        <f t="shared" si="467"/>
        <v>1</v>
      </c>
      <c r="BM155" s="30">
        <f t="shared" si="467"/>
        <v>1</v>
      </c>
      <c r="BN155" s="490">
        <f t="shared" si="463"/>
        <v>1</v>
      </c>
      <c r="BO155" s="490">
        <f t="shared" si="463"/>
        <v>1.05</v>
      </c>
      <c r="BP155" s="490">
        <f t="shared" si="463"/>
        <v>1.1000000000000001</v>
      </c>
      <c r="BQ155" s="490">
        <f t="shared" si="463"/>
        <v>1.2</v>
      </c>
      <c r="BR155" s="490">
        <f t="shared" si="463"/>
        <v>1</v>
      </c>
      <c r="BS155" s="490">
        <f t="shared" si="463"/>
        <v>1</v>
      </c>
      <c r="BU155" s="688">
        <f t="shared" ref="BU155:BZ155" si="468">IF(CA155=0, 0, EXP($D155*$E$2 * (($CA155/CA155) - 1)) )</f>
        <v>1</v>
      </c>
      <c r="BV155" s="30">
        <f t="shared" si="468"/>
        <v>0.71653131057378894</v>
      </c>
      <c r="BW155" s="30">
        <f t="shared" si="468"/>
        <v>0.52921334150005017</v>
      </c>
      <c r="BX155" s="30">
        <f t="shared" si="468"/>
        <v>0.31140322391459774</v>
      </c>
      <c r="BY155" s="30">
        <f t="shared" si="468"/>
        <v>1</v>
      </c>
      <c r="BZ155" s="30">
        <f t="shared" si="468"/>
        <v>1</v>
      </c>
      <c r="CA155" s="490">
        <f t="shared" si="464"/>
        <v>1</v>
      </c>
      <c r="CB155" s="490">
        <f t="shared" si="464"/>
        <v>1.05</v>
      </c>
      <c r="CC155" s="490">
        <f t="shared" si="464"/>
        <v>1.1000000000000001</v>
      </c>
      <c r="CD155" s="490">
        <f t="shared" si="464"/>
        <v>1.2</v>
      </c>
      <c r="CE155" s="490">
        <f t="shared" si="464"/>
        <v>1</v>
      </c>
      <c r="CF155" s="490">
        <f t="shared" si="464"/>
        <v>1</v>
      </c>
      <c r="CH155" s="30">
        <f>IF(CK155=0, 0, EXP($D155*$E$2 * (($CN155/CK155) - 1)))</f>
        <v>0.31140322391459774</v>
      </c>
      <c r="CI155" s="30">
        <f>IF(CL155=0, 0, EXP($D155*$E$2 * (($CN155/CL155) - 1)))</f>
        <v>1</v>
      </c>
      <c r="CJ155" s="30">
        <f>IF(CM155=0, 0, EXP($D155*$E$2 * (($CN155/CM155) - 1)))</f>
        <v>1</v>
      </c>
      <c r="CK155" s="490">
        <f t="shared" si="460"/>
        <v>1.2</v>
      </c>
      <c r="CL155" s="490">
        <f t="shared" si="460"/>
        <v>1</v>
      </c>
      <c r="CM155" s="490">
        <f t="shared" si="460"/>
        <v>1</v>
      </c>
      <c r="CN155" s="704">
        <f>CN144</f>
        <v>1</v>
      </c>
    </row>
    <row r="156" spans="1:92">
      <c r="A156" s="818"/>
      <c r="B156" s="824"/>
      <c r="C156" s="23" t="s">
        <v>462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64"/>
      <c r="AH156" s="23"/>
      <c r="AI156" s="23"/>
      <c r="AJ156" s="23"/>
      <c r="AK156" s="23"/>
      <c r="AL156" s="23"/>
      <c r="AM156" s="23"/>
      <c r="AN156" s="680">
        <f t="shared" ref="AN156:AS156" si="469">AN145</f>
        <v>2025</v>
      </c>
      <c r="AO156" s="680">
        <f t="shared" si="469"/>
        <v>2025</v>
      </c>
      <c r="AP156" s="680">
        <f t="shared" si="469"/>
        <v>2025</v>
      </c>
      <c r="AQ156" s="680">
        <f t="shared" si="469"/>
        <v>2025</v>
      </c>
      <c r="AR156" s="680">
        <f t="shared" si="469"/>
        <v>2028</v>
      </c>
      <c r="AS156" s="696">
        <f t="shared" si="469"/>
        <v>2030</v>
      </c>
      <c r="AU156" s="23"/>
      <c r="AV156" s="23"/>
      <c r="AW156" s="23"/>
      <c r="AX156" s="23"/>
      <c r="AY156" s="23"/>
      <c r="AZ156" s="23"/>
      <c r="BA156" s="680">
        <f t="shared" ref="BA156:BF156" si="470">BA145</f>
        <v>2025</v>
      </c>
      <c r="BB156" s="680">
        <f t="shared" si="470"/>
        <v>2025</v>
      </c>
      <c r="BC156" s="680">
        <f t="shared" si="470"/>
        <v>2025</v>
      </c>
      <c r="BD156" s="680">
        <f t="shared" si="470"/>
        <v>2025</v>
      </c>
      <c r="BE156" s="680">
        <f t="shared" si="470"/>
        <v>2028</v>
      </c>
      <c r="BF156" s="680">
        <f t="shared" si="470"/>
        <v>2030</v>
      </c>
      <c r="BH156" s="681"/>
      <c r="BI156" s="23"/>
      <c r="BJ156" s="23"/>
      <c r="BK156" s="23"/>
      <c r="BL156" s="23"/>
      <c r="BM156" s="23"/>
      <c r="BN156" s="491">
        <f>BN145</f>
        <v>2025</v>
      </c>
      <c r="BO156" s="491">
        <f>BO145</f>
        <v>2025</v>
      </c>
      <c r="BP156" s="491">
        <f t="shared" si="463"/>
        <v>2025</v>
      </c>
      <c r="BQ156" s="491">
        <f t="shared" si="463"/>
        <v>2025</v>
      </c>
      <c r="BR156" s="491">
        <f t="shared" si="463"/>
        <v>2028</v>
      </c>
      <c r="BS156" s="491">
        <f t="shared" si="463"/>
        <v>2030</v>
      </c>
      <c r="BU156" s="681"/>
      <c r="BV156" s="23"/>
      <c r="BW156" s="23"/>
      <c r="BX156" s="23"/>
      <c r="BY156" s="23"/>
      <c r="BZ156" s="23"/>
      <c r="CA156" s="491">
        <f>BN156</f>
        <v>2025</v>
      </c>
      <c r="CB156" s="491">
        <f t="shared" ref="CB156:CB158" si="471">BO156</f>
        <v>2025</v>
      </c>
      <c r="CC156" s="491">
        <f t="shared" ref="CC156:CC158" si="472">BP156</f>
        <v>2025</v>
      </c>
      <c r="CD156" s="491">
        <f t="shared" ref="CD156:CD158" si="473">BQ156</f>
        <v>2025</v>
      </c>
      <c r="CE156" s="491">
        <f t="shared" ref="CE156:CE158" si="474">BR156</f>
        <v>2028</v>
      </c>
      <c r="CF156" s="491">
        <f t="shared" ref="CF156:CF158" si="475">BS156</f>
        <v>2030</v>
      </c>
      <c r="CN156" s="17">
        <f>CN145</f>
        <v>2025</v>
      </c>
    </row>
    <row r="157" spans="1:92">
      <c r="A157" s="818"/>
      <c r="B157" s="824"/>
      <c r="C157" s="23" t="s">
        <v>463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E157" s="23"/>
      <c r="AF157" s="23"/>
      <c r="AG157" s="64"/>
      <c r="AH157" s="23">
        <v>1</v>
      </c>
      <c r="AI157" s="701">
        <f>$BH157-($BO157-$BN157)/($BO$1-$BN157)</f>
        <v>0.85</v>
      </c>
      <c r="AJ157" s="701">
        <f>$BH157-($BP157-$BN157)/($BO$1-$BN157)</f>
        <v>0.85</v>
      </c>
      <c r="AK157" s="701">
        <f>$BH157-($BQ157-$BN157)/($BO$1-$BN157)</f>
        <v>0.85</v>
      </c>
      <c r="AL157" s="701">
        <f>$BH157-($BR157-$BN157)/($BO$1-$BN157)</f>
        <v>0.55000000000000004</v>
      </c>
      <c r="AM157" s="701">
        <f>$BH157-($BS157-$BN156)/($BO$1-$BN156)</f>
        <v>0.35</v>
      </c>
      <c r="AN157" s="680">
        <f>'No change with year'!J72</f>
        <v>2025</v>
      </c>
      <c r="AO157" s="680">
        <f>'No change with year'!K72</f>
        <v>2028</v>
      </c>
      <c r="AP157" s="680">
        <f>'No change with year'!L72</f>
        <v>2028</v>
      </c>
      <c r="AQ157" s="680">
        <f>'No change with year'!M72</f>
        <v>2028</v>
      </c>
      <c r="AR157" s="680">
        <f>'No change with year'!N72</f>
        <v>2034</v>
      </c>
      <c r="AS157" s="696">
        <f>'No change with year'!O72</f>
        <v>2038</v>
      </c>
      <c r="AU157" s="23">
        <v>1</v>
      </c>
      <c r="AV157" s="701">
        <f>$BH157-($BO157-$BN157)/($BO$1-$BN157)</f>
        <v>0.85</v>
      </c>
      <c r="AW157" s="701">
        <f>$BH157-($BP157-$BN157)/($BO$1-$BN157)</f>
        <v>0.85</v>
      </c>
      <c r="AX157" s="701">
        <f>$BH157-($BQ157-$BN157)/($BO$1-$BN157)</f>
        <v>0.85</v>
      </c>
      <c r="AY157" s="701">
        <f>$BH157-($BR157-$BN157)/($BO$1-$BN157)</f>
        <v>0.55000000000000004</v>
      </c>
      <c r="AZ157" s="701">
        <f>$BH157-($BS157-$BN156)/($BO$1-$BN156)</f>
        <v>0.35</v>
      </c>
      <c r="BA157" s="680">
        <f>'No change with year'!J72</f>
        <v>2025</v>
      </c>
      <c r="BB157" s="680">
        <f>'No change with year'!K72</f>
        <v>2028</v>
      </c>
      <c r="BC157" s="680">
        <f>'No change with year'!L72</f>
        <v>2028</v>
      </c>
      <c r="BD157" s="680">
        <f>'No change with year'!M72</f>
        <v>2028</v>
      </c>
      <c r="BE157" s="680">
        <f>'No change with year'!N72</f>
        <v>2034</v>
      </c>
      <c r="BF157" s="680">
        <f>'No change with year'!O72</f>
        <v>2038</v>
      </c>
      <c r="BH157" s="688">
        <v>1</v>
      </c>
      <c r="BI157" s="30">
        <f>$BH157-($BO157-$BN157)/($BO$1-$BN157)</f>
        <v>0.85</v>
      </c>
      <c r="BJ157" s="30">
        <f>$BH157-($BP157-$BN157)/($BO$1-$BN157)</f>
        <v>0.85</v>
      </c>
      <c r="BK157" s="30">
        <f>$BH157-($BQ157-$BN157)/($BO$1-$BN157)</f>
        <v>0.85</v>
      </c>
      <c r="BL157" s="30">
        <f>$BH157-($BR157-$BN157)/($BO$1-$BN157)</f>
        <v>0.55000000000000004</v>
      </c>
      <c r="BM157" s="30">
        <f>$BH157-($BS157-$BN156)/($BO$1-$BN156)</f>
        <v>0.35</v>
      </c>
      <c r="BN157" s="491">
        <f>'No change with year'!J72</f>
        <v>2025</v>
      </c>
      <c r="BO157" s="491">
        <f>'No change with year'!K72</f>
        <v>2028</v>
      </c>
      <c r="BP157" s="491">
        <f>'No change with year'!L72</f>
        <v>2028</v>
      </c>
      <c r="BQ157" s="491">
        <f>'No change with year'!M72</f>
        <v>2028</v>
      </c>
      <c r="BR157" s="491">
        <f>'No change with year'!N72</f>
        <v>2034</v>
      </c>
      <c r="BS157" s="491">
        <f>'No change with year'!O72</f>
        <v>2038</v>
      </c>
      <c r="BU157" s="688">
        <v>1</v>
      </c>
      <c r="BV157" s="30">
        <f>$BU157-($CB157-$CA157)/($CB$1-$CA157)</f>
        <v>0.88</v>
      </c>
      <c r="BW157" s="30">
        <f>$BU157-($CC157-$CA157)/($CB$1-$CA157)</f>
        <v>0.88</v>
      </c>
      <c r="BX157" s="30">
        <f>$BU157-($CD157-$CA157)/($CB$1-$CA157)</f>
        <v>0.88</v>
      </c>
      <c r="BY157" s="30">
        <f>$BU157-($CE157-$CA157)/($CB$1-$CA157)</f>
        <v>0.64</v>
      </c>
      <c r="BZ157" s="30">
        <f>$BU157-($CF157-$CA156)/($CB$1-$CA156)</f>
        <v>0.48</v>
      </c>
      <c r="CA157" s="491">
        <f>BN157</f>
        <v>2025</v>
      </c>
      <c r="CB157" s="491">
        <f t="shared" si="471"/>
        <v>2028</v>
      </c>
      <c r="CC157" s="491">
        <f t="shared" si="472"/>
        <v>2028</v>
      </c>
      <c r="CD157" s="491">
        <f t="shared" si="473"/>
        <v>2028</v>
      </c>
      <c r="CE157" s="491">
        <f t="shared" si="474"/>
        <v>2034</v>
      </c>
      <c r="CF157" s="491">
        <f t="shared" si="475"/>
        <v>2038</v>
      </c>
      <c r="CN157" s="17">
        <f>'No change with year'!J72</f>
        <v>2025</v>
      </c>
    </row>
    <row r="158" spans="1:92">
      <c r="A158" s="818"/>
      <c r="B158" s="823"/>
      <c r="C158" s="23" t="s">
        <v>464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E158" s="23"/>
      <c r="AF158" s="23"/>
      <c r="AG158" s="64"/>
      <c r="AH158" s="692">
        <v>1</v>
      </c>
      <c r="AI158" s="692">
        <f>$BH158-($BO157-$BN157)/($BO158-$BN157)+($BO$1-$BO158)/($BO$1-$BN157)</f>
        <v>0.15000000000000002</v>
      </c>
      <c r="AJ158" s="692">
        <f>$BH158-($BP157-$BN157)/($BP158-$BN157)+($BO$1-$BP158)/($BO$1-$BN157)</f>
        <v>0.22499999999999998</v>
      </c>
      <c r="AK158" s="692">
        <f>$BH158-($BQ157-$BN157)/($BQ158-$BN157)+($BO$1-$BQ158)/($BO$1-$BN157)</f>
        <v>0.2</v>
      </c>
      <c r="AL158" s="692">
        <f>$BH158-($BR157-$BN157)/($BR158-$BN157)+($BO$1-$BR158)/($BO$1-$BN157)</f>
        <v>-0.37941176470588234</v>
      </c>
      <c r="AM158" s="692">
        <f>$BH158-($BS157-$BN156)/($BS158-$BN156)+($BO$1-$BS158)/($BO$1-$BN156)</f>
        <v>-0.65</v>
      </c>
      <c r="AN158" s="680">
        <f t="shared" ref="AN158:AS158" si="476">AN147</f>
        <v>2025</v>
      </c>
      <c r="AO158" s="680">
        <f t="shared" si="476"/>
        <v>2030</v>
      </c>
      <c r="AP158" s="680">
        <f t="shared" si="476"/>
        <v>2033</v>
      </c>
      <c r="AQ158" s="680">
        <f t="shared" si="476"/>
        <v>2035</v>
      </c>
      <c r="AR158" s="680">
        <f t="shared" si="476"/>
        <v>2042</v>
      </c>
      <c r="AS158" s="696">
        <f t="shared" si="476"/>
        <v>2045</v>
      </c>
      <c r="AU158" s="692">
        <v>1</v>
      </c>
      <c r="AV158" s="692">
        <f>$BH158-($BO157-$BN157)/($BO158-$BN157)+($BO$1-$BO158)/($BO$1-$BN157)</f>
        <v>0.15000000000000002</v>
      </c>
      <c r="AW158" s="692">
        <f>$BH158-($BP157-$BN157)/($BP158-$BN157)+($BO$1-$BP158)/($BO$1-$BN157)</f>
        <v>0.22499999999999998</v>
      </c>
      <c r="AX158" s="692">
        <f>$BH158-($BQ157-$BN157)/($BQ158-$BN157)+($BO$1-$BQ158)/($BO$1-$BN157)</f>
        <v>0.2</v>
      </c>
      <c r="AY158" s="692">
        <f>$BH158-($BR157-$BN157)/($BR158-$BN157)+($BO$1-$BR158)/($BO$1-$BN157)</f>
        <v>-0.37941176470588234</v>
      </c>
      <c r="AZ158" s="692">
        <f>$BH158-($BS157-$BN156)/($BS158-$BN156)+($BO$1-$BS158)/($BO$1-$BN156)</f>
        <v>-0.65</v>
      </c>
      <c r="BA158" s="680">
        <f t="shared" ref="BA158:BF158" si="477">BA147</f>
        <v>2025</v>
      </c>
      <c r="BB158" s="680">
        <f t="shared" si="477"/>
        <v>2030</v>
      </c>
      <c r="BC158" s="680">
        <f t="shared" si="477"/>
        <v>2033</v>
      </c>
      <c r="BD158" s="680">
        <f t="shared" si="477"/>
        <v>2035</v>
      </c>
      <c r="BE158" s="680">
        <f t="shared" si="477"/>
        <v>2042</v>
      </c>
      <c r="BF158" s="680">
        <f t="shared" si="477"/>
        <v>2045</v>
      </c>
      <c r="BH158" s="681"/>
      <c r="BI158" s="23"/>
      <c r="BJ158" s="23"/>
      <c r="BK158" s="23"/>
      <c r="BL158" s="23"/>
      <c r="BM158" s="23"/>
      <c r="BN158" s="491">
        <f>BN147</f>
        <v>2025</v>
      </c>
      <c r="BO158" s="491">
        <f>BO147</f>
        <v>2030</v>
      </c>
      <c r="BP158" s="491">
        <f t="shared" ref="BP158:BS158" si="478">BP147</f>
        <v>2033</v>
      </c>
      <c r="BQ158" s="491">
        <f t="shared" si="478"/>
        <v>2035</v>
      </c>
      <c r="BR158" s="491">
        <f t="shared" si="478"/>
        <v>2042</v>
      </c>
      <c r="BS158" s="491">
        <f t="shared" si="478"/>
        <v>2045</v>
      </c>
      <c r="BU158" s="688">
        <v>1</v>
      </c>
      <c r="BV158" s="30">
        <f>$BU158-($CB158-$CA158)/($CB$1-$CA158)</f>
        <v>0.8</v>
      </c>
      <c r="BW158" s="30">
        <f>$BU158-($CC158-$CA158)/($CB$1-$CA158)</f>
        <v>0.67999999999999994</v>
      </c>
      <c r="BX158" s="30">
        <f>$BU158-($CD158-$CA158)/($CB$1-$CA158)</f>
        <v>0.6</v>
      </c>
      <c r="BY158" s="30">
        <f>$BU158-($CE158-$CA158)/($CB$1-$CA158)</f>
        <v>0.31999999999999995</v>
      </c>
      <c r="BZ158" s="30">
        <f>$BU158-($CF158-$CA157)/($CB$1-$CA157)</f>
        <v>0.19999999999999996</v>
      </c>
      <c r="CA158" s="491">
        <f>BN158</f>
        <v>2025</v>
      </c>
      <c r="CB158" s="491">
        <f t="shared" si="471"/>
        <v>2030</v>
      </c>
      <c r="CC158" s="491">
        <f t="shared" si="472"/>
        <v>2033</v>
      </c>
      <c r="CD158" s="491">
        <f t="shared" si="473"/>
        <v>2035</v>
      </c>
      <c r="CE158" s="491">
        <f t="shared" si="474"/>
        <v>2042</v>
      </c>
      <c r="CF158" s="491">
        <f t="shared" si="475"/>
        <v>2045</v>
      </c>
      <c r="CH158" s="30">
        <f>CD158/CD158</f>
        <v>1</v>
      </c>
      <c r="CI158" s="30">
        <f>1-(CE158-CD158)/($CK$1-CD158)</f>
        <v>0.65</v>
      </c>
      <c r="CJ158" s="30">
        <f>1-(CF158-CD158)/($CK$1-CD158)</f>
        <v>0.5</v>
      </c>
      <c r="CK158" s="936" t="s">
        <v>1059</v>
      </c>
      <c r="CL158" s="937"/>
      <c r="CM158" s="937"/>
      <c r="CN158" s="17">
        <f>CN147</f>
        <v>2025</v>
      </c>
    </row>
    <row r="159" spans="1:92">
      <c r="AD159" s="444"/>
    </row>
    <row r="160" spans="1:92">
      <c r="AE160" s="17" t="s">
        <v>850</v>
      </c>
      <c r="AH160" s="66">
        <f t="shared" ref="AH160:AM160" si="479">AH6+AH17+AH28+AH39+AH50+AH61+AH72+AH83+AH94+AH105+AH116+AH127+AH138+AH149</f>
        <v>459480</v>
      </c>
      <c r="AI160" s="66">
        <f t="shared" si="479"/>
        <v>353590</v>
      </c>
      <c r="AJ160" s="66">
        <f t="shared" si="479"/>
        <v>105890</v>
      </c>
      <c r="AK160" s="66">
        <f t="shared" si="479"/>
        <v>459480</v>
      </c>
      <c r="AL160" s="66">
        <f t="shared" si="479"/>
        <v>459480</v>
      </c>
      <c r="AM160" s="66">
        <f t="shared" si="479"/>
        <v>459480</v>
      </c>
      <c r="AU160" s="66">
        <f t="shared" ref="AU160:AZ160" si="480">AU6+AU17+AU28+AU39+AU50+AU61+AU72+AU83+AU94+AU105+AU116+AU127+AU138+AU149</f>
        <v>570540</v>
      </c>
      <c r="AV160" s="66">
        <f t="shared" si="480"/>
        <v>432210</v>
      </c>
      <c r="AW160" s="66">
        <f t="shared" si="480"/>
        <v>138330</v>
      </c>
      <c r="AX160" s="66">
        <f t="shared" si="480"/>
        <v>570540</v>
      </c>
      <c r="AY160" s="66">
        <f t="shared" si="480"/>
        <v>570540</v>
      </c>
      <c r="AZ160" s="66">
        <f t="shared" si="480"/>
        <v>570540</v>
      </c>
      <c r="BH160" s="66">
        <f t="shared" ref="BH160:BM160" si="481">BH6+BH17+BH28+BH39+BH61+BH72+BH83+BH94+BH105+BH116+BH127+BH138+BH149+BH50</f>
        <v>707250</v>
      </c>
      <c r="BI160" s="66">
        <f t="shared" si="481"/>
        <v>533210</v>
      </c>
      <c r="BJ160" s="66">
        <f t="shared" si="481"/>
        <v>142060</v>
      </c>
      <c r="BK160" s="66">
        <f t="shared" si="481"/>
        <v>707250</v>
      </c>
      <c r="BL160" s="66">
        <f t="shared" si="481"/>
        <v>707250</v>
      </c>
      <c r="BM160" s="66">
        <f t="shared" si="481"/>
        <v>707250</v>
      </c>
      <c r="BU160" s="66">
        <f t="shared" ref="BU160:BZ160" si="482">BU6+BU17+BU28+BU39+BU61+BU72+BU83+BU94+BU105+BU116+BU127+BU138+BU149+BU50</f>
        <v>853510</v>
      </c>
      <c r="BV160" s="66">
        <f t="shared" si="482"/>
        <v>639110</v>
      </c>
      <c r="BW160" s="66">
        <f t="shared" si="482"/>
        <v>214400</v>
      </c>
      <c r="BX160" s="66">
        <f t="shared" si="482"/>
        <v>853510</v>
      </c>
      <c r="BY160" s="66">
        <f t="shared" si="482"/>
        <v>853510</v>
      </c>
      <c r="BZ160" s="66">
        <f t="shared" si="482"/>
        <v>853510</v>
      </c>
    </row>
    <row r="161" spans="1:88">
      <c r="AB161" s="444"/>
      <c r="AC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949" t="s">
        <v>462</v>
      </c>
      <c r="BI161" s="949"/>
      <c r="BJ161" s="949"/>
      <c r="BK161" s="949"/>
      <c r="BL161" s="949"/>
      <c r="BM161" s="949"/>
      <c r="BN161" s="504"/>
      <c r="BO161" s="504">
        <f>'No change with year'!E65</f>
        <v>2025</v>
      </c>
      <c r="BP161" s="504">
        <f>'No change with year'!F65</f>
        <v>2025</v>
      </c>
      <c r="BQ161" s="504">
        <f>'No change with year'!G65</f>
        <v>2025</v>
      </c>
      <c r="BR161" s="504">
        <f>'No change with year'!H65</f>
        <v>2028</v>
      </c>
      <c r="BS161" s="504">
        <f>'No change with year'!I65</f>
        <v>2030</v>
      </c>
      <c r="BT161" s="444"/>
      <c r="CG161" s="444"/>
    </row>
    <row r="162" spans="1:88">
      <c r="A162" s="937" t="s">
        <v>472</v>
      </c>
      <c r="B162" s="937"/>
      <c r="C162" s="937"/>
    </row>
    <row r="163" spans="1:88">
      <c r="A163" s="17">
        <v>1</v>
      </c>
      <c r="B163" s="926" t="s">
        <v>473</v>
      </c>
      <c r="C163" s="926"/>
    </row>
    <row r="164" spans="1:88">
      <c r="A164" s="17">
        <v>2</v>
      </c>
      <c r="B164" s="926" t="s">
        <v>474</v>
      </c>
      <c r="C164" s="926"/>
    </row>
    <row r="165" spans="1:88">
      <c r="A165" s="17">
        <v>3</v>
      </c>
      <c r="B165" s="926" t="s">
        <v>475</v>
      </c>
      <c r="C165" s="926"/>
      <c r="BH165" s="444"/>
      <c r="BI165" s="444"/>
      <c r="BJ165" s="444"/>
      <c r="BK165" s="444"/>
      <c r="BL165" s="444"/>
      <c r="BM165" s="444"/>
      <c r="BO165" s="444"/>
      <c r="BP165" s="444"/>
      <c r="CH165" s="444"/>
      <c r="CI165" s="444"/>
      <c r="CJ165" s="444"/>
    </row>
    <row r="166" spans="1:88">
      <c r="A166" s="17">
        <v>4</v>
      </c>
      <c r="B166" s="926" t="s">
        <v>476</v>
      </c>
      <c r="C166" s="926"/>
    </row>
    <row r="167" spans="1:88">
      <c r="A167" s="17">
        <v>5</v>
      </c>
      <c r="B167" s="926" t="s">
        <v>477</v>
      </c>
      <c r="C167" s="926"/>
    </row>
    <row r="168" spans="1:88">
      <c r="A168" s="17">
        <v>6</v>
      </c>
      <c r="B168" s="926" t="s">
        <v>478</v>
      </c>
      <c r="C168" s="926"/>
    </row>
    <row r="169" spans="1:88">
      <c r="A169" s="17">
        <v>7</v>
      </c>
      <c r="B169" s="926" t="s">
        <v>479</v>
      </c>
      <c r="C169" s="926"/>
    </row>
    <row r="170" spans="1:88">
      <c r="A170" s="17">
        <v>8</v>
      </c>
      <c r="B170" s="926" t="s">
        <v>480</v>
      </c>
      <c r="C170" s="926"/>
    </row>
    <row r="171" spans="1:88">
      <c r="A171" s="17">
        <v>8</v>
      </c>
      <c r="B171" s="926" t="s">
        <v>481</v>
      </c>
      <c r="C171" s="926"/>
    </row>
  </sheetData>
  <mergeCells count="75">
    <mergeCell ref="AU1:BB1"/>
    <mergeCell ref="A126:A136"/>
    <mergeCell ref="A137:A147"/>
    <mergeCell ref="A148:A158"/>
    <mergeCell ref="B148:B158"/>
    <mergeCell ref="B137:B147"/>
    <mergeCell ref="B126:B136"/>
    <mergeCell ref="A93:A103"/>
    <mergeCell ref="A104:A114"/>
    <mergeCell ref="A115:A125"/>
    <mergeCell ref="B115:B125"/>
    <mergeCell ref="B104:B114"/>
    <mergeCell ref="B93:B103"/>
    <mergeCell ref="A60:A70"/>
    <mergeCell ref="A71:A81"/>
    <mergeCell ref="A82:A92"/>
    <mergeCell ref="B82:B92"/>
    <mergeCell ref="B71:B81"/>
    <mergeCell ref="B60:B70"/>
    <mergeCell ref="BH161:BM161"/>
    <mergeCell ref="B168:C168"/>
    <mergeCell ref="B169:C169"/>
    <mergeCell ref="B170:C170"/>
    <mergeCell ref="B171:C171"/>
    <mergeCell ref="A162:C162"/>
    <mergeCell ref="B163:C163"/>
    <mergeCell ref="B164:C164"/>
    <mergeCell ref="B165:C165"/>
    <mergeCell ref="B166:C166"/>
    <mergeCell ref="B167:C167"/>
    <mergeCell ref="A5:A15"/>
    <mergeCell ref="A16:A26"/>
    <mergeCell ref="B5:B15"/>
    <mergeCell ref="B16:B26"/>
    <mergeCell ref="BU3:BZ3"/>
    <mergeCell ref="AH3:AM3"/>
    <mergeCell ref="AN3:AS3"/>
    <mergeCell ref="AU3:AZ3"/>
    <mergeCell ref="BA3:BF3"/>
    <mergeCell ref="A38:A48"/>
    <mergeCell ref="A49:A59"/>
    <mergeCell ref="A27:A37"/>
    <mergeCell ref="B27:B37"/>
    <mergeCell ref="B38:B48"/>
    <mergeCell ref="B49:B59"/>
    <mergeCell ref="CK3:CM3"/>
    <mergeCell ref="A1:B2"/>
    <mergeCell ref="BK1:BN1"/>
    <mergeCell ref="A3:A4"/>
    <mergeCell ref="B3:B4"/>
    <mergeCell ref="C3:C4"/>
    <mergeCell ref="D3:AB3"/>
    <mergeCell ref="AD3:AF3"/>
    <mergeCell ref="BH3:BM3"/>
    <mergeCell ref="BN3:BS3"/>
    <mergeCell ref="BP1:BR1"/>
    <mergeCell ref="CH3:CJ3"/>
    <mergeCell ref="AH1:AO1"/>
    <mergeCell ref="BX1:CA1"/>
    <mergeCell ref="CA3:CF3"/>
    <mergeCell ref="CH1:CJ1"/>
    <mergeCell ref="CK136:CM136"/>
    <mergeCell ref="CK147:CM147"/>
    <mergeCell ref="CK158:CM158"/>
    <mergeCell ref="CK15:CM15"/>
    <mergeCell ref="CK81:CM81"/>
    <mergeCell ref="CK92:CM92"/>
    <mergeCell ref="CK103:CM103"/>
    <mergeCell ref="CK114:CM114"/>
    <mergeCell ref="CK125:CM125"/>
    <mergeCell ref="CK26:CM26"/>
    <mergeCell ref="CK37:CM37"/>
    <mergeCell ref="CK48:CM48"/>
    <mergeCell ref="CK59:CM59"/>
    <mergeCell ref="CK70:CM7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5"/>
  <sheetViews>
    <sheetView zoomScaleNormal="85" workbookViewId="0">
      <pane xSplit="5" ySplit="4" topLeftCell="J74" activePane="bottomRight" state="frozen"/>
      <selection activeCell="AH9" sqref="AH9"/>
      <selection pane="topRight" activeCell="AH9" sqref="AH9"/>
      <selection pane="bottomLeft" activeCell="AH9" sqref="AH9"/>
      <selection pane="bottomRight" activeCell="R6" sqref="R6"/>
    </sheetView>
  </sheetViews>
  <sheetFormatPr defaultRowHeight="14.4"/>
  <cols>
    <col min="1" max="1" width="5.44140625" customWidth="1"/>
    <col min="2" max="3" width="11.109375" customWidth="1"/>
    <col min="4" max="4" width="9.6640625" customWidth="1"/>
    <col min="5" max="5" width="28.44140625" customWidth="1"/>
    <col min="6" max="8" width="9.109375" customWidth="1"/>
    <col min="9" max="12" width="8.109375" customWidth="1"/>
    <col min="13" max="13" width="11.109375" customWidth="1"/>
    <col min="14" max="14" width="9.109375" customWidth="1"/>
    <col min="15" max="17" width="8.109375" customWidth="1"/>
    <col min="18" max="20" width="9.109375" customWidth="1"/>
    <col min="21" max="21" width="9" bestFit="1" customWidth="1"/>
    <col min="22" max="22" width="9.88671875" bestFit="1" customWidth="1"/>
    <col min="23" max="23" width="8.109375" customWidth="1"/>
    <col min="24" max="24" width="2.44140625" customWidth="1"/>
    <col min="25" max="26" width="8.109375" customWidth="1"/>
  </cols>
  <sheetData>
    <row r="1" spans="1:26" ht="18">
      <c r="B1" s="952" t="s">
        <v>482</v>
      </c>
      <c r="C1" s="953"/>
      <c r="D1" s="953"/>
      <c r="E1" s="953"/>
      <c r="F1" s="953"/>
      <c r="G1" s="63"/>
      <c r="H1" s="63"/>
      <c r="J1" s="954" t="s">
        <v>442</v>
      </c>
      <c r="K1" s="954"/>
      <c r="L1" s="954"/>
      <c r="M1" s="41">
        <f>'Input Sheet'!BO1</f>
        <v>2045</v>
      </c>
    </row>
    <row r="2" spans="1:26" ht="15.75" customHeight="1">
      <c r="A2" s="16"/>
      <c r="B2" s="955" t="s">
        <v>483</v>
      </c>
      <c r="C2" s="955"/>
      <c r="D2" s="955"/>
      <c r="E2" s="42">
        <f>ROUND('AnnualSalesSummary Revised'!Y75/100,0)*100</f>
        <v>707300</v>
      </c>
      <c r="F2" s="43"/>
      <c r="G2" s="43"/>
      <c r="H2" s="43"/>
      <c r="I2" s="956" t="s">
        <v>444</v>
      </c>
      <c r="J2" s="956"/>
      <c r="K2" s="956"/>
      <c r="L2" s="956"/>
      <c r="M2" s="43"/>
      <c r="N2" s="44"/>
      <c r="O2" s="44"/>
      <c r="P2" s="44"/>
      <c r="Q2" s="44"/>
      <c r="R2" s="950" t="s">
        <v>484</v>
      </c>
      <c r="S2" s="950"/>
      <c r="T2" s="950"/>
      <c r="U2" s="950"/>
      <c r="V2" s="23"/>
      <c r="W2" s="23"/>
      <c r="X2" s="448"/>
      <c r="Y2" s="448"/>
      <c r="Z2" s="448"/>
    </row>
    <row r="3" spans="1:26" ht="15.6">
      <c r="A3" s="818" t="s">
        <v>1</v>
      </c>
      <c r="B3" s="818" t="s">
        <v>485</v>
      </c>
      <c r="C3" s="822" t="s">
        <v>486</v>
      </c>
      <c r="D3" s="822" t="s">
        <v>170</v>
      </c>
      <c r="E3" s="822" t="s">
        <v>446</v>
      </c>
      <c r="F3" s="818" t="s">
        <v>449</v>
      </c>
      <c r="G3" s="818"/>
      <c r="H3" s="818"/>
      <c r="I3" s="818"/>
      <c r="J3" s="818"/>
      <c r="K3" s="818"/>
      <c r="L3" s="822" t="s">
        <v>487</v>
      </c>
      <c r="M3" s="822" t="s">
        <v>488</v>
      </c>
      <c r="N3" s="941"/>
      <c r="O3" s="942"/>
      <c r="P3" s="942"/>
      <c r="Q3" s="943"/>
      <c r="R3" s="818" t="s">
        <v>489</v>
      </c>
      <c r="S3" s="818"/>
      <c r="T3" s="818"/>
      <c r="U3" s="818"/>
      <c r="V3" s="818"/>
      <c r="W3" s="818"/>
      <c r="X3" s="21"/>
      <c r="Y3" s="21"/>
      <c r="Z3" s="21"/>
    </row>
    <row r="4" spans="1:26" ht="31.2">
      <c r="A4" s="818"/>
      <c r="B4" s="818"/>
      <c r="C4" s="823"/>
      <c r="D4" s="823"/>
      <c r="E4" s="823"/>
      <c r="F4" s="445" t="s">
        <v>178</v>
      </c>
      <c r="G4" s="445" t="s">
        <v>179</v>
      </c>
      <c r="H4" s="445" t="s">
        <v>180</v>
      </c>
      <c r="I4" s="445" t="s">
        <v>182</v>
      </c>
      <c r="J4" s="445" t="s">
        <v>181</v>
      </c>
      <c r="K4" s="445" t="s">
        <v>183</v>
      </c>
      <c r="L4" s="823"/>
      <c r="M4" s="823"/>
      <c r="N4" s="445"/>
      <c r="O4" s="445"/>
      <c r="P4" s="445"/>
      <c r="Q4" s="445"/>
      <c r="R4" s="445" t="s">
        <v>178</v>
      </c>
      <c r="S4" s="445" t="s">
        <v>179</v>
      </c>
      <c r="T4" s="445" t="s">
        <v>180</v>
      </c>
      <c r="U4" s="445" t="s">
        <v>182</v>
      </c>
      <c r="V4" s="445" t="s">
        <v>181</v>
      </c>
      <c r="W4" s="445" t="s">
        <v>183</v>
      </c>
      <c r="X4" s="21"/>
      <c r="Y4" s="21"/>
      <c r="Z4" s="21"/>
    </row>
    <row r="5" spans="1:26" ht="15.75" customHeight="1">
      <c r="A5" s="878">
        <v>1</v>
      </c>
      <c r="B5" s="878" t="s">
        <v>451</v>
      </c>
      <c r="C5" s="966">
        <f>Buckets!S3</f>
        <v>6.5705196182396605E-2</v>
      </c>
      <c r="D5" s="951" t="s">
        <v>490</v>
      </c>
      <c r="E5" s="23" t="s">
        <v>457</v>
      </c>
      <c r="F5" s="30">
        <f>'Input Sheet'!BH8</f>
        <v>1</v>
      </c>
      <c r="G5" s="30">
        <f>'Input Sheet'!BI8</f>
        <v>0.48694913497090991</v>
      </c>
      <c r="H5" s="30">
        <f>'Input Sheet'!BJ8</f>
        <v>0.57783974946064642</v>
      </c>
      <c r="I5" s="30">
        <f>'Input Sheet'!BK8</f>
        <v>60.321500179232757</v>
      </c>
      <c r="J5" s="30">
        <f>'Input Sheet'!BL8</f>
        <v>0.96905779284268934</v>
      </c>
      <c r="K5" s="30">
        <f>'Input Sheet'!BM8</f>
        <v>0.5838824542571045</v>
      </c>
      <c r="L5" s="62">
        <v>1</v>
      </c>
      <c r="M5" s="45">
        <f>L5/L$10</f>
        <v>0.2</v>
      </c>
      <c r="N5" s="29"/>
      <c r="O5" s="29"/>
      <c r="P5" s="29"/>
      <c r="Q5" s="29"/>
      <c r="R5" s="45">
        <f>F5*$L5</f>
        <v>1</v>
      </c>
      <c r="S5" s="45">
        <f t="shared" ref="S5:W5" si="0">G5*$L5</f>
        <v>0.48694913497090991</v>
      </c>
      <c r="T5" s="45">
        <f t="shared" si="0"/>
        <v>0.57783974946064642</v>
      </c>
      <c r="U5" s="45">
        <f t="shared" si="0"/>
        <v>60.321500179232757</v>
      </c>
      <c r="V5" s="45">
        <f t="shared" si="0"/>
        <v>0.96905779284268934</v>
      </c>
      <c r="W5" s="45">
        <f t="shared" si="0"/>
        <v>0.5838824542571045</v>
      </c>
      <c r="X5" s="46"/>
      <c r="Y5" s="46"/>
      <c r="Z5" s="46"/>
    </row>
    <row r="6" spans="1:26" ht="31.2">
      <c r="A6" s="879"/>
      <c r="B6" s="879"/>
      <c r="C6" s="966"/>
      <c r="D6" s="951"/>
      <c r="E6" s="23" t="s">
        <v>491</v>
      </c>
      <c r="F6" s="30">
        <f>'Input Sheet'!BH9</f>
        <v>1</v>
      </c>
      <c r="G6" s="30">
        <f>'Input Sheet'!BI9</f>
        <v>0.37172627248465329</v>
      </c>
      <c r="H6" s="30">
        <f>'Input Sheet'!BJ9</f>
        <v>0.2256231092589101</v>
      </c>
      <c r="I6" s="30">
        <f>'Input Sheet'!BK9</f>
        <v>3.3989692062896926E-2</v>
      </c>
      <c r="J6" s="30">
        <f>'Input Sheet'!BL9</f>
        <v>0.17284540493577591</v>
      </c>
      <c r="K6" s="30">
        <f>'Input Sheet'!BM9</f>
        <v>3.8248461558894032E-3</v>
      </c>
      <c r="L6" s="62">
        <v>1</v>
      </c>
      <c r="M6" s="45">
        <f>L6/L$10</f>
        <v>0.2</v>
      </c>
      <c r="N6" s="29"/>
      <c r="O6" s="29"/>
      <c r="P6" s="29"/>
      <c r="Q6" s="29"/>
      <c r="R6" s="45">
        <f t="shared" ref="R6:R9" si="1">F6*$L6</f>
        <v>1</v>
      </c>
      <c r="S6" s="45">
        <f t="shared" ref="S6:S9" si="2">G6*$L6</f>
        <v>0.37172627248465329</v>
      </c>
      <c r="T6" s="45">
        <f t="shared" ref="T6:T9" si="3">H6*$L6</f>
        <v>0.2256231092589101</v>
      </c>
      <c r="U6" s="45">
        <f t="shared" ref="U6:U9" si="4">I6*$L6</f>
        <v>3.3989692062896926E-2</v>
      </c>
      <c r="V6" s="45">
        <f t="shared" ref="V6:V9" si="5">J6*$L6</f>
        <v>0.17284540493577591</v>
      </c>
      <c r="W6" s="45">
        <f t="shared" ref="W6:W9" si="6">K6*$L6</f>
        <v>3.8248461558894032E-3</v>
      </c>
      <c r="X6" s="46"/>
      <c r="Y6" s="46"/>
      <c r="Z6" s="46"/>
    </row>
    <row r="7" spans="1:26" ht="15.6">
      <c r="A7" s="879"/>
      <c r="B7" s="879"/>
      <c r="C7" s="966"/>
      <c r="D7" s="951"/>
      <c r="E7" s="23" t="s">
        <v>459</v>
      </c>
      <c r="F7" s="30">
        <f>'Input Sheet'!BH10</f>
        <v>1</v>
      </c>
      <c r="G7" s="30">
        <f>'Input Sheet'!BI10</f>
        <v>1</v>
      </c>
      <c r="H7" s="30">
        <f>'Input Sheet'!BJ10</f>
        <v>1</v>
      </c>
      <c r="I7" s="30">
        <f>'Input Sheet'!BK10</f>
        <v>0.19434988020049429</v>
      </c>
      <c r="J7" s="30">
        <f>'Input Sheet'!BL10</f>
        <v>1</v>
      </c>
      <c r="K7" s="30">
        <f>'Input Sheet'!BM10</f>
        <v>0.39795013462718709</v>
      </c>
      <c r="L7" s="62">
        <v>1</v>
      </c>
      <c r="M7" s="45">
        <f>L7/L$10</f>
        <v>0.2</v>
      </c>
      <c r="N7" s="29"/>
      <c r="O7" s="29"/>
      <c r="P7" s="29"/>
      <c r="Q7" s="29"/>
      <c r="R7" s="45">
        <f t="shared" si="1"/>
        <v>1</v>
      </c>
      <c r="S7" s="45">
        <f t="shared" si="2"/>
        <v>1</v>
      </c>
      <c r="T7" s="45">
        <f t="shared" si="3"/>
        <v>1</v>
      </c>
      <c r="U7" s="45">
        <f t="shared" si="4"/>
        <v>0.19434988020049429</v>
      </c>
      <c r="V7" s="45">
        <f t="shared" si="5"/>
        <v>1</v>
      </c>
      <c r="W7" s="45">
        <f t="shared" si="6"/>
        <v>0.39795013462718709</v>
      </c>
      <c r="X7" s="46"/>
      <c r="Y7" s="46"/>
      <c r="Z7" s="46"/>
    </row>
    <row r="8" spans="1:26" ht="15.6">
      <c r="A8" s="879"/>
      <c r="B8" s="879"/>
      <c r="C8" s="966"/>
      <c r="D8" s="951"/>
      <c r="E8" s="23" t="s">
        <v>492</v>
      </c>
      <c r="F8" s="30">
        <f>'Input Sheet'!BH11</f>
        <v>1</v>
      </c>
      <c r="G8" s="30">
        <f>'Input Sheet'!BI11</f>
        <v>0.66199319669083379</v>
      </c>
      <c r="H8" s="30">
        <f>'Input Sheet'!BJ11</f>
        <v>0.66199319669083379</v>
      </c>
      <c r="I8" s="30">
        <f>'Input Sheet'!BK11</f>
        <v>3.4469852208994722</v>
      </c>
      <c r="J8" s="30">
        <f>'Input Sheet'!BL11</f>
        <v>0.66199319669083379</v>
      </c>
      <c r="K8" s="30">
        <f>'Input Sheet'!BM11</f>
        <v>3.4469852208994722</v>
      </c>
      <c r="L8" s="62">
        <v>1</v>
      </c>
      <c r="M8" s="45">
        <f>L8/L$10</f>
        <v>0.2</v>
      </c>
      <c r="N8" s="29"/>
      <c r="O8" s="29"/>
      <c r="P8" s="29"/>
      <c r="Q8" s="29"/>
      <c r="R8" s="45">
        <f t="shared" si="1"/>
        <v>1</v>
      </c>
      <c r="S8" s="45">
        <f t="shared" si="2"/>
        <v>0.66199319669083379</v>
      </c>
      <c r="T8" s="45">
        <f t="shared" si="3"/>
        <v>0.66199319669083379</v>
      </c>
      <c r="U8" s="45">
        <f t="shared" si="4"/>
        <v>3.4469852208994722</v>
      </c>
      <c r="V8" s="45">
        <f t="shared" si="5"/>
        <v>0.66199319669083379</v>
      </c>
      <c r="W8" s="45">
        <f t="shared" si="6"/>
        <v>3.4469852208994722</v>
      </c>
      <c r="X8" s="46"/>
      <c r="Y8" s="46"/>
      <c r="Z8" s="46"/>
    </row>
    <row r="9" spans="1:26" ht="15.6">
      <c r="A9" s="879"/>
      <c r="B9" s="879"/>
      <c r="C9" s="966"/>
      <c r="D9" s="951"/>
      <c r="E9" s="34" t="s">
        <v>461</v>
      </c>
      <c r="F9" s="30">
        <f>'Input Sheet'!BH12</f>
        <v>1</v>
      </c>
      <c r="G9" s="30">
        <f>'Input Sheet'!BI12</f>
        <v>0.58525110430741201</v>
      </c>
      <c r="H9" s="30">
        <f>'Input Sheet'!BJ12</f>
        <v>0.35961283926440357</v>
      </c>
      <c r="I9" s="30">
        <f>'Input Sheet'!BK12</f>
        <v>0.15335496684492853</v>
      </c>
      <c r="J9" s="30">
        <f>'Input Sheet'!BL12</f>
        <v>1</v>
      </c>
      <c r="K9" s="30">
        <f>'Input Sheet'!BM12</f>
        <v>1</v>
      </c>
      <c r="L9" s="62">
        <v>1</v>
      </c>
      <c r="M9" s="45">
        <f>L9/L$10</f>
        <v>0.2</v>
      </c>
      <c r="N9" s="29"/>
      <c r="O9" s="29"/>
      <c r="P9" s="29"/>
      <c r="Q9" s="29"/>
      <c r="R9" s="45">
        <f t="shared" si="1"/>
        <v>1</v>
      </c>
      <c r="S9" s="45">
        <f t="shared" si="2"/>
        <v>0.58525110430741201</v>
      </c>
      <c r="T9" s="45">
        <f t="shared" si="3"/>
        <v>0.35961283926440357</v>
      </c>
      <c r="U9" s="45">
        <f t="shared" si="4"/>
        <v>0.15335496684492853</v>
      </c>
      <c r="V9" s="45">
        <f t="shared" si="5"/>
        <v>1</v>
      </c>
      <c r="W9" s="45">
        <f t="shared" si="6"/>
        <v>1</v>
      </c>
      <c r="X9" s="46"/>
      <c r="Y9" s="46"/>
      <c r="Z9" s="46"/>
    </row>
    <row r="10" spans="1:26" ht="15.6">
      <c r="A10" s="879"/>
      <c r="B10" s="879"/>
      <c r="C10" s="966"/>
      <c r="D10" s="951"/>
      <c r="E10" s="23" t="s">
        <v>38</v>
      </c>
      <c r="F10" s="47"/>
      <c r="G10" s="47"/>
      <c r="H10" s="47"/>
      <c r="I10" s="47"/>
      <c r="J10" s="47"/>
      <c r="K10" s="47"/>
      <c r="L10" s="62">
        <f>SUM(L5:L9)</f>
        <v>5</v>
      </c>
      <c r="M10" s="872" t="s">
        <v>493</v>
      </c>
      <c r="N10" s="873"/>
      <c r="O10" s="873"/>
      <c r="P10" s="873"/>
      <c r="Q10" s="874"/>
      <c r="R10" s="45">
        <f>SUM(R5:R9)</f>
        <v>5</v>
      </c>
      <c r="S10" s="45">
        <f t="shared" ref="S10:T10" si="7">SUM(S5:S9)</f>
        <v>3.105919708453809</v>
      </c>
      <c r="T10" s="45">
        <f t="shared" si="7"/>
        <v>2.8250688946747937</v>
      </c>
      <c r="U10" s="45">
        <f>SUM(U5:U9)</f>
        <v>64.150179939240545</v>
      </c>
      <c r="V10" s="45">
        <f>SUM(V5:V9)</f>
        <v>3.8038963944692989</v>
      </c>
      <c r="W10" s="45">
        <f>SUM(W5:W9)</f>
        <v>5.4326426559396532</v>
      </c>
      <c r="X10" s="48"/>
      <c r="Y10" s="48"/>
      <c r="Z10" s="48"/>
    </row>
    <row r="11" spans="1:26" ht="15.6">
      <c r="A11" s="879"/>
      <c r="B11" s="879"/>
      <c r="C11" s="966"/>
      <c r="D11" s="951"/>
      <c r="E11" s="23"/>
      <c r="F11" s="23"/>
      <c r="G11" s="23"/>
      <c r="H11" s="23"/>
      <c r="I11" s="23"/>
      <c r="J11" s="23"/>
      <c r="K11" s="23"/>
      <c r="L11" s="23"/>
      <c r="M11" s="872" t="s">
        <v>494</v>
      </c>
      <c r="N11" s="873"/>
      <c r="O11" s="873"/>
      <c r="P11" s="873"/>
      <c r="Q11" s="874"/>
      <c r="R11" s="45">
        <f>R10/SUM($R10:$W10)</f>
        <v>5.9299524889220953E-2</v>
      </c>
      <c r="S11" s="45">
        <f t="shared" ref="S11:T11" si="8">S10/SUM($R10:$W10)</f>
        <v>3.6835912611075709E-2</v>
      </c>
      <c r="T11" s="45">
        <f t="shared" si="8"/>
        <v>3.3505048646706372E-2</v>
      </c>
      <c r="U11" s="45">
        <f>U10/SUM($R10:$W10)</f>
        <v>0.76081503839099951</v>
      </c>
      <c r="V11" s="45">
        <f>V10/SUM($R10:$W10)</f>
        <v>4.5113849783970011E-2</v>
      </c>
      <c r="W11" s="45">
        <f>W10/SUM($R10:$W10)</f>
        <v>6.4430625678027376E-2</v>
      </c>
      <c r="X11" s="17"/>
      <c r="Y11" s="17"/>
      <c r="Z11" s="17"/>
    </row>
    <row r="12" spans="1:26" ht="15.6">
      <c r="A12" s="879"/>
      <c r="B12" s="879"/>
      <c r="C12" s="966"/>
      <c r="D12" s="951"/>
      <c r="E12" s="23"/>
      <c r="F12" s="941"/>
      <c r="G12" s="942"/>
      <c r="H12" s="942"/>
      <c r="I12" s="942"/>
      <c r="J12" s="942"/>
      <c r="K12" s="942"/>
      <c r="L12" s="942"/>
      <c r="M12" s="942"/>
      <c r="N12" s="942"/>
      <c r="O12" s="942"/>
      <c r="P12" s="942"/>
      <c r="Q12" s="942"/>
      <c r="R12" s="942"/>
      <c r="S12" s="942"/>
      <c r="T12" s="942"/>
      <c r="U12" s="942"/>
      <c r="V12" s="942"/>
      <c r="W12" s="943"/>
      <c r="X12" s="17"/>
      <c r="Y12" s="17"/>
      <c r="Z12" s="17"/>
    </row>
    <row r="13" spans="1:26" ht="15.6">
      <c r="A13" s="879"/>
      <c r="B13" s="879"/>
      <c r="C13" s="966"/>
      <c r="D13" s="951"/>
      <c r="E13" s="23"/>
      <c r="F13" s="30">
        <f>'Input Sheet'!BH14</f>
        <v>1</v>
      </c>
      <c r="G13" s="30">
        <f>'Input Sheet'!BI14</f>
        <v>0.9</v>
      </c>
      <c r="H13" s="30">
        <f>'Input Sheet'!BJ14</f>
        <v>0.75</v>
      </c>
      <c r="I13" s="30">
        <f>'Input Sheet'!BK14</f>
        <v>0.9</v>
      </c>
      <c r="J13" s="30">
        <f>'Input Sheet'!BL14</f>
        <v>0.55000000000000004</v>
      </c>
      <c r="K13" s="30">
        <f>'Input Sheet'!BM14</f>
        <v>0.35</v>
      </c>
      <c r="L13" s="43"/>
      <c r="M13" s="957" t="s">
        <v>495</v>
      </c>
      <c r="N13" s="958"/>
      <c r="O13" s="958"/>
      <c r="P13" s="958"/>
      <c r="Q13" s="959"/>
      <c r="R13" s="45">
        <f>R11*F13</f>
        <v>5.9299524889220953E-2</v>
      </c>
      <c r="S13" s="45">
        <f t="shared" ref="S13:T13" si="9">S11*G13</f>
        <v>3.3152321349968136E-2</v>
      </c>
      <c r="T13" s="45">
        <f t="shared" si="9"/>
        <v>2.512878648502978E-2</v>
      </c>
      <c r="U13" s="45">
        <f>U11*I13</f>
        <v>0.68473353455189956</v>
      </c>
      <c r="V13" s="45">
        <f>V11*J13</f>
        <v>2.4812617381183507E-2</v>
      </c>
      <c r="W13" s="45">
        <f>W11*K13</f>
        <v>2.2550718987309579E-2</v>
      </c>
      <c r="X13" s="17"/>
      <c r="Y13" s="17"/>
      <c r="Z13" s="17"/>
    </row>
    <row r="14" spans="1:26" ht="15.6" customHeight="1">
      <c r="A14" s="879"/>
      <c r="B14" s="879"/>
      <c r="C14" s="966"/>
      <c r="D14" s="951"/>
      <c r="E14" s="23"/>
      <c r="F14" s="960" t="s">
        <v>923</v>
      </c>
      <c r="G14" s="961"/>
      <c r="H14" s="961"/>
      <c r="I14" s="961"/>
      <c r="J14" s="961"/>
      <c r="K14" s="961"/>
      <c r="L14" s="961"/>
      <c r="M14" s="961"/>
      <c r="N14" s="961"/>
      <c r="O14" s="961"/>
      <c r="P14" s="961"/>
      <c r="Q14" s="962"/>
      <c r="R14" s="45">
        <f>R13*'Input Sheet'!BH6/'Input Sheet'!$BH6</f>
        <v>5.9299524889220953E-2</v>
      </c>
      <c r="S14" s="45">
        <f>S13*'Input Sheet'!BI6/'Input Sheet'!$BH6</f>
        <v>3.3152321349968136E-2</v>
      </c>
      <c r="T14" s="45">
        <f>T13*'Input Sheet'!BJ6/'Input Sheet'!$BH6</f>
        <v>0</v>
      </c>
      <c r="U14" s="45">
        <f>U13*'Input Sheet'!BK6/'Input Sheet'!$BH6</f>
        <v>0.68473353455189956</v>
      </c>
      <c r="V14" s="45">
        <f>V13*'Input Sheet'!BL6/'Input Sheet'!$BH6</f>
        <v>2.4812617381183504E-2</v>
      </c>
      <c r="W14" s="45">
        <f>W13*'Input Sheet'!BM6/'Input Sheet'!$BH6</f>
        <v>2.2550718987309579E-2</v>
      </c>
      <c r="X14" s="17"/>
      <c r="Y14" s="17"/>
      <c r="Z14" s="17"/>
    </row>
    <row r="15" spans="1:26" ht="15.6" customHeight="1">
      <c r="A15" s="879"/>
      <c r="B15" s="879"/>
      <c r="C15" s="966"/>
      <c r="D15" s="951"/>
      <c r="E15" s="23"/>
      <c r="F15" s="963" t="s">
        <v>924</v>
      </c>
      <c r="G15" s="964"/>
      <c r="H15" s="964"/>
      <c r="I15" s="964"/>
      <c r="J15" s="964"/>
      <c r="K15" s="964"/>
      <c r="L15" s="964"/>
      <c r="M15" s="964"/>
      <c r="N15" s="964"/>
      <c r="O15" s="964"/>
      <c r="P15" s="964"/>
      <c r="Q15" s="965"/>
      <c r="R15" s="50">
        <f>R14/(R14+U14+V14+W14+S14+T14)</f>
        <v>7.1917551571115026E-2</v>
      </c>
      <c r="S15" s="50">
        <f>S14/(R14+S14+T14+U14+V14+W14)</f>
        <v>4.0206625345524487E-2</v>
      </c>
      <c r="T15" s="50">
        <f>T14/(R14+S14+T14+U14+V14+W14)</f>
        <v>0</v>
      </c>
      <c r="U15" s="50">
        <f>U14/(R14+U14+V14+W14+S14+T14)</f>
        <v>0.83043429733379537</v>
      </c>
      <c r="V15" s="50">
        <f>V14/(R14+U14+V14+W14+S14+T14)</f>
        <v>3.0092360663246675E-2</v>
      </c>
      <c r="W15" s="50">
        <f>W14/(R14+U14+V14+W14+S14+T14)</f>
        <v>2.7349165086318548E-2</v>
      </c>
      <c r="X15" s="17"/>
      <c r="Y15" s="17"/>
      <c r="Z15" s="17"/>
    </row>
    <row r="16" spans="1:26" ht="15.6" customHeight="1">
      <c r="A16" s="879"/>
      <c r="B16" s="879"/>
      <c r="C16" s="966"/>
      <c r="D16" s="951"/>
      <c r="E16" s="23"/>
      <c r="F16" s="963" t="s">
        <v>925</v>
      </c>
      <c r="G16" s="964"/>
      <c r="H16" s="964"/>
      <c r="I16" s="964"/>
      <c r="J16" s="964"/>
      <c r="K16" s="964"/>
      <c r="L16" s="964"/>
      <c r="M16" s="964"/>
      <c r="N16" s="964"/>
      <c r="O16" s="964"/>
      <c r="P16" s="964"/>
      <c r="Q16" s="965"/>
      <c r="R16" s="51">
        <f t="shared" ref="R16:W16" si="10">ROUND($C5*$E$2*R15/100,0)*100</f>
        <v>3300</v>
      </c>
      <c r="S16" s="51">
        <f t="shared" si="10"/>
        <v>1900</v>
      </c>
      <c r="T16" s="51">
        <f t="shared" si="10"/>
        <v>0</v>
      </c>
      <c r="U16" s="51">
        <f t="shared" si="10"/>
        <v>38600</v>
      </c>
      <c r="V16" s="51">
        <f t="shared" si="10"/>
        <v>1400</v>
      </c>
      <c r="W16" s="51">
        <f t="shared" si="10"/>
        <v>1300</v>
      </c>
      <c r="X16" s="17"/>
      <c r="Y16" s="17"/>
      <c r="Z16" s="17"/>
    </row>
    <row r="17" spans="1:26" ht="15.75" customHeight="1">
      <c r="A17" s="878">
        <v>2</v>
      </c>
      <c r="B17" s="878" t="s">
        <v>465</v>
      </c>
      <c r="C17" s="966">
        <f>Buckets!S4</f>
        <v>6.2142099681866382E-2</v>
      </c>
      <c r="D17" s="951" t="s">
        <v>496</v>
      </c>
      <c r="E17" s="23" t="s">
        <v>457</v>
      </c>
      <c r="F17" s="30">
        <f>'Input Sheet'!BH19</f>
        <v>1</v>
      </c>
      <c r="G17" s="30">
        <f>'Input Sheet'!BI19</f>
        <v>0.61095133780526667</v>
      </c>
      <c r="H17" s="30">
        <f>'Input Sheet'!BJ19</f>
        <v>0.66793694719704177</v>
      </c>
      <c r="I17" s="30">
        <f>'Input Sheet'!BK19</f>
        <v>23.848694650095446</v>
      </c>
      <c r="J17" s="30">
        <f>'Input Sheet'!BL19</f>
        <v>0.98795814064457188</v>
      </c>
      <c r="K17" s="30">
        <f>'Input Sheet'!BM19</f>
        <v>0.66536203576001351</v>
      </c>
      <c r="L17" s="62">
        <v>1</v>
      </c>
      <c r="M17" s="30">
        <f>L17/L$22</f>
        <v>0.2</v>
      </c>
      <c r="N17" s="29"/>
      <c r="O17" s="29"/>
      <c r="P17" s="29"/>
      <c r="Q17" s="29"/>
      <c r="R17" s="45">
        <f>F17</f>
        <v>1</v>
      </c>
      <c r="S17" s="45">
        <f t="shared" ref="S17:S21" si="11">G17</f>
        <v>0.61095133780526667</v>
      </c>
      <c r="T17" s="45">
        <f t="shared" ref="T17:T21" si="12">H17</f>
        <v>0.66793694719704177</v>
      </c>
      <c r="U17" s="45">
        <f t="shared" ref="U17:U21" si="13">I17</f>
        <v>23.848694650095446</v>
      </c>
      <c r="V17" s="45">
        <f t="shared" ref="V17:V21" si="14">J17</f>
        <v>0.98795814064457188</v>
      </c>
      <c r="W17" s="45">
        <f t="shared" ref="W17:W21" si="15">K17</f>
        <v>0.66536203576001351</v>
      </c>
      <c r="X17" s="46"/>
      <c r="Y17" s="46"/>
      <c r="Z17" s="46"/>
    </row>
    <row r="18" spans="1:26" ht="31.2">
      <c r="A18" s="879"/>
      <c r="B18" s="879"/>
      <c r="C18" s="966"/>
      <c r="D18" s="951"/>
      <c r="E18" s="23" t="s">
        <v>491</v>
      </c>
      <c r="F18" s="30">
        <f>'Input Sheet'!BH20</f>
        <v>1</v>
      </c>
      <c r="G18" s="30">
        <f>'Input Sheet'!BI20</f>
        <v>0.45373429749841049</v>
      </c>
      <c r="H18" s="30">
        <f>'Input Sheet'!BJ20</f>
        <v>0.3019613425097819</v>
      </c>
      <c r="I18" s="30">
        <f>'Input Sheet'!BK20</f>
        <v>3.934421693057933E-2</v>
      </c>
      <c r="J18" s="30">
        <f>'Input Sheet'!BL20</f>
        <v>0.24219935534332038</v>
      </c>
      <c r="K18" s="30">
        <f>'Input Sheet'!BM20</f>
        <v>8.4479575237471367E-3</v>
      </c>
      <c r="L18" s="62">
        <v>1</v>
      </c>
      <c r="M18" s="30">
        <f t="shared" ref="M18:M21" si="16">L18/L$22</f>
        <v>0.2</v>
      </c>
      <c r="N18" s="29"/>
      <c r="O18" s="29"/>
      <c r="P18" s="29"/>
      <c r="Q18" s="29"/>
      <c r="R18" s="45">
        <f t="shared" ref="R18:R21" si="17">F18</f>
        <v>1</v>
      </c>
      <c r="S18" s="45">
        <f t="shared" si="11"/>
        <v>0.45373429749841049</v>
      </c>
      <c r="T18" s="45">
        <f t="shared" si="12"/>
        <v>0.3019613425097819</v>
      </c>
      <c r="U18" s="45">
        <f t="shared" si="13"/>
        <v>3.934421693057933E-2</v>
      </c>
      <c r="V18" s="45">
        <f t="shared" si="14"/>
        <v>0.24219935534332038</v>
      </c>
      <c r="W18" s="45">
        <f t="shared" si="15"/>
        <v>8.4479575237471367E-3</v>
      </c>
      <c r="X18" s="46"/>
      <c r="Y18" s="46"/>
      <c r="Z18" s="46"/>
    </row>
    <row r="19" spans="1:26" ht="15.6">
      <c r="A19" s="879"/>
      <c r="B19" s="879"/>
      <c r="C19" s="966"/>
      <c r="D19" s="951"/>
      <c r="E19" s="23" t="s">
        <v>459</v>
      </c>
      <c r="F19" s="30">
        <f>'Input Sheet'!BH21</f>
        <v>1</v>
      </c>
      <c r="G19" s="30">
        <f>'Input Sheet'!BI21</f>
        <v>1</v>
      </c>
      <c r="H19" s="30">
        <f>'Input Sheet'!BJ21</f>
        <v>1</v>
      </c>
      <c r="I19" s="30">
        <f>'Input Sheet'!BK21</f>
        <v>0.3225236063732973</v>
      </c>
      <c r="J19" s="30">
        <f>'Input Sheet'!BL21</f>
        <v>1</v>
      </c>
      <c r="K19" s="30">
        <f>'Input Sheet'!BM21</f>
        <v>0.60096984145352728</v>
      </c>
      <c r="L19" s="62">
        <v>1</v>
      </c>
      <c r="M19" s="30">
        <f t="shared" si="16"/>
        <v>0.2</v>
      </c>
      <c r="N19" s="29"/>
      <c r="O19" s="29"/>
      <c r="P19" s="29"/>
      <c r="Q19" s="29"/>
      <c r="R19" s="45">
        <f t="shared" si="17"/>
        <v>1</v>
      </c>
      <c r="S19" s="45">
        <f t="shared" si="11"/>
        <v>1</v>
      </c>
      <c r="T19" s="45">
        <f t="shared" si="12"/>
        <v>1</v>
      </c>
      <c r="U19" s="45">
        <f t="shared" si="13"/>
        <v>0.3225236063732973</v>
      </c>
      <c r="V19" s="45">
        <f t="shared" si="14"/>
        <v>1</v>
      </c>
      <c r="W19" s="45">
        <f t="shared" si="15"/>
        <v>0.60096984145352728</v>
      </c>
      <c r="X19" s="46"/>
      <c r="Y19" s="46"/>
      <c r="Z19" s="46"/>
    </row>
    <row r="20" spans="1:26" ht="15.6">
      <c r="A20" s="879"/>
      <c r="B20" s="879"/>
      <c r="C20" s="966"/>
      <c r="D20" s="951"/>
      <c r="E20" s="23" t="s">
        <v>492</v>
      </c>
      <c r="F20" s="30">
        <f>'Input Sheet'!BH22</f>
        <v>1</v>
      </c>
      <c r="G20" s="30">
        <f>'Input Sheet'!BI22</f>
        <v>0.66199319669083379</v>
      </c>
      <c r="H20" s="30">
        <f>'Input Sheet'!BJ22</f>
        <v>0.66199319669083379</v>
      </c>
      <c r="I20" s="30">
        <f>'Input Sheet'!BK22</f>
        <v>3.4469852208994722</v>
      </c>
      <c r="J20" s="30">
        <f>'Input Sheet'!BL22</f>
        <v>0.66199319669083379</v>
      </c>
      <c r="K20" s="30">
        <f>'Input Sheet'!BM22</f>
        <v>3.4469852208994722</v>
      </c>
      <c r="L20" s="62">
        <v>1</v>
      </c>
      <c r="M20" s="30">
        <f t="shared" si="16"/>
        <v>0.2</v>
      </c>
      <c r="N20" s="29"/>
      <c r="O20" s="29"/>
      <c r="P20" s="29"/>
      <c r="Q20" s="29"/>
      <c r="R20" s="45">
        <f t="shared" si="17"/>
        <v>1</v>
      </c>
      <c r="S20" s="45">
        <f t="shared" si="11"/>
        <v>0.66199319669083379</v>
      </c>
      <c r="T20" s="45">
        <f t="shared" si="12"/>
        <v>0.66199319669083379</v>
      </c>
      <c r="U20" s="45">
        <f t="shared" si="13"/>
        <v>3.4469852208994722</v>
      </c>
      <c r="V20" s="45">
        <f t="shared" si="14"/>
        <v>0.66199319669083379</v>
      </c>
      <c r="W20" s="45">
        <f t="shared" si="15"/>
        <v>3.4469852208994722</v>
      </c>
      <c r="X20" s="46"/>
      <c r="Y20" s="46"/>
      <c r="Z20" s="46"/>
    </row>
    <row r="21" spans="1:26" ht="15.6">
      <c r="A21" s="879"/>
      <c r="B21" s="879"/>
      <c r="C21" s="966"/>
      <c r="D21" s="951"/>
      <c r="E21" s="34" t="s">
        <v>461</v>
      </c>
      <c r="F21" s="30">
        <f>'Input Sheet'!BH23</f>
        <v>1</v>
      </c>
      <c r="G21" s="30">
        <f>'Input Sheet'!BI23</f>
        <v>0.58525110430741201</v>
      </c>
      <c r="H21" s="30">
        <f>'Input Sheet'!BJ23</f>
        <v>0.35961283926440357</v>
      </c>
      <c r="I21" s="30">
        <f>'Input Sheet'!BK23</f>
        <v>0.15335496684492853</v>
      </c>
      <c r="J21" s="30">
        <f>'Input Sheet'!BL23</f>
        <v>1</v>
      </c>
      <c r="K21" s="30">
        <f>'Input Sheet'!BM23</f>
        <v>1</v>
      </c>
      <c r="L21" s="62">
        <v>1</v>
      </c>
      <c r="M21" s="30">
        <f t="shared" si="16"/>
        <v>0.2</v>
      </c>
      <c r="N21" s="29"/>
      <c r="O21" s="29"/>
      <c r="P21" s="29"/>
      <c r="Q21" s="29"/>
      <c r="R21" s="45">
        <f t="shared" si="17"/>
        <v>1</v>
      </c>
      <c r="S21" s="45">
        <f t="shared" si="11"/>
        <v>0.58525110430741201</v>
      </c>
      <c r="T21" s="45">
        <f t="shared" si="12"/>
        <v>0.35961283926440357</v>
      </c>
      <c r="U21" s="45">
        <f t="shared" si="13"/>
        <v>0.15335496684492853</v>
      </c>
      <c r="V21" s="45">
        <f t="shared" si="14"/>
        <v>1</v>
      </c>
      <c r="W21" s="45">
        <f t="shared" si="15"/>
        <v>1</v>
      </c>
      <c r="X21" s="46"/>
      <c r="Y21" s="46"/>
      <c r="Z21" s="46"/>
    </row>
    <row r="22" spans="1:26" ht="15.6">
      <c r="A22" s="879"/>
      <c r="B22" s="879"/>
      <c r="C22" s="966"/>
      <c r="D22" s="951"/>
      <c r="E22" s="23" t="s">
        <v>38</v>
      </c>
      <c r="F22" s="47"/>
      <c r="G22" s="47"/>
      <c r="H22" s="47"/>
      <c r="I22" s="47"/>
      <c r="J22" s="47"/>
      <c r="K22" s="47"/>
      <c r="L22" s="62">
        <f>SUM(L17:L21)</f>
        <v>5</v>
      </c>
      <c r="M22" s="872" t="s">
        <v>493</v>
      </c>
      <c r="N22" s="873"/>
      <c r="O22" s="873"/>
      <c r="P22" s="873"/>
      <c r="Q22" s="874"/>
      <c r="R22" s="45">
        <f>SUM(R17:R21)</f>
        <v>5</v>
      </c>
      <c r="S22" s="45">
        <f t="shared" ref="S22" si="18">SUM(S17:S21)</f>
        <v>3.3119299363019228</v>
      </c>
      <c r="T22" s="45">
        <f t="shared" ref="T22" si="19">SUM(T17:T21)</f>
        <v>2.9915043256620608</v>
      </c>
      <c r="U22" s="45">
        <f>SUM(U17:U21)</f>
        <v>27.810902661143725</v>
      </c>
      <c r="V22" s="45">
        <f>SUM(V17:V21)</f>
        <v>3.8921506926787259</v>
      </c>
      <c r="W22" s="45">
        <f>SUM(W17:W21)</f>
        <v>5.7217650556367605</v>
      </c>
      <c r="X22" s="48"/>
      <c r="Y22" s="48"/>
      <c r="Z22" s="48"/>
    </row>
    <row r="23" spans="1:26" ht="15.6">
      <c r="A23" s="879"/>
      <c r="B23" s="879"/>
      <c r="C23" s="966"/>
      <c r="D23" s="951"/>
      <c r="E23" s="23"/>
      <c r="F23" s="23"/>
      <c r="G23" s="23"/>
      <c r="H23" s="23"/>
      <c r="I23" s="23"/>
      <c r="J23" s="23"/>
      <c r="K23" s="23"/>
      <c r="L23" s="23"/>
      <c r="M23" s="872" t="s">
        <v>494</v>
      </c>
      <c r="N23" s="873"/>
      <c r="O23" s="873"/>
      <c r="P23" s="873"/>
      <c r="Q23" s="874"/>
      <c r="R23" s="45">
        <f>R22/SUM($R22:$W22)</f>
        <v>0.10260987673240052</v>
      </c>
      <c r="S23" s="45">
        <f t="shared" ref="S23" si="20">S22/SUM($R22:$W22)</f>
        <v>6.7967344502057478E-2</v>
      </c>
      <c r="T23" s="45">
        <f t="shared" ref="T23" si="21">T22/SUM($R22:$W22)</f>
        <v>6.1391578020125397E-2</v>
      </c>
      <c r="U23" s="45">
        <f>U22/SUM($R22:$W22)</f>
        <v>0.57073465877534946</v>
      </c>
      <c r="V23" s="45">
        <f>V22/SUM($R22:$W22)</f>
        <v>7.987462055993827E-2</v>
      </c>
      <c r="W23" s="45">
        <f>W22/SUM($R22:$W22)</f>
        <v>0.11742192141012896</v>
      </c>
      <c r="X23" s="17"/>
      <c r="Y23" s="17"/>
      <c r="Z23" s="17"/>
    </row>
    <row r="24" spans="1:26" ht="15.6">
      <c r="A24" s="879"/>
      <c r="B24" s="879"/>
      <c r="C24" s="966"/>
      <c r="D24" s="951"/>
      <c r="E24" s="23"/>
      <c r="F24" s="941"/>
      <c r="G24" s="942"/>
      <c r="H24" s="942"/>
      <c r="I24" s="942"/>
      <c r="J24" s="942"/>
      <c r="K24" s="942"/>
      <c r="L24" s="942"/>
      <c r="M24" s="942"/>
      <c r="N24" s="942"/>
      <c r="O24" s="942"/>
      <c r="P24" s="942"/>
      <c r="Q24" s="942"/>
      <c r="R24" s="942"/>
      <c r="S24" s="942"/>
      <c r="T24" s="942"/>
      <c r="U24" s="942"/>
      <c r="V24" s="942"/>
      <c r="W24" s="943"/>
      <c r="X24" s="17"/>
      <c r="Y24" s="17"/>
      <c r="Z24" s="17"/>
    </row>
    <row r="25" spans="1:26" ht="15.6">
      <c r="A25" s="879"/>
      <c r="B25" s="879"/>
      <c r="C25" s="966"/>
      <c r="D25" s="951"/>
      <c r="E25" s="23"/>
      <c r="F25" s="30">
        <f>'Input Sheet'!BH25</f>
        <v>1</v>
      </c>
      <c r="G25" s="30">
        <f>'Input Sheet'!BI25</f>
        <v>0.9</v>
      </c>
      <c r="H25" s="30">
        <f>'Input Sheet'!BJ25</f>
        <v>0.75</v>
      </c>
      <c r="I25" s="30">
        <f>'Input Sheet'!BK25</f>
        <v>0.85</v>
      </c>
      <c r="J25" s="30">
        <f>'Input Sheet'!BL25</f>
        <v>0.55000000000000004</v>
      </c>
      <c r="K25" s="30">
        <f>'Input Sheet'!BM25</f>
        <v>0.35</v>
      </c>
      <c r="L25" s="23"/>
      <c r="M25" s="957" t="s">
        <v>495</v>
      </c>
      <c r="N25" s="958"/>
      <c r="O25" s="958"/>
      <c r="P25" s="958"/>
      <c r="Q25" s="959"/>
      <c r="R25" s="45">
        <f>R23*F25</f>
        <v>0.10260987673240052</v>
      </c>
      <c r="S25" s="45">
        <f t="shared" ref="S25:T25" si="22">S23*G25</f>
        <v>6.1170610051851732E-2</v>
      </c>
      <c r="T25" s="45">
        <f t="shared" si="22"/>
        <v>4.6043683515094046E-2</v>
      </c>
      <c r="U25" s="45">
        <f>U23*I25</f>
        <v>0.48512445995904702</v>
      </c>
      <c r="V25" s="45">
        <f>V23*J25</f>
        <v>4.3931041307966053E-2</v>
      </c>
      <c r="W25" s="45">
        <f>W23*K25</f>
        <v>4.109767249354513E-2</v>
      </c>
      <c r="X25" s="17"/>
      <c r="Y25" s="17"/>
      <c r="Z25" s="17"/>
    </row>
    <row r="26" spans="1:26" ht="15.6" customHeight="1">
      <c r="A26" s="879"/>
      <c r="B26" s="879"/>
      <c r="C26" s="966"/>
      <c r="D26" s="951"/>
      <c r="E26" s="23"/>
      <c r="F26" s="960" t="s">
        <v>923</v>
      </c>
      <c r="G26" s="961"/>
      <c r="H26" s="961"/>
      <c r="I26" s="961"/>
      <c r="J26" s="961"/>
      <c r="K26" s="961"/>
      <c r="L26" s="961"/>
      <c r="M26" s="961"/>
      <c r="N26" s="961"/>
      <c r="O26" s="961"/>
      <c r="P26" s="961"/>
      <c r="Q26" s="962"/>
      <c r="R26" s="45">
        <f>R25</f>
        <v>0.10260987673240052</v>
      </c>
      <c r="S26" s="45">
        <f>S25*'Input Sheet'!BI17/'Input Sheet'!BH17</f>
        <v>6.1170610051851732E-2</v>
      </c>
      <c r="T26" s="45">
        <f>T25*'Input Sheet'!BJ17/'Input Sheet'!BH17</f>
        <v>0</v>
      </c>
      <c r="U26" s="45">
        <f>U25</f>
        <v>0.48512445995904702</v>
      </c>
      <c r="V26" s="45">
        <f>V25</f>
        <v>4.3931041307966053E-2</v>
      </c>
      <c r="W26" s="45">
        <f>W25</f>
        <v>4.109767249354513E-2</v>
      </c>
      <c r="X26" s="17"/>
      <c r="Y26" s="17"/>
      <c r="Z26" s="17"/>
    </row>
    <row r="27" spans="1:26" ht="15.6" customHeight="1">
      <c r="A27" s="879"/>
      <c r="B27" s="879"/>
      <c r="C27" s="966"/>
      <c r="D27" s="951"/>
      <c r="E27" s="23"/>
      <c r="F27" s="963" t="s">
        <v>924</v>
      </c>
      <c r="G27" s="964"/>
      <c r="H27" s="964"/>
      <c r="I27" s="964"/>
      <c r="J27" s="964"/>
      <c r="K27" s="964"/>
      <c r="L27" s="964"/>
      <c r="M27" s="964"/>
      <c r="N27" s="964"/>
      <c r="O27" s="964"/>
      <c r="P27" s="964"/>
      <c r="Q27" s="965"/>
      <c r="R27" s="50">
        <f>R26/(R26+U26+V26+W26+S26+T26)</f>
        <v>0.1398081083462388</v>
      </c>
      <c r="S27" s="50">
        <f>S26/(R26+S26+T26+U26+V26+W26)</f>
        <v>8.3346238686537191E-2</v>
      </c>
      <c r="T27" s="50">
        <f>T26/(R26+S26+T26+U26+V26+W26)</f>
        <v>0</v>
      </c>
      <c r="U27" s="50">
        <f>U26/(R26+U26+V26+W26+S26+T26)</f>
        <v>0.66099224771750009</v>
      </c>
      <c r="V27" s="50">
        <f>V26/(R26+U26+V26+W26+S26+T26)</f>
        <v>5.985696483161073E-2</v>
      </c>
      <c r="W27" s="50">
        <f>W26/(R26+U26+V26+W26+S26+T26)</f>
        <v>5.5996440418113101E-2</v>
      </c>
      <c r="X27" s="17"/>
      <c r="Y27" s="17"/>
      <c r="Z27" s="17"/>
    </row>
    <row r="28" spans="1:26" ht="15.6" customHeight="1">
      <c r="A28" s="879"/>
      <c r="B28" s="879"/>
      <c r="C28" s="966"/>
      <c r="D28" s="951"/>
      <c r="E28" s="23"/>
      <c r="F28" s="963" t="s">
        <v>925</v>
      </c>
      <c r="G28" s="964"/>
      <c r="H28" s="964"/>
      <c r="I28" s="964"/>
      <c r="J28" s="964"/>
      <c r="K28" s="964"/>
      <c r="L28" s="964"/>
      <c r="M28" s="964"/>
      <c r="N28" s="964"/>
      <c r="O28" s="964"/>
      <c r="P28" s="964"/>
      <c r="Q28" s="965"/>
      <c r="R28" s="51">
        <f t="shared" ref="R28:W28" si="23">ROUND($C17*$E$2*R27/100,0)*100</f>
        <v>6100</v>
      </c>
      <c r="S28" s="51">
        <f t="shared" si="23"/>
        <v>3700</v>
      </c>
      <c r="T28" s="51">
        <f t="shared" si="23"/>
        <v>0</v>
      </c>
      <c r="U28" s="51">
        <f t="shared" si="23"/>
        <v>29100</v>
      </c>
      <c r="V28" s="51">
        <f t="shared" si="23"/>
        <v>2600</v>
      </c>
      <c r="W28" s="51">
        <f t="shared" si="23"/>
        <v>2500</v>
      </c>
      <c r="X28" s="17"/>
      <c r="Y28" s="17"/>
      <c r="Z28" s="17"/>
    </row>
    <row r="29" spans="1:26" ht="15.75" customHeight="1">
      <c r="A29" s="878">
        <v>3</v>
      </c>
      <c r="B29" s="878" t="s">
        <v>466</v>
      </c>
      <c r="C29" s="966">
        <f>Buckets!S5</f>
        <v>5.3347472605160831E-2</v>
      </c>
      <c r="D29" s="951" t="s">
        <v>490</v>
      </c>
      <c r="E29" s="23" t="s">
        <v>457</v>
      </c>
      <c r="F29" s="30">
        <f>'Input Sheet'!BH30</f>
        <v>1</v>
      </c>
      <c r="G29" s="30">
        <f>'Input Sheet'!BI30</f>
        <v>0.69748139910027496</v>
      </c>
      <c r="H29" s="30">
        <f>'Input Sheet'!BJ30</f>
        <v>0.78986494667712015</v>
      </c>
      <c r="I29" s="30">
        <f>'Input Sheet'!BK30</f>
        <v>143.53139910290281</v>
      </c>
      <c r="J29" s="30">
        <f>'Input Sheet'!BL30</f>
        <v>1.2688895668871267</v>
      </c>
      <c r="K29" s="30">
        <f>'Input Sheet'!BM30</f>
        <v>1.0831379649558062</v>
      </c>
      <c r="L29" s="62">
        <v>1</v>
      </c>
      <c r="M29" s="30">
        <f>L29/L$34</f>
        <v>0.2</v>
      </c>
      <c r="N29" s="29"/>
      <c r="O29" s="29"/>
      <c r="P29" s="29"/>
      <c r="Q29" s="29"/>
      <c r="R29" s="45">
        <f>F29</f>
        <v>1</v>
      </c>
      <c r="S29" s="45">
        <f t="shared" ref="S29:S33" si="24">G29</f>
        <v>0.69748139910027496</v>
      </c>
      <c r="T29" s="45">
        <f t="shared" ref="T29:T33" si="25">H29</f>
        <v>0.78986494667712015</v>
      </c>
      <c r="U29" s="45">
        <f t="shared" ref="U29:U33" si="26">I29</f>
        <v>143.53139910290281</v>
      </c>
      <c r="V29" s="45">
        <f t="shared" ref="V29:V33" si="27">J29</f>
        <v>1.2688895668871267</v>
      </c>
      <c r="W29" s="45">
        <f t="shared" ref="W29:W33" si="28">K29</f>
        <v>1.0831379649558062</v>
      </c>
      <c r="X29" s="46"/>
      <c r="Y29" s="46"/>
      <c r="Z29" s="46"/>
    </row>
    <row r="30" spans="1:26" ht="31.2">
      <c r="A30" s="879"/>
      <c r="B30" s="879"/>
      <c r="C30" s="966"/>
      <c r="D30" s="951"/>
      <c r="E30" s="23" t="s">
        <v>491</v>
      </c>
      <c r="F30" s="30">
        <f>'Input Sheet'!BH31</f>
        <v>1</v>
      </c>
      <c r="G30" s="30">
        <f>'Input Sheet'!BI31</f>
        <v>0.5353244008632686</v>
      </c>
      <c r="H30" s="30">
        <f>'Input Sheet'!BJ31</f>
        <v>0.38469852027030171</v>
      </c>
      <c r="I30" s="30">
        <f>'Input Sheet'!BK31</f>
        <v>2.9725733540314495E-2</v>
      </c>
      <c r="J30" s="30">
        <f>'Input Sheet'!BL31</f>
        <v>0.32129023825623415</v>
      </c>
      <c r="K30" s="30">
        <f>'Input Sheet'!BM31</f>
        <v>7.29861719620911E-3</v>
      </c>
      <c r="L30" s="62">
        <v>1</v>
      </c>
      <c r="M30" s="30">
        <f t="shared" ref="M30:M33" si="29">L30/L$34</f>
        <v>0.2</v>
      </c>
      <c r="N30" s="29"/>
      <c r="O30" s="29"/>
      <c r="P30" s="29"/>
      <c r="Q30" s="29"/>
      <c r="R30" s="45">
        <f t="shared" ref="R30:R33" si="30">F30</f>
        <v>1</v>
      </c>
      <c r="S30" s="45">
        <f t="shared" si="24"/>
        <v>0.5353244008632686</v>
      </c>
      <c r="T30" s="45">
        <f t="shared" si="25"/>
        <v>0.38469852027030171</v>
      </c>
      <c r="U30" s="45">
        <f t="shared" si="26"/>
        <v>2.9725733540314495E-2</v>
      </c>
      <c r="V30" s="45">
        <f t="shared" si="27"/>
        <v>0.32129023825623415</v>
      </c>
      <c r="W30" s="45">
        <f t="shared" si="28"/>
        <v>7.29861719620911E-3</v>
      </c>
      <c r="X30" s="46"/>
      <c r="Y30" s="46"/>
      <c r="Z30" s="46"/>
    </row>
    <row r="31" spans="1:26" ht="15.6">
      <c r="A31" s="879"/>
      <c r="B31" s="879"/>
      <c r="C31" s="966"/>
      <c r="D31" s="951"/>
      <c r="E31" s="23" t="s">
        <v>459</v>
      </c>
      <c r="F31" s="30">
        <f>'Input Sheet'!BH32</f>
        <v>1</v>
      </c>
      <c r="G31" s="30">
        <f>'Input Sheet'!BI32</f>
        <v>1</v>
      </c>
      <c r="H31" s="30">
        <f>'Input Sheet'!BJ32</f>
        <v>1</v>
      </c>
      <c r="I31" s="30">
        <f>'Input Sheet'!BK32</f>
        <v>0.42316208231774899</v>
      </c>
      <c r="J31" s="30">
        <f>'Input Sheet'!BL32</f>
        <v>1</v>
      </c>
      <c r="K31" s="30">
        <f>'Input Sheet'!BM32</f>
        <v>0.71329718021725974</v>
      </c>
      <c r="L31" s="62">
        <v>1</v>
      </c>
      <c r="M31" s="30">
        <f t="shared" si="29"/>
        <v>0.2</v>
      </c>
      <c r="N31" s="29"/>
      <c r="O31" s="29"/>
      <c r="P31" s="29"/>
      <c r="Q31" s="29"/>
      <c r="R31" s="45">
        <f t="shared" si="30"/>
        <v>1</v>
      </c>
      <c r="S31" s="45">
        <f t="shared" si="24"/>
        <v>1</v>
      </c>
      <c r="T31" s="45">
        <f t="shared" si="25"/>
        <v>1</v>
      </c>
      <c r="U31" s="45">
        <f t="shared" si="26"/>
        <v>0.42316208231774899</v>
      </c>
      <c r="V31" s="45">
        <f t="shared" si="27"/>
        <v>1</v>
      </c>
      <c r="W31" s="45">
        <f t="shared" si="28"/>
        <v>0.71329718021725974</v>
      </c>
      <c r="X31" s="46"/>
      <c r="Y31" s="46"/>
      <c r="Z31" s="46"/>
    </row>
    <row r="32" spans="1:26" ht="15.6">
      <c r="A32" s="879"/>
      <c r="B32" s="879"/>
      <c r="C32" s="966"/>
      <c r="D32" s="951"/>
      <c r="E32" s="23" t="s">
        <v>492</v>
      </c>
      <c r="F32" s="30">
        <f>'Input Sheet'!BH33</f>
        <v>1</v>
      </c>
      <c r="G32" s="30">
        <f>'Input Sheet'!BI33</f>
        <v>0.66199319669083379</v>
      </c>
      <c r="H32" s="30">
        <f>'Input Sheet'!BJ33</f>
        <v>0.66199319669083379</v>
      </c>
      <c r="I32" s="30">
        <f>'Input Sheet'!BK33</f>
        <v>3.4469852208994722</v>
      </c>
      <c r="J32" s="30">
        <f>'Input Sheet'!BL33</f>
        <v>0.66199319669083379</v>
      </c>
      <c r="K32" s="30">
        <f>'Input Sheet'!BM33</f>
        <v>3.4469852208994722</v>
      </c>
      <c r="L32" s="62">
        <v>1</v>
      </c>
      <c r="M32" s="30">
        <f t="shared" si="29"/>
        <v>0.2</v>
      </c>
      <c r="N32" s="29"/>
      <c r="O32" s="29"/>
      <c r="P32" s="29"/>
      <c r="Q32" s="29"/>
      <c r="R32" s="45">
        <f t="shared" si="30"/>
        <v>1</v>
      </c>
      <c r="S32" s="45">
        <f t="shared" si="24"/>
        <v>0.66199319669083379</v>
      </c>
      <c r="T32" s="45">
        <f t="shared" si="25"/>
        <v>0.66199319669083379</v>
      </c>
      <c r="U32" s="45">
        <f t="shared" si="26"/>
        <v>3.4469852208994722</v>
      </c>
      <c r="V32" s="45">
        <f t="shared" si="27"/>
        <v>0.66199319669083379</v>
      </c>
      <c r="W32" s="45">
        <f t="shared" si="28"/>
        <v>3.4469852208994722</v>
      </c>
      <c r="X32" s="46"/>
      <c r="Y32" s="46"/>
      <c r="Z32" s="46"/>
    </row>
    <row r="33" spans="1:26" ht="15.6">
      <c r="A33" s="879"/>
      <c r="B33" s="879"/>
      <c r="C33" s="966"/>
      <c r="D33" s="951"/>
      <c r="E33" s="34" t="s">
        <v>461</v>
      </c>
      <c r="F33" s="30">
        <f>'Input Sheet'!BH34</f>
        <v>1</v>
      </c>
      <c r="G33" s="30">
        <f>'Input Sheet'!BI34</f>
        <v>0.58525110430741201</v>
      </c>
      <c r="H33" s="30">
        <f>'Input Sheet'!BJ34</f>
        <v>0.35961283926440357</v>
      </c>
      <c r="I33" s="30">
        <f>'Input Sheet'!BK34</f>
        <v>0.15335496684492853</v>
      </c>
      <c r="J33" s="30">
        <f>'Input Sheet'!BL34</f>
        <v>1</v>
      </c>
      <c r="K33" s="30">
        <f>'Input Sheet'!BM34</f>
        <v>1</v>
      </c>
      <c r="L33" s="62">
        <v>1</v>
      </c>
      <c r="M33" s="30">
        <f t="shared" si="29"/>
        <v>0.2</v>
      </c>
      <c r="N33" s="29"/>
      <c r="O33" s="29"/>
      <c r="P33" s="29"/>
      <c r="Q33" s="29"/>
      <c r="R33" s="45">
        <f t="shared" si="30"/>
        <v>1</v>
      </c>
      <c r="S33" s="45">
        <f t="shared" si="24"/>
        <v>0.58525110430741201</v>
      </c>
      <c r="T33" s="45">
        <f t="shared" si="25"/>
        <v>0.35961283926440357</v>
      </c>
      <c r="U33" s="45">
        <f t="shared" si="26"/>
        <v>0.15335496684492853</v>
      </c>
      <c r="V33" s="45">
        <f t="shared" si="27"/>
        <v>1</v>
      </c>
      <c r="W33" s="45">
        <f t="shared" si="28"/>
        <v>1</v>
      </c>
      <c r="X33" s="46"/>
      <c r="Y33" s="46"/>
      <c r="Z33" s="46"/>
    </row>
    <row r="34" spans="1:26" ht="15.6">
      <c r="A34" s="879"/>
      <c r="B34" s="879"/>
      <c r="C34" s="966"/>
      <c r="D34" s="951"/>
      <c r="E34" s="23" t="s">
        <v>38</v>
      </c>
      <c r="F34" s="47"/>
      <c r="G34" s="47"/>
      <c r="H34" s="47"/>
      <c r="I34" s="47"/>
      <c r="J34" s="47"/>
      <c r="K34" s="47"/>
      <c r="L34" s="449">
        <f>SUM(L29:L33)</f>
        <v>5</v>
      </c>
      <c r="M34" s="872" t="s">
        <v>493</v>
      </c>
      <c r="N34" s="873"/>
      <c r="O34" s="873"/>
      <c r="P34" s="873"/>
      <c r="Q34" s="874"/>
      <c r="R34" s="45">
        <f>SUM(R29:R33)</f>
        <v>5</v>
      </c>
      <c r="S34" s="45">
        <f t="shared" ref="S34" si="31">SUM(S29:S33)</f>
        <v>3.480050100961789</v>
      </c>
      <c r="T34" s="45">
        <f t="shared" ref="T34" si="32">SUM(T29:T33)</f>
        <v>3.1961695029026593</v>
      </c>
      <c r="U34" s="45">
        <f>SUM(U29:U33)</f>
        <v>147.58462710650528</v>
      </c>
      <c r="V34" s="45">
        <f>SUM(V29:V33)</f>
        <v>4.2521730018341941</v>
      </c>
      <c r="W34" s="45">
        <f>SUM(W29:W33)</f>
        <v>6.2507189832687473</v>
      </c>
      <c r="X34" s="48"/>
      <c r="Y34" s="48"/>
      <c r="Z34" s="48"/>
    </row>
    <row r="35" spans="1:26" ht="15.6">
      <c r="A35" s="879"/>
      <c r="B35" s="879"/>
      <c r="C35" s="966"/>
      <c r="D35" s="951"/>
      <c r="E35" s="23"/>
      <c r="F35" s="23"/>
      <c r="G35" s="23"/>
      <c r="H35" s="23"/>
      <c r="I35" s="23"/>
      <c r="J35" s="23"/>
      <c r="K35" s="23"/>
      <c r="L35" s="23"/>
      <c r="M35" s="872" t="s">
        <v>494</v>
      </c>
      <c r="N35" s="873"/>
      <c r="O35" s="873"/>
      <c r="P35" s="873"/>
      <c r="Q35" s="874"/>
      <c r="R35" s="45">
        <f>R34/SUM($R34:$W34)</f>
        <v>2.9452697251025742E-2</v>
      </c>
      <c r="S35" s="45">
        <f t="shared" ref="S35" si="33">S34/SUM($R34:$W34)</f>
        <v>2.0499372408405828E-2</v>
      </c>
      <c r="T35" s="45">
        <f t="shared" ref="T35" si="34">T34/SUM($R34:$W34)</f>
        <v>1.8827162546390695E-2</v>
      </c>
      <c r="U35" s="45">
        <f>U34/SUM($R34:$W34)</f>
        <v>0.8693530682146855</v>
      </c>
      <c r="V35" s="45">
        <f>V34/SUM($R34:$W34)</f>
        <v>2.5047592816401572E-2</v>
      </c>
      <c r="W35" s="45">
        <f>W34/SUM($R34:$W34)</f>
        <v>3.6820106763090769E-2</v>
      </c>
      <c r="X35" s="17"/>
      <c r="Y35" s="17"/>
      <c r="Z35" s="17"/>
    </row>
    <row r="36" spans="1:26" ht="15.6" customHeight="1">
      <c r="A36" s="879"/>
      <c r="B36" s="879"/>
      <c r="C36" s="966"/>
      <c r="D36" s="951"/>
      <c r="E36" s="446"/>
      <c r="F36" s="674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6"/>
      <c r="X36" s="17"/>
      <c r="Y36" s="17"/>
      <c r="Z36" s="17"/>
    </row>
    <row r="37" spans="1:26" ht="15.6">
      <c r="A37" s="879"/>
      <c r="B37" s="879"/>
      <c r="C37" s="966"/>
      <c r="D37" s="951"/>
      <c r="E37" s="23"/>
      <c r="F37" s="30">
        <f>'Input Sheet'!BH36</f>
        <v>1</v>
      </c>
      <c r="G37" s="30">
        <f>'Input Sheet'!BI36</f>
        <v>0.85</v>
      </c>
      <c r="H37" s="30">
        <f>'Input Sheet'!BJ36</f>
        <v>0.75</v>
      </c>
      <c r="I37" s="30">
        <f>'Input Sheet'!BK36</f>
        <v>0.85</v>
      </c>
      <c r="J37" s="30">
        <f>'Input Sheet'!BL36</f>
        <v>0.55000000000000004</v>
      </c>
      <c r="K37" s="30">
        <f>'Input Sheet'!BM36</f>
        <v>0.35</v>
      </c>
      <c r="L37" s="23"/>
      <c r="M37" s="957" t="s">
        <v>495</v>
      </c>
      <c r="N37" s="958"/>
      <c r="O37" s="958"/>
      <c r="P37" s="958"/>
      <c r="Q37" s="959"/>
      <c r="R37" s="45">
        <f>R35*F37</f>
        <v>2.9452697251025742E-2</v>
      </c>
      <c r="S37" s="45">
        <f t="shared" ref="S37:T37" si="35">S35*G37</f>
        <v>1.7424466547144954E-2</v>
      </c>
      <c r="T37" s="45">
        <f t="shared" si="35"/>
        <v>1.4120371909793022E-2</v>
      </c>
      <c r="U37" s="45">
        <f>U35*I37</f>
        <v>0.73895010798248262</v>
      </c>
      <c r="V37" s="45">
        <f>V35*J37</f>
        <v>1.3776176049020865E-2</v>
      </c>
      <c r="W37" s="45">
        <f>W35*K37</f>
        <v>1.2887037367081768E-2</v>
      </c>
      <c r="X37" s="17"/>
      <c r="Y37" s="17"/>
      <c r="Z37" s="17"/>
    </row>
    <row r="38" spans="1:26" ht="15.6" customHeight="1">
      <c r="A38" s="879"/>
      <c r="B38" s="879"/>
      <c r="C38" s="966"/>
      <c r="D38" s="951"/>
      <c r="E38" s="23"/>
      <c r="F38" s="960" t="s">
        <v>923</v>
      </c>
      <c r="G38" s="961"/>
      <c r="H38" s="961"/>
      <c r="I38" s="961"/>
      <c r="J38" s="961"/>
      <c r="K38" s="961"/>
      <c r="L38" s="961"/>
      <c r="M38" s="961"/>
      <c r="N38" s="961"/>
      <c r="O38" s="961"/>
      <c r="P38" s="961"/>
      <c r="Q38" s="962"/>
      <c r="R38" s="45">
        <f>R37</f>
        <v>2.9452697251025742E-2</v>
      </c>
      <c r="S38" s="45">
        <f>S37*'Input Sheet'!BI28/'Input Sheet'!BH28</f>
        <v>1.2067355178290424E-2</v>
      </c>
      <c r="T38" s="45">
        <f>T37*'Input Sheet'!BJ28/'Input Sheet'!BH28</f>
        <v>4.3412752227298974E-3</v>
      </c>
      <c r="U38" s="45">
        <f>U37</f>
        <v>0.73895010798248262</v>
      </c>
      <c r="V38" s="45">
        <f>V37</f>
        <v>1.3776176049020865E-2</v>
      </c>
      <c r="W38" s="45">
        <f>W37</f>
        <v>1.2887037367081768E-2</v>
      </c>
      <c r="X38" s="17"/>
      <c r="Y38" s="17"/>
      <c r="Z38" s="17"/>
    </row>
    <row r="39" spans="1:26" ht="15.6" customHeight="1">
      <c r="A39" s="879"/>
      <c r="B39" s="879"/>
      <c r="C39" s="966"/>
      <c r="D39" s="951"/>
      <c r="E39" s="23"/>
      <c r="F39" s="963" t="s">
        <v>924</v>
      </c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Q39" s="965"/>
      <c r="R39" s="50">
        <f>R38/(R38+U38+V38+W38+S38+T38)</f>
        <v>3.6295277105062182E-2</v>
      </c>
      <c r="S39" s="50">
        <f>S38/(R38+S38+T38+U38+V38+W38)</f>
        <v>1.4870896080867576E-2</v>
      </c>
      <c r="T39" s="50">
        <f>T38/(R38+S38+T38+U38+V38+W38)</f>
        <v>5.349859330551961E-3</v>
      </c>
      <c r="U39" s="50">
        <f>U38/(R38+U38+V38+W38+S38+T38)</f>
        <v>0.91062623933723963</v>
      </c>
      <c r="V39" s="50">
        <f>V38/(R38+U38+V38+W38+S38+T38)</f>
        <v>1.697671771402598E-2</v>
      </c>
      <c r="W39" s="50">
        <f>W38/(R38+U38+V38+W38+S38+T38)</f>
        <v>1.5881010432252818E-2</v>
      </c>
      <c r="X39" s="17"/>
      <c r="Y39" s="17"/>
      <c r="Z39" s="17"/>
    </row>
    <row r="40" spans="1:26" ht="15.6" customHeight="1">
      <c r="A40" s="880"/>
      <c r="B40" s="880"/>
      <c r="C40" s="966"/>
      <c r="D40" s="951"/>
      <c r="E40" s="23"/>
      <c r="F40" s="963" t="s">
        <v>925</v>
      </c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Q40" s="965"/>
      <c r="R40" s="51">
        <f t="shared" ref="R40:W40" si="36">ROUND($C29*$E$2*R39/100,0)*100</f>
        <v>1400</v>
      </c>
      <c r="S40" s="51">
        <f t="shared" si="36"/>
        <v>600</v>
      </c>
      <c r="T40" s="51">
        <f t="shared" si="36"/>
        <v>200</v>
      </c>
      <c r="U40" s="51">
        <f t="shared" si="36"/>
        <v>34400</v>
      </c>
      <c r="V40" s="51">
        <f t="shared" si="36"/>
        <v>600</v>
      </c>
      <c r="W40" s="51">
        <f t="shared" si="36"/>
        <v>600</v>
      </c>
      <c r="X40" s="17"/>
      <c r="Y40" s="17"/>
      <c r="Z40" s="17"/>
    </row>
    <row r="41" spans="1:26" ht="15.6">
      <c r="A41" s="825">
        <v>4</v>
      </c>
      <c r="B41" s="825" t="s">
        <v>635</v>
      </c>
      <c r="C41" s="966">
        <f>Buckets!S6</f>
        <v>5.0420643336868153E-2</v>
      </c>
      <c r="D41" s="951" t="s">
        <v>490</v>
      </c>
      <c r="E41" s="23" t="s">
        <v>457</v>
      </c>
      <c r="F41" s="30">
        <f>'Input Sheet'!BH41</f>
        <v>1</v>
      </c>
      <c r="G41" s="30">
        <f>'Input Sheet'!BI41</f>
        <v>0.63357623240806338</v>
      </c>
      <c r="H41" s="30">
        <f>'Input Sheet'!BJ41</f>
        <v>0.6703789892825559</v>
      </c>
      <c r="I41" s="30">
        <f>'Input Sheet'!BK41</f>
        <v>81.638344258272454</v>
      </c>
      <c r="J41" s="30">
        <f>'Input Sheet'!BL41</f>
        <v>0.99771783671530145</v>
      </c>
      <c r="K41" s="30">
        <f>'Input Sheet'!BM41</f>
        <v>0.62793314412956869</v>
      </c>
      <c r="L41" s="62">
        <v>1</v>
      </c>
      <c r="M41" s="30">
        <f>L41/L$34</f>
        <v>0.2</v>
      </c>
      <c r="N41" s="29"/>
      <c r="O41" s="29"/>
      <c r="P41" s="29"/>
      <c r="Q41" s="29"/>
      <c r="R41" s="45">
        <f>F41</f>
        <v>1</v>
      </c>
      <c r="S41" s="45">
        <f t="shared" ref="S41:S45" si="37">G41</f>
        <v>0.63357623240806338</v>
      </c>
      <c r="T41" s="45">
        <f t="shared" ref="T41:T45" si="38">H41</f>
        <v>0.6703789892825559</v>
      </c>
      <c r="U41" s="45">
        <f t="shared" ref="U41:U45" si="39">I41</f>
        <v>81.638344258272454</v>
      </c>
      <c r="V41" s="45">
        <f t="shared" ref="V41:V45" si="40">J41</f>
        <v>0.99771783671530145</v>
      </c>
      <c r="W41" s="45">
        <f t="shared" ref="W41:W45" si="41">K41</f>
        <v>0.62793314412956869</v>
      </c>
      <c r="X41" s="46"/>
      <c r="Y41" s="46"/>
      <c r="Z41" s="46"/>
    </row>
    <row r="42" spans="1:26" ht="31.35" customHeight="1">
      <c r="A42" s="825"/>
      <c r="B42" s="825"/>
      <c r="C42" s="966"/>
      <c r="D42" s="951"/>
      <c r="E42" s="23" t="s">
        <v>491</v>
      </c>
      <c r="F42" s="30">
        <f>'Input Sheet'!BH42</f>
        <v>1</v>
      </c>
      <c r="G42" s="30">
        <f>'Input Sheet'!BI42</f>
        <v>0.52509715728931416</v>
      </c>
      <c r="H42" s="30">
        <f>'Input Sheet'!BJ42</f>
        <v>0.37939299802548754</v>
      </c>
      <c r="I42" s="30">
        <f>'Input Sheet'!BK42</f>
        <v>0.11065987569392527</v>
      </c>
      <c r="J42" s="30">
        <f>'Input Sheet'!BL42</f>
        <v>0.31897629129099864</v>
      </c>
      <c r="K42" s="30">
        <f>'Input Sheet'!BM42</f>
        <v>2.6694299490767789E-2</v>
      </c>
      <c r="L42" s="62">
        <v>1</v>
      </c>
      <c r="M42" s="30">
        <f t="shared" ref="M42:M45" si="42">L42/L$34</f>
        <v>0.2</v>
      </c>
      <c r="N42" s="29"/>
      <c r="O42" s="29"/>
      <c r="P42" s="29"/>
      <c r="Q42" s="29"/>
      <c r="R42" s="45">
        <f t="shared" ref="R42:R45" si="43">F42</f>
        <v>1</v>
      </c>
      <c r="S42" s="45">
        <f t="shared" si="37"/>
        <v>0.52509715728931416</v>
      </c>
      <c r="T42" s="45">
        <f t="shared" si="38"/>
        <v>0.37939299802548754</v>
      </c>
      <c r="U42" s="45">
        <f t="shared" si="39"/>
        <v>0.11065987569392527</v>
      </c>
      <c r="V42" s="45">
        <f t="shared" si="40"/>
        <v>0.31897629129099864</v>
      </c>
      <c r="W42" s="45">
        <f t="shared" si="41"/>
        <v>2.6694299490767789E-2</v>
      </c>
      <c r="X42" s="46"/>
      <c r="Y42" s="46"/>
      <c r="Z42" s="46"/>
    </row>
    <row r="43" spans="1:26" ht="15.6">
      <c r="A43" s="825"/>
      <c r="B43" s="825"/>
      <c r="C43" s="966"/>
      <c r="D43" s="951"/>
      <c r="E43" s="23" t="s">
        <v>459</v>
      </c>
      <c r="F43" s="30">
        <f>'Input Sheet'!BH43</f>
        <v>1</v>
      </c>
      <c r="G43" s="30">
        <f>'Input Sheet'!BI43</f>
        <v>1</v>
      </c>
      <c r="H43" s="30">
        <f>'Input Sheet'!BJ43</f>
        <v>1</v>
      </c>
      <c r="I43" s="30">
        <f>'Input Sheet'!BK43</f>
        <v>0.31890655732397039</v>
      </c>
      <c r="J43" s="30">
        <f>'Input Sheet'!BL43</f>
        <v>1</v>
      </c>
      <c r="K43" s="30">
        <f>'Input Sheet'!BM43</f>
        <v>0.52578802442577965</v>
      </c>
      <c r="L43" s="62">
        <v>1</v>
      </c>
      <c r="M43" s="30">
        <f t="shared" si="42"/>
        <v>0.2</v>
      </c>
      <c r="N43" s="29"/>
      <c r="O43" s="29"/>
      <c r="P43" s="29"/>
      <c r="Q43" s="29"/>
      <c r="R43" s="45">
        <f t="shared" si="43"/>
        <v>1</v>
      </c>
      <c r="S43" s="45">
        <f t="shared" si="37"/>
        <v>1</v>
      </c>
      <c r="T43" s="45">
        <f t="shared" si="38"/>
        <v>1</v>
      </c>
      <c r="U43" s="45">
        <f t="shared" si="39"/>
        <v>0.31890655732397039</v>
      </c>
      <c r="V43" s="45">
        <f t="shared" si="40"/>
        <v>1</v>
      </c>
      <c r="W43" s="45">
        <f t="shared" si="41"/>
        <v>0.52578802442577965</v>
      </c>
      <c r="X43" s="46"/>
      <c r="Y43" s="46"/>
      <c r="Z43" s="46"/>
    </row>
    <row r="44" spans="1:26" ht="15.6">
      <c r="A44" s="825"/>
      <c r="B44" s="825"/>
      <c r="C44" s="966"/>
      <c r="D44" s="951"/>
      <c r="E44" s="23" t="s">
        <v>492</v>
      </c>
      <c r="F44" s="30">
        <f>'Input Sheet'!BH44</f>
        <v>1</v>
      </c>
      <c r="G44" s="30">
        <f>'Input Sheet'!BI44</f>
        <v>0.66199319669083379</v>
      </c>
      <c r="H44" s="30">
        <f>'Input Sheet'!BJ44</f>
        <v>0.66199319669083379</v>
      </c>
      <c r="I44" s="30">
        <f>'Input Sheet'!BK44</f>
        <v>3.4469852208994722</v>
      </c>
      <c r="J44" s="30">
        <f>'Input Sheet'!BL44</f>
        <v>0.66199319669083379</v>
      </c>
      <c r="K44" s="30">
        <f>'Input Sheet'!BM44</f>
        <v>3.4469852208994722</v>
      </c>
      <c r="L44" s="62">
        <v>1</v>
      </c>
      <c r="M44" s="30">
        <f t="shared" si="42"/>
        <v>0.2</v>
      </c>
      <c r="N44" s="29"/>
      <c r="O44" s="29"/>
      <c r="P44" s="29"/>
      <c r="Q44" s="29"/>
      <c r="R44" s="45">
        <f t="shared" si="43"/>
        <v>1</v>
      </c>
      <c r="S44" s="45">
        <f t="shared" si="37"/>
        <v>0.66199319669083379</v>
      </c>
      <c r="T44" s="45">
        <f t="shared" si="38"/>
        <v>0.66199319669083379</v>
      </c>
      <c r="U44" s="45">
        <f t="shared" si="39"/>
        <v>3.4469852208994722</v>
      </c>
      <c r="V44" s="45">
        <f t="shared" si="40"/>
        <v>0.66199319669083379</v>
      </c>
      <c r="W44" s="45">
        <f t="shared" si="41"/>
        <v>3.4469852208994722</v>
      </c>
      <c r="X44" s="46"/>
      <c r="Y44" s="46"/>
      <c r="Z44" s="46"/>
    </row>
    <row r="45" spans="1:26" ht="15.6">
      <c r="A45" s="825"/>
      <c r="B45" s="825"/>
      <c r="C45" s="966"/>
      <c r="D45" s="951"/>
      <c r="E45" s="34" t="s">
        <v>461</v>
      </c>
      <c r="F45" s="30">
        <f>'Input Sheet'!BH45</f>
        <v>1</v>
      </c>
      <c r="G45" s="30">
        <f>'Input Sheet'!BI45</f>
        <v>0.54247832794327511</v>
      </c>
      <c r="H45" s="30">
        <f>'Input Sheet'!BJ45</f>
        <v>0.31110847407961917</v>
      </c>
      <c r="I45" s="30">
        <f>'Input Sheet'!BK45</f>
        <v>0.11758133171956553</v>
      </c>
      <c r="J45" s="30">
        <f>'Input Sheet'!BL45</f>
        <v>1</v>
      </c>
      <c r="K45" s="30">
        <f>'Input Sheet'!BM45</f>
        <v>1</v>
      </c>
      <c r="L45" s="62">
        <v>1</v>
      </c>
      <c r="M45" s="30">
        <f t="shared" si="42"/>
        <v>0.2</v>
      </c>
      <c r="N45" s="29"/>
      <c r="O45" s="29"/>
      <c r="P45" s="29"/>
      <c r="Q45" s="29"/>
      <c r="R45" s="45">
        <f t="shared" si="43"/>
        <v>1</v>
      </c>
      <c r="S45" s="45">
        <f t="shared" si="37"/>
        <v>0.54247832794327511</v>
      </c>
      <c r="T45" s="45">
        <f t="shared" si="38"/>
        <v>0.31110847407961917</v>
      </c>
      <c r="U45" s="45">
        <f t="shared" si="39"/>
        <v>0.11758133171956553</v>
      </c>
      <c r="V45" s="45">
        <f t="shared" si="40"/>
        <v>1</v>
      </c>
      <c r="W45" s="45">
        <f t="shared" si="41"/>
        <v>1</v>
      </c>
      <c r="X45" s="46"/>
      <c r="Y45" s="46"/>
      <c r="Z45" s="46"/>
    </row>
    <row r="46" spans="1:26" ht="15.6">
      <c r="A46" s="825">
        <v>2</v>
      </c>
      <c r="B46" s="825"/>
      <c r="C46" s="966"/>
      <c r="D46" s="951"/>
      <c r="E46" s="23" t="s">
        <v>38</v>
      </c>
      <c r="F46" s="47"/>
      <c r="G46" s="47"/>
      <c r="H46" s="47"/>
      <c r="I46" s="47"/>
      <c r="J46" s="47"/>
      <c r="K46" s="47"/>
      <c r="L46" s="449">
        <f>SUM(L41:L45)</f>
        <v>5</v>
      </c>
      <c r="M46" s="872" t="s">
        <v>493</v>
      </c>
      <c r="N46" s="873"/>
      <c r="O46" s="873"/>
      <c r="P46" s="873"/>
      <c r="Q46" s="874"/>
      <c r="R46" s="45">
        <f>SUM(R41:R45)</f>
        <v>5</v>
      </c>
      <c r="S46" s="45">
        <f t="shared" ref="S46:T46" si="44">SUM(S41:S45)</f>
        <v>3.3631449143314867</v>
      </c>
      <c r="T46" s="45">
        <f t="shared" si="44"/>
        <v>3.0228736580784963</v>
      </c>
      <c r="U46" s="45">
        <f>SUM(U41:U45)</f>
        <v>85.632477243909392</v>
      </c>
      <c r="V46" s="45">
        <f>SUM(V41:V45)</f>
        <v>3.9786873246971335</v>
      </c>
      <c r="W46" s="45">
        <f>SUM(W41:W45)</f>
        <v>5.6274006889455883</v>
      </c>
      <c r="X46" s="48"/>
      <c r="Y46" s="48"/>
      <c r="Z46" s="48"/>
    </row>
    <row r="47" spans="1:26" ht="15.6">
      <c r="A47" s="825"/>
      <c r="B47" s="825"/>
      <c r="C47" s="966"/>
      <c r="D47" s="951"/>
      <c r="E47" s="23"/>
      <c r="F47" s="23"/>
      <c r="G47" s="23"/>
      <c r="H47" s="23"/>
      <c r="I47" s="23"/>
      <c r="J47" s="23"/>
      <c r="K47" s="23"/>
      <c r="L47" s="23"/>
      <c r="M47" s="872" t="s">
        <v>494</v>
      </c>
      <c r="N47" s="873"/>
      <c r="O47" s="873"/>
      <c r="P47" s="873"/>
      <c r="Q47" s="874"/>
      <c r="R47" s="45">
        <f>R46/SUM($R46:$W46)</f>
        <v>4.6893500733129923E-2</v>
      </c>
      <c r="S47" s="45">
        <f t="shared" ref="S47" si="45">S46/SUM($R46:$W46)</f>
        <v>3.1541927701165144E-2</v>
      </c>
      <c r="T47" s="45">
        <f t="shared" ref="T47" si="46">T46/SUM($R46:$W46)</f>
        <v>2.8350625620252617E-2</v>
      </c>
      <c r="U47" s="45">
        <f>U46/SUM($R46:$W46)</f>
        <v>0.80312132688339921</v>
      </c>
      <c r="V47" s="45">
        <f>V46/SUM($R46:$W46)</f>
        <v>3.731491539551595E-2</v>
      </c>
      <c r="W47" s="45">
        <f>W46/SUM($R46:$W46)</f>
        <v>5.2777703666537154E-2</v>
      </c>
      <c r="X47" s="17"/>
      <c r="Y47" s="17"/>
      <c r="Z47" s="17"/>
    </row>
    <row r="48" spans="1:26" ht="15.6" customHeight="1">
      <c r="A48" s="825"/>
      <c r="B48" s="825"/>
      <c r="C48" s="966"/>
      <c r="D48" s="951"/>
      <c r="E48" s="446"/>
      <c r="F48" s="941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3"/>
      <c r="X48" s="17"/>
      <c r="Y48" s="17"/>
      <c r="Z48" s="17"/>
    </row>
    <row r="49" spans="1:26" ht="15.6">
      <c r="A49" s="825"/>
      <c r="B49" s="825"/>
      <c r="C49" s="966"/>
      <c r="D49" s="951"/>
      <c r="E49" s="23"/>
      <c r="F49" s="30">
        <f>'Input Sheet'!BH47</f>
        <v>1</v>
      </c>
      <c r="G49" s="30">
        <f>'Input Sheet'!BI47</f>
        <v>0.9</v>
      </c>
      <c r="H49" s="30">
        <f>'Input Sheet'!BJ47</f>
        <v>0.75</v>
      </c>
      <c r="I49" s="30">
        <f>'Input Sheet'!BK47</f>
        <v>0.9</v>
      </c>
      <c r="J49" s="30">
        <f>'Input Sheet'!BL47</f>
        <v>0.55000000000000004</v>
      </c>
      <c r="K49" s="30">
        <f>'Input Sheet'!BM47</f>
        <v>0.35</v>
      </c>
      <c r="L49" s="23"/>
      <c r="M49" s="957" t="s">
        <v>495</v>
      </c>
      <c r="N49" s="958"/>
      <c r="O49" s="958"/>
      <c r="P49" s="958"/>
      <c r="Q49" s="959"/>
      <c r="R49" s="45">
        <f>R47*F49</f>
        <v>4.6893500733129923E-2</v>
      </c>
      <c r="S49" s="45">
        <f t="shared" ref="S49" si="47">S47*G49</f>
        <v>2.8387734931048632E-2</v>
      </c>
      <c r="T49" s="45">
        <f t="shared" ref="T49" si="48">T47*H49</f>
        <v>2.1262969215189463E-2</v>
      </c>
      <c r="U49" s="45">
        <f>U47*I49</f>
        <v>0.72280919419505929</v>
      </c>
      <c r="V49" s="45">
        <f>V47*J49</f>
        <v>2.0523203467533776E-2</v>
      </c>
      <c r="W49" s="45">
        <f>W47*K49</f>
        <v>1.8472196283288004E-2</v>
      </c>
      <c r="X49" s="17"/>
      <c r="Y49" s="17"/>
      <c r="Z49" s="17"/>
    </row>
    <row r="50" spans="1:26" ht="15.6" customHeight="1">
      <c r="A50" s="825"/>
      <c r="B50" s="825"/>
      <c r="C50" s="966"/>
      <c r="D50" s="951"/>
      <c r="E50" s="23"/>
      <c r="F50" s="960" t="s">
        <v>923</v>
      </c>
      <c r="G50" s="961"/>
      <c r="H50" s="961"/>
      <c r="I50" s="961"/>
      <c r="J50" s="961"/>
      <c r="K50" s="961"/>
      <c r="L50" s="961"/>
      <c r="M50" s="961"/>
      <c r="N50" s="961"/>
      <c r="O50" s="961"/>
      <c r="P50" s="961"/>
      <c r="Q50" s="962"/>
      <c r="R50" s="45">
        <f>R49</f>
        <v>4.6893500733129923E-2</v>
      </c>
      <c r="S50" s="45">
        <f>S49*'Input Sheet'!BI39/'Input Sheet'!BH39</f>
        <v>2.8387734931048632E-2</v>
      </c>
      <c r="T50" s="45">
        <f>T49*'Input Sheet'!BJ39/'Input Sheet'!BH39</f>
        <v>0</v>
      </c>
      <c r="U50" s="45">
        <f>U49</f>
        <v>0.72280919419505929</v>
      </c>
      <c r="V50" s="45">
        <f>V49</f>
        <v>2.0523203467533776E-2</v>
      </c>
      <c r="W50" s="45">
        <f>W49</f>
        <v>1.8472196283288004E-2</v>
      </c>
      <c r="X50" s="17"/>
      <c r="Y50" s="17"/>
      <c r="Z50" s="17"/>
    </row>
    <row r="51" spans="1:26" ht="15.6" customHeight="1">
      <c r="A51" s="825"/>
      <c r="B51" s="825"/>
      <c r="C51" s="966"/>
      <c r="D51" s="951"/>
      <c r="E51" s="23"/>
      <c r="F51" s="963" t="s">
        <v>924</v>
      </c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Q51" s="965"/>
      <c r="R51" s="50">
        <f>R50/(R50+U50+V50+W50+S50+T50)</f>
        <v>5.6019943325255381E-2</v>
      </c>
      <c r="S51" s="50">
        <f>S50/(R50+S50+T50+U50+V50+W50)</f>
        <v>3.391257374918473E-2</v>
      </c>
      <c r="T51" s="50">
        <f>T50/(R50+S50+T50+U50+V50+W50)</f>
        <v>0</v>
      </c>
      <c r="U51" s="50">
        <f>U50/(R50+U50+V50+W50+S50+T50)</f>
        <v>0.86348277396090445</v>
      </c>
      <c r="V51" s="50">
        <f>V50/(R50+U50+V50+W50+S50+T50)</f>
        <v>2.4517442228228995E-2</v>
      </c>
      <c r="W51" s="50">
        <f>W50/(R50+U50+V50+W50+S50+T50)</f>
        <v>2.2067266736426446E-2</v>
      </c>
      <c r="X51" s="17"/>
      <c r="Y51" s="17"/>
      <c r="Z51" s="17"/>
    </row>
    <row r="52" spans="1:26" ht="15.6" customHeight="1">
      <c r="A52" s="825"/>
      <c r="B52" s="825"/>
      <c r="C52" s="966"/>
      <c r="D52" s="951"/>
      <c r="E52" s="23"/>
      <c r="F52" s="963" t="s">
        <v>925</v>
      </c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Q52" s="965"/>
      <c r="R52" s="51">
        <f t="shared" ref="R52:W52" si="49">ROUND($C41*$E$2*R51/100,0)*100</f>
        <v>2000</v>
      </c>
      <c r="S52" s="51">
        <f t="shared" si="49"/>
        <v>1200</v>
      </c>
      <c r="T52" s="51">
        <f t="shared" si="49"/>
        <v>0</v>
      </c>
      <c r="U52" s="51">
        <f t="shared" si="49"/>
        <v>30800</v>
      </c>
      <c r="V52" s="51">
        <f t="shared" si="49"/>
        <v>900</v>
      </c>
      <c r="W52" s="51">
        <f t="shared" si="49"/>
        <v>800</v>
      </c>
      <c r="X52" s="17"/>
      <c r="Y52" s="17"/>
      <c r="Z52" s="17"/>
    </row>
    <row r="53" spans="1:26" ht="15.6">
      <c r="A53" s="825">
        <v>5</v>
      </c>
      <c r="B53" s="825" t="s">
        <v>639</v>
      </c>
      <c r="C53" s="966">
        <f>Buckets!S7</f>
        <v>0.11490986214209968</v>
      </c>
      <c r="D53" s="951" t="s">
        <v>490</v>
      </c>
      <c r="E53" s="23" t="s">
        <v>457</v>
      </c>
      <c r="F53" s="30">
        <f>'Input Sheet'!BH52</f>
        <v>1</v>
      </c>
      <c r="G53" s="30">
        <f>'Input Sheet'!BI52</f>
        <v>0.62543669853258788</v>
      </c>
      <c r="H53" s="30">
        <f>'Input Sheet'!BJ52</f>
        <v>0.68788862595781597</v>
      </c>
      <c r="I53" s="30">
        <f>'Input Sheet'!BK52</f>
        <v>33.780888963261944</v>
      </c>
      <c r="J53" s="30">
        <f>'Input Sheet'!BL52</f>
        <v>1.0283435605213254</v>
      </c>
      <c r="K53" s="30">
        <f>'Input Sheet'!BM52</f>
        <v>0.81739633647953125</v>
      </c>
      <c r="L53" s="62">
        <v>1</v>
      </c>
      <c r="M53" s="30">
        <f>L53/L$34</f>
        <v>0.2</v>
      </c>
      <c r="N53" s="29"/>
      <c r="O53" s="29"/>
      <c r="P53" s="29"/>
      <c r="Q53" s="29"/>
      <c r="R53" s="45">
        <f>F53</f>
        <v>1</v>
      </c>
      <c r="S53" s="45">
        <f t="shared" ref="S53:S57" si="50">G53</f>
        <v>0.62543669853258788</v>
      </c>
      <c r="T53" s="45">
        <f t="shared" ref="T53:T57" si="51">H53</f>
        <v>0.68788862595781597</v>
      </c>
      <c r="U53" s="45">
        <f t="shared" ref="U53:U57" si="52">I53</f>
        <v>33.780888963261944</v>
      </c>
      <c r="V53" s="45">
        <f t="shared" ref="V53:V57" si="53">J53</f>
        <v>1.0283435605213254</v>
      </c>
      <c r="W53" s="45">
        <f t="shared" ref="W53:W57" si="54">K53</f>
        <v>0.81739633647953125</v>
      </c>
      <c r="X53" s="46"/>
      <c r="Y53" s="46"/>
      <c r="Z53" s="46"/>
    </row>
    <row r="54" spans="1:26" ht="31.2">
      <c r="A54" s="825"/>
      <c r="B54" s="825"/>
      <c r="C54" s="966"/>
      <c r="D54" s="951"/>
      <c r="E54" s="23" t="s">
        <v>491</v>
      </c>
      <c r="F54" s="30">
        <f>'Input Sheet'!BH53</f>
        <v>1</v>
      </c>
      <c r="G54" s="30">
        <f>'Input Sheet'!BI53</f>
        <v>0.59785693799250217</v>
      </c>
      <c r="H54" s="30">
        <f>'Input Sheet'!BJ53</f>
        <v>0.4586461623620644</v>
      </c>
      <c r="I54" s="30">
        <f>'Input Sheet'!BK53</f>
        <v>0.12171581314569917</v>
      </c>
      <c r="J54" s="30">
        <f>'Input Sheet'!BL53</f>
        <v>0.39731180581386005</v>
      </c>
      <c r="K54" s="30">
        <f>'Input Sheet'!BM53</f>
        <v>4.4712888269145913E-2</v>
      </c>
      <c r="L54" s="62">
        <v>1</v>
      </c>
      <c r="M54" s="30">
        <f t="shared" ref="M54:M57" si="55">L54/L$34</f>
        <v>0.2</v>
      </c>
      <c r="N54" s="29"/>
      <c r="O54" s="29"/>
      <c r="P54" s="29"/>
      <c r="Q54" s="29"/>
      <c r="R54" s="45">
        <f t="shared" ref="R54:R57" si="56">F54</f>
        <v>1</v>
      </c>
      <c r="S54" s="45">
        <f t="shared" si="50"/>
        <v>0.59785693799250217</v>
      </c>
      <c r="T54" s="45">
        <f t="shared" si="51"/>
        <v>0.4586461623620644</v>
      </c>
      <c r="U54" s="45">
        <f t="shared" si="52"/>
        <v>0.12171581314569917</v>
      </c>
      <c r="V54" s="45">
        <f t="shared" si="53"/>
        <v>0.39731180581386005</v>
      </c>
      <c r="W54" s="45">
        <f t="shared" si="54"/>
        <v>4.4712888269145913E-2</v>
      </c>
      <c r="X54" s="46"/>
      <c r="Y54" s="46"/>
      <c r="Z54" s="46"/>
    </row>
    <row r="55" spans="1:26" ht="15.6">
      <c r="A55" s="825"/>
      <c r="B55" s="825"/>
      <c r="C55" s="966"/>
      <c r="D55" s="951"/>
      <c r="E55" s="23" t="s">
        <v>459</v>
      </c>
      <c r="F55" s="30">
        <f>'Input Sheet'!BH54</f>
        <v>1</v>
      </c>
      <c r="G55" s="30">
        <f>'Input Sheet'!BI54</f>
        <v>1</v>
      </c>
      <c r="H55" s="30">
        <f>'Input Sheet'!BJ54</f>
        <v>1</v>
      </c>
      <c r="I55" s="30">
        <f>'Input Sheet'!BK54</f>
        <v>0.4444975166820565</v>
      </c>
      <c r="J55" s="30">
        <f>'Input Sheet'!BL54</f>
        <v>1</v>
      </c>
      <c r="K55" s="30">
        <f>'Input Sheet'!BM54</f>
        <v>0.6942904675750291</v>
      </c>
      <c r="L55" s="62">
        <v>1</v>
      </c>
      <c r="M55" s="30">
        <f t="shared" si="55"/>
        <v>0.2</v>
      </c>
      <c r="N55" s="29"/>
      <c r="O55" s="29"/>
      <c r="P55" s="29"/>
      <c r="Q55" s="29"/>
      <c r="R55" s="45">
        <f t="shared" si="56"/>
        <v>1</v>
      </c>
      <c r="S55" s="45">
        <f t="shared" si="50"/>
        <v>1</v>
      </c>
      <c r="T55" s="45">
        <f t="shared" si="51"/>
        <v>1</v>
      </c>
      <c r="U55" s="45">
        <f t="shared" si="52"/>
        <v>0.4444975166820565</v>
      </c>
      <c r="V55" s="45">
        <f t="shared" si="53"/>
        <v>1</v>
      </c>
      <c r="W55" s="45">
        <f t="shared" si="54"/>
        <v>0.6942904675750291</v>
      </c>
      <c r="X55" s="46"/>
      <c r="Y55" s="46"/>
      <c r="Z55" s="46"/>
    </row>
    <row r="56" spans="1:26" ht="15.6">
      <c r="A56" s="825"/>
      <c r="B56" s="825"/>
      <c r="C56" s="966"/>
      <c r="D56" s="951"/>
      <c r="E56" s="23" t="s">
        <v>492</v>
      </c>
      <c r="F56" s="30">
        <f>'Input Sheet'!BH55</f>
        <v>1</v>
      </c>
      <c r="G56" s="30">
        <f>'Input Sheet'!BI55</f>
        <v>0.66199319669083379</v>
      </c>
      <c r="H56" s="30">
        <f>'Input Sheet'!BJ55</f>
        <v>0.66199319669083379</v>
      </c>
      <c r="I56" s="30">
        <f>'Input Sheet'!BK55</f>
        <v>3.4469852208994722</v>
      </c>
      <c r="J56" s="30">
        <f>'Input Sheet'!BL55</f>
        <v>0.66199319669083379</v>
      </c>
      <c r="K56" s="30">
        <f>'Input Sheet'!BM55</f>
        <v>3.4469852208994722</v>
      </c>
      <c r="L56" s="62">
        <v>1</v>
      </c>
      <c r="M56" s="30">
        <f t="shared" si="55"/>
        <v>0.2</v>
      </c>
      <c r="N56" s="29"/>
      <c r="O56" s="29"/>
      <c r="P56" s="29"/>
      <c r="Q56" s="29"/>
      <c r="R56" s="45">
        <f t="shared" si="56"/>
        <v>1</v>
      </c>
      <c r="S56" s="45">
        <f t="shared" si="50"/>
        <v>0.66199319669083379</v>
      </c>
      <c r="T56" s="45">
        <f t="shared" si="51"/>
        <v>0.66199319669083379</v>
      </c>
      <c r="U56" s="45">
        <f t="shared" si="52"/>
        <v>3.4469852208994722</v>
      </c>
      <c r="V56" s="45">
        <f t="shared" si="53"/>
        <v>0.66199319669083379</v>
      </c>
      <c r="W56" s="45">
        <f t="shared" si="54"/>
        <v>3.4469852208994722</v>
      </c>
      <c r="X56" s="46"/>
      <c r="Y56" s="46"/>
      <c r="Z56" s="46"/>
    </row>
    <row r="57" spans="1:26" ht="15.6">
      <c r="A57" s="825"/>
      <c r="B57" s="825"/>
      <c r="C57" s="966"/>
      <c r="D57" s="951"/>
      <c r="E57" s="34" t="s">
        <v>461</v>
      </c>
      <c r="F57" s="30">
        <f>'Input Sheet'!BH56</f>
        <v>1</v>
      </c>
      <c r="G57" s="30">
        <f>'Input Sheet'!BI56</f>
        <v>0.54247832794327511</v>
      </c>
      <c r="H57" s="30">
        <f>'Input Sheet'!BJ56</f>
        <v>0.31110847407961917</v>
      </c>
      <c r="I57" s="30">
        <f>'Input Sheet'!BK56</f>
        <v>0.11758133171956553</v>
      </c>
      <c r="J57" s="30">
        <f>'Input Sheet'!BL56</f>
        <v>1</v>
      </c>
      <c r="K57" s="30">
        <f>'Input Sheet'!BM56</f>
        <v>1</v>
      </c>
      <c r="L57" s="62">
        <v>1</v>
      </c>
      <c r="M57" s="30">
        <f t="shared" si="55"/>
        <v>0.2</v>
      </c>
      <c r="N57" s="29"/>
      <c r="O57" s="29"/>
      <c r="P57" s="29"/>
      <c r="Q57" s="29"/>
      <c r="R57" s="45">
        <f t="shared" si="56"/>
        <v>1</v>
      </c>
      <c r="S57" s="45">
        <f t="shared" si="50"/>
        <v>0.54247832794327511</v>
      </c>
      <c r="T57" s="45">
        <f t="shared" si="51"/>
        <v>0.31110847407961917</v>
      </c>
      <c r="U57" s="45">
        <f t="shared" si="52"/>
        <v>0.11758133171956553</v>
      </c>
      <c r="V57" s="45">
        <f t="shared" si="53"/>
        <v>1</v>
      </c>
      <c r="W57" s="45">
        <f t="shared" si="54"/>
        <v>1</v>
      </c>
      <c r="X57" s="46"/>
      <c r="Y57" s="46"/>
      <c r="Z57" s="46"/>
    </row>
    <row r="58" spans="1:26" ht="15.6">
      <c r="A58" s="825">
        <v>2</v>
      </c>
      <c r="B58" s="825"/>
      <c r="C58" s="966"/>
      <c r="D58" s="951"/>
      <c r="E58" s="23" t="s">
        <v>38</v>
      </c>
      <c r="F58" s="47"/>
      <c r="G58" s="47"/>
      <c r="H58" s="47"/>
      <c r="I58" s="47"/>
      <c r="J58" s="47"/>
      <c r="K58" s="47"/>
      <c r="L58" s="449">
        <f>SUM(L53:L57)</f>
        <v>5</v>
      </c>
      <c r="M58" s="872" t="s">
        <v>493</v>
      </c>
      <c r="N58" s="873"/>
      <c r="O58" s="873"/>
      <c r="P58" s="873"/>
      <c r="Q58" s="874"/>
      <c r="R58" s="45">
        <f>SUM(R53:R57)</f>
        <v>5</v>
      </c>
      <c r="S58" s="45">
        <f t="shared" ref="S58:T58" si="57">SUM(S53:S57)</f>
        <v>3.4277651611591988</v>
      </c>
      <c r="T58" s="45">
        <f t="shared" si="57"/>
        <v>3.1196364590903332</v>
      </c>
      <c r="U58" s="45">
        <f>SUM(U53:U57)</f>
        <v>37.911668845708732</v>
      </c>
      <c r="V58" s="45">
        <f>SUM(V53:V57)</f>
        <v>4.0876485630260184</v>
      </c>
      <c r="W58" s="45">
        <f>SUM(W53:W57)</f>
        <v>6.0033849132231785</v>
      </c>
      <c r="X58" s="48"/>
      <c r="Y58" s="48"/>
      <c r="Z58" s="48"/>
    </row>
    <row r="59" spans="1:26" ht="15.6">
      <c r="A59" s="825"/>
      <c r="B59" s="825"/>
      <c r="C59" s="966"/>
      <c r="D59" s="951"/>
      <c r="E59" s="23"/>
      <c r="F59" s="23"/>
      <c r="G59" s="23"/>
      <c r="H59" s="23"/>
      <c r="I59" s="23"/>
      <c r="J59" s="23"/>
      <c r="K59" s="23"/>
      <c r="L59" s="23"/>
      <c r="M59" s="872" t="s">
        <v>494</v>
      </c>
      <c r="N59" s="873"/>
      <c r="O59" s="873"/>
      <c r="P59" s="873"/>
      <c r="Q59" s="874"/>
      <c r="R59" s="45">
        <f>R58/SUM($R58:$W58)</f>
        <v>8.396290970125643E-2</v>
      </c>
      <c r="S59" s="45">
        <f t="shared" ref="S59" si="58">S58/SUM($R58:$W58)</f>
        <v>5.75610273407045E-2</v>
      </c>
      <c r="T59" s="45">
        <f t="shared" ref="T59" si="59">T58/SUM($R58:$W58)</f>
        <v>5.2386750863069799E-2</v>
      </c>
      <c r="U59" s="45">
        <f>U58/SUM($R58:$W58)</f>
        <v>0.63663480558323582</v>
      </c>
      <c r="V59" s="45">
        <f>V58/SUM($R58:$W58)</f>
        <v>6.8642173437564846E-2</v>
      </c>
      <c r="W59" s="45">
        <f>W58/SUM($R58:$W58)</f>
        <v>0.10081233307416858</v>
      </c>
      <c r="X59" s="17"/>
      <c r="Y59" s="17"/>
      <c r="Z59" s="17"/>
    </row>
    <row r="60" spans="1:26" ht="15.6">
      <c r="A60" s="825"/>
      <c r="B60" s="825"/>
      <c r="C60" s="966"/>
      <c r="D60" s="951"/>
      <c r="E60" s="446"/>
      <c r="F60" s="941"/>
      <c r="G60" s="942"/>
      <c r="H60" s="942"/>
      <c r="I60" s="942"/>
      <c r="J60" s="942"/>
      <c r="K60" s="942"/>
      <c r="L60" s="942"/>
      <c r="M60" s="942"/>
      <c r="N60" s="942"/>
      <c r="O60" s="942"/>
      <c r="P60" s="942"/>
      <c r="Q60" s="942"/>
      <c r="R60" s="942"/>
      <c r="S60" s="942"/>
      <c r="T60" s="942"/>
      <c r="U60" s="942"/>
      <c r="V60" s="942"/>
      <c r="W60" s="943"/>
      <c r="X60" s="17"/>
      <c r="Y60" s="17"/>
      <c r="Z60" s="17"/>
    </row>
    <row r="61" spans="1:26" ht="15.6">
      <c r="A61" s="825"/>
      <c r="B61" s="825"/>
      <c r="C61" s="966"/>
      <c r="D61" s="951"/>
      <c r="E61" s="23"/>
      <c r="F61" s="30">
        <f>'Input Sheet'!BH58</f>
        <v>1</v>
      </c>
      <c r="G61" s="30">
        <f>'Input Sheet'!BI58</f>
        <v>0.9</v>
      </c>
      <c r="H61" s="30">
        <f>'Input Sheet'!BJ58</f>
        <v>0.75</v>
      </c>
      <c r="I61" s="30">
        <f>'Input Sheet'!BK58</f>
        <v>0.85</v>
      </c>
      <c r="J61" s="30">
        <f>'Input Sheet'!BL58</f>
        <v>0.55000000000000004</v>
      </c>
      <c r="K61" s="30">
        <f>'Input Sheet'!BM58</f>
        <v>0.35</v>
      </c>
      <c r="L61" s="23"/>
      <c r="M61" s="957" t="s">
        <v>495</v>
      </c>
      <c r="N61" s="958"/>
      <c r="O61" s="958"/>
      <c r="P61" s="958"/>
      <c r="Q61" s="959"/>
      <c r="R61" s="45">
        <f>R59*F61</f>
        <v>8.396290970125643E-2</v>
      </c>
      <c r="S61" s="45">
        <f t="shared" ref="S61" si="60">S59*G61</f>
        <v>5.1804924606634051E-2</v>
      </c>
      <c r="T61" s="45">
        <f t="shared" ref="T61" si="61">T59*H61</f>
        <v>3.9290063147302351E-2</v>
      </c>
      <c r="U61" s="45">
        <f>U59*I61</f>
        <v>0.54113958474575041</v>
      </c>
      <c r="V61" s="45">
        <f>V59*J61</f>
        <v>3.7753195390660667E-2</v>
      </c>
      <c r="W61" s="45">
        <f>W59*K61</f>
        <v>3.5284316575958999E-2</v>
      </c>
      <c r="X61" s="17"/>
      <c r="Y61" s="17"/>
      <c r="Z61" s="17"/>
    </row>
    <row r="62" spans="1:26" ht="15.6" customHeight="1">
      <c r="A62" s="825"/>
      <c r="B62" s="825"/>
      <c r="C62" s="966"/>
      <c r="D62" s="951"/>
      <c r="E62" s="23"/>
      <c r="F62" s="960" t="s">
        <v>923</v>
      </c>
      <c r="G62" s="961"/>
      <c r="H62" s="961"/>
      <c r="I62" s="961"/>
      <c r="J62" s="961"/>
      <c r="K62" s="961"/>
      <c r="L62" s="961"/>
      <c r="M62" s="961"/>
      <c r="N62" s="961"/>
      <c r="O62" s="961"/>
      <c r="P62" s="961"/>
      <c r="Q62" s="962"/>
      <c r="R62" s="45">
        <f>R61</f>
        <v>8.396290970125643E-2</v>
      </c>
      <c r="S62" s="45">
        <f>S61*'Input Sheet'!BI50/'Input Sheet'!BH50</f>
        <v>3.4071283625256431E-2</v>
      </c>
      <c r="T62" s="45">
        <f>T61*'Input Sheet'!BJ50/'Input Sheet'!BH50</f>
        <v>1.3449606949156534E-2</v>
      </c>
      <c r="U62" s="45">
        <f>U61</f>
        <v>0.54113958474575041</v>
      </c>
      <c r="V62" s="45">
        <f>V61</f>
        <v>3.7753195390660667E-2</v>
      </c>
      <c r="W62" s="45">
        <f>W61</f>
        <v>3.5284316575958999E-2</v>
      </c>
      <c r="X62" s="17"/>
      <c r="Y62" s="17"/>
      <c r="Z62" s="17"/>
    </row>
    <row r="63" spans="1:26" ht="15.6" customHeight="1">
      <c r="A63" s="825"/>
      <c r="B63" s="825"/>
      <c r="C63" s="966"/>
      <c r="D63" s="951"/>
      <c r="E63" s="23"/>
      <c r="F63" s="963" t="s">
        <v>924</v>
      </c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5"/>
      <c r="R63" s="50">
        <f>R62/(R62+U62+V62+W62+S62+T62)</f>
        <v>0.11260200184884203</v>
      </c>
      <c r="S63" s="50">
        <f>S62/(R62+S62+T62+U62+V62+W62)</f>
        <v>4.5692732129150308E-2</v>
      </c>
      <c r="T63" s="50">
        <f>T62/(R62+S62+T62+U62+V62+W62)</f>
        <v>1.8037162741782162E-2</v>
      </c>
      <c r="U63" s="50">
        <f>U62/(R62+U62+V62+W62+S62+T62)</f>
        <v>0.7257180669277209</v>
      </c>
      <c r="V63" s="50">
        <f>V62/(R62+U62+V62+W62+S62+T62)</f>
        <v>5.0630515215639951E-2</v>
      </c>
      <c r="W63" s="50">
        <f>W62/(R62+U62+V62+W62+S62+T62)</f>
        <v>4.7319521136864662E-2</v>
      </c>
      <c r="X63" s="17"/>
      <c r="Y63" s="17"/>
      <c r="Z63" s="17"/>
    </row>
    <row r="64" spans="1:26" ht="15.6" customHeight="1">
      <c r="A64" s="825"/>
      <c r="B64" s="825"/>
      <c r="C64" s="966"/>
      <c r="D64" s="951"/>
      <c r="E64" s="23"/>
      <c r="F64" s="963" t="s">
        <v>925</v>
      </c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Q64" s="965"/>
      <c r="R64" s="51">
        <f t="shared" ref="R64:W64" si="62">ROUND($C53*$E$2*R63/100,0)*100</f>
        <v>9200</v>
      </c>
      <c r="S64" s="51">
        <f t="shared" si="62"/>
        <v>3700</v>
      </c>
      <c r="T64" s="51">
        <f t="shared" si="62"/>
        <v>1500</v>
      </c>
      <c r="U64" s="51">
        <f t="shared" si="62"/>
        <v>59000</v>
      </c>
      <c r="V64" s="51">
        <f t="shared" si="62"/>
        <v>4100</v>
      </c>
      <c r="W64" s="51">
        <f t="shared" si="62"/>
        <v>3800</v>
      </c>
      <c r="X64" s="17"/>
      <c r="Y64" s="17"/>
      <c r="Z64" s="17"/>
    </row>
    <row r="65" spans="1:26" ht="15.6">
      <c r="A65" s="825">
        <v>6</v>
      </c>
      <c r="B65" s="825" t="s">
        <v>640</v>
      </c>
      <c r="C65" s="966">
        <f>Buckets!S8</f>
        <v>6.9876281371509363E-2</v>
      </c>
      <c r="D65" s="951" t="s">
        <v>490</v>
      </c>
      <c r="E65" s="23" t="s">
        <v>457</v>
      </c>
      <c r="F65" s="30">
        <f>'Input Sheet'!BH63</f>
        <v>1</v>
      </c>
      <c r="G65" s="30">
        <f>'Input Sheet'!BI63</f>
        <v>0.55979197774770095</v>
      </c>
      <c r="H65" s="30">
        <f>'Input Sheet'!BJ63</f>
        <v>0.59724672609345941</v>
      </c>
      <c r="I65" s="30">
        <f>'Input Sheet'!BK63</f>
        <v>41.19698486079681</v>
      </c>
      <c r="J65" s="30">
        <f>'Input Sheet'!BL63</f>
        <v>0.95658687477151882</v>
      </c>
      <c r="K65" s="30">
        <f>'Input Sheet'!BM63</f>
        <v>0.57683732508073671</v>
      </c>
      <c r="L65" s="62">
        <v>1</v>
      </c>
      <c r="M65" s="30">
        <f>L65/L$34</f>
        <v>0.2</v>
      </c>
      <c r="N65" s="29"/>
      <c r="O65" s="29"/>
      <c r="P65" s="29"/>
      <c r="Q65" s="29"/>
      <c r="R65" s="45">
        <f>F65</f>
        <v>1</v>
      </c>
      <c r="S65" s="45">
        <f t="shared" ref="S65:S69" si="63">G65</f>
        <v>0.55979197774770095</v>
      </c>
      <c r="T65" s="45">
        <f t="shared" ref="T65:T69" si="64">H65</f>
        <v>0.59724672609345941</v>
      </c>
      <c r="U65" s="45">
        <f t="shared" ref="U65:U69" si="65">I65</f>
        <v>41.19698486079681</v>
      </c>
      <c r="V65" s="45">
        <f t="shared" ref="V65:V69" si="66">J65</f>
        <v>0.95658687477151882</v>
      </c>
      <c r="W65" s="45">
        <f t="shared" ref="W65:W69" si="67">K65</f>
        <v>0.57683732508073671</v>
      </c>
      <c r="X65" s="46"/>
      <c r="Y65" s="46"/>
      <c r="Z65" s="46"/>
    </row>
    <row r="66" spans="1:26" ht="31.35" customHeight="1">
      <c r="A66" s="825"/>
      <c r="B66" s="825"/>
      <c r="C66" s="966"/>
      <c r="D66" s="951"/>
      <c r="E66" s="23" t="s">
        <v>491</v>
      </c>
      <c r="F66" s="30">
        <f>'Input Sheet'!BH64</f>
        <v>1</v>
      </c>
      <c r="G66" s="30">
        <f>'Input Sheet'!BI64</f>
        <v>0.59549952165115105</v>
      </c>
      <c r="H66" s="30">
        <f>'Input Sheet'!BJ64</f>
        <v>0.29054239811958793</v>
      </c>
      <c r="I66" s="30">
        <f>'Input Sheet'!BK64</f>
        <v>5.922575331205409E-2</v>
      </c>
      <c r="J66" s="30">
        <f>'Input Sheet'!BL64</f>
        <v>0.23538351791759751</v>
      </c>
      <c r="K66" s="30">
        <f>'Input Sheet'!BM64</f>
        <v>1.3655935167823765E-2</v>
      </c>
      <c r="L66" s="62">
        <v>1</v>
      </c>
      <c r="M66" s="30">
        <f t="shared" ref="M66:M69" si="68">L66/L$34</f>
        <v>0.2</v>
      </c>
      <c r="N66" s="29"/>
      <c r="O66" s="29"/>
      <c r="P66" s="29"/>
      <c r="Q66" s="29"/>
      <c r="R66" s="45">
        <f t="shared" ref="R66:R69" si="69">F66</f>
        <v>1</v>
      </c>
      <c r="S66" s="45">
        <f t="shared" si="63"/>
        <v>0.59549952165115105</v>
      </c>
      <c r="T66" s="45">
        <f t="shared" si="64"/>
        <v>0.29054239811958793</v>
      </c>
      <c r="U66" s="45">
        <f t="shared" si="65"/>
        <v>5.922575331205409E-2</v>
      </c>
      <c r="V66" s="45">
        <f t="shared" si="66"/>
        <v>0.23538351791759751</v>
      </c>
      <c r="W66" s="45">
        <f t="shared" si="67"/>
        <v>1.3655935167823765E-2</v>
      </c>
      <c r="X66" s="46"/>
      <c r="Y66" s="46"/>
      <c r="Z66" s="46"/>
    </row>
    <row r="67" spans="1:26" ht="15.6">
      <c r="A67" s="825"/>
      <c r="B67" s="825"/>
      <c r="C67" s="966"/>
      <c r="D67" s="951"/>
      <c r="E67" s="23" t="s">
        <v>459</v>
      </c>
      <c r="F67" s="30">
        <f>'Input Sheet'!BH65</f>
        <v>1</v>
      </c>
      <c r="G67" s="30">
        <f>'Input Sheet'!BI65</f>
        <v>1</v>
      </c>
      <c r="H67" s="30">
        <f>'Input Sheet'!BJ65</f>
        <v>1</v>
      </c>
      <c r="I67" s="30">
        <f>'Input Sheet'!BK65</f>
        <v>0.28275968979620331</v>
      </c>
      <c r="J67" s="30">
        <f>'Input Sheet'!BL65</f>
        <v>1</v>
      </c>
      <c r="K67" s="30">
        <f>'Input Sheet'!BM65</f>
        <v>0.49138550543985771</v>
      </c>
      <c r="L67" s="62">
        <v>1</v>
      </c>
      <c r="M67" s="30">
        <f t="shared" si="68"/>
        <v>0.2</v>
      </c>
      <c r="N67" s="29"/>
      <c r="O67" s="29"/>
      <c r="P67" s="29"/>
      <c r="Q67" s="29"/>
      <c r="R67" s="45">
        <f t="shared" si="69"/>
        <v>1</v>
      </c>
      <c r="S67" s="45">
        <f t="shared" si="63"/>
        <v>1</v>
      </c>
      <c r="T67" s="45">
        <f t="shared" si="64"/>
        <v>1</v>
      </c>
      <c r="U67" s="45">
        <f t="shared" si="65"/>
        <v>0.28275968979620331</v>
      </c>
      <c r="V67" s="45">
        <f t="shared" si="66"/>
        <v>1</v>
      </c>
      <c r="W67" s="45">
        <f t="shared" si="67"/>
        <v>0.49138550543985771</v>
      </c>
      <c r="X67" s="46"/>
      <c r="Y67" s="46"/>
      <c r="Z67" s="46"/>
    </row>
    <row r="68" spans="1:26" ht="15.6">
      <c r="A68" s="825"/>
      <c r="B68" s="825"/>
      <c r="C68" s="966"/>
      <c r="D68" s="951"/>
      <c r="E68" s="23" t="s">
        <v>492</v>
      </c>
      <c r="F68" s="30">
        <f>'Input Sheet'!BH66</f>
        <v>1</v>
      </c>
      <c r="G68" s="30">
        <f>'Input Sheet'!BI66</f>
        <v>0.66199319669083379</v>
      </c>
      <c r="H68" s="30">
        <f>'Input Sheet'!BJ66</f>
        <v>0.66199319669083379</v>
      </c>
      <c r="I68" s="30">
        <f>'Input Sheet'!BK66</f>
        <v>3.4469852208994722</v>
      </c>
      <c r="J68" s="30">
        <f>'Input Sheet'!BL66</f>
        <v>0.66199319669083379</v>
      </c>
      <c r="K68" s="30">
        <f>'Input Sheet'!BM66</f>
        <v>3.4469852208994722</v>
      </c>
      <c r="L68" s="62">
        <v>1</v>
      </c>
      <c r="M68" s="30">
        <f t="shared" si="68"/>
        <v>0.2</v>
      </c>
      <c r="N68" s="29"/>
      <c r="O68" s="29"/>
      <c r="P68" s="29"/>
      <c r="Q68" s="29"/>
      <c r="R68" s="45">
        <f t="shared" si="69"/>
        <v>1</v>
      </c>
      <c r="S68" s="45">
        <f t="shared" si="63"/>
        <v>0.66199319669083379</v>
      </c>
      <c r="T68" s="45">
        <f t="shared" si="64"/>
        <v>0.66199319669083379</v>
      </c>
      <c r="U68" s="45">
        <f t="shared" si="65"/>
        <v>3.4469852208994722</v>
      </c>
      <c r="V68" s="45">
        <f t="shared" si="66"/>
        <v>0.66199319669083379</v>
      </c>
      <c r="W68" s="45">
        <f t="shared" si="67"/>
        <v>3.4469852208994722</v>
      </c>
      <c r="X68" s="46"/>
      <c r="Y68" s="46"/>
      <c r="Z68" s="46"/>
    </row>
    <row r="69" spans="1:26" ht="15.6">
      <c r="A69" s="825"/>
      <c r="B69" s="825"/>
      <c r="C69" s="966"/>
      <c r="D69" s="951"/>
      <c r="E69" s="34" t="s">
        <v>461</v>
      </c>
      <c r="F69" s="30">
        <f>'Input Sheet'!BH67</f>
        <v>1</v>
      </c>
      <c r="G69" s="30">
        <f>'Input Sheet'!BI67</f>
        <v>0.54247832794327511</v>
      </c>
      <c r="H69" s="30">
        <f>'Input Sheet'!BJ67</f>
        <v>0.31110847407961917</v>
      </c>
      <c r="I69" s="30">
        <f>'Input Sheet'!BK67</f>
        <v>0.11758133171956553</v>
      </c>
      <c r="J69" s="30">
        <f>'Input Sheet'!BL67</f>
        <v>1</v>
      </c>
      <c r="K69" s="30">
        <f>'Input Sheet'!BM67</f>
        <v>1</v>
      </c>
      <c r="L69" s="62">
        <v>1</v>
      </c>
      <c r="M69" s="30">
        <f t="shared" si="68"/>
        <v>0.2</v>
      </c>
      <c r="N69" s="29"/>
      <c r="O69" s="29"/>
      <c r="P69" s="29"/>
      <c r="Q69" s="29"/>
      <c r="R69" s="45">
        <f t="shared" si="69"/>
        <v>1</v>
      </c>
      <c r="S69" s="45">
        <f t="shared" si="63"/>
        <v>0.54247832794327511</v>
      </c>
      <c r="T69" s="45">
        <f t="shared" si="64"/>
        <v>0.31110847407961917</v>
      </c>
      <c r="U69" s="45">
        <f t="shared" si="65"/>
        <v>0.11758133171956553</v>
      </c>
      <c r="V69" s="45">
        <f t="shared" si="66"/>
        <v>1</v>
      </c>
      <c r="W69" s="45">
        <f t="shared" si="67"/>
        <v>1</v>
      </c>
      <c r="X69" s="46"/>
      <c r="Y69" s="46"/>
      <c r="Z69" s="46"/>
    </row>
    <row r="70" spans="1:26" ht="15.6">
      <c r="A70" s="825">
        <v>2</v>
      </c>
      <c r="B70" s="825"/>
      <c r="C70" s="966"/>
      <c r="D70" s="951"/>
      <c r="E70" s="23" t="s">
        <v>38</v>
      </c>
      <c r="F70" s="47"/>
      <c r="G70" s="47"/>
      <c r="H70" s="47"/>
      <c r="I70" s="47"/>
      <c r="J70" s="47"/>
      <c r="K70" s="47"/>
      <c r="L70" s="449">
        <f>SUM(L65:L69)</f>
        <v>5</v>
      </c>
      <c r="M70" s="872" t="s">
        <v>493</v>
      </c>
      <c r="N70" s="873"/>
      <c r="O70" s="873"/>
      <c r="P70" s="873"/>
      <c r="Q70" s="874"/>
      <c r="R70" s="45">
        <f>SUM(R65:R69)</f>
        <v>5</v>
      </c>
      <c r="S70" s="45">
        <f t="shared" ref="S70:T70" si="70">SUM(S65:S69)</f>
        <v>3.359763024032961</v>
      </c>
      <c r="T70" s="45">
        <f t="shared" si="70"/>
        <v>2.8608907949835003</v>
      </c>
      <c r="U70" s="45">
        <f>SUM(U65:U69)</f>
        <v>45.103536856524101</v>
      </c>
      <c r="V70" s="45">
        <f>SUM(V65:V69)</f>
        <v>3.85396358937995</v>
      </c>
      <c r="W70" s="45">
        <f>SUM(W65:W69)</f>
        <v>5.5288639865878899</v>
      </c>
      <c r="X70" s="48"/>
      <c r="Y70" s="48"/>
      <c r="Z70" s="48"/>
    </row>
    <row r="71" spans="1:26" ht="15.6">
      <c r="A71" s="825"/>
      <c r="B71" s="825"/>
      <c r="C71" s="966"/>
      <c r="D71" s="951"/>
      <c r="E71" s="23"/>
      <c r="F71" s="23"/>
      <c r="G71" s="23"/>
      <c r="H71" s="23"/>
      <c r="I71" s="23"/>
      <c r="J71" s="23"/>
      <c r="K71" s="23"/>
      <c r="L71" s="23"/>
      <c r="M71" s="872" t="s">
        <v>494</v>
      </c>
      <c r="N71" s="873"/>
      <c r="O71" s="873"/>
      <c r="P71" s="873"/>
      <c r="Q71" s="874"/>
      <c r="R71" s="45">
        <f>R70/SUM($R70:$W70)</f>
        <v>7.6095372047798218E-2</v>
      </c>
      <c r="S71" s="45">
        <f t="shared" ref="S71" si="71">S70/SUM($R70:$W70)</f>
        <v>5.1132483461244764E-2</v>
      </c>
      <c r="T71" s="45">
        <f t="shared" ref="T71" si="72">T70/SUM($R70:$W70)</f>
        <v>4.3540109886478134E-2</v>
      </c>
      <c r="U71" s="45">
        <f>U70/SUM($R70:$W70)</f>
        <v>0.68643408355375624</v>
      </c>
      <c r="V71" s="45">
        <f>V70/SUM($R70:$W70)</f>
        <v>5.8653758638507032E-2</v>
      </c>
      <c r="W71" s="45">
        <f>W70/SUM($R70:$W70)</f>
        <v>8.4144192412215671E-2</v>
      </c>
      <c r="X71" s="17"/>
      <c r="Y71" s="17"/>
      <c r="Z71" s="17"/>
    </row>
    <row r="72" spans="1:26" ht="15.6">
      <c r="A72" s="825"/>
      <c r="B72" s="825"/>
      <c r="C72" s="966"/>
      <c r="D72" s="951"/>
      <c r="E72" s="446"/>
      <c r="F72" s="941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2"/>
      <c r="R72" s="942"/>
      <c r="S72" s="942"/>
      <c r="T72" s="942"/>
      <c r="U72" s="942"/>
      <c r="V72" s="942"/>
      <c r="W72" s="943"/>
      <c r="X72" s="17"/>
      <c r="Y72" s="17"/>
      <c r="Z72" s="17"/>
    </row>
    <row r="73" spans="1:26" ht="15.6">
      <c r="A73" s="825"/>
      <c r="B73" s="825"/>
      <c r="C73" s="966"/>
      <c r="D73" s="951"/>
      <c r="E73" s="23"/>
      <c r="F73" s="30">
        <f>'Input Sheet'!BH69</f>
        <v>1</v>
      </c>
      <c r="G73" s="30">
        <f>'Input Sheet'!BI69</f>
        <v>0.9</v>
      </c>
      <c r="H73" s="30">
        <f>'Input Sheet'!BJ69</f>
        <v>0.75</v>
      </c>
      <c r="I73" s="30">
        <f>'Input Sheet'!BK69</f>
        <v>0.9</v>
      </c>
      <c r="J73" s="30">
        <f>'Input Sheet'!BL69</f>
        <v>0.55000000000000004</v>
      </c>
      <c r="K73" s="30">
        <f>'Input Sheet'!BM69</f>
        <v>0.35</v>
      </c>
      <c r="L73" s="23"/>
      <c r="M73" s="957" t="s">
        <v>495</v>
      </c>
      <c r="N73" s="958"/>
      <c r="O73" s="958"/>
      <c r="P73" s="958"/>
      <c r="Q73" s="959"/>
      <c r="R73" s="45">
        <f>R71*F73</f>
        <v>7.6095372047798218E-2</v>
      </c>
      <c r="S73" s="45">
        <f t="shared" ref="S73" si="73">S71*G73</f>
        <v>4.6019235115120287E-2</v>
      </c>
      <c r="T73" s="45">
        <f t="shared" ref="T73" si="74">T71*H73</f>
        <v>3.2655082414858601E-2</v>
      </c>
      <c r="U73" s="45">
        <f>U71*I73</f>
        <v>0.6177906751983806</v>
      </c>
      <c r="V73" s="45">
        <f>V71*J73</f>
        <v>3.2259567251178872E-2</v>
      </c>
      <c r="W73" s="45">
        <f>W71*K73</f>
        <v>2.9450467344275484E-2</v>
      </c>
      <c r="X73" s="17"/>
      <c r="Y73" s="17"/>
      <c r="Z73" s="17"/>
    </row>
    <row r="74" spans="1:26" ht="15.6" customHeight="1">
      <c r="A74" s="825"/>
      <c r="B74" s="825"/>
      <c r="C74" s="966"/>
      <c r="D74" s="951"/>
      <c r="E74" s="23"/>
      <c r="F74" s="960" t="s">
        <v>923</v>
      </c>
      <c r="G74" s="961"/>
      <c r="H74" s="961"/>
      <c r="I74" s="961"/>
      <c r="J74" s="961"/>
      <c r="K74" s="961"/>
      <c r="L74" s="961"/>
      <c r="M74" s="961"/>
      <c r="N74" s="961"/>
      <c r="O74" s="961"/>
      <c r="P74" s="961"/>
      <c r="Q74" s="962"/>
      <c r="R74" s="45">
        <f>R73</f>
        <v>7.6095372047798218E-2</v>
      </c>
      <c r="S74" s="45">
        <f>S73*'Input Sheet'!BI61/'Input Sheet'!BH61</f>
        <v>4.4911123221413426E-2</v>
      </c>
      <c r="T74" s="45">
        <f>T73*'Input Sheet'!BJ61/'Input Sheet'!BH61</f>
        <v>7.8631218279404569E-4</v>
      </c>
      <c r="U74" s="45">
        <f>U73</f>
        <v>0.6177906751983806</v>
      </c>
      <c r="V74" s="45">
        <f>V73</f>
        <v>3.2259567251178872E-2</v>
      </c>
      <c r="W74" s="45">
        <f>W73</f>
        <v>2.9450467344275484E-2</v>
      </c>
      <c r="X74" s="17"/>
      <c r="Y74" s="17"/>
      <c r="Z74" s="17"/>
    </row>
    <row r="75" spans="1:26" ht="15.6" customHeight="1">
      <c r="A75" s="825"/>
      <c r="B75" s="825"/>
      <c r="C75" s="966"/>
      <c r="D75" s="951"/>
      <c r="E75" s="23"/>
      <c r="F75" s="963" t="s">
        <v>924</v>
      </c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Q75" s="965"/>
      <c r="R75" s="50">
        <f>R74/(R74+U74+V74+W74+S74+T74)</f>
        <v>9.496566540229702E-2</v>
      </c>
      <c r="S75" s="50">
        <f>S74/(R74+S74+T74+U74+V74+W74)</f>
        <v>5.6048279756186377E-2</v>
      </c>
      <c r="T75" s="50">
        <f>T74/(R74+S74+T74+U74+V74+W74)</f>
        <v>9.8130356214126387E-4</v>
      </c>
      <c r="U75" s="50">
        <f>U74/(R74+U74+V74+W74+S74+T74)</f>
        <v>0.77099173012383115</v>
      </c>
      <c r="V75" s="50">
        <f>V74/(R74+U74+V74+W74+S74+T74)</f>
        <v>4.0259363837186125E-2</v>
      </c>
      <c r="W75" s="50">
        <f>W74/(R74+U74+V74+W74+S74+T74)</f>
        <v>3.6753657318358092E-2</v>
      </c>
      <c r="X75" s="17"/>
      <c r="Y75" s="17"/>
      <c r="Z75" s="17"/>
    </row>
    <row r="76" spans="1:26" ht="15.6" customHeight="1">
      <c r="A76" s="825"/>
      <c r="B76" s="825"/>
      <c r="C76" s="966"/>
      <c r="D76" s="951"/>
      <c r="E76" s="23"/>
      <c r="F76" s="963" t="s">
        <v>925</v>
      </c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Q76" s="965"/>
      <c r="R76" s="51">
        <f t="shared" ref="R76:W76" si="75">ROUND($C65*$E$2*R75/100,0)*100</f>
        <v>4700</v>
      </c>
      <c r="S76" s="51">
        <f t="shared" si="75"/>
        <v>2800</v>
      </c>
      <c r="T76" s="51">
        <f t="shared" si="75"/>
        <v>0</v>
      </c>
      <c r="U76" s="51">
        <f t="shared" si="75"/>
        <v>38100</v>
      </c>
      <c r="V76" s="51">
        <f t="shared" si="75"/>
        <v>2000</v>
      </c>
      <c r="W76" s="51">
        <f t="shared" si="75"/>
        <v>1800</v>
      </c>
      <c r="X76" s="17"/>
      <c r="Y76" s="17"/>
      <c r="Z76" s="17"/>
    </row>
    <row r="77" spans="1:26" ht="15.6">
      <c r="A77" s="825">
        <v>7</v>
      </c>
      <c r="B77" s="825" t="s">
        <v>641</v>
      </c>
      <c r="C77" s="966">
        <f>Buckets!S9</f>
        <v>0.12134323082361258</v>
      </c>
      <c r="D77" s="951" t="s">
        <v>490</v>
      </c>
      <c r="E77" s="23" t="s">
        <v>457</v>
      </c>
      <c r="F77" s="30">
        <f>'Input Sheet'!BH74</f>
        <v>1</v>
      </c>
      <c r="G77" s="30">
        <f>'Input Sheet'!BI74</f>
        <v>0.48655288393735396</v>
      </c>
      <c r="H77" s="30">
        <f>'Input Sheet'!BJ74</f>
        <v>0.64598011131626398</v>
      </c>
      <c r="I77" s="30">
        <f>'Input Sheet'!BK74</f>
        <v>18.456562638552754</v>
      </c>
      <c r="J77" s="30">
        <f>'Input Sheet'!BL74</f>
        <v>0.96694642657942831</v>
      </c>
      <c r="K77" s="30">
        <f>'Input Sheet'!BM74</f>
        <v>0.76135430339586885</v>
      </c>
      <c r="L77" s="62">
        <v>1</v>
      </c>
      <c r="M77" s="30">
        <f>L77/L$34</f>
        <v>0.2</v>
      </c>
      <c r="N77" s="29"/>
      <c r="O77" s="29"/>
      <c r="P77" s="29"/>
      <c r="Q77" s="29"/>
      <c r="R77" s="45">
        <f>F77</f>
        <v>1</v>
      </c>
      <c r="S77" s="45">
        <f t="shared" ref="S77:S81" si="76">G77</f>
        <v>0.48655288393735396</v>
      </c>
      <c r="T77" s="45">
        <f t="shared" ref="T77:T81" si="77">H77</f>
        <v>0.64598011131626398</v>
      </c>
      <c r="U77" s="45">
        <f t="shared" ref="U77:U81" si="78">I77</f>
        <v>18.456562638552754</v>
      </c>
      <c r="V77" s="45">
        <f t="shared" ref="V77:V81" si="79">J77</f>
        <v>0.96694642657942831</v>
      </c>
      <c r="W77" s="45">
        <f t="shared" ref="W77:W81" si="80">K77</f>
        <v>0.76135430339586885</v>
      </c>
      <c r="X77" s="46"/>
      <c r="Y77" s="46"/>
      <c r="Z77" s="46"/>
    </row>
    <row r="78" spans="1:26" ht="31.35" customHeight="1">
      <c r="A78" s="825"/>
      <c r="B78" s="825"/>
      <c r="C78" s="966"/>
      <c r="D78" s="951"/>
      <c r="E78" s="23" t="s">
        <v>491</v>
      </c>
      <c r="F78" s="30">
        <f>'Input Sheet'!BH75</f>
        <v>1</v>
      </c>
      <c r="G78" s="30">
        <f>'Input Sheet'!BI75</f>
        <v>0.49455738194768334</v>
      </c>
      <c r="H78" s="30">
        <f>'Input Sheet'!BJ75</f>
        <v>0.3422070376631578</v>
      </c>
      <c r="I78" s="30">
        <f>'Input Sheet'!BK75</f>
        <v>3.9123780097664249E-2</v>
      </c>
      <c r="J78" s="30">
        <f>'Input Sheet'!BL75</f>
        <v>0.28011859705801123</v>
      </c>
      <c r="K78" s="30">
        <f>'Input Sheet'!BM75</f>
        <v>9.4725437337466571E-3</v>
      </c>
      <c r="L78" s="62">
        <v>1</v>
      </c>
      <c r="M78" s="30">
        <f t="shared" ref="M78:M81" si="81">L78/L$34</f>
        <v>0.2</v>
      </c>
      <c r="N78" s="29"/>
      <c r="O78" s="29"/>
      <c r="P78" s="29"/>
      <c r="Q78" s="29"/>
      <c r="R78" s="45">
        <f t="shared" ref="R78:R81" si="82">F78</f>
        <v>1</v>
      </c>
      <c r="S78" s="45">
        <f t="shared" si="76"/>
        <v>0.49455738194768334</v>
      </c>
      <c r="T78" s="45">
        <f t="shared" si="77"/>
        <v>0.3422070376631578</v>
      </c>
      <c r="U78" s="45">
        <f t="shared" si="78"/>
        <v>3.9123780097664249E-2</v>
      </c>
      <c r="V78" s="45">
        <f t="shared" si="79"/>
        <v>0.28011859705801123</v>
      </c>
      <c r="W78" s="45">
        <f t="shared" si="80"/>
        <v>9.4725437337466571E-3</v>
      </c>
      <c r="X78" s="46"/>
      <c r="Y78" s="46"/>
      <c r="Z78" s="46"/>
    </row>
    <row r="79" spans="1:26" ht="15.6">
      <c r="A79" s="825"/>
      <c r="B79" s="825"/>
      <c r="C79" s="966"/>
      <c r="D79" s="951"/>
      <c r="E79" s="23" t="s">
        <v>459</v>
      </c>
      <c r="F79" s="30">
        <f>'Input Sheet'!BH76</f>
        <v>1</v>
      </c>
      <c r="G79" s="30">
        <f>'Input Sheet'!BI76</f>
        <v>1</v>
      </c>
      <c r="H79" s="30">
        <f>'Input Sheet'!BJ76</f>
        <v>1</v>
      </c>
      <c r="I79" s="30">
        <f>'Input Sheet'!BK76</f>
        <v>0.30961868311660362</v>
      </c>
      <c r="J79" s="30">
        <f>'Input Sheet'!BL76</f>
        <v>1</v>
      </c>
      <c r="K79" s="30">
        <f>'Input Sheet'!BM76</f>
        <v>0.5900274563984732</v>
      </c>
      <c r="L79" s="62">
        <v>1</v>
      </c>
      <c r="M79" s="30">
        <f t="shared" si="81"/>
        <v>0.2</v>
      </c>
      <c r="N79" s="29"/>
      <c r="O79" s="29"/>
      <c r="P79" s="29"/>
      <c r="Q79" s="29"/>
      <c r="R79" s="45">
        <f t="shared" si="82"/>
        <v>1</v>
      </c>
      <c r="S79" s="45">
        <f t="shared" si="76"/>
        <v>1</v>
      </c>
      <c r="T79" s="45">
        <f t="shared" si="77"/>
        <v>1</v>
      </c>
      <c r="U79" s="45">
        <f t="shared" si="78"/>
        <v>0.30961868311660362</v>
      </c>
      <c r="V79" s="45">
        <f t="shared" si="79"/>
        <v>1</v>
      </c>
      <c r="W79" s="45">
        <f t="shared" si="80"/>
        <v>0.5900274563984732</v>
      </c>
      <c r="X79" s="46"/>
      <c r="Y79" s="46"/>
      <c r="Z79" s="46"/>
    </row>
    <row r="80" spans="1:26" ht="15.6">
      <c r="A80" s="825"/>
      <c r="B80" s="825"/>
      <c r="C80" s="966"/>
      <c r="D80" s="951"/>
      <c r="E80" s="23" t="s">
        <v>492</v>
      </c>
      <c r="F80" s="30">
        <f>'Input Sheet'!BH77</f>
        <v>1</v>
      </c>
      <c r="G80" s="30">
        <f>'Input Sheet'!BI77</f>
        <v>0.59155536436681477</v>
      </c>
      <c r="H80" s="30">
        <f>'Input Sheet'!BJ77</f>
        <v>0.59155536436681477</v>
      </c>
      <c r="I80" s="30">
        <f>'Input Sheet'!BK77</f>
        <v>4.8307416181102738</v>
      </c>
      <c r="J80" s="30">
        <f>'Input Sheet'!BL77</f>
        <v>0.59155536436681477</v>
      </c>
      <c r="K80" s="30">
        <f>'Input Sheet'!BM77</f>
        <v>4.8307416181102738</v>
      </c>
      <c r="L80" s="62">
        <v>1</v>
      </c>
      <c r="M80" s="30">
        <f t="shared" si="81"/>
        <v>0.2</v>
      </c>
      <c r="N80" s="29"/>
      <c r="O80" s="29"/>
      <c r="P80" s="29"/>
      <c r="Q80" s="29"/>
      <c r="R80" s="45">
        <f t="shared" si="82"/>
        <v>1</v>
      </c>
      <c r="S80" s="45">
        <f t="shared" si="76"/>
        <v>0.59155536436681477</v>
      </c>
      <c r="T80" s="45">
        <f t="shared" si="77"/>
        <v>0.59155536436681477</v>
      </c>
      <c r="U80" s="45">
        <f t="shared" si="78"/>
        <v>4.8307416181102738</v>
      </c>
      <c r="V80" s="45">
        <f t="shared" si="79"/>
        <v>0.59155536436681477</v>
      </c>
      <c r="W80" s="45">
        <f t="shared" si="80"/>
        <v>4.8307416181102738</v>
      </c>
      <c r="X80" s="46"/>
      <c r="Y80" s="46"/>
      <c r="Z80" s="46"/>
    </row>
    <row r="81" spans="1:26" ht="15.6">
      <c r="A81" s="825"/>
      <c r="B81" s="825"/>
      <c r="C81" s="966"/>
      <c r="D81" s="951"/>
      <c r="E81" s="34" t="s">
        <v>461</v>
      </c>
      <c r="F81" s="30">
        <f>'Input Sheet'!BH78</f>
        <v>1</v>
      </c>
      <c r="G81" s="30">
        <f>'Input Sheet'!BI78</f>
        <v>0.56471812200775884</v>
      </c>
      <c r="H81" s="30">
        <f>'Input Sheet'!BJ78</f>
        <v>0.33591098123916224</v>
      </c>
      <c r="I81" s="30">
        <f>'Input Sheet'!BK78</f>
        <v>0.13533528323661276</v>
      </c>
      <c r="J81" s="30">
        <f>'Input Sheet'!BL78</f>
        <v>1</v>
      </c>
      <c r="K81" s="30">
        <f>'Input Sheet'!BM78</f>
        <v>1</v>
      </c>
      <c r="L81" s="62">
        <v>1</v>
      </c>
      <c r="M81" s="30">
        <f t="shared" si="81"/>
        <v>0.2</v>
      </c>
      <c r="N81" s="29"/>
      <c r="O81" s="29"/>
      <c r="P81" s="29"/>
      <c r="Q81" s="29"/>
      <c r="R81" s="45">
        <f t="shared" si="82"/>
        <v>1</v>
      </c>
      <c r="S81" s="45">
        <f t="shared" si="76"/>
        <v>0.56471812200775884</v>
      </c>
      <c r="T81" s="45">
        <f t="shared" si="77"/>
        <v>0.33591098123916224</v>
      </c>
      <c r="U81" s="45">
        <f t="shared" si="78"/>
        <v>0.13533528323661276</v>
      </c>
      <c r="V81" s="45">
        <f t="shared" si="79"/>
        <v>1</v>
      </c>
      <c r="W81" s="45">
        <f t="shared" si="80"/>
        <v>1</v>
      </c>
      <c r="X81" s="46"/>
      <c r="Y81" s="46"/>
      <c r="Z81" s="46"/>
    </row>
    <row r="82" spans="1:26" ht="15.6">
      <c r="A82" s="825">
        <v>2</v>
      </c>
      <c r="B82" s="825"/>
      <c r="C82" s="966"/>
      <c r="D82" s="951"/>
      <c r="E82" s="23" t="s">
        <v>38</v>
      </c>
      <c r="F82" s="47"/>
      <c r="G82" s="47"/>
      <c r="H82" s="47"/>
      <c r="I82" s="47"/>
      <c r="J82" s="47"/>
      <c r="K82" s="47"/>
      <c r="L82" s="449">
        <f>SUM(L77:L81)</f>
        <v>5</v>
      </c>
      <c r="M82" s="872" t="s">
        <v>493</v>
      </c>
      <c r="N82" s="873"/>
      <c r="O82" s="873"/>
      <c r="P82" s="873"/>
      <c r="Q82" s="874"/>
      <c r="R82" s="45">
        <f>SUM(R77:R81)</f>
        <v>5</v>
      </c>
      <c r="S82" s="45">
        <f t="shared" ref="S82:T82" si="83">SUM(S77:S81)</f>
        <v>3.1373837522596109</v>
      </c>
      <c r="T82" s="45">
        <f t="shared" si="83"/>
        <v>2.9156534945853987</v>
      </c>
      <c r="U82" s="45">
        <f>SUM(U77:U81)</f>
        <v>23.77138200311391</v>
      </c>
      <c r="V82" s="45">
        <f>SUM(V77:V81)</f>
        <v>3.8386203880042542</v>
      </c>
      <c r="W82" s="45">
        <f>SUM(W77:W81)</f>
        <v>7.1915959216383625</v>
      </c>
      <c r="X82" s="48"/>
      <c r="Y82" s="48"/>
      <c r="Z82" s="48"/>
    </row>
    <row r="83" spans="1:26" ht="15.6">
      <c r="A83" s="825"/>
      <c r="B83" s="825"/>
      <c r="C83" s="966"/>
      <c r="D83" s="951"/>
      <c r="E83" s="23"/>
      <c r="F83" s="23"/>
      <c r="G83" s="23"/>
      <c r="H83" s="23"/>
      <c r="I83" s="23"/>
      <c r="J83" s="23"/>
      <c r="K83" s="23"/>
      <c r="L83" s="23"/>
      <c r="M83" s="872" t="s">
        <v>494</v>
      </c>
      <c r="N83" s="873"/>
      <c r="O83" s="873"/>
      <c r="P83" s="873"/>
      <c r="Q83" s="874"/>
      <c r="R83" s="45">
        <f>R82/SUM($R82:$W82)</f>
        <v>0.10904022982585992</v>
      </c>
      <c r="S83" s="45">
        <f t="shared" ref="S83" si="84">S82/SUM($R82:$W82)</f>
        <v>6.8420209079661343E-2</v>
      </c>
      <c r="T83" s="45">
        <f t="shared" ref="T83" si="85">T82/SUM($R82:$W82)</f>
        <v>6.3584705428432697E-2</v>
      </c>
      <c r="U83" s="45">
        <f>U82/SUM($R82:$W82)</f>
        <v>0.51840739137957026</v>
      </c>
      <c r="V83" s="45">
        <f>V82/SUM($R82:$W82)</f>
        <v>8.3712809864443086E-2</v>
      </c>
      <c r="W83" s="45">
        <f>W82/SUM($R82:$W82)</f>
        <v>0.15683465442203279</v>
      </c>
      <c r="X83" s="17"/>
      <c r="Y83" s="17"/>
      <c r="Z83" s="17"/>
    </row>
    <row r="84" spans="1:26" ht="15.6">
      <c r="A84" s="825"/>
      <c r="B84" s="825"/>
      <c r="C84" s="966"/>
      <c r="D84" s="951"/>
      <c r="E84" s="446"/>
      <c r="F84" s="941"/>
      <c r="G84" s="942"/>
      <c r="H84" s="942"/>
      <c r="I84" s="942"/>
      <c r="J84" s="942"/>
      <c r="K84" s="942"/>
      <c r="L84" s="942"/>
      <c r="M84" s="942"/>
      <c r="N84" s="942"/>
      <c r="O84" s="942"/>
      <c r="P84" s="942"/>
      <c r="Q84" s="942"/>
      <c r="R84" s="942"/>
      <c r="S84" s="942"/>
      <c r="T84" s="942"/>
      <c r="U84" s="942"/>
      <c r="V84" s="942"/>
      <c r="W84" s="943"/>
      <c r="X84" s="17"/>
      <c r="Y84" s="17"/>
      <c r="Z84" s="17"/>
    </row>
    <row r="85" spans="1:26" ht="15.6">
      <c r="A85" s="825"/>
      <c r="B85" s="825"/>
      <c r="C85" s="966"/>
      <c r="D85" s="951"/>
      <c r="E85" s="23"/>
      <c r="F85" s="30">
        <f>'Input Sheet'!BH80</f>
        <v>1</v>
      </c>
      <c r="G85" s="30">
        <f>'Input Sheet'!BI80</f>
        <v>0.9</v>
      </c>
      <c r="H85" s="30">
        <f>'Input Sheet'!BJ80</f>
        <v>0.75</v>
      </c>
      <c r="I85" s="30">
        <f>'Input Sheet'!BK80</f>
        <v>0.85</v>
      </c>
      <c r="J85" s="30">
        <f>'Input Sheet'!BL80</f>
        <v>0.55000000000000004</v>
      </c>
      <c r="K85" s="30">
        <f>'Input Sheet'!BM80</f>
        <v>0.35</v>
      </c>
      <c r="L85" s="23"/>
      <c r="M85" s="957" t="s">
        <v>495</v>
      </c>
      <c r="N85" s="958"/>
      <c r="O85" s="958"/>
      <c r="P85" s="958"/>
      <c r="Q85" s="959"/>
      <c r="R85" s="45">
        <f>R83*F85</f>
        <v>0.10904022982585992</v>
      </c>
      <c r="S85" s="45">
        <f t="shared" ref="S85" si="86">S83*G85</f>
        <v>6.1578188171695213E-2</v>
      </c>
      <c r="T85" s="45">
        <f t="shared" ref="T85" si="87">T83*H85</f>
        <v>4.7688529071324523E-2</v>
      </c>
      <c r="U85" s="45">
        <f>U83*I85</f>
        <v>0.44064628267263473</v>
      </c>
      <c r="V85" s="45">
        <f>V83*J85</f>
        <v>4.6042045425443698E-2</v>
      </c>
      <c r="W85" s="45">
        <f>W83*K85</f>
        <v>5.4892129047711472E-2</v>
      </c>
      <c r="X85" s="17"/>
      <c r="Y85" s="17"/>
      <c r="Z85" s="17"/>
    </row>
    <row r="86" spans="1:26" ht="15.6" customHeight="1">
      <c r="A86" s="825"/>
      <c r="B86" s="825"/>
      <c r="C86" s="966"/>
      <c r="D86" s="951"/>
      <c r="E86" s="23"/>
      <c r="F86" s="960" t="s">
        <v>923</v>
      </c>
      <c r="G86" s="961"/>
      <c r="H86" s="961"/>
      <c r="I86" s="961"/>
      <c r="J86" s="961"/>
      <c r="K86" s="961"/>
      <c r="L86" s="961"/>
      <c r="M86" s="961"/>
      <c r="N86" s="961"/>
      <c r="O86" s="961"/>
      <c r="P86" s="961"/>
      <c r="Q86" s="962"/>
      <c r="R86" s="45">
        <f>R85</f>
        <v>0.10904022982585992</v>
      </c>
      <c r="S86" s="45">
        <f>S85*'Input Sheet'!BI72/'Input Sheet'!BH72</f>
        <v>6.1578188171695213E-2</v>
      </c>
      <c r="T86" s="45">
        <f>T85*'Input Sheet'!BJ72/'Input Sheet'!BH72</f>
        <v>0</v>
      </c>
      <c r="U86" s="45">
        <f>U85</f>
        <v>0.44064628267263473</v>
      </c>
      <c r="V86" s="45">
        <f>V85</f>
        <v>4.6042045425443698E-2</v>
      </c>
      <c r="W86" s="45">
        <f>W85</f>
        <v>5.4892129047711472E-2</v>
      </c>
      <c r="X86" s="17"/>
      <c r="Y86" s="17"/>
      <c r="Z86" s="17"/>
    </row>
    <row r="87" spans="1:26" ht="15.6" customHeight="1">
      <c r="A87" s="825"/>
      <c r="B87" s="825"/>
      <c r="C87" s="966"/>
      <c r="D87" s="951"/>
      <c r="E87" s="23"/>
      <c r="F87" s="963" t="s">
        <v>924</v>
      </c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Q87" s="965"/>
      <c r="R87" s="50">
        <f>R86/(R86+U86+V86+W86+S86+T86)</f>
        <v>0.15310362545000269</v>
      </c>
      <c r="S87" s="50">
        <f>S86/(R86+S86+T86+U86+V86+W86)</f>
        <v>8.6462068841798301E-2</v>
      </c>
      <c r="T87" s="50">
        <f>T86/(R86+S86+T86+U86+V86+W86)</f>
        <v>0</v>
      </c>
      <c r="U87" s="50">
        <f>U86/(R86+U86+V86+W86+S86+T86)</f>
        <v>0.61871241032772673</v>
      </c>
      <c r="V87" s="50">
        <f>V86/(R86+U86+V86+W86+S86+T86)</f>
        <v>6.4647736794272201E-2</v>
      </c>
      <c r="W87" s="50">
        <f>W86/(R86+U86+V86+W86+S86+T86)</f>
        <v>7.7074158586200064E-2</v>
      </c>
      <c r="X87" s="17"/>
      <c r="Y87" s="17"/>
      <c r="Z87" s="17"/>
    </row>
    <row r="88" spans="1:26" ht="15.6" customHeight="1">
      <c r="A88" s="825"/>
      <c r="B88" s="825"/>
      <c r="C88" s="966"/>
      <c r="D88" s="951"/>
      <c r="E88" s="23"/>
      <c r="F88" s="963" t="s">
        <v>925</v>
      </c>
      <c r="G88" s="964"/>
      <c r="H88" s="964"/>
      <c r="I88" s="964"/>
      <c r="J88" s="964"/>
      <c r="K88" s="964"/>
      <c r="L88" s="964"/>
      <c r="M88" s="964"/>
      <c r="N88" s="964"/>
      <c r="O88" s="964"/>
      <c r="P88" s="964"/>
      <c r="Q88" s="965"/>
      <c r="R88" s="51">
        <f t="shared" ref="R88:W88" si="88">ROUND($C77*$E$2*R87/100,0)*100</f>
        <v>13100</v>
      </c>
      <c r="S88" s="51">
        <f t="shared" si="88"/>
        <v>7400</v>
      </c>
      <c r="T88" s="51">
        <f t="shared" si="88"/>
        <v>0</v>
      </c>
      <c r="U88" s="51">
        <f t="shared" si="88"/>
        <v>53100</v>
      </c>
      <c r="V88" s="51">
        <f t="shared" si="88"/>
        <v>5500</v>
      </c>
      <c r="W88" s="51">
        <f t="shared" si="88"/>
        <v>6600</v>
      </c>
      <c r="X88" s="17"/>
      <c r="Y88" s="17"/>
      <c r="Z88" s="17"/>
    </row>
    <row r="89" spans="1:26" ht="15.6">
      <c r="A89" s="825">
        <v>8</v>
      </c>
      <c r="B89" s="825" t="s">
        <v>642</v>
      </c>
      <c r="C89" s="966">
        <f>Buckets!S10</f>
        <v>0.17577942735949098</v>
      </c>
      <c r="D89" s="951" t="s">
        <v>490</v>
      </c>
      <c r="E89" s="23" t="s">
        <v>457</v>
      </c>
      <c r="F89" s="30">
        <f>'Input Sheet'!BH85</f>
        <v>1</v>
      </c>
      <c r="G89" s="30">
        <f>'Input Sheet'!BI85</f>
        <v>0.66438071371738139</v>
      </c>
      <c r="H89" s="30">
        <f>'Input Sheet'!BJ85</f>
        <v>0.71084558707790291</v>
      </c>
      <c r="I89" s="30">
        <f>'Input Sheet'!BK85</f>
        <v>44.060487527121865</v>
      </c>
      <c r="J89" s="30">
        <f>'Input Sheet'!BL85</f>
        <v>1.0840356029712135</v>
      </c>
      <c r="K89" s="30">
        <f>'Input Sheet'!BM85</f>
        <v>1.218430563525694</v>
      </c>
      <c r="L89" s="62">
        <v>1</v>
      </c>
      <c r="M89" s="30">
        <f>L89/L$34</f>
        <v>0.2</v>
      </c>
      <c r="N89" s="29"/>
      <c r="O89" s="29"/>
      <c r="P89" s="29"/>
      <c r="Q89" s="29"/>
      <c r="R89" s="45">
        <f>F89</f>
        <v>1</v>
      </c>
      <c r="S89" s="45">
        <f t="shared" ref="S89:S93" si="89">G89</f>
        <v>0.66438071371738139</v>
      </c>
      <c r="T89" s="45">
        <f t="shared" ref="T89:T93" si="90">H89</f>
        <v>0.71084558707790291</v>
      </c>
      <c r="U89" s="45">
        <f t="shared" ref="U89:U93" si="91">I89</f>
        <v>44.060487527121865</v>
      </c>
      <c r="V89" s="45">
        <f t="shared" ref="V89:V93" si="92">J89</f>
        <v>1.0840356029712135</v>
      </c>
      <c r="W89" s="45">
        <f t="shared" ref="W89:W93" si="93">K89</f>
        <v>1.218430563525694</v>
      </c>
      <c r="X89" s="46"/>
      <c r="Y89" s="46"/>
      <c r="Z89" s="46"/>
    </row>
    <row r="90" spans="1:26" ht="31.35" customHeight="1">
      <c r="A90" s="825"/>
      <c r="B90" s="825"/>
      <c r="C90" s="966"/>
      <c r="D90" s="951"/>
      <c r="E90" s="23" t="s">
        <v>491</v>
      </c>
      <c r="F90" s="30">
        <f>'Input Sheet'!BH86</f>
        <v>1</v>
      </c>
      <c r="G90" s="30">
        <f>'Input Sheet'!BI86</f>
        <v>0.53508693566079091</v>
      </c>
      <c r="H90" s="30">
        <f>'Input Sheet'!BJ86</f>
        <v>0.38438547488432728</v>
      </c>
      <c r="I90" s="30">
        <f>'Input Sheet'!BK86</f>
        <v>4.1414788156114532E-2</v>
      </c>
      <c r="J90" s="30">
        <f>'Input Sheet'!BL86</f>
        <v>0.32090921224557994</v>
      </c>
      <c r="K90" s="30">
        <f>'Input Sheet'!BM86</f>
        <v>1.5187312101899312E-2</v>
      </c>
      <c r="L90" s="62">
        <v>1</v>
      </c>
      <c r="M90" s="30">
        <f t="shared" ref="M90:M93" si="94">L90/L$34</f>
        <v>0.2</v>
      </c>
      <c r="N90" s="29"/>
      <c r="O90" s="29"/>
      <c r="P90" s="29"/>
      <c r="Q90" s="29"/>
      <c r="R90" s="45">
        <f t="shared" ref="R90:R93" si="95">F90</f>
        <v>1</v>
      </c>
      <c r="S90" s="45">
        <f t="shared" si="89"/>
        <v>0.53508693566079091</v>
      </c>
      <c r="T90" s="45">
        <f t="shared" si="90"/>
        <v>0.38438547488432728</v>
      </c>
      <c r="U90" s="45">
        <f t="shared" si="91"/>
        <v>4.1414788156114532E-2</v>
      </c>
      <c r="V90" s="45">
        <f t="shared" si="92"/>
        <v>0.32090921224557994</v>
      </c>
      <c r="W90" s="45">
        <f t="shared" si="93"/>
        <v>1.5187312101899312E-2</v>
      </c>
      <c r="X90" s="46"/>
      <c r="Y90" s="46"/>
      <c r="Z90" s="46"/>
    </row>
    <row r="91" spans="1:26" ht="15.6">
      <c r="A91" s="825"/>
      <c r="B91" s="825"/>
      <c r="C91" s="966"/>
      <c r="D91" s="951"/>
      <c r="E91" s="23" t="s">
        <v>459</v>
      </c>
      <c r="F91" s="30">
        <f>'Input Sheet'!BH87</f>
        <v>1</v>
      </c>
      <c r="G91" s="30">
        <f>'Input Sheet'!BI87</f>
        <v>1</v>
      </c>
      <c r="H91" s="30">
        <f>'Input Sheet'!BJ87</f>
        <v>1</v>
      </c>
      <c r="I91" s="30">
        <f>'Input Sheet'!BK87</f>
        <v>0.3605949401730783</v>
      </c>
      <c r="J91" s="30">
        <f>'Input Sheet'!BL87</f>
        <v>1</v>
      </c>
      <c r="K91" s="30">
        <f>'Input Sheet'!BM87</f>
        <v>0.68215389097645196</v>
      </c>
      <c r="L91" s="62">
        <v>1</v>
      </c>
      <c r="M91" s="30">
        <f t="shared" si="94"/>
        <v>0.2</v>
      </c>
      <c r="N91" s="29"/>
      <c r="O91" s="29"/>
      <c r="P91" s="29"/>
      <c r="Q91" s="29"/>
      <c r="R91" s="45">
        <f t="shared" si="95"/>
        <v>1</v>
      </c>
      <c r="S91" s="45">
        <f t="shared" si="89"/>
        <v>1</v>
      </c>
      <c r="T91" s="45">
        <f t="shared" si="90"/>
        <v>1</v>
      </c>
      <c r="U91" s="45">
        <f t="shared" si="91"/>
        <v>0.3605949401730783</v>
      </c>
      <c r="V91" s="45">
        <f t="shared" si="92"/>
        <v>1</v>
      </c>
      <c r="W91" s="45">
        <f t="shared" si="93"/>
        <v>0.68215389097645196</v>
      </c>
      <c r="X91" s="46"/>
      <c r="Y91" s="46"/>
      <c r="Z91" s="46"/>
    </row>
    <row r="92" spans="1:26" ht="15.6">
      <c r="A92" s="825"/>
      <c r="B92" s="825"/>
      <c r="C92" s="966"/>
      <c r="D92" s="951"/>
      <c r="E92" s="23" t="s">
        <v>492</v>
      </c>
      <c r="F92" s="30">
        <f>'Input Sheet'!BH88</f>
        <v>1</v>
      </c>
      <c r="G92" s="30">
        <f>'Input Sheet'!BI88</f>
        <v>0.59155536436681477</v>
      </c>
      <c r="H92" s="30">
        <f>'Input Sheet'!BJ88</f>
        <v>0.59155536436681477</v>
      </c>
      <c r="I92" s="30">
        <f>'Input Sheet'!BK88</f>
        <v>4.8307416181102738</v>
      </c>
      <c r="J92" s="30">
        <f>'Input Sheet'!BL88</f>
        <v>0.59155536436681477</v>
      </c>
      <c r="K92" s="30">
        <f>'Input Sheet'!BM88</f>
        <v>4.8307416181102738</v>
      </c>
      <c r="L92" s="62">
        <v>1</v>
      </c>
      <c r="M92" s="30">
        <f t="shared" si="94"/>
        <v>0.2</v>
      </c>
      <c r="N92" s="29"/>
      <c r="O92" s="29"/>
      <c r="P92" s="29"/>
      <c r="Q92" s="29"/>
      <c r="R92" s="45">
        <f t="shared" si="95"/>
        <v>1</v>
      </c>
      <c r="S92" s="45">
        <f t="shared" si="89"/>
        <v>0.59155536436681477</v>
      </c>
      <c r="T92" s="45">
        <f t="shared" si="90"/>
        <v>0.59155536436681477</v>
      </c>
      <c r="U92" s="45">
        <f t="shared" si="91"/>
        <v>4.8307416181102738</v>
      </c>
      <c r="V92" s="45">
        <f t="shared" si="92"/>
        <v>0.59155536436681477</v>
      </c>
      <c r="W92" s="45">
        <f t="shared" si="93"/>
        <v>4.8307416181102738</v>
      </c>
      <c r="X92" s="46"/>
      <c r="Y92" s="46"/>
      <c r="Z92" s="46"/>
    </row>
    <row r="93" spans="1:26" ht="15.6">
      <c r="A93" s="825"/>
      <c r="B93" s="825"/>
      <c r="C93" s="966"/>
      <c r="D93" s="951"/>
      <c r="E93" s="34" t="s">
        <v>461</v>
      </c>
      <c r="F93" s="30">
        <f>'Input Sheet'!BH89</f>
        <v>1</v>
      </c>
      <c r="G93" s="30">
        <f>'Input Sheet'!BI89</f>
        <v>0.56471812200775884</v>
      </c>
      <c r="H93" s="30">
        <f>'Input Sheet'!BJ89</f>
        <v>0.33591098123916224</v>
      </c>
      <c r="I93" s="30">
        <f>'Input Sheet'!BK89</f>
        <v>0.13533528323661276</v>
      </c>
      <c r="J93" s="30">
        <f>'Input Sheet'!BL89</f>
        <v>1</v>
      </c>
      <c r="K93" s="30">
        <f>'Input Sheet'!BM89</f>
        <v>1</v>
      </c>
      <c r="L93" s="62">
        <v>1</v>
      </c>
      <c r="M93" s="30">
        <f t="shared" si="94"/>
        <v>0.2</v>
      </c>
      <c r="N93" s="29"/>
      <c r="O93" s="29"/>
      <c r="P93" s="29"/>
      <c r="Q93" s="29"/>
      <c r="R93" s="45">
        <f t="shared" si="95"/>
        <v>1</v>
      </c>
      <c r="S93" s="45">
        <f t="shared" si="89"/>
        <v>0.56471812200775884</v>
      </c>
      <c r="T93" s="45">
        <f t="shared" si="90"/>
        <v>0.33591098123916224</v>
      </c>
      <c r="U93" s="45">
        <f t="shared" si="91"/>
        <v>0.13533528323661276</v>
      </c>
      <c r="V93" s="45">
        <f t="shared" si="92"/>
        <v>1</v>
      </c>
      <c r="W93" s="45">
        <f t="shared" si="93"/>
        <v>1</v>
      </c>
      <c r="X93" s="46"/>
      <c r="Y93" s="46"/>
      <c r="Z93" s="46"/>
    </row>
    <row r="94" spans="1:26" ht="15.6">
      <c r="A94" s="825">
        <v>2</v>
      </c>
      <c r="B94" s="825"/>
      <c r="C94" s="966"/>
      <c r="D94" s="951"/>
      <c r="E94" s="23" t="s">
        <v>38</v>
      </c>
      <c r="F94" s="47"/>
      <c r="G94" s="47"/>
      <c r="H94" s="47"/>
      <c r="I94" s="47"/>
      <c r="J94" s="47"/>
      <c r="K94" s="47"/>
      <c r="L94" s="449">
        <f>SUM(L89:L93)</f>
        <v>5</v>
      </c>
      <c r="M94" s="872" t="s">
        <v>493</v>
      </c>
      <c r="N94" s="873"/>
      <c r="O94" s="873"/>
      <c r="P94" s="873"/>
      <c r="Q94" s="874"/>
      <c r="R94" s="45">
        <f>SUM(R89:R93)</f>
        <v>5</v>
      </c>
      <c r="S94" s="45">
        <f t="shared" ref="S94:T94" si="96">SUM(S89:S93)</f>
        <v>3.355741135752746</v>
      </c>
      <c r="T94" s="45">
        <f t="shared" si="96"/>
        <v>3.0226974075682067</v>
      </c>
      <c r="U94" s="45">
        <f>SUM(U89:U93)</f>
        <v>49.42857415679795</v>
      </c>
      <c r="V94" s="45">
        <f>SUM(V89:V93)</f>
        <v>3.9965001795836077</v>
      </c>
      <c r="W94" s="45">
        <f>SUM(W89:W93)</f>
        <v>7.7465133847143193</v>
      </c>
      <c r="X94" s="48"/>
      <c r="Y94" s="48"/>
      <c r="Z94" s="48"/>
    </row>
    <row r="95" spans="1:26" ht="15.6">
      <c r="A95" s="825"/>
      <c r="B95" s="825"/>
      <c r="C95" s="966"/>
      <c r="D95" s="951"/>
      <c r="E95" s="23"/>
      <c r="F95" s="23"/>
      <c r="G95" s="23"/>
      <c r="H95" s="23"/>
      <c r="I95" s="23"/>
      <c r="J95" s="23"/>
      <c r="K95" s="23"/>
      <c r="L95" s="23"/>
      <c r="M95" s="872" t="s">
        <v>494</v>
      </c>
      <c r="N95" s="873"/>
      <c r="O95" s="873"/>
      <c r="P95" s="873"/>
      <c r="Q95" s="874"/>
      <c r="R95" s="45">
        <f>R94/SUM($R94:$W94)</f>
        <v>6.8917962645208844E-2</v>
      </c>
      <c r="S95" s="45">
        <f t="shared" ref="S95" si="97">S94/SUM($R94:$W94)</f>
        <v>4.6254168448159695E-2</v>
      </c>
      <c r="T95" s="45">
        <f t="shared" ref="T95" si="98">T94/SUM($R94:$W94)</f>
        <v>4.1663629404511057E-2</v>
      </c>
      <c r="U95" s="45">
        <f>U94/SUM($R94:$W94)</f>
        <v>0.68130332546882733</v>
      </c>
      <c r="V95" s="45">
        <f>V94/SUM($R94:$W94)</f>
        <v>5.5086130017622706E-2</v>
      </c>
      <c r="W95" s="45">
        <f>W94/SUM($R94:$W94)</f>
        <v>0.10677478401567037</v>
      </c>
      <c r="X95" s="17"/>
      <c r="Y95" s="17"/>
      <c r="Z95" s="17"/>
    </row>
    <row r="96" spans="1:26" ht="15.6">
      <c r="A96" s="825"/>
      <c r="B96" s="825"/>
      <c r="C96" s="966"/>
      <c r="D96" s="951"/>
      <c r="E96" s="446"/>
      <c r="F96" s="941"/>
      <c r="G96" s="942"/>
      <c r="H96" s="942"/>
      <c r="I96" s="942"/>
      <c r="J96" s="942"/>
      <c r="K96" s="942"/>
      <c r="L96" s="942"/>
      <c r="M96" s="942"/>
      <c r="N96" s="942"/>
      <c r="O96" s="942"/>
      <c r="P96" s="942"/>
      <c r="Q96" s="942"/>
      <c r="R96" s="942"/>
      <c r="S96" s="942"/>
      <c r="T96" s="942"/>
      <c r="U96" s="942"/>
      <c r="V96" s="942"/>
      <c r="W96" s="943"/>
      <c r="X96" s="17"/>
      <c r="Y96" s="17"/>
      <c r="Z96" s="17"/>
    </row>
    <row r="97" spans="1:26" ht="15.6">
      <c r="A97" s="825"/>
      <c r="B97" s="825"/>
      <c r="C97" s="966"/>
      <c r="D97" s="951"/>
      <c r="E97" s="23"/>
      <c r="F97" s="30">
        <f>'Input Sheet'!BH91</f>
        <v>1</v>
      </c>
      <c r="G97" s="30">
        <f>'Input Sheet'!BI91</f>
        <v>0.85</v>
      </c>
      <c r="H97" s="30">
        <f>'Input Sheet'!BJ91</f>
        <v>0.75</v>
      </c>
      <c r="I97" s="30">
        <f>'Input Sheet'!BK91</f>
        <v>0.85</v>
      </c>
      <c r="J97" s="30">
        <f>'Input Sheet'!BL91</f>
        <v>0.55000000000000004</v>
      </c>
      <c r="K97" s="30">
        <f>'Input Sheet'!BM91</f>
        <v>0.35</v>
      </c>
      <c r="L97" s="23"/>
      <c r="M97" s="957" t="s">
        <v>495</v>
      </c>
      <c r="N97" s="958"/>
      <c r="O97" s="958"/>
      <c r="P97" s="958"/>
      <c r="Q97" s="959"/>
      <c r="R97" s="45">
        <f>R95*F97</f>
        <v>6.8917962645208844E-2</v>
      </c>
      <c r="S97" s="45">
        <f t="shared" ref="S97" si="99">S95*G97</f>
        <v>3.9316043180935741E-2</v>
      </c>
      <c r="T97" s="45">
        <f t="shared" ref="T97" si="100">T95*H97</f>
        <v>3.1247722053383293E-2</v>
      </c>
      <c r="U97" s="45">
        <f>U95*I97</f>
        <v>0.57910782664850324</v>
      </c>
      <c r="V97" s="45">
        <f>V95*J97</f>
        <v>3.029737150969249E-2</v>
      </c>
      <c r="W97" s="45">
        <f>W95*K97</f>
        <v>3.7371174405484625E-2</v>
      </c>
      <c r="X97" s="17"/>
      <c r="Y97" s="17"/>
      <c r="Z97" s="17"/>
    </row>
    <row r="98" spans="1:26" ht="15.6" customHeight="1">
      <c r="A98" s="825"/>
      <c r="B98" s="825"/>
      <c r="C98" s="966"/>
      <c r="D98" s="951"/>
      <c r="E98" s="23"/>
      <c r="F98" s="960" t="s">
        <v>923</v>
      </c>
      <c r="G98" s="961"/>
      <c r="H98" s="961"/>
      <c r="I98" s="961"/>
      <c r="J98" s="961"/>
      <c r="K98" s="961"/>
      <c r="L98" s="961"/>
      <c r="M98" s="961"/>
      <c r="N98" s="961"/>
      <c r="O98" s="961"/>
      <c r="P98" s="961"/>
      <c r="Q98" s="962"/>
      <c r="R98" s="45">
        <f>R97</f>
        <v>6.8917962645208844E-2</v>
      </c>
      <c r="S98" s="45">
        <f>S97*'Input Sheet'!BI83/'Input Sheet'!BH83</f>
        <v>2.9202408520974953E-2</v>
      </c>
      <c r="T98" s="45">
        <f>T97*'Input Sheet'!BJ83/'Input Sheet'!BH83</f>
        <v>0</v>
      </c>
      <c r="U98" s="45">
        <f>U97</f>
        <v>0.57910782664850324</v>
      </c>
      <c r="V98" s="45">
        <f>V97</f>
        <v>3.029737150969249E-2</v>
      </c>
      <c r="W98" s="45">
        <f>W97</f>
        <v>3.7371174405484625E-2</v>
      </c>
      <c r="X98" s="17"/>
      <c r="Y98" s="17"/>
      <c r="Z98" s="17"/>
    </row>
    <row r="99" spans="1:26" ht="15.6" customHeight="1">
      <c r="A99" s="825"/>
      <c r="B99" s="825"/>
      <c r="C99" s="966"/>
      <c r="D99" s="951"/>
      <c r="E99" s="23"/>
      <c r="F99" s="963" t="s">
        <v>924</v>
      </c>
      <c r="G99" s="964"/>
      <c r="H99" s="964"/>
      <c r="I99" s="964"/>
      <c r="J99" s="964"/>
      <c r="K99" s="964"/>
      <c r="L99" s="964"/>
      <c r="M99" s="964"/>
      <c r="N99" s="964"/>
      <c r="O99" s="964"/>
      <c r="P99" s="964"/>
      <c r="Q99" s="965"/>
      <c r="R99" s="50">
        <f>R98/(R98+U98+V98+W98+S98+T98)</f>
        <v>9.2520155612603738E-2</v>
      </c>
      <c r="S99" s="50">
        <f>S98/(R98+S98+T98+U98+V98+W98)</f>
        <v>3.9203297325146005E-2</v>
      </c>
      <c r="T99" s="50">
        <f>T98/(R98+S98+T98+U98+V98+W98)</f>
        <v>0</v>
      </c>
      <c r="U99" s="50">
        <f>U98/(R98+U98+V98+W98+S98+T98)</f>
        <v>0.7774336933583319</v>
      </c>
      <c r="V99" s="50">
        <f>V98/(R98+U98+V98+W98+S98+T98)</f>
        <v>4.067325003729616E-2</v>
      </c>
      <c r="W99" s="50">
        <f>W98/(R98+U98+V98+W98+S98+T98)</f>
        <v>5.0169603666622049E-2</v>
      </c>
      <c r="X99" s="17"/>
      <c r="Y99" s="17"/>
      <c r="Z99" s="17"/>
    </row>
    <row r="100" spans="1:26" ht="15.6" customHeight="1">
      <c r="A100" s="825"/>
      <c r="B100" s="825"/>
      <c r="C100" s="966"/>
      <c r="D100" s="951"/>
      <c r="E100" s="23"/>
      <c r="F100" s="963" t="s">
        <v>925</v>
      </c>
      <c r="G100" s="964"/>
      <c r="H100" s="964"/>
      <c r="I100" s="964"/>
      <c r="J100" s="964"/>
      <c r="K100" s="964"/>
      <c r="L100" s="964"/>
      <c r="M100" s="964"/>
      <c r="N100" s="964"/>
      <c r="O100" s="964"/>
      <c r="P100" s="964"/>
      <c r="Q100" s="965"/>
      <c r="R100" s="51">
        <f t="shared" ref="R100:W100" si="101">ROUND($C89*$E$2*R99/100,0)*100</f>
        <v>11500</v>
      </c>
      <c r="S100" s="51">
        <f t="shared" si="101"/>
        <v>4900</v>
      </c>
      <c r="T100" s="51">
        <f t="shared" si="101"/>
        <v>0</v>
      </c>
      <c r="U100" s="51">
        <f t="shared" si="101"/>
        <v>96700</v>
      </c>
      <c r="V100" s="51">
        <f t="shared" si="101"/>
        <v>5100</v>
      </c>
      <c r="W100" s="51">
        <f t="shared" si="101"/>
        <v>6200</v>
      </c>
      <c r="X100" s="17"/>
      <c r="Y100" s="17"/>
      <c r="Z100" s="17"/>
    </row>
    <row r="101" spans="1:26" ht="15.75" customHeight="1">
      <c r="A101" s="825">
        <v>9</v>
      </c>
      <c r="B101" s="878" t="s">
        <v>643</v>
      </c>
      <c r="C101" s="966">
        <f>Buckets!S11</f>
        <v>6.2735949098621416E-2</v>
      </c>
      <c r="D101" s="951" t="s">
        <v>490</v>
      </c>
      <c r="E101" s="23" t="s">
        <v>457</v>
      </c>
      <c r="F101" s="30">
        <f>'Input Sheet'!BH96</f>
        <v>1</v>
      </c>
      <c r="G101" s="30">
        <f>'Input Sheet'!BI96</f>
        <v>0.700603203351432</v>
      </c>
      <c r="H101" s="30">
        <f>'Input Sheet'!BJ96</f>
        <v>0.79798444074139652</v>
      </c>
      <c r="I101" s="30">
        <f>'Input Sheet'!BK96</f>
        <v>170.44949142752498</v>
      </c>
      <c r="J101" s="30">
        <f>'Input Sheet'!BL96</f>
        <v>1.3034404804498525</v>
      </c>
      <c r="K101" s="30">
        <f>'Input Sheet'!BM96</f>
        <v>1.2309717455561675</v>
      </c>
      <c r="L101" s="62">
        <v>1</v>
      </c>
      <c r="M101" s="30">
        <f>L101/L$34</f>
        <v>0.2</v>
      </c>
      <c r="N101" s="29"/>
      <c r="O101" s="29"/>
      <c r="P101" s="29"/>
      <c r="Q101" s="29"/>
      <c r="R101" s="45">
        <f>F101</f>
        <v>1</v>
      </c>
      <c r="S101" s="45">
        <f t="shared" ref="S101:S105" si="102">G101</f>
        <v>0.700603203351432</v>
      </c>
      <c r="T101" s="45">
        <f t="shared" ref="T101:T105" si="103">H101</f>
        <v>0.79798444074139652</v>
      </c>
      <c r="U101" s="45">
        <f t="shared" ref="U101:U105" si="104">I101</f>
        <v>170.44949142752498</v>
      </c>
      <c r="V101" s="45">
        <f t="shared" ref="V101:V105" si="105">J101</f>
        <v>1.3034404804498525</v>
      </c>
      <c r="W101" s="45">
        <f t="shared" ref="W101:W105" si="106">K101</f>
        <v>1.2309717455561675</v>
      </c>
      <c r="X101" s="46"/>
      <c r="Y101" s="46"/>
      <c r="Z101" s="46"/>
    </row>
    <row r="102" spans="1:26" ht="31.2">
      <c r="A102" s="825"/>
      <c r="B102" s="879"/>
      <c r="C102" s="966"/>
      <c r="D102" s="951"/>
      <c r="E102" s="23" t="s">
        <v>491</v>
      </c>
      <c r="F102" s="30">
        <f>'Input Sheet'!BH97</f>
        <v>1</v>
      </c>
      <c r="G102" s="30">
        <f>'Input Sheet'!BI97</f>
        <v>0.53627949977360989</v>
      </c>
      <c r="H102" s="30">
        <f>'Input Sheet'!BJ97</f>
        <v>0.38608781797014741</v>
      </c>
      <c r="I102" s="30">
        <f>'Input Sheet'!BK97</f>
        <v>3.012273105720268E-2</v>
      </c>
      <c r="J102" s="30">
        <f>'Input Sheet'!BL97</f>
        <v>0.32266978124076812</v>
      </c>
      <c r="K102" s="30">
        <f>'Input Sheet'!BM97</f>
        <v>7.4353913026001242E-3</v>
      </c>
      <c r="L102" s="62">
        <v>1</v>
      </c>
      <c r="M102" s="30">
        <f t="shared" ref="M102:M105" si="107">L102/L$34</f>
        <v>0.2</v>
      </c>
      <c r="N102" s="29"/>
      <c r="O102" s="29"/>
      <c r="P102" s="29"/>
      <c r="Q102" s="29"/>
      <c r="R102" s="45">
        <f t="shared" ref="R102:R105" si="108">F102</f>
        <v>1</v>
      </c>
      <c r="S102" s="45">
        <f t="shared" si="102"/>
        <v>0.53627949977360989</v>
      </c>
      <c r="T102" s="45">
        <f t="shared" si="103"/>
        <v>0.38608781797014741</v>
      </c>
      <c r="U102" s="45">
        <f t="shared" si="104"/>
        <v>3.012273105720268E-2</v>
      </c>
      <c r="V102" s="45">
        <f t="shared" si="105"/>
        <v>0.32266978124076812</v>
      </c>
      <c r="W102" s="45">
        <f t="shared" si="106"/>
        <v>7.4353913026001242E-3</v>
      </c>
      <c r="X102" s="46"/>
      <c r="Y102" s="46"/>
      <c r="Z102" s="46"/>
    </row>
    <row r="103" spans="1:26" ht="15.6">
      <c r="A103" s="825"/>
      <c r="B103" s="879"/>
      <c r="C103" s="966"/>
      <c r="D103" s="951"/>
      <c r="E103" s="23" t="s">
        <v>459</v>
      </c>
      <c r="F103" s="30">
        <f>'Input Sheet'!BH98</f>
        <v>1</v>
      </c>
      <c r="G103" s="30">
        <f>'Input Sheet'!BI98</f>
        <v>1</v>
      </c>
      <c r="H103" s="30">
        <f>'Input Sheet'!BJ98</f>
        <v>1</v>
      </c>
      <c r="I103" s="30">
        <f>'Input Sheet'!BK98</f>
        <v>0.42147281477591775</v>
      </c>
      <c r="J103" s="30">
        <f>'Input Sheet'!BL98</f>
        <v>1</v>
      </c>
      <c r="K103" s="30">
        <f>'Input Sheet'!BM98</f>
        <v>0.71217716489086835</v>
      </c>
      <c r="L103" s="62">
        <v>1</v>
      </c>
      <c r="M103" s="30">
        <f t="shared" si="107"/>
        <v>0.2</v>
      </c>
      <c r="N103" s="29"/>
      <c r="O103" s="29"/>
      <c r="P103" s="29"/>
      <c r="Q103" s="29"/>
      <c r="R103" s="45">
        <f t="shared" si="108"/>
        <v>1</v>
      </c>
      <c r="S103" s="45">
        <f t="shared" si="102"/>
        <v>1</v>
      </c>
      <c r="T103" s="45">
        <f t="shared" si="103"/>
        <v>1</v>
      </c>
      <c r="U103" s="45">
        <f t="shared" si="104"/>
        <v>0.42147281477591775</v>
      </c>
      <c r="V103" s="45">
        <f t="shared" si="105"/>
        <v>1</v>
      </c>
      <c r="W103" s="45">
        <f t="shared" si="106"/>
        <v>0.71217716489086835</v>
      </c>
      <c r="X103" s="46"/>
      <c r="Y103" s="46"/>
      <c r="Z103" s="46"/>
    </row>
    <row r="104" spans="1:26" ht="15.6">
      <c r="A104" s="825"/>
      <c r="B104" s="879"/>
      <c r="C104" s="966"/>
      <c r="D104" s="951"/>
      <c r="E104" s="23" t="s">
        <v>492</v>
      </c>
      <c r="F104" s="30">
        <f>'Input Sheet'!BH99</f>
        <v>1</v>
      </c>
      <c r="G104" s="30">
        <f>'Input Sheet'!BI99</f>
        <v>0.66697681085847416</v>
      </c>
      <c r="H104" s="30">
        <f>'Input Sheet'!BJ99</f>
        <v>0.66697681085847416</v>
      </c>
      <c r="I104" s="30">
        <f>'Input Sheet'!BK99</f>
        <v>3.3702940643216048</v>
      </c>
      <c r="J104" s="30">
        <f>'Input Sheet'!BL99</f>
        <v>0.66697681085847416</v>
      </c>
      <c r="K104" s="30">
        <f>'Input Sheet'!BM99</f>
        <v>3.3702940643216048</v>
      </c>
      <c r="L104" s="62">
        <v>1</v>
      </c>
      <c r="M104" s="30">
        <f t="shared" si="107"/>
        <v>0.2</v>
      </c>
      <c r="N104" s="29"/>
      <c r="O104" s="29"/>
      <c r="P104" s="29"/>
      <c r="Q104" s="29"/>
      <c r="R104" s="45">
        <f t="shared" si="108"/>
        <v>1</v>
      </c>
      <c r="S104" s="45">
        <f t="shared" si="102"/>
        <v>0.66697681085847416</v>
      </c>
      <c r="T104" s="45">
        <f t="shared" si="103"/>
        <v>0.66697681085847416</v>
      </c>
      <c r="U104" s="45">
        <f t="shared" si="104"/>
        <v>3.3702940643216048</v>
      </c>
      <c r="V104" s="45">
        <f t="shared" si="105"/>
        <v>0.66697681085847416</v>
      </c>
      <c r="W104" s="45">
        <f t="shared" si="106"/>
        <v>3.3702940643216048</v>
      </c>
      <c r="X104" s="46"/>
      <c r="Y104" s="46"/>
      <c r="Z104" s="46"/>
    </row>
    <row r="105" spans="1:26" ht="15.6">
      <c r="A105" s="825"/>
      <c r="B105" s="879"/>
      <c r="C105" s="966"/>
      <c r="D105" s="951"/>
      <c r="E105" s="34" t="s">
        <v>461</v>
      </c>
      <c r="F105" s="30">
        <f>'Input Sheet'!BH100</f>
        <v>1</v>
      </c>
      <c r="G105" s="30">
        <f>'Input Sheet'!BI100</f>
        <v>0.56471812200775884</v>
      </c>
      <c r="H105" s="30">
        <f>'Input Sheet'!BJ100</f>
        <v>0.33591098123916224</v>
      </c>
      <c r="I105" s="30">
        <f>'Input Sheet'!BK100</f>
        <v>0.13533528323661276</v>
      </c>
      <c r="J105" s="30">
        <f>'Input Sheet'!BL100</f>
        <v>1</v>
      </c>
      <c r="K105" s="30">
        <f>'Input Sheet'!BM100</f>
        <v>1</v>
      </c>
      <c r="L105" s="62">
        <v>1</v>
      </c>
      <c r="M105" s="30">
        <f t="shared" si="107"/>
        <v>0.2</v>
      </c>
      <c r="N105" s="29"/>
      <c r="O105" s="29"/>
      <c r="P105" s="29"/>
      <c r="Q105" s="29"/>
      <c r="R105" s="45">
        <f t="shared" si="108"/>
        <v>1</v>
      </c>
      <c r="S105" s="45">
        <f t="shared" si="102"/>
        <v>0.56471812200775884</v>
      </c>
      <c r="T105" s="45">
        <f t="shared" si="103"/>
        <v>0.33591098123916224</v>
      </c>
      <c r="U105" s="45">
        <f t="shared" si="104"/>
        <v>0.13533528323661276</v>
      </c>
      <c r="V105" s="45">
        <f t="shared" si="105"/>
        <v>1</v>
      </c>
      <c r="W105" s="45">
        <f t="shared" si="106"/>
        <v>1</v>
      </c>
      <c r="X105" s="46"/>
      <c r="Y105" s="46"/>
      <c r="Z105" s="46"/>
    </row>
    <row r="106" spans="1:26" ht="15.6">
      <c r="A106" s="825">
        <v>2</v>
      </c>
      <c r="B106" s="879"/>
      <c r="C106" s="966"/>
      <c r="D106" s="951"/>
      <c r="E106" s="23" t="s">
        <v>38</v>
      </c>
      <c r="F106" s="47"/>
      <c r="G106" s="47"/>
      <c r="H106" s="47"/>
      <c r="I106" s="47"/>
      <c r="J106" s="47"/>
      <c r="K106" s="47"/>
      <c r="L106" s="449">
        <f>SUM(L101:L105)</f>
        <v>5</v>
      </c>
      <c r="M106" s="872" t="s">
        <v>493</v>
      </c>
      <c r="N106" s="873"/>
      <c r="O106" s="873"/>
      <c r="P106" s="873"/>
      <c r="Q106" s="874"/>
      <c r="R106" s="45">
        <f>SUM(R101:R105)</f>
        <v>5</v>
      </c>
      <c r="S106" s="45">
        <f t="shared" ref="S106:T106" si="109">SUM(S101:S105)</f>
        <v>3.4685776359912746</v>
      </c>
      <c r="T106" s="45">
        <f t="shared" si="109"/>
        <v>3.1869600508091804</v>
      </c>
      <c r="U106" s="45">
        <f>SUM(U101:U105)</f>
        <v>174.40671632091627</v>
      </c>
      <c r="V106" s="45">
        <f>SUM(V101:V105)</f>
        <v>4.2930870725490955</v>
      </c>
      <c r="W106" s="45">
        <f>SUM(W101:W105)</f>
        <v>6.3208783660712413</v>
      </c>
      <c r="X106" s="48"/>
      <c r="Y106" s="48"/>
      <c r="Z106" s="48"/>
    </row>
    <row r="107" spans="1:26" ht="15.6">
      <c r="A107" s="825"/>
      <c r="B107" s="879"/>
      <c r="C107" s="966"/>
      <c r="D107" s="951"/>
      <c r="E107" s="23"/>
      <c r="F107" s="23"/>
      <c r="G107" s="23"/>
      <c r="H107" s="23"/>
      <c r="I107" s="23"/>
      <c r="J107" s="23"/>
      <c r="K107" s="23"/>
      <c r="L107" s="23"/>
      <c r="M107" s="872" t="s">
        <v>494</v>
      </c>
      <c r="N107" s="873"/>
      <c r="O107" s="873"/>
      <c r="P107" s="873"/>
      <c r="Q107" s="874"/>
      <c r="R107" s="45">
        <f>R106/SUM($R106:$W106)</f>
        <v>2.5422493955169021E-2</v>
      </c>
      <c r="S107" s="45">
        <f t="shared" ref="S107" si="110">S106/SUM($R106:$W106)</f>
        <v>1.7635978796804529E-2</v>
      </c>
      <c r="T107" s="45">
        <f t="shared" ref="T107" si="111">T106/SUM($R106:$W106)</f>
        <v>1.620409452541231E-2</v>
      </c>
      <c r="U107" s="45">
        <f>U106/SUM($R106:$W106)</f>
        <v>0.88677073828187447</v>
      </c>
      <c r="V107" s="45">
        <f>V106/SUM($R106:$W106)</f>
        <v>2.1828196030178732E-2</v>
      </c>
      <c r="W107" s="45">
        <f>W106/SUM($R106:$W106)</f>
        <v>3.2138498410560955E-2</v>
      </c>
      <c r="X107" s="17"/>
      <c r="Y107" s="17"/>
      <c r="Z107" s="17"/>
    </row>
    <row r="108" spans="1:26" ht="15.6">
      <c r="A108" s="825"/>
      <c r="B108" s="879"/>
      <c r="C108" s="966"/>
      <c r="D108" s="951"/>
      <c r="E108" s="446"/>
      <c r="F108" s="941"/>
      <c r="G108" s="942"/>
      <c r="H108" s="942"/>
      <c r="I108" s="942"/>
      <c r="J108" s="942"/>
      <c r="K108" s="942"/>
      <c r="L108" s="942"/>
      <c r="M108" s="942"/>
      <c r="N108" s="942"/>
      <c r="O108" s="942"/>
      <c r="P108" s="942"/>
      <c r="Q108" s="942"/>
      <c r="R108" s="942"/>
      <c r="S108" s="942"/>
      <c r="T108" s="942"/>
      <c r="U108" s="942"/>
      <c r="V108" s="942"/>
      <c r="W108" s="943"/>
      <c r="X108" s="17"/>
      <c r="Y108" s="17"/>
      <c r="Z108" s="17"/>
    </row>
    <row r="109" spans="1:26" ht="15.6">
      <c r="A109" s="825"/>
      <c r="B109" s="879"/>
      <c r="C109" s="966"/>
      <c r="D109" s="951"/>
      <c r="E109" s="23"/>
      <c r="F109" s="30">
        <f>'Input Sheet'!BH102</f>
        <v>1</v>
      </c>
      <c r="G109" s="30">
        <f>'Input Sheet'!BI102</f>
        <v>0.85</v>
      </c>
      <c r="H109" s="30">
        <f>'Input Sheet'!BJ102</f>
        <v>0.75</v>
      </c>
      <c r="I109" s="30">
        <f>'Input Sheet'!BK102</f>
        <v>0.85</v>
      </c>
      <c r="J109" s="30">
        <f>'Input Sheet'!BL102</f>
        <v>0.55000000000000004</v>
      </c>
      <c r="K109" s="30">
        <f>'Input Sheet'!BM102</f>
        <v>0.35</v>
      </c>
      <c r="L109" s="23"/>
      <c r="M109" s="957" t="s">
        <v>495</v>
      </c>
      <c r="N109" s="958"/>
      <c r="O109" s="958"/>
      <c r="P109" s="958"/>
      <c r="Q109" s="959"/>
      <c r="R109" s="45">
        <f>R107*F109</f>
        <v>2.5422493955169021E-2</v>
      </c>
      <c r="S109" s="45">
        <f t="shared" ref="S109" si="112">S107*G109</f>
        <v>1.4990581977283849E-2</v>
      </c>
      <c r="T109" s="45">
        <f t="shared" ref="T109" si="113">T107*H109</f>
        <v>1.2153070894059231E-2</v>
      </c>
      <c r="U109" s="45">
        <f>U107*I109</f>
        <v>0.75375512753959328</v>
      </c>
      <c r="V109" s="45">
        <f>V107*J109</f>
        <v>1.2005507816598303E-2</v>
      </c>
      <c r="W109" s="45">
        <f>W107*K109</f>
        <v>1.1248474443696333E-2</v>
      </c>
      <c r="X109" s="17"/>
      <c r="Y109" s="17"/>
      <c r="Z109" s="17"/>
    </row>
    <row r="110" spans="1:26" ht="15.6" customHeight="1">
      <c r="A110" s="825"/>
      <c r="B110" s="879"/>
      <c r="C110" s="966"/>
      <c r="D110" s="951"/>
      <c r="E110" s="23"/>
      <c r="F110" s="960" t="s">
        <v>923</v>
      </c>
      <c r="G110" s="961"/>
      <c r="H110" s="961"/>
      <c r="I110" s="961"/>
      <c r="J110" s="961"/>
      <c r="K110" s="961"/>
      <c r="L110" s="961"/>
      <c r="M110" s="961"/>
      <c r="N110" s="961"/>
      <c r="O110" s="961"/>
      <c r="P110" s="961"/>
      <c r="Q110" s="962"/>
      <c r="R110" s="45">
        <f>R109</f>
        <v>2.5422493955169021E-2</v>
      </c>
      <c r="S110" s="45">
        <f>S109*'Input Sheet'!BI94/'Input Sheet'!BH94</f>
        <v>1.4990581977283849E-2</v>
      </c>
      <c r="T110" s="45">
        <f>T109*'Input Sheet'!BJ94/'Input Sheet'!BH94</f>
        <v>0</v>
      </c>
      <c r="U110" s="45">
        <f>U109</f>
        <v>0.75375512753959328</v>
      </c>
      <c r="V110" s="45">
        <f>V109</f>
        <v>1.2005507816598303E-2</v>
      </c>
      <c r="W110" s="45">
        <f>W109</f>
        <v>1.1248474443696333E-2</v>
      </c>
      <c r="X110" s="17"/>
      <c r="Y110" s="17"/>
      <c r="Z110" s="17"/>
    </row>
    <row r="111" spans="1:26" ht="15.6" customHeight="1">
      <c r="A111" s="825"/>
      <c r="B111" s="879"/>
      <c r="C111" s="966"/>
      <c r="D111" s="951"/>
      <c r="E111" s="23"/>
      <c r="F111" s="963" t="s">
        <v>924</v>
      </c>
      <c r="G111" s="964"/>
      <c r="H111" s="964"/>
      <c r="I111" s="964"/>
      <c r="J111" s="964"/>
      <c r="K111" s="964"/>
      <c r="L111" s="964"/>
      <c r="M111" s="964"/>
      <c r="N111" s="964"/>
      <c r="O111" s="964"/>
      <c r="P111" s="964"/>
      <c r="Q111" s="965"/>
      <c r="R111" s="50">
        <f>R110/(R110+U110+V110+W110+S110+T110)</f>
        <v>3.1100812283914984E-2</v>
      </c>
      <c r="S111" s="50">
        <f>S110/(R110+S110+T110+U110+V110+W110)</f>
        <v>1.8338848931355539E-2</v>
      </c>
      <c r="T111" s="50">
        <f>T110/(R110+S110+T110+U110+V110+W110)</f>
        <v>0</v>
      </c>
      <c r="U111" s="50">
        <f>U110/(R110+U110+V110+W110+S110+T110)</f>
        <v>0.92211239270964085</v>
      </c>
      <c r="V111" s="50">
        <f>V110/(R110+U110+V110+W110+S110+T110)</f>
        <v>1.4687034467803671E-2</v>
      </c>
      <c r="W111" s="50">
        <f>W110/(R110+U110+V110+W110+S110+T110)</f>
        <v>1.3760911607284864E-2</v>
      </c>
      <c r="X111" s="17"/>
      <c r="Y111" s="17"/>
      <c r="Z111" s="17"/>
    </row>
    <row r="112" spans="1:26" ht="15.6" customHeight="1">
      <c r="A112" s="825"/>
      <c r="B112" s="880"/>
      <c r="C112" s="966"/>
      <c r="D112" s="951"/>
      <c r="E112" s="23"/>
      <c r="F112" s="963" t="s">
        <v>925</v>
      </c>
      <c r="G112" s="964"/>
      <c r="H112" s="964"/>
      <c r="I112" s="964"/>
      <c r="J112" s="964"/>
      <c r="K112" s="964"/>
      <c r="L112" s="964"/>
      <c r="M112" s="964"/>
      <c r="N112" s="964"/>
      <c r="O112" s="964"/>
      <c r="P112" s="964"/>
      <c r="Q112" s="965"/>
      <c r="R112" s="51">
        <f t="shared" ref="R112:W112" si="114">ROUND($C101*$E$2*R111/100,0)*100</f>
        <v>1400</v>
      </c>
      <c r="S112" s="51">
        <f t="shared" si="114"/>
        <v>800</v>
      </c>
      <c r="T112" s="51">
        <f t="shared" si="114"/>
        <v>0</v>
      </c>
      <c r="U112" s="51">
        <f t="shared" si="114"/>
        <v>40900</v>
      </c>
      <c r="V112" s="51">
        <f t="shared" si="114"/>
        <v>700</v>
      </c>
      <c r="W112" s="51">
        <f t="shared" si="114"/>
        <v>600</v>
      </c>
      <c r="X112" s="17"/>
      <c r="Y112" s="17"/>
      <c r="Z112" s="17"/>
    </row>
    <row r="113" spans="1:26" ht="15.75" customHeight="1">
      <c r="A113" s="825">
        <v>10</v>
      </c>
      <c r="B113" s="878" t="s">
        <v>636</v>
      </c>
      <c r="C113" s="966">
        <f>Buckets!S12</f>
        <v>4.6984800282785434E-2</v>
      </c>
      <c r="D113" s="951" t="s">
        <v>490</v>
      </c>
      <c r="E113" s="23" t="s">
        <v>457</v>
      </c>
      <c r="F113" s="30">
        <f>'Input Sheet'!BH107</f>
        <v>1</v>
      </c>
      <c r="G113" s="30">
        <f>'Input Sheet'!BI107</f>
        <v>0.73441599727373819</v>
      </c>
      <c r="H113" s="30">
        <f>'Input Sheet'!BJ107</f>
        <v>0.71520960139900569</v>
      </c>
      <c r="I113" s="30">
        <f>'Input Sheet'!BK107</f>
        <v>406.74261469920839</v>
      </c>
      <c r="J113" s="30">
        <f>'Input Sheet'!BL107</f>
        <v>1.3538130511891795</v>
      </c>
      <c r="K113" s="30">
        <f>'Input Sheet'!BM107</f>
        <v>1.2594769046035206</v>
      </c>
      <c r="L113" s="62">
        <v>1</v>
      </c>
      <c r="M113" s="30">
        <f>L113/L$34</f>
        <v>0.2</v>
      </c>
      <c r="N113" s="29"/>
      <c r="O113" s="29"/>
      <c r="P113" s="29"/>
      <c r="Q113" s="29"/>
      <c r="R113" s="45">
        <f>F113</f>
        <v>1</v>
      </c>
      <c r="S113" s="45">
        <f t="shared" ref="S113:S117" si="115">G113</f>
        <v>0.73441599727373819</v>
      </c>
      <c r="T113" s="45">
        <f t="shared" ref="T113:T117" si="116">H113</f>
        <v>0.71520960139900569</v>
      </c>
      <c r="U113" s="45">
        <f t="shared" ref="U113:U117" si="117">I113</f>
        <v>406.74261469920839</v>
      </c>
      <c r="V113" s="45">
        <f t="shared" ref="V113:V117" si="118">J113</f>
        <v>1.3538130511891795</v>
      </c>
      <c r="W113" s="45">
        <f t="shared" ref="W113:W117" si="119">K113</f>
        <v>1.2594769046035206</v>
      </c>
      <c r="X113" s="46"/>
      <c r="Y113" s="46"/>
      <c r="Z113" s="46"/>
    </row>
    <row r="114" spans="1:26" ht="31.2">
      <c r="A114" s="825"/>
      <c r="B114" s="879"/>
      <c r="C114" s="966"/>
      <c r="D114" s="951"/>
      <c r="E114" s="23" t="s">
        <v>491</v>
      </c>
      <c r="F114" s="30">
        <f>'Input Sheet'!BH108</f>
        <v>1</v>
      </c>
      <c r="G114" s="30">
        <f>'Input Sheet'!BI108</f>
        <v>0.55433021058277543</v>
      </c>
      <c r="H114" s="30">
        <f>'Input Sheet'!BJ108</f>
        <v>0.18567996930417952</v>
      </c>
      <c r="I114" s="30">
        <f>'Input Sheet'!BK108</f>
        <v>4.8660097650853343E-2</v>
      </c>
      <c r="J114" s="30">
        <f>'Input Sheet'!BL108</f>
        <v>0.3422783581278892</v>
      </c>
      <c r="K114" s="30">
        <f>'Input Sheet'!BM108</f>
        <v>8.8691919307796515E-3</v>
      </c>
      <c r="L114" s="62">
        <v>1</v>
      </c>
      <c r="M114" s="30">
        <f t="shared" ref="M114:M117" si="120">L114/L$34</f>
        <v>0.2</v>
      </c>
      <c r="N114" s="29"/>
      <c r="O114" s="29"/>
      <c r="P114" s="29"/>
      <c r="Q114" s="29"/>
      <c r="R114" s="45">
        <f t="shared" ref="R114:R117" si="121">F114</f>
        <v>1</v>
      </c>
      <c r="S114" s="45">
        <f t="shared" si="115"/>
        <v>0.55433021058277543</v>
      </c>
      <c r="T114" s="45">
        <f t="shared" si="116"/>
        <v>0.18567996930417952</v>
      </c>
      <c r="U114" s="45">
        <f t="shared" si="117"/>
        <v>4.8660097650853343E-2</v>
      </c>
      <c r="V114" s="45">
        <f t="shared" si="118"/>
        <v>0.3422783581278892</v>
      </c>
      <c r="W114" s="45">
        <f t="shared" si="119"/>
        <v>8.8691919307796515E-3</v>
      </c>
      <c r="X114" s="46"/>
      <c r="Y114" s="46"/>
      <c r="Z114" s="46"/>
    </row>
    <row r="115" spans="1:26" ht="15.6">
      <c r="A115" s="825"/>
      <c r="B115" s="879"/>
      <c r="C115" s="966"/>
      <c r="D115" s="951"/>
      <c r="E115" s="23" t="s">
        <v>459</v>
      </c>
      <c r="F115" s="30">
        <f>'Input Sheet'!BH109</f>
        <v>1</v>
      </c>
      <c r="G115" s="30">
        <f>'Input Sheet'!BI109</f>
        <v>1</v>
      </c>
      <c r="H115" s="30">
        <f>'Input Sheet'!BJ109</f>
        <v>1</v>
      </c>
      <c r="I115" s="30">
        <f>'Input Sheet'!BK109</f>
        <v>0.51881779249624593</v>
      </c>
      <c r="J115" s="30">
        <f>'Input Sheet'!BL109</f>
        <v>1</v>
      </c>
      <c r="K115" s="30">
        <f>'Input Sheet'!BM109</f>
        <v>0.74025578754107368</v>
      </c>
      <c r="L115" s="62">
        <v>1</v>
      </c>
      <c r="M115" s="30">
        <f t="shared" si="120"/>
        <v>0.2</v>
      </c>
      <c r="N115" s="29"/>
      <c r="O115" s="29"/>
      <c r="P115" s="29"/>
      <c r="Q115" s="29"/>
      <c r="R115" s="45">
        <f t="shared" si="121"/>
        <v>1</v>
      </c>
      <c r="S115" s="45">
        <f t="shared" si="115"/>
        <v>1</v>
      </c>
      <c r="T115" s="45">
        <f t="shared" si="116"/>
        <v>1</v>
      </c>
      <c r="U115" s="45">
        <f t="shared" si="117"/>
        <v>0.51881779249624593</v>
      </c>
      <c r="V115" s="45">
        <f t="shared" si="118"/>
        <v>1</v>
      </c>
      <c r="W115" s="45">
        <f t="shared" si="119"/>
        <v>0.74025578754107368</v>
      </c>
      <c r="X115" s="46"/>
      <c r="Y115" s="46"/>
      <c r="Z115" s="46"/>
    </row>
    <row r="116" spans="1:26" ht="15.6">
      <c r="A116" s="825"/>
      <c r="B116" s="879"/>
      <c r="C116" s="966"/>
      <c r="D116" s="951"/>
      <c r="E116" s="23" t="s">
        <v>492</v>
      </c>
      <c r="F116" s="30">
        <f>'Input Sheet'!BH110</f>
        <v>1</v>
      </c>
      <c r="G116" s="30">
        <f>'Input Sheet'!BI110</f>
        <v>0.66697681085847416</v>
      </c>
      <c r="H116" s="30">
        <f>'Input Sheet'!BJ110</f>
        <v>0.66697681085847416</v>
      </c>
      <c r="I116" s="30">
        <f>'Input Sheet'!BK110</f>
        <v>3.3702940643216048</v>
      </c>
      <c r="J116" s="30">
        <f>'Input Sheet'!BL110</f>
        <v>0.66697681085847416</v>
      </c>
      <c r="K116" s="30">
        <f>'Input Sheet'!BM110</f>
        <v>3.3702940643216048</v>
      </c>
      <c r="L116" s="62">
        <v>1</v>
      </c>
      <c r="M116" s="30">
        <f t="shared" si="120"/>
        <v>0.2</v>
      </c>
      <c r="N116" s="29"/>
      <c r="O116" s="29"/>
      <c r="P116" s="29"/>
      <c r="Q116" s="29"/>
      <c r="R116" s="45">
        <f t="shared" si="121"/>
        <v>1</v>
      </c>
      <c r="S116" s="45">
        <f t="shared" si="115"/>
        <v>0.66697681085847416</v>
      </c>
      <c r="T116" s="45">
        <f t="shared" si="116"/>
        <v>0.66697681085847416</v>
      </c>
      <c r="U116" s="45">
        <f t="shared" si="117"/>
        <v>3.3702940643216048</v>
      </c>
      <c r="V116" s="45">
        <f t="shared" si="118"/>
        <v>0.66697681085847416</v>
      </c>
      <c r="W116" s="45">
        <f t="shared" si="119"/>
        <v>3.3702940643216048</v>
      </c>
      <c r="X116" s="46"/>
      <c r="Y116" s="46"/>
      <c r="Z116" s="46"/>
    </row>
    <row r="117" spans="1:26" ht="15.6">
      <c r="A117" s="825"/>
      <c r="B117" s="879"/>
      <c r="C117" s="966"/>
      <c r="D117" s="951"/>
      <c r="E117" s="34" t="s">
        <v>461</v>
      </c>
      <c r="F117" s="30">
        <f>'Input Sheet'!BH111</f>
        <v>1</v>
      </c>
      <c r="G117" s="30">
        <f>'Input Sheet'!BI111</f>
        <v>0.56471812200775884</v>
      </c>
      <c r="H117" s="30">
        <f>'Input Sheet'!BJ111</f>
        <v>0.33591098123916224</v>
      </c>
      <c r="I117" s="30">
        <f>'Input Sheet'!BK111</f>
        <v>0.13533528323661276</v>
      </c>
      <c r="J117" s="30">
        <f>'Input Sheet'!BL111</f>
        <v>1</v>
      </c>
      <c r="K117" s="30">
        <f>'Input Sheet'!BM111</f>
        <v>1</v>
      </c>
      <c r="L117" s="62">
        <v>1</v>
      </c>
      <c r="M117" s="30">
        <f t="shared" si="120"/>
        <v>0.2</v>
      </c>
      <c r="N117" s="29"/>
      <c r="O117" s="29"/>
      <c r="P117" s="29"/>
      <c r="Q117" s="29"/>
      <c r="R117" s="45">
        <f t="shared" si="121"/>
        <v>1</v>
      </c>
      <c r="S117" s="45">
        <f t="shared" si="115"/>
        <v>0.56471812200775884</v>
      </c>
      <c r="T117" s="45">
        <f t="shared" si="116"/>
        <v>0.33591098123916224</v>
      </c>
      <c r="U117" s="45">
        <f t="shared" si="117"/>
        <v>0.13533528323661276</v>
      </c>
      <c r="V117" s="45">
        <f t="shared" si="118"/>
        <v>1</v>
      </c>
      <c r="W117" s="45">
        <f t="shared" si="119"/>
        <v>1</v>
      </c>
      <c r="X117" s="46"/>
      <c r="Y117" s="46"/>
      <c r="Z117" s="46"/>
    </row>
    <row r="118" spans="1:26" ht="15.6">
      <c r="A118" s="825">
        <v>2</v>
      </c>
      <c r="B118" s="879"/>
      <c r="C118" s="966"/>
      <c r="D118" s="951"/>
      <c r="E118" s="23" t="s">
        <v>38</v>
      </c>
      <c r="F118" s="47"/>
      <c r="G118" s="47"/>
      <c r="H118" s="47"/>
      <c r="I118" s="47"/>
      <c r="J118" s="47"/>
      <c r="K118" s="47"/>
      <c r="L118" s="449">
        <f>SUM(L113:L117)</f>
        <v>5</v>
      </c>
      <c r="M118" s="872" t="s">
        <v>493</v>
      </c>
      <c r="N118" s="873"/>
      <c r="O118" s="873"/>
      <c r="P118" s="873"/>
      <c r="Q118" s="874"/>
      <c r="R118" s="45">
        <f>SUM(R113:R117)</f>
        <v>5</v>
      </c>
      <c r="S118" s="45">
        <f t="shared" ref="S118:T118" si="122">SUM(S113:S117)</f>
        <v>3.5204411407227463</v>
      </c>
      <c r="T118" s="45">
        <f t="shared" si="122"/>
        <v>2.9037773628008212</v>
      </c>
      <c r="U118" s="45">
        <f>SUM(U113:U117)</f>
        <v>410.81572193691369</v>
      </c>
      <c r="V118" s="45">
        <f>SUM(V113:V117)</f>
        <v>4.3630682201755429</v>
      </c>
      <c r="W118" s="45">
        <f>SUM(W113:W117)</f>
        <v>6.3788959483969787</v>
      </c>
      <c r="X118" s="48"/>
      <c r="Y118" s="48"/>
      <c r="Z118" s="48"/>
    </row>
    <row r="119" spans="1:26" ht="15.6">
      <c r="A119" s="825"/>
      <c r="B119" s="879"/>
      <c r="C119" s="966"/>
      <c r="D119" s="951"/>
      <c r="E119" s="23"/>
      <c r="F119" s="23"/>
      <c r="G119" s="23"/>
      <c r="H119" s="23"/>
      <c r="I119" s="23"/>
      <c r="J119" s="23"/>
      <c r="K119" s="23"/>
      <c r="L119" s="23"/>
      <c r="M119" s="872" t="s">
        <v>494</v>
      </c>
      <c r="N119" s="873"/>
      <c r="O119" s="873"/>
      <c r="P119" s="873"/>
      <c r="Q119" s="874"/>
      <c r="R119" s="45">
        <f>R118/SUM($R118:$W118)</f>
        <v>1.1547826703093025E-2</v>
      </c>
      <c r="S119" s="45">
        <f t="shared" ref="S119" si="123">S118/SUM($R118:$W118)</f>
        <v>8.1306888423010801E-3</v>
      </c>
      <c r="T119" s="45">
        <f t="shared" ref="T119" si="124">T118/SUM($R118:$W118)</f>
        <v>6.7064635539976734E-3</v>
      </c>
      <c r="U119" s="45">
        <f>U118/SUM($R118:$W118)</f>
        <v>0.9488057527667062</v>
      </c>
      <c r="V119" s="45">
        <f>V118/SUM($R118:$W118)</f>
        <v>1.0076791140071938E-2</v>
      </c>
      <c r="W119" s="45">
        <f>W118/SUM($R118:$W118)</f>
        <v>1.4732476993830108E-2</v>
      </c>
      <c r="X119" s="17"/>
      <c r="Y119" s="17"/>
      <c r="Z119" s="17"/>
    </row>
    <row r="120" spans="1:26" ht="15.6">
      <c r="A120" s="825"/>
      <c r="B120" s="879"/>
      <c r="C120" s="966"/>
      <c r="D120" s="951"/>
      <c r="E120" s="446"/>
      <c r="F120" s="941"/>
      <c r="G120" s="942"/>
      <c r="H120" s="942"/>
      <c r="I120" s="942"/>
      <c r="J120" s="942"/>
      <c r="K120" s="942"/>
      <c r="L120" s="942"/>
      <c r="M120" s="942"/>
      <c r="N120" s="942"/>
      <c r="O120" s="942"/>
      <c r="P120" s="942"/>
      <c r="Q120" s="942"/>
      <c r="R120" s="942"/>
      <c r="S120" s="942"/>
      <c r="T120" s="942"/>
      <c r="U120" s="942"/>
      <c r="V120" s="942"/>
      <c r="W120" s="943"/>
      <c r="X120" s="17"/>
      <c r="Y120" s="17"/>
      <c r="Z120" s="17"/>
    </row>
    <row r="121" spans="1:26" ht="15.6">
      <c r="A121" s="825"/>
      <c r="B121" s="879"/>
      <c r="C121" s="966"/>
      <c r="D121" s="951"/>
      <c r="E121" s="23"/>
      <c r="F121" s="30">
        <f>'Input Sheet'!BH113</f>
        <v>1</v>
      </c>
      <c r="G121" s="30">
        <f>'Input Sheet'!BI113</f>
        <v>0.85</v>
      </c>
      <c r="H121" s="30">
        <f>'Input Sheet'!BJ113</f>
        <v>0.85</v>
      </c>
      <c r="I121" s="30">
        <f>'Input Sheet'!BK113</f>
        <v>0.9</v>
      </c>
      <c r="J121" s="30">
        <f>'Input Sheet'!BL113</f>
        <v>0.55000000000000004</v>
      </c>
      <c r="K121" s="30">
        <f>'Input Sheet'!BM113</f>
        <v>0.35</v>
      </c>
      <c r="L121" s="23"/>
      <c r="M121" s="957" t="s">
        <v>495</v>
      </c>
      <c r="N121" s="958"/>
      <c r="O121" s="958"/>
      <c r="P121" s="958"/>
      <c r="Q121" s="959"/>
      <c r="R121" s="45">
        <f>R119*F121</f>
        <v>1.1547826703093025E-2</v>
      </c>
      <c r="S121" s="45">
        <f t="shared" ref="S121" si="125">S119*G121</f>
        <v>6.9110855159559177E-3</v>
      </c>
      <c r="T121" s="45">
        <f t="shared" ref="T121" si="126">T119*H121</f>
        <v>5.7004940208980224E-3</v>
      </c>
      <c r="U121" s="45">
        <f>U119*I121</f>
        <v>0.8539251774900356</v>
      </c>
      <c r="V121" s="45">
        <f>V119*J121</f>
        <v>5.5422351270395668E-3</v>
      </c>
      <c r="W121" s="45">
        <f>W119*K121</f>
        <v>5.1563669478405377E-3</v>
      </c>
      <c r="X121" s="17"/>
      <c r="Y121" s="17"/>
      <c r="Z121" s="17"/>
    </row>
    <row r="122" spans="1:26" ht="15.6" customHeight="1">
      <c r="A122" s="825"/>
      <c r="B122" s="879"/>
      <c r="C122" s="966"/>
      <c r="D122" s="951"/>
      <c r="E122" s="23"/>
      <c r="F122" s="960" t="s">
        <v>923</v>
      </c>
      <c r="G122" s="961"/>
      <c r="H122" s="961"/>
      <c r="I122" s="961"/>
      <c r="J122" s="961"/>
      <c r="K122" s="961"/>
      <c r="L122" s="961"/>
      <c r="M122" s="961"/>
      <c r="N122" s="961"/>
      <c r="O122" s="961"/>
      <c r="P122" s="961"/>
      <c r="Q122" s="962"/>
      <c r="R122" s="45">
        <f>R121</f>
        <v>1.1547826703093025E-2</v>
      </c>
      <c r="S122" s="45">
        <f>S121*'Input Sheet'!BI105/'Input Sheet'!BH105</f>
        <v>0</v>
      </c>
      <c r="T122" s="45">
        <f>T121*'Input Sheet'!BJ105/'Input Sheet'!BH105</f>
        <v>5.7004940208980224E-3</v>
      </c>
      <c r="U122" s="45">
        <f>U121</f>
        <v>0.8539251774900356</v>
      </c>
      <c r="V122" s="45">
        <f>V121</f>
        <v>5.5422351270395668E-3</v>
      </c>
      <c r="W122" s="45">
        <f>W121</f>
        <v>5.1563669478405377E-3</v>
      </c>
      <c r="X122" s="17"/>
      <c r="Y122" s="17"/>
      <c r="Z122" s="17"/>
    </row>
    <row r="123" spans="1:26" ht="15.6" customHeight="1">
      <c r="A123" s="825"/>
      <c r="B123" s="879"/>
      <c r="C123" s="966"/>
      <c r="D123" s="951"/>
      <c r="E123" s="23"/>
      <c r="F123" s="963" t="s">
        <v>924</v>
      </c>
      <c r="G123" s="964"/>
      <c r="H123" s="964"/>
      <c r="I123" s="964"/>
      <c r="J123" s="964"/>
      <c r="K123" s="964"/>
      <c r="L123" s="964"/>
      <c r="M123" s="964"/>
      <c r="N123" s="964"/>
      <c r="O123" s="964"/>
      <c r="P123" s="964"/>
      <c r="Q123" s="965"/>
      <c r="R123" s="50">
        <f>R122/(R122+U122+V122+W122+S122+T122)</f>
        <v>1.3094672911536589E-2</v>
      </c>
      <c r="S123" s="50">
        <f>S122/(R122+S122+T122+U122+V122+W122)</f>
        <v>0</v>
      </c>
      <c r="T123" s="50">
        <f>T122/(R122+S122+T122+U122+V122+W122)</f>
        <v>6.4640825115461816E-3</v>
      </c>
      <c r="U123" s="50">
        <f>U122/(R122+U122+V122+W122+S122+T122)</f>
        <v>0.96830955102251726</v>
      </c>
      <c r="V123" s="50">
        <f>V122/(R122+U122+V122+W122+S122+T122)</f>
        <v>6.2846246357310728E-3</v>
      </c>
      <c r="W123" s="50">
        <f>W122/(R122+U122+V122+W122+S122+T122)</f>
        <v>5.8470689186689096E-3</v>
      </c>
      <c r="X123" s="17"/>
      <c r="Y123" s="17"/>
      <c r="Z123" s="17"/>
    </row>
    <row r="124" spans="1:26" ht="15.6" customHeight="1">
      <c r="A124" s="825"/>
      <c r="B124" s="880"/>
      <c r="C124" s="966"/>
      <c r="D124" s="951"/>
      <c r="E124" s="23"/>
      <c r="F124" s="963" t="s">
        <v>925</v>
      </c>
      <c r="G124" s="964"/>
      <c r="H124" s="964"/>
      <c r="I124" s="964"/>
      <c r="J124" s="964"/>
      <c r="K124" s="964"/>
      <c r="L124" s="964"/>
      <c r="M124" s="964"/>
      <c r="N124" s="964"/>
      <c r="O124" s="964"/>
      <c r="P124" s="964"/>
      <c r="Q124" s="965"/>
      <c r="R124" s="51">
        <f t="shared" ref="R124:W124" si="127">ROUND($C113*$E$2*R123/100,0)*100</f>
        <v>400</v>
      </c>
      <c r="S124" s="51">
        <f t="shared" si="127"/>
        <v>0</v>
      </c>
      <c r="T124" s="51">
        <f t="shared" si="127"/>
        <v>200</v>
      </c>
      <c r="U124" s="51">
        <f t="shared" si="127"/>
        <v>32200</v>
      </c>
      <c r="V124" s="51">
        <f t="shared" si="127"/>
        <v>200</v>
      </c>
      <c r="W124" s="51">
        <f t="shared" si="127"/>
        <v>200</v>
      </c>
      <c r="X124" s="17"/>
      <c r="Y124" s="17"/>
      <c r="Z124" s="17"/>
    </row>
    <row r="125" spans="1:26" ht="15.75" customHeight="1">
      <c r="A125" s="825">
        <v>11</v>
      </c>
      <c r="B125" s="878" t="s">
        <v>637</v>
      </c>
      <c r="C125" s="966">
        <f>Buckets!S13</f>
        <v>9.7080240367621071E-2</v>
      </c>
      <c r="D125" s="951" t="s">
        <v>490</v>
      </c>
      <c r="E125" s="23" t="s">
        <v>457</v>
      </c>
      <c r="F125" s="30">
        <f>'Input Sheet'!BH118</f>
        <v>1</v>
      </c>
      <c r="G125" s="30">
        <f>'Input Sheet'!BI118</f>
        <v>0.60079307652512315</v>
      </c>
      <c r="H125" s="30">
        <f>'Input Sheet'!BJ118</f>
        <v>0.63965655012021905</v>
      </c>
      <c r="I125" s="30">
        <f>'Input Sheet'!BK118</f>
        <v>153.05233169430824</v>
      </c>
      <c r="J125" s="30">
        <f>'Input Sheet'!BL118</f>
        <v>1.2598620282494637</v>
      </c>
      <c r="K125" s="30">
        <f>'Input Sheet'!BM118</f>
        <v>0.9791952821791553</v>
      </c>
      <c r="L125" s="62">
        <v>1</v>
      </c>
      <c r="M125" s="30">
        <f>L125/L$34</f>
        <v>0.2</v>
      </c>
      <c r="N125" s="29"/>
      <c r="O125" s="29"/>
      <c r="P125" s="29"/>
      <c r="Q125" s="29"/>
      <c r="R125" s="45">
        <f>F125</f>
        <v>1</v>
      </c>
      <c r="S125" s="45">
        <f t="shared" ref="S125:S129" si="128">G125</f>
        <v>0.60079307652512315</v>
      </c>
      <c r="T125" s="45">
        <f t="shared" ref="T125:T129" si="129">H125</f>
        <v>0.63965655012021905</v>
      </c>
      <c r="U125" s="45">
        <f t="shared" ref="U125:U129" si="130">I125</f>
        <v>153.05233169430824</v>
      </c>
      <c r="V125" s="45">
        <f t="shared" ref="V125:V129" si="131">J125</f>
        <v>1.2598620282494637</v>
      </c>
      <c r="W125" s="45">
        <f t="shared" ref="W125:W129" si="132">K125</f>
        <v>0.9791952821791553</v>
      </c>
      <c r="X125" s="46"/>
      <c r="Y125" s="46"/>
      <c r="Z125" s="46"/>
    </row>
    <row r="126" spans="1:26" ht="31.2">
      <c r="A126" s="825"/>
      <c r="B126" s="879"/>
      <c r="C126" s="966"/>
      <c r="D126" s="951"/>
      <c r="E126" s="23" t="s">
        <v>491</v>
      </c>
      <c r="F126" s="30">
        <f>'Input Sheet'!BH119</f>
        <v>1</v>
      </c>
      <c r="G126" s="30">
        <f>'Input Sheet'!BI119</f>
        <v>0.59276937551876241</v>
      </c>
      <c r="H126" s="30">
        <f>'Input Sheet'!BJ119</f>
        <v>0.22483293802135054</v>
      </c>
      <c r="I126" s="30">
        <f>'Input Sheet'!BK119</f>
        <v>6.8605331189013852E-2</v>
      </c>
      <c r="J126" s="30">
        <f>'Input Sheet'!BL119</f>
        <v>0.38662583176139542</v>
      </c>
      <c r="K126" s="30">
        <f>'Input Sheet'!BM119</f>
        <v>1.5173265151861431E-2</v>
      </c>
      <c r="L126" s="62">
        <v>1</v>
      </c>
      <c r="M126" s="30">
        <f t="shared" ref="M126:M129" si="133">L126/L$34</f>
        <v>0.2</v>
      </c>
      <c r="N126" s="29"/>
      <c r="O126" s="29"/>
      <c r="P126" s="29"/>
      <c r="Q126" s="29"/>
      <c r="R126" s="45">
        <f t="shared" ref="R126:R129" si="134">F126</f>
        <v>1</v>
      </c>
      <c r="S126" s="45">
        <f t="shared" si="128"/>
        <v>0.59276937551876241</v>
      </c>
      <c r="T126" s="45">
        <f t="shared" si="129"/>
        <v>0.22483293802135054</v>
      </c>
      <c r="U126" s="45">
        <f t="shared" si="130"/>
        <v>6.8605331189013852E-2</v>
      </c>
      <c r="V126" s="45">
        <f t="shared" si="131"/>
        <v>0.38662583176139542</v>
      </c>
      <c r="W126" s="45">
        <f t="shared" si="132"/>
        <v>1.5173265151861431E-2</v>
      </c>
      <c r="X126" s="46"/>
      <c r="Y126" s="46"/>
      <c r="Z126" s="46"/>
    </row>
    <row r="127" spans="1:26" ht="15.6">
      <c r="A127" s="825"/>
      <c r="B127" s="879"/>
      <c r="C127" s="966"/>
      <c r="D127" s="951"/>
      <c r="E127" s="23" t="s">
        <v>459</v>
      </c>
      <c r="F127" s="30">
        <f>'Input Sheet'!BH120</f>
        <v>1</v>
      </c>
      <c r="G127" s="30">
        <f>'Input Sheet'!BI120</f>
        <v>1</v>
      </c>
      <c r="H127" s="30">
        <f>'Input Sheet'!BJ120</f>
        <v>1</v>
      </c>
      <c r="I127" s="30">
        <f>'Input Sheet'!BK120</f>
        <v>0.59333269512305176</v>
      </c>
      <c r="J127" s="30">
        <f>'Input Sheet'!BL120</f>
        <v>1</v>
      </c>
      <c r="K127" s="30">
        <f>'Input Sheet'!BM120</f>
        <v>0.78721805325675964</v>
      </c>
      <c r="L127" s="62">
        <v>1</v>
      </c>
      <c r="M127" s="30">
        <f t="shared" si="133"/>
        <v>0.2</v>
      </c>
      <c r="N127" s="29"/>
      <c r="O127" s="29"/>
      <c r="P127" s="29"/>
      <c r="Q127" s="29"/>
      <c r="R127" s="45">
        <f t="shared" si="134"/>
        <v>1</v>
      </c>
      <c r="S127" s="45">
        <f t="shared" si="128"/>
        <v>1</v>
      </c>
      <c r="T127" s="45">
        <f t="shared" si="129"/>
        <v>1</v>
      </c>
      <c r="U127" s="45">
        <f t="shared" si="130"/>
        <v>0.59333269512305176</v>
      </c>
      <c r="V127" s="45">
        <f t="shared" si="131"/>
        <v>1</v>
      </c>
      <c r="W127" s="45">
        <f t="shared" si="132"/>
        <v>0.78721805325675964</v>
      </c>
      <c r="X127" s="46"/>
      <c r="Y127" s="46"/>
      <c r="Z127" s="46"/>
    </row>
    <row r="128" spans="1:26" ht="15.6">
      <c r="A128" s="825"/>
      <c r="B128" s="879"/>
      <c r="C128" s="966"/>
      <c r="D128" s="951"/>
      <c r="E128" s="23" t="s">
        <v>492</v>
      </c>
      <c r="F128" s="30">
        <f>'Input Sheet'!BH121</f>
        <v>1</v>
      </c>
      <c r="G128" s="30">
        <f>'Input Sheet'!BI121</f>
        <v>0.75201425431938251</v>
      </c>
      <c r="H128" s="30">
        <f>'Input Sheet'!BJ121</f>
        <v>0.75201425431938251</v>
      </c>
      <c r="I128" s="30">
        <f>'Input Sheet'!BK121</f>
        <v>2.3513743805749008</v>
      </c>
      <c r="J128" s="30">
        <f>'Input Sheet'!BL121</f>
        <v>0.75201425431938251</v>
      </c>
      <c r="K128" s="30">
        <f>'Input Sheet'!BM121</f>
        <v>2.3513743805749008</v>
      </c>
      <c r="L128" s="62">
        <v>1</v>
      </c>
      <c r="M128" s="30">
        <f t="shared" si="133"/>
        <v>0.2</v>
      </c>
      <c r="N128" s="29"/>
      <c r="O128" s="29"/>
      <c r="P128" s="29"/>
      <c r="Q128" s="29"/>
      <c r="R128" s="45">
        <f t="shared" si="134"/>
        <v>1</v>
      </c>
      <c r="S128" s="45">
        <f t="shared" si="128"/>
        <v>0.75201425431938251</v>
      </c>
      <c r="T128" s="45">
        <f t="shared" si="129"/>
        <v>0.75201425431938251</v>
      </c>
      <c r="U128" s="45">
        <f t="shared" si="130"/>
        <v>2.3513743805749008</v>
      </c>
      <c r="V128" s="45">
        <f t="shared" si="131"/>
        <v>0.75201425431938251</v>
      </c>
      <c r="W128" s="45">
        <f t="shared" si="132"/>
        <v>2.3513743805749008</v>
      </c>
      <c r="X128" s="46"/>
      <c r="Y128" s="46"/>
      <c r="Z128" s="46"/>
    </row>
    <row r="129" spans="1:26" ht="15.6">
      <c r="A129" s="825"/>
      <c r="B129" s="879"/>
      <c r="C129" s="966"/>
      <c r="D129" s="951"/>
      <c r="E129" s="34" t="s">
        <v>461</v>
      </c>
      <c r="F129" s="30">
        <f>'Input Sheet'!BH122</f>
        <v>1</v>
      </c>
      <c r="G129" s="30">
        <f>'Input Sheet'!BI122</f>
        <v>0.66081212082832619</v>
      </c>
      <c r="H129" s="30">
        <f>'Input Sheet'!BJ122</f>
        <v>0.45343239658718076</v>
      </c>
      <c r="I129" s="30">
        <f>'Input Sheet'!BK122</f>
        <v>0.23457028809379776</v>
      </c>
      <c r="J129" s="30">
        <f>'Input Sheet'!BL122</f>
        <v>1</v>
      </c>
      <c r="K129" s="30">
        <f>'Input Sheet'!BM122</f>
        <v>1</v>
      </c>
      <c r="L129" s="62">
        <v>1</v>
      </c>
      <c r="M129" s="30">
        <f t="shared" si="133"/>
        <v>0.2</v>
      </c>
      <c r="N129" s="29"/>
      <c r="O129" s="29"/>
      <c r="P129" s="29"/>
      <c r="Q129" s="29"/>
      <c r="R129" s="45">
        <f t="shared" si="134"/>
        <v>1</v>
      </c>
      <c r="S129" s="45">
        <f t="shared" si="128"/>
        <v>0.66081212082832619</v>
      </c>
      <c r="T129" s="45">
        <f t="shared" si="129"/>
        <v>0.45343239658718076</v>
      </c>
      <c r="U129" s="45">
        <f t="shared" si="130"/>
        <v>0.23457028809379776</v>
      </c>
      <c r="V129" s="45">
        <f t="shared" si="131"/>
        <v>1</v>
      </c>
      <c r="W129" s="45">
        <f t="shared" si="132"/>
        <v>1</v>
      </c>
      <c r="X129" s="46"/>
      <c r="Y129" s="46"/>
      <c r="Z129" s="46"/>
    </row>
    <row r="130" spans="1:26" ht="15.6">
      <c r="A130" s="825">
        <v>2</v>
      </c>
      <c r="B130" s="879"/>
      <c r="C130" s="966"/>
      <c r="D130" s="951"/>
      <c r="E130" s="23" t="s">
        <v>38</v>
      </c>
      <c r="F130" s="47"/>
      <c r="G130" s="47"/>
      <c r="H130" s="47"/>
      <c r="I130" s="47"/>
      <c r="J130" s="47"/>
      <c r="K130" s="47"/>
      <c r="L130" s="449">
        <f>SUM(L125:L129)</f>
        <v>5</v>
      </c>
      <c r="M130" s="872" t="s">
        <v>493</v>
      </c>
      <c r="N130" s="873"/>
      <c r="O130" s="873"/>
      <c r="P130" s="873"/>
      <c r="Q130" s="874"/>
      <c r="R130" s="45">
        <f>SUM(R125:R129)</f>
        <v>5</v>
      </c>
      <c r="S130" s="45">
        <f t="shared" ref="S130:T130" si="135">SUM(S125:S129)</f>
        <v>3.6063888271915943</v>
      </c>
      <c r="T130" s="45">
        <f t="shared" si="135"/>
        <v>3.0699361390481328</v>
      </c>
      <c r="U130" s="45">
        <f>SUM(U125:U129)</f>
        <v>156.30021438928901</v>
      </c>
      <c r="V130" s="45">
        <f>SUM(V125:V129)</f>
        <v>4.3985021143302419</v>
      </c>
      <c r="W130" s="45">
        <f>SUM(W125:W129)</f>
        <v>5.1329609811626771</v>
      </c>
      <c r="X130" s="48"/>
      <c r="Y130" s="48"/>
      <c r="Z130" s="48"/>
    </row>
    <row r="131" spans="1:26" ht="15.6">
      <c r="A131" s="825"/>
      <c r="B131" s="879"/>
      <c r="C131" s="966"/>
      <c r="D131" s="951"/>
      <c r="E131" s="23"/>
      <c r="F131" s="23"/>
      <c r="G131" s="23"/>
      <c r="H131" s="23"/>
      <c r="I131" s="23"/>
      <c r="J131" s="23"/>
      <c r="K131" s="23"/>
      <c r="L131" s="23"/>
      <c r="M131" s="872" t="s">
        <v>494</v>
      </c>
      <c r="N131" s="873"/>
      <c r="O131" s="873"/>
      <c r="P131" s="873"/>
      <c r="Q131" s="874"/>
      <c r="R131" s="45">
        <f>R130/SUM($R130:$W130)</f>
        <v>2.8167744163419394E-2</v>
      </c>
      <c r="S131" s="45">
        <f t="shared" ref="S131" si="136">S130/SUM($R130:$W130)</f>
        <v>2.0316767567629387E-2</v>
      </c>
      <c r="T131" s="45">
        <f t="shared" ref="T131" si="137">T130/SUM($R130:$W130)</f>
        <v>1.729463515254866E-2</v>
      </c>
      <c r="U131" s="45">
        <f>U130/SUM($R130:$W130)</f>
        <v>0.8805248903210191</v>
      </c>
      <c r="V131" s="45">
        <f>V130/SUM($R130:$W130)</f>
        <v>2.4779176451742706E-2</v>
      </c>
      <c r="W131" s="45">
        <f>W130/SUM($R130:$W130)</f>
        <v>2.8916786343640897E-2</v>
      </c>
      <c r="X131" s="17"/>
      <c r="Y131" s="17"/>
      <c r="Z131" s="17"/>
    </row>
    <row r="132" spans="1:26" ht="15.6">
      <c r="A132" s="825"/>
      <c r="B132" s="879"/>
      <c r="C132" s="966"/>
      <c r="D132" s="951"/>
      <c r="E132" s="446"/>
      <c r="F132" s="941"/>
      <c r="G132" s="942"/>
      <c r="H132" s="942"/>
      <c r="I132" s="942"/>
      <c r="J132" s="942"/>
      <c r="K132" s="942"/>
      <c r="L132" s="942"/>
      <c r="M132" s="942"/>
      <c r="N132" s="942"/>
      <c r="O132" s="942"/>
      <c r="P132" s="942"/>
      <c r="Q132" s="942"/>
      <c r="R132" s="942"/>
      <c r="S132" s="942"/>
      <c r="T132" s="942"/>
      <c r="U132" s="942"/>
      <c r="V132" s="942"/>
      <c r="W132" s="943"/>
      <c r="X132" s="17"/>
      <c r="Y132" s="17"/>
      <c r="Z132" s="17"/>
    </row>
    <row r="133" spans="1:26" ht="15.6">
      <c r="A133" s="825"/>
      <c r="B133" s="879"/>
      <c r="C133" s="966"/>
      <c r="D133" s="951"/>
      <c r="E133" s="23"/>
      <c r="F133" s="30">
        <f>'Input Sheet'!BH124</f>
        <v>1</v>
      </c>
      <c r="G133" s="30">
        <f>'Input Sheet'!BI124</f>
        <v>0.85</v>
      </c>
      <c r="H133" s="30">
        <f>'Input Sheet'!BJ124</f>
        <v>0.85</v>
      </c>
      <c r="I133" s="30">
        <f>'Input Sheet'!BK124</f>
        <v>0.9</v>
      </c>
      <c r="J133" s="30">
        <f>'Input Sheet'!BL124</f>
        <v>0.55000000000000004</v>
      </c>
      <c r="K133" s="30">
        <f>'Input Sheet'!BM124</f>
        <v>0.35</v>
      </c>
      <c r="L133" s="23"/>
      <c r="M133" s="957" t="s">
        <v>495</v>
      </c>
      <c r="N133" s="958"/>
      <c r="O133" s="958"/>
      <c r="P133" s="958"/>
      <c r="Q133" s="959"/>
      <c r="R133" s="45">
        <f>R131*F133</f>
        <v>2.8167744163419394E-2</v>
      </c>
      <c r="S133" s="45">
        <f t="shared" ref="S133" si="138">S131*G133</f>
        <v>1.7269252432484977E-2</v>
      </c>
      <c r="T133" s="45">
        <f t="shared" ref="T133" si="139">T131*H133</f>
        <v>1.4700439879666361E-2</v>
      </c>
      <c r="U133" s="45">
        <f>U131*I133</f>
        <v>0.79247240128891716</v>
      </c>
      <c r="V133" s="45">
        <f>V131*J133</f>
        <v>1.3628547048458488E-2</v>
      </c>
      <c r="W133" s="45">
        <f>W131*K133</f>
        <v>1.0120875220274314E-2</v>
      </c>
      <c r="X133" s="17"/>
      <c r="Y133" s="17"/>
      <c r="Z133" s="17"/>
    </row>
    <row r="134" spans="1:26" ht="15.6" customHeight="1">
      <c r="A134" s="825"/>
      <c r="B134" s="879"/>
      <c r="C134" s="966"/>
      <c r="D134" s="951"/>
      <c r="E134" s="23"/>
      <c r="F134" s="960" t="s">
        <v>923</v>
      </c>
      <c r="G134" s="961"/>
      <c r="H134" s="961"/>
      <c r="I134" s="961"/>
      <c r="J134" s="961"/>
      <c r="K134" s="961"/>
      <c r="L134" s="961"/>
      <c r="M134" s="961"/>
      <c r="N134" s="961"/>
      <c r="O134" s="961"/>
      <c r="P134" s="961"/>
      <c r="Q134" s="962"/>
      <c r="R134" s="45">
        <f>R133</f>
        <v>2.8167744163419394E-2</v>
      </c>
      <c r="S134" s="45">
        <f>S133*'Input Sheet'!BI116/'Input Sheet'!BH116</f>
        <v>8.9289027287098256E-4</v>
      </c>
      <c r="T134" s="45">
        <f>T133*'Input Sheet'!BJ116/'Input Sheet'!BH116</f>
        <v>1.3940367616735751E-2</v>
      </c>
      <c r="U134" s="45">
        <f>U133</f>
        <v>0.79247240128891716</v>
      </c>
      <c r="V134" s="45">
        <f>V133</f>
        <v>1.3628547048458488E-2</v>
      </c>
      <c r="W134" s="45">
        <f>W133</f>
        <v>1.0120875220274314E-2</v>
      </c>
      <c r="X134" s="17"/>
      <c r="Y134" s="17"/>
      <c r="Z134" s="17"/>
    </row>
    <row r="135" spans="1:26" ht="15.6" customHeight="1">
      <c r="A135" s="825"/>
      <c r="B135" s="879"/>
      <c r="C135" s="966"/>
      <c r="D135" s="951"/>
      <c r="E135" s="23"/>
      <c r="F135" s="963" t="s">
        <v>924</v>
      </c>
      <c r="G135" s="964"/>
      <c r="H135" s="964"/>
      <c r="I135" s="964"/>
      <c r="J135" s="964"/>
      <c r="K135" s="964"/>
      <c r="L135" s="964"/>
      <c r="M135" s="964"/>
      <c r="N135" s="964"/>
      <c r="O135" s="964"/>
      <c r="P135" s="964"/>
      <c r="Q135" s="965"/>
      <c r="R135" s="50">
        <f>R134/(R134+U134+V134+W134+S134+T134)</f>
        <v>3.2782816428788088E-2</v>
      </c>
      <c r="S135" s="50">
        <f>S134/(R134+S134+T134+U134+V134+W134)</f>
        <v>1.0391836043652332E-3</v>
      </c>
      <c r="T135" s="50">
        <f>T134/(R134+S134+T134+U134+V134+W134)</f>
        <v>1.6224391626034729E-2</v>
      </c>
      <c r="U135" s="50">
        <f>U134/(R134+U134+V134+W134+S134+T134)</f>
        <v>0.92231302249877112</v>
      </c>
      <c r="V135" s="50">
        <f>V134/(R134+U134+V134+W134+S134+T134)</f>
        <v>1.5861481611329706E-2</v>
      </c>
      <c r="W135" s="50">
        <f>W134/(R134+U134+V134+W134+S134+T134)</f>
        <v>1.1779104230711162E-2</v>
      </c>
      <c r="X135" s="17"/>
      <c r="Y135" s="17"/>
      <c r="Z135" s="17"/>
    </row>
    <row r="136" spans="1:26" ht="15.6" customHeight="1">
      <c r="A136" s="825"/>
      <c r="B136" s="880"/>
      <c r="C136" s="966"/>
      <c r="D136" s="951"/>
      <c r="E136" s="23"/>
      <c r="F136" s="963" t="s">
        <v>925</v>
      </c>
      <c r="G136" s="964"/>
      <c r="H136" s="964"/>
      <c r="I136" s="964"/>
      <c r="J136" s="964"/>
      <c r="K136" s="964"/>
      <c r="L136" s="964"/>
      <c r="M136" s="964"/>
      <c r="N136" s="964"/>
      <c r="O136" s="964"/>
      <c r="P136" s="964"/>
      <c r="Q136" s="965"/>
      <c r="R136" s="51">
        <f t="shared" ref="R136:W136" si="140">ROUND($C125*$E$2*R135/100,0)*100</f>
        <v>2300</v>
      </c>
      <c r="S136" s="51">
        <f t="shared" si="140"/>
        <v>100</v>
      </c>
      <c r="T136" s="51">
        <f t="shared" si="140"/>
        <v>1100</v>
      </c>
      <c r="U136" s="51">
        <f t="shared" si="140"/>
        <v>63300</v>
      </c>
      <c r="V136" s="51">
        <f t="shared" si="140"/>
        <v>1100</v>
      </c>
      <c r="W136" s="51">
        <f t="shared" si="140"/>
        <v>800</v>
      </c>
      <c r="X136" s="17"/>
      <c r="Y136" s="17"/>
      <c r="Z136" s="17"/>
    </row>
    <row r="137" spans="1:26" ht="15.75" customHeight="1">
      <c r="A137" s="825">
        <v>12</v>
      </c>
      <c r="B137" s="878" t="s">
        <v>638</v>
      </c>
      <c r="C137" s="966">
        <f>Buckets!S14</f>
        <v>3.0427712972781903E-2</v>
      </c>
      <c r="D137" s="951" t="s">
        <v>490</v>
      </c>
      <c r="E137" s="23" t="s">
        <v>457</v>
      </c>
      <c r="F137" s="30">
        <f>'Input Sheet'!BH129</f>
        <v>1</v>
      </c>
      <c r="G137" s="30">
        <f>'Input Sheet'!BI129</f>
        <v>0.53647857098304652</v>
      </c>
      <c r="H137" s="30">
        <f>'Input Sheet'!BJ129</f>
        <v>0.59666822179708467</v>
      </c>
      <c r="I137" s="30">
        <f>'Input Sheet'!BK129</f>
        <v>0.83972396866973509</v>
      </c>
      <c r="J137" s="30">
        <f>'Input Sheet'!BL129</f>
        <v>9.2584962862813835</v>
      </c>
      <c r="K137" s="30">
        <f>'Input Sheet'!BM129</f>
        <v>0.32586619120450877</v>
      </c>
      <c r="L137" s="62">
        <v>1</v>
      </c>
      <c r="M137" s="30">
        <f>L137/L$34</f>
        <v>0.2</v>
      </c>
      <c r="N137" s="29"/>
      <c r="O137" s="29"/>
      <c r="P137" s="29"/>
      <c r="Q137" s="29"/>
      <c r="R137" s="45">
        <f>F137</f>
        <v>1</v>
      </c>
      <c r="S137" s="45">
        <f t="shared" ref="S137:S141" si="141">G137</f>
        <v>0.53647857098304652</v>
      </c>
      <c r="T137" s="45">
        <f t="shared" ref="T137:T141" si="142">H137</f>
        <v>0.59666822179708467</v>
      </c>
      <c r="U137" s="45">
        <f t="shared" ref="U137:U141" si="143">I137</f>
        <v>0.83972396866973509</v>
      </c>
      <c r="V137" s="45">
        <f t="shared" ref="V137:V141" si="144">J137</f>
        <v>9.2584962862813835</v>
      </c>
      <c r="W137" s="45">
        <f t="shared" ref="W137:W141" si="145">K137</f>
        <v>0.32586619120450877</v>
      </c>
      <c r="X137" s="46"/>
      <c r="Y137" s="46"/>
      <c r="Z137" s="46"/>
    </row>
    <row r="138" spans="1:26" ht="31.2">
      <c r="A138" s="825"/>
      <c r="B138" s="879"/>
      <c r="C138" s="966"/>
      <c r="D138" s="951"/>
      <c r="E138" s="23" t="s">
        <v>491</v>
      </c>
      <c r="F138" s="30">
        <f>'Input Sheet'!BH130</f>
        <v>1</v>
      </c>
      <c r="G138" s="30">
        <f>'Input Sheet'!BI130</f>
        <v>0.47449094900871441</v>
      </c>
      <c r="H138" s="30">
        <f>'Input Sheet'!BJ130</f>
        <v>0.32313802311672807</v>
      </c>
      <c r="I138" s="30">
        <f>'Input Sheet'!BK130</f>
        <v>4.7251537999621999E-2</v>
      </c>
      <c r="J138" s="30">
        <f>'Input Sheet'!BL130</f>
        <v>0.26244065675401301</v>
      </c>
      <c r="K138" s="30">
        <f>'Input Sheet'!BM130</f>
        <v>1.1068923799772598E-2</v>
      </c>
      <c r="L138" s="62">
        <v>1</v>
      </c>
      <c r="M138" s="30">
        <f t="shared" ref="M138:M141" si="146">L138/L$34</f>
        <v>0.2</v>
      </c>
      <c r="N138" s="29"/>
      <c r="O138" s="29"/>
      <c r="P138" s="29"/>
      <c r="Q138" s="29"/>
      <c r="R138" s="45">
        <f t="shared" ref="R138:R141" si="147">F138</f>
        <v>1</v>
      </c>
      <c r="S138" s="45">
        <f t="shared" si="141"/>
        <v>0.47449094900871441</v>
      </c>
      <c r="T138" s="45">
        <f t="shared" si="142"/>
        <v>0.32313802311672807</v>
      </c>
      <c r="U138" s="45">
        <f t="shared" si="143"/>
        <v>4.7251537999621999E-2</v>
      </c>
      <c r="V138" s="45">
        <f t="shared" si="144"/>
        <v>0.26244065675401301</v>
      </c>
      <c r="W138" s="45">
        <f t="shared" si="145"/>
        <v>1.1068923799772598E-2</v>
      </c>
      <c r="X138" s="46"/>
      <c r="Y138" s="46"/>
      <c r="Z138" s="46"/>
    </row>
    <row r="139" spans="1:26" ht="15.6">
      <c r="A139" s="825"/>
      <c r="B139" s="879"/>
      <c r="C139" s="966"/>
      <c r="D139" s="951"/>
      <c r="E139" s="23" t="s">
        <v>459</v>
      </c>
      <c r="F139" s="30">
        <f>'Input Sheet'!BH131</f>
        <v>1</v>
      </c>
      <c r="G139" s="30">
        <f>'Input Sheet'!BI131</f>
        <v>1</v>
      </c>
      <c r="H139" s="30">
        <f>'Input Sheet'!BJ131</f>
        <v>1</v>
      </c>
      <c r="I139" s="30">
        <f>'Input Sheet'!BK131</f>
        <v>0.24526760348267987</v>
      </c>
      <c r="J139" s="30">
        <f>'Input Sheet'!BL131</f>
        <v>1</v>
      </c>
      <c r="K139" s="30">
        <f>'Input Sheet'!BM131</f>
        <v>0.53129788176043136</v>
      </c>
      <c r="L139" s="62">
        <v>1</v>
      </c>
      <c r="M139" s="30">
        <f t="shared" si="146"/>
        <v>0.2</v>
      </c>
      <c r="N139" s="29"/>
      <c r="O139" s="29"/>
      <c r="P139" s="29"/>
      <c r="Q139" s="29"/>
      <c r="R139" s="45">
        <f t="shared" si="147"/>
        <v>1</v>
      </c>
      <c r="S139" s="45">
        <f t="shared" si="141"/>
        <v>1</v>
      </c>
      <c r="T139" s="45">
        <f t="shared" si="142"/>
        <v>1</v>
      </c>
      <c r="U139" s="45">
        <f t="shared" si="143"/>
        <v>0.24526760348267987</v>
      </c>
      <c r="V139" s="45">
        <f t="shared" si="144"/>
        <v>1</v>
      </c>
      <c r="W139" s="45">
        <f t="shared" si="145"/>
        <v>0.53129788176043136</v>
      </c>
      <c r="X139" s="46"/>
      <c r="Y139" s="46"/>
      <c r="Z139" s="46"/>
    </row>
    <row r="140" spans="1:26" ht="15.6">
      <c r="A140" s="825"/>
      <c r="B140" s="879"/>
      <c r="C140" s="966"/>
      <c r="D140" s="951"/>
      <c r="E140" s="23" t="s">
        <v>492</v>
      </c>
      <c r="F140" s="30">
        <f>'Input Sheet'!BH132</f>
        <v>1</v>
      </c>
      <c r="G140" s="30">
        <f>'Input Sheet'!BI132</f>
        <v>0.83945702076920725</v>
      </c>
      <c r="H140" s="30">
        <f>'Input Sheet'!BJ132</f>
        <v>0.83945702076920725</v>
      </c>
      <c r="I140" s="30">
        <f>'Input Sheet'!BK132</f>
        <v>1.6904588483790908</v>
      </c>
      <c r="J140" s="30">
        <f>'Input Sheet'!BL132</f>
        <v>0.83945702076920725</v>
      </c>
      <c r="K140" s="30">
        <f>'Input Sheet'!BM132</f>
        <v>1.6904588483790908</v>
      </c>
      <c r="L140" s="62">
        <v>1</v>
      </c>
      <c r="M140" s="30">
        <f t="shared" si="146"/>
        <v>0.2</v>
      </c>
      <c r="N140" s="29"/>
      <c r="O140" s="29"/>
      <c r="P140" s="29"/>
      <c r="Q140" s="29"/>
      <c r="R140" s="45">
        <f t="shared" si="147"/>
        <v>1</v>
      </c>
      <c r="S140" s="45">
        <f t="shared" si="141"/>
        <v>0.83945702076920725</v>
      </c>
      <c r="T140" s="45">
        <f t="shared" si="142"/>
        <v>0.83945702076920725</v>
      </c>
      <c r="U140" s="45">
        <f t="shared" si="143"/>
        <v>1.6904588483790908</v>
      </c>
      <c r="V140" s="45">
        <f t="shared" si="144"/>
        <v>0.83945702076920725</v>
      </c>
      <c r="W140" s="45">
        <f t="shared" si="145"/>
        <v>1.6904588483790908</v>
      </c>
      <c r="X140" s="46"/>
      <c r="Y140" s="46"/>
      <c r="Z140" s="46"/>
    </row>
    <row r="141" spans="1:26" ht="15.6">
      <c r="A141" s="825"/>
      <c r="B141" s="879"/>
      <c r="C141" s="966"/>
      <c r="D141" s="951"/>
      <c r="E141" s="34" t="s">
        <v>461</v>
      </c>
      <c r="F141" s="30">
        <f>'Input Sheet'!BH133</f>
        <v>1</v>
      </c>
      <c r="G141" s="30">
        <f>'Input Sheet'!BI133</f>
        <v>0.71653131057378894</v>
      </c>
      <c r="H141" s="30">
        <f>'Input Sheet'!BJ133</f>
        <v>0.52921334150005017</v>
      </c>
      <c r="I141" s="30">
        <f>'Input Sheet'!BK133</f>
        <v>0.31140322391459774</v>
      </c>
      <c r="J141" s="30">
        <f>'Input Sheet'!BL133</f>
        <v>1</v>
      </c>
      <c r="K141" s="30">
        <f>'Input Sheet'!BM133</f>
        <v>1</v>
      </c>
      <c r="L141" s="62">
        <v>1</v>
      </c>
      <c r="M141" s="30">
        <f t="shared" si="146"/>
        <v>0.2</v>
      </c>
      <c r="N141" s="29"/>
      <c r="O141" s="29"/>
      <c r="P141" s="29"/>
      <c r="Q141" s="29"/>
      <c r="R141" s="45">
        <f t="shared" si="147"/>
        <v>1</v>
      </c>
      <c r="S141" s="45">
        <f t="shared" si="141"/>
        <v>0.71653131057378894</v>
      </c>
      <c r="T141" s="45">
        <f t="shared" si="142"/>
        <v>0.52921334150005017</v>
      </c>
      <c r="U141" s="45">
        <f t="shared" si="143"/>
        <v>0.31140322391459774</v>
      </c>
      <c r="V141" s="45">
        <f t="shared" si="144"/>
        <v>1</v>
      </c>
      <c r="W141" s="45">
        <f t="shared" si="145"/>
        <v>1</v>
      </c>
      <c r="X141" s="46"/>
      <c r="Y141" s="46"/>
      <c r="Z141" s="46"/>
    </row>
    <row r="142" spans="1:26" ht="15.6">
      <c r="A142" s="825">
        <v>2</v>
      </c>
      <c r="B142" s="879"/>
      <c r="C142" s="966"/>
      <c r="D142" s="951"/>
      <c r="E142" s="23" t="s">
        <v>38</v>
      </c>
      <c r="F142" s="47"/>
      <c r="G142" s="47"/>
      <c r="H142" s="47"/>
      <c r="I142" s="47"/>
      <c r="J142" s="47"/>
      <c r="K142" s="47"/>
      <c r="L142" s="449">
        <f>SUM(L137:L141)</f>
        <v>5</v>
      </c>
      <c r="M142" s="872" t="s">
        <v>493</v>
      </c>
      <c r="N142" s="873"/>
      <c r="O142" s="873"/>
      <c r="P142" s="873"/>
      <c r="Q142" s="874"/>
      <c r="R142" s="45">
        <f>SUM(R137:R141)</f>
        <v>5</v>
      </c>
      <c r="S142" s="45">
        <f t="shared" ref="S142:T142" si="148">SUM(S137:S141)</f>
        <v>3.5669578513347568</v>
      </c>
      <c r="T142" s="45">
        <f t="shared" si="148"/>
        <v>3.2884766071830702</v>
      </c>
      <c r="U142" s="45">
        <f>SUM(U137:U141)</f>
        <v>3.1341051824457256</v>
      </c>
      <c r="V142" s="45">
        <f>SUM(V137:V141)</f>
        <v>12.360393963804604</v>
      </c>
      <c r="W142" s="45">
        <f>SUM(W137:W141)</f>
        <v>3.5586918451438034</v>
      </c>
      <c r="X142" s="48"/>
      <c r="Y142" s="48"/>
      <c r="Z142" s="48"/>
    </row>
    <row r="143" spans="1:26" ht="15.6">
      <c r="A143" s="825"/>
      <c r="B143" s="879"/>
      <c r="C143" s="966"/>
      <c r="D143" s="951"/>
      <c r="E143" s="23"/>
      <c r="F143" s="23"/>
      <c r="G143" s="23"/>
      <c r="H143" s="23"/>
      <c r="I143" s="23"/>
      <c r="J143" s="23"/>
      <c r="K143" s="23"/>
      <c r="L143" s="23"/>
      <c r="M143" s="872" t="s">
        <v>494</v>
      </c>
      <c r="N143" s="873"/>
      <c r="O143" s="873"/>
      <c r="P143" s="873"/>
      <c r="Q143" s="874"/>
      <c r="R143" s="45">
        <f>R142/SUM($R142:$W142)</f>
        <v>0.16176714192944616</v>
      </c>
      <c r="S143" s="45">
        <f t="shared" ref="S143" si="149">S142/SUM($R142:$W142)</f>
        <v>0.1154033153986444</v>
      </c>
      <c r="T143" s="45">
        <f t="shared" ref="T143" si="150">T142/SUM($R142:$W142)</f>
        <v>0.10639349240916947</v>
      </c>
      <c r="U143" s="45">
        <f>U142/SUM($R142:$W142)</f>
        <v>0.10139904757410209</v>
      </c>
      <c r="V143" s="45">
        <f>V142/SUM($R142:$W142)</f>
        <v>0.39990112092932983</v>
      </c>
      <c r="W143" s="45">
        <f>W142/SUM($R142:$W142)</f>
        <v>0.11513588175930807</v>
      </c>
      <c r="X143" s="17"/>
      <c r="Y143" s="17"/>
      <c r="Z143" s="17"/>
    </row>
    <row r="144" spans="1:26" ht="15.6">
      <c r="A144" s="825"/>
      <c r="B144" s="879"/>
      <c r="C144" s="966"/>
      <c r="D144" s="951"/>
      <c r="E144" s="446"/>
      <c r="F144" s="941"/>
      <c r="G144" s="942"/>
      <c r="H144" s="942"/>
      <c r="I144" s="942"/>
      <c r="J144" s="942"/>
      <c r="K144" s="942"/>
      <c r="L144" s="942"/>
      <c r="M144" s="942"/>
      <c r="N144" s="942"/>
      <c r="O144" s="942"/>
      <c r="P144" s="942"/>
      <c r="Q144" s="942"/>
      <c r="R144" s="942"/>
      <c r="S144" s="942"/>
      <c r="T144" s="942"/>
      <c r="U144" s="942"/>
      <c r="V144" s="942"/>
      <c r="W144" s="943"/>
      <c r="X144" s="17"/>
      <c r="Y144" s="17"/>
      <c r="Z144" s="17"/>
    </row>
    <row r="145" spans="1:26" ht="15.6">
      <c r="A145" s="825"/>
      <c r="B145" s="879"/>
      <c r="C145" s="966"/>
      <c r="D145" s="951"/>
      <c r="E145" s="23"/>
      <c r="F145" s="30">
        <f>'Input Sheet'!BH135</f>
        <v>1</v>
      </c>
      <c r="G145" s="30">
        <f>'Input Sheet'!BI135</f>
        <v>0.9</v>
      </c>
      <c r="H145" s="30">
        <f>'Input Sheet'!BJ135</f>
        <v>0.75</v>
      </c>
      <c r="I145" s="30">
        <f>'Input Sheet'!BK135</f>
        <v>0.85</v>
      </c>
      <c r="J145" s="30">
        <f>'Input Sheet'!BL135</f>
        <v>0.55000000000000004</v>
      </c>
      <c r="K145" s="30">
        <f>'Input Sheet'!BM135</f>
        <v>0.35</v>
      </c>
      <c r="L145" s="23"/>
      <c r="M145" s="957" t="s">
        <v>495</v>
      </c>
      <c r="N145" s="958"/>
      <c r="O145" s="958"/>
      <c r="P145" s="958"/>
      <c r="Q145" s="959"/>
      <c r="R145" s="45">
        <f>R143*F145</f>
        <v>0.16176714192944616</v>
      </c>
      <c r="S145" s="45">
        <f t="shared" ref="S145" si="151">S143*G145</f>
        <v>0.10386298385877997</v>
      </c>
      <c r="T145" s="45">
        <f t="shared" ref="T145" si="152">T143*H145</f>
        <v>7.9795119306877105E-2</v>
      </c>
      <c r="U145" s="45">
        <f>U143*I145</f>
        <v>8.6189190437986771E-2</v>
      </c>
      <c r="V145" s="45">
        <f>V143*J145</f>
        <v>0.21994561651113143</v>
      </c>
      <c r="W145" s="45">
        <f>W143*K145</f>
        <v>4.0297558615757824E-2</v>
      </c>
      <c r="X145" s="17"/>
      <c r="Y145" s="17"/>
      <c r="Z145" s="17"/>
    </row>
    <row r="146" spans="1:26" ht="15.6" customHeight="1">
      <c r="A146" s="825"/>
      <c r="B146" s="879"/>
      <c r="C146" s="966"/>
      <c r="D146" s="951"/>
      <c r="E146" s="23"/>
      <c r="F146" s="960" t="s">
        <v>923</v>
      </c>
      <c r="G146" s="961"/>
      <c r="H146" s="961"/>
      <c r="I146" s="961"/>
      <c r="J146" s="961"/>
      <c r="K146" s="961"/>
      <c r="L146" s="961"/>
      <c r="M146" s="961"/>
      <c r="N146" s="961"/>
      <c r="O146" s="961"/>
      <c r="P146" s="961"/>
      <c r="Q146" s="962"/>
      <c r="R146" s="45">
        <f>R145</f>
        <v>0.16176714192944616</v>
      </c>
      <c r="S146" s="45">
        <f>S145*'Input Sheet'!BI127/'Input Sheet'!BH127</f>
        <v>0.10386298385877996</v>
      </c>
      <c r="T146" s="45">
        <f>T145*'Input Sheet'!BJ127/'Input Sheet'!BH127</f>
        <v>0</v>
      </c>
      <c r="U146" s="45">
        <f>U145</f>
        <v>8.6189190437986771E-2</v>
      </c>
      <c r="V146" s="45">
        <f>V145</f>
        <v>0.21994561651113143</v>
      </c>
      <c r="W146" s="45">
        <f>W145</f>
        <v>4.0297558615757824E-2</v>
      </c>
      <c r="X146" s="17"/>
      <c r="Y146" s="17"/>
      <c r="Z146" s="17"/>
    </row>
    <row r="147" spans="1:26" ht="15.6" customHeight="1">
      <c r="A147" s="825"/>
      <c r="B147" s="879"/>
      <c r="C147" s="966"/>
      <c r="D147" s="951"/>
      <c r="E147" s="23"/>
      <c r="F147" s="963" t="s">
        <v>924</v>
      </c>
      <c r="G147" s="964"/>
      <c r="H147" s="964"/>
      <c r="I147" s="964"/>
      <c r="J147" s="964"/>
      <c r="K147" s="964"/>
      <c r="L147" s="964"/>
      <c r="M147" s="964"/>
      <c r="N147" s="964"/>
      <c r="O147" s="964"/>
      <c r="P147" s="964"/>
      <c r="Q147" s="965"/>
      <c r="R147" s="50">
        <f>R146/(R146+U146+V146+W146+S146+T146)</f>
        <v>0.26429840778483815</v>
      </c>
      <c r="S147" s="50">
        <f>S146/(R146+S146+T146+U146+V146+W146)</f>
        <v>0.16969343053381269</v>
      </c>
      <c r="T147" s="50">
        <f>T146/(R146+S146+T146+U146+V146+W146)</f>
        <v>0</v>
      </c>
      <c r="U147" s="50">
        <f>U146/(R146+U146+V146+W146+S146+T146)</f>
        <v>0.14081763162360456</v>
      </c>
      <c r="V147" s="50">
        <f>V146/(R146+U146+V146+W146+S146+T146)</f>
        <v>0.35935156886495701</v>
      </c>
      <c r="W147" s="50">
        <f>W146/(R146+U146+V146+W146+S146+T146)</f>
        <v>6.5838961192787662E-2</v>
      </c>
      <c r="X147" s="17"/>
      <c r="Y147" s="17"/>
      <c r="Z147" s="17"/>
    </row>
    <row r="148" spans="1:26" ht="15.6" customHeight="1">
      <c r="A148" s="825"/>
      <c r="B148" s="880"/>
      <c r="C148" s="966"/>
      <c r="D148" s="951"/>
      <c r="E148" s="23"/>
      <c r="F148" s="963" t="s">
        <v>925</v>
      </c>
      <c r="G148" s="964"/>
      <c r="H148" s="964"/>
      <c r="I148" s="964"/>
      <c r="J148" s="964"/>
      <c r="K148" s="964"/>
      <c r="L148" s="964"/>
      <c r="M148" s="964"/>
      <c r="N148" s="964"/>
      <c r="O148" s="964"/>
      <c r="P148" s="964"/>
      <c r="Q148" s="965"/>
      <c r="R148" s="51">
        <f t="shared" ref="R148:W148" si="153">ROUND($C137*$E$2*R147/100,0)*100</f>
        <v>5700</v>
      </c>
      <c r="S148" s="51">
        <f t="shared" si="153"/>
        <v>3700</v>
      </c>
      <c r="T148" s="51">
        <f t="shared" si="153"/>
        <v>0</v>
      </c>
      <c r="U148" s="51">
        <f t="shared" si="153"/>
        <v>3000</v>
      </c>
      <c r="V148" s="51">
        <f t="shared" si="153"/>
        <v>7700</v>
      </c>
      <c r="W148" s="51">
        <f t="shared" si="153"/>
        <v>1400</v>
      </c>
      <c r="X148" s="17"/>
      <c r="Y148" s="17"/>
      <c r="Z148" s="17"/>
    </row>
    <row r="149" spans="1:26" ht="15.75" customHeight="1">
      <c r="A149" s="825">
        <v>13</v>
      </c>
      <c r="B149" s="878" t="s">
        <v>644</v>
      </c>
      <c r="C149" s="966">
        <f>Buckets!S15</f>
        <v>3.6380346412159772E-2</v>
      </c>
      <c r="D149" s="951" t="s">
        <v>490</v>
      </c>
      <c r="E149" s="23" t="s">
        <v>457</v>
      </c>
      <c r="F149" s="30">
        <f>'Input Sheet'!BH140</f>
        <v>1</v>
      </c>
      <c r="G149" s="30">
        <f>'Input Sheet'!BI140</f>
        <v>0.53953092132335101</v>
      </c>
      <c r="H149" s="30">
        <f>'Input Sheet'!BJ140</f>
        <v>0.61496310199396942</v>
      </c>
      <c r="I149" s="30">
        <f>'Input Sheet'!BK140</f>
        <v>16.994989306167685</v>
      </c>
      <c r="J149" s="30">
        <f>'Input Sheet'!BL140</f>
        <v>0.91781258160695756</v>
      </c>
      <c r="K149" s="30">
        <f>'Input Sheet'!BM140</f>
        <v>0.48072120493397374</v>
      </c>
      <c r="L149" s="62">
        <v>1</v>
      </c>
      <c r="M149" s="30">
        <f>L149/L$34</f>
        <v>0.2</v>
      </c>
      <c r="N149" s="29"/>
      <c r="O149" s="29"/>
      <c r="P149" s="29"/>
      <c r="Q149" s="29"/>
      <c r="R149" s="45">
        <f>F149</f>
        <v>1</v>
      </c>
      <c r="S149" s="45">
        <f t="shared" ref="S149:S153" si="154">G149</f>
        <v>0.53953092132335101</v>
      </c>
      <c r="T149" s="45">
        <f t="shared" ref="T149:T153" si="155">H149</f>
        <v>0.61496310199396942</v>
      </c>
      <c r="U149" s="45">
        <f t="shared" ref="U149:U153" si="156">I149</f>
        <v>16.994989306167685</v>
      </c>
      <c r="V149" s="45">
        <f t="shared" ref="V149:V153" si="157">J149</f>
        <v>0.91781258160695756</v>
      </c>
      <c r="W149" s="45">
        <f t="shared" ref="W149:W153" si="158">K149</f>
        <v>0.48072120493397374</v>
      </c>
      <c r="X149" s="46"/>
      <c r="Y149" s="46"/>
      <c r="Z149" s="46"/>
    </row>
    <row r="150" spans="1:26" ht="31.2">
      <c r="A150" s="825"/>
      <c r="B150" s="879"/>
      <c r="C150" s="966"/>
      <c r="D150" s="951"/>
      <c r="E150" s="23" t="s">
        <v>491</v>
      </c>
      <c r="F150" s="30">
        <f>'Input Sheet'!BH141</f>
        <v>1</v>
      </c>
      <c r="G150" s="30">
        <f>'Input Sheet'!BI141</f>
        <v>0.47449094900871441</v>
      </c>
      <c r="H150" s="30">
        <f>'Input Sheet'!BJ141</f>
        <v>0.32313802311672807</v>
      </c>
      <c r="I150" s="30">
        <f>'Input Sheet'!BK141</f>
        <v>4.7251537999621999E-2</v>
      </c>
      <c r="J150" s="30">
        <f>'Input Sheet'!BL141</f>
        <v>0.26244065675401301</v>
      </c>
      <c r="K150" s="30">
        <f>'Input Sheet'!BM141</f>
        <v>1.1068923799772598E-2</v>
      </c>
      <c r="L150" s="62">
        <v>1</v>
      </c>
      <c r="M150" s="30">
        <f t="shared" ref="M150:M153" si="159">L150/L$34</f>
        <v>0.2</v>
      </c>
      <c r="N150" s="29"/>
      <c r="O150" s="29"/>
      <c r="P150" s="29"/>
      <c r="Q150" s="29"/>
      <c r="R150" s="45">
        <f t="shared" ref="R150:R153" si="160">F150</f>
        <v>1</v>
      </c>
      <c r="S150" s="45">
        <f t="shared" si="154"/>
        <v>0.47449094900871441</v>
      </c>
      <c r="T150" s="45">
        <f t="shared" si="155"/>
        <v>0.32313802311672807</v>
      </c>
      <c r="U150" s="45">
        <f t="shared" si="156"/>
        <v>4.7251537999621999E-2</v>
      </c>
      <c r="V150" s="45">
        <f t="shared" si="157"/>
        <v>0.26244065675401301</v>
      </c>
      <c r="W150" s="45">
        <f t="shared" si="158"/>
        <v>1.1068923799772598E-2</v>
      </c>
      <c r="X150" s="46"/>
      <c r="Y150" s="46"/>
      <c r="Z150" s="46"/>
    </row>
    <row r="151" spans="1:26" ht="15.6">
      <c r="A151" s="825"/>
      <c r="B151" s="879"/>
      <c r="C151" s="966"/>
      <c r="D151" s="951"/>
      <c r="E151" s="23" t="s">
        <v>459</v>
      </c>
      <c r="F151" s="30">
        <f>'Input Sheet'!BH142</f>
        <v>1</v>
      </c>
      <c r="G151" s="30">
        <f>'Input Sheet'!BI142</f>
        <v>1</v>
      </c>
      <c r="H151" s="30">
        <f>'Input Sheet'!BJ142</f>
        <v>1</v>
      </c>
      <c r="I151" s="30">
        <f>'Input Sheet'!BK142</f>
        <v>0.24526760348267987</v>
      </c>
      <c r="J151" s="30">
        <f>'Input Sheet'!BL142</f>
        <v>1</v>
      </c>
      <c r="K151" s="30">
        <f>'Input Sheet'!BM142</f>
        <v>0.53129788176043136</v>
      </c>
      <c r="L151" s="62">
        <v>1</v>
      </c>
      <c r="M151" s="30">
        <f t="shared" si="159"/>
        <v>0.2</v>
      </c>
      <c r="N151" s="29"/>
      <c r="O151" s="29"/>
      <c r="P151" s="29"/>
      <c r="Q151" s="29"/>
      <c r="R151" s="45">
        <f t="shared" si="160"/>
        <v>1</v>
      </c>
      <c r="S151" s="45">
        <f t="shared" si="154"/>
        <v>1</v>
      </c>
      <c r="T151" s="45">
        <f t="shared" si="155"/>
        <v>1</v>
      </c>
      <c r="U151" s="45">
        <f t="shared" si="156"/>
        <v>0.24526760348267987</v>
      </c>
      <c r="V151" s="45">
        <f t="shared" si="157"/>
        <v>1</v>
      </c>
      <c r="W151" s="45">
        <f t="shared" si="158"/>
        <v>0.53129788176043136</v>
      </c>
      <c r="X151" s="46"/>
      <c r="Y151" s="46"/>
      <c r="Z151" s="46"/>
    </row>
    <row r="152" spans="1:26" ht="15.6">
      <c r="A152" s="825"/>
      <c r="B152" s="879"/>
      <c r="C152" s="966"/>
      <c r="D152" s="951"/>
      <c r="E152" s="23" t="s">
        <v>492</v>
      </c>
      <c r="F152" s="30">
        <f>'Input Sheet'!BH143</f>
        <v>1</v>
      </c>
      <c r="G152" s="30">
        <f>'Input Sheet'!BI143</f>
        <v>0.83945702076920725</v>
      </c>
      <c r="H152" s="30">
        <f>'Input Sheet'!BJ143</f>
        <v>0.83945702076920725</v>
      </c>
      <c r="I152" s="30">
        <f>'Input Sheet'!BK143</f>
        <v>1.6904588483790908</v>
      </c>
      <c r="J152" s="30">
        <f>'Input Sheet'!BL143</f>
        <v>0.83945702076920725</v>
      </c>
      <c r="K152" s="30">
        <f>'Input Sheet'!BM143</f>
        <v>1.6904588483790908</v>
      </c>
      <c r="L152" s="62">
        <v>1</v>
      </c>
      <c r="M152" s="30">
        <f t="shared" si="159"/>
        <v>0.2</v>
      </c>
      <c r="N152" s="29"/>
      <c r="O152" s="29"/>
      <c r="P152" s="29"/>
      <c r="Q152" s="29"/>
      <c r="R152" s="45">
        <f t="shared" si="160"/>
        <v>1</v>
      </c>
      <c r="S152" s="45">
        <f t="shared" si="154"/>
        <v>0.83945702076920725</v>
      </c>
      <c r="T152" s="45">
        <f t="shared" si="155"/>
        <v>0.83945702076920725</v>
      </c>
      <c r="U152" s="45">
        <f t="shared" si="156"/>
        <v>1.6904588483790908</v>
      </c>
      <c r="V152" s="45">
        <f t="shared" si="157"/>
        <v>0.83945702076920725</v>
      </c>
      <c r="W152" s="45">
        <f t="shared" si="158"/>
        <v>1.6904588483790908</v>
      </c>
      <c r="X152" s="46"/>
      <c r="Y152" s="46"/>
      <c r="Z152" s="46"/>
    </row>
    <row r="153" spans="1:26" ht="15.6">
      <c r="A153" s="825"/>
      <c r="B153" s="879"/>
      <c r="C153" s="966"/>
      <c r="D153" s="951"/>
      <c r="E153" s="34" t="s">
        <v>461</v>
      </c>
      <c r="F153" s="30">
        <f>'Input Sheet'!BH144</f>
        <v>1</v>
      </c>
      <c r="G153" s="30">
        <f>'Input Sheet'!BI144</f>
        <v>0.71653131057378894</v>
      </c>
      <c r="H153" s="30">
        <f>'Input Sheet'!BJ144</f>
        <v>0.52921334150005017</v>
      </c>
      <c r="I153" s="30">
        <f>'Input Sheet'!BK144</f>
        <v>0.31140322391459774</v>
      </c>
      <c r="J153" s="30">
        <f>'Input Sheet'!BL144</f>
        <v>1</v>
      </c>
      <c r="K153" s="30">
        <f>'Input Sheet'!BM144</f>
        <v>1</v>
      </c>
      <c r="L153" s="62">
        <v>1</v>
      </c>
      <c r="M153" s="30">
        <f t="shared" si="159"/>
        <v>0.2</v>
      </c>
      <c r="N153" s="29"/>
      <c r="O153" s="29"/>
      <c r="P153" s="29"/>
      <c r="Q153" s="29"/>
      <c r="R153" s="45">
        <f t="shared" si="160"/>
        <v>1</v>
      </c>
      <c r="S153" s="45">
        <f t="shared" si="154"/>
        <v>0.71653131057378894</v>
      </c>
      <c r="T153" s="45">
        <f t="shared" si="155"/>
        <v>0.52921334150005017</v>
      </c>
      <c r="U153" s="45">
        <f t="shared" si="156"/>
        <v>0.31140322391459774</v>
      </c>
      <c r="V153" s="45">
        <f t="shared" si="157"/>
        <v>1</v>
      </c>
      <c r="W153" s="45">
        <f t="shared" si="158"/>
        <v>1</v>
      </c>
      <c r="X153" s="46"/>
      <c r="Y153" s="46"/>
      <c r="Z153" s="46"/>
    </row>
    <row r="154" spans="1:26" ht="15.6">
      <c r="A154" s="825">
        <v>2</v>
      </c>
      <c r="B154" s="879"/>
      <c r="C154" s="966"/>
      <c r="D154" s="951"/>
      <c r="E154" s="23" t="s">
        <v>38</v>
      </c>
      <c r="F154" s="47"/>
      <c r="G154" s="47"/>
      <c r="H154" s="47"/>
      <c r="I154" s="47"/>
      <c r="J154" s="47"/>
      <c r="K154" s="47"/>
      <c r="L154" s="449">
        <f>SUM(L149:L153)</f>
        <v>5</v>
      </c>
      <c r="M154" s="872" t="s">
        <v>493</v>
      </c>
      <c r="N154" s="873"/>
      <c r="O154" s="873"/>
      <c r="P154" s="873"/>
      <c r="Q154" s="874"/>
      <c r="R154" s="45">
        <f>SUM(R149:R153)</f>
        <v>5</v>
      </c>
      <c r="S154" s="45">
        <f t="shared" ref="S154:T154" si="161">SUM(S149:S153)</f>
        <v>3.5700102016750614</v>
      </c>
      <c r="T154" s="45">
        <f t="shared" si="161"/>
        <v>3.3067714873799545</v>
      </c>
      <c r="U154" s="45">
        <f>SUM(U149:U153)</f>
        <v>19.289370519943677</v>
      </c>
      <c r="V154" s="45">
        <f>SUM(V149:V153)</f>
        <v>4.0197102591301777</v>
      </c>
      <c r="W154" s="45">
        <f>SUM(W149:W153)</f>
        <v>3.7135468588732685</v>
      </c>
      <c r="X154" s="48"/>
      <c r="Y154" s="48"/>
      <c r="Z154" s="48"/>
    </row>
    <row r="155" spans="1:26" ht="15.6">
      <c r="A155" s="825"/>
      <c r="B155" s="879"/>
      <c r="C155" s="966"/>
      <c r="D155" s="951"/>
      <c r="E155" s="23"/>
      <c r="F155" s="23"/>
      <c r="G155" s="23"/>
      <c r="H155" s="23"/>
      <c r="I155" s="23"/>
      <c r="J155" s="23"/>
      <c r="K155" s="23"/>
      <c r="L155" s="23"/>
      <c r="M155" s="872" t="s">
        <v>494</v>
      </c>
      <c r="N155" s="873"/>
      <c r="O155" s="873"/>
      <c r="P155" s="873"/>
      <c r="Q155" s="874"/>
      <c r="R155" s="45">
        <f>R154/SUM($R154:$W154)</f>
        <v>0.12853665612164544</v>
      </c>
      <c r="S155" s="45">
        <f t="shared" ref="S155" si="162">S154/SUM($R154:$W154)</f>
        <v>9.1775434728694691E-2</v>
      </c>
      <c r="T155" s="45">
        <f t="shared" ref="T155" si="163">T154/SUM($R154:$W154)</f>
        <v>8.5008269909243844E-2</v>
      </c>
      <c r="U155" s="45">
        <f>U154/SUM($R154:$W154)</f>
        <v>0.49587823706500106</v>
      </c>
      <c r="V155" s="45">
        <f>V154/SUM($R154:$W154)</f>
        <v>0.10333602305729318</v>
      </c>
      <c r="W155" s="45">
        <f>W154/SUM($R154:$W154)</f>
        <v>9.5465379118121974E-2</v>
      </c>
      <c r="X155" s="17"/>
      <c r="Y155" s="17"/>
      <c r="Z155" s="17"/>
    </row>
    <row r="156" spans="1:26" ht="15.6">
      <c r="A156" s="825"/>
      <c r="B156" s="879"/>
      <c r="C156" s="966"/>
      <c r="D156" s="951"/>
      <c r="E156" s="446"/>
      <c r="F156" s="941"/>
      <c r="G156" s="942"/>
      <c r="H156" s="942"/>
      <c r="I156" s="942"/>
      <c r="J156" s="942"/>
      <c r="K156" s="942"/>
      <c r="L156" s="942"/>
      <c r="M156" s="942"/>
      <c r="N156" s="942"/>
      <c r="O156" s="942"/>
      <c r="P156" s="942"/>
      <c r="Q156" s="942"/>
      <c r="R156" s="942"/>
      <c r="S156" s="942"/>
      <c r="T156" s="942"/>
      <c r="U156" s="942"/>
      <c r="V156" s="942"/>
      <c r="W156" s="943"/>
      <c r="X156" s="17"/>
      <c r="Y156" s="17"/>
      <c r="Z156" s="17"/>
    </row>
    <row r="157" spans="1:26" ht="15.6">
      <c r="A157" s="825"/>
      <c r="B157" s="879"/>
      <c r="C157" s="966"/>
      <c r="D157" s="951"/>
      <c r="E157" s="23"/>
      <c r="F157" s="30">
        <f>'Input Sheet'!BH146</f>
        <v>1</v>
      </c>
      <c r="G157" s="30">
        <f>'Input Sheet'!BI146</f>
        <v>0.9</v>
      </c>
      <c r="H157" s="30">
        <f>'Input Sheet'!BJ146</f>
        <v>0.75</v>
      </c>
      <c r="I157" s="30">
        <f>'Input Sheet'!BK146</f>
        <v>0.85</v>
      </c>
      <c r="J157" s="30">
        <f>'Input Sheet'!BL146</f>
        <v>0.55000000000000004</v>
      </c>
      <c r="K157" s="30">
        <f>'Input Sheet'!BM146</f>
        <v>0.35</v>
      </c>
      <c r="L157" s="23"/>
      <c r="M157" s="957" t="s">
        <v>495</v>
      </c>
      <c r="N157" s="958"/>
      <c r="O157" s="958"/>
      <c r="P157" s="958"/>
      <c r="Q157" s="959"/>
      <c r="R157" s="45">
        <f>R155*F157</f>
        <v>0.12853665612164544</v>
      </c>
      <c r="S157" s="45">
        <f t="shared" ref="S157" si="164">S155*G157</f>
        <v>8.2597891255825229E-2</v>
      </c>
      <c r="T157" s="45">
        <f t="shared" ref="T157" si="165">T155*H157</f>
        <v>6.375620243193289E-2</v>
      </c>
      <c r="U157" s="45">
        <f>U155*I157</f>
        <v>0.42149650150525086</v>
      </c>
      <c r="V157" s="45">
        <f>V155*J157</f>
        <v>5.6834812681511256E-2</v>
      </c>
      <c r="W157" s="45">
        <f>W155*K157</f>
        <v>3.3412882691342689E-2</v>
      </c>
      <c r="X157" s="17"/>
      <c r="Y157" s="17"/>
      <c r="Z157" s="17"/>
    </row>
    <row r="158" spans="1:26" ht="15.6" customHeight="1">
      <c r="A158" s="825"/>
      <c r="B158" s="879"/>
      <c r="C158" s="966"/>
      <c r="D158" s="951"/>
      <c r="E158" s="23"/>
      <c r="F158" s="960" t="s">
        <v>923</v>
      </c>
      <c r="G158" s="961"/>
      <c r="H158" s="961"/>
      <c r="I158" s="961"/>
      <c r="J158" s="961"/>
      <c r="K158" s="961"/>
      <c r="L158" s="961"/>
      <c r="M158" s="961"/>
      <c r="N158" s="961"/>
      <c r="O158" s="961"/>
      <c r="P158" s="961"/>
      <c r="Q158" s="962"/>
      <c r="R158" s="45">
        <f>R157</f>
        <v>0.12853665612164544</v>
      </c>
      <c r="S158" s="45">
        <f>S157*'Input Sheet'!BI138/'Input Sheet'!BH138</f>
        <v>8.2597891255825243E-2</v>
      </c>
      <c r="T158" s="45">
        <f>T157*'Input Sheet'!BJ138/'Input Sheet'!BH138</f>
        <v>0</v>
      </c>
      <c r="U158" s="45">
        <f>U157</f>
        <v>0.42149650150525086</v>
      </c>
      <c r="V158" s="45">
        <f>V157</f>
        <v>5.6834812681511256E-2</v>
      </c>
      <c r="W158" s="45">
        <f>W157</f>
        <v>3.3412882691342689E-2</v>
      </c>
      <c r="X158" s="17"/>
      <c r="Y158" s="17"/>
      <c r="Z158" s="17"/>
    </row>
    <row r="159" spans="1:26" ht="15.6" customHeight="1">
      <c r="A159" s="825"/>
      <c r="B159" s="879"/>
      <c r="C159" s="966"/>
      <c r="D159" s="951"/>
      <c r="E159" s="23"/>
      <c r="F159" s="963" t="s">
        <v>924</v>
      </c>
      <c r="G159" s="964"/>
      <c r="H159" s="964"/>
      <c r="I159" s="964"/>
      <c r="J159" s="964"/>
      <c r="K159" s="964"/>
      <c r="L159" s="964"/>
      <c r="M159" s="964"/>
      <c r="N159" s="964"/>
      <c r="O159" s="964"/>
      <c r="P159" s="964"/>
      <c r="Q159" s="965"/>
      <c r="R159" s="50">
        <f>R158/(R158+U158+V158+W158+S158+T158)</f>
        <v>0.17781219484329033</v>
      </c>
      <c r="S159" s="50">
        <f>S158/(R158+S158+T158+U158+V158+W158)</f>
        <v>0.11426244292310048</v>
      </c>
      <c r="T159" s="50">
        <f>T158/(R158+S158+T158+U158+V158+W158)</f>
        <v>0</v>
      </c>
      <c r="U159" s="50">
        <f>U158/(R158+U158+V158+W158+S158+T158)</f>
        <v>0.58308050258042965</v>
      </c>
      <c r="V159" s="50">
        <f>V158/(R158+U158+V158+W158+S158+T158)</f>
        <v>7.8622885419103117E-2</v>
      </c>
      <c r="W159" s="50">
        <f>W158/(R158+U158+V158+W158+S158+T158)</f>
        <v>4.6221974234076361E-2</v>
      </c>
      <c r="X159" s="17"/>
      <c r="Y159" s="17"/>
      <c r="Z159" s="17"/>
    </row>
    <row r="160" spans="1:26" ht="15.6" customHeight="1">
      <c r="A160" s="825"/>
      <c r="B160" s="880"/>
      <c r="C160" s="966"/>
      <c r="D160" s="951"/>
      <c r="E160" s="23"/>
      <c r="F160" s="963" t="s">
        <v>925</v>
      </c>
      <c r="G160" s="964"/>
      <c r="H160" s="964"/>
      <c r="I160" s="964"/>
      <c r="J160" s="964"/>
      <c r="K160" s="964"/>
      <c r="L160" s="964"/>
      <c r="M160" s="964"/>
      <c r="N160" s="964"/>
      <c r="O160" s="964"/>
      <c r="P160" s="964"/>
      <c r="Q160" s="965"/>
      <c r="R160" s="51">
        <f t="shared" ref="R160:W160" si="166">ROUND($C149*$E$2*R159/100,0)*100</f>
        <v>4600</v>
      </c>
      <c r="S160" s="51">
        <f t="shared" si="166"/>
        <v>2900</v>
      </c>
      <c r="T160" s="51">
        <f t="shared" si="166"/>
        <v>0</v>
      </c>
      <c r="U160" s="51">
        <f t="shared" si="166"/>
        <v>15000</v>
      </c>
      <c r="V160" s="51">
        <f t="shared" si="166"/>
        <v>2000</v>
      </c>
      <c r="W160" s="51">
        <f t="shared" si="166"/>
        <v>1200</v>
      </c>
      <c r="X160" s="17"/>
      <c r="Y160" s="17"/>
      <c r="Z160" s="17"/>
    </row>
    <row r="161" spans="1:26" ht="15.75" customHeight="1">
      <c r="A161" s="825">
        <v>14</v>
      </c>
      <c r="B161" s="878" t="s">
        <v>645</v>
      </c>
      <c r="C161" s="966">
        <f>Buckets!S16</f>
        <v>1.2866737363025803E-2</v>
      </c>
      <c r="D161" s="951" t="s">
        <v>490</v>
      </c>
      <c r="E161" s="23" t="s">
        <v>457</v>
      </c>
      <c r="F161" s="30">
        <f>'Input Sheet'!BH151</f>
        <v>1</v>
      </c>
      <c r="G161" s="30">
        <f>'Input Sheet'!BI151</f>
        <v>0.6091353343300262</v>
      </c>
      <c r="H161" s="30">
        <f>'Input Sheet'!BJ151</f>
        <v>0.52127519101936515</v>
      </c>
      <c r="I161" s="30">
        <f>'Input Sheet'!BK151</f>
        <v>7.1620548919743952</v>
      </c>
      <c r="J161" s="30">
        <f>'Input Sheet'!BL151</f>
        <v>0.87214954118299926</v>
      </c>
      <c r="K161" s="30">
        <f>'Input Sheet'!BM151</f>
        <v>0.3449864226712529</v>
      </c>
      <c r="L161" s="62">
        <v>1</v>
      </c>
      <c r="M161" s="30">
        <f>L161/L$34</f>
        <v>0.2</v>
      </c>
      <c r="N161" s="29"/>
      <c r="O161" s="29"/>
      <c r="P161" s="29"/>
      <c r="Q161" s="29"/>
      <c r="R161" s="45">
        <f>F161</f>
        <v>1</v>
      </c>
      <c r="S161" s="45">
        <f t="shared" ref="S161:S165" si="167">G161</f>
        <v>0.6091353343300262</v>
      </c>
      <c r="T161" s="45">
        <f t="shared" ref="T161:T165" si="168">H161</f>
        <v>0.52127519101936515</v>
      </c>
      <c r="U161" s="45">
        <f t="shared" ref="U161:U165" si="169">I161</f>
        <v>7.1620548919743952</v>
      </c>
      <c r="V161" s="45">
        <f t="shared" ref="V161:V165" si="170">J161</f>
        <v>0.87214954118299926</v>
      </c>
      <c r="W161" s="45">
        <f t="shared" ref="W161:W165" si="171">K161</f>
        <v>0.3449864226712529</v>
      </c>
      <c r="X161" s="46"/>
      <c r="Y161" s="46"/>
      <c r="Z161" s="46"/>
    </row>
    <row r="162" spans="1:26" ht="31.2">
      <c r="A162" s="825"/>
      <c r="B162" s="879"/>
      <c r="C162" s="966"/>
      <c r="D162" s="951"/>
      <c r="E162" s="23" t="s">
        <v>491</v>
      </c>
      <c r="F162" s="30">
        <f>'Input Sheet'!BH152</f>
        <v>1</v>
      </c>
      <c r="G162" s="30">
        <f>'Input Sheet'!BI152</f>
        <v>0.52823692207301787</v>
      </c>
      <c r="H162" s="30">
        <f>'Input Sheet'!BJ152</f>
        <v>0.16528708278440626</v>
      </c>
      <c r="I162" s="30">
        <f>'Input Sheet'!BK152</f>
        <v>4.6653736930172489E-2</v>
      </c>
      <c r="J162" s="30">
        <f>'Input Sheet'!BL152</f>
        <v>0.31533597262074292</v>
      </c>
      <c r="K162" s="30">
        <f>'Input Sheet'!BM152</f>
        <v>1.7525369022073814E-2</v>
      </c>
      <c r="L162" s="62">
        <v>1</v>
      </c>
      <c r="M162" s="30">
        <f t="shared" ref="M162:M165" si="172">L162/L$34</f>
        <v>0.2</v>
      </c>
      <c r="N162" s="29"/>
      <c r="O162" s="29"/>
      <c r="P162" s="29"/>
      <c r="Q162" s="29"/>
      <c r="R162" s="45">
        <f t="shared" ref="R162:R165" si="173">F162</f>
        <v>1</v>
      </c>
      <c r="S162" s="45">
        <f t="shared" si="167"/>
        <v>0.52823692207301787</v>
      </c>
      <c r="T162" s="45">
        <f t="shared" si="168"/>
        <v>0.16528708278440626</v>
      </c>
      <c r="U162" s="45">
        <f t="shared" si="169"/>
        <v>4.6653736930172489E-2</v>
      </c>
      <c r="V162" s="45">
        <f t="shared" si="170"/>
        <v>0.31533597262074292</v>
      </c>
      <c r="W162" s="45">
        <f t="shared" si="171"/>
        <v>1.7525369022073814E-2</v>
      </c>
      <c r="X162" s="46"/>
      <c r="Y162" s="46"/>
      <c r="Z162" s="46"/>
    </row>
    <row r="163" spans="1:26" ht="15.6">
      <c r="A163" s="825"/>
      <c r="B163" s="879"/>
      <c r="C163" s="966"/>
      <c r="D163" s="951"/>
      <c r="E163" s="23" t="s">
        <v>459</v>
      </c>
      <c r="F163" s="30">
        <f>'Input Sheet'!BH153</f>
        <v>1</v>
      </c>
      <c r="G163" s="30">
        <f>'Input Sheet'!BI153</f>
        <v>1</v>
      </c>
      <c r="H163" s="30">
        <f>'Input Sheet'!BJ153</f>
        <v>1</v>
      </c>
      <c r="I163" s="30">
        <f>'Input Sheet'!BK153</f>
        <v>0.21828554812642756</v>
      </c>
      <c r="J163" s="30">
        <f>'Input Sheet'!BL153</f>
        <v>1</v>
      </c>
      <c r="K163" s="30">
        <f>'Input Sheet'!BM153</f>
        <v>0.56511179095104691</v>
      </c>
      <c r="L163" s="62">
        <v>1</v>
      </c>
      <c r="M163" s="30">
        <f t="shared" si="172"/>
        <v>0.2</v>
      </c>
      <c r="N163" s="29"/>
      <c r="O163" s="29"/>
      <c r="P163" s="29"/>
      <c r="Q163" s="29"/>
      <c r="R163" s="45">
        <f t="shared" si="173"/>
        <v>1</v>
      </c>
      <c r="S163" s="45">
        <f t="shared" si="167"/>
        <v>1</v>
      </c>
      <c r="T163" s="45">
        <f t="shared" si="168"/>
        <v>1</v>
      </c>
      <c r="U163" s="45">
        <f t="shared" si="169"/>
        <v>0.21828554812642756</v>
      </c>
      <c r="V163" s="45">
        <f t="shared" si="170"/>
        <v>1</v>
      </c>
      <c r="W163" s="45">
        <f t="shared" si="171"/>
        <v>0.56511179095104691</v>
      </c>
      <c r="X163" s="46"/>
      <c r="Y163" s="46"/>
      <c r="Z163" s="46"/>
    </row>
    <row r="164" spans="1:26" ht="15.6">
      <c r="A164" s="825"/>
      <c r="B164" s="879"/>
      <c r="C164" s="966"/>
      <c r="D164" s="951"/>
      <c r="E164" s="23" t="s">
        <v>492</v>
      </c>
      <c r="F164" s="30">
        <f>'Input Sheet'!BH154</f>
        <v>1</v>
      </c>
      <c r="G164" s="30">
        <f>'Input Sheet'!BI154</f>
        <v>0.83945702076920725</v>
      </c>
      <c r="H164" s="30">
        <f>'Input Sheet'!BJ154</f>
        <v>0.83945702076920725</v>
      </c>
      <c r="I164" s="30">
        <f>'Input Sheet'!BK154</f>
        <v>1.6904588483790908</v>
      </c>
      <c r="J164" s="30">
        <f>'Input Sheet'!BL154</f>
        <v>0.83945702076920725</v>
      </c>
      <c r="K164" s="30">
        <f>'Input Sheet'!BM154</f>
        <v>1.6904588483790908</v>
      </c>
      <c r="L164" s="62">
        <v>1</v>
      </c>
      <c r="M164" s="30">
        <f t="shared" si="172"/>
        <v>0.2</v>
      </c>
      <c r="N164" s="29"/>
      <c r="O164" s="29"/>
      <c r="P164" s="29"/>
      <c r="Q164" s="29"/>
      <c r="R164" s="45">
        <f t="shared" si="173"/>
        <v>1</v>
      </c>
      <c r="S164" s="45">
        <f t="shared" si="167"/>
        <v>0.83945702076920725</v>
      </c>
      <c r="T164" s="45">
        <f t="shared" si="168"/>
        <v>0.83945702076920725</v>
      </c>
      <c r="U164" s="45">
        <f t="shared" si="169"/>
        <v>1.6904588483790908</v>
      </c>
      <c r="V164" s="45">
        <f t="shared" si="170"/>
        <v>0.83945702076920725</v>
      </c>
      <c r="W164" s="45">
        <f t="shared" si="171"/>
        <v>1.6904588483790908</v>
      </c>
      <c r="X164" s="46"/>
      <c r="Y164" s="46"/>
      <c r="Z164" s="46"/>
    </row>
    <row r="165" spans="1:26" ht="15.6">
      <c r="A165" s="825"/>
      <c r="B165" s="879"/>
      <c r="C165" s="966"/>
      <c r="D165" s="951"/>
      <c r="E165" s="34" t="s">
        <v>461</v>
      </c>
      <c r="F165" s="30">
        <f>'Input Sheet'!BH155</f>
        <v>1</v>
      </c>
      <c r="G165" s="30">
        <f>'Input Sheet'!BI155</f>
        <v>0.71653131057378894</v>
      </c>
      <c r="H165" s="30">
        <f>'Input Sheet'!BJ155</f>
        <v>0.52921334150005017</v>
      </c>
      <c r="I165" s="30">
        <f>'Input Sheet'!BK155</f>
        <v>0.31140322391459774</v>
      </c>
      <c r="J165" s="30">
        <f>'Input Sheet'!BL155</f>
        <v>1</v>
      </c>
      <c r="K165" s="30">
        <f>'Input Sheet'!BM155</f>
        <v>1</v>
      </c>
      <c r="L165" s="62">
        <v>1</v>
      </c>
      <c r="M165" s="30">
        <f t="shared" si="172"/>
        <v>0.2</v>
      </c>
      <c r="N165" s="29"/>
      <c r="O165" s="29"/>
      <c r="P165" s="29"/>
      <c r="Q165" s="29"/>
      <c r="R165" s="45">
        <f t="shared" si="173"/>
        <v>1</v>
      </c>
      <c r="S165" s="45">
        <f t="shared" si="167"/>
        <v>0.71653131057378894</v>
      </c>
      <c r="T165" s="45">
        <f t="shared" si="168"/>
        <v>0.52921334150005017</v>
      </c>
      <c r="U165" s="45">
        <f t="shared" si="169"/>
        <v>0.31140322391459774</v>
      </c>
      <c r="V165" s="45">
        <f t="shared" si="170"/>
        <v>1</v>
      </c>
      <c r="W165" s="45">
        <f t="shared" si="171"/>
        <v>1</v>
      </c>
      <c r="X165" s="46"/>
      <c r="Y165" s="46"/>
      <c r="Z165" s="46"/>
    </row>
    <row r="166" spans="1:26" ht="15.6">
      <c r="A166" s="825">
        <v>2</v>
      </c>
      <c r="B166" s="879"/>
      <c r="C166" s="966"/>
      <c r="D166" s="951"/>
      <c r="E166" s="23" t="s">
        <v>38</v>
      </c>
      <c r="F166" s="47"/>
      <c r="G166" s="47"/>
      <c r="H166" s="47"/>
      <c r="I166" s="47"/>
      <c r="J166" s="47"/>
      <c r="K166" s="47"/>
      <c r="L166" s="449">
        <f>SUM(L161:L165)</f>
        <v>5</v>
      </c>
      <c r="M166" s="872" t="s">
        <v>493</v>
      </c>
      <c r="N166" s="873"/>
      <c r="O166" s="873"/>
      <c r="P166" s="873"/>
      <c r="Q166" s="874"/>
      <c r="R166" s="45">
        <f>SUM(R161:R165)</f>
        <v>5</v>
      </c>
      <c r="S166" s="45">
        <f t="shared" ref="S166:T166" si="174">SUM(S161:S165)</f>
        <v>3.6933605877460405</v>
      </c>
      <c r="T166" s="45">
        <f t="shared" si="174"/>
        <v>3.0552326360730291</v>
      </c>
      <c r="U166" s="45">
        <f>SUM(U161:U165)</f>
        <v>9.4288562493246832</v>
      </c>
      <c r="V166" s="45">
        <f>SUM(V161:V165)</f>
        <v>4.0269425345729495</v>
      </c>
      <c r="W166" s="45">
        <f>SUM(W161:W165)</f>
        <v>3.6180824310234643</v>
      </c>
      <c r="X166" s="48"/>
      <c r="Y166" s="48"/>
      <c r="Z166" s="48"/>
    </row>
    <row r="167" spans="1:26" ht="15.6">
      <c r="A167" s="825"/>
      <c r="B167" s="879"/>
      <c r="C167" s="966"/>
      <c r="D167" s="951"/>
      <c r="E167" s="23"/>
      <c r="F167" s="23"/>
      <c r="G167" s="23"/>
      <c r="H167" s="23"/>
      <c r="I167" s="23"/>
      <c r="J167" s="23"/>
      <c r="K167" s="23"/>
      <c r="L167" s="23"/>
      <c r="M167" s="872" t="s">
        <v>494</v>
      </c>
      <c r="N167" s="873"/>
      <c r="O167" s="873"/>
      <c r="P167" s="873"/>
      <c r="Q167" s="874"/>
      <c r="R167" s="45">
        <f>R166/SUM($R166:$W166)</f>
        <v>0.17347573715876113</v>
      </c>
      <c r="S167" s="45">
        <f t="shared" ref="S167" si="175">S166/SUM($R166:$W166)</f>
        <v>0.12814169011047191</v>
      </c>
      <c r="T167" s="45">
        <f t="shared" ref="T167" si="176">T166/SUM($R166:$W166)</f>
        <v>0.10600174674685474</v>
      </c>
      <c r="U167" s="45">
        <f>U166/SUM($R166:$W166)</f>
        <v>0.32713555768311819</v>
      </c>
      <c r="V167" s="45">
        <f>V166/SUM($R166:$W166)</f>
        <v>0.13971536493620246</v>
      </c>
      <c r="W167" s="45">
        <f>W166/SUM($R166:$W166)</f>
        <v>0.12552990336459161</v>
      </c>
      <c r="X167" s="17"/>
      <c r="Y167" s="17"/>
      <c r="Z167" s="17"/>
    </row>
    <row r="168" spans="1:26" ht="15.6">
      <c r="A168" s="825"/>
      <c r="B168" s="879"/>
      <c r="C168" s="966"/>
      <c r="D168" s="951"/>
      <c r="E168" s="446"/>
      <c r="F168" s="941" t="s">
        <v>495</v>
      </c>
      <c r="G168" s="942"/>
      <c r="H168" s="942"/>
      <c r="I168" s="942"/>
      <c r="J168" s="942"/>
      <c r="K168" s="942"/>
      <c r="L168" s="942"/>
      <c r="M168" s="942"/>
      <c r="N168" s="942"/>
      <c r="O168" s="942"/>
      <c r="P168" s="942"/>
      <c r="Q168" s="942"/>
      <c r="R168" s="942"/>
      <c r="S168" s="942"/>
      <c r="T168" s="942"/>
      <c r="U168" s="942"/>
      <c r="V168" s="942"/>
      <c r="W168" s="943"/>
      <c r="X168" s="17"/>
      <c r="Y168" s="17"/>
      <c r="Z168" s="17"/>
    </row>
    <row r="169" spans="1:26" ht="15.6">
      <c r="A169" s="825"/>
      <c r="B169" s="879"/>
      <c r="C169" s="966"/>
      <c r="D169" s="951"/>
      <c r="E169" s="23"/>
      <c r="F169" s="30">
        <f>'Input Sheet'!BH157</f>
        <v>1</v>
      </c>
      <c r="G169" s="30">
        <f>'Input Sheet'!BI157</f>
        <v>0.85</v>
      </c>
      <c r="H169" s="30">
        <f>'Input Sheet'!BJ157</f>
        <v>0.85</v>
      </c>
      <c r="I169" s="30">
        <f>'Input Sheet'!BK157</f>
        <v>0.85</v>
      </c>
      <c r="J169" s="30">
        <f>'Input Sheet'!BL157</f>
        <v>0.55000000000000004</v>
      </c>
      <c r="K169" s="30">
        <f>'Input Sheet'!BM157</f>
        <v>0.35</v>
      </c>
      <c r="L169" s="23"/>
      <c r="M169" s="43"/>
      <c r="N169" s="49"/>
      <c r="O169" s="49"/>
      <c r="P169" s="49"/>
      <c r="Q169" s="49"/>
      <c r="R169" s="45">
        <f>R167*F169</f>
        <v>0.17347573715876113</v>
      </c>
      <c r="S169" s="45">
        <f t="shared" ref="S169" si="177">S167*G169</f>
        <v>0.10892043659390112</v>
      </c>
      <c r="T169" s="45">
        <f t="shared" ref="T169" si="178">T167*H169</f>
        <v>9.0101484734826529E-2</v>
      </c>
      <c r="U169" s="45">
        <f>U167*I169</f>
        <v>0.27806522403065048</v>
      </c>
      <c r="V169" s="45">
        <f>V167*J169</f>
        <v>7.684345071491136E-2</v>
      </c>
      <c r="W169" s="45">
        <f>W167*K169</f>
        <v>4.393546617760706E-2</v>
      </c>
      <c r="X169" s="17"/>
      <c r="Y169" s="17"/>
      <c r="Z169" s="17"/>
    </row>
    <row r="170" spans="1:26" ht="15.6" customHeight="1">
      <c r="A170" s="825"/>
      <c r="B170" s="879"/>
      <c r="C170" s="966"/>
      <c r="D170" s="951"/>
      <c r="E170" s="23"/>
      <c r="F170" s="960" t="s">
        <v>923</v>
      </c>
      <c r="G170" s="961"/>
      <c r="H170" s="961"/>
      <c r="I170" s="961"/>
      <c r="J170" s="961"/>
      <c r="K170" s="961"/>
      <c r="L170" s="961"/>
      <c r="M170" s="961"/>
      <c r="N170" s="961"/>
      <c r="O170" s="961"/>
      <c r="P170" s="961"/>
      <c r="Q170" s="962"/>
      <c r="R170" s="45">
        <f>R169</f>
        <v>0.17347573715876113</v>
      </c>
      <c r="S170" s="45">
        <f>S169*'Input Sheet'!BI149/'Input Sheet'!BH149</f>
        <v>7.1695979692029427E-2</v>
      </c>
      <c r="T170" s="45">
        <f>T169*'Input Sheet'!BJ149/'Input Sheet'!BH149</f>
        <v>3.0792925002781375E-2</v>
      </c>
      <c r="U170" s="45">
        <f>U169</f>
        <v>0.27806522403065048</v>
      </c>
      <c r="V170" s="45">
        <f>V169</f>
        <v>7.684345071491136E-2</v>
      </c>
      <c r="W170" s="45">
        <f>W169</f>
        <v>4.393546617760706E-2</v>
      </c>
      <c r="X170" s="17"/>
      <c r="Y170" s="17"/>
      <c r="Z170" s="17"/>
    </row>
    <row r="171" spans="1:26" ht="15.6" customHeight="1">
      <c r="A171" s="825"/>
      <c r="B171" s="879"/>
      <c r="C171" s="966"/>
      <c r="D171" s="951"/>
      <c r="E171" s="23"/>
      <c r="F171" s="963" t="s">
        <v>924</v>
      </c>
      <c r="G171" s="964"/>
      <c r="H171" s="964"/>
      <c r="I171" s="964"/>
      <c r="J171" s="964"/>
      <c r="K171" s="964"/>
      <c r="L171" s="964"/>
      <c r="M171" s="964"/>
      <c r="N171" s="964"/>
      <c r="O171" s="964"/>
      <c r="P171" s="964"/>
      <c r="Q171" s="965"/>
      <c r="R171" s="50">
        <f>R170/(R170+U170+V170+W170+S170+T170)</f>
        <v>0.25707391721390094</v>
      </c>
      <c r="S171" s="50">
        <f>S170/(R170+S170+T170+U170+V170+W170)</f>
        <v>0.1062463641878086</v>
      </c>
      <c r="T171" s="50">
        <f>T170/(R170+S170+T170+U170+V170+W170)</f>
        <v>4.5632075024383836E-2</v>
      </c>
      <c r="U171" s="50">
        <f>U170/(R170+U170+V170+W170+S170+T170)</f>
        <v>0.41206521184631323</v>
      </c>
      <c r="V171" s="50">
        <f>V170/(R170+U170+V170+W170+S170+T170)</f>
        <v>0.11387440809337371</v>
      </c>
      <c r="W171" s="50">
        <f>W170/(R170+U170+V170+W170+S170+T170)</f>
        <v>6.5108023634219692E-2</v>
      </c>
      <c r="X171" s="17"/>
      <c r="Y171" s="17"/>
      <c r="Z171" s="17"/>
    </row>
    <row r="172" spans="1:26" ht="15.6" customHeight="1">
      <c r="A172" s="825"/>
      <c r="B172" s="880"/>
      <c r="C172" s="966"/>
      <c r="D172" s="951"/>
      <c r="E172" s="23"/>
      <c r="F172" s="963" t="s">
        <v>925</v>
      </c>
      <c r="G172" s="964"/>
      <c r="H172" s="964"/>
      <c r="I172" s="964"/>
      <c r="J172" s="964"/>
      <c r="K172" s="964"/>
      <c r="L172" s="964"/>
      <c r="M172" s="964"/>
      <c r="N172" s="964"/>
      <c r="O172" s="964"/>
      <c r="P172" s="964"/>
      <c r="Q172" s="965"/>
      <c r="R172" s="51">
        <f t="shared" ref="R172:W172" si="179">ROUND($C161*$E$2*R171/100,0)*100</f>
        <v>2300</v>
      </c>
      <c r="S172" s="51">
        <f t="shared" si="179"/>
        <v>1000</v>
      </c>
      <c r="T172" s="51">
        <f t="shared" si="179"/>
        <v>400</v>
      </c>
      <c r="U172" s="51">
        <f t="shared" si="179"/>
        <v>3800</v>
      </c>
      <c r="V172" s="51">
        <f t="shared" si="179"/>
        <v>1000</v>
      </c>
      <c r="W172" s="51">
        <f t="shared" si="179"/>
        <v>600</v>
      </c>
      <c r="X172" s="17"/>
      <c r="Y172" s="17"/>
      <c r="Z172" s="17"/>
    </row>
    <row r="173" spans="1:26" ht="16.350000000000001" customHeight="1">
      <c r="A173" s="454"/>
      <c r="B173" s="454"/>
    </row>
    <row r="174" spans="1:26" ht="15.75" customHeight="1">
      <c r="E174" s="967" t="s">
        <v>497</v>
      </c>
      <c r="F174" s="963" t="s">
        <v>924</v>
      </c>
      <c r="G174" s="964"/>
      <c r="H174" s="964"/>
      <c r="I174" s="964"/>
      <c r="J174" s="964"/>
      <c r="K174" s="964"/>
      <c r="L174" s="964"/>
      <c r="M174" s="964"/>
      <c r="N174" s="964"/>
      <c r="O174" s="964"/>
      <c r="P174" s="964"/>
      <c r="Q174" s="965"/>
      <c r="R174" s="501">
        <f t="shared" ref="R174:W174" si="180">R175/$E$2/100%</f>
        <v>9.6140251661246998E-2</v>
      </c>
      <c r="S174" s="501">
        <f t="shared" si="180"/>
        <v>4.9059804891842217E-2</v>
      </c>
      <c r="T174" s="501">
        <f t="shared" si="180"/>
        <v>4.8070125830623495E-3</v>
      </c>
      <c r="U174" s="501">
        <f t="shared" si="180"/>
        <v>0.76063904990810127</v>
      </c>
      <c r="V174" s="501">
        <f t="shared" si="180"/>
        <v>4.9342570337904706E-2</v>
      </c>
      <c r="W174" s="501">
        <f t="shared" si="180"/>
        <v>4.0152693340873742E-2</v>
      </c>
    </row>
    <row r="175" spans="1:26" ht="15.6" customHeight="1">
      <c r="E175" s="967"/>
      <c r="F175" s="963" t="s">
        <v>925</v>
      </c>
      <c r="G175" s="964"/>
      <c r="H175" s="964"/>
      <c r="I175" s="964"/>
      <c r="J175" s="964"/>
      <c r="K175" s="964"/>
      <c r="L175" s="964"/>
      <c r="M175" s="964"/>
      <c r="N175" s="964"/>
      <c r="O175" s="964"/>
      <c r="P175" s="964"/>
      <c r="Q175" s="965"/>
      <c r="R175" s="54">
        <f t="shared" ref="R175:W175" si="181">R16+R28+R40+R52+R64+R76+R88+R100+R112+R124+R136+R148+R160+R172</f>
        <v>68000</v>
      </c>
      <c r="S175" s="54">
        <f t="shared" si="181"/>
        <v>34700</v>
      </c>
      <c r="T175" s="54">
        <f t="shared" si="181"/>
        <v>3400</v>
      </c>
      <c r="U175" s="54">
        <f t="shared" si="181"/>
        <v>538000</v>
      </c>
      <c r="V175" s="54">
        <f t="shared" si="181"/>
        <v>34900</v>
      </c>
      <c r="W175" s="54">
        <f t="shared" si="181"/>
        <v>28400</v>
      </c>
    </row>
  </sheetData>
  <mergeCells count="170">
    <mergeCell ref="C149:C160"/>
    <mergeCell ref="D149:D160"/>
    <mergeCell ref="M154:Q154"/>
    <mergeCell ref="M155:Q155"/>
    <mergeCell ref="F156:W156"/>
    <mergeCell ref="C161:C172"/>
    <mergeCell ref="D161:D172"/>
    <mergeCell ref="M166:Q166"/>
    <mergeCell ref="M167:Q167"/>
    <mergeCell ref="F168:W168"/>
    <mergeCell ref="M157:Q157"/>
    <mergeCell ref="F158:Q158"/>
    <mergeCell ref="F170:Q170"/>
    <mergeCell ref="F159:Q159"/>
    <mergeCell ref="F160:Q160"/>
    <mergeCell ref="F171:Q171"/>
    <mergeCell ref="F172:Q172"/>
    <mergeCell ref="C125:C136"/>
    <mergeCell ref="D125:D136"/>
    <mergeCell ref="M130:Q130"/>
    <mergeCell ref="M131:Q131"/>
    <mergeCell ref="F132:W132"/>
    <mergeCell ref="C137:C148"/>
    <mergeCell ref="D137:D148"/>
    <mergeCell ref="M142:Q142"/>
    <mergeCell ref="M143:Q143"/>
    <mergeCell ref="F144:W144"/>
    <mergeCell ref="M133:Q133"/>
    <mergeCell ref="M145:Q145"/>
    <mergeCell ref="F134:Q134"/>
    <mergeCell ref="F146:Q146"/>
    <mergeCell ref="F135:Q135"/>
    <mergeCell ref="F136:Q136"/>
    <mergeCell ref="F147:Q147"/>
    <mergeCell ref="F148:Q148"/>
    <mergeCell ref="C113:C124"/>
    <mergeCell ref="D113:D124"/>
    <mergeCell ref="M118:Q118"/>
    <mergeCell ref="M119:Q119"/>
    <mergeCell ref="F120:W120"/>
    <mergeCell ref="C101:C112"/>
    <mergeCell ref="D101:D112"/>
    <mergeCell ref="M106:Q106"/>
    <mergeCell ref="M107:Q107"/>
    <mergeCell ref="F108:W108"/>
    <mergeCell ref="M109:Q109"/>
    <mergeCell ref="M121:Q121"/>
    <mergeCell ref="F110:Q110"/>
    <mergeCell ref="F122:Q122"/>
    <mergeCell ref="F111:Q111"/>
    <mergeCell ref="F112:Q112"/>
    <mergeCell ref="F123:Q123"/>
    <mergeCell ref="F124:Q124"/>
    <mergeCell ref="C89:C100"/>
    <mergeCell ref="D89:D100"/>
    <mergeCell ref="C65:C76"/>
    <mergeCell ref="D65:D76"/>
    <mergeCell ref="M70:Q70"/>
    <mergeCell ref="F72:W72"/>
    <mergeCell ref="C77:C88"/>
    <mergeCell ref="D77:D88"/>
    <mergeCell ref="M82:Q82"/>
    <mergeCell ref="M83:Q83"/>
    <mergeCell ref="M73:Q73"/>
    <mergeCell ref="M85:Q85"/>
    <mergeCell ref="M97:Q97"/>
    <mergeCell ref="F74:Q74"/>
    <mergeCell ref="F86:Q86"/>
    <mergeCell ref="F98:Q98"/>
    <mergeCell ref="F99:Q99"/>
    <mergeCell ref="A161:A172"/>
    <mergeCell ref="B161:B172"/>
    <mergeCell ref="A101:A112"/>
    <mergeCell ref="B101:B112"/>
    <mergeCell ref="A113:A124"/>
    <mergeCell ref="B113:B124"/>
    <mergeCell ref="A125:A136"/>
    <mergeCell ref="B125:B136"/>
    <mergeCell ref="A65:A76"/>
    <mergeCell ref="B65:B76"/>
    <mergeCell ref="A77:A88"/>
    <mergeCell ref="B77:B88"/>
    <mergeCell ref="A137:A148"/>
    <mergeCell ref="B137:B148"/>
    <mergeCell ref="A149:A160"/>
    <mergeCell ref="B149:B160"/>
    <mergeCell ref="A89:A100"/>
    <mergeCell ref="B89:B100"/>
    <mergeCell ref="C53:C64"/>
    <mergeCell ref="D53:D64"/>
    <mergeCell ref="M58:Q58"/>
    <mergeCell ref="A41:A52"/>
    <mergeCell ref="B41:B52"/>
    <mergeCell ref="C41:C52"/>
    <mergeCell ref="M59:Q59"/>
    <mergeCell ref="F60:W60"/>
    <mergeCell ref="A53:A64"/>
    <mergeCell ref="B53:B64"/>
    <mergeCell ref="M49:Q49"/>
    <mergeCell ref="M61:Q61"/>
    <mergeCell ref="F50:Q50"/>
    <mergeCell ref="F62:Q62"/>
    <mergeCell ref="E174:E175"/>
    <mergeCell ref="F174:Q174"/>
    <mergeCell ref="D29:D40"/>
    <mergeCell ref="M34:Q34"/>
    <mergeCell ref="M35:Q35"/>
    <mergeCell ref="D41:D52"/>
    <mergeCell ref="M46:Q46"/>
    <mergeCell ref="M47:Q47"/>
    <mergeCell ref="F48:W48"/>
    <mergeCell ref="M71:Q71"/>
    <mergeCell ref="M94:Q94"/>
    <mergeCell ref="M95:Q95"/>
    <mergeCell ref="F96:W96"/>
    <mergeCell ref="F84:W84"/>
    <mergeCell ref="F51:Q51"/>
    <mergeCell ref="F52:Q52"/>
    <mergeCell ref="F63:Q63"/>
    <mergeCell ref="F64:Q64"/>
    <mergeCell ref="F75:Q75"/>
    <mergeCell ref="F76:Q76"/>
    <mergeCell ref="F87:Q87"/>
    <mergeCell ref="F88:Q88"/>
    <mergeCell ref="F175:Q175"/>
    <mergeCell ref="F100:Q100"/>
    <mergeCell ref="A29:A40"/>
    <mergeCell ref="L3:L4"/>
    <mergeCell ref="M3:M4"/>
    <mergeCell ref="N3:Q3"/>
    <mergeCell ref="B29:B40"/>
    <mergeCell ref="C17:C28"/>
    <mergeCell ref="B17:B28"/>
    <mergeCell ref="F24:W24"/>
    <mergeCell ref="F27:Q27"/>
    <mergeCell ref="C29:C40"/>
    <mergeCell ref="R3:W3"/>
    <mergeCell ref="M10:Q10"/>
    <mergeCell ref="A3:A4"/>
    <mergeCell ref="B3:B4"/>
    <mergeCell ref="C3:C4"/>
    <mergeCell ref="B5:B16"/>
    <mergeCell ref="C5:C16"/>
    <mergeCell ref="A5:A16"/>
    <mergeCell ref="A17:A28"/>
    <mergeCell ref="M37:Q37"/>
    <mergeCell ref="F38:Q38"/>
    <mergeCell ref="F39:Q39"/>
    <mergeCell ref="F40:Q40"/>
    <mergeCell ref="R2:U2"/>
    <mergeCell ref="D5:D16"/>
    <mergeCell ref="D17:D28"/>
    <mergeCell ref="B1:F1"/>
    <mergeCell ref="J1:L1"/>
    <mergeCell ref="B2:D2"/>
    <mergeCell ref="I2:L2"/>
    <mergeCell ref="F3:K3"/>
    <mergeCell ref="M22:Q22"/>
    <mergeCell ref="M23:Q23"/>
    <mergeCell ref="M11:Q11"/>
    <mergeCell ref="F12:W12"/>
    <mergeCell ref="D3:D4"/>
    <mergeCell ref="E3:E4"/>
    <mergeCell ref="M13:Q13"/>
    <mergeCell ref="M25:Q25"/>
    <mergeCell ref="F14:Q14"/>
    <mergeCell ref="F26:Q26"/>
    <mergeCell ref="F15:Q15"/>
    <mergeCell ref="F16:Q16"/>
    <mergeCell ref="F28:Q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41DC-72D6-4266-B854-A0F8400A46A6}">
  <dimension ref="A1:Z175"/>
  <sheetViews>
    <sheetView zoomScale="90" zoomScaleNormal="85" workbookViewId="0">
      <pane xSplit="5" ySplit="4" topLeftCell="N164" activePane="bottomRight" state="frozen"/>
      <selection activeCell="AH9" sqref="AH9"/>
      <selection pane="topRight" activeCell="AH9" sqref="AH9"/>
      <selection pane="bottomLeft" activeCell="AH9" sqref="AH9"/>
      <selection pane="bottomRight" activeCell="C185" sqref="C185"/>
    </sheetView>
  </sheetViews>
  <sheetFormatPr defaultRowHeight="14.4"/>
  <cols>
    <col min="1" max="1" width="5.44140625" customWidth="1"/>
    <col min="2" max="3" width="11.109375" customWidth="1"/>
    <col min="4" max="4" width="9.6640625" customWidth="1"/>
    <col min="5" max="5" width="28.44140625" customWidth="1"/>
    <col min="6" max="8" width="9.109375" customWidth="1"/>
    <col min="9" max="12" width="8.109375" customWidth="1"/>
    <col min="13" max="13" width="11.109375" customWidth="1"/>
    <col min="14" max="14" width="9.109375" customWidth="1"/>
    <col min="15" max="17" width="8.109375" customWidth="1"/>
    <col min="18" max="20" width="9.109375" customWidth="1"/>
    <col min="21" max="21" width="9" bestFit="1" customWidth="1"/>
    <col min="22" max="22" width="9.88671875" bestFit="1" customWidth="1"/>
    <col min="23" max="23" width="8.109375" customWidth="1"/>
    <col min="24" max="24" width="2.44140625" customWidth="1"/>
    <col min="25" max="26" width="8.109375" customWidth="1"/>
  </cols>
  <sheetData>
    <row r="1" spans="1:26" ht="18">
      <c r="B1" s="952" t="s">
        <v>930</v>
      </c>
      <c r="C1" s="953"/>
      <c r="D1" s="953"/>
      <c r="E1" s="953"/>
      <c r="F1" s="953"/>
      <c r="G1" s="63"/>
      <c r="H1" s="63"/>
      <c r="J1" s="954" t="s">
        <v>442</v>
      </c>
      <c r="K1" s="954"/>
      <c r="L1" s="954"/>
      <c r="M1" s="41">
        <f>'Input Sheet'!CB1</f>
        <v>2050</v>
      </c>
    </row>
    <row r="2" spans="1:26" ht="15.75" customHeight="1">
      <c r="A2" s="16"/>
      <c r="B2" s="955" t="s">
        <v>931</v>
      </c>
      <c r="C2" s="955"/>
      <c r="D2" s="955"/>
      <c r="E2" s="42">
        <f>ROUND('AnnualSalesSummary Revised'!AD75/100,0)*100</f>
        <v>853500</v>
      </c>
      <c r="F2" s="43"/>
      <c r="G2" s="43"/>
      <c r="H2" s="43"/>
      <c r="I2" s="956" t="s">
        <v>444</v>
      </c>
      <c r="J2" s="956"/>
      <c r="K2" s="956"/>
      <c r="L2" s="956"/>
      <c r="M2" s="43"/>
      <c r="N2" s="44"/>
      <c r="O2" s="44"/>
      <c r="P2" s="44"/>
      <c r="Q2" s="44"/>
      <c r="R2" s="950" t="s">
        <v>484</v>
      </c>
      <c r="S2" s="950"/>
      <c r="T2" s="950"/>
      <c r="U2" s="950"/>
      <c r="V2" s="23"/>
      <c r="W2" s="23"/>
      <c r="X2" s="448"/>
      <c r="Y2" s="448"/>
      <c r="Z2" s="448"/>
    </row>
    <row r="3" spans="1:26" ht="15.6">
      <c r="A3" s="818" t="s">
        <v>1</v>
      </c>
      <c r="B3" s="818" t="s">
        <v>485</v>
      </c>
      <c r="C3" s="822" t="s">
        <v>486</v>
      </c>
      <c r="D3" s="822" t="s">
        <v>170</v>
      </c>
      <c r="E3" s="822" t="s">
        <v>446</v>
      </c>
      <c r="F3" s="818" t="s">
        <v>449</v>
      </c>
      <c r="G3" s="818"/>
      <c r="H3" s="818"/>
      <c r="I3" s="818"/>
      <c r="J3" s="818"/>
      <c r="K3" s="818"/>
      <c r="L3" s="822" t="s">
        <v>487</v>
      </c>
      <c r="M3" s="822" t="s">
        <v>488</v>
      </c>
      <c r="N3" s="941"/>
      <c r="O3" s="942"/>
      <c r="P3" s="942"/>
      <c r="Q3" s="943"/>
      <c r="R3" s="818" t="s">
        <v>489</v>
      </c>
      <c r="S3" s="818"/>
      <c r="T3" s="818"/>
      <c r="U3" s="818"/>
      <c r="V3" s="818"/>
      <c r="W3" s="818"/>
      <c r="X3" s="21"/>
      <c r="Y3" s="21"/>
      <c r="Z3" s="21"/>
    </row>
    <row r="4" spans="1:26" ht="31.2">
      <c r="A4" s="818"/>
      <c r="B4" s="818"/>
      <c r="C4" s="823"/>
      <c r="D4" s="823"/>
      <c r="E4" s="823"/>
      <c r="F4" s="445" t="s">
        <v>178</v>
      </c>
      <c r="G4" s="445" t="s">
        <v>179</v>
      </c>
      <c r="H4" s="445" t="s">
        <v>180</v>
      </c>
      <c r="I4" s="445" t="s">
        <v>182</v>
      </c>
      <c r="J4" s="445" t="s">
        <v>181</v>
      </c>
      <c r="K4" s="445" t="s">
        <v>183</v>
      </c>
      <c r="L4" s="823"/>
      <c r="M4" s="823"/>
      <c r="N4" s="445"/>
      <c r="O4" s="445"/>
      <c r="P4" s="445"/>
      <c r="Q4" s="445"/>
      <c r="R4" s="445" t="s">
        <v>178</v>
      </c>
      <c r="S4" s="445" t="s">
        <v>179</v>
      </c>
      <c r="T4" s="445" t="s">
        <v>180</v>
      </c>
      <c r="U4" s="445" t="s">
        <v>182</v>
      </c>
      <c r="V4" s="445" t="s">
        <v>181</v>
      </c>
      <c r="W4" s="445" t="s">
        <v>183</v>
      </c>
      <c r="X4" s="21"/>
      <c r="Y4" s="21"/>
      <c r="Z4" s="21"/>
    </row>
    <row r="5" spans="1:26" ht="15.75" customHeight="1">
      <c r="A5" s="878">
        <v>1</v>
      </c>
      <c r="B5" s="878" t="s">
        <v>451</v>
      </c>
      <c r="C5" s="966">
        <f>Buckets!X3</f>
        <v>6.3631357570502978E-2</v>
      </c>
      <c r="D5" s="951" t="s">
        <v>490</v>
      </c>
      <c r="E5" s="23" t="s">
        <v>457</v>
      </c>
      <c r="F5" s="30">
        <f>'Input Sheet'!BU8</f>
        <v>1</v>
      </c>
      <c r="G5" s="30">
        <f>'Input Sheet'!BV8</f>
        <v>0.36293864259958697</v>
      </c>
      <c r="H5" s="30">
        <f>'Input Sheet'!BW8</f>
        <v>0.43499201006458882</v>
      </c>
      <c r="I5" s="30">
        <f>'Input Sheet'!BX8</f>
        <v>158.11797747308529</v>
      </c>
      <c r="J5" s="30">
        <f>'Input Sheet'!BY8</f>
        <v>4.7129016417984957</v>
      </c>
      <c r="K5" s="30">
        <f>'Input Sheet'!BZ8</f>
        <v>3.4812733380621315</v>
      </c>
      <c r="L5" s="62">
        <v>1</v>
      </c>
      <c r="M5" s="45">
        <f>L5/L$10</f>
        <v>0.2</v>
      </c>
      <c r="N5" s="29"/>
      <c r="O5" s="29"/>
      <c r="P5" s="29"/>
      <c r="Q5" s="29"/>
      <c r="R5" s="45">
        <f t="shared" ref="R5:W9" si="0">F5</f>
        <v>1</v>
      </c>
      <c r="S5" s="45">
        <f t="shared" si="0"/>
        <v>0.36293864259958697</v>
      </c>
      <c r="T5" s="45">
        <f t="shared" si="0"/>
        <v>0.43499201006458882</v>
      </c>
      <c r="U5" s="45">
        <f t="shared" si="0"/>
        <v>158.11797747308529</v>
      </c>
      <c r="V5" s="45">
        <f t="shared" si="0"/>
        <v>4.7129016417984957</v>
      </c>
      <c r="W5" s="45">
        <f t="shared" si="0"/>
        <v>3.4812733380621315</v>
      </c>
      <c r="X5" s="46"/>
      <c r="Y5" s="46"/>
      <c r="Z5" s="46"/>
    </row>
    <row r="6" spans="1:26" ht="31.2">
      <c r="A6" s="879"/>
      <c r="B6" s="879"/>
      <c r="C6" s="966"/>
      <c r="D6" s="951"/>
      <c r="E6" s="23" t="s">
        <v>491</v>
      </c>
      <c r="F6" s="30">
        <f>'Input Sheet'!BU9</f>
        <v>1</v>
      </c>
      <c r="G6" s="30">
        <f>'Input Sheet'!BV9</f>
        <v>0.37173340517532294</v>
      </c>
      <c r="H6" s="30">
        <f>'Input Sheet'!BW9</f>
        <v>0.25538597806407115</v>
      </c>
      <c r="I6" s="30">
        <f>'Input Sheet'!BX9</f>
        <v>5.5752994268295976E-2</v>
      </c>
      <c r="J6" s="30">
        <f>'Input Sheet'!BY9</f>
        <v>0.19959942359139171</v>
      </c>
      <c r="K6" s="30">
        <f>'Input Sheet'!BZ9</f>
        <v>8.2919288236988232E-3</v>
      </c>
      <c r="L6" s="62">
        <v>1</v>
      </c>
      <c r="M6" s="45">
        <f>L6/L$10</f>
        <v>0.2</v>
      </c>
      <c r="N6" s="29"/>
      <c r="O6" s="29"/>
      <c r="P6" s="29"/>
      <c r="Q6" s="29"/>
      <c r="R6" s="45">
        <f t="shared" si="0"/>
        <v>1</v>
      </c>
      <c r="S6" s="45">
        <f t="shared" si="0"/>
        <v>0.37173340517532294</v>
      </c>
      <c r="T6" s="45">
        <f t="shared" si="0"/>
        <v>0.25538597806407115</v>
      </c>
      <c r="U6" s="45">
        <f t="shared" si="0"/>
        <v>5.5752994268295976E-2</v>
      </c>
      <c r="V6" s="45">
        <f t="shared" si="0"/>
        <v>0.19959942359139171</v>
      </c>
      <c r="W6" s="45">
        <f t="shared" si="0"/>
        <v>8.2919288236988232E-3</v>
      </c>
      <c r="X6" s="46"/>
      <c r="Y6" s="46"/>
      <c r="Z6" s="46"/>
    </row>
    <row r="7" spans="1:26" ht="15.6">
      <c r="A7" s="879"/>
      <c r="B7" s="879"/>
      <c r="C7" s="966"/>
      <c r="D7" s="951"/>
      <c r="E7" s="23" t="s">
        <v>459</v>
      </c>
      <c r="F7" s="30">
        <f>'Input Sheet'!BU10</f>
        <v>1</v>
      </c>
      <c r="G7" s="30">
        <f>'Input Sheet'!BV10</f>
        <v>1</v>
      </c>
      <c r="H7" s="30">
        <f>'Input Sheet'!BW10</f>
        <v>1</v>
      </c>
      <c r="I7" s="30">
        <f>'Input Sheet'!BX10</f>
        <v>0.19434988020049429</v>
      </c>
      <c r="J7" s="30">
        <f>'Input Sheet'!BY10</f>
        <v>1</v>
      </c>
      <c r="K7" s="30">
        <f>'Input Sheet'!BZ10</f>
        <v>0.39795013462718709</v>
      </c>
      <c r="L7" s="62">
        <v>1</v>
      </c>
      <c r="M7" s="45">
        <f>L7/L$10</f>
        <v>0.2</v>
      </c>
      <c r="N7" s="29"/>
      <c r="O7" s="29"/>
      <c r="P7" s="29"/>
      <c r="Q7" s="29"/>
      <c r="R7" s="45">
        <f t="shared" si="0"/>
        <v>1</v>
      </c>
      <c r="S7" s="45">
        <f t="shared" si="0"/>
        <v>1</v>
      </c>
      <c r="T7" s="45">
        <f t="shared" si="0"/>
        <v>1</v>
      </c>
      <c r="U7" s="45">
        <f t="shared" si="0"/>
        <v>0.19434988020049429</v>
      </c>
      <c r="V7" s="45">
        <f t="shared" si="0"/>
        <v>1</v>
      </c>
      <c r="W7" s="45">
        <f t="shared" si="0"/>
        <v>0.39795013462718709</v>
      </c>
      <c r="X7" s="46"/>
      <c r="Y7" s="46"/>
      <c r="Z7" s="46"/>
    </row>
    <row r="8" spans="1:26" ht="15.6">
      <c r="A8" s="879"/>
      <c r="B8" s="879"/>
      <c r="C8" s="966"/>
      <c r="D8" s="951"/>
      <c r="E8" s="23" t="s">
        <v>492</v>
      </c>
      <c r="F8" s="30">
        <f>'Input Sheet'!BU11</f>
        <v>1</v>
      </c>
      <c r="G8" s="30">
        <f>'Input Sheet'!BV11</f>
        <v>0.66199319669083379</v>
      </c>
      <c r="H8" s="30">
        <f>'Input Sheet'!BW11</f>
        <v>0.66199319669083379</v>
      </c>
      <c r="I8" s="30">
        <f>'Input Sheet'!BX11</f>
        <v>3.4469852208994722</v>
      </c>
      <c r="J8" s="30">
        <f>'Input Sheet'!BY11</f>
        <v>0.66199319669083379</v>
      </c>
      <c r="K8" s="30">
        <f>'Input Sheet'!BZ11</f>
        <v>3.4469852208994722</v>
      </c>
      <c r="L8" s="62">
        <v>1</v>
      </c>
      <c r="M8" s="45">
        <f>L8/L$10</f>
        <v>0.2</v>
      </c>
      <c r="N8" s="29"/>
      <c r="O8" s="29"/>
      <c r="P8" s="29"/>
      <c r="Q8" s="29"/>
      <c r="R8" s="45">
        <f t="shared" si="0"/>
        <v>1</v>
      </c>
      <c r="S8" s="45">
        <f t="shared" si="0"/>
        <v>0.66199319669083379</v>
      </c>
      <c r="T8" s="45">
        <f t="shared" si="0"/>
        <v>0.66199319669083379</v>
      </c>
      <c r="U8" s="45">
        <f t="shared" si="0"/>
        <v>3.4469852208994722</v>
      </c>
      <c r="V8" s="45">
        <f t="shared" si="0"/>
        <v>0.66199319669083379</v>
      </c>
      <c r="W8" s="45">
        <f t="shared" si="0"/>
        <v>3.4469852208994722</v>
      </c>
      <c r="X8" s="46"/>
      <c r="Y8" s="46"/>
      <c r="Z8" s="46"/>
    </row>
    <row r="9" spans="1:26" ht="15.6">
      <c r="A9" s="879"/>
      <c r="B9" s="879"/>
      <c r="C9" s="966"/>
      <c r="D9" s="951"/>
      <c r="E9" s="34" t="s">
        <v>461</v>
      </c>
      <c r="F9" s="30">
        <f>'Input Sheet'!BU12</f>
        <v>1</v>
      </c>
      <c r="G9" s="30">
        <f>'Input Sheet'!BV12</f>
        <v>0.58525110430741201</v>
      </c>
      <c r="H9" s="30">
        <f>'Input Sheet'!BW12</f>
        <v>0.35961283926440357</v>
      </c>
      <c r="I9" s="30">
        <f>'Input Sheet'!BX12</f>
        <v>0.15335496684492853</v>
      </c>
      <c r="J9" s="30">
        <f>'Input Sheet'!BY12</f>
        <v>1</v>
      </c>
      <c r="K9" s="30">
        <f>'Input Sheet'!BZ12</f>
        <v>1</v>
      </c>
      <c r="L9" s="62">
        <v>1</v>
      </c>
      <c r="M9" s="45">
        <f>L9/L$10</f>
        <v>0.2</v>
      </c>
      <c r="N9" s="29"/>
      <c r="O9" s="29"/>
      <c r="P9" s="29"/>
      <c r="Q9" s="29"/>
      <c r="R9" s="45">
        <f t="shared" si="0"/>
        <v>1</v>
      </c>
      <c r="S9" s="45">
        <f t="shared" si="0"/>
        <v>0.58525110430741201</v>
      </c>
      <c r="T9" s="45">
        <f t="shared" si="0"/>
        <v>0.35961283926440357</v>
      </c>
      <c r="U9" s="45">
        <f t="shared" si="0"/>
        <v>0.15335496684492853</v>
      </c>
      <c r="V9" s="45">
        <f t="shared" si="0"/>
        <v>1</v>
      </c>
      <c r="W9" s="45">
        <f t="shared" si="0"/>
        <v>1</v>
      </c>
      <c r="X9" s="46"/>
      <c r="Y9" s="46"/>
      <c r="Z9" s="46"/>
    </row>
    <row r="10" spans="1:26" ht="15.6">
      <c r="A10" s="879"/>
      <c r="B10" s="879"/>
      <c r="C10" s="966"/>
      <c r="D10" s="951"/>
      <c r="E10" s="23" t="s">
        <v>38</v>
      </c>
      <c r="F10" s="47"/>
      <c r="G10" s="47"/>
      <c r="H10" s="47"/>
      <c r="I10" s="47"/>
      <c r="J10" s="47"/>
      <c r="K10" s="47"/>
      <c r="L10" s="62">
        <f>SUM(L5:L9)</f>
        <v>5</v>
      </c>
      <c r="M10" s="872" t="s">
        <v>493</v>
      </c>
      <c r="N10" s="873"/>
      <c r="O10" s="873"/>
      <c r="P10" s="873"/>
      <c r="Q10" s="874"/>
      <c r="R10" s="45">
        <f t="shared" ref="R10:W10" si="1">SUM(R5:R9)</f>
        <v>5</v>
      </c>
      <c r="S10" s="45">
        <f t="shared" si="1"/>
        <v>2.9819163487731557</v>
      </c>
      <c r="T10" s="45">
        <f t="shared" si="1"/>
        <v>2.7119840240838973</v>
      </c>
      <c r="U10" s="45">
        <f t="shared" si="1"/>
        <v>161.96842053529846</v>
      </c>
      <c r="V10" s="45">
        <f t="shared" si="1"/>
        <v>7.5744942620807212</v>
      </c>
      <c r="W10" s="45">
        <f t="shared" si="1"/>
        <v>8.3345006224124898</v>
      </c>
      <c r="X10" s="48"/>
      <c r="Y10" s="48"/>
      <c r="Z10" s="48"/>
    </row>
    <row r="11" spans="1:26" ht="15.6">
      <c r="A11" s="879"/>
      <c r="B11" s="879"/>
      <c r="C11" s="966"/>
      <c r="D11" s="951"/>
      <c r="E11" s="23"/>
      <c r="F11" s="23"/>
      <c r="G11" s="23"/>
      <c r="H11" s="23"/>
      <c r="I11" s="23"/>
      <c r="J11" s="23"/>
      <c r="K11" s="23"/>
      <c r="L11" s="23"/>
      <c r="M11" s="872" t="s">
        <v>494</v>
      </c>
      <c r="N11" s="873"/>
      <c r="O11" s="873"/>
      <c r="P11" s="873"/>
      <c r="Q11" s="874"/>
      <c r="R11" s="45">
        <f t="shared" ref="R11:W11" si="2">R10/SUM($R10:$W10)</f>
        <v>2.651516737305876E-2</v>
      </c>
      <c r="S11" s="45">
        <f t="shared" si="2"/>
        <v>1.5813202216036097E-2</v>
      </c>
      <c r="T11" s="45">
        <f t="shared" si="2"/>
        <v>1.4381742062329192E-2</v>
      </c>
      <c r="U11" s="45">
        <f t="shared" si="2"/>
        <v>0.85892395592868132</v>
      </c>
      <c r="V11" s="45">
        <f t="shared" si="2"/>
        <v>4.0167796625068711E-2</v>
      </c>
      <c r="W11" s="45">
        <f t="shared" si="2"/>
        <v>4.419813579482592E-2</v>
      </c>
      <c r="X11" s="17"/>
      <c r="Y11" s="17"/>
      <c r="Z11" s="17"/>
    </row>
    <row r="12" spans="1:26" ht="15.6">
      <c r="A12" s="879"/>
      <c r="B12" s="879"/>
      <c r="C12" s="966"/>
      <c r="D12" s="951"/>
      <c r="E12" s="23" t="s">
        <v>1068</v>
      </c>
      <c r="F12" s="30">
        <f>'Input Sheet'!BU14</f>
        <v>1</v>
      </c>
      <c r="G12" s="30">
        <f>'Input Sheet'!BV14</f>
        <v>0.92</v>
      </c>
      <c r="H12" s="30">
        <f>'Input Sheet'!BW14</f>
        <v>0.8</v>
      </c>
      <c r="I12" s="30">
        <f>'Input Sheet'!BX14</f>
        <v>0.92</v>
      </c>
      <c r="J12" s="30">
        <f>'Input Sheet'!BY14</f>
        <v>0.64</v>
      </c>
      <c r="K12" s="30">
        <f>'Input Sheet'!BZ14</f>
        <v>0.48</v>
      </c>
      <c r="L12" s="43"/>
      <c r="M12" s="957" t="s">
        <v>495</v>
      </c>
      <c r="N12" s="958"/>
      <c r="O12" s="958"/>
      <c r="P12" s="958"/>
      <c r="Q12" s="959"/>
      <c r="R12" s="45">
        <f t="shared" ref="R12:W12" si="3">R11*F12</f>
        <v>2.651516737305876E-2</v>
      </c>
      <c r="S12" s="45">
        <f t="shared" si="3"/>
        <v>1.454814603875321E-2</v>
      </c>
      <c r="T12" s="45">
        <f t="shared" si="3"/>
        <v>1.1505393649863353E-2</v>
      </c>
      <c r="U12" s="45">
        <f t="shared" si="3"/>
        <v>0.79021003945438684</v>
      </c>
      <c r="V12" s="45">
        <f t="shared" si="3"/>
        <v>2.5707389840043976E-2</v>
      </c>
      <c r="W12" s="45">
        <f t="shared" si="3"/>
        <v>2.1215105181516442E-2</v>
      </c>
      <c r="X12" s="17"/>
      <c r="Y12" s="17"/>
      <c r="Z12" s="17"/>
    </row>
    <row r="13" spans="1:26" ht="15.6">
      <c r="A13" s="879"/>
      <c r="B13" s="879"/>
      <c r="C13" s="966"/>
      <c r="D13" s="951"/>
      <c r="E13" s="23" t="s">
        <v>1069</v>
      </c>
      <c r="F13" s="30">
        <f>'Input Sheet'!$BU$15</f>
        <v>1</v>
      </c>
      <c r="G13" s="30">
        <f>'Input Sheet'!$BV$15</f>
        <v>0.8</v>
      </c>
      <c r="H13" s="30">
        <f>'Input Sheet'!$BW$15</f>
        <v>0.67999999999999994</v>
      </c>
      <c r="I13" s="30">
        <f>'Input Sheet'!$BX$15</f>
        <v>0.6</v>
      </c>
      <c r="J13" s="30">
        <f>'Input Sheet'!$BY$15</f>
        <v>0.31999999999999995</v>
      </c>
      <c r="K13" s="30">
        <f>'Input Sheet'!$BZ$15</f>
        <v>0.19999999999999996</v>
      </c>
      <c r="L13" s="675"/>
      <c r="M13" s="957" t="s">
        <v>1067</v>
      </c>
      <c r="N13" s="958"/>
      <c r="O13" s="958"/>
      <c r="P13" s="958"/>
      <c r="Q13" s="959"/>
      <c r="R13" s="45">
        <f>R12*F13</f>
        <v>2.651516737305876E-2</v>
      </c>
      <c r="S13" s="45">
        <f t="shared" ref="S13:W13" si="4">S12*G13</f>
        <v>1.1638516831002569E-2</v>
      </c>
      <c r="T13" s="45">
        <f t="shared" si="4"/>
        <v>7.8236676819070788E-3</v>
      </c>
      <c r="U13" s="45">
        <f t="shared" si="4"/>
        <v>0.47412602367263207</v>
      </c>
      <c r="V13" s="45">
        <f t="shared" si="4"/>
        <v>8.2263647488140714E-3</v>
      </c>
      <c r="W13" s="45">
        <f t="shared" si="4"/>
        <v>4.2430210363032872E-3</v>
      </c>
      <c r="X13" s="17"/>
      <c r="Y13" s="17"/>
      <c r="Z13" s="17"/>
    </row>
    <row r="14" spans="1:26" ht="15.6" customHeight="1">
      <c r="A14" s="879"/>
      <c r="B14" s="879"/>
      <c r="C14" s="966"/>
      <c r="D14" s="951"/>
      <c r="E14" s="23"/>
      <c r="F14" s="960" t="s">
        <v>923</v>
      </c>
      <c r="G14" s="961"/>
      <c r="H14" s="961"/>
      <c r="I14" s="961"/>
      <c r="J14" s="961"/>
      <c r="K14" s="961"/>
      <c r="L14" s="961"/>
      <c r="M14" s="961"/>
      <c r="N14" s="961"/>
      <c r="O14" s="961"/>
      <c r="P14" s="961"/>
      <c r="Q14" s="962"/>
      <c r="R14" s="45">
        <f>R13*'Input Sheet'!BU6/'Input Sheet'!$BU6</f>
        <v>2.6515167373058764E-2</v>
      </c>
      <c r="S14" s="45">
        <f>S13*'Input Sheet'!BV6/'Input Sheet'!$BU6</f>
        <v>1.1638516831002569E-2</v>
      </c>
      <c r="T14" s="45">
        <f>T13*'Input Sheet'!BW6/'Input Sheet'!$BU6</f>
        <v>0</v>
      </c>
      <c r="U14" s="45">
        <f>U13*'Input Sheet'!BX6/'Input Sheet'!$BU6</f>
        <v>0.47412602367263201</v>
      </c>
      <c r="V14" s="45">
        <f>V13*'Input Sheet'!BY6/'Input Sheet'!$BU6</f>
        <v>8.2263647488140714E-3</v>
      </c>
      <c r="W14" s="45">
        <f>W13*'Input Sheet'!BZ6/'Input Sheet'!$BU6</f>
        <v>4.2430210363032872E-3</v>
      </c>
      <c r="X14" s="17"/>
      <c r="Y14" s="17"/>
      <c r="Z14" s="17"/>
    </row>
    <row r="15" spans="1:26" ht="15.6" customHeight="1">
      <c r="A15" s="879"/>
      <c r="B15" s="879"/>
      <c r="C15" s="966"/>
      <c r="D15" s="951"/>
      <c r="E15" s="23"/>
      <c r="F15" s="963" t="s">
        <v>924</v>
      </c>
      <c r="G15" s="964"/>
      <c r="H15" s="964"/>
      <c r="I15" s="964"/>
      <c r="J15" s="964"/>
      <c r="K15" s="964"/>
      <c r="L15" s="964"/>
      <c r="M15" s="964"/>
      <c r="N15" s="964"/>
      <c r="O15" s="964"/>
      <c r="P15" s="964"/>
      <c r="Q15" s="965"/>
      <c r="R15" s="50">
        <f>R14/(R14+U14+V14+W14+S14+T14)</f>
        <v>5.0529229479998314E-2</v>
      </c>
      <c r="S15" s="50">
        <f>S14/(R14+S14+T14+U14+V14+W14)</f>
        <v>2.2179203302261134E-2</v>
      </c>
      <c r="T15" s="50">
        <f>T14/(R14+S14+T14+U14+V14+W14)</f>
        <v>0</v>
      </c>
      <c r="U15" s="50">
        <f>U14/(R14+U14+V14+W14+S14+T14)</f>
        <v>0.90352899966740252</v>
      </c>
      <c r="V15" s="50">
        <f>V14/(R14+U14+V14+W14+S14+T14)</f>
        <v>1.5676758374957352E-2</v>
      </c>
      <c r="W15" s="50">
        <f>W14/(R14+U14+V14+W14+S14+T14)</f>
        <v>8.0858091753805306E-3</v>
      </c>
      <c r="X15" s="17"/>
      <c r="Y15" s="17"/>
      <c r="Z15" s="17"/>
    </row>
    <row r="16" spans="1:26" ht="15.6" customHeight="1">
      <c r="A16" s="879"/>
      <c r="B16" s="879"/>
      <c r="C16" s="966"/>
      <c r="D16" s="951"/>
      <c r="E16" s="23"/>
      <c r="F16" s="963" t="s">
        <v>925</v>
      </c>
      <c r="G16" s="964"/>
      <c r="H16" s="964"/>
      <c r="I16" s="964"/>
      <c r="J16" s="964"/>
      <c r="K16" s="964"/>
      <c r="L16" s="964"/>
      <c r="M16" s="964"/>
      <c r="N16" s="964"/>
      <c r="O16" s="964"/>
      <c r="P16" s="964"/>
      <c r="Q16" s="965"/>
      <c r="R16" s="51">
        <f t="shared" ref="R16:W16" si="5">ROUND($C5*$E$2*R15/100,0)*100</f>
        <v>2700</v>
      </c>
      <c r="S16" s="51">
        <f t="shared" si="5"/>
        <v>1200</v>
      </c>
      <c r="T16" s="51">
        <f t="shared" si="5"/>
        <v>0</v>
      </c>
      <c r="U16" s="51">
        <f t="shared" si="5"/>
        <v>49100</v>
      </c>
      <c r="V16" s="51">
        <f t="shared" si="5"/>
        <v>900</v>
      </c>
      <c r="W16" s="51">
        <f t="shared" si="5"/>
        <v>400</v>
      </c>
      <c r="X16" s="17"/>
      <c r="Y16" s="17"/>
      <c r="Z16" s="17"/>
    </row>
    <row r="17" spans="1:26" ht="15.75" customHeight="1">
      <c r="A17" s="878">
        <v>2</v>
      </c>
      <c r="B17" s="878" t="s">
        <v>465</v>
      </c>
      <c r="C17" s="966">
        <f>Buckets!X4</f>
        <v>6.0163325561504846E-2</v>
      </c>
      <c r="D17" s="951" t="s">
        <v>496</v>
      </c>
      <c r="E17" s="23" t="s">
        <v>457</v>
      </c>
      <c r="F17" s="30">
        <f>'Input Sheet'!BU19</f>
        <v>1</v>
      </c>
      <c r="G17" s="30">
        <f>'Input Sheet'!BV19</f>
        <v>0.46374589821564099</v>
      </c>
      <c r="H17" s="30">
        <f>'Input Sheet'!BW19</f>
        <v>0.51285956143727263</v>
      </c>
      <c r="I17" s="30">
        <f>'Input Sheet'!BX19</f>
        <v>62.825218807955601</v>
      </c>
      <c r="J17" s="30">
        <f>'Input Sheet'!BY19</f>
        <v>4.4303979898115813</v>
      </c>
      <c r="K17" s="30">
        <f>'Input Sheet'!BZ19</f>
        <v>3.6233102454440602</v>
      </c>
      <c r="L17" s="62">
        <v>1</v>
      </c>
      <c r="M17" s="30">
        <f>L17/L$22</f>
        <v>0.2</v>
      </c>
      <c r="N17" s="29"/>
      <c r="O17" s="29"/>
      <c r="P17" s="29"/>
      <c r="Q17" s="29"/>
      <c r="R17" s="45">
        <f t="shared" ref="R17:W21" si="6">F17</f>
        <v>1</v>
      </c>
      <c r="S17" s="45">
        <f t="shared" si="6"/>
        <v>0.46374589821564099</v>
      </c>
      <c r="T17" s="45">
        <f t="shared" si="6"/>
        <v>0.51285956143727263</v>
      </c>
      <c r="U17" s="45">
        <f t="shared" si="6"/>
        <v>62.825218807955601</v>
      </c>
      <c r="V17" s="45">
        <f t="shared" si="6"/>
        <v>4.4303979898115813</v>
      </c>
      <c r="W17" s="45">
        <f t="shared" si="6"/>
        <v>3.6233102454440602</v>
      </c>
      <c r="X17" s="46"/>
      <c r="Y17" s="46"/>
      <c r="Z17" s="46"/>
    </row>
    <row r="18" spans="1:26" ht="31.2">
      <c r="A18" s="879"/>
      <c r="B18" s="879"/>
      <c r="C18" s="966"/>
      <c r="D18" s="951"/>
      <c r="E18" s="23" t="s">
        <v>491</v>
      </c>
      <c r="F18" s="30">
        <f>'Input Sheet'!BU20</f>
        <v>1</v>
      </c>
      <c r="G18" s="30">
        <f>'Input Sheet'!BV20</f>
        <v>0.45436932170797623</v>
      </c>
      <c r="H18" s="30">
        <f>'Input Sheet'!BW20</f>
        <v>0.33464012511617891</v>
      </c>
      <c r="I18" s="30">
        <f>'Input Sheet'!BX20</f>
        <v>6.370034736629461E-2</v>
      </c>
      <c r="J18" s="30">
        <f>'Input Sheet'!BY20</f>
        <v>0.2731329058901627</v>
      </c>
      <c r="K18" s="30">
        <f>'Input Sheet'!BZ20</f>
        <v>1.7494500156048018E-2</v>
      </c>
      <c r="L18" s="62">
        <v>1</v>
      </c>
      <c r="M18" s="30">
        <f t="shared" ref="M18:M21" si="7">L18/L$22</f>
        <v>0.2</v>
      </c>
      <c r="N18" s="29"/>
      <c r="O18" s="29"/>
      <c r="P18" s="29"/>
      <c r="Q18" s="29"/>
      <c r="R18" s="45">
        <f t="shared" si="6"/>
        <v>1</v>
      </c>
      <c r="S18" s="45">
        <f t="shared" si="6"/>
        <v>0.45436932170797623</v>
      </c>
      <c r="T18" s="45">
        <f t="shared" si="6"/>
        <v>0.33464012511617891</v>
      </c>
      <c r="U18" s="45">
        <f t="shared" si="6"/>
        <v>6.370034736629461E-2</v>
      </c>
      <c r="V18" s="45">
        <f t="shared" si="6"/>
        <v>0.2731329058901627</v>
      </c>
      <c r="W18" s="45">
        <f t="shared" si="6"/>
        <v>1.7494500156048018E-2</v>
      </c>
      <c r="X18" s="46"/>
      <c r="Y18" s="46"/>
      <c r="Z18" s="46"/>
    </row>
    <row r="19" spans="1:26" ht="15.6">
      <c r="A19" s="879"/>
      <c r="B19" s="879"/>
      <c r="C19" s="966"/>
      <c r="D19" s="951"/>
      <c r="E19" s="23" t="s">
        <v>459</v>
      </c>
      <c r="F19" s="30">
        <f>'Input Sheet'!BU21</f>
        <v>1</v>
      </c>
      <c r="G19" s="30">
        <f>'Input Sheet'!BV21</f>
        <v>1</v>
      </c>
      <c r="H19" s="30">
        <f>'Input Sheet'!BW21</f>
        <v>1</v>
      </c>
      <c r="I19" s="30">
        <f>'Input Sheet'!BX21</f>
        <v>0.3225236063732973</v>
      </c>
      <c r="J19" s="30">
        <f>'Input Sheet'!BY21</f>
        <v>1</v>
      </c>
      <c r="K19" s="30">
        <f>'Input Sheet'!BZ21</f>
        <v>0.60096984145352728</v>
      </c>
      <c r="L19" s="62">
        <v>1</v>
      </c>
      <c r="M19" s="30">
        <f t="shared" si="7"/>
        <v>0.2</v>
      </c>
      <c r="N19" s="29"/>
      <c r="O19" s="29"/>
      <c r="P19" s="29"/>
      <c r="Q19" s="29"/>
      <c r="R19" s="45">
        <f t="shared" si="6"/>
        <v>1</v>
      </c>
      <c r="S19" s="45">
        <f t="shared" si="6"/>
        <v>1</v>
      </c>
      <c r="T19" s="45">
        <f t="shared" si="6"/>
        <v>1</v>
      </c>
      <c r="U19" s="45">
        <f t="shared" si="6"/>
        <v>0.3225236063732973</v>
      </c>
      <c r="V19" s="45">
        <f t="shared" si="6"/>
        <v>1</v>
      </c>
      <c r="W19" s="45">
        <f t="shared" si="6"/>
        <v>0.60096984145352728</v>
      </c>
      <c r="X19" s="46"/>
      <c r="Y19" s="46"/>
      <c r="Z19" s="46"/>
    </row>
    <row r="20" spans="1:26" ht="15.6">
      <c r="A20" s="879"/>
      <c r="B20" s="879"/>
      <c r="C20" s="966"/>
      <c r="D20" s="951"/>
      <c r="E20" s="23" t="s">
        <v>492</v>
      </c>
      <c r="F20" s="30">
        <f>'Input Sheet'!BU22</f>
        <v>1</v>
      </c>
      <c r="G20" s="30">
        <f>'Input Sheet'!BV22</f>
        <v>0.66199319669083379</v>
      </c>
      <c r="H20" s="30">
        <f>'Input Sheet'!BW22</f>
        <v>0.66199319669083379</v>
      </c>
      <c r="I20" s="30">
        <f>'Input Sheet'!BX22</f>
        <v>3.4469852208994722</v>
      </c>
      <c r="J20" s="30">
        <f>'Input Sheet'!BY22</f>
        <v>0.66199319669083379</v>
      </c>
      <c r="K20" s="30">
        <f>'Input Sheet'!BZ22</f>
        <v>3.4469852208994722</v>
      </c>
      <c r="L20" s="62">
        <v>1</v>
      </c>
      <c r="M20" s="30">
        <f t="shared" si="7"/>
        <v>0.2</v>
      </c>
      <c r="N20" s="29"/>
      <c r="O20" s="29"/>
      <c r="P20" s="29"/>
      <c r="Q20" s="29"/>
      <c r="R20" s="45">
        <f t="shared" si="6"/>
        <v>1</v>
      </c>
      <c r="S20" s="45">
        <f t="shared" si="6"/>
        <v>0.66199319669083379</v>
      </c>
      <c r="T20" s="45">
        <f t="shared" si="6"/>
        <v>0.66199319669083379</v>
      </c>
      <c r="U20" s="45">
        <f t="shared" si="6"/>
        <v>3.4469852208994722</v>
      </c>
      <c r="V20" s="45">
        <f t="shared" si="6"/>
        <v>0.66199319669083379</v>
      </c>
      <c r="W20" s="45">
        <f t="shared" si="6"/>
        <v>3.4469852208994722</v>
      </c>
      <c r="X20" s="46"/>
      <c r="Y20" s="46"/>
      <c r="Z20" s="46"/>
    </row>
    <row r="21" spans="1:26" ht="15.6">
      <c r="A21" s="879"/>
      <c r="B21" s="879"/>
      <c r="C21" s="966"/>
      <c r="D21" s="951"/>
      <c r="E21" s="34" t="s">
        <v>461</v>
      </c>
      <c r="F21" s="30">
        <f>'Input Sheet'!BU23</f>
        <v>1</v>
      </c>
      <c r="G21" s="30">
        <f>'Input Sheet'!BV23</f>
        <v>0.58525110430741201</v>
      </c>
      <c r="H21" s="30">
        <f>'Input Sheet'!BW23</f>
        <v>0.35961283926440357</v>
      </c>
      <c r="I21" s="30">
        <f>'Input Sheet'!BX23</f>
        <v>0.15335496684492853</v>
      </c>
      <c r="J21" s="30">
        <f>'Input Sheet'!BY23</f>
        <v>1</v>
      </c>
      <c r="K21" s="30">
        <f>'Input Sheet'!BZ23</f>
        <v>1</v>
      </c>
      <c r="L21" s="62">
        <v>1</v>
      </c>
      <c r="M21" s="30">
        <f t="shared" si="7"/>
        <v>0.2</v>
      </c>
      <c r="N21" s="29"/>
      <c r="O21" s="29"/>
      <c r="P21" s="29"/>
      <c r="Q21" s="29"/>
      <c r="R21" s="45">
        <f t="shared" si="6"/>
        <v>1</v>
      </c>
      <c r="S21" s="45">
        <f t="shared" si="6"/>
        <v>0.58525110430741201</v>
      </c>
      <c r="T21" s="45">
        <f t="shared" si="6"/>
        <v>0.35961283926440357</v>
      </c>
      <c r="U21" s="45">
        <f t="shared" si="6"/>
        <v>0.15335496684492853</v>
      </c>
      <c r="V21" s="45">
        <f t="shared" si="6"/>
        <v>1</v>
      </c>
      <c r="W21" s="45">
        <f t="shared" si="6"/>
        <v>1</v>
      </c>
      <c r="X21" s="46"/>
      <c r="Y21" s="46"/>
      <c r="Z21" s="46"/>
    </row>
    <row r="22" spans="1:26" ht="15.6">
      <c r="A22" s="879"/>
      <c r="B22" s="879"/>
      <c r="C22" s="966"/>
      <c r="D22" s="951"/>
      <c r="E22" s="23" t="s">
        <v>38</v>
      </c>
      <c r="F22" s="47"/>
      <c r="G22" s="47"/>
      <c r="H22" s="47"/>
      <c r="I22" s="47"/>
      <c r="J22" s="47"/>
      <c r="K22" s="47"/>
      <c r="L22" s="62">
        <f>SUM(L17:L21)</f>
        <v>5</v>
      </c>
      <c r="M22" s="872" t="s">
        <v>493</v>
      </c>
      <c r="N22" s="873"/>
      <c r="O22" s="873"/>
      <c r="P22" s="873"/>
      <c r="Q22" s="874"/>
      <c r="R22" s="45">
        <f t="shared" ref="R22:W22" si="8">SUM(R17:R21)</f>
        <v>5</v>
      </c>
      <c r="S22" s="45">
        <f t="shared" si="8"/>
        <v>3.165359520921863</v>
      </c>
      <c r="T22" s="45">
        <f t="shared" si="8"/>
        <v>2.8691057225086887</v>
      </c>
      <c r="U22" s="45">
        <f t="shared" si="8"/>
        <v>66.811782949439589</v>
      </c>
      <c r="V22" s="45">
        <f t="shared" si="8"/>
        <v>7.3655240923925778</v>
      </c>
      <c r="W22" s="45">
        <f t="shared" si="8"/>
        <v>8.6887598079531081</v>
      </c>
      <c r="X22" s="48"/>
      <c r="Y22" s="48"/>
      <c r="Z22" s="48"/>
    </row>
    <row r="23" spans="1:26" ht="15.6">
      <c r="A23" s="879"/>
      <c r="B23" s="879"/>
      <c r="C23" s="966"/>
      <c r="D23" s="951"/>
      <c r="E23" s="23"/>
      <c r="F23" s="23"/>
      <c r="G23" s="23"/>
      <c r="H23" s="23"/>
      <c r="I23" s="23"/>
      <c r="J23" s="23"/>
      <c r="K23" s="23"/>
      <c r="L23" s="23"/>
      <c r="M23" s="872" t="s">
        <v>494</v>
      </c>
      <c r="N23" s="873"/>
      <c r="O23" s="873"/>
      <c r="P23" s="873"/>
      <c r="Q23" s="874"/>
      <c r="R23" s="45">
        <f t="shared" ref="R23:W23" si="9">R22/SUM($R22:$W22)</f>
        <v>5.3247834581346777E-2</v>
      </c>
      <c r="S23" s="45">
        <f t="shared" si="9"/>
        <v>3.3709708032107689E-2</v>
      </c>
      <c r="T23" s="45">
        <f t="shared" si="9"/>
        <v>3.0554733381707617E-2</v>
      </c>
      <c r="U23" s="45">
        <f t="shared" si="9"/>
        <v>0.71151655331532082</v>
      </c>
      <c r="V23" s="45">
        <f t="shared" si="9"/>
        <v>7.8439641695328868E-2</v>
      </c>
      <c r="W23" s="45">
        <f t="shared" si="9"/>
        <v>9.2531528994188303E-2</v>
      </c>
      <c r="X23" s="17"/>
      <c r="Y23" s="17"/>
      <c r="Z23" s="17"/>
    </row>
    <row r="24" spans="1:26" ht="15.6">
      <c r="A24" s="879"/>
      <c r="B24" s="879"/>
      <c r="C24" s="966"/>
      <c r="D24" s="951"/>
      <c r="E24" s="23"/>
      <c r="F24" s="30">
        <f>'Input Sheet'!BU25</f>
        <v>1</v>
      </c>
      <c r="G24" s="30">
        <f>'Input Sheet'!BV25</f>
        <v>0.92</v>
      </c>
      <c r="H24" s="30">
        <f>'Input Sheet'!BW25</f>
        <v>0.8</v>
      </c>
      <c r="I24" s="30">
        <f>'Input Sheet'!BX25</f>
        <v>0.88</v>
      </c>
      <c r="J24" s="30">
        <f>'Input Sheet'!BY25</f>
        <v>0.64</v>
      </c>
      <c r="K24" s="30">
        <f>'Input Sheet'!BZ25</f>
        <v>0.48</v>
      </c>
      <c r="L24" s="23"/>
      <c r="M24" s="957" t="s">
        <v>495</v>
      </c>
      <c r="N24" s="958"/>
      <c r="O24" s="958"/>
      <c r="P24" s="958"/>
      <c r="Q24" s="959"/>
      <c r="R24" s="45">
        <f t="shared" ref="R24:W24" si="10">R23*F24</f>
        <v>5.3247834581346777E-2</v>
      </c>
      <c r="S24" s="45">
        <f t="shared" si="10"/>
        <v>3.1012931389539075E-2</v>
      </c>
      <c r="T24" s="45">
        <f t="shared" si="10"/>
        <v>2.4443786705366094E-2</v>
      </c>
      <c r="U24" s="45">
        <f t="shared" si="10"/>
        <v>0.62613456691748237</v>
      </c>
      <c r="V24" s="45">
        <f t="shared" si="10"/>
        <v>5.0201370685010474E-2</v>
      </c>
      <c r="W24" s="45">
        <f t="shared" si="10"/>
        <v>4.4415133917210387E-2</v>
      </c>
      <c r="X24" s="17"/>
      <c r="Y24" s="17"/>
      <c r="Z24" s="17"/>
    </row>
    <row r="25" spans="1:26" ht="15.6">
      <c r="A25" s="879"/>
      <c r="B25" s="879"/>
      <c r="C25" s="966"/>
      <c r="D25" s="951"/>
      <c r="E25" s="23" t="s">
        <v>1069</v>
      </c>
      <c r="F25" s="30">
        <f>'Input Sheet'!$BU$15</f>
        <v>1</v>
      </c>
      <c r="G25" s="30">
        <f>'Input Sheet'!$BV$15</f>
        <v>0.8</v>
      </c>
      <c r="H25" s="30">
        <f>'Input Sheet'!$BW$15</f>
        <v>0.67999999999999994</v>
      </c>
      <c r="I25" s="30">
        <f>'Input Sheet'!$BX$15</f>
        <v>0.6</v>
      </c>
      <c r="J25" s="30">
        <f>'Input Sheet'!$BY$15</f>
        <v>0.31999999999999995</v>
      </c>
      <c r="K25" s="30">
        <f>'Input Sheet'!$BZ$15</f>
        <v>0.19999999999999996</v>
      </c>
      <c r="L25" s="675"/>
      <c r="M25" s="957" t="s">
        <v>1067</v>
      </c>
      <c r="N25" s="958"/>
      <c r="O25" s="958"/>
      <c r="P25" s="958"/>
      <c r="Q25" s="959"/>
      <c r="R25" s="45">
        <f>R24*F25</f>
        <v>5.3247834581346777E-2</v>
      </c>
      <c r="S25" s="45">
        <f t="shared" ref="S25" si="11">S24*G25</f>
        <v>2.4810345111631261E-2</v>
      </c>
      <c r="T25" s="45">
        <f t="shared" ref="T25" si="12">T24*H25</f>
        <v>1.6621774959648943E-2</v>
      </c>
      <c r="U25" s="45">
        <f t="shared" ref="U25" si="13">U24*I25</f>
        <v>0.37568074015048941</v>
      </c>
      <c r="V25" s="45">
        <f t="shared" ref="V25" si="14">V24*J25</f>
        <v>1.6064438619203349E-2</v>
      </c>
      <c r="W25" s="45">
        <f t="shared" ref="W25" si="15">W24*K25</f>
        <v>8.8830267834420756E-3</v>
      </c>
      <c r="X25" s="17"/>
      <c r="Y25" s="17"/>
      <c r="Z25" s="17"/>
    </row>
    <row r="26" spans="1:26" ht="15.6" customHeight="1">
      <c r="A26" s="879"/>
      <c r="B26" s="879"/>
      <c r="C26" s="966"/>
      <c r="D26" s="951"/>
      <c r="E26" s="23"/>
      <c r="F26" s="960" t="s">
        <v>923</v>
      </c>
      <c r="G26" s="961"/>
      <c r="H26" s="961"/>
      <c r="I26" s="961"/>
      <c r="J26" s="961"/>
      <c r="K26" s="961"/>
      <c r="L26" s="961"/>
      <c r="M26" s="961"/>
      <c r="N26" s="961"/>
      <c r="O26" s="961"/>
      <c r="P26" s="961"/>
      <c r="Q26" s="962"/>
      <c r="R26" s="45">
        <f>R25*'Input Sheet'!BU17/'Input Sheet'!$BU17</f>
        <v>5.3247834581346777E-2</v>
      </c>
      <c r="S26" s="45">
        <f>S25*'Input Sheet'!BV17/'Input Sheet'!$BU17</f>
        <v>2.4810345111631261E-2</v>
      </c>
      <c r="T26" s="45">
        <f>T25*'Input Sheet'!BW17/'Input Sheet'!$BU17</f>
        <v>0</v>
      </c>
      <c r="U26" s="45">
        <f>U25*'Input Sheet'!BX17/'Input Sheet'!$BU17</f>
        <v>0.37568074015048941</v>
      </c>
      <c r="V26" s="45">
        <f>V25*'Input Sheet'!BY17/'Input Sheet'!$BU17</f>
        <v>1.6064438619203349E-2</v>
      </c>
      <c r="W26" s="45">
        <f>W25*'Input Sheet'!BZ17/'Input Sheet'!$BU17</f>
        <v>8.8830267834420756E-3</v>
      </c>
      <c r="X26" s="17"/>
      <c r="Y26" s="17"/>
      <c r="Z26" s="17"/>
    </row>
    <row r="27" spans="1:26" ht="15.6" customHeight="1">
      <c r="A27" s="879"/>
      <c r="B27" s="879"/>
      <c r="C27" s="966"/>
      <c r="D27" s="951"/>
      <c r="E27" s="23"/>
      <c r="F27" s="963" t="s">
        <v>924</v>
      </c>
      <c r="G27" s="964"/>
      <c r="H27" s="964"/>
      <c r="I27" s="964"/>
      <c r="J27" s="964"/>
      <c r="K27" s="964"/>
      <c r="L27" s="964"/>
      <c r="M27" s="964"/>
      <c r="N27" s="964"/>
      <c r="O27" s="964"/>
      <c r="P27" s="964"/>
      <c r="Q27" s="965"/>
      <c r="R27" s="50">
        <f>R26/(R26+U26+V26+W26+S26+T26)</f>
        <v>0.11123741184736184</v>
      </c>
      <c r="S27" s="50">
        <f>S26/(R26+S26+T26+U26+V26+W26)</f>
        <v>5.1830062179176482E-2</v>
      </c>
      <c r="T27" s="50">
        <f>T26/(R26+S26+T26+U26+V26+W26)</f>
        <v>0</v>
      </c>
      <c r="U27" s="50">
        <f>U26/(R26+U26+V26+W26+S26+T26)</f>
        <v>0.78481601259107481</v>
      </c>
      <c r="V27" s="50">
        <f>V26/(R26+U26+V26+W26+S26+T26)</f>
        <v>3.3559422440945216E-2</v>
      </c>
      <c r="W27" s="50">
        <f>W26/(R26+U26+V26+W26+S26+T26)</f>
        <v>1.8557090941441621E-2</v>
      </c>
      <c r="X27" s="17"/>
      <c r="Y27" s="17"/>
      <c r="Z27" s="17"/>
    </row>
    <row r="28" spans="1:26" ht="15.6" customHeight="1">
      <c r="A28" s="879"/>
      <c r="B28" s="879"/>
      <c r="C28" s="966"/>
      <c r="D28" s="951"/>
      <c r="E28" s="23"/>
      <c r="F28" s="963" t="s">
        <v>925</v>
      </c>
      <c r="G28" s="964"/>
      <c r="H28" s="964"/>
      <c r="I28" s="964"/>
      <c r="J28" s="964"/>
      <c r="K28" s="964"/>
      <c r="L28" s="964"/>
      <c r="M28" s="964"/>
      <c r="N28" s="964"/>
      <c r="O28" s="964"/>
      <c r="P28" s="964"/>
      <c r="Q28" s="965"/>
      <c r="R28" s="51">
        <f t="shared" ref="R28:W28" si="16">ROUND($C17*$E$2*R27/100,0)*100</f>
        <v>5700</v>
      </c>
      <c r="S28" s="51">
        <f t="shared" si="16"/>
        <v>2700</v>
      </c>
      <c r="T28" s="51">
        <f t="shared" si="16"/>
        <v>0</v>
      </c>
      <c r="U28" s="51">
        <f t="shared" si="16"/>
        <v>40300</v>
      </c>
      <c r="V28" s="51">
        <f t="shared" si="16"/>
        <v>1700</v>
      </c>
      <c r="W28" s="51">
        <f t="shared" si="16"/>
        <v>1000</v>
      </c>
      <c r="X28" s="17"/>
      <c r="Y28" s="17"/>
      <c r="Z28" s="17"/>
    </row>
    <row r="29" spans="1:26" ht="15.75" customHeight="1">
      <c r="A29" s="878">
        <v>3</v>
      </c>
      <c r="B29" s="878" t="s">
        <v>466</v>
      </c>
      <c r="C29" s="966">
        <f>Buckets!X5</f>
        <v>5.1668990404330352E-2</v>
      </c>
      <c r="D29" s="951" t="s">
        <v>490</v>
      </c>
      <c r="E29" s="23" t="s">
        <v>457</v>
      </c>
      <c r="F29" s="30">
        <f>'Input Sheet'!BU30</f>
        <v>1</v>
      </c>
      <c r="G29" s="30">
        <f>'Input Sheet'!BV30</f>
        <v>0.51963991339881133</v>
      </c>
      <c r="H29" s="30">
        <f>'Input Sheet'!BW30</f>
        <v>0.59168004969177057</v>
      </c>
      <c r="I29" s="30">
        <f>'Input Sheet'!BX30</f>
        <v>343.09901555991837</v>
      </c>
      <c r="J29" s="30">
        <f>'Input Sheet'!BY30</f>
        <v>6.137018222243543</v>
      </c>
      <c r="K29" s="30">
        <f>'Input Sheet'!BZ30</f>
        <v>6.1695777707794619</v>
      </c>
      <c r="L29" s="62">
        <v>1</v>
      </c>
      <c r="M29" s="30">
        <f>L29/L$34</f>
        <v>0.2</v>
      </c>
      <c r="N29" s="29"/>
      <c r="O29" s="29"/>
      <c r="P29" s="29"/>
      <c r="Q29" s="29"/>
      <c r="R29" s="45">
        <f t="shared" ref="R29:W33" si="17">F29</f>
        <v>1</v>
      </c>
      <c r="S29" s="45">
        <f t="shared" si="17"/>
        <v>0.51963991339881133</v>
      </c>
      <c r="T29" s="45">
        <f t="shared" si="17"/>
        <v>0.59168004969177057</v>
      </c>
      <c r="U29" s="45">
        <f t="shared" si="17"/>
        <v>343.09901555991837</v>
      </c>
      <c r="V29" s="45">
        <f t="shared" si="17"/>
        <v>6.137018222243543</v>
      </c>
      <c r="W29" s="45">
        <f t="shared" si="17"/>
        <v>6.1695777707794619</v>
      </c>
      <c r="X29" s="46"/>
      <c r="Y29" s="46"/>
      <c r="Z29" s="46"/>
    </row>
    <row r="30" spans="1:26" ht="31.2">
      <c r="A30" s="879"/>
      <c r="B30" s="879"/>
      <c r="C30" s="966"/>
      <c r="D30" s="951"/>
      <c r="E30" s="23" t="s">
        <v>491</v>
      </c>
      <c r="F30" s="30">
        <f>'Input Sheet'!BU31</f>
        <v>1</v>
      </c>
      <c r="G30" s="30">
        <f>'Input Sheet'!BV31</f>
        <v>0.53485966259200712</v>
      </c>
      <c r="H30" s="30">
        <f>'Input Sheet'!BW31</f>
        <v>0.41791582648997133</v>
      </c>
      <c r="I30" s="30">
        <f>'Input Sheet'!BX31</f>
        <v>4.8940957135197298E-2</v>
      </c>
      <c r="J30" s="30">
        <f>'Input Sheet'!BY31</f>
        <v>0.35426484478356668</v>
      </c>
      <c r="K30" s="30">
        <f>'Input Sheet'!BZ31</f>
        <v>1.557714469455795E-2</v>
      </c>
      <c r="L30" s="62">
        <v>1</v>
      </c>
      <c r="M30" s="30">
        <f t="shared" ref="M30:M33" si="18">L30/L$34</f>
        <v>0.2</v>
      </c>
      <c r="N30" s="29"/>
      <c r="O30" s="29"/>
      <c r="P30" s="29"/>
      <c r="Q30" s="29"/>
      <c r="R30" s="45">
        <f t="shared" si="17"/>
        <v>1</v>
      </c>
      <c r="S30" s="45">
        <f t="shared" si="17"/>
        <v>0.53485966259200712</v>
      </c>
      <c r="T30" s="45">
        <f t="shared" si="17"/>
        <v>0.41791582648997133</v>
      </c>
      <c r="U30" s="45">
        <f t="shared" si="17"/>
        <v>4.8940957135197298E-2</v>
      </c>
      <c r="V30" s="45">
        <f t="shared" si="17"/>
        <v>0.35426484478356668</v>
      </c>
      <c r="W30" s="45">
        <f t="shared" si="17"/>
        <v>1.557714469455795E-2</v>
      </c>
      <c r="X30" s="46"/>
      <c r="Y30" s="46"/>
      <c r="Z30" s="46"/>
    </row>
    <row r="31" spans="1:26" ht="15.6">
      <c r="A31" s="879"/>
      <c r="B31" s="879"/>
      <c r="C31" s="966"/>
      <c r="D31" s="951"/>
      <c r="E31" s="23" t="s">
        <v>459</v>
      </c>
      <c r="F31" s="30">
        <f>'Input Sheet'!BU32</f>
        <v>1</v>
      </c>
      <c r="G31" s="30">
        <f>'Input Sheet'!BV32</f>
        <v>1</v>
      </c>
      <c r="H31" s="30">
        <f>'Input Sheet'!BW32</f>
        <v>1</v>
      </c>
      <c r="I31" s="30">
        <f>'Input Sheet'!BX32</f>
        <v>0.42316208231774899</v>
      </c>
      <c r="J31" s="30">
        <f>'Input Sheet'!BY32</f>
        <v>1</v>
      </c>
      <c r="K31" s="30">
        <f>'Input Sheet'!BZ32</f>
        <v>0.71329718021725974</v>
      </c>
      <c r="L31" s="62">
        <v>1</v>
      </c>
      <c r="M31" s="30">
        <f t="shared" si="18"/>
        <v>0.2</v>
      </c>
      <c r="N31" s="29"/>
      <c r="O31" s="29"/>
      <c r="P31" s="29"/>
      <c r="Q31" s="29"/>
      <c r="R31" s="45">
        <f t="shared" si="17"/>
        <v>1</v>
      </c>
      <c r="S31" s="45">
        <f t="shared" si="17"/>
        <v>1</v>
      </c>
      <c r="T31" s="45">
        <f t="shared" si="17"/>
        <v>1</v>
      </c>
      <c r="U31" s="45">
        <f t="shared" si="17"/>
        <v>0.42316208231774899</v>
      </c>
      <c r="V31" s="45">
        <f t="shared" si="17"/>
        <v>1</v>
      </c>
      <c r="W31" s="45">
        <f t="shared" si="17"/>
        <v>0.71329718021725974</v>
      </c>
      <c r="X31" s="46"/>
      <c r="Y31" s="46"/>
      <c r="Z31" s="46"/>
    </row>
    <row r="32" spans="1:26" ht="15.6">
      <c r="A32" s="879"/>
      <c r="B32" s="879"/>
      <c r="C32" s="966"/>
      <c r="D32" s="951"/>
      <c r="E32" s="23" t="s">
        <v>492</v>
      </c>
      <c r="F32" s="30">
        <f>'Input Sheet'!BU33</f>
        <v>1</v>
      </c>
      <c r="G32" s="30">
        <f>'Input Sheet'!BV33</f>
        <v>0.66199319669083379</v>
      </c>
      <c r="H32" s="30">
        <f>'Input Sheet'!BW33</f>
        <v>0.66199319669083379</v>
      </c>
      <c r="I32" s="30">
        <f>'Input Sheet'!BX33</f>
        <v>3.4469852208994722</v>
      </c>
      <c r="J32" s="30">
        <f>'Input Sheet'!BY33</f>
        <v>0.66199319669083379</v>
      </c>
      <c r="K32" s="30">
        <f>'Input Sheet'!BZ33</f>
        <v>3.4469852208994722</v>
      </c>
      <c r="L32" s="62">
        <v>1</v>
      </c>
      <c r="M32" s="30">
        <f t="shared" si="18"/>
        <v>0.2</v>
      </c>
      <c r="N32" s="29"/>
      <c r="O32" s="29"/>
      <c r="P32" s="29"/>
      <c r="Q32" s="29"/>
      <c r="R32" s="45">
        <f t="shared" si="17"/>
        <v>1</v>
      </c>
      <c r="S32" s="45">
        <f t="shared" si="17"/>
        <v>0.66199319669083379</v>
      </c>
      <c r="T32" s="45">
        <f t="shared" si="17"/>
        <v>0.66199319669083379</v>
      </c>
      <c r="U32" s="45">
        <f t="shared" si="17"/>
        <v>3.4469852208994722</v>
      </c>
      <c r="V32" s="45">
        <f t="shared" si="17"/>
        <v>0.66199319669083379</v>
      </c>
      <c r="W32" s="45">
        <f t="shared" si="17"/>
        <v>3.4469852208994722</v>
      </c>
      <c r="X32" s="46"/>
      <c r="Y32" s="46"/>
      <c r="Z32" s="46"/>
    </row>
    <row r="33" spans="1:26" ht="15.6">
      <c r="A33" s="879"/>
      <c r="B33" s="879"/>
      <c r="C33" s="966"/>
      <c r="D33" s="951"/>
      <c r="E33" s="34" t="s">
        <v>461</v>
      </c>
      <c r="F33" s="30">
        <f>'Input Sheet'!BU34</f>
        <v>1</v>
      </c>
      <c r="G33" s="30">
        <f>'Input Sheet'!BV34</f>
        <v>0.58525110430741201</v>
      </c>
      <c r="H33" s="30">
        <f>'Input Sheet'!BW34</f>
        <v>0.35961283926440357</v>
      </c>
      <c r="I33" s="30">
        <f>'Input Sheet'!BX34</f>
        <v>0.15335496684492853</v>
      </c>
      <c r="J33" s="30">
        <f>'Input Sheet'!BY34</f>
        <v>1</v>
      </c>
      <c r="K33" s="30">
        <f>'Input Sheet'!BZ34</f>
        <v>1</v>
      </c>
      <c r="L33" s="62">
        <v>1</v>
      </c>
      <c r="M33" s="30">
        <f t="shared" si="18"/>
        <v>0.2</v>
      </c>
      <c r="N33" s="29"/>
      <c r="O33" s="29"/>
      <c r="P33" s="29"/>
      <c r="Q33" s="29"/>
      <c r="R33" s="45">
        <f t="shared" si="17"/>
        <v>1</v>
      </c>
      <c r="S33" s="45">
        <f t="shared" si="17"/>
        <v>0.58525110430741201</v>
      </c>
      <c r="T33" s="45">
        <f t="shared" si="17"/>
        <v>0.35961283926440357</v>
      </c>
      <c r="U33" s="45">
        <f t="shared" si="17"/>
        <v>0.15335496684492853</v>
      </c>
      <c r="V33" s="45">
        <f t="shared" si="17"/>
        <v>1</v>
      </c>
      <c r="W33" s="45">
        <f t="shared" si="17"/>
        <v>1</v>
      </c>
      <c r="X33" s="46"/>
      <c r="Y33" s="46"/>
      <c r="Z33" s="46"/>
    </row>
    <row r="34" spans="1:26" ht="15.6">
      <c r="A34" s="879"/>
      <c r="B34" s="879"/>
      <c r="C34" s="966"/>
      <c r="D34" s="951"/>
      <c r="E34" s="23" t="s">
        <v>38</v>
      </c>
      <c r="F34" s="47"/>
      <c r="G34" s="47"/>
      <c r="H34" s="47"/>
      <c r="I34" s="47"/>
      <c r="J34" s="47"/>
      <c r="K34" s="47"/>
      <c r="L34" s="449">
        <f>SUM(L29:L33)</f>
        <v>5</v>
      </c>
      <c r="M34" s="872" t="s">
        <v>493</v>
      </c>
      <c r="N34" s="873"/>
      <c r="O34" s="873"/>
      <c r="P34" s="873"/>
      <c r="Q34" s="874"/>
      <c r="R34" s="45">
        <f t="shared" ref="R34:W34" si="19">SUM(R29:R33)</f>
        <v>5</v>
      </c>
      <c r="S34" s="45">
        <f t="shared" si="19"/>
        <v>3.3017438769890641</v>
      </c>
      <c r="T34" s="45">
        <f t="shared" si="19"/>
        <v>3.0312019121369791</v>
      </c>
      <c r="U34" s="45">
        <f t="shared" si="19"/>
        <v>347.17145878711568</v>
      </c>
      <c r="V34" s="45">
        <f t="shared" si="19"/>
        <v>9.1532762637179435</v>
      </c>
      <c r="W34" s="45">
        <f t="shared" si="19"/>
        <v>11.345437316590752</v>
      </c>
      <c r="X34" s="48"/>
      <c r="Y34" s="48"/>
      <c r="Z34" s="48"/>
    </row>
    <row r="35" spans="1:26" ht="15.6">
      <c r="A35" s="879"/>
      <c r="B35" s="879"/>
      <c r="C35" s="966"/>
      <c r="D35" s="951"/>
      <c r="E35" s="23"/>
      <c r="F35" s="23"/>
      <c r="G35" s="23"/>
      <c r="H35" s="23"/>
      <c r="I35" s="23"/>
      <c r="J35" s="23"/>
      <c r="K35" s="23"/>
      <c r="L35" s="23"/>
      <c r="M35" s="872" t="s">
        <v>494</v>
      </c>
      <c r="N35" s="873"/>
      <c r="O35" s="873"/>
      <c r="P35" s="873"/>
      <c r="Q35" s="874"/>
      <c r="R35" s="45">
        <f t="shared" ref="R35:W35" si="20">R34/SUM($R34:$W34)</f>
        <v>1.3192503598175434E-2</v>
      </c>
      <c r="S35" s="45">
        <f t="shared" si="20"/>
        <v>8.7116535954863874E-3</v>
      </c>
      <c r="T35" s="45">
        <f t="shared" si="20"/>
        <v>7.9978284265326705E-3</v>
      </c>
      <c r="U35" s="45">
        <f t="shared" si="20"/>
        <v>0.91601214384656759</v>
      </c>
      <c r="V35" s="45">
        <f t="shared" si="20"/>
        <v>2.4150926008838551E-2</v>
      </c>
      <c r="W35" s="45">
        <f t="shared" si="20"/>
        <v>2.9934944524399466E-2</v>
      </c>
      <c r="X35" s="17"/>
      <c r="Y35" s="17"/>
      <c r="Z35" s="17"/>
    </row>
    <row r="36" spans="1:26" ht="15.6">
      <c r="A36" s="879"/>
      <c r="B36" s="879"/>
      <c r="C36" s="966"/>
      <c r="D36" s="951"/>
      <c r="E36" s="23"/>
      <c r="F36" s="30">
        <f>'Input Sheet'!BU36</f>
        <v>1</v>
      </c>
      <c r="G36" s="30">
        <f>'Input Sheet'!BV36</f>
        <v>0.88</v>
      </c>
      <c r="H36" s="30">
        <f>'Input Sheet'!BW36</f>
        <v>0.8</v>
      </c>
      <c r="I36" s="30">
        <f>'Input Sheet'!BX36</f>
        <v>0.88</v>
      </c>
      <c r="J36" s="30">
        <f>'Input Sheet'!BY36</f>
        <v>0.64</v>
      </c>
      <c r="K36" s="30">
        <f>'Input Sheet'!BZ36</f>
        <v>0.48</v>
      </c>
      <c r="L36" s="23"/>
      <c r="M36" s="957" t="s">
        <v>495</v>
      </c>
      <c r="N36" s="958"/>
      <c r="O36" s="958"/>
      <c r="P36" s="958"/>
      <c r="Q36" s="959"/>
      <c r="R36" s="45">
        <f t="shared" ref="R36:W36" si="21">R35*F36</f>
        <v>1.3192503598175434E-2</v>
      </c>
      <c r="S36" s="45">
        <f t="shared" si="21"/>
        <v>7.6662551640280206E-3</v>
      </c>
      <c r="T36" s="45">
        <f t="shared" si="21"/>
        <v>6.3982627412261369E-3</v>
      </c>
      <c r="U36" s="45">
        <f t="shared" si="21"/>
        <v>0.80609068658497951</v>
      </c>
      <c r="V36" s="45">
        <f t="shared" si="21"/>
        <v>1.5456592645656674E-2</v>
      </c>
      <c r="W36" s="45">
        <f t="shared" si="21"/>
        <v>1.4368773371711743E-2</v>
      </c>
      <c r="X36" s="17"/>
      <c r="Y36" s="17"/>
      <c r="Z36" s="17"/>
    </row>
    <row r="37" spans="1:26" ht="15.6">
      <c r="A37" s="879"/>
      <c r="B37" s="879"/>
      <c r="C37" s="966"/>
      <c r="D37" s="951"/>
      <c r="E37" s="23" t="s">
        <v>1069</v>
      </c>
      <c r="F37" s="30">
        <f>'Input Sheet'!$BU$15</f>
        <v>1</v>
      </c>
      <c r="G37" s="30">
        <f>'Input Sheet'!$BV$15</f>
        <v>0.8</v>
      </c>
      <c r="H37" s="30">
        <f>'Input Sheet'!$BW$15</f>
        <v>0.67999999999999994</v>
      </c>
      <c r="I37" s="30">
        <f>'Input Sheet'!$BX$15</f>
        <v>0.6</v>
      </c>
      <c r="J37" s="30">
        <f>'Input Sheet'!$BY$15</f>
        <v>0.31999999999999995</v>
      </c>
      <c r="K37" s="30">
        <f>'Input Sheet'!$BZ$15</f>
        <v>0.19999999999999996</v>
      </c>
      <c r="L37" s="675"/>
      <c r="M37" s="957" t="s">
        <v>1067</v>
      </c>
      <c r="N37" s="958"/>
      <c r="O37" s="958"/>
      <c r="P37" s="958"/>
      <c r="Q37" s="959"/>
      <c r="R37" s="45">
        <f>R36*F37</f>
        <v>1.3192503598175434E-2</v>
      </c>
      <c r="S37" s="45">
        <f t="shared" ref="S37" si="22">S36*G37</f>
        <v>6.1330041312224167E-3</v>
      </c>
      <c r="T37" s="45">
        <f t="shared" ref="T37" si="23">T36*H37</f>
        <v>4.3508186640337726E-3</v>
      </c>
      <c r="U37" s="45">
        <f t="shared" ref="U37" si="24">U36*I37</f>
        <v>0.48365441195098768</v>
      </c>
      <c r="V37" s="45">
        <f t="shared" ref="V37" si="25">V36*J37</f>
        <v>4.946109646610135E-3</v>
      </c>
      <c r="W37" s="45">
        <f t="shared" ref="W37" si="26">W36*K37</f>
        <v>2.8737546743423481E-3</v>
      </c>
      <c r="X37" s="17"/>
      <c r="Y37" s="17"/>
      <c r="Z37" s="17"/>
    </row>
    <row r="38" spans="1:26" ht="15.6" customHeight="1">
      <c r="A38" s="879"/>
      <c r="B38" s="879"/>
      <c r="C38" s="966"/>
      <c r="D38" s="951"/>
      <c r="E38" s="23"/>
      <c r="F38" s="960" t="s">
        <v>923</v>
      </c>
      <c r="G38" s="961"/>
      <c r="H38" s="961"/>
      <c r="I38" s="961"/>
      <c r="J38" s="961"/>
      <c r="K38" s="961"/>
      <c r="L38" s="961"/>
      <c r="M38" s="961"/>
      <c r="N38" s="961"/>
      <c r="O38" s="961"/>
      <c r="P38" s="961"/>
      <c r="Q38" s="962"/>
      <c r="R38" s="45">
        <f>R37</f>
        <v>1.3192503598175434E-2</v>
      </c>
      <c r="S38" s="45">
        <f>S37*'Input Sheet'!BV28/'Input Sheet'!BU28</f>
        <v>4.2458189597782397E-3</v>
      </c>
      <c r="T38" s="45">
        <f>T37*'Input Sheet'!BW28/'Input Sheet'!BU28</f>
        <v>1.3387893258716168E-3</v>
      </c>
      <c r="U38" s="45">
        <f>U37</f>
        <v>0.48365441195098768</v>
      </c>
      <c r="V38" s="45">
        <f>V37</f>
        <v>4.946109646610135E-3</v>
      </c>
      <c r="W38" s="45">
        <f>W37</f>
        <v>2.8737546743423481E-3</v>
      </c>
      <c r="X38" s="17"/>
      <c r="Y38" s="17"/>
      <c r="Z38" s="17"/>
    </row>
    <row r="39" spans="1:26" ht="15.6" customHeight="1">
      <c r="A39" s="879"/>
      <c r="B39" s="879"/>
      <c r="C39" s="966"/>
      <c r="D39" s="951"/>
      <c r="E39" s="23"/>
      <c r="F39" s="963" t="s">
        <v>924</v>
      </c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Q39" s="965"/>
      <c r="R39" s="50">
        <f>R38/(R38+U38+V38+W38+S38+T38)</f>
        <v>2.5854909764886577E-2</v>
      </c>
      <c r="S39" s="50">
        <f>S38/(R38+S38+T38+U38+V38+W38)</f>
        <v>8.3210336283928155E-3</v>
      </c>
      <c r="T39" s="50">
        <f>T38/(R38+S38+T38+U38+V38+W38)</f>
        <v>2.6237837994140291E-3</v>
      </c>
      <c r="U39" s="50">
        <f>U38/(R38+U38+V38+W38+S38+T38)</f>
        <v>0.94787475973184709</v>
      </c>
      <c r="V39" s="50">
        <f>V38/(R38+U38+V38+W38+S38+T38)</f>
        <v>9.6934761206376677E-3</v>
      </c>
      <c r="W39" s="50">
        <f>W38/(R38+U38+V38+W38+S38+T38)</f>
        <v>5.6320369548217104E-3</v>
      </c>
      <c r="X39" s="17"/>
      <c r="Y39" s="17"/>
      <c r="Z39" s="17"/>
    </row>
    <row r="40" spans="1:26" ht="15.6" customHeight="1">
      <c r="A40" s="880"/>
      <c r="B40" s="880"/>
      <c r="C40" s="966"/>
      <c r="D40" s="951"/>
      <c r="E40" s="23"/>
      <c r="F40" s="963" t="s">
        <v>925</v>
      </c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Q40" s="965"/>
      <c r="R40" s="51">
        <f t="shared" ref="R40:W40" si="27">ROUND($C29*$E$2*R39/100,0)*100</f>
        <v>1100</v>
      </c>
      <c r="S40" s="51">
        <f t="shared" si="27"/>
        <v>400</v>
      </c>
      <c r="T40" s="51">
        <f t="shared" si="27"/>
        <v>100</v>
      </c>
      <c r="U40" s="51">
        <f t="shared" si="27"/>
        <v>41800</v>
      </c>
      <c r="V40" s="51">
        <f t="shared" si="27"/>
        <v>400</v>
      </c>
      <c r="W40" s="51">
        <f t="shared" si="27"/>
        <v>200</v>
      </c>
      <c r="X40" s="17"/>
      <c r="Y40" s="17"/>
      <c r="Z40" s="17"/>
    </row>
    <row r="41" spans="1:26" ht="15.6">
      <c r="A41" s="825">
        <v>4</v>
      </c>
      <c r="B41" s="825" t="s">
        <v>635</v>
      </c>
      <c r="C41" s="966">
        <f>Buckets!X6</f>
        <v>5.2723459596255462E-2</v>
      </c>
      <c r="D41" s="951" t="s">
        <v>490</v>
      </c>
      <c r="E41" s="23" t="s">
        <v>457</v>
      </c>
      <c r="F41" s="30">
        <f>'Input Sheet'!BU41</f>
        <v>1</v>
      </c>
      <c r="G41" s="30">
        <f>'Input Sheet'!BV41</f>
        <v>0.46970018503994088</v>
      </c>
      <c r="H41" s="30">
        <f>'Input Sheet'!BW41</f>
        <v>0.50407907924242534</v>
      </c>
      <c r="I41" s="30">
        <f>'Input Sheet'!BX41</f>
        <v>208.15050349793202</v>
      </c>
      <c r="J41" s="30">
        <f>'Input Sheet'!BY41</f>
        <v>4.7323692347126229</v>
      </c>
      <c r="K41" s="30">
        <f>'Input Sheet'!BZ41</f>
        <v>3.5996404610897965</v>
      </c>
      <c r="L41" s="62">
        <v>1</v>
      </c>
      <c r="M41" s="30">
        <f>L41/L$34</f>
        <v>0.2</v>
      </c>
      <c r="N41" s="29"/>
      <c r="O41" s="29"/>
      <c r="P41" s="29"/>
      <c r="Q41" s="29"/>
      <c r="R41" s="45">
        <f t="shared" ref="R41:W45" si="28">F41</f>
        <v>1</v>
      </c>
      <c r="S41" s="45">
        <f t="shared" si="28"/>
        <v>0.46970018503994088</v>
      </c>
      <c r="T41" s="45">
        <f t="shared" si="28"/>
        <v>0.50407907924242534</v>
      </c>
      <c r="U41" s="45">
        <f t="shared" si="28"/>
        <v>208.15050349793202</v>
      </c>
      <c r="V41" s="45">
        <f t="shared" si="28"/>
        <v>4.7323692347126229</v>
      </c>
      <c r="W41" s="45">
        <f t="shared" si="28"/>
        <v>3.5996404610897965</v>
      </c>
      <c r="X41" s="46"/>
      <c r="Y41" s="46"/>
      <c r="Z41" s="46"/>
    </row>
    <row r="42" spans="1:26" ht="31.35" customHeight="1">
      <c r="A42" s="825"/>
      <c r="B42" s="825"/>
      <c r="C42" s="966"/>
      <c r="D42" s="951"/>
      <c r="E42" s="23" t="s">
        <v>491</v>
      </c>
      <c r="F42" s="30">
        <f>'Input Sheet'!BU42</f>
        <v>1</v>
      </c>
      <c r="G42" s="30">
        <f>'Input Sheet'!BV42</f>
        <v>0.52510371589575855</v>
      </c>
      <c r="H42" s="30">
        <f>'Input Sheet'!BW42</f>
        <v>0.41126223711057103</v>
      </c>
      <c r="I42" s="30">
        <f>'Input Sheet'!BX42</f>
        <v>0.15271846910288878</v>
      </c>
      <c r="J42" s="30">
        <f>'Input Sheet'!BY42</f>
        <v>0.35030255643440467</v>
      </c>
      <c r="K42" s="30">
        <f>'Input Sheet'!BZ42</f>
        <v>4.4173578728950454E-2</v>
      </c>
      <c r="L42" s="62">
        <v>1</v>
      </c>
      <c r="M42" s="30">
        <f t="shared" ref="M42:M45" si="29">L42/L$34</f>
        <v>0.2</v>
      </c>
      <c r="N42" s="29"/>
      <c r="O42" s="29"/>
      <c r="P42" s="29"/>
      <c r="Q42" s="29"/>
      <c r="R42" s="45">
        <f t="shared" si="28"/>
        <v>1</v>
      </c>
      <c r="S42" s="45">
        <f t="shared" si="28"/>
        <v>0.52510371589575855</v>
      </c>
      <c r="T42" s="45">
        <f t="shared" si="28"/>
        <v>0.41126223711057103</v>
      </c>
      <c r="U42" s="45">
        <f t="shared" si="28"/>
        <v>0.15271846910288878</v>
      </c>
      <c r="V42" s="45">
        <f t="shared" si="28"/>
        <v>0.35030255643440467</v>
      </c>
      <c r="W42" s="45">
        <f t="shared" si="28"/>
        <v>4.4173578728950454E-2</v>
      </c>
      <c r="X42" s="46"/>
      <c r="Y42" s="46"/>
      <c r="Z42" s="46"/>
    </row>
    <row r="43" spans="1:26" ht="15.6">
      <c r="A43" s="825"/>
      <c r="B43" s="825"/>
      <c r="C43" s="966"/>
      <c r="D43" s="951"/>
      <c r="E43" s="23" t="s">
        <v>459</v>
      </c>
      <c r="F43" s="30">
        <f>'Input Sheet'!BU43</f>
        <v>1</v>
      </c>
      <c r="G43" s="30">
        <f>'Input Sheet'!BV43</f>
        <v>1</v>
      </c>
      <c r="H43" s="30">
        <f>'Input Sheet'!BW43</f>
        <v>1</v>
      </c>
      <c r="I43" s="30">
        <f>'Input Sheet'!BX43</f>
        <v>0.31890655732397039</v>
      </c>
      <c r="J43" s="30">
        <f>'Input Sheet'!BY43</f>
        <v>1</v>
      </c>
      <c r="K43" s="30">
        <f>'Input Sheet'!BZ43</f>
        <v>0.52578802442577965</v>
      </c>
      <c r="L43" s="62">
        <v>1</v>
      </c>
      <c r="M43" s="30">
        <f t="shared" si="29"/>
        <v>0.2</v>
      </c>
      <c r="N43" s="29"/>
      <c r="O43" s="29"/>
      <c r="P43" s="29"/>
      <c r="Q43" s="29"/>
      <c r="R43" s="45">
        <f t="shared" si="28"/>
        <v>1</v>
      </c>
      <c r="S43" s="45">
        <f t="shared" si="28"/>
        <v>1</v>
      </c>
      <c r="T43" s="45">
        <f t="shared" si="28"/>
        <v>1</v>
      </c>
      <c r="U43" s="45">
        <f t="shared" si="28"/>
        <v>0.31890655732397039</v>
      </c>
      <c r="V43" s="45">
        <f t="shared" si="28"/>
        <v>1</v>
      </c>
      <c r="W43" s="45">
        <f t="shared" si="28"/>
        <v>0.52578802442577965</v>
      </c>
      <c r="X43" s="46"/>
      <c r="Y43" s="46"/>
      <c r="Z43" s="46"/>
    </row>
    <row r="44" spans="1:26" ht="15.6">
      <c r="A44" s="825"/>
      <c r="B44" s="825"/>
      <c r="C44" s="966"/>
      <c r="D44" s="951"/>
      <c r="E44" s="23" t="s">
        <v>492</v>
      </c>
      <c r="F44" s="30">
        <f>'Input Sheet'!BU44</f>
        <v>1</v>
      </c>
      <c r="G44" s="30">
        <f>'Input Sheet'!BV44</f>
        <v>0.66199319669083379</v>
      </c>
      <c r="H44" s="30">
        <f>'Input Sheet'!BW44</f>
        <v>0.66199319669083379</v>
      </c>
      <c r="I44" s="30">
        <f>'Input Sheet'!BX44</f>
        <v>3.4469852208994722</v>
      </c>
      <c r="J44" s="30">
        <f>'Input Sheet'!BY44</f>
        <v>0.66199319669083379</v>
      </c>
      <c r="K44" s="30">
        <f>'Input Sheet'!BZ44</f>
        <v>3.4469852208994722</v>
      </c>
      <c r="L44" s="62">
        <v>1</v>
      </c>
      <c r="M44" s="30">
        <f t="shared" si="29"/>
        <v>0.2</v>
      </c>
      <c r="N44" s="29"/>
      <c r="O44" s="29"/>
      <c r="P44" s="29"/>
      <c r="Q44" s="29"/>
      <c r="R44" s="45">
        <f t="shared" si="28"/>
        <v>1</v>
      </c>
      <c r="S44" s="45">
        <f t="shared" si="28"/>
        <v>0.66199319669083379</v>
      </c>
      <c r="T44" s="45">
        <f t="shared" si="28"/>
        <v>0.66199319669083379</v>
      </c>
      <c r="U44" s="45">
        <f t="shared" si="28"/>
        <v>3.4469852208994722</v>
      </c>
      <c r="V44" s="45">
        <f t="shared" si="28"/>
        <v>0.66199319669083379</v>
      </c>
      <c r="W44" s="45">
        <f t="shared" si="28"/>
        <v>3.4469852208994722</v>
      </c>
      <c r="X44" s="46"/>
      <c r="Y44" s="46"/>
      <c r="Z44" s="46"/>
    </row>
    <row r="45" spans="1:26" ht="15.6">
      <c r="A45" s="825"/>
      <c r="B45" s="825"/>
      <c r="C45" s="966"/>
      <c r="D45" s="951"/>
      <c r="E45" s="34" t="s">
        <v>461</v>
      </c>
      <c r="F45" s="30">
        <f>'Input Sheet'!BU45</f>
        <v>1</v>
      </c>
      <c r="G45" s="30">
        <f>'Input Sheet'!BV45</f>
        <v>0.54247832794327511</v>
      </c>
      <c r="H45" s="30">
        <f>'Input Sheet'!BW45</f>
        <v>0.31110847407961917</v>
      </c>
      <c r="I45" s="30">
        <f>'Input Sheet'!BX45</f>
        <v>0.11758133171956553</v>
      </c>
      <c r="J45" s="30">
        <f>'Input Sheet'!BY45</f>
        <v>1</v>
      </c>
      <c r="K45" s="30">
        <f>'Input Sheet'!BZ45</f>
        <v>1</v>
      </c>
      <c r="L45" s="62">
        <v>1</v>
      </c>
      <c r="M45" s="30">
        <f t="shared" si="29"/>
        <v>0.2</v>
      </c>
      <c r="N45" s="29"/>
      <c r="O45" s="29"/>
      <c r="P45" s="29"/>
      <c r="Q45" s="29"/>
      <c r="R45" s="45">
        <f t="shared" si="28"/>
        <v>1</v>
      </c>
      <c r="S45" s="45">
        <f t="shared" si="28"/>
        <v>0.54247832794327511</v>
      </c>
      <c r="T45" s="45">
        <f t="shared" si="28"/>
        <v>0.31110847407961917</v>
      </c>
      <c r="U45" s="45">
        <f t="shared" si="28"/>
        <v>0.11758133171956553</v>
      </c>
      <c r="V45" s="45">
        <f t="shared" si="28"/>
        <v>1</v>
      </c>
      <c r="W45" s="45">
        <f t="shared" si="28"/>
        <v>1</v>
      </c>
      <c r="X45" s="46"/>
      <c r="Y45" s="46"/>
      <c r="Z45" s="46"/>
    </row>
    <row r="46" spans="1:26" ht="15.6">
      <c r="A46" s="825">
        <v>2</v>
      </c>
      <c r="B46" s="825"/>
      <c r="C46" s="966"/>
      <c r="D46" s="951"/>
      <c r="E46" s="23" t="s">
        <v>38</v>
      </c>
      <c r="F46" s="47"/>
      <c r="G46" s="47"/>
      <c r="H46" s="47"/>
      <c r="I46" s="47"/>
      <c r="J46" s="47"/>
      <c r="K46" s="47"/>
      <c r="L46" s="449">
        <f>SUM(L41:L45)</f>
        <v>5</v>
      </c>
      <c r="M46" s="872" t="s">
        <v>493</v>
      </c>
      <c r="N46" s="873"/>
      <c r="O46" s="873"/>
      <c r="P46" s="873"/>
      <c r="Q46" s="874"/>
      <c r="R46" s="45">
        <f t="shared" ref="R46:W46" si="30">SUM(R41:R45)</f>
        <v>5</v>
      </c>
      <c r="S46" s="45">
        <f t="shared" si="30"/>
        <v>3.1992754255698084</v>
      </c>
      <c r="T46" s="45">
        <f t="shared" si="30"/>
        <v>2.8884429871234492</v>
      </c>
      <c r="U46" s="45">
        <f t="shared" si="30"/>
        <v>212.18669507697794</v>
      </c>
      <c r="V46" s="45">
        <f t="shared" si="30"/>
        <v>7.7446649878378615</v>
      </c>
      <c r="W46" s="45">
        <f t="shared" si="30"/>
        <v>8.6165872851439982</v>
      </c>
      <c r="X46" s="48"/>
      <c r="Y46" s="48"/>
      <c r="Z46" s="48"/>
    </row>
    <row r="47" spans="1:26" ht="15.6">
      <c r="A47" s="825"/>
      <c r="B47" s="825"/>
      <c r="C47" s="966"/>
      <c r="D47" s="951"/>
      <c r="E47" s="23"/>
      <c r="F47" s="23"/>
      <c r="G47" s="23"/>
      <c r="H47" s="23"/>
      <c r="I47" s="23"/>
      <c r="J47" s="23"/>
      <c r="K47" s="23"/>
      <c r="L47" s="23"/>
      <c r="M47" s="872" t="s">
        <v>494</v>
      </c>
      <c r="N47" s="873"/>
      <c r="O47" s="873"/>
      <c r="P47" s="873"/>
      <c r="Q47" s="874"/>
      <c r="R47" s="45">
        <f t="shared" ref="R47:W47" si="31">R46/SUM($R46:$W46)</f>
        <v>2.086500765270995E-2</v>
      </c>
      <c r="S47" s="45">
        <f t="shared" si="31"/>
        <v>1.3350581247528187E-2</v>
      </c>
      <c r="T47" s="45">
        <f t="shared" si="31"/>
        <v>1.2053477006149432E-2</v>
      </c>
      <c r="U47" s="45">
        <f t="shared" si="31"/>
        <v>0.88545540331687556</v>
      </c>
      <c r="V47" s="45">
        <f t="shared" si="31"/>
        <v>3.2318498847782359E-2</v>
      </c>
      <c r="W47" s="45">
        <f t="shared" si="31"/>
        <v>3.595703192895456E-2</v>
      </c>
      <c r="X47" s="17"/>
      <c r="Y47" s="17"/>
      <c r="Z47" s="17"/>
    </row>
    <row r="48" spans="1:26" ht="15.6">
      <c r="A48" s="825"/>
      <c r="B48" s="825"/>
      <c r="C48" s="966"/>
      <c r="D48" s="951"/>
      <c r="E48" s="23"/>
      <c r="F48" s="30">
        <f>'Input Sheet'!BU47</f>
        <v>1</v>
      </c>
      <c r="G48" s="30">
        <f>'Input Sheet'!BV47</f>
        <v>0.92</v>
      </c>
      <c r="H48" s="30">
        <f>'Input Sheet'!BW47</f>
        <v>0.8</v>
      </c>
      <c r="I48" s="30">
        <f>'Input Sheet'!BX47</f>
        <v>0.92</v>
      </c>
      <c r="J48" s="30">
        <f>'Input Sheet'!BY47</f>
        <v>0.64</v>
      </c>
      <c r="K48" s="30">
        <f>'Input Sheet'!BZ47</f>
        <v>0.48</v>
      </c>
      <c r="L48" s="23"/>
      <c r="M48" s="957" t="s">
        <v>495</v>
      </c>
      <c r="N48" s="958"/>
      <c r="O48" s="958"/>
      <c r="P48" s="958"/>
      <c r="Q48" s="959"/>
      <c r="R48" s="45">
        <f t="shared" ref="R48:W48" si="32">R47*F48</f>
        <v>2.086500765270995E-2</v>
      </c>
      <c r="S48" s="45">
        <f t="shared" si="32"/>
        <v>1.2282534747725933E-2</v>
      </c>
      <c r="T48" s="45">
        <f t="shared" si="32"/>
        <v>9.6427816049195463E-3</v>
      </c>
      <c r="U48" s="45">
        <f t="shared" si="32"/>
        <v>0.81461897105152559</v>
      </c>
      <c r="V48" s="45">
        <f t="shared" si="32"/>
        <v>2.068383926258071E-2</v>
      </c>
      <c r="W48" s="45">
        <f t="shared" si="32"/>
        <v>1.7259375325898187E-2</v>
      </c>
      <c r="X48" s="17"/>
      <c r="Y48" s="17"/>
      <c r="Z48" s="17"/>
    </row>
    <row r="49" spans="1:26" ht="15.6">
      <c r="A49" s="825"/>
      <c r="B49" s="825"/>
      <c r="C49" s="966"/>
      <c r="D49" s="951"/>
      <c r="E49" s="23" t="s">
        <v>1069</v>
      </c>
      <c r="F49" s="30">
        <f>'Input Sheet'!$BU$15</f>
        <v>1</v>
      </c>
      <c r="G49" s="30">
        <f>'Input Sheet'!$BV$15</f>
        <v>0.8</v>
      </c>
      <c r="H49" s="30">
        <f>'Input Sheet'!$BW$15</f>
        <v>0.67999999999999994</v>
      </c>
      <c r="I49" s="30">
        <f>'Input Sheet'!$BX$15</f>
        <v>0.6</v>
      </c>
      <c r="J49" s="30">
        <f>'Input Sheet'!$BY$15</f>
        <v>0.31999999999999995</v>
      </c>
      <c r="K49" s="30">
        <f>'Input Sheet'!$BZ$15</f>
        <v>0.19999999999999996</v>
      </c>
      <c r="L49" s="675"/>
      <c r="M49" s="957" t="s">
        <v>1067</v>
      </c>
      <c r="N49" s="958"/>
      <c r="O49" s="958"/>
      <c r="P49" s="958"/>
      <c r="Q49" s="959"/>
      <c r="R49" s="45">
        <f>R48*F49</f>
        <v>2.086500765270995E-2</v>
      </c>
      <c r="S49" s="45">
        <f t="shared" ref="S49" si="33">S48*G49</f>
        <v>9.8260277981807465E-3</v>
      </c>
      <c r="T49" s="45">
        <f t="shared" ref="T49" si="34">T48*H49</f>
        <v>6.557091491345291E-3</v>
      </c>
      <c r="U49" s="45">
        <f t="shared" ref="U49" si="35">U48*I49</f>
        <v>0.48877138263091535</v>
      </c>
      <c r="V49" s="45">
        <f t="shared" ref="V49" si="36">V48*J49</f>
        <v>6.6188285640258263E-3</v>
      </c>
      <c r="W49" s="45">
        <f t="shared" ref="W49" si="37">W48*K49</f>
        <v>3.4518750651796365E-3</v>
      </c>
      <c r="X49" s="17"/>
      <c r="Y49" s="17"/>
      <c r="Z49" s="17"/>
    </row>
    <row r="50" spans="1:26" ht="15.6" customHeight="1">
      <c r="A50" s="825"/>
      <c r="B50" s="825"/>
      <c r="C50" s="966"/>
      <c r="D50" s="951"/>
      <c r="E50" s="23"/>
      <c r="F50" s="960" t="s">
        <v>923</v>
      </c>
      <c r="G50" s="961"/>
      <c r="H50" s="961"/>
      <c r="I50" s="961"/>
      <c r="J50" s="961"/>
      <c r="K50" s="961"/>
      <c r="L50" s="961"/>
      <c r="M50" s="961"/>
      <c r="N50" s="961"/>
      <c r="O50" s="961"/>
      <c r="P50" s="961"/>
      <c r="Q50" s="962"/>
      <c r="R50" s="45">
        <f>R49</f>
        <v>2.086500765270995E-2</v>
      </c>
      <c r="S50" s="45">
        <f>S49*'Input Sheet'!BV39/'Input Sheet'!BU39</f>
        <v>9.8260277981807465E-3</v>
      </c>
      <c r="T50" s="45">
        <f>T49*'Input Sheet'!BW39/'Input Sheet'!BU39</f>
        <v>0</v>
      </c>
      <c r="U50" s="45">
        <f>U49</f>
        <v>0.48877138263091535</v>
      </c>
      <c r="V50" s="45">
        <f t="shared" ref="V50:W50" si="38">V49</f>
        <v>6.6188285640258263E-3</v>
      </c>
      <c r="W50" s="45">
        <f t="shared" si="38"/>
        <v>3.4518750651796365E-3</v>
      </c>
      <c r="X50" s="17"/>
      <c r="Y50" s="17"/>
      <c r="Z50" s="17"/>
    </row>
    <row r="51" spans="1:26" ht="15.6" customHeight="1">
      <c r="A51" s="825"/>
      <c r="B51" s="825"/>
      <c r="C51" s="966"/>
      <c r="D51" s="951"/>
      <c r="E51" s="23"/>
      <c r="F51" s="963" t="s">
        <v>924</v>
      </c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Q51" s="965"/>
      <c r="R51" s="50">
        <f>R50/(R50+U50+V50+W50+S50+T50)</f>
        <v>3.9402648856584385E-2</v>
      </c>
      <c r="S51" s="50">
        <f>S50/(R50+S50+T50+U50+V50+W50)</f>
        <v>1.8556021135054179E-2</v>
      </c>
      <c r="T51" s="50">
        <f>T50/(R50+S50+T50+U50+V50+W50)</f>
        <v>0</v>
      </c>
      <c r="U51" s="50">
        <f>U50/(R50+U50+V50+W50+S50+T50)</f>
        <v>0.92302324933256663</v>
      </c>
      <c r="V51" s="50">
        <f>V50/(R50+U50+V50+W50+S50+T50)</f>
        <v>1.2499366503532897E-2</v>
      </c>
      <c r="W51" s="50">
        <f>W50/(R50+U50+V50+W50+S50+T50)</f>
        <v>6.518714172261862E-3</v>
      </c>
      <c r="X51" s="17"/>
      <c r="Y51" s="17"/>
      <c r="Z51" s="17"/>
    </row>
    <row r="52" spans="1:26" ht="15.6" customHeight="1">
      <c r="A52" s="825"/>
      <c r="B52" s="825"/>
      <c r="C52" s="966"/>
      <c r="D52" s="951"/>
      <c r="E52" s="23"/>
      <c r="F52" s="963" t="s">
        <v>925</v>
      </c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Q52" s="965"/>
      <c r="R52" s="51">
        <f t="shared" ref="R52:W52" si="39">ROUND($C41*$E$2*R51/100,0)*100</f>
        <v>1800</v>
      </c>
      <c r="S52" s="51">
        <f t="shared" si="39"/>
        <v>800</v>
      </c>
      <c r="T52" s="51">
        <f t="shared" si="39"/>
        <v>0</v>
      </c>
      <c r="U52" s="51">
        <f t="shared" si="39"/>
        <v>41500</v>
      </c>
      <c r="V52" s="51">
        <f t="shared" si="39"/>
        <v>600</v>
      </c>
      <c r="W52" s="51">
        <f t="shared" si="39"/>
        <v>300</v>
      </c>
      <c r="X52" s="17"/>
      <c r="Y52" s="17"/>
      <c r="Z52" s="17"/>
    </row>
    <row r="53" spans="1:26" ht="15.6">
      <c r="A53" s="825">
        <v>5</v>
      </c>
      <c r="B53" s="825" t="s">
        <v>639</v>
      </c>
      <c r="C53" s="966">
        <f>Buckets!X7</f>
        <v>0.12016262258204356</v>
      </c>
      <c r="D53" s="951" t="s">
        <v>490</v>
      </c>
      <c r="E53" s="23" t="s">
        <v>457</v>
      </c>
      <c r="F53" s="30">
        <f>'Input Sheet'!BU52</f>
        <v>1</v>
      </c>
      <c r="G53" s="30">
        <f>'Input Sheet'!BV52</f>
        <v>0.47550125720703085</v>
      </c>
      <c r="H53" s="30">
        <f>'Input Sheet'!BW52</f>
        <v>0.52822618883025674</v>
      </c>
      <c r="I53" s="30">
        <f>'Input Sheet'!BX52</f>
        <v>84.945821895566439</v>
      </c>
      <c r="J53" s="30">
        <f>'Input Sheet'!BY52</f>
        <v>4.4847079591201497</v>
      </c>
      <c r="K53" s="30">
        <f>'Input Sheet'!BZ52</f>
        <v>4.2985086237446222</v>
      </c>
      <c r="L53" s="62">
        <v>1</v>
      </c>
      <c r="M53" s="30">
        <f>L53/L$34</f>
        <v>0.2</v>
      </c>
      <c r="N53" s="29"/>
      <c r="O53" s="29"/>
      <c r="P53" s="29"/>
      <c r="Q53" s="29"/>
      <c r="R53" s="45">
        <f t="shared" ref="R53:W57" si="40">F53</f>
        <v>1</v>
      </c>
      <c r="S53" s="45">
        <f t="shared" si="40"/>
        <v>0.47550125720703085</v>
      </c>
      <c r="T53" s="45">
        <f t="shared" si="40"/>
        <v>0.52822618883025674</v>
      </c>
      <c r="U53" s="45">
        <f t="shared" si="40"/>
        <v>84.945821895566439</v>
      </c>
      <c r="V53" s="45">
        <f t="shared" si="40"/>
        <v>4.4847079591201497</v>
      </c>
      <c r="W53" s="45">
        <f t="shared" si="40"/>
        <v>4.2985086237446222</v>
      </c>
      <c r="X53" s="46"/>
      <c r="Y53" s="46"/>
      <c r="Z53" s="46"/>
    </row>
    <row r="54" spans="1:26" ht="31.2">
      <c r="A54" s="825"/>
      <c r="B54" s="825"/>
      <c r="C54" s="966"/>
      <c r="D54" s="951"/>
      <c r="E54" s="23" t="s">
        <v>491</v>
      </c>
      <c r="F54" s="30">
        <f>'Input Sheet'!BU53</f>
        <v>1</v>
      </c>
      <c r="G54" s="30">
        <f>'Input Sheet'!BV53</f>
        <v>0.59840146966504948</v>
      </c>
      <c r="H54" s="30">
        <f>'Input Sheet'!BW53</f>
        <v>0.49037373156041336</v>
      </c>
      <c r="I54" s="30">
        <f>'Input Sheet'!BX53</f>
        <v>0.1665574266543349</v>
      </c>
      <c r="J54" s="30">
        <f>'Input Sheet'!BY53</f>
        <v>0.42964661427450329</v>
      </c>
      <c r="K54" s="30">
        <f>'Input Sheet'!BZ53</f>
        <v>7.1817181992021931E-2</v>
      </c>
      <c r="L54" s="62">
        <v>1</v>
      </c>
      <c r="M54" s="30">
        <f t="shared" ref="M54:M57" si="41">L54/L$34</f>
        <v>0.2</v>
      </c>
      <c r="N54" s="29"/>
      <c r="O54" s="29"/>
      <c r="P54" s="29"/>
      <c r="Q54" s="29"/>
      <c r="R54" s="45">
        <f t="shared" si="40"/>
        <v>1</v>
      </c>
      <c r="S54" s="45">
        <f t="shared" si="40"/>
        <v>0.59840146966504948</v>
      </c>
      <c r="T54" s="45">
        <f t="shared" si="40"/>
        <v>0.49037373156041336</v>
      </c>
      <c r="U54" s="45">
        <f t="shared" si="40"/>
        <v>0.1665574266543349</v>
      </c>
      <c r="V54" s="45">
        <f t="shared" si="40"/>
        <v>0.42964661427450329</v>
      </c>
      <c r="W54" s="45">
        <f t="shared" si="40"/>
        <v>7.1817181992021931E-2</v>
      </c>
      <c r="X54" s="46"/>
      <c r="Y54" s="46"/>
      <c r="Z54" s="46"/>
    </row>
    <row r="55" spans="1:26" ht="15.6">
      <c r="A55" s="825"/>
      <c r="B55" s="825"/>
      <c r="C55" s="966"/>
      <c r="D55" s="951"/>
      <c r="E55" s="23" t="s">
        <v>459</v>
      </c>
      <c r="F55" s="30">
        <f>'Input Sheet'!BU54</f>
        <v>1</v>
      </c>
      <c r="G55" s="30">
        <f>'Input Sheet'!BV54</f>
        <v>1</v>
      </c>
      <c r="H55" s="30">
        <f>'Input Sheet'!BW54</f>
        <v>1</v>
      </c>
      <c r="I55" s="30">
        <f>'Input Sheet'!BX54</f>
        <v>0.4444975166820565</v>
      </c>
      <c r="J55" s="30">
        <f>'Input Sheet'!BY54</f>
        <v>1</v>
      </c>
      <c r="K55" s="30">
        <f>'Input Sheet'!BZ54</f>
        <v>0.6942904675750291</v>
      </c>
      <c r="L55" s="62">
        <v>1</v>
      </c>
      <c r="M55" s="30">
        <f t="shared" si="41"/>
        <v>0.2</v>
      </c>
      <c r="N55" s="29"/>
      <c r="O55" s="29"/>
      <c r="P55" s="29"/>
      <c r="Q55" s="29"/>
      <c r="R55" s="45">
        <f t="shared" si="40"/>
        <v>1</v>
      </c>
      <c r="S55" s="45">
        <f t="shared" si="40"/>
        <v>1</v>
      </c>
      <c r="T55" s="45">
        <f t="shared" si="40"/>
        <v>1</v>
      </c>
      <c r="U55" s="45">
        <f t="shared" si="40"/>
        <v>0.4444975166820565</v>
      </c>
      <c r="V55" s="45">
        <f t="shared" si="40"/>
        <v>1</v>
      </c>
      <c r="W55" s="45">
        <f t="shared" si="40"/>
        <v>0.6942904675750291</v>
      </c>
      <c r="X55" s="46"/>
      <c r="Y55" s="46"/>
      <c r="Z55" s="46"/>
    </row>
    <row r="56" spans="1:26" ht="15.6">
      <c r="A56" s="825"/>
      <c r="B56" s="825"/>
      <c r="C56" s="966"/>
      <c r="D56" s="951"/>
      <c r="E56" s="23" t="s">
        <v>492</v>
      </c>
      <c r="F56" s="30">
        <f>'Input Sheet'!BU55</f>
        <v>1</v>
      </c>
      <c r="G56" s="30">
        <f>'Input Sheet'!BV55</f>
        <v>0.66199319669083379</v>
      </c>
      <c r="H56" s="30">
        <f>'Input Sheet'!BW55</f>
        <v>0.66199319669083379</v>
      </c>
      <c r="I56" s="30">
        <f>'Input Sheet'!BX55</f>
        <v>3.4469852208994722</v>
      </c>
      <c r="J56" s="30">
        <f>'Input Sheet'!BY55</f>
        <v>0.66199319669083379</v>
      </c>
      <c r="K56" s="30">
        <f>'Input Sheet'!BZ55</f>
        <v>3.4469852208994722</v>
      </c>
      <c r="L56" s="62">
        <v>1</v>
      </c>
      <c r="M56" s="30">
        <f t="shared" si="41"/>
        <v>0.2</v>
      </c>
      <c r="N56" s="29"/>
      <c r="O56" s="29"/>
      <c r="P56" s="29"/>
      <c r="Q56" s="29"/>
      <c r="R56" s="45">
        <f t="shared" si="40"/>
        <v>1</v>
      </c>
      <c r="S56" s="45">
        <f t="shared" si="40"/>
        <v>0.66199319669083379</v>
      </c>
      <c r="T56" s="45">
        <f t="shared" si="40"/>
        <v>0.66199319669083379</v>
      </c>
      <c r="U56" s="45">
        <f t="shared" si="40"/>
        <v>3.4469852208994722</v>
      </c>
      <c r="V56" s="45">
        <f t="shared" si="40"/>
        <v>0.66199319669083379</v>
      </c>
      <c r="W56" s="45">
        <f t="shared" si="40"/>
        <v>3.4469852208994722</v>
      </c>
      <c r="X56" s="46"/>
      <c r="Y56" s="46"/>
      <c r="Z56" s="46"/>
    </row>
    <row r="57" spans="1:26" ht="15.6">
      <c r="A57" s="825"/>
      <c r="B57" s="825"/>
      <c r="C57" s="966"/>
      <c r="D57" s="951"/>
      <c r="E57" s="34" t="s">
        <v>461</v>
      </c>
      <c r="F57" s="30">
        <f>'Input Sheet'!BU56</f>
        <v>1</v>
      </c>
      <c r="G57" s="30">
        <f>'Input Sheet'!BV56</f>
        <v>0.54247832794327511</v>
      </c>
      <c r="H57" s="30">
        <f>'Input Sheet'!BW56</f>
        <v>0.31110847407961917</v>
      </c>
      <c r="I57" s="30">
        <f>'Input Sheet'!BX56</f>
        <v>0.11758133171956553</v>
      </c>
      <c r="J57" s="30">
        <f>'Input Sheet'!BY56</f>
        <v>1</v>
      </c>
      <c r="K57" s="30">
        <f>'Input Sheet'!BZ56</f>
        <v>1</v>
      </c>
      <c r="L57" s="62">
        <v>1</v>
      </c>
      <c r="M57" s="30">
        <f t="shared" si="41"/>
        <v>0.2</v>
      </c>
      <c r="N57" s="29"/>
      <c r="O57" s="29"/>
      <c r="P57" s="29"/>
      <c r="Q57" s="29"/>
      <c r="R57" s="45">
        <f t="shared" si="40"/>
        <v>1</v>
      </c>
      <c r="S57" s="45">
        <f t="shared" si="40"/>
        <v>0.54247832794327511</v>
      </c>
      <c r="T57" s="45">
        <f t="shared" si="40"/>
        <v>0.31110847407961917</v>
      </c>
      <c r="U57" s="45">
        <f t="shared" si="40"/>
        <v>0.11758133171956553</v>
      </c>
      <c r="V57" s="45">
        <f t="shared" si="40"/>
        <v>1</v>
      </c>
      <c r="W57" s="45">
        <f t="shared" si="40"/>
        <v>1</v>
      </c>
      <c r="X57" s="46"/>
      <c r="Y57" s="46"/>
      <c r="Z57" s="46"/>
    </row>
    <row r="58" spans="1:26" ht="15.6">
      <c r="A58" s="825">
        <v>2</v>
      </c>
      <c r="B58" s="825"/>
      <c r="C58" s="966"/>
      <c r="D58" s="951"/>
      <c r="E58" s="23" t="s">
        <v>38</v>
      </c>
      <c r="F58" s="47"/>
      <c r="G58" s="47"/>
      <c r="H58" s="47"/>
      <c r="I58" s="47"/>
      <c r="J58" s="47"/>
      <c r="K58" s="47"/>
      <c r="L58" s="449">
        <f>SUM(L53:L57)</f>
        <v>5</v>
      </c>
      <c r="M58" s="872" t="s">
        <v>493</v>
      </c>
      <c r="N58" s="873"/>
      <c r="O58" s="873"/>
      <c r="P58" s="873"/>
      <c r="Q58" s="874"/>
      <c r="R58" s="45">
        <f t="shared" ref="R58:W58" si="42">SUM(R53:R57)</f>
        <v>5</v>
      </c>
      <c r="S58" s="45">
        <f t="shared" si="42"/>
        <v>3.2783742515061891</v>
      </c>
      <c r="T58" s="45">
        <f t="shared" si="42"/>
        <v>2.9917015911611231</v>
      </c>
      <c r="U58" s="45">
        <f t="shared" si="42"/>
        <v>89.121443391521879</v>
      </c>
      <c r="V58" s="45">
        <f t="shared" si="42"/>
        <v>7.5763477700854871</v>
      </c>
      <c r="W58" s="45">
        <f t="shared" si="42"/>
        <v>9.5116014942111455</v>
      </c>
      <c r="X58" s="48"/>
      <c r="Y58" s="48"/>
      <c r="Z58" s="48"/>
    </row>
    <row r="59" spans="1:26" ht="15.6">
      <c r="A59" s="825"/>
      <c r="B59" s="825"/>
      <c r="C59" s="966"/>
      <c r="D59" s="951"/>
      <c r="E59" s="23"/>
      <c r="F59" s="23"/>
      <c r="G59" s="23"/>
      <c r="H59" s="23"/>
      <c r="I59" s="23"/>
      <c r="J59" s="23"/>
      <c r="K59" s="23"/>
      <c r="L59" s="23"/>
      <c r="M59" s="872" t="s">
        <v>494</v>
      </c>
      <c r="N59" s="873"/>
      <c r="O59" s="873"/>
      <c r="P59" s="873"/>
      <c r="Q59" s="874"/>
      <c r="R59" s="45">
        <f t="shared" ref="R59:W59" si="43">R58/SUM($R58:$W58)</f>
        <v>4.256062837111358E-2</v>
      </c>
      <c r="S59" s="45">
        <f t="shared" si="43"/>
        <v>2.790593363595651E-2</v>
      </c>
      <c r="T59" s="45">
        <f t="shared" si="43"/>
        <v>2.5465739923735548E-2</v>
      </c>
      <c r="U59" s="45">
        <f t="shared" si="43"/>
        <v>0.75861292641675981</v>
      </c>
      <c r="V59" s="45">
        <f t="shared" si="43"/>
        <v>6.449082437058469E-2</v>
      </c>
      <c r="W59" s="45">
        <f t="shared" si="43"/>
        <v>8.0963947281849843E-2</v>
      </c>
      <c r="X59" s="17"/>
      <c r="Y59" s="17"/>
      <c r="Z59" s="17"/>
    </row>
    <row r="60" spans="1:26" ht="15.6">
      <c r="A60" s="825"/>
      <c r="B60" s="825"/>
      <c r="C60" s="966"/>
      <c r="D60" s="951"/>
      <c r="E60" s="23"/>
      <c r="F60" s="30">
        <f>'Input Sheet'!BU58</f>
        <v>1</v>
      </c>
      <c r="G60" s="30">
        <f>'Input Sheet'!BV58</f>
        <v>0.92</v>
      </c>
      <c r="H60" s="30">
        <f>'Input Sheet'!BW58</f>
        <v>0.8</v>
      </c>
      <c r="I60" s="30">
        <f>'Input Sheet'!BX58</f>
        <v>0.88</v>
      </c>
      <c r="J60" s="30">
        <f>'Input Sheet'!BY58</f>
        <v>0.64</v>
      </c>
      <c r="K60" s="30">
        <f>'Input Sheet'!BZ58</f>
        <v>0.48</v>
      </c>
      <c r="L60" s="23"/>
      <c r="M60" s="957" t="s">
        <v>495</v>
      </c>
      <c r="N60" s="958"/>
      <c r="O60" s="958"/>
      <c r="P60" s="958"/>
      <c r="Q60" s="959"/>
      <c r="R60" s="45">
        <f t="shared" ref="R60:W60" si="44">R59*F60</f>
        <v>4.256062837111358E-2</v>
      </c>
      <c r="S60" s="45">
        <f t="shared" si="44"/>
        <v>2.567345894507999E-2</v>
      </c>
      <c r="T60" s="45">
        <f t="shared" si="44"/>
        <v>2.0372591938988438E-2</v>
      </c>
      <c r="U60" s="45">
        <f t="shared" si="44"/>
        <v>0.6675793752467486</v>
      </c>
      <c r="V60" s="45">
        <f t="shared" si="44"/>
        <v>4.12741275971742E-2</v>
      </c>
      <c r="W60" s="45">
        <f t="shared" si="44"/>
        <v>3.8862694695287921E-2</v>
      </c>
      <c r="X60" s="17"/>
      <c r="Y60" s="17"/>
      <c r="Z60" s="17"/>
    </row>
    <row r="61" spans="1:26" ht="15.6">
      <c r="A61" s="825"/>
      <c r="B61" s="825"/>
      <c r="C61" s="966"/>
      <c r="D61" s="951"/>
      <c r="E61" s="23" t="s">
        <v>1069</v>
      </c>
      <c r="F61" s="30">
        <f>'Input Sheet'!$BU$15</f>
        <v>1</v>
      </c>
      <c r="G61" s="30">
        <f>'Input Sheet'!$BV$15</f>
        <v>0.8</v>
      </c>
      <c r="H61" s="30">
        <f>'Input Sheet'!$BW$15</f>
        <v>0.67999999999999994</v>
      </c>
      <c r="I61" s="30">
        <f>'Input Sheet'!$BX$15</f>
        <v>0.6</v>
      </c>
      <c r="J61" s="30">
        <f>'Input Sheet'!$BY$15</f>
        <v>0.31999999999999995</v>
      </c>
      <c r="K61" s="30">
        <f>'Input Sheet'!$BZ$15</f>
        <v>0.19999999999999996</v>
      </c>
      <c r="L61" s="675"/>
      <c r="M61" s="957" t="s">
        <v>1067</v>
      </c>
      <c r="N61" s="958"/>
      <c r="O61" s="958"/>
      <c r="P61" s="958"/>
      <c r="Q61" s="959"/>
      <c r="R61" s="45">
        <f>R60*F61</f>
        <v>4.256062837111358E-2</v>
      </c>
      <c r="S61" s="45">
        <f t="shared" ref="S61" si="45">S60*G61</f>
        <v>2.0538767156063995E-2</v>
      </c>
      <c r="T61" s="45">
        <f t="shared" ref="T61" si="46">T60*H61</f>
        <v>1.3853362518512137E-2</v>
      </c>
      <c r="U61" s="45">
        <f t="shared" ref="U61" si="47">U60*I61</f>
        <v>0.40054762514804915</v>
      </c>
      <c r="V61" s="45">
        <f t="shared" ref="V61" si="48">V60*J61</f>
        <v>1.3207720831095742E-2</v>
      </c>
      <c r="W61" s="45">
        <f t="shared" ref="W61" si="49">W60*K61</f>
        <v>7.7725389390575824E-3</v>
      </c>
      <c r="X61" s="17"/>
      <c r="Y61" s="17"/>
      <c r="Z61" s="17"/>
    </row>
    <row r="62" spans="1:26" ht="15.6" customHeight="1">
      <c r="A62" s="825"/>
      <c r="B62" s="825"/>
      <c r="C62" s="966"/>
      <c r="D62" s="951"/>
      <c r="E62" s="23"/>
      <c r="F62" s="960" t="s">
        <v>923</v>
      </c>
      <c r="G62" s="961"/>
      <c r="H62" s="961"/>
      <c r="I62" s="961"/>
      <c r="J62" s="961"/>
      <c r="K62" s="961"/>
      <c r="L62" s="961"/>
      <c r="M62" s="961"/>
      <c r="N62" s="961"/>
      <c r="O62" s="961"/>
      <c r="P62" s="961"/>
      <c r="Q62" s="962"/>
      <c r="R62" s="45">
        <f>R61</f>
        <v>4.256062837111358E-2</v>
      </c>
      <c r="S62" s="45">
        <f>S61*'Input Sheet'!BV50/'Input Sheet'!BU50</f>
        <v>1.3507603789747625E-2</v>
      </c>
      <c r="T62" s="45">
        <f>T61*'Input Sheet'!BW50/'Input Sheet'!BU50</f>
        <v>4.7425073910390128E-3</v>
      </c>
      <c r="U62" s="45">
        <f>U61</f>
        <v>0.40054762514804915</v>
      </c>
      <c r="V62" s="45">
        <f t="shared" ref="V62:W62" si="50">V61</f>
        <v>1.3207720831095742E-2</v>
      </c>
      <c r="W62" s="45">
        <f t="shared" si="50"/>
        <v>7.7725389390575824E-3</v>
      </c>
      <c r="X62" s="17"/>
      <c r="Y62" s="17"/>
      <c r="Z62" s="17"/>
    </row>
    <row r="63" spans="1:26" ht="15.6" customHeight="1">
      <c r="A63" s="825"/>
      <c r="B63" s="825"/>
      <c r="C63" s="966"/>
      <c r="D63" s="951"/>
      <c r="E63" s="23"/>
      <c r="F63" s="963" t="s">
        <v>924</v>
      </c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5"/>
      <c r="R63" s="50">
        <f>R62/(R62+U62+V62+W62+S62+T62)</f>
        <v>8.8238068054099325E-2</v>
      </c>
      <c r="S63" s="50">
        <f>S62/(R62+S62+T62+U62+V62+W62)</f>
        <v>2.8004400030346068E-2</v>
      </c>
      <c r="T63" s="50">
        <f>T62/(R62+S62+T62+U62+V62+W62)</f>
        <v>9.8323193508484466E-3</v>
      </c>
      <c r="U63" s="50">
        <f>U62/(R62+U62+V62+W62+S62+T62)</f>
        <v>0.83042826103360656</v>
      </c>
      <c r="V63" s="50">
        <f>V62/(R62+U62+V62+W62+S62+T62)</f>
        <v>2.7382673004065862E-2</v>
      </c>
      <c r="W63" s="50">
        <f>W62/(R62+U62+V62+W62+S62+T62)</f>
        <v>1.6114278527033774E-2</v>
      </c>
      <c r="X63" s="17"/>
      <c r="Y63" s="17"/>
      <c r="Z63" s="17"/>
    </row>
    <row r="64" spans="1:26" ht="15.6" customHeight="1">
      <c r="A64" s="825"/>
      <c r="B64" s="825"/>
      <c r="C64" s="966"/>
      <c r="D64" s="951"/>
      <c r="E64" s="23"/>
      <c r="F64" s="963" t="s">
        <v>925</v>
      </c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Q64" s="965"/>
      <c r="R64" s="51">
        <f t="shared" ref="R64:W64" si="51">ROUND($C53*$E$2*R63/100,0)*100</f>
        <v>9000</v>
      </c>
      <c r="S64" s="51">
        <f t="shared" si="51"/>
        <v>2900</v>
      </c>
      <c r="T64" s="51">
        <f t="shared" si="51"/>
        <v>1000</v>
      </c>
      <c r="U64" s="51">
        <f t="shared" si="51"/>
        <v>85200</v>
      </c>
      <c r="V64" s="51">
        <f t="shared" si="51"/>
        <v>2800</v>
      </c>
      <c r="W64" s="51">
        <f t="shared" si="51"/>
        <v>1700</v>
      </c>
      <c r="X64" s="17"/>
      <c r="Y64" s="17"/>
      <c r="Z64" s="17"/>
    </row>
    <row r="65" spans="1:26" ht="15.6">
      <c r="A65" s="825">
        <v>6</v>
      </c>
      <c r="B65" s="825" t="s">
        <v>640</v>
      </c>
      <c r="C65" s="966">
        <f>Buckets!X8</f>
        <v>7.1750770348326318E-2</v>
      </c>
      <c r="D65" s="951" t="s">
        <v>490</v>
      </c>
      <c r="E65" s="23" t="s">
        <v>457</v>
      </c>
      <c r="F65" s="30">
        <f>'Input Sheet'!BU63</f>
        <v>1</v>
      </c>
      <c r="G65" s="30">
        <f>'Input Sheet'!BV63</f>
        <v>0.42201583489233041</v>
      </c>
      <c r="H65" s="30">
        <f>'Input Sheet'!BW63</f>
        <v>0.45481986690520709</v>
      </c>
      <c r="I65" s="30">
        <f>'Input Sheet'!BX63</f>
        <v>94.159332831406672</v>
      </c>
      <c r="J65" s="30">
        <f>'Input Sheet'!BY63</f>
        <v>4.0060891104365401</v>
      </c>
      <c r="K65" s="30">
        <f>'Input Sheet'!BZ63</f>
        <v>2.9766569450641329</v>
      </c>
      <c r="L65" s="62">
        <v>1</v>
      </c>
      <c r="M65" s="30">
        <f>L65/L$34</f>
        <v>0.2</v>
      </c>
      <c r="N65" s="29"/>
      <c r="O65" s="29"/>
      <c r="P65" s="29"/>
      <c r="Q65" s="29"/>
      <c r="R65" s="45">
        <f t="shared" ref="R65:W69" si="52">F65</f>
        <v>1</v>
      </c>
      <c r="S65" s="45">
        <f t="shared" si="52"/>
        <v>0.42201583489233041</v>
      </c>
      <c r="T65" s="45">
        <f t="shared" si="52"/>
        <v>0.45481986690520709</v>
      </c>
      <c r="U65" s="45">
        <f t="shared" si="52"/>
        <v>94.159332831406672</v>
      </c>
      <c r="V65" s="45">
        <f t="shared" si="52"/>
        <v>4.0060891104365401</v>
      </c>
      <c r="W65" s="45">
        <f t="shared" si="52"/>
        <v>2.9766569450641329</v>
      </c>
      <c r="X65" s="46"/>
      <c r="Y65" s="46"/>
      <c r="Z65" s="46"/>
    </row>
    <row r="66" spans="1:26" ht="31.35" customHeight="1">
      <c r="A66" s="825"/>
      <c r="B66" s="825"/>
      <c r="C66" s="966"/>
      <c r="D66" s="951"/>
      <c r="E66" s="23" t="s">
        <v>491</v>
      </c>
      <c r="F66" s="30">
        <f>'Input Sheet'!BU64</f>
        <v>1</v>
      </c>
      <c r="G66" s="30">
        <f>'Input Sheet'!BV64</f>
        <v>0.59549426983920983</v>
      </c>
      <c r="H66" s="30">
        <f>'Input Sheet'!BW64</f>
        <v>0.32148764605179025</v>
      </c>
      <c r="I66" s="30">
        <f>'Input Sheet'!BX64</f>
        <v>8.4700121162244568E-2</v>
      </c>
      <c r="J66" s="30">
        <f>'Input Sheet'!BY64</f>
        <v>0.26391072531893922</v>
      </c>
      <c r="K66" s="30">
        <f>'Input Sheet'!BZ64</f>
        <v>2.2758178069103435E-2</v>
      </c>
      <c r="L66" s="62">
        <v>1</v>
      </c>
      <c r="M66" s="30">
        <f t="shared" ref="M66:M69" si="53">L66/L$34</f>
        <v>0.2</v>
      </c>
      <c r="N66" s="29"/>
      <c r="O66" s="29"/>
      <c r="P66" s="29"/>
      <c r="Q66" s="29"/>
      <c r="R66" s="45">
        <f t="shared" si="52"/>
        <v>1</v>
      </c>
      <c r="S66" s="45">
        <f t="shared" si="52"/>
        <v>0.59549426983920983</v>
      </c>
      <c r="T66" s="45">
        <f t="shared" si="52"/>
        <v>0.32148764605179025</v>
      </c>
      <c r="U66" s="45">
        <f t="shared" si="52"/>
        <v>8.4700121162244568E-2</v>
      </c>
      <c r="V66" s="45">
        <f t="shared" si="52"/>
        <v>0.26391072531893922</v>
      </c>
      <c r="W66" s="45">
        <f t="shared" si="52"/>
        <v>2.2758178069103435E-2</v>
      </c>
      <c r="X66" s="46"/>
      <c r="Y66" s="46"/>
      <c r="Z66" s="46"/>
    </row>
    <row r="67" spans="1:26" ht="15.6">
      <c r="A67" s="825"/>
      <c r="B67" s="825"/>
      <c r="C67" s="966"/>
      <c r="D67" s="951"/>
      <c r="E67" s="23" t="s">
        <v>459</v>
      </c>
      <c r="F67" s="30">
        <f>'Input Sheet'!BU65</f>
        <v>1</v>
      </c>
      <c r="G67" s="30">
        <f>'Input Sheet'!BV65</f>
        <v>1</v>
      </c>
      <c r="H67" s="30">
        <f>'Input Sheet'!BW65</f>
        <v>1</v>
      </c>
      <c r="I67" s="30">
        <f>'Input Sheet'!BX65</f>
        <v>0.28275968979620331</v>
      </c>
      <c r="J67" s="30">
        <f>'Input Sheet'!BY65</f>
        <v>1</v>
      </c>
      <c r="K67" s="30">
        <f>'Input Sheet'!BZ65</f>
        <v>0.49138550543985771</v>
      </c>
      <c r="L67" s="62">
        <v>1</v>
      </c>
      <c r="M67" s="30">
        <f t="shared" si="53"/>
        <v>0.2</v>
      </c>
      <c r="N67" s="29"/>
      <c r="O67" s="29"/>
      <c r="P67" s="29"/>
      <c r="Q67" s="29"/>
      <c r="R67" s="45">
        <f t="shared" si="52"/>
        <v>1</v>
      </c>
      <c r="S67" s="45">
        <f t="shared" si="52"/>
        <v>1</v>
      </c>
      <c r="T67" s="45">
        <f t="shared" si="52"/>
        <v>1</v>
      </c>
      <c r="U67" s="45">
        <f t="shared" si="52"/>
        <v>0.28275968979620331</v>
      </c>
      <c r="V67" s="45">
        <f t="shared" si="52"/>
        <v>1</v>
      </c>
      <c r="W67" s="45">
        <f t="shared" si="52"/>
        <v>0.49138550543985771</v>
      </c>
      <c r="X67" s="46"/>
      <c r="Y67" s="46"/>
      <c r="Z67" s="46"/>
    </row>
    <row r="68" spans="1:26" ht="15.6">
      <c r="A68" s="825"/>
      <c r="B68" s="825"/>
      <c r="C68" s="966"/>
      <c r="D68" s="951"/>
      <c r="E68" s="23" t="s">
        <v>492</v>
      </c>
      <c r="F68" s="30">
        <f>'Input Sheet'!BU66</f>
        <v>1</v>
      </c>
      <c r="G68" s="30">
        <f>'Input Sheet'!BV66</f>
        <v>0.66199319669083379</v>
      </c>
      <c r="H68" s="30">
        <f>'Input Sheet'!BW66</f>
        <v>0.66199319669083379</v>
      </c>
      <c r="I68" s="30">
        <f>'Input Sheet'!BX66</f>
        <v>3.4469852208994722</v>
      </c>
      <c r="J68" s="30">
        <f>'Input Sheet'!BY66</f>
        <v>0.66199319669083379</v>
      </c>
      <c r="K68" s="30">
        <f>'Input Sheet'!BZ66</f>
        <v>3.4469852208994722</v>
      </c>
      <c r="L68" s="62">
        <v>1</v>
      </c>
      <c r="M68" s="30">
        <f t="shared" si="53"/>
        <v>0.2</v>
      </c>
      <c r="N68" s="29"/>
      <c r="O68" s="29"/>
      <c r="P68" s="29"/>
      <c r="Q68" s="29"/>
      <c r="R68" s="45">
        <f t="shared" si="52"/>
        <v>1</v>
      </c>
      <c r="S68" s="45">
        <f t="shared" si="52"/>
        <v>0.66199319669083379</v>
      </c>
      <c r="T68" s="45">
        <f t="shared" si="52"/>
        <v>0.66199319669083379</v>
      </c>
      <c r="U68" s="45">
        <f t="shared" si="52"/>
        <v>3.4469852208994722</v>
      </c>
      <c r="V68" s="45">
        <f t="shared" si="52"/>
        <v>0.66199319669083379</v>
      </c>
      <c r="W68" s="45">
        <f t="shared" si="52"/>
        <v>3.4469852208994722</v>
      </c>
      <c r="X68" s="46"/>
      <c r="Y68" s="46"/>
      <c r="Z68" s="46"/>
    </row>
    <row r="69" spans="1:26" ht="15.6">
      <c r="A69" s="825"/>
      <c r="B69" s="825"/>
      <c r="C69" s="966"/>
      <c r="D69" s="951"/>
      <c r="E69" s="34" t="s">
        <v>461</v>
      </c>
      <c r="F69" s="30">
        <f>'Input Sheet'!BU67</f>
        <v>1</v>
      </c>
      <c r="G69" s="30">
        <f>'Input Sheet'!BV67</f>
        <v>0.54247832794327511</v>
      </c>
      <c r="H69" s="30">
        <f>'Input Sheet'!BW67</f>
        <v>0.31110847407961917</v>
      </c>
      <c r="I69" s="30">
        <f>'Input Sheet'!BX67</f>
        <v>0.11758133171956553</v>
      </c>
      <c r="J69" s="30">
        <f>'Input Sheet'!BY67</f>
        <v>1</v>
      </c>
      <c r="K69" s="30">
        <f>'Input Sheet'!BZ67</f>
        <v>1</v>
      </c>
      <c r="L69" s="62">
        <v>1</v>
      </c>
      <c r="M69" s="30">
        <f t="shared" si="53"/>
        <v>0.2</v>
      </c>
      <c r="N69" s="29"/>
      <c r="O69" s="29"/>
      <c r="P69" s="29"/>
      <c r="Q69" s="29"/>
      <c r="R69" s="45">
        <f t="shared" si="52"/>
        <v>1</v>
      </c>
      <c r="S69" s="45">
        <f t="shared" si="52"/>
        <v>0.54247832794327511</v>
      </c>
      <c r="T69" s="45">
        <f t="shared" si="52"/>
        <v>0.31110847407961917</v>
      </c>
      <c r="U69" s="45">
        <f t="shared" si="52"/>
        <v>0.11758133171956553</v>
      </c>
      <c r="V69" s="45">
        <f t="shared" si="52"/>
        <v>1</v>
      </c>
      <c r="W69" s="45">
        <f t="shared" si="52"/>
        <v>1</v>
      </c>
      <c r="X69" s="46"/>
      <c r="Y69" s="46"/>
      <c r="Z69" s="46"/>
    </row>
    <row r="70" spans="1:26" ht="15.6">
      <c r="A70" s="825">
        <v>2</v>
      </c>
      <c r="B70" s="825"/>
      <c r="C70" s="966"/>
      <c r="D70" s="951"/>
      <c r="E70" s="23" t="s">
        <v>38</v>
      </c>
      <c r="F70" s="47"/>
      <c r="G70" s="47"/>
      <c r="H70" s="47"/>
      <c r="I70" s="47"/>
      <c r="J70" s="47"/>
      <c r="K70" s="47"/>
      <c r="L70" s="449">
        <f>SUM(L65:L69)</f>
        <v>5</v>
      </c>
      <c r="M70" s="872" t="s">
        <v>493</v>
      </c>
      <c r="N70" s="873"/>
      <c r="O70" s="873"/>
      <c r="P70" s="873"/>
      <c r="Q70" s="874"/>
      <c r="R70" s="45">
        <f t="shared" ref="R70:W70" si="54">SUM(R65:R69)</f>
        <v>5</v>
      </c>
      <c r="S70" s="45">
        <f t="shared" si="54"/>
        <v>3.2219816293656494</v>
      </c>
      <c r="T70" s="45">
        <f t="shared" si="54"/>
        <v>2.7494091837274501</v>
      </c>
      <c r="U70" s="45">
        <f t="shared" si="54"/>
        <v>98.091359194984165</v>
      </c>
      <c r="V70" s="45">
        <f t="shared" si="54"/>
        <v>6.9319930324463135</v>
      </c>
      <c r="W70" s="45">
        <f t="shared" si="54"/>
        <v>7.9377858494725668</v>
      </c>
      <c r="X70" s="48"/>
      <c r="Y70" s="48"/>
      <c r="Z70" s="48"/>
    </row>
    <row r="71" spans="1:26" ht="15.6">
      <c r="A71" s="825"/>
      <c r="B71" s="825"/>
      <c r="C71" s="966"/>
      <c r="D71" s="951"/>
      <c r="E71" s="23"/>
      <c r="F71" s="23"/>
      <c r="G71" s="23"/>
      <c r="H71" s="23"/>
      <c r="I71" s="23"/>
      <c r="J71" s="23"/>
      <c r="K71" s="23"/>
      <c r="L71" s="23"/>
      <c r="M71" s="872" t="s">
        <v>494</v>
      </c>
      <c r="N71" s="873"/>
      <c r="O71" s="873"/>
      <c r="P71" s="873"/>
      <c r="Q71" s="874"/>
      <c r="R71" s="45">
        <f t="shared" ref="R71:W71" si="55">R70/SUM($R70:$W70)</f>
        <v>4.0344532987284187E-2</v>
      </c>
      <c r="S71" s="45">
        <f t="shared" si="55"/>
        <v>2.5997868826073221E-2</v>
      </c>
      <c r="T71" s="45">
        <f t="shared" si="55"/>
        <v>2.2184725901686842E-2</v>
      </c>
      <c r="U71" s="45">
        <f t="shared" si="55"/>
        <v>0.79149001536191621</v>
      </c>
      <c r="V71" s="45">
        <f t="shared" si="55"/>
        <v>5.5933604313030891E-2</v>
      </c>
      <c r="W71" s="45">
        <f t="shared" si="55"/>
        <v>6.4049252610008725E-2</v>
      </c>
      <c r="X71" s="17"/>
      <c r="Y71" s="17"/>
      <c r="Z71" s="17"/>
    </row>
    <row r="72" spans="1:26" ht="15.6">
      <c r="A72" s="825"/>
      <c r="B72" s="825"/>
      <c r="C72" s="966"/>
      <c r="D72" s="951"/>
      <c r="E72" s="23"/>
      <c r="F72" s="30">
        <f>'Input Sheet'!BU69</f>
        <v>1</v>
      </c>
      <c r="G72" s="30">
        <f>'Input Sheet'!BV69</f>
        <v>0.92</v>
      </c>
      <c r="H72" s="30">
        <f>'Input Sheet'!BW69</f>
        <v>0.8</v>
      </c>
      <c r="I72" s="30">
        <f>'Input Sheet'!BX69</f>
        <v>0.92</v>
      </c>
      <c r="J72" s="30">
        <f>'Input Sheet'!BY69</f>
        <v>0.64</v>
      </c>
      <c r="K72" s="30">
        <f>'Input Sheet'!BZ69</f>
        <v>0.48</v>
      </c>
      <c r="L72" s="23"/>
      <c r="M72" s="957" t="s">
        <v>495</v>
      </c>
      <c r="N72" s="958"/>
      <c r="O72" s="958"/>
      <c r="P72" s="958"/>
      <c r="Q72" s="959"/>
      <c r="R72" s="45">
        <f t="shared" ref="R72:W72" si="56">R71*F72</f>
        <v>4.0344532987284187E-2</v>
      </c>
      <c r="S72" s="45">
        <f t="shared" si="56"/>
        <v>2.3918039319987365E-2</v>
      </c>
      <c r="T72" s="45">
        <f t="shared" si="56"/>
        <v>1.7747780721349474E-2</v>
      </c>
      <c r="U72" s="45">
        <f t="shared" si="56"/>
        <v>0.72817081413296292</v>
      </c>
      <c r="V72" s="45">
        <f t="shared" si="56"/>
        <v>3.579750676033977E-2</v>
      </c>
      <c r="W72" s="45">
        <f t="shared" si="56"/>
        <v>3.0743641252804186E-2</v>
      </c>
      <c r="X72" s="17"/>
      <c r="Y72" s="17"/>
      <c r="Z72" s="17"/>
    </row>
    <row r="73" spans="1:26" ht="15.6">
      <c r="A73" s="825"/>
      <c r="B73" s="825"/>
      <c r="C73" s="966"/>
      <c r="D73" s="951"/>
      <c r="E73" s="23" t="s">
        <v>1069</v>
      </c>
      <c r="F73" s="30">
        <f>'Input Sheet'!$BU$15</f>
        <v>1</v>
      </c>
      <c r="G73" s="30">
        <f>'Input Sheet'!$BV$15</f>
        <v>0.8</v>
      </c>
      <c r="H73" s="30">
        <f>'Input Sheet'!$BW$15</f>
        <v>0.67999999999999994</v>
      </c>
      <c r="I73" s="30">
        <f>'Input Sheet'!$BX$15</f>
        <v>0.6</v>
      </c>
      <c r="J73" s="30">
        <f>'Input Sheet'!$BY$15</f>
        <v>0.31999999999999995</v>
      </c>
      <c r="K73" s="30">
        <f>'Input Sheet'!$BZ$15</f>
        <v>0.19999999999999996</v>
      </c>
      <c r="L73" s="675"/>
      <c r="M73" s="957" t="s">
        <v>1067</v>
      </c>
      <c r="N73" s="958"/>
      <c r="O73" s="958"/>
      <c r="P73" s="958"/>
      <c r="Q73" s="959"/>
      <c r="R73" s="45">
        <f>R72*F73</f>
        <v>4.0344532987284187E-2</v>
      </c>
      <c r="S73" s="45">
        <f t="shared" ref="S73" si="57">S72*G73</f>
        <v>1.9134431455989892E-2</v>
      </c>
      <c r="T73" s="45">
        <f t="shared" ref="T73" si="58">T72*H73</f>
        <v>1.2068490890517642E-2</v>
      </c>
      <c r="U73" s="45">
        <f t="shared" ref="U73" si="59">U72*I73</f>
        <v>0.43690248847977775</v>
      </c>
      <c r="V73" s="45">
        <f t="shared" ref="V73" si="60">V72*J73</f>
        <v>1.1455202163308725E-2</v>
      </c>
      <c r="W73" s="45">
        <f t="shared" ref="W73" si="61">W72*K73</f>
        <v>6.148728250560836E-3</v>
      </c>
      <c r="X73" s="17"/>
      <c r="Y73" s="17"/>
      <c r="Z73" s="17"/>
    </row>
    <row r="74" spans="1:26" ht="15.6" customHeight="1">
      <c r="A74" s="825"/>
      <c r="B74" s="825"/>
      <c r="C74" s="966"/>
      <c r="D74" s="951"/>
      <c r="E74" s="23"/>
      <c r="F74" s="960" t="s">
        <v>923</v>
      </c>
      <c r="G74" s="961"/>
      <c r="H74" s="961"/>
      <c r="I74" s="961"/>
      <c r="J74" s="961"/>
      <c r="K74" s="961"/>
      <c r="L74" s="961"/>
      <c r="M74" s="961"/>
      <c r="N74" s="961"/>
      <c r="O74" s="961"/>
      <c r="P74" s="961"/>
      <c r="Q74" s="962"/>
      <c r="R74" s="45">
        <f>R73</f>
        <v>4.0344532987284187E-2</v>
      </c>
      <c r="S74" s="45">
        <f>S73*'Input Sheet'!BV61/'Input Sheet'!BU61</f>
        <v>1.8675130113071779E-2</v>
      </c>
      <c r="T74" s="45">
        <f>T73*'Input Sheet'!BW61/'Input Sheet'!BU61</f>
        <v>2.8969107787493357E-4</v>
      </c>
      <c r="U74" s="45">
        <f>U73</f>
        <v>0.43690248847977775</v>
      </c>
      <c r="V74" s="45">
        <f t="shared" ref="V74:W74" si="62">V73</f>
        <v>1.1455202163308725E-2</v>
      </c>
      <c r="W74" s="45">
        <f t="shared" si="62"/>
        <v>6.148728250560836E-3</v>
      </c>
      <c r="X74" s="17"/>
      <c r="Y74" s="17"/>
      <c r="Z74" s="17"/>
    </row>
    <row r="75" spans="1:26" ht="15.6" customHeight="1">
      <c r="A75" s="825"/>
      <c r="B75" s="825"/>
      <c r="C75" s="966"/>
      <c r="D75" s="951"/>
      <c r="E75" s="23"/>
      <c r="F75" s="963" t="s">
        <v>924</v>
      </c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Q75" s="965"/>
      <c r="R75" s="50">
        <f>R74/(R74+U74+V74+W74+S74+T74)</f>
        <v>7.8519452110397459E-2</v>
      </c>
      <c r="S75" s="50">
        <f>S74/(R74+S74+T74+U74+V74+W74)</f>
        <v>3.6345965016646727E-2</v>
      </c>
      <c r="T75" s="50">
        <f>T74/(R74+S74+T74+U74+V74+W74)</f>
        <v>5.6380339619198176E-4</v>
      </c>
      <c r="U75" s="50">
        <f>U74/(R74+U74+V74+W74+S74+T74)</f>
        <v>0.85030960779528075</v>
      </c>
      <c r="V75" s="50">
        <f>V74/(R74+U74+V74+W74+S74+T74)</f>
        <v>2.2294376240774232E-2</v>
      </c>
      <c r="W75" s="50">
        <f>W74/(R74+U74+V74+W74+S74+T74)</f>
        <v>1.1966795440708833E-2</v>
      </c>
      <c r="X75" s="17"/>
      <c r="Y75" s="17"/>
      <c r="Z75" s="17"/>
    </row>
    <row r="76" spans="1:26" ht="15.6" customHeight="1">
      <c r="A76" s="825"/>
      <c r="B76" s="825"/>
      <c r="C76" s="966"/>
      <c r="D76" s="951"/>
      <c r="E76" s="23"/>
      <c r="F76" s="963" t="s">
        <v>925</v>
      </c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Q76" s="965"/>
      <c r="R76" s="51">
        <f t="shared" ref="R76:W76" si="63">ROUND($C65*$E$2*R75/100,0)*100</f>
        <v>4800</v>
      </c>
      <c r="S76" s="51">
        <f t="shared" si="63"/>
        <v>2200</v>
      </c>
      <c r="T76" s="51">
        <f t="shared" si="63"/>
        <v>0</v>
      </c>
      <c r="U76" s="51">
        <f t="shared" si="63"/>
        <v>52100</v>
      </c>
      <c r="V76" s="51">
        <f t="shared" si="63"/>
        <v>1400</v>
      </c>
      <c r="W76" s="51">
        <f t="shared" si="63"/>
        <v>700</v>
      </c>
      <c r="X76" s="17"/>
      <c r="Y76" s="17"/>
      <c r="Z76" s="17"/>
    </row>
    <row r="77" spans="1:26" ht="15.6">
      <c r="A77" s="825">
        <v>7</v>
      </c>
      <c r="B77" s="825" t="s">
        <v>641</v>
      </c>
      <c r="C77" s="966">
        <f>Buckets!X9</f>
        <v>0.11879181263254092</v>
      </c>
      <c r="D77" s="951" t="s">
        <v>490</v>
      </c>
      <c r="E77" s="23" t="s">
        <v>457</v>
      </c>
      <c r="F77" s="30">
        <f>'Input Sheet'!BU74</f>
        <v>1</v>
      </c>
      <c r="G77" s="30">
        <f>'Input Sheet'!BV74</f>
        <v>0.39038993186933402</v>
      </c>
      <c r="H77" s="30">
        <f>'Input Sheet'!BW74</f>
        <v>0.5309595492940804</v>
      </c>
      <c r="I77" s="30">
        <f>'Input Sheet'!BX74</f>
        <v>35.990392122659024</v>
      </c>
      <c r="J77" s="30">
        <f>'Input Sheet'!BY74</f>
        <v>3.0823507985274876</v>
      </c>
      <c r="K77" s="30">
        <f>'Input Sheet'!BZ74</f>
        <v>2.9629949832792626</v>
      </c>
      <c r="L77" s="62">
        <v>1</v>
      </c>
      <c r="M77" s="30">
        <f>L77/L$34</f>
        <v>0.2</v>
      </c>
      <c r="N77" s="29"/>
      <c r="O77" s="29"/>
      <c r="P77" s="29"/>
      <c r="Q77" s="29"/>
      <c r="R77" s="45">
        <f t="shared" ref="R77:W81" si="64">F77</f>
        <v>1</v>
      </c>
      <c r="S77" s="45">
        <f t="shared" si="64"/>
        <v>0.39038993186933402</v>
      </c>
      <c r="T77" s="45">
        <f t="shared" si="64"/>
        <v>0.5309595492940804</v>
      </c>
      <c r="U77" s="45">
        <f t="shared" si="64"/>
        <v>35.990392122659024</v>
      </c>
      <c r="V77" s="45">
        <f t="shared" si="64"/>
        <v>3.0823507985274876</v>
      </c>
      <c r="W77" s="45">
        <f t="shared" si="64"/>
        <v>2.9629949832792626</v>
      </c>
      <c r="X77" s="46"/>
      <c r="Y77" s="46"/>
      <c r="Z77" s="46"/>
    </row>
    <row r="78" spans="1:26" ht="31.35" customHeight="1">
      <c r="A78" s="825"/>
      <c r="B78" s="825"/>
      <c r="C78" s="966"/>
      <c r="D78" s="951"/>
      <c r="E78" s="23" t="s">
        <v>491</v>
      </c>
      <c r="F78" s="30">
        <f>'Input Sheet'!BU75</f>
        <v>1</v>
      </c>
      <c r="G78" s="30">
        <f>'Input Sheet'!BV75</f>
        <v>0.4946683885309644</v>
      </c>
      <c r="H78" s="30">
        <f>'Input Sheet'!BW75</f>
        <v>0.37539633168960435</v>
      </c>
      <c r="I78" s="30">
        <f>'Input Sheet'!BX75</f>
        <v>6.1769855321268434E-2</v>
      </c>
      <c r="J78" s="30">
        <f>'Input Sheet'!BY75</f>
        <v>0.31232308079490667</v>
      </c>
      <c r="K78" s="30">
        <f>'Input Sheet'!BZ75</f>
        <v>1.9082874280210979E-2</v>
      </c>
      <c r="L78" s="62">
        <v>1</v>
      </c>
      <c r="M78" s="30">
        <f t="shared" ref="M78:M81" si="65">L78/L$34</f>
        <v>0.2</v>
      </c>
      <c r="N78" s="29"/>
      <c r="O78" s="29"/>
      <c r="P78" s="29"/>
      <c r="Q78" s="29"/>
      <c r="R78" s="45">
        <f t="shared" si="64"/>
        <v>1</v>
      </c>
      <c r="S78" s="45">
        <f t="shared" si="64"/>
        <v>0.4946683885309644</v>
      </c>
      <c r="T78" s="45">
        <f t="shared" si="64"/>
        <v>0.37539633168960435</v>
      </c>
      <c r="U78" s="45">
        <f t="shared" si="64"/>
        <v>6.1769855321268434E-2</v>
      </c>
      <c r="V78" s="45">
        <f t="shared" si="64"/>
        <v>0.31232308079490667</v>
      </c>
      <c r="W78" s="45">
        <f t="shared" si="64"/>
        <v>1.9082874280210979E-2</v>
      </c>
      <c r="X78" s="46"/>
      <c r="Y78" s="46"/>
      <c r="Z78" s="46"/>
    </row>
    <row r="79" spans="1:26" ht="15.6">
      <c r="A79" s="825"/>
      <c r="B79" s="825"/>
      <c r="C79" s="966"/>
      <c r="D79" s="951"/>
      <c r="E79" s="23" t="s">
        <v>459</v>
      </c>
      <c r="F79" s="30">
        <f>'Input Sheet'!BU76</f>
        <v>1</v>
      </c>
      <c r="G79" s="30">
        <f>'Input Sheet'!BV76</f>
        <v>1</v>
      </c>
      <c r="H79" s="30">
        <f>'Input Sheet'!BW76</f>
        <v>1</v>
      </c>
      <c r="I79" s="30">
        <f>'Input Sheet'!BX76</f>
        <v>0.30961868311660362</v>
      </c>
      <c r="J79" s="30">
        <f>'Input Sheet'!BY76</f>
        <v>1</v>
      </c>
      <c r="K79" s="30">
        <f>'Input Sheet'!BZ76</f>
        <v>0.5900274563984732</v>
      </c>
      <c r="L79" s="62">
        <v>1</v>
      </c>
      <c r="M79" s="30">
        <f t="shared" si="65"/>
        <v>0.2</v>
      </c>
      <c r="N79" s="29"/>
      <c r="O79" s="29"/>
      <c r="P79" s="29"/>
      <c r="Q79" s="29"/>
      <c r="R79" s="45">
        <f t="shared" si="64"/>
        <v>1</v>
      </c>
      <c r="S79" s="45">
        <f t="shared" si="64"/>
        <v>1</v>
      </c>
      <c r="T79" s="45">
        <f t="shared" si="64"/>
        <v>1</v>
      </c>
      <c r="U79" s="45">
        <f t="shared" si="64"/>
        <v>0.30961868311660362</v>
      </c>
      <c r="V79" s="45">
        <f t="shared" si="64"/>
        <v>1</v>
      </c>
      <c r="W79" s="45">
        <f t="shared" si="64"/>
        <v>0.5900274563984732</v>
      </c>
      <c r="X79" s="46"/>
      <c r="Y79" s="46"/>
      <c r="Z79" s="46"/>
    </row>
    <row r="80" spans="1:26" ht="15.6">
      <c r="A80" s="825"/>
      <c r="B80" s="825"/>
      <c r="C80" s="966"/>
      <c r="D80" s="951"/>
      <c r="E80" s="23" t="s">
        <v>492</v>
      </c>
      <c r="F80" s="30">
        <f>'Input Sheet'!BU77</f>
        <v>1</v>
      </c>
      <c r="G80" s="30">
        <f>'Input Sheet'!BV77</f>
        <v>0.59155536436681477</v>
      </c>
      <c r="H80" s="30">
        <f>'Input Sheet'!BW77</f>
        <v>0.59155536436681477</v>
      </c>
      <c r="I80" s="30">
        <f>'Input Sheet'!BX77</f>
        <v>4.8307416181102738</v>
      </c>
      <c r="J80" s="30">
        <f>'Input Sheet'!BY77</f>
        <v>0.59155536436681477</v>
      </c>
      <c r="K80" s="30">
        <f>'Input Sheet'!BZ77</f>
        <v>4.8307416181102738</v>
      </c>
      <c r="L80" s="62">
        <v>1</v>
      </c>
      <c r="M80" s="30">
        <f t="shared" si="65"/>
        <v>0.2</v>
      </c>
      <c r="N80" s="29"/>
      <c r="O80" s="29"/>
      <c r="P80" s="29"/>
      <c r="Q80" s="29"/>
      <c r="R80" s="45">
        <f t="shared" si="64"/>
        <v>1</v>
      </c>
      <c r="S80" s="45">
        <f t="shared" si="64"/>
        <v>0.59155536436681477</v>
      </c>
      <c r="T80" s="45">
        <f t="shared" si="64"/>
        <v>0.59155536436681477</v>
      </c>
      <c r="U80" s="45">
        <f t="shared" si="64"/>
        <v>4.8307416181102738</v>
      </c>
      <c r="V80" s="45">
        <f t="shared" si="64"/>
        <v>0.59155536436681477</v>
      </c>
      <c r="W80" s="45">
        <f t="shared" si="64"/>
        <v>4.8307416181102738</v>
      </c>
      <c r="X80" s="46"/>
      <c r="Y80" s="46"/>
      <c r="Z80" s="46"/>
    </row>
    <row r="81" spans="1:26" ht="15.6">
      <c r="A81" s="825"/>
      <c r="B81" s="825"/>
      <c r="C81" s="966"/>
      <c r="D81" s="951"/>
      <c r="E81" s="34" t="s">
        <v>461</v>
      </c>
      <c r="F81" s="30">
        <f>'Input Sheet'!BU78</f>
        <v>1</v>
      </c>
      <c r="G81" s="30">
        <f>'Input Sheet'!BV78</f>
        <v>0.56471812200775884</v>
      </c>
      <c r="H81" s="30">
        <f>'Input Sheet'!BW78</f>
        <v>0.33591098123916224</v>
      </c>
      <c r="I81" s="30">
        <f>'Input Sheet'!BX78</f>
        <v>0.13533528323661276</v>
      </c>
      <c r="J81" s="30">
        <f>'Input Sheet'!BY78</f>
        <v>1</v>
      </c>
      <c r="K81" s="30">
        <f>'Input Sheet'!BZ78</f>
        <v>1</v>
      </c>
      <c r="L81" s="62">
        <v>1</v>
      </c>
      <c r="M81" s="30">
        <f t="shared" si="65"/>
        <v>0.2</v>
      </c>
      <c r="N81" s="29"/>
      <c r="O81" s="29"/>
      <c r="P81" s="29"/>
      <c r="Q81" s="29"/>
      <c r="R81" s="45">
        <f t="shared" si="64"/>
        <v>1</v>
      </c>
      <c r="S81" s="45">
        <f t="shared" si="64"/>
        <v>0.56471812200775884</v>
      </c>
      <c r="T81" s="45">
        <f t="shared" si="64"/>
        <v>0.33591098123916224</v>
      </c>
      <c r="U81" s="45">
        <f t="shared" si="64"/>
        <v>0.13533528323661276</v>
      </c>
      <c r="V81" s="45">
        <f t="shared" si="64"/>
        <v>1</v>
      </c>
      <c r="W81" s="45">
        <f t="shared" si="64"/>
        <v>1</v>
      </c>
      <c r="X81" s="46"/>
      <c r="Y81" s="46"/>
      <c r="Z81" s="46"/>
    </row>
    <row r="82" spans="1:26" ht="15.6">
      <c r="A82" s="825">
        <v>2</v>
      </c>
      <c r="B82" s="825"/>
      <c r="C82" s="966"/>
      <c r="D82" s="951"/>
      <c r="E82" s="23" t="s">
        <v>38</v>
      </c>
      <c r="F82" s="47"/>
      <c r="G82" s="47"/>
      <c r="H82" s="47"/>
      <c r="I82" s="47"/>
      <c r="J82" s="47"/>
      <c r="K82" s="47"/>
      <c r="L82" s="449">
        <f>SUM(L77:L81)</f>
        <v>5</v>
      </c>
      <c r="M82" s="872" t="s">
        <v>493</v>
      </c>
      <c r="N82" s="873"/>
      <c r="O82" s="873"/>
      <c r="P82" s="873"/>
      <c r="Q82" s="874"/>
      <c r="R82" s="45">
        <f t="shared" ref="R82:W82" si="66">SUM(R77:R81)</f>
        <v>5</v>
      </c>
      <c r="S82" s="45">
        <f t="shared" si="66"/>
        <v>3.0413318067748722</v>
      </c>
      <c r="T82" s="45">
        <f t="shared" si="66"/>
        <v>2.8338222265896613</v>
      </c>
      <c r="U82" s="45">
        <f t="shared" si="66"/>
        <v>41.327857562443782</v>
      </c>
      <c r="V82" s="45">
        <f t="shared" si="66"/>
        <v>5.9862292436892091</v>
      </c>
      <c r="W82" s="45">
        <f t="shared" si="66"/>
        <v>9.4028469320682202</v>
      </c>
      <c r="X82" s="48"/>
      <c r="Y82" s="48"/>
      <c r="Z82" s="48"/>
    </row>
    <row r="83" spans="1:26" ht="15.6">
      <c r="A83" s="825"/>
      <c r="B83" s="825"/>
      <c r="C83" s="966"/>
      <c r="D83" s="951"/>
      <c r="E83" s="23"/>
      <c r="F83" s="23"/>
      <c r="G83" s="23"/>
      <c r="H83" s="23"/>
      <c r="I83" s="23"/>
      <c r="J83" s="23"/>
      <c r="K83" s="23"/>
      <c r="L83" s="23"/>
      <c r="M83" s="872" t="s">
        <v>494</v>
      </c>
      <c r="N83" s="873"/>
      <c r="O83" s="873"/>
      <c r="P83" s="873"/>
      <c r="Q83" s="874"/>
      <c r="R83" s="45">
        <f t="shared" ref="R83:W83" si="67">R82/SUM($R82:$W82)</f>
        <v>7.397315521452752E-2</v>
      </c>
      <c r="S83" s="45">
        <f t="shared" si="67"/>
        <v>4.4995381960287406E-2</v>
      </c>
      <c r="T83" s="45">
        <f t="shared" si="67"/>
        <v>4.1925354283578999E-2</v>
      </c>
      <c r="U83" s="45">
        <f t="shared" si="67"/>
        <v>0.61143040443010777</v>
      </c>
      <c r="V83" s="45">
        <f t="shared" si="67"/>
        <v>8.8564052998633097E-2</v>
      </c>
      <c r="W83" s="45">
        <f t="shared" si="67"/>
        <v>0.13911165111286528</v>
      </c>
      <c r="X83" s="17"/>
      <c r="Y83" s="17"/>
      <c r="Z83" s="17"/>
    </row>
    <row r="84" spans="1:26" ht="15.6">
      <c r="A84" s="825"/>
      <c r="B84" s="825"/>
      <c r="C84" s="966"/>
      <c r="D84" s="951"/>
      <c r="E84" s="23"/>
      <c r="F84" s="30">
        <f>'Input Sheet'!BU80</f>
        <v>1</v>
      </c>
      <c r="G84" s="30">
        <f>'Input Sheet'!BV80</f>
        <v>0.92</v>
      </c>
      <c r="H84" s="30">
        <f>'Input Sheet'!BW80</f>
        <v>0.8</v>
      </c>
      <c r="I84" s="30">
        <f>'Input Sheet'!BX80</f>
        <v>0.88</v>
      </c>
      <c r="J84" s="30">
        <f>'Input Sheet'!BY80</f>
        <v>0.64</v>
      </c>
      <c r="K84" s="30">
        <f>'Input Sheet'!BZ80</f>
        <v>0.48</v>
      </c>
      <c r="L84" s="23"/>
      <c r="M84" s="957" t="s">
        <v>495</v>
      </c>
      <c r="N84" s="958"/>
      <c r="O84" s="958"/>
      <c r="P84" s="958"/>
      <c r="Q84" s="959"/>
      <c r="R84" s="45">
        <f t="shared" ref="R84:W84" si="68">R83*F84</f>
        <v>7.397315521452752E-2</v>
      </c>
      <c r="S84" s="45">
        <f t="shared" si="68"/>
        <v>4.1395751403464416E-2</v>
      </c>
      <c r="T84" s="45">
        <f t="shared" si="68"/>
        <v>3.3540283426863202E-2</v>
      </c>
      <c r="U84" s="45">
        <f t="shared" si="68"/>
        <v>0.53805875589849483</v>
      </c>
      <c r="V84" s="45">
        <f t="shared" si="68"/>
        <v>5.6680993919125185E-2</v>
      </c>
      <c r="W84" s="45">
        <f t="shared" si="68"/>
        <v>6.6773592534175336E-2</v>
      </c>
      <c r="X84" s="17"/>
      <c r="Y84" s="17"/>
      <c r="Z84" s="17"/>
    </row>
    <row r="85" spans="1:26" ht="15.6">
      <c r="A85" s="825"/>
      <c r="B85" s="825"/>
      <c r="C85" s="966"/>
      <c r="D85" s="951"/>
      <c r="E85" s="23" t="s">
        <v>1069</v>
      </c>
      <c r="F85" s="30">
        <f>'Input Sheet'!$BU$15</f>
        <v>1</v>
      </c>
      <c r="G85" s="30">
        <f>'Input Sheet'!$BV$15</f>
        <v>0.8</v>
      </c>
      <c r="H85" s="30">
        <f>'Input Sheet'!$BW$15</f>
        <v>0.67999999999999994</v>
      </c>
      <c r="I85" s="30">
        <f>'Input Sheet'!$BX$15</f>
        <v>0.6</v>
      </c>
      <c r="J85" s="30">
        <f>'Input Sheet'!$BY$15</f>
        <v>0.31999999999999995</v>
      </c>
      <c r="K85" s="30">
        <f>'Input Sheet'!$BZ$15</f>
        <v>0.19999999999999996</v>
      </c>
      <c r="L85" s="675"/>
      <c r="M85" s="957" t="s">
        <v>1067</v>
      </c>
      <c r="N85" s="958"/>
      <c r="O85" s="958"/>
      <c r="P85" s="958"/>
      <c r="Q85" s="959"/>
      <c r="R85" s="45">
        <f>R84*F85</f>
        <v>7.397315521452752E-2</v>
      </c>
      <c r="S85" s="45">
        <f t="shared" ref="S85" si="69">S84*G85</f>
        <v>3.3116601122771532E-2</v>
      </c>
      <c r="T85" s="45">
        <f t="shared" ref="T85" si="70">T84*H85</f>
        <v>2.2807392730266975E-2</v>
      </c>
      <c r="U85" s="45">
        <f t="shared" ref="U85" si="71">U84*I85</f>
        <v>0.32283525353909687</v>
      </c>
      <c r="V85" s="45">
        <f t="shared" ref="V85" si="72">V84*J85</f>
        <v>1.8137918054120055E-2</v>
      </c>
      <c r="W85" s="45">
        <f t="shared" ref="W85" si="73">W84*K85</f>
        <v>1.3354718506835063E-2</v>
      </c>
      <c r="X85" s="17"/>
      <c r="Y85" s="17"/>
      <c r="Z85" s="17"/>
    </row>
    <row r="86" spans="1:26" ht="15.6" customHeight="1">
      <c r="A86" s="825"/>
      <c r="B86" s="825"/>
      <c r="C86" s="966"/>
      <c r="D86" s="951"/>
      <c r="E86" s="23"/>
      <c r="F86" s="960" t="s">
        <v>923</v>
      </c>
      <c r="G86" s="961"/>
      <c r="H86" s="961"/>
      <c r="I86" s="961"/>
      <c r="J86" s="961"/>
      <c r="K86" s="961"/>
      <c r="L86" s="961"/>
      <c r="M86" s="961"/>
      <c r="N86" s="961"/>
      <c r="O86" s="961"/>
      <c r="P86" s="961"/>
      <c r="Q86" s="962"/>
      <c r="R86" s="45">
        <f>R85</f>
        <v>7.397315521452752E-2</v>
      </c>
      <c r="S86" s="45">
        <f>S85*'Input Sheet'!BV72/'Input Sheet'!BU72</f>
        <v>3.3116601122771532E-2</v>
      </c>
      <c r="T86" s="45">
        <f>T85*'Input Sheet'!BW72/'Input Sheet'!BU72</f>
        <v>0</v>
      </c>
      <c r="U86" s="45">
        <f>U85</f>
        <v>0.32283525353909687</v>
      </c>
      <c r="V86" s="45">
        <f>V85</f>
        <v>1.8137918054120055E-2</v>
      </c>
      <c r="W86" s="45">
        <f>W85</f>
        <v>1.3354718506835063E-2</v>
      </c>
      <c r="X86" s="17"/>
      <c r="Y86" s="17"/>
      <c r="Z86" s="17"/>
    </row>
    <row r="87" spans="1:26" ht="15.6" customHeight="1">
      <c r="A87" s="825"/>
      <c r="B87" s="825"/>
      <c r="C87" s="966"/>
      <c r="D87" s="951"/>
      <c r="E87" s="23"/>
      <c r="F87" s="963" t="s">
        <v>924</v>
      </c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Q87" s="965"/>
      <c r="R87" s="50">
        <f>R86/(R86+U86+V86+W86+S86+T86)</f>
        <v>0.16031713521509458</v>
      </c>
      <c r="S87" s="50">
        <f>S86/(R86+S86+T86+U86+V86+W86)</f>
        <v>7.1771423088102318E-2</v>
      </c>
      <c r="T87" s="50">
        <f>T86/(R86+S86+T86+U86+V86+W86)</f>
        <v>0</v>
      </c>
      <c r="U87" s="50">
        <f>U86/(R86+U86+V86+W86+S86+T86)</f>
        <v>0.69965952978118229</v>
      </c>
      <c r="V87" s="50">
        <f>V86/(R86+U86+V86+W86+S86+T86)</f>
        <v>3.9309112241728554E-2</v>
      </c>
      <c r="W87" s="50">
        <f>W86/(R86+U86+V86+W86+S86+T86)</f>
        <v>2.8942799673892183E-2</v>
      </c>
      <c r="X87" s="17"/>
      <c r="Y87" s="17"/>
      <c r="Z87" s="17"/>
    </row>
    <row r="88" spans="1:26" ht="15.6" customHeight="1">
      <c r="A88" s="825"/>
      <c r="B88" s="825"/>
      <c r="C88" s="966"/>
      <c r="D88" s="951"/>
      <c r="E88" s="23"/>
      <c r="F88" s="963" t="s">
        <v>925</v>
      </c>
      <c r="G88" s="964"/>
      <c r="H88" s="964"/>
      <c r="I88" s="964"/>
      <c r="J88" s="964"/>
      <c r="K88" s="964"/>
      <c r="L88" s="964"/>
      <c r="M88" s="964"/>
      <c r="N88" s="964"/>
      <c r="O88" s="964"/>
      <c r="P88" s="964"/>
      <c r="Q88" s="965"/>
      <c r="R88" s="51">
        <f t="shared" ref="R88:W88" si="74">ROUND($C77*$E$2*R87/100,0)*100</f>
        <v>16300</v>
      </c>
      <c r="S88" s="51">
        <f t="shared" si="74"/>
        <v>7300</v>
      </c>
      <c r="T88" s="51">
        <f t="shared" si="74"/>
        <v>0</v>
      </c>
      <c r="U88" s="51">
        <f t="shared" si="74"/>
        <v>70900</v>
      </c>
      <c r="V88" s="51">
        <f t="shared" si="74"/>
        <v>4000</v>
      </c>
      <c r="W88" s="51">
        <f t="shared" si="74"/>
        <v>2900</v>
      </c>
      <c r="X88" s="17"/>
      <c r="Y88" s="17"/>
      <c r="Z88" s="17"/>
    </row>
    <row r="89" spans="1:26" ht="15.6">
      <c r="A89" s="825">
        <v>8</v>
      </c>
      <c r="B89" s="825" t="s">
        <v>642</v>
      </c>
      <c r="C89" s="966">
        <f>Buckets!X10</f>
        <v>0.17210108844653255</v>
      </c>
      <c r="D89" s="951" t="s">
        <v>490</v>
      </c>
      <c r="E89" s="23" t="s">
        <v>457</v>
      </c>
      <c r="F89" s="30">
        <f>'Input Sheet'!BU85</f>
        <v>1</v>
      </c>
      <c r="G89" s="30">
        <f>'Input Sheet'!BV85</f>
        <v>0.52690727680267502</v>
      </c>
      <c r="H89" s="30">
        <f>'Input Sheet'!BW85</f>
        <v>0.57248675384245751</v>
      </c>
      <c r="I89" s="30">
        <f>'Input Sheet'!BX85</f>
        <v>84.36340417813922</v>
      </c>
      <c r="J89" s="30">
        <f>'Input Sheet'!BY85</f>
        <v>3.7671544011772129</v>
      </c>
      <c r="K89" s="30">
        <f>'Input Sheet'!BZ85</f>
        <v>5.0141329219263104</v>
      </c>
      <c r="L89" s="62">
        <v>1</v>
      </c>
      <c r="M89" s="30">
        <f>L89/L$34</f>
        <v>0.2</v>
      </c>
      <c r="N89" s="29"/>
      <c r="O89" s="29"/>
      <c r="P89" s="29"/>
      <c r="Q89" s="29"/>
      <c r="R89" s="45">
        <f t="shared" ref="R89:W93" si="75">F89</f>
        <v>1</v>
      </c>
      <c r="S89" s="45">
        <f t="shared" si="75"/>
        <v>0.52690727680267502</v>
      </c>
      <c r="T89" s="45">
        <f t="shared" si="75"/>
        <v>0.57248675384245751</v>
      </c>
      <c r="U89" s="45">
        <f t="shared" si="75"/>
        <v>84.36340417813922</v>
      </c>
      <c r="V89" s="45">
        <f t="shared" si="75"/>
        <v>3.7671544011772129</v>
      </c>
      <c r="W89" s="45">
        <f t="shared" si="75"/>
        <v>5.0141329219263104</v>
      </c>
      <c r="X89" s="46"/>
      <c r="Y89" s="46"/>
      <c r="Z89" s="46"/>
    </row>
    <row r="90" spans="1:26" ht="31.35" customHeight="1">
      <c r="A90" s="825"/>
      <c r="B90" s="825"/>
      <c r="C90" s="966"/>
      <c r="D90" s="951"/>
      <c r="E90" s="23" t="s">
        <v>491</v>
      </c>
      <c r="F90" s="30">
        <f>'Input Sheet'!BU86</f>
        <v>1</v>
      </c>
      <c r="G90" s="30">
        <f>'Input Sheet'!BV86</f>
        <v>0.5350957669075983</v>
      </c>
      <c r="H90" s="30">
        <f>'Input Sheet'!BW86</f>
        <v>0.41797379242302984</v>
      </c>
      <c r="I90" s="30">
        <f>'Input Sheet'!BX86</f>
        <v>6.6243555990284517E-2</v>
      </c>
      <c r="J90" s="30">
        <f>'Input Sheet'!BY86</f>
        <v>0.35420053937088442</v>
      </c>
      <c r="K90" s="30">
        <f>'Input Sheet'!BZ86</f>
        <v>2.9893587722631822E-2</v>
      </c>
      <c r="L90" s="62">
        <v>1</v>
      </c>
      <c r="M90" s="30">
        <f t="shared" ref="M90:M93" si="76">L90/L$34</f>
        <v>0.2</v>
      </c>
      <c r="N90" s="29"/>
      <c r="O90" s="29"/>
      <c r="P90" s="29"/>
      <c r="Q90" s="29"/>
      <c r="R90" s="45">
        <f t="shared" si="75"/>
        <v>1</v>
      </c>
      <c r="S90" s="45">
        <f t="shared" si="75"/>
        <v>0.5350957669075983</v>
      </c>
      <c r="T90" s="45">
        <f t="shared" si="75"/>
        <v>0.41797379242302984</v>
      </c>
      <c r="U90" s="45">
        <f t="shared" si="75"/>
        <v>6.6243555990284517E-2</v>
      </c>
      <c r="V90" s="45">
        <f t="shared" si="75"/>
        <v>0.35420053937088442</v>
      </c>
      <c r="W90" s="45">
        <f t="shared" si="75"/>
        <v>2.9893587722631822E-2</v>
      </c>
      <c r="X90" s="46"/>
      <c r="Y90" s="46"/>
      <c r="Z90" s="46"/>
    </row>
    <row r="91" spans="1:26" ht="15.6">
      <c r="A91" s="825"/>
      <c r="B91" s="825"/>
      <c r="C91" s="966"/>
      <c r="D91" s="951"/>
      <c r="E91" s="23" t="s">
        <v>459</v>
      </c>
      <c r="F91" s="30">
        <f>'Input Sheet'!BU87</f>
        <v>1</v>
      </c>
      <c r="G91" s="30">
        <f>'Input Sheet'!BV87</f>
        <v>1</v>
      </c>
      <c r="H91" s="30">
        <f>'Input Sheet'!BW87</f>
        <v>1</v>
      </c>
      <c r="I91" s="30">
        <f>'Input Sheet'!BX87</f>
        <v>0.3605949401730783</v>
      </c>
      <c r="J91" s="30">
        <f>'Input Sheet'!BY87</f>
        <v>1</v>
      </c>
      <c r="K91" s="30">
        <f>'Input Sheet'!BZ87</f>
        <v>0.68215389097645196</v>
      </c>
      <c r="L91" s="62">
        <v>1</v>
      </c>
      <c r="M91" s="30">
        <f t="shared" si="76"/>
        <v>0.2</v>
      </c>
      <c r="N91" s="29"/>
      <c r="O91" s="29"/>
      <c r="P91" s="29"/>
      <c r="Q91" s="29"/>
      <c r="R91" s="45">
        <f t="shared" si="75"/>
        <v>1</v>
      </c>
      <c r="S91" s="45">
        <f t="shared" si="75"/>
        <v>1</v>
      </c>
      <c r="T91" s="45">
        <f t="shared" si="75"/>
        <v>1</v>
      </c>
      <c r="U91" s="45">
        <f t="shared" si="75"/>
        <v>0.3605949401730783</v>
      </c>
      <c r="V91" s="45">
        <f t="shared" si="75"/>
        <v>1</v>
      </c>
      <c r="W91" s="45">
        <f t="shared" si="75"/>
        <v>0.68215389097645196</v>
      </c>
      <c r="X91" s="46"/>
      <c r="Y91" s="46"/>
      <c r="Z91" s="46"/>
    </row>
    <row r="92" spans="1:26" ht="15.6">
      <c r="A92" s="825"/>
      <c r="B92" s="825"/>
      <c r="C92" s="966"/>
      <c r="D92" s="951"/>
      <c r="E92" s="23" t="s">
        <v>492</v>
      </c>
      <c r="F92" s="30">
        <f>'Input Sheet'!BU88</f>
        <v>1</v>
      </c>
      <c r="G92" s="30">
        <f>'Input Sheet'!BV88</f>
        <v>0.59155536436681477</v>
      </c>
      <c r="H92" s="30">
        <f>'Input Sheet'!BW88</f>
        <v>0.59155536436681477</v>
      </c>
      <c r="I92" s="30">
        <f>'Input Sheet'!BX88</f>
        <v>4.8307416181102738</v>
      </c>
      <c r="J92" s="30">
        <f>'Input Sheet'!BY88</f>
        <v>0.59155536436681477</v>
      </c>
      <c r="K92" s="30">
        <f>'Input Sheet'!BZ88</f>
        <v>4.8307416181102738</v>
      </c>
      <c r="L92" s="62">
        <v>1</v>
      </c>
      <c r="M92" s="30">
        <f t="shared" si="76"/>
        <v>0.2</v>
      </c>
      <c r="N92" s="29"/>
      <c r="O92" s="29"/>
      <c r="P92" s="29"/>
      <c r="Q92" s="29"/>
      <c r="R92" s="45">
        <f t="shared" si="75"/>
        <v>1</v>
      </c>
      <c r="S92" s="45">
        <f t="shared" si="75"/>
        <v>0.59155536436681477</v>
      </c>
      <c r="T92" s="45">
        <f t="shared" si="75"/>
        <v>0.59155536436681477</v>
      </c>
      <c r="U92" s="45">
        <f t="shared" si="75"/>
        <v>4.8307416181102738</v>
      </c>
      <c r="V92" s="45">
        <f t="shared" si="75"/>
        <v>0.59155536436681477</v>
      </c>
      <c r="W92" s="45">
        <f t="shared" si="75"/>
        <v>4.8307416181102738</v>
      </c>
      <c r="X92" s="46"/>
      <c r="Y92" s="46"/>
      <c r="Z92" s="46"/>
    </row>
    <row r="93" spans="1:26" ht="15.6">
      <c r="A93" s="825"/>
      <c r="B93" s="825"/>
      <c r="C93" s="966"/>
      <c r="D93" s="951"/>
      <c r="E93" s="34" t="s">
        <v>461</v>
      </c>
      <c r="F93" s="30">
        <f>'Input Sheet'!BU89</f>
        <v>1</v>
      </c>
      <c r="G93" s="30">
        <f>'Input Sheet'!BV89</f>
        <v>0.56471812200775884</v>
      </c>
      <c r="H93" s="30">
        <f>'Input Sheet'!BW89</f>
        <v>0.33591098123916224</v>
      </c>
      <c r="I93" s="30">
        <f>'Input Sheet'!BX89</f>
        <v>0.13533528323661276</v>
      </c>
      <c r="J93" s="30">
        <f>'Input Sheet'!BY89</f>
        <v>1</v>
      </c>
      <c r="K93" s="30">
        <f>'Input Sheet'!BZ89</f>
        <v>1</v>
      </c>
      <c r="L93" s="62">
        <v>1</v>
      </c>
      <c r="M93" s="30">
        <f t="shared" si="76"/>
        <v>0.2</v>
      </c>
      <c r="N93" s="29"/>
      <c r="O93" s="29"/>
      <c r="P93" s="29"/>
      <c r="Q93" s="29"/>
      <c r="R93" s="45">
        <f t="shared" si="75"/>
        <v>1</v>
      </c>
      <c r="S93" s="45">
        <f t="shared" si="75"/>
        <v>0.56471812200775884</v>
      </c>
      <c r="T93" s="45">
        <f t="shared" si="75"/>
        <v>0.33591098123916224</v>
      </c>
      <c r="U93" s="45">
        <f t="shared" si="75"/>
        <v>0.13533528323661276</v>
      </c>
      <c r="V93" s="45">
        <f t="shared" si="75"/>
        <v>1</v>
      </c>
      <c r="W93" s="45">
        <f t="shared" si="75"/>
        <v>1</v>
      </c>
      <c r="X93" s="46"/>
      <c r="Y93" s="46"/>
      <c r="Z93" s="46"/>
    </row>
    <row r="94" spans="1:26" ht="15.6">
      <c r="A94" s="825">
        <v>2</v>
      </c>
      <c r="B94" s="825"/>
      <c r="C94" s="966"/>
      <c r="D94" s="951"/>
      <c r="E94" s="23" t="s">
        <v>38</v>
      </c>
      <c r="F94" s="47"/>
      <c r="G94" s="47"/>
      <c r="H94" s="47"/>
      <c r="I94" s="47"/>
      <c r="J94" s="47"/>
      <c r="K94" s="47"/>
      <c r="L94" s="449">
        <f>SUM(L89:L93)</f>
        <v>5</v>
      </c>
      <c r="M94" s="872" t="s">
        <v>493</v>
      </c>
      <c r="N94" s="873"/>
      <c r="O94" s="873"/>
      <c r="P94" s="873"/>
      <c r="Q94" s="874"/>
      <c r="R94" s="45">
        <f t="shared" ref="R94:W94" si="77">SUM(R89:R93)</f>
        <v>5</v>
      </c>
      <c r="S94" s="45">
        <f t="shared" si="77"/>
        <v>3.2182765300848466</v>
      </c>
      <c r="T94" s="45">
        <f t="shared" si="77"/>
        <v>2.9179268918714643</v>
      </c>
      <c r="U94" s="45">
        <f t="shared" si="77"/>
        <v>89.756319575649471</v>
      </c>
      <c r="V94" s="45">
        <f t="shared" si="77"/>
        <v>6.7129103049149119</v>
      </c>
      <c r="W94" s="45">
        <f t="shared" si="77"/>
        <v>11.556922018735669</v>
      </c>
      <c r="X94" s="48"/>
      <c r="Y94" s="48"/>
      <c r="Z94" s="48"/>
    </row>
    <row r="95" spans="1:26" ht="15.6">
      <c r="A95" s="825"/>
      <c r="B95" s="825"/>
      <c r="C95" s="966"/>
      <c r="D95" s="951"/>
      <c r="E95" s="23"/>
      <c r="F95" s="23"/>
      <c r="G95" s="23"/>
      <c r="H95" s="23"/>
      <c r="I95" s="23"/>
      <c r="J95" s="23"/>
      <c r="K95" s="23"/>
      <c r="L95" s="23"/>
      <c r="M95" s="872" t="s">
        <v>494</v>
      </c>
      <c r="N95" s="873"/>
      <c r="O95" s="873"/>
      <c r="P95" s="873"/>
      <c r="Q95" s="874"/>
      <c r="R95" s="45">
        <f t="shared" ref="R95:W95" si="78">R94/SUM($R94:$W94)</f>
        <v>4.1959560018096524E-2</v>
      </c>
      <c r="S95" s="45">
        <f t="shared" si="78"/>
        <v>2.7007493443785308E-2</v>
      </c>
      <c r="T95" s="45">
        <f t="shared" si="78"/>
        <v>2.4486985709579707E-2</v>
      </c>
      <c r="U95" s="45">
        <f t="shared" si="78"/>
        <v>0.75322713564758315</v>
      </c>
      <c r="V95" s="45">
        <f t="shared" si="78"/>
        <v>5.6334152567035174E-2</v>
      </c>
      <c r="W95" s="45">
        <f t="shared" si="78"/>
        <v>9.6984672613920103E-2</v>
      </c>
      <c r="X95" s="17"/>
      <c r="Y95" s="17"/>
      <c r="Z95" s="17"/>
    </row>
    <row r="96" spans="1:26" ht="15.6">
      <c r="A96" s="825"/>
      <c r="B96" s="825"/>
      <c r="C96" s="966"/>
      <c r="D96" s="951"/>
      <c r="E96" s="23"/>
      <c r="F96" s="30">
        <f>'Input Sheet'!BU91</f>
        <v>1</v>
      </c>
      <c r="G96" s="30">
        <f>'Input Sheet'!BV91</f>
        <v>0.88</v>
      </c>
      <c r="H96" s="30">
        <f>'Input Sheet'!BW91</f>
        <v>0.8</v>
      </c>
      <c r="I96" s="30">
        <f>'Input Sheet'!BX91</f>
        <v>0.88</v>
      </c>
      <c r="J96" s="30">
        <f>'Input Sheet'!BY91</f>
        <v>0.64</v>
      </c>
      <c r="K96" s="30">
        <f>'Input Sheet'!BZ91</f>
        <v>0.48</v>
      </c>
      <c r="L96" s="23"/>
      <c r="M96" s="957" t="s">
        <v>495</v>
      </c>
      <c r="N96" s="958"/>
      <c r="O96" s="958"/>
      <c r="P96" s="958"/>
      <c r="Q96" s="959"/>
      <c r="R96" s="45">
        <f t="shared" ref="R96:W96" si="79">R95*F96</f>
        <v>4.1959560018096524E-2</v>
      </c>
      <c r="S96" s="45">
        <f t="shared" si="79"/>
        <v>2.3766594230531072E-2</v>
      </c>
      <c r="T96" s="45">
        <f t="shared" si="79"/>
        <v>1.9589588567663768E-2</v>
      </c>
      <c r="U96" s="45">
        <f t="shared" si="79"/>
        <v>0.66283987936987321</v>
      </c>
      <c r="V96" s="45">
        <f t="shared" si="79"/>
        <v>3.6053857642902511E-2</v>
      </c>
      <c r="W96" s="45">
        <f t="shared" si="79"/>
        <v>4.655264285468165E-2</v>
      </c>
      <c r="X96" s="17"/>
      <c r="Y96" s="17"/>
      <c r="Z96" s="17"/>
    </row>
    <row r="97" spans="1:26" ht="15.6">
      <c r="A97" s="825"/>
      <c r="B97" s="825"/>
      <c r="C97" s="966"/>
      <c r="D97" s="951"/>
      <c r="E97" s="23" t="s">
        <v>1069</v>
      </c>
      <c r="F97" s="30">
        <f>'Input Sheet'!$BU$15</f>
        <v>1</v>
      </c>
      <c r="G97" s="30">
        <f>'Input Sheet'!$BV$15</f>
        <v>0.8</v>
      </c>
      <c r="H97" s="30">
        <f>'Input Sheet'!$BW$15</f>
        <v>0.67999999999999994</v>
      </c>
      <c r="I97" s="30">
        <f>'Input Sheet'!$BX$15</f>
        <v>0.6</v>
      </c>
      <c r="J97" s="30">
        <f>'Input Sheet'!$BY$15</f>
        <v>0.31999999999999995</v>
      </c>
      <c r="K97" s="30">
        <f>'Input Sheet'!$BZ$15</f>
        <v>0.19999999999999996</v>
      </c>
      <c r="L97" s="675"/>
      <c r="M97" s="957" t="s">
        <v>1067</v>
      </c>
      <c r="N97" s="958"/>
      <c r="O97" s="958"/>
      <c r="P97" s="958"/>
      <c r="Q97" s="959"/>
      <c r="R97" s="45">
        <f>R96*F97</f>
        <v>4.1959560018096524E-2</v>
      </c>
      <c r="S97" s="45">
        <f t="shared" ref="S97" si="80">S96*G97</f>
        <v>1.901327538442486E-2</v>
      </c>
      <c r="T97" s="45">
        <f t="shared" ref="T97" si="81">T96*H97</f>
        <v>1.3320920226011361E-2</v>
      </c>
      <c r="U97" s="45">
        <f t="shared" ref="U97" si="82">U96*I97</f>
        <v>0.39770392762192391</v>
      </c>
      <c r="V97" s="45">
        <f t="shared" ref="V97" si="83">V96*J97</f>
        <v>1.1537234445728801E-2</v>
      </c>
      <c r="W97" s="45">
        <f t="shared" ref="W97" si="84">W96*K97</f>
        <v>9.3105285709363279E-3</v>
      </c>
      <c r="X97" s="17"/>
      <c r="Y97" s="17"/>
      <c r="Z97" s="17"/>
    </row>
    <row r="98" spans="1:26" ht="15.6" customHeight="1">
      <c r="A98" s="825"/>
      <c r="B98" s="825"/>
      <c r="C98" s="966"/>
      <c r="D98" s="951"/>
      <c r="E98" s="23"/>
      <c r="F98" s="960" t="s">
        <v>923</v>
      </c>
      <c r="G98" s="961"/>
      <c r="H98" s="961"/>
      <c r="I98" s="961"/>
      <c r="J98" s="961"/>
      <c r="K98" s="961"/>
      <c r="L98" s="961"/>
      <c r="M98" s="961"/>
      <c r="N98" s="961"/>
      <c r="O98" s="961"/>
      <c r="P98" s="961"/>
      <c r="Q98" s="962"/>
      <c r="R98" s="45">
        <f>R97</f>
        <v>4.1959560018096524E-2</v>
      </c>
      <c r="S98" s="45">
        <f>S97*'Input Sheet'!BV83/'Input Sheet'!BU83</f>
        <v>1.4121780546264225E-2</v>
      </c>
      <c r="T98" s="45">
        <f>T97*'Input Sheet'!BW83/'Input Sheet'!BU83</f>
        <v>3.427037751657494E-3</v>
      </c>
      <c r="U98" s="45">
        <f>U97</f>
        <v>0.39770392762192391</v>
      </c>
      <c r="V98" s="45">
        <f t="shared" ref="V98:W98" si="85">V97</f>
        <v>1.1537234445728801E-2</v>
      </c>
      <c r="W98" s="45">
        <f t="shared" si="85"/>
        <v>9.3105285709363279E-3</v>
      </c>
      <c r="X98" s="17"/>
      <c r="Y98" s="17"/>
      <c r="Z98" s="17"/>
    </row>
    <row r="99" spans="1:26" ht="15.6" customHeight="1">
      <c r="A99" s="825"/>
      <c r="B99" s="825"/>
      <c r="C99" s="966"/>
      <c r="D99" s="951"/>
      <c r="E99" s="23"/>
      <c r="F99" s="963" t="s">
        <v>924</v>
      </c>
      <c r="G99" s="964"/>
      <c r="H99" s="964"/>
      <c r="I99" s="964"/>
      <c r="J99" s="964"/>
      <c r="K99" s="964"/>
      <c r="L99" s="964"/>
      <c r="M99" s="964"/>
      <c r="N99" s="964"/>
      <c r="O99" s="964"/>
      <c r="P99" s="964"/>
      <c r="Q99" s="965"/>
      <c r="R99" s="50">
        <f>R98/(R98+U98+V98+W98+S98+T98)</f>
        <v>8.7770476437932038E-2</v>
      </c>
      <c r="S99" s="50">
        <f>S98/(R98+S98+T98+U98+V98+W98)</f>
        <v>2.9539761764969991E-2</v>
      </c>
      <c r="T99" s="50">
        <f>T98/(R98+S98+T98+U98+V98+W98)</f>
        <v>7.1686341826279944E-3</v>
      </c>
      <c r="U99" s="50">
        <f>U98/(R98+U98+V98+W98+S98+T98)</f>
        <v>0.83191204086883619</v>
      </c>
      <c r="V99" s="50">
        <f>V98/(R98+U98+V98+W98+S98+T98)</f>
        <v>2.4133440952216999E-2</v>
      </c>
      <c r="W99" s="50">
        <f>W98/(R98+U98+V98+W98+S98+T98)</f>
        <v>1.947564579341677E-2</v>
      </c>
      <c r="X99" s="17"/>
      <c r="Y99" s="17"/>
      <c r="Z99" s="17"/>
    </row>
    <row r="100" spans="1:26" ht="15.6" customHeight="1">
      <c r="A100" s="825"/>
      <c r="B100" s="825"/>
      <c r="C100" s="966"/>
      <c r="D100" s="951"/>
      <c r="E100" s="23"/>
      <c r="F100" s="963" t="s">
        <v>925</v>
      </c>
      <c r="G100" s="964"/>
      <c r="H100" s="964"/>
      <c r="I100" s="964"/>
      <c r="J100" s="964"/>
      <c r="K100" s="964"/>
      <c r="L100" s="964"/>
      <c r="M100" s="964"/>
      <c r="N100" s="964"/>
      <c r="O100" s="964"/>
      <c r="P100" s="964"/>
      <c r="Q100" s="965"/>
      <c r="R100" s="51">
        <f t="shared" ref="R100:W100" si="86">ROUND($C89*$E$2*R99/100,0)*100</f>
        <v>12900</v>
      </c>
      <c r="S100" s="51">
        <f t="shared" si="86"/>
        <v>4300</v>
      </c>
      <c r="T100" s="51">
        <f t="shared" si="86"/>
        <v>1100</v>
      </c>
      <c r="U100" s="51">
        <f t="shared" si="86"/>
        <v>122200</v>
      </c>
      <c r="V100" s="51">
        <f t="shared" si="86"/>
        <v>3500</v>
      </c>
      <c r="W100" s="51">
        <f t="shared" si="86"/>
        <v>2900</v>
      </c>
      <c r="X100" s="17"/>
      <c r="Y100" s="17"/>
      <c r="Z100" s="17"/>
    </row>
    <row r="101" spans="1:26" ht="15.75" customHeight="1">
      <c r="A101" s="825">
        <v>9</v>
      </c>
      <c r="B101" s="878" t="s">
        <v>643</v>
      </c>
      <c r="C101" s="966">
        <f>Buckets!X11</f>
        <v>5.9073707396515567E-2</v>
      </c>
      <c r="D101" s="951" t="s">
        <v>490</v>
      </c>
      <c r="E101" s="23" t="s">
        <v>457</v>
      </c>
      <c r="F101" s="30">
        <f>'Input Sheet'!BU96</f>
        <v>1</v>
      </c>
      <c r="G101" s="30">
        <f>'Input Sheet'!BV96</f>
        <v>0.51920469400394476</v>
      </c>
      <c r="H101" s="30">
        <f>'Input Sheet'!BW96</f>
        <v>0.59413293057644279</v>
      </c>
      <c r="I101" s="30">
        <f>'Input Sheet'!BX96</f>
        <v>403.41702943964572</v>
      </c>
      <c r="J101" s="30">
        <f>'Input Sheet'!BY96</f>
        <v>6.4233852977541357</v>
      </c>
      <c r="K101" s="30">
        <f>'Input Sheet'!BZ96</f>
        <v>7.1275930962843832</v>
      </c>
      <c r="L101" s="62">
        <v>1</v>
      </c>
      <c r="M101" s="30">
        <f>L101/L$34</f>
        <v>0.2</v>
      </c>
      <c r="N101" s="29"/>
      <c r="O101" s="29"/>
      <c r="P101" s="29"/>
      <c r="Q101" s="29"/>
      <c r="R101" s="45">
        <f t="shared" ref="R101:W105" si="87">F101</f>
        <v>1</v>
      </c>
      <c r="S101" s="45">
        <f t="shared" si="87"/>
        <v>0.51920469400394476</v>
      </c>
      <c r="T101" s="45">
        <f t="shared" si="87"/>
        <v>0.59413293057644279</v>
      </c>
      <c r="U101" s="45">
        <f t="shared" si="87"/>
        <v>403.41702943964572</v>
      </c>
      <c r="V101" s="45">
        <f t="shared" si="87"/>
        <v>6.4233852977541357</v>
      </c>
      <c r="W101" s="45">
        <f t="shared" si="87"/>
        <v>7.1275930962843832</v>
      </c>
      <c r="X101" s="46"/>
      <c r="Y101" s="46"/>
      <c r="Z101" s="46"/>
    </row>
    <row r="102" spans="1:26" ht="31.2">
      <c r="A102" s="825"/>
      <c r="B102" s="879"/>
      <c r="C102" s="966"/>
      <c r="D102" s="951"/>
      <c r="E102" s="23" t="s">
        <v>491</v>
      </c>
      <c r="F102" s="30">
        <f>'Input Sheet'!BU97</f>
        <v>1</v>
      </c>
      <c r="G102" s="30">
        <f>'Input Sheet'!BV97</f>
        <v>0.53633992817847309</v>
      </c>
      <c r="H102" s="30">
        <f>'Input Sheet'!BW97</f>
        <v>0.41929402310055486</v>
      </c>
      <c r="I102" s="30">
        <f>'Input Sheet'!BX97</f>
        <v>4.9501355429293091E-2</v>
      </c>
      <c r="J102" s="30">
        <f>'Input Sheet'!BY97</f>
        <v>0.35565482620404476</v>
      </c>
      <c r="K102" s="30">
        <f>'Input Sheet'!BZ97</f>
        <v>1.5823722371605415E-2</v>
      </c>
      <c r="L102" s="62">
        <v>1</v>
      </c>
      <c r="M102" s="30">
        <f t="shared" ref="M102:M105" si="88">L102/L$34</f>
        <v>0.2</v>
      </c>
      <c r="N102" s="29"/>
      <c r="O102" s="29"/>
      <c r="P102" s="29"/>
      <c r="Q102" s="29"/>
      <c r="R102" s="45">
        <f t="shared" si="87"/>
        <v>1</v>
      </c>
      <c r="S102" s="45">
        <f t="shared" si="87"/>
        <v>0.53633992817847309</v>
      </c>
      <c r="T102" s="45">
        <f t="shared" si="87"/>
        <v>0.41929402310055486</v>
      </c>
      <c r="U102" s="45">
        <f t="shared" si="87"/>
        <v>4.9501355429293091E-2</v>
      </c>
      <c r="V102" s="45">
        <f t="shared" si="87"/>
        <v>0.35565482620404476</v>
      </c>
      <c r="W102" s="45">
        <f t="shared" si="87"/>
        <v>1.5823722371605415E-2</v>
      </c>
      <c r="X102" s="46"/>
      <c r="Y102" s="46"/>
      <c r="Z102" s="46"/>
    </row>
    <row r="103" spans="1:26" ht="15.6">
      <c r="A103" s="825"/>
      <c r="B103" s="879"/>
      <c r="C103" s="966"/>
      <c r="D103" s="951"/>
      <c r="E103" s="23" t="s">
        <v>459</v>
      </c>
      <c r="F103" s="30">
        <f>'Input Sheet'!BU98</f>
        <v>1</v>
      </c>
      <c r="G103" s="30">
        <f>'Input Sheet'!BV98</f>
        <v>1</v>
      </c>
      <c r="H103" s="30">
        <f>'Input Sheet'!BW98</f>
        <v>1</v>
      </c>
      <c r="I103" s="30">
        <f>'Input Sheet'!BX98</f>
        <v>0.42147281477591775</v>
      </c>
      <c r="J103" s="30">
        <f>'Input Sheet'!BY98</f>
        <v>1</v>
      </c>
      <c r="K103" s="30">
        <f>'Input Sheet'!BZ98</f>
        <v>0.71217716489086835</v>
      </c>
      <c r="L103" s="62">
        <v>1</v>
      </c>
      <c r="M103" s="30">
        <f t="shared" si="88"/>
        <v>0.2</v>
      </c>
      <c r="N103" s="29"/>
      <c r="O103" s="29"/>
      <c r="P103" s="29"/>
      <c r="Q103" s="29"/>
      <c r="R103" s="45">
        <f t="shared" si="87"/>
        <v>1</v>
      </c>
      <c r="S103" s="45">
        <f t="shared" si="87"/>
        <v>1</v>
      </c>
      <c r="T103" s="45">
        <f t="shared" si="87"/>
        <v>1</v>
      </c>
      <c r="U103" s="45">
        <f t="shared" si="87"/>
        <v>0.42147281477591775</v>
      </c>
      <c r="V103" s="45">
        <f t="shared" si="87"/>
        <v>1</v>
      </c>
      <c r="W103" s="45">
        <f t="shared" si="87"/>
        <v>0.71217716489086835</v>
      </c>
      <c r="X103" s="46"/>
      <c r="Y103" s="46"/>
      <c r="Z103" s="46"/>
    </row>
    <row r="104" spans="1:26" ht="15.6">
      <c r="A104" s="825"/>
      <c r="B104" s="879"/>
      <c r="C104" s="966"/>
      <c r="D104" s="951"/>
      <c r="E104" s="23" t="s">
        <v>492</v>
      </c>
      <c r="F104" s="30">
        <f>'Input Sheet'!BU99</f>
        <v>1</v>
      </c>
      <c r="G104" s="30">
        <f>'Input Sheet'!BV99</f>
        <v>0.66697681085847416</v>
      </c>
      <c r="H104" s="30">
        <f>'Input Sheet'!BW99</f>
        <v>0.66697681085847416</v>
      </c>
      <c r="I104" s="30">
        <f>'Input Sheet'!BX99</f>
        <v>3.3702940643216048</v>
      </c>
      <c r="J104" s="30">
        <f>'Input Sheet'!BY99</f>
        <v>0.66697681085847416</v>
      </c>
      <c r="K104" s="30">
        <f>'Input Sheet'!BZ99</f>
        <v>3.3702940643216048</v>
      </c>
      <c r="L104" s="62">
        <v>1</v>
      </c>
      <c r="M104" s="30">
        <f t="shared" si="88"/>
        <v>0.2</v>
      </c>
      <c r="N104" s="29"/>
      <c r="O104" s="29"/>
      <c r="P104" s="29"/>
      <c r="Q104" s="29"/>
      <c r="R104" s="45">
        <f t="shared" si="87"/>
        <v>1</v>
      </c>
      <c r="S104" s="45">
        <f t="shared" si="87"/>
        <v>0.66697681085847416</v>
      </c>
      <c r="T104" s="45">
        <f t="shared" si="87"/>
        <v>0.66697681085847416</v>
      </c>
      <c r="U104" s="45">
        <f t="shared" si="87"/>
        <v>3.3702940643216048</v>
      </c>
      <c r="V104" s="45">
        <f t="shared" si="87"/>
        <v>0.66697681085847416</v>
      </c>
      <c r="W104" s="45">
        <f t="shared" si="87"/>
        <v>3.3702940643216048</v>
      </c>
      <c r="X104" s="46"/>
      <c r="Y104" s="46"/>
      <c r="Z104" s="46"/>
    </row>
    <row r="105" spans="1:26" ht="15.6">
      <c r="A105" s="825"/>
      <c r="B105" s="879"/>
      <c r="C105" s="966"/>
      <c r="D105" s="951"/>
      <c r="E105" s="34" t="s">
        <v>461</v>
      </c>
      <c r="F105" s="30">
        <f>'Input Sheet'!BU100</f>
        <v>1</v>
      </c>
      <c r="G105" s="30">
        <f>'Input Sheet'!BV100</f>
        <v>0.56471812200775884</v>
      </c>
      <c r="H105" s="30">
        <f>'Input Sheet'!BW100</f>
        <v>0.33591098123916224</v>
      </c>
      <c r="I105" s="30">
        <f>'Input Sheet'!BX100</f>
        <v>0.13533528323661276</v>
      </c>
      <c r="J105" s="30">
        <f>'Input Sheet'!BY100</f>
        <v>1</v>
      </c>
      <c r="K105" s="30">
        <f>'Input Sheet'!BZ100</f>
        <v>1</v>
      </c>
      <c r="L105" s="62">
        <v>1</v>
      </c>
      <c r="M105" s="30">
        <f t="shared" si="88"/>
        <v>0.2</v>
      </c>
      <c r="N105" s="29"/>
      <c r="O105" s="29"/>
      <c r="P105" s="29"/>
      <c r="Q105" s="29"/>
      <c r="R105" s="45">
        <f t="shared" si="87"/>
        <v>1</v>
      </c>
      <c r="S105" s="45">
        <f t="shared" si="87"/>
        <v>0.56471812200775884</v>
      </c>
      <c r="T105" s="45">
        <f t="shared" si="87"/>
        <v>0.33591098123916224</v>
      </c>
      <c r="U105" s="45">
        <f t="shared" si="87"/>
        <v>0.13533528323661276</v>
      </c>
      <c r="V105" s="45">
        <f t="shared" si="87"/>
        <v>1</v>
      </c>
      <c r="W105" s="45">
        <f t="shared" si="87"/>
        <v>1</v>
      </c>
      <c r="X105" s="46"/>
      <c r="Y105" s="46"/>
      <c r="Z105" s="46"/>
    </row>
    <row r="106" spans="1:26" ht="15.6">
      <c r="A106" s="825">
        <v>2</v>
      </c>
      <c r="B106" s="879"/>
      <c r="C106" s="966"/>
      <c r="D106" s="951"/>
      <c r="E106" s="23" t="s">
        <v>38</v>
      </c>
      <c r="F106" s="47"/>
      <c r="G106" s="47"/>
      <c r="H106" s="47"/>
      <c r="I106" s="47"/>
      <c r="J106" s="47"/>
      <c r="K106" s="47"/>
      <c r="L106" s="449">
        <f>SUM(L101:L105)</f>
        <v>5</v>
      </c>
      <c r="M106" s="872" t="s">
        <v>493</v>
      </c>
      <c r="N106" s="873"/>
      <c r="O106" s="873"/>
      <c r="P106" s="873"/>
      <c r="Q106" s="874"/>
      <c r="R106" s="45">
        <f t="shared" ref="R106:W106" si="89">SUM(R101:R105)</f>
        <v>5</v>
      </c>
      <c r="S106" s="45">
        <f t="shared" si="89"/>
        <v>3.2872395550486511</v>
      </c>
      <c r="T106" s="45">
        <f t="shared" si="89"/>
        <v>3.016314745774634</v>
      </c>
      <c r="U106" s="45">
        <f t="shared" si="89"/>
        <v>407.39363295740918</v>
      </c>
      <c r="V106" s="45">
        <f t="shared" si="89"/>
        <v>9.4460169348166545</v>
      </c>
      <c r="W106" s="45">
        <f t="shared" si="89"/>
        <v>12.225888047868462</v>
      </c>
      <c r="X106" s="48"/>
      <c r="Y106" s="48"/>
      <c r="Z106" s="48"/>
    </row>
    <row r="107" spans="1:26" ht="15.6">
      <c r="A107" s="825"/>
      <c r="B107" s="879"/>
      <c r="C107" s="966"/>
      <c r="D107" s="951"/>
      <c r="E107" s="23"/>
      <c r="F107" s="23"/>
      <c r="G107" s="23"/>
      <c r="H107" s="23"/>
      <c r="I107" s="23"/>
      <c r="J107" s="23"/>
      <c r="K107" s="23"/>
      <c r="L107" s="23"/>
      <c r="M107" s="872" t="s">
        <v>494</v>
      </c>
      <c r="N107" s="873"/>
      <c r="O107" s="873"/>
      <c r="P107" s="873"/>
      <c r="Q107" s="874"/>
      <c r="R107" s="45">
        <f t="shared" ref="R107:W107" si="90">R106/SUM($R106:$W106)</f>
        <v>1.1354112012167726E-2</v>
      </c>
      <c r="S107" s="45">
        <f t="shared" si="90"/>
        <v>7.464737223770156E-3</v>
      </c>
      <c r="T107" s="45">
        <f t="shared" si="90"/>
        <v>6.8495150974956821E-3</v>
      </c>
      <c r="U107" s="45">
        <f t="shared" si="90"/>
        <v>0.92511858832847382</v>
      </c>
      <c r="V107" s="45">
        <f t="shared" si="90"/>
        <v>2.1450226869348308E-2</v>
      </c>
      <c r="W107" s="45">
        <f t="shared" si="90"/>
        <v>2.7762820468744228E-2</v>
      </c>
      <c r="X107" s="17"/>
      <c r="Y107" s="17"/>
      <c r="Z107" s="17"/>
    </row>
    <row r="108" spans="1:26" ht="15.6">
      <c r="A108" s="825"/>
      <c r="B108" s="879"/>
      <c r="C108" s="966"/>
      <c r="D108" s="951"/>
      <c r="E108" s="23"/>
      <c r="F108" s="30">
        <f>'Input Sheet'!BU102</f>
        <v>1</v>
      </c>
      <c r="G108" s="30">
        <f>'Input Sheet'!BV102</f>
        <v>0.88</v>
      </c>
      <c r="H108" s="30">
        <f>'Input Sheet'!BW102</f>
        <v>0.8</v>
      </c>
      <c r="I108" s="30">
        <f>'Input Sheet'!BX102</f>
        <v>0.88</v>
      </c>
      <c r="J108" s="30">
        <f>'Input Sheet'!BY102</f>
        <v>0.64</v>
      </c>
      <c r="K108" s="30">
        <f>'Input Sheet'!BZ102</f>
        <v>0.48</v>
      </c>
      <c r="L108" s="23"/>
      <c r="M108" s="957" t="s">
        <v>495</v>
      </c>
      <c r="N108" s="958"/>
      <c r="O108" s="958"/>
      <c r="P108" s="958"/>
      <c r="Q108" s="959"/>
      <c r="R108" s="45">
        <f t="shared" ref="R108:W108" si="91">R107*F108</f>
        <v>1.1354112012167726E-2</v>
      </c>
      <c r="S108" s="45">
        <f t="shared" si="91"/>
        <v>6.5689687569177374E-3</v>
      </c>
      <c r="T108" s="45">
        <f t="shared" si="91"/>
        <v>5.4796120779965459E-3</v>
      </c>
      <c r="U108" s="45">
        <f t="shared" si="91"/>
        <v>0.81410435772905698</v>
      </c>
      <c r="V108" s="45">
        <f t="shared" si="91"/>
        <v>1.3728145196382917E-2</v>
      </c>
      <c r="W108" s="45">
        <f t="shared" si="91"/>
        <v>1.3326153824997229E-2</v>
      </c>
      <c r="X108" s="17"/>
      <c r="Y108" s="17"/>
      <c r="Z108" s="17"/>
    </row>
    <row r="109" spans="1:26" ht="15.6">
      <c r="A109" s="825"/>
      <c r="B109" s="879"/>
      <c r="C109" s="966"/>
      <c r="D109" s="951"/>
      <c r="E109" s="23" t="s">
        <v>1069</v>
      </c>
      <c r="F109" s="30">
        <f>'Input Sheet'!$BU$15</f>
        <v>1</v>
      </c>
      <c r="G109" s="30">
        <f>'Input Sheet'!$BV$15</f>
        <v>0.8</v>
      </c>
      <c r="H109" s="30">
        <f>'Input Sheet'!$BW$15</f>
        <v>0.67999999999999994</v>
      </c>
      <c r="I109" s="30">
        <f>'Input Sheet'!$BX$15</f>
        <v>0.6</v>
      </c>
      <c r="J109" s="30">
        <f>'Input Sheet'!$BY$15</f>
        <v>0.31999999999999995</v>
      </c>
      <c r="K109" s="30">
        <f>'Input Sheet'!$BZ$15</f>
        <v>0.19999999999999996</v>
      </c>
      <c r="L109" s="675"/>
      <c r="M109" s="957" t="s">
        <v>1067</v>
      </c>
      <c r="N109" s="958"/>
      <c r="O109" s="958"/>
      <c r="P109" s="958"/>
      <c r="Q109" s="959"/>
      <c r="R109" s="45">
        <f>R108*F109</f>
        <v>1.1354112012167726E-2</v>
      </c>
      <c r="S109" s="45">
        <f t="shared" ref="S109" si="92">S108*G109</f>
        <v>5.2551750055341902E-3</v>
      </c>
      <c r="T109" s="45">
        <f t="shared" ref="T109" si="93">T108*H109</f>
        <v>3.726136213037651E-3</v>
      </c>
      <c r="U109" s="45">
        <f t="shared" ref="U109" si="94">U108*I109</f>
        <v>0.48846261463743418</v>
      </c>
      <c r="V109" s="45">
        <f t="shared" ref="V109" si="95">V108*J109</f>
        <v>4.393006462842533E-3</v>
      </c>
      <c r="W109" s="45">
        <f t="shared" ref="W109" si="96">W108*K109</f>
        <v>2.6652307649994451E-3</v>
      </c>
      <c r="X109" s="17"/>
      <c r="Y109" s="17"/>
      <c r="Z109" s="17"/>
    </row>
    <row r="110" spans="1:26" ht="15.6" customHeight="1">
      <c r="A110" s="825"/>
      <c r="B110" s="879"/>
      <c r="C110" s="966"/>
      <c r="D110" s="951"/>
      <c r="E110" s="23"/>
      <c r="F110" s="960" t="s">
        <v>923</v>
      </c>
      <c r="G110" s="961"/>
      <c r="H110" s="961"/>
      <c r="I110" s="961"/>
      <c r="J110" s="961"/>
      <c r="K110" s="961"/>
      <c r="L110" s="961"/>
      <c r="M110" s="961"/>
      <c r="N110" s="961"/>
      <c r="O110" s="961"/>
      <c r="P110" s="961"/>
      <c r="Q110" s="962"/>
      <c r="R110" s="45">
        <f>R109</f>
        <v>1.1354112012167726E-2</v>
      </c>
      <c r="S110" s="45">
        <f>S109*'Input Sheet'!BV94/'Input Sheet'!BU94</f>
        <v>5.2551750055341902E-3</v>
      </c>
      <c r="T110" s="45">
        <f>T109*'Input Sheet'!BW94/'Input Sheet'!BU94</f>
        <v>0</v>
      </c>
      <c r="U110" s="45">
        <f>U109</f>
        <v>0.48846261463743418</v>
      </c>
      <c r="V110" s="45">
        <f t="shared" ref="V110:W110" si="97">V109</f>
        <v>4.393006462842533E-3</v>
      </c>
      <c r="W110" s="45">
        <f t="shared" si="97"/>
        <v>2.6652307649994451E-3</v>
      </c>
      <c r="X110" s="17"/>
      <c r="Y110" s="17"/>
      <c r="Z110" s="17"/>
    </row>
    <row r="111" spans="1:26" ht="15.6" customHeight="1">
      <c r="A111" s="825"/>
      <c r="B111" s="879"/>
      <c r="C111" s="966"/>
      <c r="D111" s="951"/>
      <c r="E111" s="23"/>
      <c r="F111" s="963" t="s">
        <v>924</v>
      </c>
      <c r="G111" s="964"/>
      <c r="H111" s="964"/>
      <c r="I111" s="964"/>
      <c r="J111" s="964"/>
      <c r="K111" s="964"/>
      <c r="L111" s="964"/>
      <c r="M111" s="964"/>
      <c r="N111" s="964"/>
      <c r="O111" s="964"/>
      <c r="P111" s="964"/>
      <c r="Q111" s="965"/>
      <c r="R111" s="50">
        <f>R110/(R110+U110+V110+W110+S110+T110)</f>
        <v>2.2170364815733184E-2</v>
      </c>
      <c r="S111" s="50">
        <f>S110/(R110+S110+T110+U110+V110+W110)</f>
        <v>1.0261405464236893E-2</v>
      </c>
      <c r="T111" s="50">
        <f>T110/(R110+S110+T110+U110+V110+W110)</f>
        <v>0</v>
      </c>
      <c r="U111" s="50">
        <f>U110/(R110+U110+V110+W110+S110+T110)</f>
        <v>0.95378611323839324</v>
      </c>
      <c r="V111" s="50">
        <f>V110/(R110+U110+V110+W110+S110+T110)</f>
        <v>8.5779104358596169E-3</v>
      </c>
      <c r="W111" s="50">
        <f>W110/(R110+U110+V110+W110+S110+T110)</f>
        <v>5.2042060457770699E-3</v>
      </c>
      <c r="X111" s="17"/>
      <c r="Y111" s="17"/>
      <c r="Z111" s="17"/>
    </row>
    <row r="112" spans="1:26" ht="15.6" customHeight="1">
      <c r="A112" s="825"/>
      <c r="B112" s="880"/>
      <c r="C112" s="966"/>
      <c r="D112" s="951"/>
      <c r="E112" s="23"/>
      <c r="F112" s="963" t="s">
        <v>925</v>
      </c>
      <c r="G112" s="964"/>
      <c r="H112" s="964"/>
      <c r="I112" s="964"/>
      <c r="J112" s="964"/>
      <c r="K112" s="964"/>
      <c r="L112" s="964"/>
      <c r="M112" s="964"/>
      <c r="N112" s="964"/>
      <c r="O112" s="964"/>
      <c r="P112" s="964"/>
      <c r="Q112" s="965"/>
      <c r="R112" s="51">
        <f t="shared" ref="R112:W112" si="98">ROUND($C101*$E$2*R111/100,0)*100</f>
        <v>1100</v>
      </c>
      <c r="S112" s="51">
        <f t="shared" si="98"/>
        <v>500</v>
      </c>
      <c r="T112" s="51">
        <f t="shared" si="98"/>
        <v>0</v>
      </c>
      <c r="U112" s="51">
        <f t="shared" si="98"/>
        <v>48100</v>
      </c>
      <c r="V112" s="51">
        <f t="shared" si="98"/>
        <v>400</v>
      </c>
      <c r="W112" s="51">
        <f t="shared" si="98"/>
        <v>300</v>
      </c>
      <c r="X112" s="17"/>
      <c r="Y112" s="17"/>
      <c r="Z112" s="17"/>
    </row>
    <row r="113" spans="1:26" ht="15.75" customHeight="1">
      <c r="A113" s="825">
        <v>10</v>
      </c>
      <c r="B113" s="878" t="s">
        <v>636</v>
      </c>
      <c r="C113" s="966">
        <f>Buckets!X12</f>
        <v>4.4252557087790419E-2</v>
      </c>
      <c r="D113" s="951" t="s">
        <v>490</v>
      </c>
      <c r="E113" s="23" t="s">
        <v>457</v>
      </c>
      <c r="F113" s="30">
        <f>'Input Sheet'!BU107</f>
        <v>1</v>
      </c>
      <c r="G113" s="30">
        <f>'Input Sheet'!BV107</f>
        <v>0.53447680801960684</v>
      </c>
      <c r="H113" s="30">
        <f>'Input Sheet'!BW107</f>
        <v>0.52802239126211215</v>
      </c>
      <c r="I113" s="30">
        <f>'Input Sheet'!BX107</f>
        <v>988.35084952377815</v>
      </c>
      <c r="J113" s="30">
        <f>'Input Sheet'!BY107</f>
        <v>7.4972059013282308</v>
      </c>
      <c r="K113" s="30">
        <f>'Input Sheet'!BZ107</f>
        <v>7.972052649393059</v>
      </c>
      <c r="L113" s="62">
        <v>1</v>
      </c>
      <c r="M113" s="30">
        <f>L113/L$34</f>
        <v>0.2</v>
      </c>
      <c r="N113" s="29"/>
      <c r="O113" s="29"/>
      <c r="P113" s="29"/>
      <c r="Q113" s="29"/>
      <c r="R113" s="45">
        <f t="shared" ref="R113:W117" si="99">F113</f>
        <v>1</v>
      </c>
      <c r="S113" s="45">
        <f t="shared" si="99"/>
        <v>0.53447680801960684</v>
      </c>
      <c r="T113" s="45">
        <f t="shared" si="99"/>
        <v>0.52802239126211215</v>
      </c>
      <c r="U113" s="45">
        <f t="shared" si="99"/>
        <v>988.35084952377815</v>
      </c>
      <c r="V113" s="45">
        <f t="shared" si="99"/>
        <v>7.4972059013282308</v>
      </c>
      <c r="W113" s="45">
        <f t="shared" si="99"/>
        <v>7.972052649393059</v>
      </c>
      <c r="X113" s="46"/>
      <c r="Y113" s="46"/>
      <c r="Z113" s="46"/>
    </row>
    <row r="114" spans="1:26" ht="31.2">
      <c r="A114" s="825"/>
      <c r="B114" s="879"/>
      <c r="C114" s="966"/>
      <c r="D114" s="951"/>
      <c r="E114" s="23" t="s">
        <v>491</v>
      </c>
      <c r="F114" s="30">
        <f>'Input Sheet'!BU108</f>
        <v>1</v>
      </c>
      <c r="G114" s="30">
        <f>'Input Sheet'!BV108</f>
        <v>0.5543500712242373</v>
      </c>
      <c r="H114" s="30">
        <f>'Input Sheet'!BW108</f>
        <v>0.21325659400790783</v>
      </c>
      <c r="I114" s="30">
        <f>'Input Sheet'!BX108</f>
        <v>7.6178283808829517E-2</v>
      </c>
      <c r="J114" s="30">
        <f>'Input Sheet'!BY108</f>
        <v>0.37519500600626032</v>
      </c>
      <c r="K114" s="30">
        <f>'Input Sheet'!BZ108</f>
        <v>1.8622419602833829E-2</v>
      </c>
      <c r="L114" s="62">
        <v>1</v>
      </c>
      <c r="M114" s="30">
        <f t="shared" ref="M114:M117" si="100">L114/L$34</f>
        <v>0.2</v>
      </c>
      <c r="N114" s="29"/>
      <c r="O114" s="29"/>
      <c r="P114" s="29"/>
      <c r="Q114" s="29"/>
      <c r="R114" s="45">
        <f t="shared" si="99"/>
        <v>1</v>
      </c>
      <c r="S114" s="45">
        <f t="shared" si="99"/>
        <v>0.5543500712242373</v>
      </c>
      <c r="T114" s="45">
        <f t="shared" si="99"/>
        <v>0.21325659400790783</v>
      </c>
      <c r="U114" s="45">
        <f t="shared" si="99"/>
        <v>7.6178283808829517E-2</v>
      </c>
      <c r="V114" s="45">
        <f t="shared" si="99"/>
        <v>0.37519500600626032</v>
      </c>
      <c r="W114" s="45">
        <f t="shared" si="99"/>
        <v>1.8622419602833829E-2</v>
      </c>
      <c r="X114" s="46"/>
      <c r="Y114" s="46"/>
      <c r="Z114" s="46"/>
    </row>
    <row r="115" spans="1:26" ht="15.6">
      <c r="A115" s="825"/>
      <c r="B115" s="879"/>
      <c r="C115" s="966"/>
      <c r="D115" s="951"/>
      <c r="E115" s="23" t="s">
        <v>459</v>
      </c>
      <c r="F115" s="30">
        <f>'Input Sheet'!BU109</f>
        <v>1</v>
      </c>
      <c r="G115" s="30">
        <f>'Input Sheet'!BV109</f>
        <v>1</v>
      </c>
      <c r="H115" s="30">
        <f>'Input Sheet'!BW109</f>
        <v>1</v>
      </c>
      <c r="I115" s="30">
        <f>'Input Sheet'!BX109</f>
        <v>0.51881779249624593</v>
      </c>
      <c r="J115" s="30">
        <f>'Input Sheet'!BY109</f>
        <v>1</v>
      </c>
      <c r="K115" s="30">
        <f>'Input Sheet'!BZ109</f>
        <v>0.74025578754107368</v>
      </c>
      <c r="L115" s="62">
        <v>1</v>
      </c>
      <c r="M115" s="30">
        <f t="shared" si="100"/>
        <v>0.2</v>
      </c>
      <c r="N115" s="29"/>
      <c r="O115" s="29"/>
      <c r="P115" s="29"/>
      <c r="Q115" s="29"/>
      <c r="R115" s="45">
        <f t="shared" si="99"/>
        <v>1</v>
      </c>
      <c r="S115" s="45">
        <f t="shared" si="99"/>
        <v>1</v>
      </c>
      <c r="T115" s="45">
        <f t="shared" si="99"/>
        <v>1</v>
      </c>
      <c r="U115" s="45">
        <f t="shared" si="99"/>
        <v>0.51881779249624593</v>
      </c>
      <c r="V115" s="45">
        <f t="shared" si="99"/>
        <v>1</v>
      </c>
      <c r="W115" s="45">
        <f t="shared" si="99"/>
        <v>0.74025578754107368</v>
      </c>
      <c r="X115" s="46"/>
      <c r="Y115" s="46"/>
      <c r="Z115" s="46"/>
    </row>
    <row r="116" spans="1:26" ht="15.6">
      <c r="A116" s="825"/>
      <c r="B116" s="879"/>
      <c r="C116" s="966"/>
      <c r="D116" s="951"/>
      <c r="E116" s="23" t="s">
        <v>492</v>
      </c>
      <c r="F116" s="30">
        <f>'Input Sheet'!BU110</f>
        <v>1</v>
      </c>
      <c r="G116" s="30">
        <f>'Input Sheet'!BV110</f>
        <v>0.66697681085847416</v>
      </c>
      <c r="H116" s="30">
        <f>'Input Sheet'!BW110</f>
        <v>0.66697681085847416</v>
      </c>
      <c r="I116" s="30">
        <f>'Input Sheet'!BX110</f>
        <v>3.3702940643216048</v>
      </c>
      <c r="J116" s="30">
        <f>'Input Sheet'!BY110</f>
        <v>0.66697681085847416</v>
      </c>
      <c r="K116" s="30">
        <f>'Input Sheet'!BZ110</f>
        <v>3.3702940643216048</v>
      </c>
      <c r="L116" s="62">
        <v>1</v>
      </c>
      <c r="M116" s="30">
        <f t="shared" si="100"/>
        <v>0.2</v>
      </c>
      <c r="N116" s="29"/>
      <c r="O116" s="29"/>
      <c r="P116" s="29"/>
      <c r="Q116" s="29"/>
      <c r="R116" s="45">
        <f t="shared" si="99"/>
        <v>1</v>
      </c>
      <c r="S116" s="45">
        <f t="shared" si="99"/>
        <v>0.66697681085847416</v>
      </c>
      <c r="T116" s="45">
        <f t="shared" si="99"/>
        <v>0.66697681085847416</v>
      </c>
      <c r="U116" s="45">
        <f t="shared" si="99"/>
        <v>3.3702940643216048</v>
      </c>
      <c r="V116" s="45">
        <f t="shared" si="99"/>
        <v>0.66697681085847416</v>
      </c>
      <c r="W116" s="45">
        <f t="shared" si="99"/>
        <v>3.3702940643216048</v>
      </c>
      <c r="X116" s="46"/>
      <c r="Y116" s="46"/>
      <c r="Z116" s="46"/>
    </row>
    <row r="117" spans="1:26" ht="15.6">
      <c r="A117" s="825"/>
      <c r="B117" s="879"/>
      <c r="C117" s="966"/>
      <c r="D117" s="951"/>
      <c r="E117" s="34" t="s">
        <v>461</v>
      </c>
      <c r="F117" s="30">
        <f>'Input Sheet'!BU111</f>
        <v>1</v>
      </c>
      <c r="G117" s="30">
        <f>'Input Sheet'!BV111</f>
        <v>0.56471812200775884</v>
      </c>
      <c r="H117" s="30">
        <f>'Input Sheet'!BW111</f>
        <v>0.33591098123916224</v>
      </c>
      <c r="I117" s="30">
        <f>'Input Sheet'!BX111</f>
        <v>0.13533528323661276</v>
      </c>
      <c r="J117" s="30">
        <f>'Input Sheet'!BY111</f>
        <v>1</v>
      </c>
      <c r="K117" s="30">
        <f>'Input Sheet'!BZ111</f>
        <v>1</v>
      </c>
      <c r="L117" s="62">
        <v>1</v>
      </c>
      <c r="M117" s="30">
        <f t="shared" si="100"/>
        <v>0.2</v>
      </c>
      <c r="N117" s="29"/>
      <c r="O117" s="29"/>
      <c r="P117" s="29"/>
      <c r="Q117" s="29"/>
      <c r="R117" s="45">
        <f t="shared" si="99"/>
        <v>1</v>
      </c>
      <c r="S117" s="45">
        <f t="shared" si="99"/>
        <v>0.56471812200775884</v>
      </c>
      <c r="T117" s="45">
        <f t="shared" si="99"/>
        <v>0.33591098123916224</v>
      </c>
      <c r="U117" s="45">
        <f t="shared" si="99"/>
        <v>0.13533528323661276</v>
      </c>
      <c r="V117" s="45">
        <f t="shared" si="99"/>
        <v>1</v>
      </c>
      <c r="W117" s="45">
        <f t="shared" si="99"/>
        <v>1</v>
      </c>
      <c r="X117" s="46"/>
      <c r="Y117" s="46"/>
      <c r="Z117" s="46"/>
    </row>
    <row r="118" spans="1:26" ht="15.6">
      <c r="A118" s="825">
        <v>2</v>
      </c>
      <c r="B118" s="879"/>
      <c r="C118" s="966"/>
      <c r="D118" s="951"/>
      <c r="E118" s="23" t="s">
        <v>38</v>
      </c>
      <c r="F118" s="47"/>
      <c r="G118" s="47"/>
      <c r="H118" s="47"/>
      <c r="I118" s="47"/>
      <c r="J118" s="47"/>
      <c r="K118" s="47"/>
      <c r="L118" s="449">
        <f>SUM(L113:L117)</f>
        <v>5</v>
      </c>
      <c r="M118" s="872" t="s">
        <v>493</v>
      </c>
      <c r="N118" s="873"/>
      <c r="O118" s="873"/>
      <c r="P118" s="873"/>
      <c r="Q118" s="874"/>
      <c r="R118" s="45">
        <f t="shared" ref="R118:W118" si="101">SUM(R113:R117)</f>
        <v>5</v>
      </c>
      <c r="S118" s="45">
        <f t="shared" si="101"/>
        <v>3.3205218121100772</v>
      </c>
      <c r="T118" s="45">
        <f t="shared" si="101"/>
        <v>2.7441667773676564</v>
      </c>
      <c r="U118" s="45">
        <f t="shared" si="101"/>
        <v>992.45147494764149</v>
      </c>
      <c r="V118" s="45">
        <f t="shared" si="101"/>
        <v>10.539377718192965</v>
      </c>
      <c r="W118" s="45">
        <f t="shared" si="101"/>
        <v>13.101224920858572</v>
      </c>
      <c r="X118" s="48"/>
      <c r="Y118" s="48"/>
      <c r="Z118" s="48"/>
    </row>
    <row r="119" spans="1:26" ht="15.6">
      <c r="A119" s="825"/>
      <c r="B119" s="879"/>
      <c r="C119" s="966"/>
      <c r="D119" s="951"/>
      <c r="E119" s="23"/>
      <c r="F119" s="23"/>
      <c r="G119" s="23"/>
      <c r="H119" s="23"/>
      <c r="I119" s="23"/>
      <c r="J119" s="23"/>
      <c r="K119" s="23"/>
      <c r="L119" s="23"/>
      <c r="M119" s="872" t="s">
        <v>494</v>
      </c>
      <c r="N119" s="873"/>
      <c r="O119" s="873"/>
      <c r="P119" s="873"/>
      <c r="Q119" s="874"/>
      <c r="R119" s="45">
        <f t="shared" ref="R119:W119" si="102">R118/SUM($R118:$W118)</f>
        <v>4.8678061272123627E-3</v>
      </c>
      <c r="S119" s="45">
        <f t="shared" si="102"/>
        <v>3.2327312845063464E-3</v>
      </c>
      <c r="T119" s="45">
        <f t="shared" si="102"/>
        <v>2.6716143705925763E-3</v>
      </c>
      <c r="U119" s="45">
        <f t="shared" si="102"/>
        <v>0.96621227414221511</v>
      </c>
      <c r="V119" s="45">
        <f t="shared" si="102"/>
        <v>1.0260729486725031E-2</v>
      </c>
      <c r="W119" s="45">
        <f t="shared" si="102"/>
        <v>1.275484458874853E-2</v>
      </c>
      <c r="X119" s="17"/>
      <c r="Y119" s="17"/>
      <c r="Z119" s="17"/>
    </row>
    <row r="120" spans="1:26" ht="15.6">
      <c r="A120" s="825"/>
      <c r="B120" s="879"/>
      <c r="C120" s="966"/>
      <c r="D120" s="951"/>
      <c r="E120" s="23"/>
      <c r="F120" s="30">
        <f>'Input Sheet'!BU113</f>
        <v>1</v>
      </c>
      <c r="G120" s="30">
        <f>'Input Sheet'!BV113</f>
        <v>0.88</v>
      </c>
      <c r="H120" s="30">
        <f>'Input Sheet'!BW113</f>
        <v>0.88</v>
      </c>
      <c r="I120" s="30">
        <f>'Input Sheet'!BX113</f>
        <v>0.92</v>
      </c>
      <c r="J120" s="30">
        <f>'Input Sheet'!BY113</f>
        <v>0.64</v>
      </c>
      <c r="K120" s="30">
        <f>'Input Sheet'!BZ113</f>
        <v>0.48</v>
      </c>
      <c r="L120" s="23"/>
      <c r="M120" s="957" t="s">
        <v>495</v>
      </c>
      <c r="N120" s="958"/>
      <c r="O120" s="958"/>
      <c r="P120" s="958"/>
      <c r="Q120" s="959"/>
      <c r="R120" s="45">
        <f t="shared" ref="R120:W120" si="103">R119*F120</f>
        <v>4.8678061272123627E-3</v>
      </c>
      <c r="S120" s="45">
        <f t="shared" si="103"/>
        <v>2.8448035303655847E-3</v>
      </c>
      <c r="T120" s="45">
        <f t="shared" si="103"/>
        <v>2.3510206461214672E-3</v>
      </c>
      <c r="U120" s="45">
        <f t="shared" si="103"/>
        <v>0.88891529221083798</v>
      </c>
      <c r="V120" s="45">
        <f t="shared" si="103"/>
        <v>6.5668668715040202E-3</v>
      </c>
      <c r="W120" s="45">
        <f t="shared" si="103"/>
        <v>6.1223254025992947E-3</v>
      </c>
      <c r="X120" s="17"/>
      <c r="Y120" s="17"/>
      <c r="Z120" s="17"/>
    </row>
    <row r="121" spans="1:26" ht="15.6">
      <c r="A121" s="825"/>
      <c r="B121" s="879"/>
      <c r="C121" s="966"/>
      <c r="D121" s="951"/>
      <c r="E121" s="23" t="s">
        <v>1069</v>
      </c>
      <c r="F121" s="30">
        <f>'Input Sheet'!$BU$15</f>
        <v>1</v>
      </c>
      <c r="G121" s="30">
        <f>'Input Sheet'!$BV$15</f>
        <v>0.8</v>
      </c>
      <c r="H121" s="30">
        <f>'Input Sheet'!$BW$15</f>
        <v>0.67999999999999994</v>
      </c>
      <c r="I121" s="30">
        <f>'Input Sheet'!$BX$15</f>
        <v>0.6</v>
      </c>
      <c r="J121" s="30">
        <f>'Input Sheet'!$BY$15</f>
        <v>0.31999999999999995</v>
      </c>
      <c r="K121" s="30">
        <f>'Input Sheet'!$BZ$15</f>
        <v>0.19999999999999996</v>
      </c>
      <c r="L121" s="675"/>
      <c r="M121" s="957" t="s">
        <v>1067</v>
      </c>
      <c r="N121" s="958"/>
      <c r="O121" s="958"/>
      <c r="P121" s="958"/>
      <c r="Q121" s="959"/>
      <c r="R121" s="45">
        <f>R120*F121</f>
        <v>4.8678061272123627E-3</v>
      </c>
      <c r="S121" s="45">
        <f t="shared" ref="S121" si="104">S120*G121</f>
        <v>2.2758428242924678E-3</v>
      </c>
      <c r="T121" s="45">
        <f t="shared" ref="T121" si="105">T120*H121</f>
        <v>1.5986940393625975E-3</v>
      </c>
      <c r="U121" s="45">
        <f t="shared" ref="U121" si="106">U120*I121</f>
        <v>0.53334917532650272</v>
      </c>
      <c r="V121" s="45">
        <f t="shared" ref="V121" si="107">V120*J121</f>
        <v>2.1013973988812861E-3</v>
      </c>
      <c r="W121" s="45">
        <f t="shared" ref="W121" si="108">W120*K121</f>
        <v>1.2244650805198587E-3</v>
      </c>
      <c r="X121" s="17"/>
      <c r="Y121" s="17"/>
      <c r="Z121" s="17"/>
    </row>
    <row r="122" spans="1:26" ht="15.6" customHeight="1">
      <c r="A122" s="825"/>
      <c r="B122" s="879"/>
      <c r="C122" s="966"/>
      <c r="D122" s="951"/>
      <c r="E122" s="23"/>
      <c r="F122" s="960" t="s">
        <v>923</v>
      </c>
      <c r="G122" s="961"/>
      <c r="H122" s="961"/>
      <c r="I122" s="961"/>
      <c r="J122" s="961"/>
      <c r="K122" s="961"/>
      <c r="L122" s="961"/>
      <c r="M122" s="961"/>
      <c r="N122" s="961"/>
      <c r="O122" s="961"/>
      <c r="P122" s="961"/>
      <c r="Q122" s="962"/>
      <c r="R122" s="45">
        <f>R121</f>
        <v>4.8678061272123627E-3</v>
      </c>
      <c r="S122" s="45">
        <f>S121*'Input Sheet'!BV105/'Input Sheet'!BU105</f>
        <v>0</v>
      </c>
      <c r="T122" s="45">
        <f>T121*'Input Sheet'!BW105/'Input Sheet'!BU105</f>
        <v>1.5986940393625975E-3</v>
      </c>
      <c r="U122" s="45">
        <f>U121</f>
        <v>0.53334917532650272</v>
      </c>
      <c r="V122" s="45">
        <f t="shared" ref="V122:W122" si="109">V121</f>
        <v>2.1013973988812861E-3</v>
      </c>
      <c r="W122" s="45">
        <f t="shared" si="109"/>
        <v>1.2244650805198587E-3</v>
      </c>
      <c r="X122" s="17"/>
      <c r="Y122" s="17"/>
      <c r="Z122" s="17"/>
    </row>
    <row r="123" spans="1:26" ht="15.6" customHeight="1">
      <c r="A123" s="825"/>
      <c r="B123" s="879"/>
      <c r="C123" s="966"/>
      <c r="D123" s="951"/>
      <c r="E123" s="23"/>
      <c r="F123" s="963" t="s">
        <v>924</v>
      </c>
      <c r="G123" s="964"/>
      <c r="H123" s="964"/>
      <c r="I123" s="964"/>
      <c r="J123" s="964"/>
      <c r="K123" s="964"/>
      <c r="L123" s="964"/>
      <c r="M123" s="964"/>
      <c r="N123" s="964"/>
      <c r="O123" s="964"/>
      <c r="P123" s="964"/>
      <c r="Q123" s="965"/>
      <c r="R123" s="50">
        <f>R122/(R122+U122+V122+W122+S122+T122)</f>
        <v>8.9623160574012588E-3</v>
      </c>
      <c r="S123" s="50">
        <f>S122/(R122+S122+T122+U122+V122+W122)</f>
        <v>0</v>
      </c>
      <c r="T123" s="50">
        <f>T122/(R122+S122+T122+U122+V122+W122)</f>
        <v>2.9434206879673489E-3</v>
      </c>
      <c r="U123" s="50">
        <f>U122/(R122+U122+V122+W122+S122+T122)</f>
        <v>0.98197088242867492</v>
      </c>
      <c r="V123" s="50">
        <f>V122/(R122+U122+V122+W122+S122+T122)</f>
        <v>3.8689683111435393E-3</v>
      </c>
      <c r="W123" s="50">
        <f>W122/(R122+U122+V122+W122+S122+T122)</f>
        <v>2.2544125148128563E-3</v>
      </c>
      <c r="X123" s="17"/>
      <c r="Y123" s="17"/>
      <c r="Z123" s="17"/>
    </row>
    <row r="124" spans="1:26" ht="15.6" customHeight="1">
      <c r="A124" s="825"/>
      <c r="B124" s="880"/>
      <c r="C124" s="966"/>
      <c r="D124" s="951"/>
      <c r="E124" s="23"/>
      <c r="F124" s="963" t="s">
        <v>925</v>
      </c>
      <c r="G124" s="964"/>
      <c r="H124" s="964"/>
      <c r="I124" s="964"/>
      <c r="J124" s="964"/>
      <c r="K124" s="964"/>
      <c r="L124" s="964"/>
      <c r="M124" s="964"/>
      <c r="N124" s="964"/>
      <c r="O124" s="964"/>
      <c r="P124" s="964"/>
      <c r="Q124" s="965"/>
      <c r="R124" s="51">
        <f t="shared" ref="R124:W124" si="110">ROUND($C113*$E$2*R123/100,0)*100</f>
        <v>300</v>
      </c>
      <c r="S124" s="51">
        <f t="shared" si="110"/>
        <v>0</v>
      </c>
      <c r="T124" s="51">
        <f t="shared" si="110"/>
        <v>100</v>
      </c>
      <c r="U124" s="51">
        <f t="shared" si="110"/>
        <v>37100</v>
      </c>
      <c r="V124" s="51">
        <f t="shared" si="110"/>
        <v>100</v>
      </c>
      <c r="W124" s="51">
        <f t="shared" si="110"/>
        <v>100</v>
      </c>
      <c r="X124" s="17"/>
      <c r="Y124" s="17"/>
      <c r="Z124" s="17"/>
    </row>
    <row r="125" spans="1:26" ht="15.75" customHeight="1">
      <c r="A125" s="825">
        <v>11</v>
      </c>
      <c r="B125" s="878" t="s">
        <v>637</v>
      </c>
      <c r="C125" s="966">
        <f>Buckets!X13</f>
        <v>0.10556408243605817</v>
      </c>
      <c r="D125" s="951" t="s">
        <v>490</v>
      </c>
      <c r="E125" s="23" t="s">
        <v>457</v>
      </c>
      <c r="F125" s="30">
        <f>'Input Sheet'!BU118</f>
        <v>1</v>
      </c>
      <c r="G125" s="30">
        <f>'Input Sheet'!BV118</f>
        <v>0.4567782468847264</v>
      </c>
      <c r="H125" s="30">
        <f>'Input Sheet'!BW118</f>
        <v>0.4914277212752674</v>
      </c>
      <c r="I125" s="30">
        <f>'Input Sheet'!BX118</f>
        <v>340.58883989049662</v>
      </c>
      <c r="J125" s="30">
        <f>'Input Sheet'!BY118</f>
        <v>5.8324610032835684</v>
      </c>
      <c r="K125" s="30">
        <f>'Input Sheet'!BZ118</f>
        <v>5.1508075354580392</v>
      </c>
      <c r="L125" s="62">
        <v>1</v>
      </c>
      <c r="M125" s="30">
        <f>L125/L$34</f>
        <v>0.2</v>
      </c>
      <c r="N125" s="29"/>
      <c r="O125" s="29"/>
      <c r="P125" s="29"/>
      <c r="Q125" s="29"/>
      <c r="R125" s="45">
        <f t="shared" ref="R125:W129" si="111">F125</f>
        <v>1</v>
      </c>
      <c r="S125" s="45">
        <f t="shared" si="111"/>
        <v>0.4567782468847264</v>
      </c>
      <c r="T125" s="45">
        <f t="shared" si="111"/>
        <v>0.4914277212752674</v>
      </c>
      <c r="U125" s="45">
        <f t="shared" si="111"/>
        <v>340.58883989049662</v>
      </c>
      <c r="V125" s="45">
        <f t="shared" si="111"/>
        <v>5.8324610032835684</v>
      </c>
      <c r="W125" s="45">
        <f t="shared" si="111"/>
        <v>5.1508075354580392</v>
      </c>
      <c r="X125" s="46"/>
      <c r="Y125" s="46"/>
      <c r="Z125" s="46"/>
    </row>
    <row r="126" spans="1:26" ht="31.2">
      <c r="A126" s="825"/>
      <c r="B126" s="879"/>
      <c r="C126" s="966"/>
      <c r="D126" s="951"/>
      <c r="E126" s="23" t="s">
        <v>491</v>
      </c>
      <c r="F126" s="30">
        <f>'Input Sheet'!BU119</f>
        <v>1</v>
      </c>
      <c r="G126" s="30">
        <f>'Input Sheet'!BV119</f>
        <v>0.59278819993547682</v>
      </c>
      <c r="H126" s="30">
        <f>'Input Sheet'!BW119</f>
        <v>0.25419297954167219</v>
      </c>
      <c r="I126" s="30">
        <f>'Input Sheet'!BX119</f>
        <v>0.10206946126561924</v>
      </c>
      <c r="J126" s="30">
        <f>'Input Sheet'!BY119</f>
        <v>0.41940821220430702</v>
      </c>
      <c r="K126" s="30">
        <f>'Input Sheet'!BZ119</f>
        <v>2.9283495348297061E-2</v>
      </c>
      <c r="L126" s="62">
        <v>1</v>
      </c>
      <c r="M126" s="30">
        <f t="shared" ref="M126:M129" si="112">L126/L$34</f>
        <v>0.2</v>
      </c>
      <c r="N126" s="29"/>
      <c r="O126" s="29"/>
      <c r="P126" s="29"/>
      <c r="Q126" s="29"/>
      <c r="R126" s="45">
        <f t="shared" si="111"/>
        <v>1</v>
      </c>
      <c r="S126" s="45">
        <f t="shared" si="111"/>
        <v>0.59278819993547682</v>
      </c>
      <c r="T126" s="45">
        <f t="shared" si="111"/>
        <v>0.25419297954167219</v>
      </c>
      <c r="U126" s="45">
        <f t="shared" si="111"/>
        <v>0.10206946126561924</v>
      </c>
      <c r="V126" s="45">
        <f t="shared" si="111"/>
        <v>0.41940821220430702</v>
      </c>
      <c r="W126" s="45">
        <f t="shared" si="111"/>
        <v>2.9283495348297061E-2</v>
      </c>
      <c r="X126" s="46"/>
      <c r="Y126" s="46"/>
      <c r="Z126" s="46"/>
    </row>
    <row r="127" spans="1:26" ht="15.6">
      <c r="A127" s="825"/>
      <c r="B127" s="879"/>
      <c r="C127" s="966"/>
      <c r="D127" s="951"/>
      <c r="E127" s="23" t="s">
        <v>459</v>
      </c>
      <c r="F127" s="30">
        <f>'Input Sheet'!BU120</f>
        <v>1</v>
      </c>
      <c r="G127" s="30">
        <f>'Input Sheet'!BV120</f>
        <v>1</v>
      </c>
      <c r="H127" s="30">
        <f>'Input Sheet'!BW120</f>
        <v>1</v>
      </c>
      <c r="I127" s="30">
        <f>'Input Sheet'!BX120</f>
        <v>0.59333269512305176</v>
      </c>
      <c r="J127" s="30">
        <f>'Input Sheet'!BY120</f>
        <v>1</v>
      </c>
      <c r="K127" s="30">
        <f>'Input Sheet'!BZ120</f>
        <v>0.78721805325675964</v>
      </c>
      <c r="L127" s="62">
        <v>1</v>
      </c>
      <c r="M127" s="30">
        <f t="shared" si="112"/>
        <v>0.2</v>
      </c>
      <c r="N127" s="29"/>
      <c r="O127" s="29"/>
      <c r="P127" s="29"/>
      <c r="Q127" s="29"/>
      <c r="R127" s="45">
        <f t="shared" si="111"/>
        <v>1</v>
      </c>
      <c r="S127" s="45">
        <f t="shared" si="111"/>
        <v>1</v>
      </c>
      <c r="T127" s="45">
        <f t="shared" si="111"/>
        <v>1</v>
      </c>
      <c r="U127" s="45">
        <f t="shared" si="111"/>
        <v>0.59333269512305176</v>
      </c>
      <c r="V127" s="45">
        <f t="shared" si="111"/>
        <v>1</v>
      </c>
      <c r="W127" s="45">
        <f t="shared" si="111"/>
        <v>0.78721805325675964</v>
      </c>
      <c r="X127" s="46"/>
      <c r="Y127" s="46"/>
      <c r="Z127" s="46"/>
    </row>
    <row r="128" spans="1:26" ht="15.6">
      <c r="A128" s="825"/>
      <c r="B128" s="879"/>
      <c r="C128" s="966"/>
      <c r="D128" s="951"/>
      <c r="E128" s="23" t="s">
        <v>492</v>
      </c>
      <c r="F128" s="30">
        <f>'Input Sheet'!BU121</f>
        <v>1</v>
      </c>
      <c r="G128" s="30">
        <f>'Input Sheet'!BV121</f>
        <v>0.75201425431938251</v>
      </c>
      <c r="H128" s="30">
        <f>'Input Sheet'!BW121</f>
        <v>0.75201425431938251</v>
      </c>
      <c r="I128" s="30">
        <f>'Input Sheet'!BX121</f>
        <v>2.3513743805749008</v>
      </c>
      <c r="J128" s="30">
        <f>'Input Sheet'!BY121</f>
        <v>0.75201425431938251</v>
      </c>
      <c r="K128" s="30">
        <f>'Input Sheet'!BZ121</f>
        <v>2.3513743805749008</v>
      </c>
      <c r="L128" s="62">
        <v>1</v>
      </c>
      <c r="M128" s="30">
        <f t="shared" si="112"/>
        <v>0.2</v>
      </c>
      <c r="N128" s="29"/>
      <c r="O128" s="29"/>
      <c r="P128" s="29"/>
      <c r="Q128" s="29"/>
      <c r="R128" s="45">
        <f t="shared" si="111"/>
        <v>1</v>
      </c>
      <c r="S128" s="45">
        <f t="shared" si="111"/>
        <v>0.75201425431938251</v>
      </c>
      <c r="T128" s="45">
        <f t="shared" si="111"/>
        <v>0.75201425431938251</v>
      </c>
      <c r="U128" s="45">
        <f t="shared" si="111"/>
        <v>2.3513743805749008</v>
      </c>
      <c r="V128" s="45">
        <f t="shared" si="111"/>
        <v>0.75201425431938251</v>
      </c>
      <c r="W128" s="45">
        <f t="shared" si="111"/>
        <v>2.3513743805749008</v>
      </c>
      <c r="X128" s="46"/>
      <c r="Y128" s="46"/>
      <c r="Z128" s="46"/>
    </row>
    <row r="129" spans="1:26" ht="15.6">
      <c r="A129" s="825"/>
      <c r="B129" s="879"/>
      <c r="C129" s="966"/>
      <c r="D129" s="951"/>
      <c r="E129" s="34" t="s">
        <v>461</v>
      </c>
      <c r="F129" s="30">
        <f>'Input Sheet'!BU122</f>
        <v>1</v>
      </c>
      <c r="G129" s="30">
        <f>'Input Sheet'!BV122</f>
        <v>0.66081212082832619</v>
      </c>
      <c r="H129" s="30">
        <f>'Input Sheet'!BW122</f>
        <v>0.45343239658718076</v>
      </c>
      <c r="I129" s="30">
        <f>'Input Sheet'!BX122</f>
        <v>0.23457028809379776</v>
      </c>
      <c r="J129" s="30">
        <f>'Input Sheet'!BY122</f>
        <v>1</v>
      </c>
      <c r="K129" s="30">
        <f>'Input Sheet'!BZ122</f>
        <v>1</v>
      </c>
      <c r="L129" s="62">
        <v>1</v>
      </c>
      <c r="M129" s="30">
        <f t="shared" si="112"/>
        <v>0.2</v>
      </c>
      <c r="N129" s="29"/>
      <c r="O129" s="29"/>
      <c r="P129" s="29"/>
      <c r="Q129" s="29"/>
      <c r="R129" s="45">
        <f t="shared" si="111"/>
        <v>1</v>
      </c>
      <c r="S129" s="45">
        <f t="shared" si="111"/>
        <v>0.66081212082832619</v>
      </c>
      <c r="T129" s="45">
        <f t="shared" si="111"/>
        <v>0.45343239658718076</v>
      </c>
      <c r="U129" s="45">
        <f t="shared" si="111"/>
        <v>0.23457028809379776</v>
      </c>
      <c r="V129" s="45">
        <f t="shared" si="111"/>
        <v>1</v>
      </c>
      <c r="W129" s="45">
        <f t="shared" si="111"/>
        <v>1</v>
      </c>
      <c r="X129" s="46"/>
      <c r="Y129" s="46"/>
      <c r="Z129" s="46"/>
    </row>
    <row r="130" spans="1:26" ht="15.6">
      <c r="A130" s="825">
        <v>2</v>
      </c>
      <c r="B130" s="879"/>
      <c r="C130" s="966"/>
      <c r="D130" s="951"/>
      <c r="E130" s="23" t="s">
        <v>38</v>
      </c>
      <c r="F130" s="47"/>
      <c r="G130" s="47"/>
      <c r="H130" s="47"/>
      <c r="I130" s="47"/>
      <c r="J130" s="47"/>
      <c r="K130" s="47"/>
      <c r="L130" s="449">
        <f>SUM(L125:L129)</f>
        <v>5</v>
      </c>
      <c r="M130" s="872" t="s">
        <v>493</v>
      </c>
      <c r="N130" s="873"/>
      <c r="O130" s="873"/>
      <c r="P130" s="873"/>
      <c r="Q130" s="874"/>
      <c r="R130" s="45">
        <f t="shared" ref="R130:W130" si="113">SUM(R125:R129)</f>
        <v>5</v>
      </c>
      <c r="S130" s="45">
        <f t="shared" si="113"/>
        <v>3.4623928219679119</v>
      </c>
      <c r="T130" s="45">
        <f t="shared" si="113"/>
        <v>2.9510673517235029</v>
      </c>
      <c r="U130" s="45">
        <f t="shared" si="113"/>
        <v>343.87018671555393</v>
      </c>
      <c r="V130" s="45">
        <f t="shared" si="113"/>
        <v>9.0038834698072581</v>
      </c>
      <c r="W130" s="45">
        <f t="shared" si="113"/>
        <v>9.3186834646379975</v>
      </c>
      <c r="X130" s="48"/>
      <c r="Y130" s="48"/>
      <c r="Z130" s="48"/>
    </row>
    <row r="131" spans="1:26" ht="15.6">
      <c r="A131" s="825"/>
      <c r="B131" s="879"/>
      <c r="C131" s="966"/>
      <c r="D131" s="951"/>
      <c r="E131" s="23"/>
      <c r="F131" s="23"/>
      <c r="G131" s="23"/>
      <c r="H131" s="23"/>
      <c r="I131" s="23"/>
      <c r="J131" s="23"/>
      <c r="K131" s="23"/>
      <c r="L131" s="23"/>
      <c r="M131" s="872" t="s">
        <v>494</v>
      </c>
      <c r="N131" s="873"/>
      <c r="O131" s="873"/>
      <c r="P131" s="873"/>
      <c r="Q131" s="874"/>
      <c r="R131" s="45">
        <f t="shared" ref="R131:W131" si="114">R130/SUM($R130:$W130)</f>
        <v>1.3383075053348984E-2</v>
      </c>
      <c r="S131" s="45">
        <f t="shared" si="114"/>
        <v>9.2674926001146702E-3</v>
      </c>
      <c r="T131" s="45">
        <f t="shared" si="114"/>
        <v>7.8988711711206923E-3</v>
      </c>
      <c r="U131" s="45">
        <f t="shared" si="114"/>
        <v>0.92040810348467739</v>
      </c>
      <c r="V131" s="45">
        <f t="shared" si="114"/>
        <v>2.4099929649607759E-2</v>
      </c>
      <c r="W131" s="45">
        <f t="shared" si="114"/>
        <v>2.4942528041130493E-2</v>
      </c>
      <c r="X131" s="17"/>
      <c r="Y131" s="17"/>
      <c r="Z131" s="17"/>
    </row>
    <row r="132" spans="1:26" ht="15.6">
      <c r="A132" s="825"/>
      <c r="B132" s="879"/>
      <c r="C132" s="966"/>
      <c r="D132" s="951"/>
      <c r="E132" s="23"/>
      <c r="F132" s="30">
        <f>'Input Sheet'!BU124</f>
        <v>1</v>
      </c>
      <c r="G132" s="30">
        <f>'Input Sheet'!BV124</f>
        <v>0.88</v>
      </c>
      <c r="H132" s="30">
        <f>'Input Sheet'!BW124</f>
        <v>0.88</v>
      </c>
      <c r="I132" s="30">
        <f>'Input Sheet'!BX124</f>
        <v>0.92</v>
      </c>
      <c r="J132" s="30">
        <f>'Input Sheet'!BY124</f>
        <v>0.64</v>
      </c>
      <c r="K132" s="30">
        <f>'Input Sheet'!BZ124</f>
        <v>0.48</v>
      </c>
      <c r="L132" s="23"/>
      <c r="M132" s="957" t="s">
        <v>495</v>
      </c>
      <c r="N132" s="958"/>
      <c r="O132" s="958"/>
      <c r="P132" s="958"/>
      <c r="Q132" s="959"/>
      <c r="R132" s="45">
        <f t="shared" ref="R132:W132" si="115">R131*F132</f>
        <v>1.3383075053348984E-2</v>
      </c>
      <c r="S132" s="45">
        <f t="shared" si="115"/>
        <v>8.155393488100909E-3</v>
      </c>
      <c r="T132" s="45">
        <f t="shared" si="115"/>
        <v>6.9510066305862091E-3</v>
      </c>
      <c r="U132" s="45">
        <f t="shared" si="115"/>
        <v>0.84677545520590325</v>
      </c>
      <c r="V132" s="45">
        <f t="shared" si="115"/>
        <v>1.5423954975748966E-2</v>
      </c>
      <c r="W132" s="45">
        <f t="shared" si="115"/>
        <v>1.1972413459742636E-2</v>
      </c>
      <c r="X132" s="17"/>
      <c r="Y132" s="17"/>
      <c r="Z132" s="17"/>
    </row>
    <row r="133" spans="1:26" ht="15.6">
      <c r="A133" s="825"/>
      <c r="B133" s="879"/>
      <c r="C133" s="966"/>
      <c r="D133" s="951"/>
      <c r="E133" s="23" t="s">
        <v>1069</v>
      </c>
      <c r="F133" s="30">
        <f>'Input Sheet'!$BU$15</f>
        <v>1</v>
      </c>
      <c r="G133" s="30">
        <f>'Input Sheet'!$BV$15</f>
        <v>0.8</v>
      </c>
      <c r="H133" s="30">
        <f>'Input Sheet'!$BW$15</f>
        <v>0.67999999999999994</v>
      </c>
      <c r="I133" s="30">
        <f>'Input Sheet'!$BX$15</f>
        <v>0.6</v>
      </c>
      <c r="J133" s="30">
        <f>'Input Sheet'!$BY$15</f>
        <v>0.31999999999999995</v>
      </c>
      <c r="K133" s="30">
        <f>'Input Sheet'!$BZ$15</f>
        <v>0.19999999999999996</v>
      </c>
      <c r="L133" s="675"/>
      <c r="M133" s="957" t="s">
        <v>1067</v>
      </c>
      <c r="N133" s="958"/>
      <c r="O133" s="958"/>
      <c r="P133" s="958"/>
      <c r="Q133" s="959"/>
      <c r="R133" s="45">
        <f>R132*F133</f>
        <v>1.3383075053348984E-2</v>
      </c>
      <c r="S133" s="45">
        <f t="shared" ref="S133" si="116">S132*G133</f>
        <v>6.5243147904807276E-3</v>
      </c>
      <c r="T133" s="45">
        <f t="shared" ref="T133" si="117">T132*H133</f>
        <v>4.7266845087986214E-3</v>
      </c>
      <c r="U133" s="45">
        <f t="shared" ref="U133" si="118">U132*I133</f>
        <v>0.50806527312354188</v>
      </c>
      <c r="V133" s="45">
        <f t="shared" ref="V133" si="119">V132*J133</f>
        <v>4.9356655922396684E-3</v>
      </c>
      <c r="W133" s="45">
        <f t="shared" ref="W133" si="120">W132*K133</f>
        <v>2.3944826919485265E-3</v>
      </c>
      <c r="X133" s="17"/>
      <c r="Y133" s="17"/>
      <c r="Z133" s="17"/>
    </row>
    <row r="134" spans="1:26" ht="15.6" customHeight="1">
      <c r="A134" s="825"/>
      <c r="B134" s="879"/>
      <c r="C134" s="966"/>
      <c r="D134" s="951"/>
      <c r="E134" s="23"/>
      <c r="F134" s="960" t="s">
        <v>923</v>
      </c>
      <c r="G134" s="961"/>
      <c r="H134" s="961"/>
      <c r="I134" s="961"/>
      <c r="J134" s="961"/>
      <c r="K134" s="961"/>
      <c r="L134" s="961"/>
      <c r="M134" s="961"/>
      <c r="N134" s="961"/>
      <c r="O134" s="961"/>
      <c r="P134" s="961"/>
      <c r="Q134" s="962"/>
      <c r="R134" s="45">
        <f>R133</f>
        <v>1.3383075053348984E-2</v>
      </c>
      <c r="S134" s="45">
        <f>S133*'Input Sheet'!BV116/'Input Sheet'!BU116</f>
        <v>3.3671546920904972E-4</v>
      </c>
      <c r="T134" s="45">
        <f>T133*'Input Sheet'!BW116/'Input Sheet'!BU116</f>
        <v>4.4827435213855961E-3</v>
      </c>
      <c r="U134" s="45">
        <f>U133</f>
        <v>0.50806527312354188</v>
      </c>
      <c r="V134" s="45">
        <f t="shared" ref="V134:W134" si="121">V133</f>
        <v>4.9356655922396684E-3</v>
      </c>
      <c r="W134" s="45">
        <f t="shared" si="121"/>
        <v>2.3944826919485265E-3</v>
      </c>
      <c r="X134" s="17"/>
      <c r="Y134" s="17"/>
      <c r="Z134" s="17"/>
    </row>
    <row r="135" spans="1:26" ht="15.6" customHeight="1">
      <c r="A135" s="825"/>
      <c r="B135" s="879"/>
      <c r="C135" s="966"/>
      <c r="D135" s="951"/>
      <c r="E135" s="23"/>
      <c r="F135" s="963" t="s">
        <v>924</v>
      </c>
      <c r="G135" s="964"/>
      <c r="H135" s="964"/>
      <c r="I135" s="964"/>
      <c r="J135" s="964"/>
      <c r="K135" s="964"/>
      <c r="L135" s="964"/>
      <c r="M135" s="964"/>
      <c r="N135" s="964"/>
      <c r="O135" s="964"/>
      <c r="P135" s="964"/>
      <c r="Q135" s="965"/>
      <c r="R135" s="50">
        <f>R134/(R134+U134+V134+W134+S134+T134)</f>
        <v>2.5080821462332321E-2</v>
      </c>
      <c r="S135" s="50">
        <f>S134/(R134+S134+T134+U134+V134+W134)</f>
        <v>6.3102840962730219E-4</v>
      </c>
      <c r="T135" s="50">
        <f>T134/(R134+S134+T134+U134+V134+W134)</f>
        <v>8.4009758200649324E-3</v>
      </c>
      <c r="U135" s="50">
        <f>U134/(R134+U134+V134+W134+S134+T134)</f>
        <v>0.95214996221917814</v>
      </c>
      <c r="V135" s="50">
        <f>V134/(R134+U134+V134+W134+S134+T134)</f>
        <v>9.249783552978166E-3</v>
      </c>
      <c r="W135" s="50">
        <f>W134/(R134+U134+V134+W134+S134+T134)</f>
        <v>4.4874285358190193E-3</v>
      </c>
      <c r="X135" s="17"/>
      <c r="Y135" s="17"/>
      <c r="Z135" s="17"/>
    </row>
    <row r="136" spans="1:26" ht="15.6" customHeight="1">
      <c r="A136" s="825"/>
      <c r="B136" s="880"/>
      <c r="C136" s="966"/>
      <c r="D136" s="951"/>
      <c r="E136" s="23"/>
      <c r="F136" s="963" t="s">
        <v>925</v>
      </c>
      <c r="G136" s="964"/>
      <c r="H136" s="964"/>
      <c r="I136" s="964"/>
      <c r="J136" s="964"/>
      <c r="K136" s="964"/>
      <c r="L136" s="964"/>
      <c r="M136" s="964"/>
      <c r="N136" s="964"/>
      <c r="O136" s="964"/>
      <c r="P136" s="964"/>
      <c r="Q136" s="965"/>
      <c r="R136" s="51">
        <f t="shared" ref="R136:W136" si="122">ROUND($C125*$E$2*R135/100,0)*100</f>
        <v>2300</v>
      </c>
      <c r="S136" s="51">
        <f t="shared" si="122"/>
        <v>100</v>
      </c>
      <c r="T136" s="51">
        <f t="shared" si="122"/>
        <v>800</v>
      </c>
      <c r="U136" s="51">
        <f t="shared" si="122"/>
        <v>85800</v>
      </c>
      <c r="V136" s="51">
        <f t="shared" si="122"/>
        <v>800</v>
      </c>
      <c r="W136" s="51">
        <f t="shared" si="122"/>
        <v>400</v>
      </c>
      <c r="X136" s="17"/>
      <c r="Y136" s="17"/>
      <c r="Z136" s="17"/>
    </row>
    <row r="137" spans="1:26" ht="15.75" customHeight="1">
      <c r="A137" s="825">
        <v>12</v>
      </c>
      <c r="B137" s="878" t="s">
        <v>638</v>
      </c>
      <c r="C137" s="966">
        <f>Buckets!X14</f>
        <v>2.7591943855373693E-2</v>
      </c>
      <c r="D137" s="951" t="s">
        <v>490</v>
      </c>
      <c r="E137" s="23" t="s">
        <v>457</v>
      </c>
      <c r="F137" s="30">
        <f>'Input Sheet'!BU129</f>
        <v>1</v>
      </c>
      <c r="G137" s="30">
        <f>'Input Sheet'!BV129</f>
        <v>0.42534469796244517</v>
      </c>
      <c r="H137" s="30">
        <f>'Input Sheet'!BW129</f>
        <v>0.47930915955794684</v>
      </c>
      <c r="I137" s="30">
        <f>'Input Sheet'!BX129</f>
        <v>3.3010906541544136</v>
      </c>
      <c r="J137" s="30">
        <f>'Input Sheet'!BY129</f>
        <v>24.630506973942492</v>
      </c>
      <c r="K137" s="30">
        <f>'Input Sheet'!BZ129</f>
        <v>1.5547162272653561</v>
      </c>
      <c r="L137" s="62">
        <v>1</v>
      </c>
      <c r="M137" s="30">
        <f>L137/L$34</f>
        <v>0.2</v>
      </c>
      <c r="N137" s="29"/>
      <c r="O137" s="29"/>
      <c r="P137" s="29"/>
      <c r="Q137" s="29"/>
      <c r="R137" s="45">
        <f t="shared" ref="R137:W141" si="123">F137</f>
        <v>1</v>
      </c>
      <c r="S137" s="45">
        <f t="shared" si="123"/>
        <v>0.42534469796244517</v>
      </c>
      <c r="T137" s="45">
        <f t="shared" si="123"/>
        <v>0.47930915955794684</v>
      </c>
      <c r="U137" s="45">
        <f t="shared" si="123"/>
        <v>3.3010906541544136</v>
      </c>
      <c r="V137" s="45">
        <f t="shared" si="123"/>
        <v>24.630506973942492</v>
      </c>
      <c r="W137" s="45">
        <f t="shared" si="123"/>
        <v>1.5547162272653561</v>
      </c>
      <c r="X137" s="46"/>
      <c r="Y137" s="46"/>
      <c r="Z137" s="46"/>
    </row>
    <row r="138" spans="1:26" ht="31.2">
      <c r="A138" s="825"/>
      <c r="B138" s="879"/>
      <c r="C138" s="966"/>
      <c r="D138" s="951"/>
      <c r="E138" s="23" t="s">
        <v>491</v>
      </c>
      <c r="F138" s="30">
        <f>'Input Sheet'!BU130</f>
        <v>1</v>
      </c>
      <c r="G138" s="30">
        <f>'Input Sheet'!BV130</f>
        <v>0.47511740929861818</v>
      </c>
      <c r="H138" s="30">
        <f>'Input Sheet'!BW130</f>
        <v>0.35603172002316863</v>
      </c>
      <c r="I138" s="30">
        <f>'Input Sheet'!BX130</f>
        <v>7.4444374867750976E-2</v>
      </c>
      <c r="J138" s="30">
        <f>'Input Sheet'!BY130</f>
        <v>0.29395265174090979</v>
      </c>
      <c r="K138" s="30">
        <f>'Input Sheet'!BZ130</f>
        <v>2.1996822078749489E-2</v>
      </c>
      <c r="L138" s="62">
        <v>1</v>
      </c>
      <c r="M138" s="30">
        <f t="shared" ref="M138:M141" si="124">L138/L$34</f>
        <v>0.2</v>
      </c>
      <c r="N138" s="29"/>
      <c r="O138" s="29"/>
      <c r="P138" s="29"/>
      <c r="Q138" s="29"/>
      <c r="R138" s="45">
        <f t="shared" si="123"/>
        <v>1</v>
      </c>
      <c r="S138" s="45">
        <f t="shared" si="123"/>
        <v>0.47511740929861818</v>
      </c>
      <c r="T138" s="45">
        <f t="shared" si="123"/>
        <v>0.35603172002316863</v>
      </c>
      <c r="U138" s="45">
        <f t="shared" si="123"/>
        <v>7.4444374867750976E-2</v>
      </c>
      <c r="V138" s="45">
        <f t="shared" si="123"/>
        <v>0.29395265174090979</v>
      </c>
      <c r="W138" s="45">
        <f t="shared" si="123"/>
        <v>2.1996822078749489E-2</v>
      </c>
      <c r="X138" s="46"/>
      <c r="Y138" s="46"/>
      <c r="Z138" s="46"/>
    </row>
    <row r="139" spans="1:26" ht="15.6">
      <c r="A139" s="825"/>
      <c r="B139" s="879"/>
      <c r="C139" s="966"/>
      <c r="D139" s="951"/>
      <c r="E139" s="23" t="s">
        <v>459</v>
      </c>
      <c r="F139" s="30">
        <f>'Input Sheet'!BU131</f>
        <v>1</v>
      </c>
      <c r="G139" s="30">
        <f>'Input Sheet'!BV131</f>
        <v>1</v>
      </c>
      <c r="H139" s="30">
        <f>'Input Sheet'!BW131</f>
        <v>1</v>
      </c>
      <c r="I139" s="30">
        <f>'Input Sheet'!BX131</f>
        <v>0.24526760348267987</v>
      </c>
      <c r="J139" s="30">
        <f>'Input Sheet'!BY131</f>
        <v>1</v>
      </c>
      <c r="K139" s="30">
        <f>'Input Sheet'!BZ131</f>
        <v>0.53129788176043136</v>
      </c>
      <c r="L139" s="62">
        <v>1</v>
      </c>
      <c r="M139" s="30">
        <f t="shared" si="124"/>
        <v>0.2</v>
      </c>
      <c r="N139" s="29"/>
      <c r="O139" s="29"/>
      <c r="P139" s="29"/>
      <c r="Q139" s="29"/>
      <c r="R139" s="45">
        <f t="shared" si="123"/>
        <v>1</v>
      </c>
      <c r="S139" s="45">
        <f t="shared" si="123"/>
        <v>1</v>
      </c>
      <c r="T139" s="45">
        <f t="shared" si="123"/>
        <v>1</v>
      </c>
      <c r="U139" s="45">
        <f t="shared" si="123"/>
        <v>0.24526760348267987</v>
      </c>
      <c r="V139" s="45">
        <f t="shared" si="123"/>
        <v>1</v>
      </c>
      <c r="W139" s="45">
        <f t="shared" si="123"/>
        <v>0.53129788176043136</v>
      </c>
      <c r="X139" s="46"/>
      <c r="Y139" s="46"/>
      <c r="Z139" s="46"/>
    </row>
    <row r="140" spans="1:26" ht="15.6">
      <c r="A140" s="825"/>
      <c r="B140" s="879"/>
      <c r="C140" s="966"/>
      <c r="D140" s="951"/>
      <c r="E140" s="23" t="s">
        <v>492</v>
      </c>
      <c r="F140" s="30">
        <f>'Input Sheet'!BU132</f>
        <v>1</v>
      </c>
      <c r="G140" s="30">
        <f>'Input Sheet'!BV132</f>
        <v>0.83945702076920725</v>
      </c>
      <c r="H140" s="30">
        <f>'Input Sheet'!BW132</f>
        <v>0.83945702076920725</v>
      </c>
      <c r="I140" s="30">
        <f>'Input Sheet'!BX132</f>
        <v>1.6904588483790908</v>
      </c>
      <c r="J140" s="30">
        <f>'Input Sheet'!BY132</f>
        <v>0.83945702076920725</v>
      </c>
      <c r="K140" s="30">
        <f>'Input Sheet'!BZ132</f>
        <v>1.6904588483790908</v>
      </c>
      <c r="L140" s="62">
        <v>1</v>
      </c>
      <c r="M140" s="30">
        <f t="shared" si="124"/>
        <v>0.2</v>
      </c>
      <c r="N140" s="29"/>
      <c r="O140" s="29"/>
      <c r="P140" s="29"/>
      <c r="Q140" s="29"/>
      <c r="R140" s="45">
        <f t="shared" si="123"/>
        <v>1</v>
      </c>
      <c r="S140" s="45">
        <f t="shared" si="123"/>
        <v>0.83945702076920725</v>
      </c>
      <c r="T140" s="45">
        <f t="shared" si="123"/>
        <v>0.83945702076920725</v>
      </c>
      <c r="U140" s="45">
        <f t="shared" si="123"/>
        <v>1.6904588483790908</v>
      </c>
      <c r="V140" s="45">
        <f t="shared" si="123"/>
        <v>0.83945702076920725</v>
      </c>
      <c r="W140" s="45">
        <f t="shared" si="123"/>
        <v>1.6904588483790908</v>
      </c>
      <c r="X140" s="46"/>
      <c r="Y140" s="46"/>
      <c r="Z140" s="46"/>
    </row>
    <row r="141" spans="1:26" ht="15.6">
      <c r="A141" s="825"/>
      <c r="B141" s="879"/>
      <c r="C141" s="966"/>
      <c r="D141" s="951"/>
      <c r="E141" s="34" t="s">
        <v>461</v>
      </c>
      <c r="F141" s="30">
        <f>'Input Sheet'!BU133</f>
        <v>1</v>
      </c>
      <c r="G141" s="30">
        <f>'Input Sheet'!BV133</f>
        <v>0.71653131057378894</v>
      </c>
      <c r="H141" s="30">
        <f>'Input Sheet'!BW133</f>
        <v>0.52921334150005017</v>
      </c>
      <c r="I141" s="30">
        <f>'Input Sheet'!BX133</f>
        <v>0.31140322391459774</v>
      </c>
      <c r="J141" s="30">
        <f>'Input Sheet'!BY133</f>
        <v>1</v>
      </c>
      <c r="K141" s="30">
        <f>'Input Sheet'!BZ133</f>
        <v>1</v>
      </c>
      <c r="L141" s="62">
        <v>1</v>
      </c>
      <c r="M141" s="30">
        <f t="shared" si="124"/>
        <v>0.2</v>
      </c>
      <c r="N141" s="29"/>
      <c r="O141" s="29"/>
      <c r="P141" s="29"/>
      <c r="Q141" s="29"/>
      <c r="R141" s="45">
        <f t="shared" si="123"/>
        <v>1</v>
      </c>
      <c r="S141" s="45">
        <f t="shared" si="123"/>
        <v>0.71653131057378894</v>
      </c>
      <c r="T141" s="45">
        <f t="shared" si="123"/>
        <v>0.52921334150005017</v>
      </c>
      <c r="U141" s="45">
        <f t="shared" si="123"/>
        <v>0.31140322391459774</v>
      </c>
      <c r="V141" s="45">
        <f t="shared" si="123"/>
        <v>1</v>
      </c>
      <c r="W141" s="45">
        <f t="shared" si="123"/>
        <v>1</v>
      </c>
      <c r="X141" s="46"/>
      <c r="Y141" s="46"/>
      <c r="Z141" s="46"/>
    </row>
    <row r="142" spans="1:26" ht="15.6">
      <c r="A142" s="825">
        <v>2</v>
      </c>
      <c r="B142" s="879"/>
      <c r="C142" s="966"/>
      <c r="D142" s="951"/>
      <c r="E142" s="23" t="s">
        <v>38</v>
      </c>
      <c r="F142" s="47"/>
      <c r="G142" s="47"/>
      <c r="H142" s="47"/>
      <c r="I142" s="47"/>
      <c r="J142" s="47"/>
      <c r="K142" s="47"/>
      <c r="L142" s="449">
        <f>SUM(L137:L141)</f>
        <v>5</v>
      </c>
      <c r="M142" s="872" t="s">
        <v>493</v>
      </c>
      <c r="N142" s="873"/>
      <c r="O142" s="873"/>
      <c r="P142" s="873"/>
      <c r="Q142" s="874"/>
      <c r="R142" s="45">
        <f t="shared" ref="R142:W142" si="125">SUM(R137:R141)</f>
        <v>5</v>
      </c>
      <c r="S142" s="45">
        <f t="shared" si="125"/>
        <v>3.4564504386040591</v>
      </c>
      <c r="T142" s="45">
        <f t="shared" si="125"/>
        <v>3.204011241850373</v>
      </c>
      <c r="U142" s="45">
        <f t="shared" si="125"/>
        <v>5.6226647047985328</v>
      </c>
      <c r="V142" s="45">
        <f t="shared" si="125"/>
        <v>27.763916646452607</v>
      </c>
      <c r="W142" s="45">
        <f t="shared" si="125"/>
        <v>4.7984697794836277</v>
      </c>
      <c r="X142" s="48"/>
      <c r="Y142" s="48"/>
      <c r="Z142" s="48"/>
    </row>
    <row r="143" spans="1:26" ht="15.6">
      <c r="A143" s="825"/>
      <c r="B143" s="879"/>
      <c r="C143" s="966"/>
      <c r="D143" s="951"/>
      <c r="E143" s="23"/>
      <c r="F143" s="23"/>
      <c r="G143" s="23"/>
      <c r="H143" s="23"/>
      <c r="I143" s="23"/>
      <c r="J143" s="23"/>
      <c r="K143" s="23"/>
      <c r="L143" s="23"/>
      <c r="M143" s="872" t="s">
        <v>494</v>
      </c>
      <c r="N143" s="873"/>
      <c r="O143" s="873"/>
      <c r="P143" s="873"/>
      <c r="Q143" s="874"/>
      <c r="R143" s="45">
        <f t="shared" ref="R143:W143" si="126">R142/SUM($R142:$W142)</f>
        <v>0.10030993198805274</v>
      </c>
      <c r="S143" s="45">
        <f t="shared" si="126"/>
        <v>6.934326168328965E-2</v>
      </c>
      <c r="T143" s="45">
        <f t="shared" si="126"/>
        <v>6.4278829951793473E-2</v>
      </c>
      <c r="U143" s="45">
        <f t="shared" si="126"/>
        <v>0.1128018228259931</v>
      </c>
      <c r="V143" s="45">
        <f t="shared" si="126"/>
        <v>0.55699931810552528</v>
      </c>
      <c r="W143" s="45">
        <f t="shared" si="126"/>
        <v>9.6266835445345825E-2</v>
      </c>
      <c r="X143" s="17"/>
      <c r="Y143" s="17"/>
      <c r="Z143" s="17"/>
    </row>
    <row r="144" spans="1:26" ht="15.6">
      <c r="A144" s="825"/>
      <c r="B144" s="879"/>
      <c r="C144" s="966"/>
      <c r="D144" s="951"/>
      <c r="E144" s="23"/>
      <c r="F144" s="30">
        <f>'Input Sheet'!BU135</f>
        <v>1</v>
      </c>
      <c r="G144" s="30">
        <f>'Input Sheet'!BV135</f>
        <v>0.92</v>
      </c>
      <c r="H144" s="30">
        <f>'Input Sheet'!BW135</f>
        <v>0.8</v>
      </c>
      <c r="I144" s="30">
        <f>'Input Sheet'!BX135</f>
        <v>0.88</v>
      </c>
      <c r="J144" s="30">
        <f>'Input Sheet'!BY135</f>
        <v>0.64</v>
      </c>
      <c r="K144" s="30">
        <f>'Input Sheet'!BZ135</f>
        <v>0.48</v>
      </c>
      <c r="L144" s="23"/>
      <c r="M144" s="957" t="s">
        <v>495</v>
      </c>
      <c r="N144" s="958"/>
      <c r="O144" s="958"/>
      <c r="P144" s="958"/>
      <c r="Q144" s="959"/>
      <c r="R144" s="45">
        <f t="shared" ref="R144:W144" si="127">R143*F144</f>
        <v>0.10030993198805274</v>
      </c>
      <c r="S144" s="45">
        <f t="shared" si="127"/>
        <v>6.379580074862648E-2</v>
      </c>
      <c r="T144" s="45">
        <f t="shared" si="127"/>
        <v>5.1423063961434784E-2</v>
      </c>
      <c r="U144" s="45">
        <f t="shared" si="127"/>
        <v>9.9265604086873932E-2</v>
      </c>
      <c r="V144" s="45">
        <f t="shared" si="127"/>
        <v>0.35647956358753619</v>
      </c>
      <c r="W144" s="45">
        <f t="shared" si="127"/>
        <v>4.6208081013765993E-2</v>
      </c>
      <c r="X144" s="17"/>
      <c r="Y144" s="17"/>
      <c r="Z144" s="17"/>
    </row>
    <row r="145" spans="1:26" ht="15.6">
      <c r="A145" s="825"/>
      <c r="B145" s="879"/>
      <c r="C145" s="966"/>
      <c r="D145" s="951"/>
      <c r="E145" s="23" t="s">
        <v>1069</v>
      </c>
      <c r="F145" s="30">
        <f>'Input Sheet'!$BU$15</f>
        <v>1</v>
      </c>
      <c r="G145" s="30">
        <f>'Input Sheet'!$BV$15</f>
        <v>0.8</v>
      </c>
      <c r="H145" s="30">
        <f>'Input Sheet'!$BW$15</f>
        <v>0.67999999999999994</v>
      </c>
      <c r="I145" s="30">
        <f>'Input Sheet'!$BX$15</f>
        <v>0.6</v>
      </c>
      <c r="J145" s="30">
        <f>'Input Sheet'!$BY$15</f>
        <v>0.31999999999999995</v>
      </c>
      <c r="K145" s="30">
        <f>'Input Sheet'!$BZ$15</f>
        <v>0.19999999999999996</v>
      </c>
      <c r="L145" s="675"/>
      <c r="M145" s="957" t="s">
        <v>1067</v>
      </c>
      <c r="N145" s="958"/>
      <c r="O145" s="958"/>
      <c r="P145" s="958"/>
      <c r="Q145" s="959"/>
      <c r="R145" s="45">
        <f>R144*F145</f>
        <v>0.10030993198805274</v>
      </c>
      <c r="S145" s="45">
        <f t="shared" ref="S145" si="128">S144*G145</f>
        <v>5.1036640598901187E-2</v>
      </c>
      <c r="T145" s="45">
        <f t="shared" ref="T145" si="129">T144*H145</f>
        <v>3.4967683493775652E-2</v>
      </c>
      <c r="U145" s="45">
        <f t="shared" ref="U145" si="130">U144*I145</f>
        <v>5.9559362452124356E-2</v>
      </c>
      <c r="V145" s="45">
        <f t="shared" ref="V145" si="131">V144*J145</f>
        <v>0.11407346034801157</v>
      </c>
      <c r="W145" s="45">
        <f t="shared" ref="W145" si="132">W144*K145</f>
        <v>9.2416162027531973E-3</v>
      </c>
      <c r="X145" s="17"/>
      <c r="Y145" s="17"/>
      <c r="Z145" s="17"/>
    </row>
    <row r="146" spans="1:26" ht="15.6" customHeight="1">
      <c r="A146" s="825"/>
      <c r="B146" s="879"/>
      <c r="C146" s="966"/>
      <c r="D146" s="951"/>
      <c r="E146" s="23"/>
      <c r="F146" s="960" t="s">
        <v>923</v>
      </c>
      <c r="G146" s="961"/>
      <c r="H146" s="961"/>
      <c r="I146" s="961"/>
      <c r="J146" s="961"/>
      <c r="K146" s="961"/>
      <c r="L146" s="961"/>
      <c r="M146" s="961"/>
      <c r="N146" s="961"/>
      <c r="O146" s="961"/>
      <c r="P146" s="961"/>
      <c r="Q146" s="962"/>
      <c r="R146" s="45">
        <f>R145</f>
        <v>0.10030993198805274</v>
      </c>
      <c r="S146" s="45">
        <f>S145*'Input Sheet'!BV127/'Input Sheet'!BU127</f>
        <v>5.1036640598901187E-2</v>
      </c>
      <c r="T146" s="45">
        <f>T145*'Input Sheet'!BW127/'Input Sheet'!BU127</f>
        <v>0</v>
      </c>
      <c r="U146" s="45">
        <f t="shared" ref="U146:W146" si="133">U145</f>
        <v>5.9559362452124356E-2</v>
      </c>
      <c r="V146" s="45">
        <f t="shared" si="133"/>
        <v>0.11407346034801157</v>
      </c>
      <c r="W146" s="45">
        <f t="shared" si="133"/>
        <v>9.2416162027531973E-3</v>
      </c>
      <c r="X146" s="17"/>
      <c r="Y146" s="17"/>
      <c r="Z146" s="17"/>
    </row>
    <row r="147" spans="1:26" ht="15.6" customHeight="1">
      <c r="A147" s="825"/>
      <c r="B147" s="879"/>
      <c r="C147" s="966"/>
      <c r="D147" s="951"/>
      <c r="E147" s="23"/>
      <c r="F147" s="963" t="s">
        <v>924</v>
      </c>
      <c r="G147" s="964"/>
      <c r="H147" s="964"/>
      <c r="I147" s="964"/>
      <c r="J147" s="964"/>
      <c r="K147" s="964"/>
      <c r="L147" s="964"/>
      <c r="M147" s="964"/>
      <c r="N147" s="964"/>
      <c r="O147" s="964"/>
      <c r="P147" s="964"/>
      <c r="Q147" s="965"/>
      <c r="R147" s="50">
        <f>R146/(R146+U146+V146+W146+S146+T146)</f>
        <v>0.30013053790631622</v>
      </c>
      <c r="S147" s="50">
        <f>S146/(R146+S146+T146+U146+V146+W146)</f>
        <v>0.15270326768543652</v>
      </c>
      <c r="T147" s="50">
        <f>T146/(R146+S146+T146+U146+V146+W146)</f>
        <v>0</v>
      </c>
      <c r="U147" s="50">
        <f>U146/(R146+U146+V146+W146+S146+T146)</f>
        <v>0.17820352517278526</v>
      </c>
      <c r="V147" s="50">
        <f>V146/(R146+U146+V146+W146+S146+T146)</f>
        <v>0.34131145676742436</v>
      </c>
      <c r="W147" s="50">
        <f>W146/(R146+U146+V146+W146+S146+T146)</f>
        <v>2.7651212468037568E-2</v>
      </c>
      <c r="X147" s="17"/>
      <c r="Y147" s="17"/>
      <c r="Z147" s="17"/>
    </row>
    <row r="148" spans="1:26" ht="15.6" customHeight="1">
      <c r="A148" s="825"/>
      <c r="B148" s="880"/>
      <c r="C148" s="966"/>
      <c r="D148" s="951"/>
      <c r="E148" s="23"/>
      <c r="F148" s="963" t="s">
        <v>925</v>
      </c>
      <c r="G148" s="964"/>
      <c r="H148" s="964"/>
      <c r="I148" s="964"/>
      <c r="J148" s="964"/>
      <c r="K148" s="964"/>
      <c r="L148" s="964"/>
      <c r="M148" s="964"/>
      <c r="N148" s="964"/>
      <c r="O148" s="964"/>
      <c r="P148" s="964"/>
      <c r="Q148" s="965"/>
      <c r="R148" s="51">
        <f t="shared" ref="R148:W148" si="134">ROUND($C137*$E$2*R147/100,0)*100</f>
        <v>7100</v>
      </c>
      <c r="S148" s="51">
        <f t="shared" si="134"/>
        <v>3600</v>
      </c>
      <c r="T148" s="51">
        <f t="shared" si="134"/>
        <v>0</v>
      </c>
      <c r="U148" s="51">
        <f t="shared" si="134"/>
        <v>4200</v>
      </c>
      <c r="V148" s="51">
        <f t="shared" si="134"/>
        <v>8000</v>
      </c>
      <c r="W148" s="51">
        <f t="shared" si="134"/>
        <v>700</v>
      </c>
      <c r="X148" s="17"/>
      <c r="Y148" s="17"/>
      <c r="Z148" s="17"/>
    </row>
    <row r="149" spans="1:26" ht="15.75" customHeight="1">
      <c r="A149" s="825">
        <v>13</v>
      </c>
      <c r="B149" s="878" t="s">
        <v>644</v>
      </c>
      <c r="C149" s="966">
        <f>Buckets!X15</f>
        <v>4.1440639242656792E-2</v>
      </c>
      <c r="D149" s="951" t="s">
        <v>490</v>
      </c>
      <c r="E149" s="23" t="s">
        <v>457</v>
      </c>
      <c r="F149" s="30">
        <f>'Input Sheet'!BU140</f>
        <v>1</v>
      </c>
      <c r="G149" s="30">
        <f>'Input Sheet'!BV140</f>
        <v>0.41995539512379332</v>
      </c>
      <c r="H149" s="30">
        <f>'Input Sheet'!BW140</f>
        <v>0.48370522742156841</v>
      </c>
      <c r="I149" s="30">
        <f>'Input Sheet'!BX140</f>
        <v>44.489701891277228</v>
      </c>
      <c r="J149" s="30">
        <f>'Input Sheet'!BY140</f>
        <v>3.8042485305402489</v>
      </c>
      <c r="K149" s="30">
        <f>'Input Sheet'!BZ140</f>
        <v>2.4011608239584734</v>
      </c>
      <c r="L149" s="62">
        <v>1</v>
      </c>
      <c r="M149" s="30">
        <f>L149/L$34</f>
        <v>0.2</v>
      </c>
      <c r="N149" s="29"/>
      <c r="O149" s="29"/>
      <c r="P149" s="29"/>
      <c r="Q149" s="29"/>
      <c r="R149" s="45">
        <f t="shared" ref="R149:W153" si="135">F149</f>
        <v>1</v>
      </c>
      <c r="S149" s="45">
        <f t="shared" si="135"/>
        <v>0.41995539512379332</v>
      </c>
      <c r="T149" s="45">
        <f t="shared" si="135"/>
        <v>0.48370522742156841</v>
      </c>
      <c r="U149" s="45">
        <f t="shared" si="135"/>
        <v>44.489701891277228</v>
      </c>
      <c r="V149" s="45">
        <f t="shared" si="135"/>
        <v>3.8042485305402489</v>
      </c>
      <c r="W149" s="45">
        <f t="shared" si="135"/>
        <v>2.4011608239584734</v>
      </c>
      <c r="X149" s="46"/>
      <c r="Y149" s="46"/>
      <c r="Z149" s="46"/>
    </row>
    <row r="150" spans="1:26" ht="31.2">
      <c r="A150" s="825"/>
      <c r="B150" s="879"/>
      <c r="C150" s="966"/>
      <c r="D150" s="951"/>
      <c r="E150" s="23" t="s">
        <v>491</v>
      </c>
      <c r="F150" s="30">
        <f>'Input Sheet'!BU141</f>
        <v>1</v>
      </c>
      <c r="G150" s="30">
        <f>'Input Sheet'!BV141</f>
        <v>0.47511740929861818</v>
      </c>
      <c r="H150" s="30">
        <f>'Input Sheet'!BW141</f>
        <v>0.35603172002316863</v>
      </c>
      <c r="I150" s="30">
        <f>'Input Sheet'!BX141</f>
        <v>7.4444374867750976E-2</v>
      </c>
      <c r="J150" s="30">
        <f>'Input Sheet'!BY141</f>
        <v>0.29395265174090979</v>
      </c>
      <c r="K150" s="30">
        <f>'Input Sheet'!BZ141</f>
        <v>2.1996822078749489E-2</v>
      </c>
      <c r="L150" s="62">
        <v>1</v>
      </c>
      <c r="M150" s="30">
        <f t="shared" ref="M150:M153" si="136">L150/L$34</f>
        <v>0.2</v>
      </c>
      <c r="N150" s="29"/>
      <c r="O150" s="29"/>
      <c r="P150" s="29"/>
      <c r="Q150" s="29"/>
      <c r="R150" s="45">
        <f t="shared" si="135"/>
        <v>1</v>
      </c>
      <c r="S150" s="45">
        <f t="shared" si="135"/>
        <v>0.47511740929861818</v>
      </c>
      <c r="T150" s="45">
        <f t="shared" si="135"/>
        <v>0.35603172002316863</v>
      </c>
      <c r="U150" s="45">
        <f t="shared" si="135"/>
        <v>7.4444374867750976E-2</v>
      </c>
      <c r="V150" s="45">
        <f t="shared" si="135"/>
        <v>0.29395265174090979</v>
      </c>
      <c r="W150" s="45">
        <f t="shared" si="135"/>
        <v>2.1996822078749489E-2</v>
      </c>
      <c r="X150" s="46"/>
      <c r="Y150" s="46"/>
      <c r="Z150" s="46"/>
    </row>
    <row r="151" spans="1:26" ht="15.6">
      <c r="A151" s="825"/>
      <c r="B151" s="879"/>
      <c r="C151" s="966"/>
      <c r="D151" s="951"/>
      <c r="E151" s="23" t="s">
        <v>459</v>
      </c>
      <c r="F151" s="30">
        <f>'Input Sheet'!BU142</f>
        <v>1</v>
      </c>
      <c r="G151" s="30">
        <f>'Input Sheet'!BV142</f>
        <v>1</v>
      </c>
      <c r="H151" s="30">
        <f>'Input Sheet'!BW142</f>
        <v>1</v>
      </c>
      <c r="I151" s="30">
        <f>'Input Sheet'!BX142</f>
        <v>0.24526760348267987</v>
      </c>
      <c r="J151" s="30">
        <f>'Input Sheet'!BY142</f>
        <v>1</v>
      </c>
      <c r="K151" s="30">
        <f>'Input Sheet'!BZ142</f>
        <v>0.53129788176043136</v>
      </c>
      <c r="L151" s="62">
        <v>1</v>
      </c>
      <c r="M151" s="30">
        <f t="shared" si="136"/>
        <v>0.2</v>
      </c>
      <c r="N151" s="29"/>
      <c r="O151" s="29"/>
      <c r="P151" s="29"/>
      <c r="Q151" s="29"/>
      <c r="R151" s="45">
        <f t="shared" si="135"/>
        <v>1</v>
      </c>
      <c r="S151" s="45">
        <f t="shared" si="135"/>
        <v>1</v>
      </c>
      <c r="T151" s="45">
        <f t="shared" si="135"/>
        <v>1</v>
      </c>
      <c r="U151" s="45">
        <f t="shared" si="135"/>
        <v>0.24526760348267987</v>
      </c>
      <c r="V151" s="45">
        <f t="shared" si="135"/>
        <v>1</v>
      </c>
      <c r="W151" s="45">
        <f t="shared" si="135"/>
        <v>0.53129788176043136</v>
      </c>
      <c r="X151" s="46"/>
      <c r="Y151" s="46"/>
      <c r="Z151" s="46"/>
    </row>
    <row r="152" spans="1:26" ht="15.6">
      <c r="A152" s="825"/>
      <c r="B152" s="879"/>
      <c r="C152" s="966"/>
      <c r="D152" s="951"/>
      <c r="E152" s="23" t="s">
        <v>492</v>
      </c>
      <c r="F152" s="30">
        <f>'Input Sheet'!BU143</f>
        <v>1</v>
      </c>
      <c r="G152" s="30">
        <f>'Input Sheet'!BV143</f>
        <v>0.83945702076920725</v>
      </c>
      <c r="H152" s="30">
        <f>'Input Sheet'!BW143</f>
        <v>0.83945702076920725</v>
      </c>
      <c r="I152" s="30">
        <f>'Input Sheet'!BX143</f>
        <v>1.6904588483790908</v>
      </c>
      <c r="J152" s="30">
        <f>'Input Sheet'!BY143</f>
        <v>0.83945702076920725</v>
      </c>
      <c r="K152" s="30">
        <f>'Input Sheet'!BZ143</f>
        <v>1.6904588483790908</v>
      </c>
      <c r="L152" s="62">
        <v>1</v>
      </c>
      <c r="M152" s="30">
        <f t="shared" si="136"/>
        <v>0.2</v>
      </c>
      <c r="N152" s="29"/>
      <c r="O152" s="29"/>
      <c r="P152" s="29"/>
      <c r="Q152" s="29"/>
      <c r="R152" s="45">
        <f t="shared" si="135"/>
        <v>1</v>
      </c>
      <c r="S152" s="45">
        <f t="shared" si="135"/>
        <v>0.83945702076920725</v>
      </c>
      <c r="T152" s="45">
        <f t="shared" si="135"/>
        <v>0.83945702076920725</v>
      </c>
      <c r="U152" s="45">
        <f t="shared" si="135"/>
        <v>1.6904588483790908</v>
      </c>
      <c r="V152" s="45">
        <f t="shared" si="135"/>
        <v>0.83945702076920725</v>
      </c>
      <c r="W152" s="45">
        <f t="shared" si="135"/>
        <v>1.6904588483790908</v>
      </c>
      <c r="X152" s="46"/>
      <c r="Y152" s="46"/>
      <c r="Z152" s="46"/>
    </row>
    <row r="153" spans="1:26" ht="15.6">
      <c r="A153" s="825"/>
      <c r="B153" s="879"/>
      <c r="C153" s="966"/>
      <c r="D153" s="951"/>
      <c r="E153" s="34" t="s">
        <v>461</v>
      </c>
      <c r="F153" s="30">
        <f>'Input Sheet'!BU144</f>
        <v>1</v>
      </c>
      <c r="G153" s="30">
        <f>'Input Sheet'!BV144</f>
        <v>0.71653131057378894</v>
      </c>
      <c r="H153" s="30">
        <f>'Input Sheet'!BW144</f>
        <v>0.52921334150005017</v>
      </c>
      <c r="I153" s="30">
        <f>'Input Sheet'!BX144</f>
        <v>0.31140322391459774</v>
      </c>
      <c r="J153" s="30">
        <f>'Input Sheet'!BY144</f>
        <v>1</v>
      </c>
      <c r="K153" s="30">
        <f>'Input Sheet'!BZ144</f>
        <v>1</v>
      </c>
      <c r="L153" s="62">
        <v>1</v>
      </c>
      <c r="M153" s="30">
        <f t="shared" si="136"/>
        <v>0.2</v>
      </c>
      <c r="N153" s="29"/>
      <c r="O153" s="29"/>
      <c r="P153" s="29"/>
      <c r="Q153" s="29"/>
      <c r="R153" s="45">
        <f t="shared" si="135"/>
        <v>1</v>
      </c>
      <c r="S153" s="45">
        <f t="shared" si="135"/>
        <v>0.71653131057378894</v>
      </c>
      <c r="T153" s="45">
        <f t="shared" si="135"/>
        <v>0.52921334150005017</v>
      </c>
      <c r="U153" s="45">
        <f t="shared" si="135"/>
        <v>0.31140322391459774</v>
      </c>
      <c r="V153" s="45">
        <f t="shared" si="135"/>
        <v>1</v>
      </c>
      <c r="W153" s="45">
        <f t="shared" si="135"/>
        <v>1</v>
      </c>
      <c r="X153" s="46"/>
      <c r="Y153" s="46"/>
      <c r="Z153" s="46"/>
    </row>
    <row r="154" spans="1:26" ht="15.6">
      <c r="A154" s="825">
        <v>2</v>
      </c>
      <c r="B154" s="879"/>
      <c r="C154" s="966"/>
      <c r="D154" s="951"/>
      <c r="E154" s="23" t="s">
        <v>38</v>
      </c>
      <c r="F154" s="47"/>
      <c r="G154" s="47"/>
      <c r="H154" s="47"/>
      <c r="I154" s="47"/>
      <c r="J154" s="47"/>
      <c r="K154" s="47"/>
      <c r="L154" s="449">
        <f>SUM(L149:L153)</f>
        <v>5</v>
      </c>
      <c r="M154" s="872" t="s">
        <v>493</v>
      </c>
      <c r="N154" s="873"/>
      <c r="O154" s="873"/>
      <c r="P154" s="873"/>
      <c r="Q154" s="874"/>
      <c r="R154" s="45">
        <f t="shared" ref="R154:W154" si="137">SUM(R149:R153)</f>
        <v>5</v>
      </c>
      <c r="S154" s="45">
        <f t="shared" si="137"/>
        <v>3.451061135765408</v>
      </c>
      <c r="T154" s="45">
        <f t="shared" si="137"/>
        <v>3.2084073097139942</v>
      </c>
      <c r="U154" s="45">
        <f t="shared" si="137"/>
        <v>46.811275941921345</v>
      </c>
      <c r="V154" s="45">
        <f t="shared" si="137"/>
        <v>6.9376582030503657</v>
      </c>
      <c r="W154" s="45">
        <f t="shared" si="137"/>
        <v>5.6449143761767449</v>
      </c>
      <c r="X154" s="48"/>
      <c r="Y154" s="48"/>
      <c r="Z154" s="48"/>
    </row>
    <row r="155" spans="1:26" ht="15.6">
      <c r="A155" s="825"/>
      <c r="B155" s="879"/>
      <c r="C155" s="966"/>
      <c r="D155" s="951"/>
      <c r="E155" s="23"/>
      <c r="F155" s="23"/>
      <c r="G155" s="23"/>
      <c r="H155" s="23"/>
      <c r="I155" s="23"/>
      <c r="J155" s="23"/>
      <c r="K155" s="23"/>
      <c r="L155" s="23"/>
      <c r="M155" s="872" t="s">
        <v>494</v>
      </c>
      <c r="N155" s="873"/>
      <c r="O155" s="873"/>
      <c r="P155" s="873"/>
      <c r="Q155" s="874"/>
      <c r="R155" s="45">
        <f t="shared" ref="R155:W155" si="138">R154/SUM($R154:$W154)</f>
        <v>7.0369691570463744E-2</v>
      </c>
      <c r="S155" s="45">
        <f t="shared" si="138"/>
        <v>4.857002154292521E-2</v>
      </c>
      <c r="T155" s="45">
        <f t="shared" si="138"/>
        <v>4.515492656339902E-2</v>
      </c>
      <c r="U155" s="45">
        <f t="shared" si="138"/>
        <v>0.65881901001057497</v>
      </c>
      <c r="V155" s="45">
        <f t="shared" si="138"/>
        <v>9.7640173593990395E-2</v>
      </c>
      <c r="W155" s="45">
        <f t="shared" si="138"/>
        <v>7.9446176718646858E-2</v>
      </c>
      <c r="X155" s="17"/>
      <c r="Y155" s="17"/>
      <c r="Z155" s="17"/>
    </row>
    <row r="156" spans="1:26" ht="15.6">
      <c r="A156" s="825"/>
      <c r="B156" s="879"/>
      <c r="C156" s="966"/>
      <c r="D156" s="951"/>
      <c r="E156" s="23"/>
      <c r="F156" s="30">
        <f>'Input Sheet'!BU146</f>
        <v>1</v>
      </c>
      <c r="G156" s="30">
        <f>'Input Sheet'!BV146</f>
        <v>0.92</v>
      </c>
      <c r="H156" s="30">
        <f>'Input Sheet'!BW146</f>
        <v>0.8</v>
      </c>
      <c r="I156" s="30">
        <f>'Input Sheet'!BX146</f>
        <v>0.88</v>
      </c>
      <c r="J156" s="30">
        <f>'Input Sheet'!BY146</f>
        <v>0.64</v>
      </c>
      <c r="K156" s="30">
        <f>'Input Sheet'!BZ146</f>
        <v>0.48</v>
      </c>
      <c r="L156" s="23"/>
      <c r="M156" s="957" t="s">
        <v>495</v>
      </c>
      <c r="N156" s="958"/>
      <c r="O156" s="958"/>
      <c r="P156" s="958"/>
      <c r="Q156" s="959"/>
      <c r="R156" s="45">
        <f t="shared" ref="R156:W156" si="139">R155*F156</f>
        <v>7.0369691570463744E-2</v>
      </c>
      <c r="S156" s="45">
        <f t="shared" si="139"/>
        <v>4.4684419819491193E-2</v>
      </c>
      <c r="T156" s="45">
        <f t="shared" si="139"/>
        <v>3.6123941250719216E-2</v>
      </c>
      <c r="U156" s="45">
        <f t="shared" si="139"/>
        <v>0.57976072880930596</v>
      </c>
      <c r="V156" s="45">
        <f t="shared" si="139"/>
        <v>6.2489711100153854E-2</v>
      </c>
      <c r="W156" s="45">
        <f t="shared" si="139"/>
        <v>3.8134164824950488E-2</v>
      </c>
      <c r="X156" s="17"/>
      <c r="Y156" s="17"/>
      <c r="Z156" s="17"/>
    </row>
    <row r="157" spans="1:26" ht="15.6">
      <c r="A157" s="825"/>
      <c r="B157" s="879"/>
      <c r="C157" s="966"/>
      <c r="D157" s="951"/>
      <c r="E157" s="23" t="s">
        <v>1069</v>
      </c>
      <c r="F157" s="30">
        <f>'Input Sheet'!$BU$15</f>
        <v>1</v>
      </c>
      <c r="G157" s="30">
        <f>'Input Sheet'!$BV$15</f>
        <v>0.8</v>
      </c>
      <c r="H157" s="30">
        <f>'Input Sheet'!$BW$15</f>
        <v>0.67999999999999994</v>
      </c>
      <c r="I157" s="30">
        <f>'Input Sheet'!$BX$15</f>
        <v>0.6</v>
      </c>
      <c r="J157" s="30">
        <f>'Input Sheet'!$BY$15</f>
        <v>0.31999999999999995</v>
      </c>
      <c r="K157" s="30">
        <f>'Input Sheet'!$BZ$15</f>
        <v>0.19999999999999996</v>
      </c>
      <c r="L157" s="675"/>
      <c r="M157" s="957" t="s">
        <v>1067</v>
      </c>
      <c r="N157" s="958"/>
      <c r="O157" s="958"/>
      <c r="P157" s="958"/>
      <c r="Q157" s="959"/>
      <c r="R157" s="45">
        <f>R156*F157</f>
        <v>7.0369691570463744E-2</v>
      </c>
      <c r="S157" s="45">
        <f t="shared" ref="S157" si="140">S156*G157</f>
        <v>3.5747535855592955E-2</v>
      </c>
      <c r="T157" s="45">
        <f t="shared" ref="T157" si="141">T156*H157</f>
        <v>2.4564280050489065E-2</v>
      </c>
      <c r="U157" s="45">
        <f t="shared" ref="U157" si="142">U156*I157</f>
        <v>0.34785643728558358</v>
      </c>
      <c r="V157" s="45">
        <f t="shared" ref="V157" si="143">V156*J157</f>
        <v>1.9996707552049232E-2</v>
      </c>
      <c r="W157" s="45">
        <f t="shared" ref="W157" si="144">W156*K157</f>
        <v>7.6268329649900957E-3</v>
      </c>
      <c r="X157" s="17"/>
      <c r="Y157" s="17"/>
      <c r="Z157" s="17"/>
    </row>
    <row r="158" spans="1:26" ht="15.6" customHeight="1">
      <c r="A158" s="825"/>
      <c r="B158" s="879"/>
      <c r="C158" s="966"/>
      <c r="D158" s="951"/>
      <c r="E158" s="23"/>
      <c r="F158" s="960" t="s">
        <v>923</v>
      </c>
      <c r="G158" s="961"/>
      <c r="H158" s="961"/>
      <c r="I158" s="961"/>
      <c r="J158" s="961"/>
      <c r="K158" s="961"/>
      <c r="L158" s="961"/>
      <c r="M158" s="961"/>
      <c r="N158" s="961"/>
      <c r="O158" s="961"/>
      <c r="P158" s="961"/>
      <c r="Q158" s="962"/>
      <c r="R158" s="45">
        <f>R157</f>
        <v>7.0369691570463744E-2</v>
      </c>
      <c r="S158" s="45">
        <f>S157*'Input Sheet'!BV138/'Input Sheet'!BU138</f>
        <v>3.5747535855592955E-2</v>
      </c>
      <c r="T158" s="45">
        <f>T157*'Input Sheet'!BW138/'Input Sheet'!BU138</f>
        <v>0</v>
      </c>
      <c r="U158" s="45">
        <f>U157</f>
        <v>0.34785643728558358</v>
      </c>
      <c r="V158" s="45">
        <f t="shared" ref="V158:W158" si="145">V157</f>
        <v>1.9996707552049232E-2</v>
      </c>
      <c r="W158" s="45">
        <f t="shared" si="145"/>
        <v>7.6268329649900957E-3</v>
      </c>
      <c r="X158" s="17"/>
      <c r="Y158" s="17"/>
      <c r="Z158" s="17"/>
    </row>
    <row r="159" spans="1:26" ht="15.6" customHeight="1">
      <c r="A159" s="825"/>
      <c r="B159" s="879"/>
      <c r="C159" s="966"/>
      <c r="D159" s="951"/>
      <c r="E159" s="23"/>
      <c r="F159" s="963" t="s">
        <v>924</v>
      </c>
      <c r="G159" s="964"/>
      <c r="H159" s="964"/>
      <c r="I159" s="964"/>
      <c r="J159" s="964"/>
      <c r="K159" s="964"/>
      <c r="L159" s="964"/>
      <c r="M159" s="964"/>
      <c r="N159" s="964"/>
      <c r="O159" s="964"/>
      <c r="P159" s="964"/>
      <c r="Q159" s="965"/>
      <c r="R159" s="50">
        <f>R158/(R158+U158+V158+W158+S158+T158)</f>
        <v>0.14611731714067919</v>
      </c>
      <c r="S159" s="50">
        <f>S158/(R158+S158+T158+U158+V158+W158)</f>
        <v>7.4227041742525771E-2</v>
      </c>
      <c r="T159" s="50">
        <f>T158/(R158+S158+T158+U158+V158+W158)</f>
        <v>0</v>
      </c>
      <c r="U159" s="50">
        <f>U158/(R158+U158+V158+W158+S158+T158)</f>
        <v>0.72229745835092385</v>
      </c>
      <c r="V159" s="50">
        <f>V158/(R158+U158+V158+W158+S158+T158)</f>
        <v>4.1521643678463782E-2</v>
      </c>
      <c r="W159" s="50">
        <f>W158/(R158+U158+V158+W158+S158+T158)</f>
        <v>1.583653908740729E-2</v>
      </c>
      <c r="X159" s="17"/>
      <c r="Y159" s="17"/>
      <c r="Z159" s="17"/>
    </row>
    <row r="160" spans="1:26" ht="15.6" customHeight="1">
      <c r="A160" s="825"/>
      <c r="B160" s="880"/>
      <c r="C160" s="966"/>
      <c r="D160" s="951"/>
      <c r="E160" s="23"/>
      <c r="F160" s="963" t="s">
        <v>925</v>
      </c>
      <c r="G160" s="964"/>
      <c r="H160" s="964"/>
      <c r="I160" s="964"/>
      <c r="J160" s="964"/>
      <c r="K160" s="964"/>
      <c r="L160" s="964"/>
      <c r="M160" s="964"/>
      <c r="N160" s="964"/>
      <c r="O160" s="964"/>
      <c r="P160" s="964"/>
      <c r="Q160" s="965"/>
      <c r="R160" s="51">
        <f t="shared" ref="R160:W160" si="146">ROUND($C149*$E$2*R159/100,0)*100</f>
        <v>5200</v>
      </c>
      <c r="S160" s="51">
        <f t="shared" si="146"/>
        <v>2600</v>
      </c>
      <c r="T160" s="51">
        <f t="shared" si="146"/>
        <v>0</v>
      </c>
      <c r="U160" s="51">
        <f t="shared" si="146"/>
        <v>25500</v>
      </c>
      <c r="V160" s="51">
        <f t="shared" si="146"/>
        <v>1500</v>
      </c>
      <c r="W160" s="51">
        <f t="shared" si="146"/>
        <v>600</v>
      </c>
      <c r="X160" s="17"/>
      <c r="Y160" s="17"/>
      <c r="Z160" s="17"/>
    </row>
    <row r="161" spans="1:26" ht="15.75" customHeight="1">
      <c r="A161" s="825">
        <v>14</v>
      </c>
      <c r="B161" s="878" t="s">
        <v>645</v>
      </c>
      <c r="C161" s="966">
        <f>Buckets!X16</f>
        <v>1.1083642839568371E-2</v>
      </c>
      <c r="D161" s="951" t="s">
        <v>490</v>
      </c>
      <c r="E161" s="23" t="s">
        <v>457</v>
      </c>
      <c r="F161" s="30">
        <f>'Input Sheet'!BU151</f>
        <v>1</v>
      </c>
      <c r="G161" s="30">
        <f>'Input Sheet'!BV151</f>
        <v>0.49037530921708566</v>
      </c>
      <c r="H161" s="30">
        <f>'Input Sheet'!BW151</f>
        <v>0.43145037526542102</v>
      </c>
      <c r="I161" s="30">
        <f>'Input Sheet'!BX151</f>
        <v>18.421139906322626</v>
      </c>
      <c r="J161" s="30">
        <f>'Input Sheet'!BY151</f>
        <v>3.2583171486510678</v>
      </c>
      <c r="K161" s="30">
        <f>'Input Sheet'!BZ151</f>
        <v>1.5155957201813719</v>
      </c>
      <c r="L161" s="62">
        <v>1</v>
      </c>
      <c r="M161" s="30">
        <f>L161/L$34</f>
        <v>0.2</v>
      </c>
      <c r="N161" s="29"/>
      <c r="O161" s="29"/>
      <c r="P161" s="29"/>
      <c r="Q161" s="29"/>
      <c r="R161" s="45">
        <f t="shared" ref="R161:W165" si="147">F161</f>
        <v>1</v>
      </c>
      <c r="S161" s="45">
        <f t="shared" si="147"/>
        <v>0.49037530921708566</v>
      </c>
      <c r="T161" s="45">
        <f t="shared" si="147"/>
        <v>0.43145037526542102</v>
      </c>
      <c r="U161" s="45">
        <f t="shared" si="147"/>
        <v>18.421139906322626</v>
      </c>
      <c r="V161" s="45">
        <f t="shared" si="147"/>
        <v>3.2583171486510678</v>
      </c>
      <c r="W161" s="45">
        <f t="shared" si="147"/>
        <v>1.5155957201813719</v>
      </c>
      <c r="X161" s="46"/>
      <c r="Y161" s="46"/>
      <c r="Z161" s="46"/>
    </row>
    <row r="162" spans="1:26" ht="31.2">
      <c r="A162" s="825"/>
      <c r="B162" s="879"/>
      <c r="C162" s="966"/>
      <c r="D162" s="951"/>
      <c r="E162" s="23" t="s">
        <v>491</v>
      </c>
      <c r="F162" s="30">
        <f>'Input Sheet'!BU152</f>
        <v>1</v>
      </c>
      <c r="G162" s="30">
        <f>'Input Sheet'!BV152</f>
        <v>0.52820743335195752</v>
      </c>
      <c r="H162" s="30">
        <f>'Input Sheet'!BW152</f>
        <v>0.19127788495765216</v>
      </c>
      <c r="I162" s="30">
        <f>'Input Sheet'!BX152</f>
        <v>7.332588647695415E-2</v>
      </c>
      <c r="J162" s="30">
        <f>'Input Sheet'!BY152</f>
        <v>0.34793898777603866</v>
      </c>
      <c r="K162" s="30">
        <f>'Input Sheet'!BZ152</f>
        <v>3.3432788706136737E-2</v>
      </c>
      <c r="L162" s="62">
        <v>1</v>
      </c>
      <c r="M162" s="30">
        <f t="shared" ref="M162:M165" si="148">L162/L$34</f>
        <v>0.2</v>
      </c>
      <c r="N162" s="29"/>
      <c r="O162" s="29"/>
      <c r="P162" s="29"/>
      <c r="Q162" s="29"/>
      <c r="R162" s="45">
        <f t="shared" si="147"/>
        <v>1</v>
      </c>
      <c r="S162" s="45">
        <f t="shared" si="147"/>
        <v>0.52820743335195752</v>
      </c>
      <c r="T162" s="45">
        <f t="shared" si="147"/>
        <v>0.19127788495765216</v>
      </c>
      <c r="U162" s="45">
        <f t="shared" si="147"/>
        <v>7.332588647695415E-2</v>
      </c>
      <c r="V162" s="45">
        <f t="shared" si="147"/>
        <v>0.34793898777603866</v>
      </c>
      <c r="W162" s="45">
        <f t="shared" si="147"/>
        <v>3.3432788706136737E-2</v>
      </c>
      <c r="X162" s="46"/>
      <c r="Y162" s="46"/>
      <c r="Z162" s="46"/>
    </row>
    <row r="163" spans="1:26" ht="15.6">
      <c r="A163" s="825"/>
      <c r="B163" s="879"/>
      <c r="C163" s="966"/>
      <c r="D163" s="951"/>
      <c r="E163" s="23" t="s">
        <v>459</v>
      </c>
      <c r="F163" s="30">
        <f>'Input Sheet'!BU153</f>
        <v>1</v>
      </c>
      <c r="G163" s="30">
        <f>'Input Sheet'!BV153</f>
        <v>1</v>
      </c>
      <c r="H163" s="30">
        <f>'Input Sheet'!BW153</f>
        <v>1</v>
      </c>
      <c r="I163" s="30">
        <f>'Input Sheet'!BX153</f>
        <v>0.21828554812642756</v>
      </c>
      <c r="J163" s="30">
        <f>'Input Sheet'!BY153</f>
        <v>1</v>
      </c>
      <c r="K163" s="30">
        <f>'Input Sheet'!BZ153</f>
        <v>0.56511179095104691</v>
      </c>
      <c r="L163" s="62">
        <v>1</v>
      </c>
      <c r="M163" s="30">
        <f t="shared" si="148"/>
        <v>0.2</v>
      </c>
      <c r="N163" s="29"/>
      <c r="O163" s="29"/>
      <c r="P163" s="29"/>
      <c r="Q163" s="29"/>
      <c r="R163" s="45">
        <f t="shared" si="147"/>
        <v>1</v>
      </c>
      <c r="S163" s="45">
        <f t="shared" si="147"/>
        <v>1</v>
      </c>
      <c r="T163" s="45">
        <f t="shared" si="147"/>
        <v>1</v>
      </c>
      <c r="U163" s="45">
        <f t="shared" si="147"/>
        <v>0.21828554812642756</v>
      </c>
      <c r="V163" s="45">
        <f t="shared" si="147"/>
        <v>1</v>
      </c>
      <c r="W163" s="45">
        <f t="shared" si="147"/>
        <v>0.56511179095104691</v>
      </c>
      <c r="X163" s="46"/>
      <c r="Y163" s="46"/>
      <c r="Z163" s="46"/>
    </row>
    <row r="164" spans="1:26" ht="15.6">
      <c r="A164" s="825"/>
      <c r="B164" s="879"/>
      <c r="C164" s="966"/>
      <c r="D164" s="951"/>
      <c r="E164" s="23" t="s">
        <v>492</v>
      </c>
      <c r="F164" s="30">
        <f>'Input Sheet'!BU154</f>
        <v>1</v>
      </c>
      <c r="G164" s="30">
        <f>'Input Sheet'!BV154</f>
        <v>0.83945702076920725</v>
      </c>
      <c r="H164" s="30">
        <f>'Input Sheet'!BW154</f>
        <v>0.83945702076920725</v>
      </c>
      <c r="I164" s="30">
        <f>'Input Sheet'!BX154</f>
        <v>1.6904588483790908</v>
      </c>
      <c r="J164" s="30">
        <f>'Input Sheet'!BY154</f>
        <v>0.83945702076920725</v>
      </c>
      <c r="K164" s="30">
        <f>'Input Sheet'!BZ154</f>
        <v>1.6904588483790908</v>
      </c>
      <c r="L164" s="62">
        <v>1</v>
      </c>
      <c r="M164" s="30">
        <f t="shared" si="148"/>
        <v>0.2</v>
      </c>
      <c r="N164" s="29"/>
      <c r="O164" s="29"/>
      <c r="P164" s="29"/>
      <c r="Q164" s="29"/>
      <c r="R164" s="45">
        <f t="shared" si="147"/>
        <v>1</v>
      </c>
      <c r="S164" s="45">
        <f t="shared" si="147"/>
        <v>0.83945702076920725</v>
      </c>
      <c r="T164" s="45">
        <f t="shared" si="147"/>
        <v>0.83945702076920725</v>
      </c>
      <c r="U164" s="45">
        <f t="shared" si="147"/>
        <v>1.6904588483790908</v>
      </c>
      <c r="V164" s="45">
        <f t="shared" si="147"/>
        <v>0.83945702076920725</v>
      </c>
      <c r="W164" s="45">
        <f t="shared" si="147"/>
        <v>1.6904588483790908</v>
      </c>
      <c r="X164" s="46"/>
      <c r="Y164" s="46"/>
      <c r="Z164" s="46"/>
    </row>
    <row r="165" spans="1:26" ht="15.6">
      <c r="A165" s="825"/>
      <c r="B165" s="879"/>
      <c r="C165" s="966"/>
      <c r="D165" s="951"/>
      <c r="E165" s="34" t="s">
        <v>461</v>
      </c>
      <c r="F165" s="30">
        <f>'Input Sheet'!BU155</f>
        <v>1</v>
      </c>
      <c r="G165" s="30">
        <f>'Input Sheet'!BV155</f>
        <v>0.71653131057378894</v>
      </c>
      <c r="H165" s="30">
        <f>'Input Sheet'!BW155</f>
        <v>0.52921334150005017</v>
      </c>
      <c r="I165" s="30">
        <f>'Input Sheet'!BX155</f>
        <v>0.31140322391459774</v>
      </c>
      <c r="J165" s="30">
        <f>'Input Sheet'!BY155</f>
        <v>1</v>
      </c>
      <c r="K165" s="30">
        <f>'Input Sheet'!BZ155</f>
        <v>1</v>
      </c>
      <c r="L165" s="62">
        <v>1</v>
      </c>
      <c r="M165" s="30">
        <f t="shared" si="148"/>
        <v>0.2</v>
      </c>
      <c r="N165" s="29"/>
      <c r="O165" s="29"/>
      <c r="P165" s="29"/>
      <c r="Q165" s="29"/>
      <c r="R165" s="45">
        <f t="shared" si="147"/>
        <v>1</v>
      </c>
      <c r="S165" s="45">
        <f t="shared" si="147"/>
        <v>0.71653131057378894</v>
      </c>
      <c r="T165" s="45">
        <f t="shared" si="147"/>
        <v>0.52921334150005017</v>
      </c>
      <c r="U165" s="45">
        <f t="shared" si="147"/>
        <v>0.31140322391459774</v>
      </c>
      <c r="V165" s="45">
        <f t="shared" si="147"/>
        <v>1</v>
      </c>
      <c r="W165" s="45">
        <f t="shared" si="147"/>
        <v>1</v>
      </c>
      <c r="X165" s="46"/>
      <c r="Y165" s="46"/>
      <c r="Z165" s="46"/>
    </row>
    <row r="166" spans="1:26" ht="15.6">
      <c r="A166" s="825">
        <v>2</v>
      </c>
      <c r="B166" s="879"/>
      <c r="C166" s="966"/>
      <c r="D166" s="951"/>
      <c r="E166" s="23" t="s">
        <v>38</v>
      </c>
      <c r="F166" s="47"/>
      <c r="G166" s="47"/>
      <c r="H166" s="47"/>
      <c r="I166" s="47"/>
      <c r="J166" s="47"/>
      <c r="K166" s="47"/>
      <c r="L166" s="449">
        <f>SUM(L161:L165)</f>
        <v>5</v>
      </c>
      <c r="M166" s="872" t="s">
        <v>493</v>
      </c>
      <c r="N166" s="873"/>
      <c r="O166" s="873"/>
      <c r="P166" s="873"/>
      <c r="Q166" s="874"/>
      <c r="R166" s="45">
        <f t="shared" ref="R166:W166" si="149">SUM(R161:R165)</f>
        <v>5</v>
      </c>
      <c r="S166" s="45">
        <f t="shared" si="149"/>
        <v>3.5745710739120389</v>
      </c>
      <c r="T166" s="45">
        <f t="shared" si="149"/>
        <v>2.9913986224923308</v>
      </c>
      <c r="U166" s="45">
        <f t="shared" si="149"/>
        <v>20.714613413219698</v>
      </c>
      <c r="V166" s="45">
        <f t="shared" si="149"/>
        <v>6.4457131571963133</v>
      </c>
      <c r="W166" s="45">
        <f t="shared" si="149"/>
        <v>4.8045991482176467</v>
      </c>
      <c r="X166" s="48"/>
      <c r="Y166" s="48"/>
      <c r="Z166" s="48"/>
    </row>
    <row r="167" spans="1:26" ht="15.6">
      <c r="A167" s="825"/>
      <c r="B167" s="879"/>
      <c r="C167" s="966"/>
      <c r="D167" s="951"/>
      <c r="E167" s="23"/>
      <c r="F167" s="23"/>
      <c r="G167" s="23"/>
      <c r="H167" s="23"/>
      <c r="I167" s="23"/>
      <c r="J167" s="23"/>
      <c r="K167" s="23"/>
      <c r="L167" s="23"/>
      <c r="M167" s="872" t="s">
        <v>494</v>
      </c>
      <c r="N167" s="873"/>
      <c r="O167" s="873"/>
      <c r="P167" s="873"/>
      <c r="Q167" s="874"/>
      <c r="R167" s="45">
        <f t="shared" ref="R167:W167" si="150">R166/SUM($R166:$W166)</f>
        <v>0.11486094996044389</v>
      </c>
      <c r="S167" s="45">
        <f t="shared" si="150"/>
        <v>8.2115725850132174E-2</v>
      </c>
      <c r="T167" s="45">
        <f t="shared" si="150"/>
        <v>6.8718977497966488E-2</v>
      </c>
      <c r="U167" s="45">
        <f t="shared" si="150"/>
        <v>0.47586003494115353</v>
      </c>
      <c r="V167" s="45">
        <f t="shared" si="150"/>
        <v>0.14807214728162013</v>
      </c>
      <c r="W167" s="45">
        <f t="shared" si="150"/>
        <v>0.1103721644686837</v>
      </c>
      <c r="X167" s="17"/>
      <c r="Y167" s="17"/>
      <c r="Z167" s="17"/>
    </row>
    <row r="168" spans="1:26" ht="15.6" customHeight="1">
      <c r="A168" s="825"/>
      <c r="B168" s="879"/>
      <c r="C168" s="966"/>
      <c r="D168" s="951"/>
      <c r="E168" s="23"/>
      <c r="F168" s="30">
        <f>'Input Sheet'!BU157</f>
        <v>1</v>
      </c>
      <c r="G168" s="30">
        <f>'Input Sheet'!BV157</f>
        <v>0.88</v>
      </c>
      <c r="H168" s="30">
        <f>'Input Sheet'!BW157</f>
        <v>0.88</v>
      </c>
      <c r="I168" s="30">
        <f>'Input Sheet'!BX157</f>
        <v>0.88</v>
      </c>
      <c r="J168" s="30">
        <f>'Input Sheet'!BY157</f>
        <v>0.64</v>
      </c>
      <c r="K168" s="30">
        <f>'Input Sheet'!BZ157</f>
        <v>0.48</v>
      </c>
      <c r="L168" s="23"/>
      <c r="M168" s="957" t="s">
        <v>495</v>
      </c>
      <c r="N168" s="958"/>
      <c r="O168" s="958"/>
      <c r="P168" s="958"/>
      <c r="Q168" s="959"/>
      <c r="R168" s="45">
        <f t="shared" ref="R168:W168" si="151">R167*F168</f>
        <v>0.11486094996044389</v>
      </c>
      <c r="S168" s="45">
        <f t="shared" si="151"/>
        <v>7.2261838748116314E-2</v>
      </c>
      <c r="T168" s="45">
        <f t="shared" si="151"/>
        <v>6.0472700198210508E-2</v>
      </c>
      <c r="U168" s="45">
        <f t="shared" si="151"/>
        <v>0.41875683074821513</v>
      </c>
      <c r="V168" s="45">
        <f t="shared" si="151"/>
        <v>9.4766174260236882E-2</v>
      </c>
      <c r="W168" s="45">
        <f t="shared" si="151"/>
        <v>5.2978638944968175E-2</v>
      </c>
      <c r="X168" s="17"/>
      <c r="Y168" s="17"/>
      <c r="Z168" s="17"/>
    </row>
    <row r="169" spans="1:26" ht="15.6">
      <c r="A169" s="825"/>
      <c r="B169" s="879"/>
      <c r="C169" s="966"/>
      <c r="D169" s="951"/>
      <c r="E169" s="23" t="s">
        <v>1069</v>
      </c>
      <c r="F169" s="30">
        <f>'Input Sheet'!$BU$15</f>
        <v>1</v>
      </c>
      <c r="G169" s="30">
        <f>'Input Sheet'!$BV$15</f>
        <v>0.8</v>
      </c>
      <c r="H169" s="30">
        <f>'Input Sheet'!$BW$15</f>
        <v>0.67999999999999994</v>
      </c>
      <c r="I169" s="30">
        <f>'Input Sheet'!$BX$15</f>
        <v>0.6</v>
      </c>
      <c r="J169" s="30">
        <f>'Input Sheet'!$BY$15</f>
        <v>0.31999999999999995</v>
      </c>
      <c r="K169" s="30">
        <f>'Input Sheet'!$BZ$15</f>
        <v>0.19999999999999996</v>
      </c>
      <c r="L169" s="675"/>
      <c r="M169" s="957" t="s">
        <v>1067</v>
      </c>
      <c r="N169" s="958"/>
      <c r="O169" s="958"/>
      <c r="P169" s="958"/>
      <c r="Q169" s="959"/>
      <c r="R169" s="45">
        <f>R168*F169</f>
        <v>0.11486094996044389</v>
      </c>
      <c r="S169" s="45">
        <f t="shared" ref="S169" si="152">S168*G169</f>
        <v>5.7809470998493054E-2</v>
      </c>
      <c r="T169" s="45">
        <f t="shared" ref="T169" si="153">T168*H169</f>
        <v>4.112143613478314E-2</v>
      </c>
      <c r="U169" s="45">
        <f t="shared" ref="U169" si="154">U168*I169</f>
        <v>0.25125409844892904</v>
      </c>
      <c r="V169" s="45">
        <f t="shared" ref="V169" si="155">V168*J169</f>
        <v>3.0325175763275796E-2</v>
      </c>
      <c r="W169" s="45">
        <f t="shared" ref="W169" si="156">W168*K169</f>
        <v>1.0595727788993632E-2</v>
      </c>
      <c r="X169" s="17"/>
      <c r="Y169" s="17"/>
      <c r="Z169" s="17"/>
    </row>
    <row r="170" spans="1:26" ht="15.6" customHeight="1">
      <c r="A170" s="825"/>
      <c r="B170" s="879"/>
      <c r="C170" s="966"/>
      <c r="D170" s="951"/>
      <c r="E170" s="23"/>
      <c r="F170" s="960" t="s">
        <v>923</v>
      </c>
      <c r="G170" s="961"/>
      <c r="H170" s="961"/>
      <c r="I170" s="961"/>
      <c r="J170" s="961"/>
      <c r="K170" s="961"/>
      <c r="L170" s="961"/>
      <c r="M170" s="961"/>
      <c r="N170" s="961"/>
      <c r="O170" s="961"/>
      <c r="P170" s="961"/>
      <c r="Q170" s="962"/>
      <c r="R170" s="45">
        <f>R169</f>
        <v>0.11486094996044389</v>
      </c>
      <c r="S170" s="45">
        <f>S169*'Input Sheet'!BV149/'Input Sheet'!BU149</f>
        <v>3.8010032728396065E-2</v>
      </c>
      <c r="T170" s="45">
        <f>T169*'Input Sheet'!BW149/'Input Sheet'!BU149</f>
        <v>1.4083874532420441E-2</v>
      </c>
      <c r="U170" s="45">
        <f>U169</f>
        <v>0.25125409844892904</v>
      </c>
      <c r="V170" s="45">
        <f t="shared" ref="V170:W170" si="157">V169</f>
        <v>3.0325175763275796E-2</v>
      </c>
      <c r="W170" s="45">
        <f t="shared" si="157"/>
        <v>1.0595727788993632E-2</v>
      </c>
      <c r="X170" s="17"/>
      <c r="Y170" s="17"/>
      <c r="Z170" s="17"/>
    </row>
    <row r="171" spans="1:26" ht="15.6" customHeight="1">
      <c r="A171" s="825"/>
      <c r="B171" s="879"/>
      <c r="C171" s="966"/>
      <c r="D171" s="951"/>
      <c r="E171" s="23"/>
      <c r="F171" s="963" t="s">
        <v>924</v>
      </c>
      <c r="G171" s="964"/>
      <c r="H171" s="964"/>
      <c r="I171" s="964"/>
      <c r="J171" s="964"/>
      <c r="K171" s="964"/>
      <c r="L171" s="964"/>
      <c r="M171" s="964"/>
      <c r="N171" s="964"/>
      <c r="O171" s="964"/>
      <c r="P171" s="964"/>
      <c r="Q171" s="965"/>
      <c r="R171" s="50">
        <f>R170/(R170+U170+V170+W170+S170+T170)</f>
        <v>0.25017094325984829</v>
      </c>
      <c r="S171" s="50">
        <f>S170/(R170+S170+T170+U170+V170+W170)</f>
        <v>8.2787106882498213E-2</v>
      </c>
      <c r="T171" s="50">
        <f>T170/(R170+S170+T170+U170+V170+W170)</f>
        <v>3.0675143969663889E-2</v>
      </c>
      <c r="U171" s="50">
        <f>U170/(R170+U170+V170+W170+S170+T170)</f>
        <v>0.54723972619517802</v>
      </c>
      <c r="V171" s="50">
        <f>V170/(R170+U170+V170+W170+S170+T170)</f>
        <v>6.6049234555626141E-2</v>
      </c>
      <c r="W171" s="50">
        <f>W170/(R170+U170+V170+W170+S170+T170)</f>
        <v>2.3077845137185384E-2</v>
      </c>
      <c r="X171" s="17"/>
      <c r="Y171" s="17"/>
      <c r="Z171" s="17"/>
    </row>
    <row r="172" spans="1:26" ht="15.6" customHeight="1">
      <c r="A172" s="825"/>
      <c r="B172" s="880"/>
      <c r="C172" s="966"/>
      <c r="D172" s="951"/>
      <c r="E172" s="23"/>
      <c r="F172" s="963" t="s">
        <v>925</v>
      </c>
      <c r="G172" s="964"/>
      <c r="H172" s="964"/>
      <c r="I172" s="964"/>
      <c r="J172" s="964"/>
      <c r="K172" s="964"/>
      <c r="L172" s="964"/>
      <c r="M172" s="964"/>
      <c r="N172" s="964"/>
      <c r="O172" s="964"/>
      <c r="P172" s="964"/>
      <c r="Q172" s="965"/>
      <c r="R172" s="51">
        <f t="shared" ref="R172:W172" si="158">ROUND($C161*$E$2*R171/100,0)*100</f>
        <v>2400</v>
      </c>
      <c r="S172" s="51">
        <f t="shared" si="158"/>
        <v>800</v>
      </c>
      <c r="T172" s="51">
        <f t="shared" si="158"/>
        <v>300</v>
      </c>
      <c r="U172" s="51">
        <f t="shared" si="158"/>
        <v>5200</v>
      </c>
      <c r="V172" s="51">
        <f t="shared" si="158"/>
        <v>600</v>
      </c>
      <c r="W172" s="51">
        <f t="shared" si="158"/>
        <v>200</v>
      </c>
      <c r="X172" s="17"/>
      <c r="Y172" s="17"/>
      <c r="Z172" s="17"/>
    </row>
    <row r="173" spans="1:26" ht="16.350000000000001" customHeight="1">
      <c r="A173" s="454"/>
      <c r="B173" s="454"/>
    </row>
    <row r="174" spans="1:26" ht="15.75" customHeight="1">
      <c r="E174" s="967" t="s">
        <v>497</v>
      </c>
      <c r="F174" s="963" t="s">
        <v>924</v>
      </c>
      <c r="G174" s="964"/>
      <c r="H174" s="964"/>
      <c r="I174" s="964"/>
      <c r="J174" s="964"/>
      <c r="K174" s="964"/>
      <c r="L174" s="964"/>
      <c r="M174" s="964"/>
      <c r="N174" s="964"/>
      <c r="O174" s="964"/>
      <c r="P174" s="964"/>
      <c r="Q174" s="965"/>
      <c r="R174" s="501">
        <f t="shared" ref="R174:W174" si="159">R175/$E$2/100%</f>
        <v>8.5178676039835963E-2</v>
      </c>
      <c r="S174" s="501">
        <f t="shared" si="159"/>
        <v>3.4446397188049212E-2</v>
      </c>
      <c r="T174" s="501">
        <f t="shared" si="159"/>
        <v>3.983596953719977E-3</v>
      </c>
      <c r="U174" s="501">
        <f t="shared" si="159"/>
        <v>0.830697129466901</v>
      </c>
      <c r="V174" s="501">
        <f t="shared" si="159"/>
        <v>3.1282952548330405E-2</v>
      </c>
      <c r="W174" s="501">
        <f t="shared" si="159"/>
        <v>1.4528412419449327E-2</v>
      </c>
    </row>
    <row r="175" spans="1:26" ht="15.6" customHeight="1">
      <c r="E175" s="967"/>
      <c r="F175" s="963" t="s">
        <v>925</v>
      </c>
      <c r="G175" s="964"/>
      <c r="H175" s="964"/>
      <c r="I175" s="964"/>
      <c r="J175" s="964"/>
      <c r="K175" s="964"/>
      <c r="L175" s="964"/>
      <c r="M175" s="964"/>
      <c r="N175" s="964"/>
      <c r="O175" s="964"/>
      <c r="P175" s="964"/>
      <c r="Q175" s="965"/>
      <c r="R175" s="54">
        <f t="shared" ref="R175:W175" si="160">R16+R28+R40+R52+R64+R76+R88+R100+R112+R124+R136+R148+R160+R172</f>
        <v>72700</v>
      </c>
      <c r="S175" s="54">
        <f t="shared" si="160"/>
        <v>29400</v>
      </c>
      <c r="T175" s="54">
        <f t="shared" si="160"/>
        <v>3400</v>
      </c>
      <c r="U175" s="54">
        <f t="shared" si="160"/>
        <v>709000</v>
      </c>
      <c r="V175" s="54">
        <f t="shared" si="160"/>
        <v>26700</v>
      </c>
      <c r="W175" s="54">
        <f t="shared" si="160"/>
        <v>12400</v>
      </c>
    </row>
  </sheetData>
  <mergeCells count="172">
    <mergeCell ref="M73:Q73"/>
    <mergeCell ref="M85:Q85"/>
    <mergeCell ref="M97:Q97"/>
    <mergeCell ref="M109:Q109"/>
    <mergeCell ref="M121:Q121"/>
    <mergeCell ref="M133:Q133"/>
    <mergeCell ref="M145:Q145"/>
    <mergeCell ref="M157:Q157"/>
    <mergeCell ref="M169:Q169"/>
    <mergeCell ref="M168:Q168"/>
    <mergeCell ref="F99:Q99"/>
    <mergeCell ref="F100:Q100"/>
    <mergeCell ref="M84:Q84"/>
    <mergeCell ref="F86:Q86"/>
    <mergeCell ref="F87:Q87"/>
    <mergeCell ref="F88:Q88"/>
    <mergeCell ref="F112:Q112"/>
    <mergeCell ref="F16:Q16"/>
    <mergeCell ref="A3:A4"/>
    <mergeCell ref="B3:B4"/>
    <mergeCell ref="C3:C4"/>
    <mergeCell ref="D3:D4"/>
    <mergeCell ref="E3:E4"/>
    <mergeCell ref="A5:A16"/>
    <mergeCell ref="B5:B16"/>
    <mergeCell ref="C5:C16"/>
    <mergeCell ref="D5:D16"/>
    <mergeCell ref="M13:Q13"/>
    <mergeCell ref="B1:F1"/>
    <mergeCell ref="J1:L1"/>
    <mergeCell ref="B2:D2"/>
    <mergeCell ref="I2:L2"/>
    <mergeCell ref="M11:Q11"/>
    <mergeCell ref="M12:Q12"/>
    <mergeCell ref="F14:Q14"/>
    <mergeCell ref="F15:Q15"/>
    <mergeCell ref="F3:K3"/>
    <mergeCell ref="L3:L4"/>
    <mergeCell ref="M3:M4"/>
    <mergeCell ref="N3:Q3"/>
    <mergeCell ref="R3:W3"/>
    <mergeCell ref="R2:U2"/>
    <mergeCell ref="M10:Q10"/>
    <mergeCell ref="F28:Q28"/>
    <mergeCell ref="A29:A40"/>
    <mergeCell ref="B29:B40"/>
    <mergeCell ref="C29:C40"/>
    <mergeCell ref="D29:D40"/>
    <mergeCell ref="M34:Q34"/>
    <mergeCell ref="M35:Q35"/>
    <mergeCell ref="M36:Q36"/>
    <mergeCell ref="F38:Q38"/>
    <mergeCell ref="F39:Q39"/>
    <mergeCell ref="A17:A28"/>
    <mergeCell ref="B17:B28"/>
    <mergeCell ref="C17:C28"/>
    <mergeCell ref="D17:D28"/>
    <mergeCell ref="M22:Q22"/>
    <mergeCell ref="M23:Q23"/>
    <mergeCell ref="M24:Q24"/>
    <mergeCell ref="F26:Q26"/>
    <mergeCell ref="F27:Q27"/>
    <mergeCell ref="F40:Q40"/>
    <mergeCell ref="M25:Q25"/>
    <mergeCell ref="M37:Q37"/>
    <mergeCell ref="A41:A52"/>
    <mergeCell ref="B41:B52"/>
    <mergeCell ref="C41:C52"/>
    <mergeCell ref="D41:D52"/>
    <mergeCell ref="M46:Q46"/>
    <mergeCell ref="M47:Q47"/>
    <mergeCell ref="M48:Q48"/>
    <mergeCell ref="F50:Q50"/>
    <mergeCell ref="F51:Q51"/>
    <mergeCell ref="F52:Q52"/>
    <mergeCell ref="M49:Q49"/>
    <mergeCell ref="A53:A64"/>
    <mergeCell ref="B53:B64"/>
    <mergeCell ref="C53:C64"/>
    <mergeCell ref="D53:D64"/>
    <mergeCell ref="M58:Q58"/>
    <mergeCell ref="M59:Q59"/>
    <mergeCell ref="M60:Q60"/>
    <mergeCell ref="F62:Q62"/>
    <mergeCell ref="F63:Q63"/>
    <mergeCell ref="F64:Q64"/>
    <mergeCell ref="M61:Q61"/>
    <mergeCell ref="A65:A76"/>
    <mergeCell ref="B65:B76"/>
    <mergeCell ref="C65:C76"/>
    <mergeCell ref="D65:D76"/>
    <mergeCell ref="M70:Q70"/>
    <mergeCell ref="M71:Q71"/>
    <mergeCell ref="A89:A100"/>
    <mergeCell ref="B89:B100"/>
    <mergeCell ref="C89:C100"/>
    <mergeCell ref="D89:D100"/>
    <mergeCell ref="M94:Q94"/>
    <mergeCell ref="M72:Q72"/>
    <mergeCell ref="F74:Q74"/>
    <mergeCell ref="F75:Q75"/>
    <mergeCell ref="F76:Q76"/>
    <mergeCell ref="A77:A88"/>
    <mergeCell ref="B77:B88"/>
    <mergeCell ref="C77:C88"/>
    <mergeCell ref="D77:D88"/>
    <mergeCell ref="M82:Q82"/>
    <mergeCell ref="M83:Q83"/>
    <mergeCell ref="M95:Q95"/>
    <mergeCell ref="M96:Q96"/>
    <mergeCell ref="F98:Q98"/>
    <mergeCell ref="A113:A124"/>
    <mergeCell ref="B113:B124"/>
    <mergeCell ref="C113:C124"/>
    <mergeCell ref="D113:D124"/>
    <mergeCell ref="M118:Q118"/>
    <mergeCell ref="M119:Q119"/>
    <mergeCell ref="M120:Q120"/>
    <mergeCell ref="F122:Q122"/>
    <mergeCell ref="A101:A112"/>
    <mergeCell ref="B101:B112"/>
    <mergeCell ref="C101:C112"/>
    <mergeCell ref="D101:D112"/>
    <mergeCell ref="M106:Q106"/>
    <mergeCell ref="M107:Q107"/>
    <mergeCell ref="M108:Q108"/>
    <mergeCell ref="F110:Q110"/>
    <mergeCell ref="F111:Q111"/>
    <mergeCell ref="F123:Q123"/>
    <mergeCell ref="F124:Q124"/>
    <mergeCell ref="B149:B160"/>
    <mergeCell ref="C149:C160"/>
    <mergeCell ref="D149:D160"/>
    <mergeCell ref="M154:Q154"/>
    <mergeCell ref="M155:Q155"/>
    <mergeCell ref="M167:Q167"/>
    <mergeCell ref="F170:Q170"/>
    <mergeCell ref="F171:Q171"/>
    <mergeCell ref="A125:A136"/>
    <mergeCell ref="B125:B136"/>
    <mergeCell ref="C125:C136"/>
    <mergeCell ref="D125:D136"/>
    <mergeCell ref="M130:Q130"/>
    <mergeCell ref="M131:Q131"/>
    <mergeCell ref="M132:Q132"/>
    <mergeCell ref="F134:Q134"/>
    <mergeCell ref="F135:Q135"/>
    <mergeCell ref="F136:Q136"/>
    <mergeCell ref="F172:Q172"/>
    <mergeCell ref="E174:E175"/>
    <mergeCell ref="F174:Q174"/>
    <mergeCell ref="F175:Q175"/>
    <mergeCell ref="M156:Q156"/>
    <mergeCell ref="F158:Q158"/>
    <mergeCell ref="F159:Q159"/>
    <mergeCell ref="F160:Q160"/>
    <mergeCell ref="A137:A148"/>
    <mergeCell ref="B137:B148"/>
    <mergeCell ref="C137:C148"/>
    <mergeCell ref="D137:D148"/>
    <mergeCell ref="M142:Q142"/>
    <mergeCell ref="M143:Q143"/>
    <mergeCell ref="A161:A172"/>
    <mergeCell ref="B161:B172"/>
    <mergeCell ref="C161:C172"/>
    <mergeCell ref="D161:D172"/>
    <mergeCell ref="M166:Q166"/>
    <mergeCell ref="M144:Q144"/>
    <mergeCell ref="F146:Q146"/>
    <mergeCell ref="F147:Q147"/>
    <mergeCell ref="F148:Q148"/>
    <mergeCell ref="A149:A16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62"/>
  <sheetViews>
    <sheetView zoomScale="110" workbookViewId="0">
      <pane xSplit="5" ySplit="4" topLeftCell="F9" activePane="bottomRight" state="frozen"/>
      <selection activeCell="AH9" sqref="AH9"/>
      <selection pane="topRight" activeCell="AH9" sqref="AH9"/>
      <selection pane="bottomLeft" activeCell="AH9" sqref="AH9"/>
      <selection pane="bottomRight" activeCell="Q12" sqref="Q12"/>
    </sheetView>
  </sheetViews>
  <sheetFormatPr defaultRowHeight="14.4"/>
  <cols>
    <col min="1" max="1" width="5.44140625" customWidth="1"/>
    <col min="2" max="2" width="11.109375" customWidth="1"/>
    <col min="3" max="4" width="9.6640625" customWidth="1"/>
    <col min="5" max="5" width="28.44140625" customWidth="1"/>
    <col min="6" max="9" width="8.109375" customWidth="1"/>
    <col min="10" max="10" width="11.109375" customWidth="1"/>
    <col min="11" max="11" width="9.109375" hidden="1" customWidth="1"/>
    <col min="12" max="14" width="8.109375" hidden="1" customWidth="1"/>
    <col min="15" max="15" width="9.109375" bestFit="1" customWidth="1"/>
    <col min="16" max="17" width="8.109375" customWidth="1"/>
    <col min="18" max="18" width="2.44140625" customWidth="1"/>
    <col min="19" max="20" width="8.109375" customWidth="1"/>
  </cols>
  <sheetData>
    <row r="1" spans="1:20" ht="18">
      <c r="B1" s="952" t="s">
        <v>498</v>
      </c>
      <c r="C1" s="953"/>
      <c r="D1" s="953"/>
      <c r="E1" s="953"/>
      <c r="G1" s="954" t="s">
        <v>499</v>
      </c>
      <c r="H1" s="954"/>
      <c r="I1" s="954"/>
      <c r="J1" s="41">
        <v>2055</v>
      </c>
    </row>
    <row r="2" spans="1:20" ht="15.75" customHeight="1">
      <c r="A2" s="16"/>
      <c r="B2" s="955" t="s">
        <v>500</v>
      </c>
      <c r="C2" s="955"/>
      <c r="D2" s="955"/>
      <c r="E2" s="55">
        <f>ROUND('AnnualSalesSummary Revised'!AI75/100,0)*100</f>
        <v>1029800</v>
      </c>
      <c r="F2" s="956" t="s">
        <v>444</v>
      </c>
      <c r="G2" s="956"/>
      <c r="H2" s="956"/>
      <c r="I2" s="956"/>
      <c r="J2" s="43"/>
      <c r="K2" s="44"/>
      <c r="L2" s="44"/>
      <c r="M2" s="44"/>
      <c r="N2" s="44"/>
      <c r="O2" s="968" t="s">
        <v>484</v>
      </c>
      <c r="P2" s="969"/>
      <c r="Q2" s="970"/>
      <c r="R2" s="448"/>
      <c r="S2" s="448"/>
      <c r="T2" s="448"/>
    </row>
    <row r="3" spans="1:20" ht="15.75" customHeight="1">
      <c r="A3" s="818" t="s">
        <v>1</v>
      </c>
      <c r="B3" s="818" t="s">
        <v>485</v>
      </c>
      <c r="C3" s="822" t="s">
        <v>486</v>
      </c>
      <c r="D3" s="822" t="s">
        <v>170</v>
      </c>
      <c r="E3" s="822" t="s">
        <v>446</v>
      </c>
      <c r="F3" s="941" t="s">
        <v>449</v>
      </c>
      <c r="G3" s="942"/>
      <c r="H3" s="943"/>
      <c r="I3" s="822" t="s">
        <v>487</v>
      </c>
      <c r="J3" s="822" t="s">
        <v>488</v>
      </c>
      <c r="K3" s="941"/>
      <c r="L3" s="942"/>
      <c r="M3" s="942"/>
      <c r="N3" s="943"/>
      <c r="O3" s="818" t="s">
        <v>489</v>
      </c>
      <c r="P3" s="818"/>
      <c r="Q3" s="818"/>
      <c r="R3" s="21"/>
      <c r="S3" s="21"/>
      <c r="T3" s="21"/>
    </row>
    <row r="4" spans="1:20" ht="31.2">
      <c r="A4" s="818"/>
      <c r="B4" s="818"/>
      <c r="C4" s="823"/>
      <c r="D4" s="823"/>
      <c r="E4" s="823"/>
      <c r="F4" s="445" t="s">
        <v>182</v>
      </c>
      <c r="G4" s="445" t="s">
        <v>181</v>
      </c>
      <c r="H4" s="445" t="s">
        <v>183</v>
      </c>
      <c r="I4" s="823"/>
      <c r="J4" s="823"/>
      <c r="K4" s="445"/>
      <c r="L4" s="445"/>
      <c r="M4" s="445"/>
      <c r="N4" s="445"/>
      <c r="O4" s="445" t="s">
        <v>182</v>
      </c>
      <c r="P4" s="445" t="s">
        <v>181</v>
      </c>
      <c r="Q4" s="445" t="s">
        <v>183</v>
      </c>
      <c r="R4" s="21"/>
      <c r="S4" s="21"/>
      <c r="T4" s="21"/>
    </row>
    <row r="5" spans="1:20" ht="15.75" customHeight="1">
      <c r="A5" s="878">
        <v>1</v>
      </c>
      <c r="B5" s="878" t="s">
        <v>451</v>
      </c>
      <c r="C5" s="966">
        <f>Buckets!AC3</f>
        <v>5.9922511482477687E-2</v>
      </c>
      <c r="D5" s="951" t="s">
        <v>490</v>
      </c>
      <c r="E5" s="23" t="s">
        <v>457</v>
      </c>
      <c r="F5" s="30">
        <f>'Input Sheet'!CH8</f>
        <v>118.37328155031513</v>
      </c>
      <c r="G5" s="30">
        <f>'Input Sheet'!CI8</f>
        <v>7.8564031093508575</v>
      </c>
      <c r="H5" s="30">
        <f>'Input Sheet'!CJ8</f>
        <v>6.0252842822388111</v>
      </c>
      <c r="I5" s="449">
        <v>1</v>
      </c>
      <c r="J5" s="45">
        <f>I5/I$10</f>
        <v>0.2</v>
      </c>
      <c r="K5" s="29"/>
      <c r="L5" s="29"/>
      <c r="M5" s="29"/>
      <c r="N5" s="29"/>
      <c r="O5" s="45">
        <f>F5</f>
        <v>118.37328155031513</v>
      </c>
      <c r="P5" s="45">
        <f t="shared" ref="P5:Q5" si="0">G5</f>
        <v>7.8564031093508575</v>
      </c>
      <c r="Q5" s="45">
        <f t="shared" si="0"/>
        <v>6.0252842822388111</v>
      </c>
      <c r="R5" s="46"/>
      <c r="S5" s="46"/>
      <c r="T5" s="46"/>
    </row>
    <row r="6" spans="1:20" ht="31.2">
      <c r="A6" s="879"/>
      <c r="B6" s="879"/>
      <c r="C6" s="966"/>
      <c r="D6" s="951"/>
      <c r="E6" s="23" t="s">
        <v>491</v>
      </c>
      <c r="F6" s="30">
        <f>'Input Sheet'!CH9</f>
        <v>7.269932109220946E-2</v>
      </c>
      <c r="G6" s="30">
        <f>'Input Sheet'!CI9</f>
        <v>0.22818023867582329</v>
      </c>
      <c r="H6" s="30">
        <f>'Input Sheet'!CJ9</f>
        <v>1.3094185563723791E-2</v>
      </c>
      <c r="I6" s="449">
        <v>1</v>
      </c>
      <c r="J6" s="45">
        <f>I6/I$10</f>
        <v>0.2</v>
      </c>
      <c r="K6" s="29"/>
      <c r="L6" s="29"/>
      <c r="M6" s="29"/>
      <c r="N6" s="29"/>
      <c r="O6" s="45">
        <f t="shared" ref="O6:O9" si="1">F6</f>
        <v>7.269932109220946E-2</v>
      </c>
      <c r="P6" s="45">
        <f t="shared" ref="P6:P9" si="2">G6</f>
        <v>0.22818023867582329</v>
      </c>
      <c r="Q6" s="45">
        <f t="shared" ref="Q6:Q9" si="3">H6</f>
        <v>1.3094185563723791E-2</v>
      </c>
      <c r="R6" s="46"/>
      <c r="S6" s="46"/>
      <c r="T6" s="46"/>
    </row>
    <row r="7" spans="1:20" ht="15.6">
      <c r="A7" s="879"/>
      <c r="B7" s="879"/>
      <c r="C7" s="966"/>
      <c r="D7" s="951"/>
      <c r="E7" s="23" t="s">
        <v>459</v>
      </c>
      <c r="F7" s="30">
        <f>'Input Sheet'!CH10</f>
        <v>0.19434988020049429</v>
      </c>
      <c r="G7" s="30">
        <f>'Input Sheet'!CI10</f>
        <v>1</v>
      </c>
      <c r="H7" s="30">
        <f>'Input Sheet'!CJ10</f>
        <v>0.39795013462718709</v>
      </c>
      <c r="I7" s="449">
        <v>1</v>
      </c>
      <c r="J7" s="45">
        <f>I7/I$10</f>
        <v>0.2</v>
      </c>
      <c r="K7" s="29"/>
      <c r="L7" s="29"/>
      <c r="M7" s="29"/>
      <c r="N7" s="29"/>
      <c r="O7" s="45">
        <f t="shared" si="1"/>
        <v>0.19434988020049429</v>
      </c>
      <c r="P7" s="45">
        <f t="shared" si="2"/>
        <v>1</v>
      </c>
      <c r="Q7" s="45">
        <f t="shared" si="3"/>
        <v>0.39795013462718709</v>
      </c>
      <c r="R7" s="46"/>
      <c r="S7" s="46"/>
      <c r="T7" s="46"/>
    </row>
    <row r="8" spans="1:20" ht="15.6">
      <c r="A8" s="879"/>
      <c r="B8" s="879"/>
      <c r="C8" s="966"/>
      <c r="D8" s="951"/>
      <c r="E8" s="23" t="s">
        <v>492</v>
      </c>
      <c r="F8" s="30">
        <f>'Input Sheet'!CH11</f>
        <v>3.4469852208994722</v>
      </c>
      <c r="G8" s="30">
        <f>'Input Sheet'!CI11</f>
        <v>0.66199319669083379</v>
      </c>
      <c r="H8" s="30">
        <f>'Input Sheet'!CJ11</f>
        <v>3.4469852208994722</v>
      </c>
      <c r="I8" s="449">
        <v>1</v>
      </c>
      <c r="J8" s="45">
        <f>I8/I$10</f>
        <v>0.2</v>
      </c>
      <c r="K8" s="29"/>
      <c r="L8" s="29"/>
      <c r="M8" s="29"/>
      <c r="N8" s="29"/>
      <c r="O8" s="45">
        <f t="shared" si="1"/>
        <v>3.4469852208994722</v>
      </c>
      <c r="P8" s="45">
        <f t="shared" si="2"/>
        <v>0.66199319669083379</v>
      </c>
      <c r="Q8" s="45">
        <f t="shared" si="3"/>
        <v>3.4469852208994722</v>
      </c>
      <c r="R8" s="46"/>
      <c r="S8" s="46"/>
      <c r="T8" s="46"/>
    </row>
    <row r="9" spans="1:20" ht="15.6">
      <c r="A9" s="879"/>
      <c r="B9" s="879"/>
      <c r="C9" s="966"/>
      <c r="D9" s="951"/>
      <c r="E9" s="34" t="s">
        <v>461</v>
      </c>
      <c r="F9" s="30">
        <f>'Input Sheet'!CH12</f>
        <v>0.15335496684492853</v>
      </c>
      <c r="G9" s="30">
        <f>'Input Sheet'!CI12</f>
        <v>1</v>
      </c>
      <c r="H9" s="30">
        <f>'Input Sheet'!CJ12</f>
        <v>1</v>
      </c>
      <c r="I9" s="449">
        <v>1</v>
      </c>
      <c r="J9" s="45">
        <f>I9/I$10</f>
        <v>0.2</v>
      </c>
      <c r="K9" s="29"/>
      <c r="L9" s="29"/>
      <c r="M9" s="29"/>
      <c r="N9" s="29"/>
      <c r="O9" s="45">
        <f t="shared" si="1"/>
        <v>0.15335496684492853</v>
      </c>
      <c r="P9" s="45">
        <f t="shared" si="2"/>
        <v>1</v>
      </c>
      <c r="Q9" s="45">
        <f t="shared" si="3"/>
        <v>1</v>
      </c>
      <c r="R9" s="46"/>
      <c r="S9" s="46"/>
      <c r="T9" s="46"/>
    </row>
    <row r="10" spans="1:20" ht="15.6">
      <c r="A10" s="879"/>
      <c r="B10" s="879"/>
      <c r="C10" s="966"/>
      <c r="D10" s="951"/>
      <c r="E10" s="23" t="s">
        <v>38</v>
      </c>
      <c r="F10" s="47"/>
      <c r="G10" s="47"/>
      <c r="H10" s="47"/>
      <c r="I10" s="449">
        <f>SUM(I5:I9)</f>
        <v>5</v>
      </c>
      <c r="J10" s="872" t="s">
        <v>493</v>
      </c>
      <c r="K10" s="873"/>
      <c r="L10" s="873"/>
      <c r="M10" s="873"/>
      <c r="N10" s="874"/>
      <c r="O10" s="45">
        <f>SUM(O5:O9)</f>
        <v>122.24067093935224</v>
      </c>
      <c r="P10" s="45">
        <f>SUM(P5:P9)</f>
        <v>10.746576544717515</v>
      </c>
      <c r="Q10" s="45">
        <f>SUM(Q5:Q9)</f>
        <v>10.883313823329194</v>
      </c>
      <c r="R10" s="48"/>
      <c r="S10" s="48"/>
      <c r="T10" s="48"/>
    </row>
    <row r="11" spans="1:20" ht="15.6">
      <c r="A11" s="879"/>
      <c r="B11" s="879"/>
      <c r="C11" s="966"/>
      <c r="D11" s="951"/>
      <c r="E11" s="23"/>
      <c r="F11" s="23"/>
      <c r="G11" s="23"/>
      <c r="H11" s="23"/>
      <c r="I11" s="23"/>
      <c r="J11" s="872" t="s">
        <v>494</v>
      </c>
      <c r="K11" s="873"/>
      <c r="L11" s="873"/>
      <c r="M11" s="873"/>
      <c r="N11" s="874"/>
      <c r="O11" s="45">
        <f>O10/SUM($O10:$Q10)</f>
        <v>0.84965728797129303</v>
      </c>
      <c r="P11" s="45">
        <f>P10/SUM($O10:$Q10)</f>
        <v>7.4696146640840566E-2</v>
      </c>
      <c r="Q11" s="45">
        <f>Q10/SUM($O10:$Q10)</f>
        <v>7.5646565387866377E-2</v>
      </c>
      <c r="R11" s="17"/>
      <c r="S11" s="17"/>
      <c r="T11" s="17"/>
    </row>
    <row r="12" spans="1:20" ht="15.6">
      <c r="A12" s="879"/>
      <c r="B12" s="879"/>
      <c r="C12" s="966"/>
      <c r="D12" s="951"/>
      <c r="E12" s="23"/>
      <c r="F12" s="971" t="s">
        <v>1058</v>
      </c>
      <c r="G12" s="971"/>
      <c r="H12" s="971"/>
      <c r="I12" s="971"/>
      <c r="J12" s="971"/>
      <c r="K12" s="749"/>
      <c r="L12" s="749"/>
      <c r="M12" s="749"/>
      <c r="N12" s="750"/>
      <c r="O12" s="45">
        <f>'Input Sheet'!$CH$15</f>
        <v>1</v>
      </c>
      <c r="P12" s="45">
        <f>'Input Sheet'!$CI$15</f>
        <v>0.65</v>
      </c>
      <c r="Q12" s="45">
        <f>'Input Sheet'!$CJ$15</f>
        <v>0.5</v>
      </c>
      <c r="R12" s="17"/>
      <c r="S12" s="17"/>
      <c r="T12" s="17"/>
    </row>
    <row r="13" spans="1:20" ht="15.6">
      <c r="A13" s="879"/>
      <c r="B13" s="879"/>
      <c r="C13" s="966"/>
      <c r="D13" s="951"/>
      <c r="E13" s="23"/>
      <c r="F13" s="23"/>
      <c r="G13" s="23"/>
      <c r="H13" s="23"/>
      <c r="I13" s="56"/>
      <c r="J13" s="748"/>
      <c r="K13" s="749"/>
      <c r="L13" s="749"/>
      <c r="M13" s="749"/>
      <c r="N13" s="750"/>
      <c r="O13" s="45">
        <f>O11*O12</f>
        <v>0.84965728797129303</v>
      </c>
      <c r="P13" s="45">
        <f t="shared" ref="P13:Q13" si="4">P11*P12</f>
        <v>4.8552495316546367E-2</v>
      </c>
      <c r="Q13" s="45">
        <f t="shared" si="4"/>
        <v>3.7823282693933188E-2</v>
      </c>
      <c r="R13" s="17"/>
      <c r="S13" s="17"/>
      <c r="T13" s="17"/>
    </row>
    <row r="14" spans="1:20" ht="15.6">
      <c r="A14" s="879"/>
      <c r="B14" s="879"/>
      <c r="C14" s="966"/>
      <c r="D14" s="951"/>
      <c r="E14" s="869" t="s">
        <v>1062</v>
      </c>
      <c r="F14" s="972" t="s">
        <v>1063</v>
      </c>
      <c r="G14" s="973"/>
      <c r="H14" s="973"/>
      <c r="I14" s="973"/>
      <c r="J14" s="973"/>
      <c r="O14" s="501">
        <f>O13/($O13+$P13+$Q13)</f>
        <v>0.90772144580182856</v>
      </c>
      <c r="P14" s="501">
        <f>P13/($O13+$P13+$Q13)</f>
        <v>5.1870491632281537E-2</v>
      </c>
      <c r="Q14" s="501">
        <f>Q13/($O13+$P13+$Q13)</f>
        <v>4.0408062565889871E-2</v>
      </c>
    </row>
    <row r="15" spans="1:20" ht="15.6">
      <c r="A15" s="879"/>
      <c r="B15" s="879"/>
      <c r="C15" s="966"/>
      <c r="D15" s="951"/>
      <c r="E15" s="869"/>
      <c r="F15" s="972" t="s">
        <v>1064</v>
      </c>
      <c r="G15" s="973"/>
      <c r="H15" s="973"/>
      <c r="I15" s="973"/>
      <c r="J15" s="973"/>
      <c r="O15" s="51">
        <f>ROUND($E$2*$C5*O14/100,0)*100</f>
        <v>56000</v>
      </c>
      <c r="P15" s="51">
        <f>ROUND($E$2*$C5*P14/100,0)*100</f>
        <v>3200</v>
      </c>
      <c r="Q15" s="51">
        <f>ROUND($E$2*$C5*Q14/100,0)*100</f>
        <v>2500</v>
      </c>
    </row>
    <row r="16" spans="1:20" ht="15.75" customHeight="1">
      <c r="A16" s="878">
        <v>2</v>
      </c>
      <c r="B16" s="878" t="s">
        <v>465</v>
      </c>
      <c r="C16" s="966">
        <f>Buckets!AC4</f>
        <v>5.6640416379402425E-2</v>
      </c>
      <c r="D16" s="951" t="s">
        <v>496</v>
      </c>
      <c r="E16" s="23" t="s">
        <v>457</v>
      </c>
      <c r="F16" s="30">
        <f>'Input Sheet'!CH19</f>
        <v>49.387163460682565</v>
      </c>
      <c r="G16" s="30">
        <f>'Input Sheet'!CI19</f>
        <v>7.0237948202888347</v>
      </c>
      <c r="H16" s="30">
        <f>'Input Sheet'!CJ19</f>
        <v>5.8854435369720974</v>
      </c>
      <c r="I16" s="449">
        <v>1</v>
      </c>
      <c r="J16" s="30">
        <f>I16/I$21</f>
        <v>0.2</v>
      </c>
      <c r="K16" s="29"/>
      <c r="L16" s="29"/>
      <c r="M16" s="29"/>
      <c r="N16" s="29"/>
      <c r="O16" s="45">
        <f>F16</f>
        <v>49.387163460682565</v>
      </c>
      <c r="P16" s="45">
        <f t="shared" ref="P16:P20" si="5">G16</f>
        <v>7.0237948202888347</v>
      </c>
      <c r="Q16" s="45">
        <f t="shared" ref="Q16:Q20" si="6">H16</f>
        <v>5.8854435369720974</v>
      </c>
      <c r="R16" s="46"/>
      <c r="S16" s="46"/>
      <c r="T16" s="46"/>
    </row>
    <row r="17" spans="1:20" ht="31.2">
      <c r="A17" s="879"/>
      <c r="B17" s="879"/>
      <c r="C17" s="966"/>
      <c r="D17" s="951"/>
      <c r="E17" s="23" t="s">
        <v>491</v>
      </c>
      <c r="F17" s="30">
        <f>'Input Sheet'!CH20</f>
        <v>8.1757335208131041E-2</v>
      </c>
      <c r="G17" s="30">
        <f>'Input Sheet'!CI20</f>
        <v>0.30476792999696362</v>
      </c>
      <c r="H17" s="30">
        <f>'Input Sheet'!CJ20</f>
        <v>2.6612788846677192E-2</v>
      </c>
      <c r="I17" s="449">
        <v>1</v>
      </c>
      <c r="J17" s="30">
        <f t="shared" ref="J17:J20" si="7">I17/I$21</f>
        <v>0.2</v>
      </c>
      <c r="K17" s="29"/>
      <c r="L17" s="29"/>
      <c r="M17" s="29"/>
      <c r="N17" s="29"/>
      <c r="O17" s="45">
        <f t="shared" ref="O17:O20" si="8">F17</f>
        <v>8.1757335208131041E-2</v>
      </c>
      <c r="P17" s="45">
        <f t="shared" si="5"/>
        <v>0.30476792999696362</v>
      </c>
      <c r="Q17" s="45">
        <f t="shared" si="6"/>
        <v>2.6612788846677192E-2</v>
      </c>
      <c r="R17" s="46"/>
      <c r="S17" s="46"/>
      <c r="T17" s="46"/>
    </row>
    <row r="18" spans="1:20" ht="15.6">
      <c r="A18" s="879"/>
      <c r="B18" s="879"/>
      <c r="C18" s="966"/>
      <c r="D18" s="951"/>
      <c r="E18" s="23" t="s">
        <v>459</v>
      </c>
      <c r="F18" s="30">
        <f>'Input Sheet'!CH21</f>
        <v>0.3225236063732973</v>
      </c>
      <c r="G18" s="30">
        <f>'Input Sheet'!CI21</f>
        <v>1</v>
      </c>
      <c r="H18" s="30">
        <f>'Input Sheet'!CJ21</f>
        <v>0.60096984145352728</v>
      </c>
      <c r="I18" s="449">
        <v>1</v>
      </c>
      <c r="J18" s="30">
        <f t="shared" si="7"/>
        <v>0.2</v>
      </c>
      <c r="K18" s="29"/>
      <c r="L18" s="29"/>
      <c r="M18" s="29"/>
      <c r="N18" s="29"/>
      <c r="O18" s="45">
        <f t="shared" si="8"/>
        <v>0.3225236063732973</v>
      </c>
      <c r="P18" s="45">
        <f t="shared" si="5"/>
        <v>1</v>
      </c>
      <c r="Q18" s="45">
        <f t="shared" si="6"/>
        <v>0.60096984145352728</v>
      </c>
      <c r="R18" s="46"/>
      <c r="S18" s="46"/>
      <c r="T18" s="46"/>
    </row>
    <row r="19" spans="1:20" ht="15.6">
      <c r="A19" s="879"/>
      <c r="B19" s="879"/>
      <c r="C19" s="966"/>
      <c r="D19" s="951"/>
      <c r="E19" s="23" t="s">
        <v>492</v>
      </c>
      <c r="F19" s="30">
        <f>'Input Sheet'!CH22</f>
        <v>3.4469852208994722</v>
      </c>
      <c r="G19" s="30">
        <f>'Input Sheet'!CI22</f>
        <v>0.66199319669083379</v>
      </c>
      <c r="H19" s="30">
        <f>'Input Sheet'!CJ22</f>
        <v>3.4469852208994722</v>
      </c>
      <c r="I19" s="449">
        <v>1</v>
      </c>
      <c r="J19" s="30">
        <f t="shared" si="7"/>
        <v>0.2</v>
      </c>
      <c r="K19" s="29"/>
      <c r="L19" s="29"/>
      <c r="M19" s="29"/>
      <c r="N19" s="29"/>
      <c r="O19" s="45">
        <f t="shared" si="8"/>
        <v>3.4469852208994722</v>
      </c>
      <c r="P19" s="45">
        <f t="shared" si="5"/>
        <v>0.66199319669083379</v>
      </c>
      <c r="Q19" s="45">
        <f t="shared" si="6"/>
        <v>3.4469852208994722</v>
      </c>
      <c r="R19" s="46"/>
      <c r="S19" s="46"/>
      <c r="T19" s="46"/>
    </row>
    <row r="20" spans="1:20" ht="15.6">
      <c r="A20" s="879"/>
      <c r="B20" s="879"/>
      <c r="C20" s="966"/>
      <c r="D20" s="951"/>
      <c r="E20" s="34" t="s">
        <v>461</v>
      </c>
      <c r="F20" s="30">
        <f>'Input Sheet'!CH23</f>
        <v>0.15335496684492853</v>
      </c>
      <c r="G20" s="30">
        <f>'Input Sheet'!CI23</f>
        <v>1</v>
      </c>
      <c r="H20" s="30">
        <f>'Input Sheet'!CJ23</f>
        <v>1</v>
      </c>
      <c r="I20" s="449">
        <v>1</v>
      </c>
      <c r="J20" s="30">
        <f t="shared" si="7"/>
        <v>0.2</v>
      </c>
      <c r="K20" s="29"/>
      <c r="L20" s="29"/>
      <c r="M20" s="29"/>
      <c r="N20" s="29"/>
      <c r="O20" s="45">
        <f t="shared" si="8"/>
        <v>0.15335496684492853</v>
      </c>
      <c r="P20" s="45">
        <f t="shared" si="5"/>
        <v>1</v>
      </c>
      <c r="Q20" s="45">
        <f t="shared" si="6"/>
        <v>1</v>
      </c>
      <c r="R20" s="46"/>
      <c r="S20" s="46"/>
      <c r="T20" s="46"/>
    </row>
    <row r="21" spans="1:20" ht="15.75" customHeight="1">
      <c r="A21" s="879"/>
      <c r="B21" s="879"/>
      <c r="C21" s="966"/>
      <c r="D21" s="951"/>
      <c r="E21" s="23" t="s">
        <v>38</v>
      </c>
      <c r="F21" s="47"/>
      <c r="G21" s="47"/>
      <c r="H21" s="47"/>
      <c r="I21" s="449">
        <f>SUM(I16:I20)</f>
        <v>5</v>
      </c>
      <c r="J21" s="872" t="s">
        <v>493</v>
      </c>
      <c r="K21" s="873"/>
      <c r="L21" s="873"/>
      <c r="M21" s="873"/>
      <c r="N21" s="874"/>
      <c r="O21" s="45">
        <f>SUM(O16:O20)</f>
        <v>53.391784590008392</v>
      </c>
      <c r="P21" s="45">
        <f>SUM(P16:P20)</f>
        <v>9.990555946976631</v>
      </c>
      <c r="Q21" s="45">
        <f>SUM(Q16:Q20)</f>
        <v>10.960011388171774</v>
      </c>
      <c r="R21" s="48"/>
      <c r="S21" s="48"/>
      <c r="T21" s="48"/>
    </row>
    <row r="22" spans="1:20" ht="15.75" customHeight="1">
      <c r="A22" s="879"/>
      <c r="B22" s="879"/>
      <c r="C22" s="966"/>
      <c r="D22" s="951"/>
      <c r="E22" s="23"/>
      <c r="F22" s="23"/>
      <c r="G22" s="23"/>
      <c r="H22" s="23"/>
      <c r="I22" s="23"/>
      <c r="J22" s="872" t="s">
        <v>494</v>
      </c>
      <c r="K22" s="873"/>
      <c r="L22" s="873"/>
      <c r="M22" s="873"/>
      <c r="N22" s="874"/>
      <c r="O22" s="45">
        <f>O21/SUM($O21:$Q21)</f>
        <v>0.71818799388752019</v>
      </c>
      <c r="P22" s="45">
        <f>P21/SUM($O21:$Q21)</f>
        <v>0.13438579340393336</v>
      </c>
      <c r="Q22" s="45">
        <f>Q21/SUM($O21:$Q21)</f>
        <v>0.14742621270854631</v>
      </c>
      <c r="R22" s="17"/>
      <c r="S22" s="17"/>
      <c r="T22" s="17"/>
    </row>
    <row r="23" spans="1:20" ht="15.6">
      <c r="A23" s="879"/>
      <c r="B23" s="879"/>
      <c r="C23" s="966"/>
      <c r="D23" s="951"/>
      <c r="E23" s="23"/>
      <c r="F23" s="971" t="s">
        <v>1058</v>
      </c>
      <c r="G23" s="971"/>
      <c r="H23" s="971"/>
      <c r="I23" s="971"/>
      <c r="J23" s="971"/>
      <c r="K23" s="749"/>
      <c r="L23" s="749"/>
      <c r="M23" s="749"/>
      <c r="N23" s="750"/>
      <c r="O23" s="45">
        <f>'Input Sheet'!$CH$15</f>
        <v>1</v>
      </c>
      <c r="P23" s="45">
        <f>'Input Sheet'!$CI$15</f>
        <v>0.65</v>
      </c>
      <c r="Q23" s="45">
        <f>'Input Sheet'!$CJ$15</f>
        <v>0.5</v>
      </c>
      <c r="R23" s="17"/>
      <c r="S23" s="17"/>
      <c r="T23" s="17"/>
    </row>
    <row r="24" spans="1:20" ht="15.6">
      <c r="A24" s="879"/>
      <c r="B24" s="879"/>
      <c r="C24" s="966"/>
      <c r="D24" s="951"/>
      <c r="E24" s="23"/>
      <c r="F24" s="23"/>
      <c r="G24" s="23"/>
      <c r="H24" s="23"/>
      <c r="I24" s="56"/>
      <c r="J24" s="748"/>
      <c r="K24" s="749"/>
      <c r="L24" s="749"/>
      <c r="M24" s="749"/>
      <c r="N24" s="750"/>
      <c r="O24" s="45">
        <f>O22*O23</f>
        <v>0.71818799388752019</v>
      </c>
      <c r="P24" s="45">
        <f t="shared" ref="P24:Q24" si="9">P22*P23</f>
        <v>8.7350765712556691E-2</v>
      </c>
      <c r="Q24" s="45">
        <f t="shared" si="9"/>
        <v>7.3713106354273153E-2</v>
      </c>
      <c r="R24" s="17"/>
      <c r="S24" s="17"/>
      <c r="T24" s="17"/>
    </row>
    <row r="25" spans="1:20" ht="15.6" customHeight="1">
      <c r="A25" s="879"/>
      <c r="B25" s="879"/>
      <c r="C25" s="966"/>
      <c r="D25" s="951"/>
      <c r="E25" s="869" t="s">
        <v>1062</v>
      </c>
      <c r="F25" s="972" t="s">
        <v>1063</v>
      </c>
      <c r="G25" s="973"/>
      <c r="H25" s="973"/>
      <c r="I25" s="973"/>
      <c r="J25" s="973"/>
      <c r="O25" s="501">
        <f>O24/($O24+$P24+$Q24)</f>
        <v>0.81681713931649225</v>
      </c>
      <c r="P25" s="501">
        <f>P24/($O24+$P24+$Q24)</f>
        <v>9.9346693586763291E-2</v>
      </c>
      <c r="Q25" s="501">
        <f>Q24/($O24+$P24+$Q24)</f>
        <v>8.3836167096744338E-2</v>
      </c>
    </row>
    <row r="26" spans="1:20" ht="15.6" customHeight="1">
      <c r="A26" s="879"/>
      <c r="B26" s="879"/>
      <c r="C26" s="966"/>
      <c r="D26" s="951"/>
      <c r="E26" s="869"/>
      <c r="F26" s="972" t="s">
        <v>1064</v>
      </c>
      <c r="G26" s="973"/>
      <c r="H26" s="973"/>
      <c r="I26" s="973"/>
      <c r="J26" s="973"/>
      <c r="O26" s="51">
        <f>ROUND($E$2*$C16*O25/100,0)*100</f>
        <v>47600</v>
      </c>
      <c r="P26" s="51">
        <f>ROUND($E$2*$C16*P25/100,0)*100</f>
        <v>5800</v>
      </c>
      <c r="Q26" s="51">
        <f>ROUND($E$2*$C16*Q25/100,0)*100</f>
        <v>4900</v>
      </c>
    </row>
    <row r="27" spans="1:20" ht="15.75" customHeight="1">
      <c r="A27" s="878">
        <v>3</v>
      </c>
      <c r="B27" s="878" t="s">
        <v>466</v>
      </c>
      <c r="C27" s="966">
        <f>Buckets!AC5</f>
        <v>4.8648806113630406E-2</v>
      </c>
      <c r="D27" s="951" t="s">
        <v>490</v>
      </c>
      <c r="E27" s="23" t="s">
        <v>457</v>
      </c>
      <c r="F27" s="30">
        <f>'Input Sheet'!CH30</f>
        <v>252.82047700795036</v>
      </c>
      <c r="G27" s="30">
        <f>'Input Sheet'!CI30</f>
        <v>10.245169816560526</v>
      </c>
      <c r="H27" s="30">
        <f>'Input Sheet'!CJ30</f>
        <v>10.427733642779007</v>
      </c>
      <c r="I27" s="449">
        <v>1</v>
      </c>
      <c r="J27" s="30">
        <f>I27/I$32</f>
        <v>0.2</v>
      </c>
      <c r="K27" s="29"/>
      <c r="L27" s="29"/>
      <c r="M27" s="29"/>
      <c r="N27" s="29"/>
      <c r="O27" s="45">
        <f>F27</f>
        <v>252.82047700795036</v>
      </c>
      <c r="P27" s="45">
        <f t="shared" ref="P27:P31" si="10">G27</f>
        <v>10.245169816560526</v>
      </c>
      <c r="Q27" s="45">
        <f t="shared" ref="Q27:Q31" si="11">H27</f>
        <v>10.427733642779007</v>
      </c>
      <c r="R27" s="46"/>
      <c r="S27" s="46"/>
      <c r="T27" s="46"/>
    </row>
    <row r="28" spans="1:20" ht="31.2">
      <c r="A28" s="879"/>
      <c r="B28" s="879"/>
      <c r="C28" s="966"/>
      <c r="D28" s="951"/>
      <c r="E28" s="23" t="s">
        <v>491</v>
      </c>
      <c r="F28" s="30">
        <f>'Input Sheet'!CH31</f>
        <v>6.3459038508992038E-2</v>
      </c>
      <c r="G28" s="30">
        <f>'Input Sheet'!CI31</f>
        <v>0.38772385755771172</v>
      </c>
      <c r="H28" s="30">
        <f>'Input Sheet'!CJ31</f>
        <v>2.380511816929241E-2</v>
      </c>
      <c r="I28" s="449">
        <v>1</v>
      </c>
      <c r="J28" s="30">
        <f t="shared" ref="J28:J31" si="12">I28/I$32</f>
        <v>0.2</v>
      </c>
      <c r="K28" s="29"/>
      <c r="L28" s="29"/>
      <c r="M28" s="29"/>
      <c r="N28" s="29"/>
      <c r="O28" s="45">
        <f t="shared" ref="O28:O31" si="13">F28</f>
        <v>6.3459038508992038E-2</v>
      </c>
      <c r="P28" s="45">
        <f t="shared" si="10"/>
        <v>0.38772385755771172</v>
      </c>
      <c r="Q28" s="45">
        <f t="shared" si="11"/>
        <v>2.380511816929241E-2</v>
      </c>
      <c r="R28" s="46"/>
      <c r="S28" s="46"/>
      <c r="T28" s="46"/>
    </row>
    <row r="29" spans="1:20" ht="15.6">
      <c r="A29" s="879"/>
      <c r="B29" s="879"/>
      <c r="C29" s="966"/>
      <c r="D29" s="951"/>
      <c r="E29" s="23" t="s">
        <v>459</v>
      </c>
      <c r="F29" s="30">
        <f>'Input Sheet'!CH32</f>
        <v>0.42316208231774899</v>
      </c>
      <c r="G29" s="30">
        <f>'Input Sheet'!CI32</f>
        <v>1</v>
      </c>
      <c r="H29" s="30">
        <f>'Input Sheet'!CJ32</f>
        <v>0.71329718021725974</v>
      </c>
      <c r="I29" s="449">
        <v>1</v>
      </c>
      <c r="J29" s="30">
        <f t="shared" si="12"/>
        <v>0.2</v>
      </c>
      <c r="K29" s="29"/>
      <c r="L29" s="29"/>
      <c r="M29" s="29"/>
      <c r="N29" s="29"/>
      <c r="O29" s="45">
        <f t="shared" si="13"/>
        <v>0.42316208231774899</v>
      </c>
      <c r="P29" s="45">
        <f t="shared" si="10"/>
        <v>1</v>
      </c>
      <c r="Q29" s="45">
        <f t="shared" si="11"/>
        <v>0.71329718021725974</v>
      </c>
      <c r="R29" s="46"/>
      <c r="S29" s="46"/>
      <c r="T29" s="46"/>
    </row>
    <row r="30" spans="1:20" ht="15.6">
      <c r="A30" s="879"/>
      <c r="B30" s="879"/>
      <c r="C30" s="966"/>
      <c r="D30" s="951"/>
      <c r="E30" s="23" t="s">
        <v>492</v>
      </c>
      <c r="F30" s="30">
        <f>'Input Sheet'!CH33</f>
        <v>3.4469852208994722</v>
      </c>
      <c r="G30" s="30">
        <f>'Input Sheet'!CI33</f>
        <v>0.66199319669083379</v>
      </c>
      <c r="H30" s="30">
        <f>'Input Sheet'!CJ33</f>
        <v>3.4469852208994722</v>
      </c>
      <c r="I30" s="449">
        <v>1</v>
      </c>
      <c r="J30" s="30">
        <f t="shared" si="12"/>
        <v>0.2</v>
      </c>
      <c r="K30" s="29"/>
      <c r="L30" s="29"/>
      <c r="M30" s="29"/>
      <c r="N30" s="29"/>
      <c r="O30" s="45">
        <f t="shared" si="13"/>
        <v>3.4469852208994722</v>
      </c>
      <c r="P30" s="45">
        <f t="shared" si="10"/>
        <v>0.66199319669083379</v>
      </c>
      <c r="Q30" s="45">
        <f t="shared" si="11"/>
        <v>3.4469852208994722</v>
      </c>
      <c r="R30" s="46"/>
      <c r="S30" s="46"/>
      <c r="T30" s="46"/>
    </row>
    <row r="31" spans="1:20" ht="15.6">
      <c r="A31" s="879"/>
      <c r="B31" s="879"/>
      <c r="C31" s="966"/>
      <c r="D31" s="951"/>
      <c r="E31" s="34" t="s">
        <v>461</v>
      </c>
      <c r="F31" s="30">
        <f>'Input Sheet'!CH34</f>
        <v>0.15335496684492853</v>
      </c>
      <c r="G31" s="30">
        <f>'Input Sheet'!CI34</f>
        <v>1</v>
      </c>
      <c r="H31" s="30">
        <f>'Input Sheet'!CJ34</f>
        <v>1</v>
      </c>
      <c r="I31" s="449">
        <v>1</v>
      </c>
      <c r="J31" s="30">
        <f t="shared" si="12"/>
        <v>0.2</v>
      </c>
      <c r="K31" s="29"/>
      <c r="L31" s="29"/>
      <c r="M31" s="29"/>
      <c r="N31" s="29"/>
      <c r="O31" s="45">
        <f t="shared" si="13"/>
        <v>0.15335496684492853</v>
      </c>
      <c r="P31" s="45">
        <f t="shared" si="10"/>
        <v>1</v>
      </c>
      <c r="Q31" s="45">
        <f t="shared" si="11"/>
        <v>1</v>
      </c>
      <c r="R31" s="46"/>
      <c r="S31" s="46"/>
      <c r="T31" s="46"/>
    </row>
    <row r="32" spans="1:20" ht="15.75" customHeight="1">
      <c r="A32" s="879"/>
      <c r="B32" s="879"/>
      <c r="C32" s="966"/>
      <c r="D32" s="951"/>
      <c r="E32" s="23" t="s">
        <v>38</v>
      </c>
      <c r="F32" s="47"/>
      <c r="G32" s="47"/>
      <c r="H32" s="47"/>
      <c r="I32" s="449">
        <f>SUM(I27:I31)</f>
        <v>5</v>
      </c>
      <c r="J32" s="872" t="s">
        <v>493</v>
      </c>
      <c r="K32" s="873"/>
      <c r="L32" s="873"/>
      <c r="M32" s="873"/>
      <c r="N32" s="874"/>
      <c r="O32" s="45">
        <f>SUM(O27:O31)</f>
        <v>256.90743831652151</v>
      </c>
      <c r="P32" s="45">
        <f>SUM(P27:P31)</f>
        <v>13.294886870809071</v>
      </c>
      <c r="Q32" s="45">
        <f>SUM(Q27:Q31)</f>
        <v>15.611821162065032</v>
      </c>
      <c r="R32" s="48"/>
      <c r="S32" s="48"/>
      <c r="T32" s="48"/>
    </row>
    <row r="33" spans="1:20" ht="15.75" customHeight="1">
      <c r="A33" s="879"/>
      <c r="B33" s="879"/>
      <c r="C33" s="966"/>
      <c r="D33" s="951"/>
      <c r="E33" s="23"/>
      <c r="F33" s="23"/>
      <c r="G33" s="23"/>
      <c r="H33" s="23"/>
      <c r="I33" s="23"/>
      <c r="J33" s="872" t="s">
        <v>494</v>
      </c>
      <c r="K33" s="873"/>
      <c r="L33" s="873"/>
      <c r="M33" s="873"/>
      <c r="N33" s="874"/>
      <c r="O33" s="45">
        <f>O32/SUM($O32:$Q32)</f>
        <v>0.89886187089726166</v>
      </c>
      <c r="P33" s="45">
        <f>P32/SUM($O32:$Q32)</f>
        <v>4.6515846191030157E-2</v>
      </c>
      <c r="Q33" s="45">
        <f>Q32/SUM($O32:$Q32)</f>
        <v>5.4622282911708106E-2</v>
      </c>
      <c r="R33" s="17"/>
      <c r="S33" s="17"/>
      <c r="T33" s="17"/>
    </row>
    <row r="34" spans="1:20" ht="15.6">
      <c r="A34" s="879"/>
      <c r="B34" s="879"/>
      <c r="C34" s="966"/>
      <c r="D34" s="951"/>
      <c r="E34" s="23"/>
      <c r="F34" s="971" t="s">
        <v>1058</v>
      </c>
      <c r="G34" s="971"/>
      <c r="H34" s="971"/>
      <c r="I34" s="971"/>
      <c r="J34" s="971"/>
      <c r="K34" s="749"/>
      <c r="L34" s="749"/>
      <c r="M34" s="749"/>
      <c r="N34" s="750"/>
      <c r="O34" s="45">
        <f>'Input Sheet'!$CH$15</f>
        <v>1</v>
      </c>
      <c r="P34" s="45">
        <f>'Input Sheet'!$CI$15</f>
        <v>0.65</v>
      </c>
      <c r="Q34" s="45">
        <f>'Input Sheet'!$CJ$15</f>
        <v>0.5</v>
      </c>
      <c r="R34" s="17"/>
      <c r="S34" s="17"/>
      <c r="T34" s="17"/>
    </row>
    <row r="35" spans="1:20" ht="15.6">
      <c r="A35" s="879"/>
      <c r="B35" s="879"/>
      <c r="C35" s="966"/>
      <c r="D35" s="951"/>
      <c r="E35" s="23"/>
      <c r="F35" s="23"/>
      <c r="G35" s="23"/>
      <c r="H35" s="23"/>
      <c r="I35" s="56"/>
      <c r="J35" s="748"/>
      <c r="K35" s="749"/>
      <c r="L35" s="749"/>
      <c r="M35" s="749"/>
      <c r="N35" s="750"/>
      <c r="O35" s="45">
        <f>O33*O34</f>
        <v>0.89886187089726166</v>
      </c>
      <c r="P35" s="45">
        <f t="shared" ref="P35:Q35" si="14">P33*P34</f>
        <v>3.0235300024169603E-2</v>
      </c>
      <c r="Q35" s="45">
        <f t="shared" si="14"/>
        <v>2.7311141455854053E-2</v>
      </c>
      <c r="R35" s="17"/>
      <c r="S35" s="17"/>
      <c r="T35" s="17"/>
    </row>
    <row r="36" spans="1:20" ht="15.6" customHeight="1">
      <c r="A36" s="879"/>
      <c r="B36" s="879"/>
      <c r="C36" s="966"/>
      <c r="D36" s="951"/>
      <c r="E36" s="869" t="s">
        <v>1062</v>
      </c>
      <c r="F36" s="972" t="s">
        <v>1063</v>
      </c>
      <c r="G36" s="973"/>
      <c r="H36" s="973"/>
      <c r="I36" s="973"/>
      <c r="J36" s="973"/>
      <c r="O36" s="501">
        <f>O35/($O35+$P35+$Q35)</f>
        <v>0.93983067615024807</v>
      </c>
      <c r="P36" s="501">
        <f>P35/($O35+$P35+$Q35)</f>
        <v>3.1613380637622833E-2</v>
      </c>
      <c r="Q36" s="501">
        <f>Q35/($O35+$P35+$Q35)</f>
        <v>2.8555943212129169E-2</v>
      </c>
    </row>
    <row r="37" spans="1:20" ht="15.6" customHeight="1">
      <c r="A37" s="880"/>
      <c r="B37" s="880"/>
      <c r="C37" s="966"/>
      <c r="D37" s="951"/>
      <c r="E37" s="869"/>
      <c r="F37" s="972" t="s">
        <v>1064</v>
      </c>
      <c r="G37" s="973"/>
      <c r="H37" s="973"/>
      <c r="I37" s="973"/>
      <c r="J37" s="973"/>
      <c r="O37" s="51">
        <f>ROUND($E$2*$C27*O36/100,0)*100</f>
        <v>47100</v>
      </c>
      <c r="P37" s="51">
        <f>ROUND($E$2*$C27*P36/100,0)*100</f>
        <v>1600</v>
      </c>
      <c r="Q37" s="51">
        <f>ROUND($E$2*$C27*Q36/100,0)*100</f>
        <v>1400</v>
      </c>
    </row>
    <row r="38" spans="1:20" ht="15.75" customHeight="1">
      <c r="A38" s="825">
        <v>4</v>
      </c>
      <c r="B38" s="825" t="s">
        <v>635</v>
      </c>
      <c r="C38" s="966">
        <f>Buckets!AC6</f>
        <v>5.262033539516231E-2</v>
      </c>
      <c r="D38" s="951" t="s">
        <v>490</v>
      </c>
      <c r="E38" s="23" t="s">
        <v>457</v>
      </c>
      <c r="F38" s="30">
        <f>'Input Sheet'!CH41</f>
        <v>155.37955310344924</v>
      </c>
      <c r="G38" s="30">
        <f>'Input Sheet'!CI41</f>
        <v>7.8744964715095005</v>
      </c>
      <c r="H38" s="30">
        <f>'Input Sheet'!CJ41</f>
        <v>6.1849515659019767</v>
      </c>
      <c r="I38" s="449">
        <v>1</v>
      </c>
      <c r="J38" s="30">
        <f>I38/I$32</f>
        <v>0.2</v>
      </c>
      <c r="K38" s="29"/>
      <c r="L38" s="29"/>
      <c r="M38" s="29"/>
      <c r="N38" s="29"/>
      <c r="O38" s="45">
        <f>F38</f>
        <v>155.37955310344924</v>
      </c>
      <c r="P38" s="45">
        <f t="shared" ref="P38:P42" si="15">G38</f>
        <v>7.8744964715095005</v>
      </c>
      <c r="Q38" s="45">
        <f t="shared" ref="Q38:Q42" si="16">H38</f>
        <v>6.1849515659019767</v>
      </c>
      <c r="R38" s="46"/>
      <c r="S38" s="46"/>
      <c r="T38" s="46"/>
    </row>
    <row r="39" spans="1:20" ht="31.2">
      <c r="A39" s="825"/>
      <c r="B39" s="825"/>
      <c r="C39" s="966"/>
      <c r="D39" s="951"/>
      <c r="E39" s="23" t="s">
        <v>491</v>
      </c>
      <c r="F39" s="30">
        <f>'Input Sheet'!CH42</f>
        <v>0.18151842011016645</v>
      </c>
      <c r="G39" s="30">
        <f>'Input Sheet'!CI42</f>
        <v>0.3821864815918512</v>
      </c>
      <c r="H39" s="30">
        <f>'Input Sheet'!CJ42</f>
        <v>5.9473661712679954E-2</v>
      </c>
      <c r="I39" s="449">
        <v>1</v>
      </c>
      <c r="J39" s="30">
        <f t="shared" ref="J39:J42" si="17">I39/I$32</f>
        <v>0.2</v>
      </c>
      <c r="K39" s="29"/>
      <c r="L39" s="29"/>
      <c r="M39" s="29"/>
      <c r="N39" s="29"/>
      <c r="O39" s="45">
        <f t="shared" ref="O39:O42" si="18">F39</f>
        <v>0.18151842011016645</v>
      </c>
      <c r="P39" s="45">
        <f t="shared" si="15"/>
        <v>0.3821864815918512</v>
      </c>
      <c r="Q39" s="45">
        <f t="shared" si="16"/>
        <v>5.9473661712679954E-2</v>
      </c>
      <c r="R39" s="46"/>
      <c r="S39" s="46"/>
      <c r="T39" s="46"/>
    </row>
    <row r="40" spans="1:20" ht="15.6">
      <c r="A40" s="825"/>
      <c r="B40" s="825"/>
      <c r="C40" s="966"/>
      <c r="D40" s="951"/>
      <c r="E40" s="23" t="s">
        <v>459</v>
      </c>
      <c r="F40" s="30">
        <f>'Input Sheet'!CH43</f>
        <v>0.31890655732397039</v>
      </c>
      <c r="G40" s="30">
        <f>'Input Sheet'!CI43</f>
        <v>1</v>
      </c>
      <c r="H40" s="30">
        <f>'Input Sheet'!CJ43</f>
        <v>0.52578802442577965</v>
      </c>
      <c r="I40" s="449">
        <v>1</v>
      </c>
      <c r="J40" s="30">
        <f t="shared" si="17"/>
        <v>0.2</v>
      </c>
      <c r="K40" s="29"/>
      <c r="L40" s="29"/>
      <c r="M40" s="29"/>
      <c r="N40" s="29"/>
      <c r="O40" s="45">
        <f t="shared" si="18"/>
        <v>0.31890655732397039</v>
      </c>
      <c r="P40" s="45">
        <f t="shared" si="15"/>
        <v>1</v>
      </c>
      <c r="Q40" s="45">
        <f t="shared" si="16"/>
        <v>0.52578802442577965</v>
      </c>
      <c r="R40" s="46"/>
      <c r="S40" s="46"/>
      <c r="T40" s="46"/>
    </row>
    <row r="41" spans="1:20" ht="15.6">
      <c r="A41" s="825"/>
      <c r="B41" s="825"/>
      <c r="C41" s="966"/>
      <c r="D41" s="951"/>
      <c r="E41" s="23" t="s">
        <v>492</v>
      </c>
      <c r="F41" s="30">
        <f>'Input Sheet'!CH44</f>
        <v>3.4469852208994722</v>
      </c>
      <c r="G41" s="30">
        <f>'Input Sheet'!CI44</f>
        <v>0.66199319669083379</v>
      </c>
      <c r="H41" s="30">
        <f>'Input Sheet'!CJ44</f>
        <v>3.4469852208994722</v>
      </c>
      <c r="I41" s="449">
        <v>1</v>
      </c>
      <c r="J41" s="30">
        <f t="shared" si="17"/>
        <v>0.2</v>
      </c>
      <c r="K41" s="29"/>
      <c r="L41" s="29"/>
      <c r="M41" s="29"/>
      <c r="N41" s="29"/>
      <c r="O41" s="45">
        <f t="shared" si="18"/>
        <v>3.4469852208994722</v>
      </c>
      <c r="P41" s="45">
        <f t="shared" si="15"/>
        <v>0.66199319669083379</v>
      </c>
      <c r="Q41" s="45">
        <f t="shared" si="16"/>
        <v>3.4469852208994722</v>
      </c>
      <c r="R41" s="46"/>
      <c r="S41" s="46"/>
      <c r="T41" s="46"/>
    </row>
    <row r="42" spans="1:20" ht="15.6">
      <c r="A42" s="825"/>
      <c r="B42" s="825"/>
      <c r="C42" s="966"/>
      <c r="D42" s="951"/>
      <c r="E42" s="34" t="s">
        <v>461</v>
      </c>
      <c r="F42" s="30">
        <f>'Input Sheet'!CH45</f>
        <v>0.11758133171956553</v>
      </c>
      <c r="G42" s="30">
        <f>'Input Sheet'!CI45</f>
        <v>1</v>
      </c>
      <c r="H42" s="30">
        <f>'Input Sheet'!CJ45</f>
        <v>1</v>
      </c>
      <c r="I42" s="449">
        <v>1</v>
      </c>
      <c r="J42" s="30">
        <f t="shared" si="17"/>
        <v>0.2</v>
      </c>
      <c r="K42" s="29"/>
      <c r="L42" s="29"/>
      <c r="M42" s="29"/>
      <c r="N42" s="29"/>
      <c r="O42" s="45">
        <f t="shared" si="18"/>
        <v>0.11758133171956553</v>
      </c>
      <c r="P42" s="45">
        <f t="shared" si="15"/>
        <v>1</v>
      </c>
      <c r="Q42" s="45">
        <f t="shared" si="16"/>
        <v>1</v>
      </c>
      <c r="R42" s="46"/>
      <c r="S42" s="46"/>
      <c r="T42" s="46"/>
    </row>
    <row r="43" spans="1:20" ht="15.75" customHeight="1">
      <c r="A43" s="825">
        <v>2</v>
      </c>
      <c r="B43" s="825"/>
      <c r="C43" s="966"/>
      <c r="D43" s="951"/>
      <c r="E43" s="23" t="s">
        <v>38</v>
      </c>
      <c r="F43" s="47"/>
      <c r="G43" s="47"/>
      <c r="H43" s="47"/>
      <c r="I43" s="449">
        <f>SUM(I38:I42)</f>
        <v>5</v>
      </c>
      <c r="J43" s="872" t="s">
        <v>493</v>
      </c>
      <c r="K43" s="873"/>
      <c r="L43" s="873"/>
      <c r="M43" s="873"/>
      <c r="N43" s="874"/>
      <c r="O43" s="45">
        <f>SUM(O38:O42)</f>
        <v>159.44454463350243</v>
      </c>
      <c r="P43" s="45">
        <f>SUM(P38:P42)</f>
        <v>10.918676149792185</v>
      </c>
      <c r="Q43" s="45">
        <f>SUM(Q38:Q42)</f>
        <v>11.217198472939909</v>
      </c>
      <c r="R43" s="48"/>
      <c r="S43" s="48"/>
      <c r="T43" s="48"/>
    </row>
    <row r="44" spans="1:20" ht="15.75" customHeight="1">
      <c r="A44" s="825"/>
      <c r="B44" s="825"/>
      <c r="C44" s="966"/>
      <c r="D44" s="951"/>
      <c r="E44" s="23"/>
      <c r="F44" s="23"/>
      <c r="G44" s="23"/>
      <c r="H44" s="23"/>
      <c r="I44" s="23"/>
      <c r="J44" s="872" t="s">
        <v>494</v>
      </c>
      <c r="K44" s="873"/>
      <c r="L44" s="873"/>
      <c r="M44" s="873"/>
      <c r="N44" s="874"/>
      <c r="O44" s="45">
        <f>O43/SUM($O43:$Q43)</f>
        <v>0.87809327286828553</v>
      </c>
      <c r="P44" s="45">
        <f>P43/SUM($O43:$Q43)</f>
        <v>6.0131352237844854E-2</v>
      </c>
      <c r="Q44" s="45">
        <f>Q43/SUM($O43:$Q43)</f>
        <v>6.1775374893869611E-2</v>
      </c>
      <c r="R44" s="17"/>
      <c r="S44" s="17"/>
      <c r="T44" s="17"/>
    </row>
    <row r="45" spans="1:20" ht="15.6">
      <c r="A45" s="825"/>
      <c r="B45" s="825"/>
      <c r="C45" s="966"/>
      <c r="D45" s="951"/>
      <c r="E45" s="23"/>
      <c r="F45" s="971" t="s">
        <v>1058</v>
      </c>
      <c r="G45" s="971"/>
      <c r="H45" s="971"/>
      <c r="I45" s="971"/>
      <c r="J45" s="971"/>
      <c r="K45" s="749"/>
      <c r="L45" s="749"/>
      <c r="M45" s="749"/>
      <c r="N45" s="750"/>
      <c r="O45" s="45">
        <f>'Input Sheet'!$CH$15</f>
        <v>1</v>
      </c>
      <c r="P45" s="45">
        <f>'Input Sheet'!$CI$15</f>
        <v>0.65</v>
      </c>
      <c r="Q45" s="45">
        <f>'Input Sheet'!$CJ$15</f>
        <v>0.5</v>
      </c>
      <c r="R45" s="17"/>
      <c r="S45" s="17"/>
      <c r="T45" s="17"/>
    </row>
    <row r="46" spans="1:20" ht="15.6">
      <c r="A46" s="825"/>
      <c r="B46" s="825"/>
      <c r="C46" s="966"/>
      <c r="D46" s="951"/>
      <c r="E46" s="23"/>
      <c r="F46" s="23"/>
      <c r="G46" s="23"/>
      <c r="H46" s="23"/>
      <c r="I46" s="56"/>
      <c r="J46" s="748"/>
      <c r="K46" s="749"/>
      <c r="L46" s="749"/>
      <c r="M46" s="749"/>
      <c r="N46" s="750"/>
      <c r="O46" s="45">
        <f>O44*O45</f>
        <v>0.87809327286828553</v>
      </c>
      <c r="P46" s="45">
        <f t="shared" ref="P46:Q46" si="19">P44*P45</f>
        <v>3.9085378954599154E-2</v>
      </c>
      <c r="Q46" s="45">
        <f t="shared" si="19"/>
        <v>3.0887687446934806E-2</v>
      </c>
      <c r="R46" s="17"/>
      <c r="S46" s="17"/>
      <c r="T46" s="17"/>
    </row>
    <row r="47" spans="1:20" ht="15.6" customHeight="1">
      <c r="A47" s="825"/>
      <c r="B47" s="825"/>
      <c r="C47" s="966"/>
      <c r="D47" s="951"/>
      <c r="E47" s="869" t="s">
        <v>1062</v>
      </c>
      <c r="F47" s="972" t="s">
        <v>1063</v>
      </c>
      <c r="G47" s="973"/>
      <c r="H47" s="973"/>
      <c r="I47" s="973"/>
      <c r="J47" s="973"/>
      <c r="O47" s="501">
        <f>O46/($O46+$P46+$Q46)</f>
        <v>0.92619391333371692</v>
      </c>
      <c r="P47" s="501">
        <f>P46/($O46+$P46+$Q46)</f>
        <v>4.1226417746992136E-2</v>
      </c>
      <c r="Q47" s="501">
        <f>Q46/($O46+$P46+$Q46)</f>
        <v>3.2579668919290865E-2</v>
      </c>
    </row>
    <row r="48" spans="1:20" ht="15.6" customHeight="1">
      <c r="A48" s="825"/>
      <c r="B48" s="825"/>
      <c r="C48" s="966"/>
      <c r="D48" s="951"/>
      <c r="E48" s="869"/>
      <c r="F48" s="972" t="s">
        <v>1064</v>
      </c>
      <c r="G48" s="973"/>
      <c r="H48" s="973"/>
      <c r="I48" s="973"/>
      <c r="J48" s="973"/>
      <c r="O48" s="51">
        <f>ROUND($E$2*$C38*O47/100,0)*100</f>
        <v>50200</v>
      </c>
      <c r="P48" s="51">
        <f>ROUND($E$2*$C38*P47/100,0)*100</f>
        <v>2200</v>
      </c>
      <c r="Q48" s="51">
        <f>ROUND($E$2*$C38*Q47/100,0)*100</f>
        <v>1800</v>
      </c>
    </row>
    <row r="49" spans="1:20" ht="14.55" customHeight="1">
      <c r="A49" s="825">
        <v>5</v>
      </c>
      <c r="B49" s="825" t="s">
        <v>639</v>
      </c>
      <c r="C49" s="966">
        <f>Buckets!AC7</f>
        <v>0.11995183671091345</v>
      </c>
      <c r="D49" s="951" t="s">
        <v>490</v>
      </c>
      <c r="E49" s="23" t="s">
        <v>457</v>
      </c>
      <c r="F49" s="30">
        <f>'Input Sheet'!CH52</f>
        <v>66.085851332966342</v>
      </c>
      <c r="G49" s="30">
        <f>'Input Sheet'!CI52</f>
        <v>7.1254382738894222</v>
      </c>
      <c r="H49" s="30">
        <f>'Input Sheet'!CJ52</f>
        <v>6.9815258670991716</v>
      </c>
      <c r="I49" s="449">
        <v>1</v>
      </c>
      <c r="J49" s="30">
        <f>I49/I$32</f>
        <v>0.2</v>
      </c>
      <c r="K49" s="29"/>
      <c r="L49" s="29"/>
      <c r="M49" s="29"/>
      <c r="N49" s="29"/>
      <c r="O49" s="45">
        <f>F49</f>
        <v>66.085851332966342</v>
      </c>
      <c r="P49" s="45">
        <f t="shared" ref="P49:P53" si="20">G49</f>
        <v>7.1254382738894222</v>
      </c>
      <c r="Q49" s="45">
        <f t="shared" ref="Q49:Q53" si="21">H49</f>
        <v>6.9815258670991716</v>
      </c>
    </row>
    <row r="50" spans="1:20" ht="31.2">
      <c r="A50" s="825"/>
      <c r="B50" s="825"/>
      <c r="C50" s="966"/>
      <c r="D50" s="951"/>
      <c r="E50" s="23" t="s">
        <v>491</v>
      </c>
      <c r="F50" s="30">
        <f>'Input Sheet'!CH53</f>
        <v>0.19593700024243438</v>
      </c>
      <c r="G50" s="30">
        <f>'Input Sheet'!CI53</f>
        <v>0.46141658542296254</v>
      </c>
      <c r="H50" s="30">
        <f>'Input Sheet'!CJ53</f>
        <v>9.4367617059303896E-2</v>
      </c>
      <c r="I50" s="449">
        <v>1</v>
      </c>
      <c r="J50" s="30">
        <f t="shared" ref="J50:J53" si="22">I50/I$32</f>
        <v>0.2</v>
      </c>
      <c r="K50" s="29"/>
      <c r="L50" s="29"/>
      <c r="M50" s="29"/>
      <c r="N50" s="29"/>
      <c r="O50" s="45">
        <f t="shared" ref="O50:O53" si="23">F50</f>
        <v>0.19593700024243438</v>
      </c>
      <c r="P50" s="45">
        <f t="shared" si="20"/>
        <v>0.46141658542296254</v>
      </c>
      <c r="Q50" s="45">
        <f t="shared" si="21"/>
        <v>9.4367617059303896E-2</v>
      </c>
    </row>
    <row r="51" spans="1:20" ht="15.6">
      <c r="A51" s="825"/>
      <c r="B51" s="825"/>
      <c r="C51" s="966"/>
      <c r="D51" s="951"/>
      <c r="E51" s="23" t="s">
        <v>459</v>
      </c>
      <c r="F51" s="30">
        <f>'Input Sheet'!CH54</f>
        <v>0.4444975166820565</v>
      </c>
      <c r="G51" s="30">
        <f>'Input Sheet'!CI54</f>
        <v>1</v>
      </c>
      <c r="H51" s="30">
        <f>'Input Sheet'!CJ54</f>
        <v>0.6942904675750291</v>
      </c>
      <c r="I51" s="449">
        <v>1</v>
      </c>
      <c r="J51" s="30">
        <f t="shared" si="22"/>
        <v>0.2</v>
      </c>
      <c r="K51" s="29"/>
      <c r="L51" s="29"/>
      <c r="M51" s="29"/>
      <c r="N51" s="29"/>
      <c r="O51" s="45">
        <f t="shared" si="23"/>
        <v>0.4444975166820565</v>
      </c>
      <c r="P51" s="45">
        <f t="shared" si="20"/>
        <v>1</v>
      </c>
      <c r="Q51" s="45">
        <f t="shared" si="21"/>
        <v>0.6942904675750291</v>
      </c>
    </row>
    <row r="52" spans="1:20" ht="14.55" customHeight="1">
      <c r="A52" s="825"/>
      <c r="B52" s="825"/>
      <c r="C52" s="966"/>
      <c r="D52" s="951"/>
      <c r="E52" s="23" t="s">
        <v>492</v>
      </c>
      <c r="F52" s="30">
        <f>'Input Sheet'!CH55</f>
        <v>3.4469852208994722</v>
      </c>
      <c r="G52" s="30">
        <f>'Input Sheet'!CI55</f>
        <v>0.66199319669083379</v>
      </c>
      <c r="H52" s="30">
        <f>'Input Sheet'!CJ55</f>
        <v>3.4469852208994722</v>
      </c>
      <c r="I52" s="449">
        <v>1</v>
      </c>
      <c r="J52" s="30">
        <f t="shared" si="22"/>
        <v>0.2</v>
      </c>
      <c r="K52" s="29"/>
      <c r="L52" s="29"/>
      <c r="M52" s="29"/>
      <c r="N52" s="29"/>
      <c r="O52" s="45">
        <f t="shared" si="23"/>
        <v>3.4469852208994722</v>
      </c>
      <c r="P52" s="45">
        <f t="shared" si="20"/>
        <v>0.66199319669083379</v>
      </c>
      <c r="Q52" s="45">
        <f t="shared" si="21"/>
        <v>3.4469852208994722</v>
      </c>
    </row>
    <row r="53" spans="1:20" ht="14.55" customHeight="1">
      <c r="A53" s="825"/>
      <c r="B53" s="825"/>
      <c r="C53" s="966"/>
      <c r="D53" s="951"/>
      <c r="E53" s="34" t="s">
        <v>461</v>
      </c>
      <c r="F53" s="30">
        <f>'Input Sheet'!CH56</f>
        <v>0.11758133171956553</v>
      </c>
      <c r="G53" s="30">
        <f>'Input Sheet'!CI56</f>
        <v>1</v>
      </c>
      <c r="H53" s="30">
        <f>'Input Sheet'!CJ56</f>
        <v>1</v>
      </c>
      <c r="I53" s="449">
        <v>1</v>
      </c>
      <c r="J53" s="30">
        <f t="shared" si="22"/>
        <v>0.2</v>
      </c>
      <c r="K53" s="29"/>
      <c r="L53" s="29"/>
      <c r="M53" s="29"/>
      <c r="N53" s="29"/>
      <c r="O53" s="45">
        <f t="shared" si="23"/>
        <v>0.11758133171956553</v>
      </c>
      <c r="P53" s="45">
        <f t="shared" si="20"/>
        <v>1</v>
      </c>
      <c r="Q53" s="45">
        <f t="shared" si="21"/>
        <v>1</v>
      </c>
    </row>
    <row r="54" spans="1:20" ht="14.55" customHeight="1">
      <c r="A54" s="825">
        <v>2</v>
      </c>
      <c r="B54" s="825"/>
      <c r="C54" s="966"/>
      <c r="D54" s="951"/>
      <c r="E54" s="23" t="s">
        <v>38</v>
      </c>
      <c r="F54" s="47"/>
      <c r="G54" s="47"/>
      <c r="H54" s="47"/>
      <c r="I54" s="449">
        <f>SUM(I49:I53)</f>
        <v>5</v>
      </c>
      <c r="J54" s="872" t="s">
        <v>493</v>
      </c>
      <c r="K54" s="873"/>
      <c r="L54" s="873"/>
      <c r="M54" s="873"/>
      <c r="N54" s="874"/>
      <c r="O54" s="45">
        <f>SUM(O49:O53)</f>
        <v>70.290852402509884</v>
      </c>
      <c r="P54" s="45">
        <f>SUM(P49:P53)</f>
        <v>10.248848056003219</v>
      </c>
      <c r="Q54" s="45">
        <f>SUM(Q49:Q53)</f>
        <v>12.217169172632977</v>
      </c>
    </row>
    <row r="55" spans="1:20" ht="14.55" customHeight="1">
      <c r="A55" s="825"/>
      <c r="B55" s="825"/>
      <c r="C55" s="966"/>
      <c r="D55" s="951"/>
      <c r="E55" s="23"/>
      <c r="F55" s="23"/>
      <c r="G55" s="23"/>
      <c r="H55" s="23"/>
      <c r="I55" s="23"/>
      <c r="J55" s="872" t="s">
        <v>494</v>
      </c>
      <c r="K55" s="873"/>
      <c r="L55" s="873"/>
      <c r="M55" s="873"/>
      <c r="N55" s="874"/>
      <c r="O55" s="45">
        <f>O54/SUM($O54:$Q54)</f>
        <v>0.75779672904040618</v>
      </c>
      <c r="P55" s="45">
        <f>P54/SUM($O54:$Q54)</f>
        <v>0.11049152582184427</v>
      </c>
      <c r="Q55" s="45">
        <f>Q54/SUM($O54:$Q54)</f>
        <v>0.13171174513774958</v>
      </c>
    </row>
    <row r="56" spans="1:20" ht="15.6">
      <c r="A56" s="825"/>
      <c r="B56" s="825"/>
      <c r="C56" s="966"/>
      <c r="D56" s="951"/>
      <c r="E56" s="23"/>
      <c r="F56" s="971" t="s">
        <v>1058</v>
      </c>
      <c r="G56" s="971"/>
      <c r="H56" s="971"/>
      <c r="I56" s="971"/>
      <c r="J56" s="971"/>
      <c r="K56" s="749"/>
      <c r="L56" s="749"/>
      <c r="M56" s="749"/>
      <c r="N56" s="750"/>
      <c r="O56" s="45">
        <f>'Input Sheet'!$CH$15</f>
        <v>1</v>
      </c>
      <c r="P56" s="45">
        <f>'Input Sheet'!$CI$15</f>
        <v>0.65</v>
      </c>
      <c r="Q56" s="45">
        <f>'Input Sheet'!$CJ$15</f>
        <v>0.5</v>
      </c>
      <c r="R56" s="17"/>
      <c r="S56" s="17"/>
      <c r="T56" s="17"/>
    </row>
    <row r="57" spans="1:20" ht="15.6">
      <c r="A57" s="825"/>
      <c r="B57" s="825"/>
      <c r="C57" s="966"/>
      <c r="D57" s="951"/>
      <c r="E57" s="23"/>
      <c r="F57" s="23"/>
      <c r="G57" s="23"/>
      <c r="H57" s="23"/>
      <c r="I57" s="56"/>
      <c r="J57" s="748"/>
      <c r="K57" s="749"/>
      <c r="L57" s="749"/>
      <c r="M57" s="749"/>
      <c r="N57" s="750"/>
      <c r="O57" s="45">
        <f>O55*O56</f>
        <v>0.75779672904040618</v>
      </c>
      <c r="P57" s="45">
        <f t="shared" ref="P57:Q57" si="24">P55*P56</f>
        <v>7.1819491784198775E-2</v>
      </c>
      <c r="Q57" s="45">
        <f t="shared" si="24"/>
        <v>6.585587256887479E-2</v>
      </c>
      <c r="R57" s="17"/>
      <c r="S57" s="17"/>
      <c r="T57" s="17"/>
    </row>
    <row r="58" spans="1:20" ht="14.55" customHeight="1">
      <c r="A58" s="825"/>
      <c r="B58" s="825"/>
      <c r="C58" s="966"/>
      <c r="D58" s="951"/>
      <c r="E58" s="869" t="s">
        <v>1062</v>
      </c>
      <c r="F58" s="972" t="s">
        <v>1063</v>
      </c>
      <c r="G58" s="973"/>
      <c r="H58" s="973"/>
      <c r="I58" s="973"/>
      <c r="J58" s="973"/>
      <c r="O58" s="501">
        <f>O57/($O57+$P57+$Q57)</f>
        <v>0.84625387505785998</v>
      </c>
      <c r="P58" s="501">
        <f>P57/($O57+$P57+$Q57)</f>
        <v>8.0202936879955389E-2</v>
      </c>
      <c r="Q58" s="501">
        <f>Q57/($O57+$P57+$Q57)</f>
        <v>7.3543188062184572E-2</v>
      </c>
    </row>
    <row r="59" spans="1:20" ht="14.55" customHeight="1">
      <c r="A59" s="825"/>
      <c r="B59" s="825"/>
      <c r="C59" s="966"/>
      <c r="D59" s="951"/>
      <c r="E59" s="869"/>
      <c r="F59" s="972" t="s">
        <v>1064</v>
      </c>
      <c r="G59" s="973"/>
      <c r="H59" s="973"/>
      <c r="I59" s="973"/>
      <c r="J59" s="973"/>
      <c r="O59" s="51">
        <f>ROUND($E$2*$C49*O58/100,0)*100</f>
        <v>104500</v>
      </c>
      <c r="P59" s="51">
        <f>ROUND($E$2*$C49*P58/100,0)*100</f>
        <v>9900</v>
      </c>
      <c r="Q59" s="51">
        <f>ROUND($E$2*$C49*Q58/100,0)*100</f>
        <v>9100</v>
      </c>
    </row>
    <row r="60" spans="1:20" ht="14.55" customHeight="1">
      <c r="A60" s="825">
        <v>6</v>
      </c>
      <c r="B60" s="825" t="s">
        <v>640</v>
      </c>
      <c r="C60" s="966">
        <f>Buckets!AC8</f>
        <v>7.3031471213695465E-2</v>
      </c>
      <c r="D60" s="951" t="s">
        <v>490</v>
      </c>
      <c r="E60" s="23" t="s">
        <v>457</v>
      </c>
      <c r="F60" s="30">
        <f>'Input Sheet'!CH63</f>
        <v>72.856819920270297</v>
      </c>
      <c r="G60" s="30">
        <f>'Input Sheet'!CI63</f>
        <v>6.4329093890898408</v>
      </c>
      <c r="H60" s="30">
        <f>'Input Sheet'!CJ63</f>
        <v>5.0469178996440114</v>
      </c>
      <c r="I60" s="449">
        <v>1</v>
      </c>
      <c r="J60" s="30">
        <f>I60/I$32</f>
        <v>0.2</v>
      </c>
      <c r="K60" s="29"/>
      <c r="L60" s="29"/>
      <c r="M60" s="29"/>
      <c r="N60" s="29"/>
      <c r="O60" s="45">
        <f>F60</f>
        <v>72.856819920270297</v>
      </c>
      <c r="P60" s="45">
        <f t="shared" ref="P60:P64" si="25">G60</f>
        <v>6.4329093890898408</v>
      </c>
      <c r="Q60" s="45">
        <f t="shared" ref="Q60:Q64" si="26">H60</f>
        <v>5.0469178996440114</v>
      </c>
    </row>
    <row r="61" spans="1:20" ht="31.2">
      <c r="A61" s="825"/>
      <c r="B61" s="825"/>
      <c r="C61" s="966"/>
      <c r="D61" s="951"/>
      <c r="E61" s="23" t="s">
        <v>491</v>
      </c>
      <c r="F61" s="30">
        <f>'Input Sheet'!CH64</f>
        <v>0.10318043316383364</v>
      </c>
      <c r="G61" s="30">
        <f>'Input Sheet'!CI64</f>
        <v>0.29359061367503736</v>
      </c>
      <c r="H61" s="30">
        <f>'Input Sheet'!CJ64</f>
        <v>3.1063315522843558E-2</v>
      </c>
      <c r="I61" s="449">
        <v>1</v>
      </c>
      <c r="J61" s="30">
        <f t="shared" ref="J61:J64" si="27">I61/I$32</f>
        <v>0.2</v>
      </c>
      <c r="K61" s="29"/>
      <c r="L61" s="29"/>
      <c r="M61" s="29"/>
      <c r="N61" s="29"/>
      <c r="O61" s="45">
        <f t="shared" ref="O61:O64" si="28">F61</f>
        <v>0.10318043316383364</v>
      </c>
      <c r="P61" s="45">
        <f t="shared" si="25"/>
        <v>0.29359061367503736</v>
      </c>
      <c r="Q61" s="45">
        <f t="shared" si="26"/>
        <v>3.1063315522843558E-2</v>
      </c>
    </row>
    <row r="62" spans="1:20" ht="15.6">
      <c r="A62" s="825"/>
      <c r="B62" s="825"/>
      <c r="C62" s="966"/>
      <c r="D62" s="951"/>
      <c r="E62" s="23" t="s">
        <v>459</v>
      </c>
      <c r="F62" s="30">
        <f>'Input Sheet'!CH65</f>
        <v>0.28275968979620331</v>
      </c>
      <c r="G62" s="30">
        <f>'Input Sheet'!CI65</f>
        <v>1</v>
      </c>
      <c r="H62" s="30">
        <f>'Input Sheet'!CJ65</f>
        <v>0.49138550543985771</v>
      </c>
      <c r="I62" s="449">
        <v>1</v>
      </c>
      <c r="J62" s="30">
        <f t="shared" si="27"/>
        <v>0.2</v>
      </c>
      <c r="K62" s="29"/>
      <c r="L62" s="29"/>
      <c r="M62" s="29"/>
      <c r="N62" s="29"/>
      <c r="O62" s="45">
        <f t="shared" si="28"/>
        <v>0.28275968979620331</v>
      </c>
      <c r="P62" s="45">
        <f t="shared" si="25"/>
        <v>1</v>
      </c>
      <c r="Q62" s="45">
        <f t="shared" si="26"/>
        <v>0.49138550543985771</v>
      </c>
    </row>
    <row r="63" spans="1:20" ht="15.6">
      <c r="A63" s="825"/>
      <c r="B63" s="825"/>
      <c r="C63" s="966"/>
      <c r="D63" s="951"/>
      <c r="E63" s="23" t="s">
        <v>492</v>
      </c>
      <c r="F63" s="30">
        <f>'Input Sheet'!CH66</f>
        <v>3.4469852208994722</v>
      </c>
      <c r="G63" s="30">
        <f>'Input Sheet'!CI66</f>
        <v>0.66199319669083379</v>
      </c>
      <c r="H63" s="30">
        <f>'Input Sheet'!CJ66</f>
        <v>3.4469852208994722</v>
      </c>
      <c r="I63" s="449">
        <v>1</v>
      </c>
      <c r="J63" s="30">
        <f t="shared" si="27"/>
        <v>0.2</v>
      </c>
      <c r="K63" s="29"/>
      <c r="L63" s="29"/>
      <c r="M63" s="29"/>
      <c r="N63" s="29"/>
      <c r="O63" s="45">
        <f t="shared" si="28"/>
        <v>3.4469852208994722</v>
      </c>
      <c r="P63" s="45">
        <f t="shared" si="25"/>
        <v>0.66199319669083379</v>
      </c>
      <c r="Q63" s="45">
        <f t="shared" si="26"/>
        <v>3.4469852208994722</v>
      </c>
    </row>
    <row r="64" spans="1:20" ht="15.6">
      <c r="A64" s="825"/>
      <c r="B64" s="825"/>
      <c r="C64" s="966"/>
      <c r="D64" s="951"/>
      <c r="E64" s="34" t="s">
        <v>461</v>
      </c>
      <c r="F64" s="30">
        <f>'Input Sheet'!CH67</f>
        <v>0.11758133171956553</v>
      </c>
      <c r="G64" s="30">
        <f>'Input Sheet'!CI67</f>
        <v>1</v>
      </c>
      <c r="H64" s="30">
        <f>'Input Sheet'!CJ67</f>
        <v>1</v>
      </c>
      <c r="I64" s="449">
        <v>1</v>
      </c>
      <c r="J64" s="30">
        <f t="shared" si="27"/>
        <v>0.2</v>
      </c>
      <c r="K64" s="29"/>
      <c r="L64" s="29"/>
      <c r="M64" s="29"/>
      <c r="N64" s="29"/>
      <c r="O64" s="45">
        <f t="shared" si="28"/>
        <v>0.11758133171956553</v>
      </c>
      <c r="P64" s="45">
        <f t="shared" si="25"/>
        <v>1</v>
      </c>
      <c r="Q64" s="45">
        <f t="shared" si="26"/>
        <v>1</v>
      </c>
    </row>
    <row r="65" spans="1:20" ht="15.6">
      <c r="A65" s="825">
        <v>2</v>
      </c>
      <c r="B65" s="825"/>
      <c r="C65" s="966"/>
      <c r="D65" s="951"/>
      <c r="E65" s="23" t="s">
        <v>38</v>
      </c>
      <c r="F65" s="47"/>
      <c r="G65" s="47"/>
      <c r="H65" s="47"/>
      <c r="I65" s="449">
        <f>SUM(I60:I64)</f>
        <v>5</v>
      </c>
      <c r="J65" s="872" t="s">
        <v>493</v>
      </c>
      <c r="K65" s="873"/>
      <c r="L65" s="873"/>
      <c r="M65" s="873"/>
      <c r="N65" s="874"/>
      <c r="O65" s="45">
        <f>SUM(O60:O64)</f>
        <v>76.807326595849375</v>
      </c>
      <c r="P65" s="45">
        <f>SUM(P60:P64)</f>
        <v>9.388493199455711</v>
      </c>
      <c r="Q65" s="45">
        <f>SUM(Q60:Q64)</f>
        <v>10.016351941506185</v>
      </c>
    </row>
    <row r="66" spans="1:20" ht="15.6">
      <c r="A66" s="825"/>
      <c r="B66" s="825"/>
      <c r="C66" s="966"/>
      <c r="D66" s="951"/>
      <c r="E66" s="23"/>
      <c r="F66" s="23"/>
      <c r="G66" s="23"/>
      <c r="H66" s="23"/>
      <c r="I66" s="23"/>
      <c r="J66" s="872" t="s">
        <v>494</v>
      </c>
      <c r="K66" s="873"/>
      <c r="L66" s="873"/>
      <c r="M66" s="873"/>
      <c r="N66" s="874"/>
      <c r="O66" s="45">
        <f>O65/SUM($O65:$Q65)</f>
        <v>0.79831195169314006</v>
      </c>
      <c r="P66" s="45">
        <f>P65/SUM($O65:$Q65)</f>
        <v>9.7581137916083707E-2</v>
      </c>
      <c r="Q66" s="45">
        <f>Q65/SUM($O65:$Q65)</f>
        <v>0.10410691039077624</v>
      </c>
    </row>
    <row r="67" spans="1:20" ht="15.6">
      <c r="A67" s="825"/>
      <c r="B67" s="825"/>
      <c r="C67" s="966"/>
      <c r="D67" s="951"/>
      <c r="E67" s="23"/>
      <c r="F67" s="971" t="s">
        <v>1058</v>
      </c>
      <c r="G67" s="971"/>
      <c r="H67" s="971"/>
      <c r="I67" s="971"/>
      <c r="J67" s="971"/>
      <c r="K67" s="749"/>
      <c r="L67" s="749"/>
      <c r="M67" s="749"/>
      <c r="N67" s="750"/>
      <c r="O67" s="45">
        <f>'Input Sheet'!$CH$15</f>
        <v>1</v>
      </c>
      <c r="P67" s="45">
        <f>'Input Sheet'!$CI$15</f>
        <v>0.65</v>
      </c>
      <c r="Q67" s="45">
        <f>'Input Sheet'!$CJ$15</f>
        <v>0.5</v>
      </c>
      <c r="R67" s="17"/>
      <c r="S67" s="17"/>
      <c r="T67" s="17"/>
    </row>
    <row r="68" spans="1:20" ht="15.6">
      <c r="A68" s="825"/>
      <c r="B68" s="825"/>
      <c r="C68" s="966"/>
      <c r="D68" s="951"/>
      <c r="E68" s="23"/>
      <c r="F68" s="23"/>
      <c r="G68" s="23"/>
      <c r="H68" s="23"/>
      <c r="I68" s="56"/>
      <c r="J68" s="748"/>
      <c r="K68" s="749"/>
      <c r="L68" s="749"/>
      <c r="M68" s="749"/>
      <c r="N68" s="750"/>
      <c r="O68" s="45">
        <f>O66*O67</f>
        <v>0.79831195169314006</v>
      </c>
      <c r="P68" s="45">
        <f t="shared" ref="P68:Q68" si="29">P66*P67</f>
        <v>6.3427739645454409E-2</v>
      </c>
      <c r="Q68" s="45">
        <f t="shared" si="29"/>
        <v>5.2053455195388121E-2</v>
      </c>
      <c r="R68" s="17"/>
      <c r="S68" s="17"/>
      <c r="T68" s="17"/>
    </row>
    <row r="69" spans="1:20" ht="15.6" customHeight="1">
      <c r="A69" s="825"/>
      <c r="B69" s="825"/>
      <c r="C69" s="966"/>
      <c r="D69" s="951"/>
      <c r="E69" s="869" t="s">
        <v>1062</v>
      </c>
      <c r="F69" s="972" t="s">
        <v>1063</v>
      </c>
      <c r="G69" s="973"/>
      <c r="H69" s="973"/>
      <c r="I69" s="973"/>
      <c r="J69" s="973"/>
      <c r="O69" s="501">
        <f>O68/($O68+$P68+$Q68)</f>
        <v>0.8736243587743433</v>
      </c>
      <c r="P69" s="501">
        <f>P68/($O68+$P68+$Q68)</f>
        <v>6.941148539583146E-2</v>
      </c>
      <c r="Q69" s="501">
        <f>Q68/($O68+$P68+$Q68)</f>
        <v>5.6964155829825246E-2</v>
      </c>
    </row>
    <row r="70" spans="1:20" ht="15.75" customHeight="1">
      <c r="A70" s="825"/>
      <c r="B70" s="825"/>
      <c r="C70" s="966"/>
      <c r="D70" s="951"/>
      <c r="E70" s="869"/>
      <c r="F70" s="972" t="s">
        <v>1064</v>
      </c>
      <c r="G70" s="973"/>
      <c r="H70" s="973"/>
      <c r="I70" s="973"/>
      <c r="J70" s="973"/>
      <c r="O70" s="51">
        <f>ROUND($E$2*$C60*O69/100,0)*100</f>
        <v>65700</v>
      </c>
      <c r="P70" s="51">
        <f>ROUND($E$2*$C60*P69/100,0)*100</f>
        <v>5200</v>
      </c>
      <c r="Q70" s="51">
        <f>ROUND($E$2*$C60*Q69/100,0)*100</f>
        <v>4300</v>
      </c>
    </row>
    <row r="71" spans="1:20" ht="15.75" customHeight="1">
      <c r="A71" s="825">
        <v>7</v>
      </c>
      <c r="B71" s="825" t="s">
        <v>641</v>
      </c>
      <c r="C71" s="966">
        <f>Buckets!AC9</f>
        <v>0.11861180971616675</v>
      </c>
      <c r="D71" s="951" t="s">
        <v>490</v>
      </c>
      <c r="E71" s="23" t="s">
        <v>457</v>
      </c>
      <c r="F71" s="30">
        <f>'Input Sheet'!CH74</f>
        <v>31.874494703207095</v>
      </c>
      <c r="G71" s="30">
        <f>'Input Sheet'!CI74</f>
        <v>4.3505536666163058</v>
      </c>
      <c r="H71" s="30">
        <f>'Input Sheet'!CJ74</f>
        <v>4.7053837157140785</v>
      </c>
      <c r="I71" s="449">
        <v>1</v>
      </c>
      <c r="J71" s="30">
        <f>I71/I$32</f>
        <v>0.2</v>
      </c>
      <c r="K71" s="29"/>
      <c r="L71" s="29"/>
      <c r="M71" s="29"/>
      <c r="N71" s="29"/>
      <c r="O71" s="45">
        <f>F71</f>
        <v>31.874494703207095</v>
      </c>
      <c r="P71" s="45">
        <f t="shared" ref="P71:P75" si="30">G71</f>
        <v>4.3505536666163058</v>
      </c>
      <c r="Q71" s="45">
        <f t="shared" ref="Q71:Q75" si="31">H71</f>
        <v>4.7053837157140785</v>
      </c>
    </row>
    <row r="72" spans="1:20" ht="31.2">
      <c r="A72" s="825"/>
      <c r="B72" s="825"/>
      <c r="C72" s="966"/>
      <c r="D72" s="951"/>
      <c r="E72" s="23" t="s">
        <v>491</v>
      </c>
      <c r="F72" s="30">
        <f>'Input Sheet'!CH75</f>
        <v>7.9109148187325382E-2</v>
      </c>
      <c r="G72" s="30">
        <f>'Input Sheet'!CI75</f>
        <v>0.34542593283832845</v>
      </c>
      <c r="H72" s="30">
        <f>'Input Sheet'!CJ75</f>
        <v>2.8842856391956943E-2</v>
      </c>
      <c r="I72" s="449">
        <v>1</v>
      </c>
      <c r="J72" s="30">
        <f t="shared" ref="J72:J75" si="32">I72/I$32</f>
        <v>0.2</v>
      </c>
      <c r="K72" s="29"/>
      <c r="L72" s="29"/>
      <c r="M72" s="29"/>
      <c r="N72" s="29"/>
      <c r="O72" s="45">
        <f t="shared" ref="O72:O75" si="33">F72</f>
        <v>7.9109148187325382E-2</v>
      </c>
      <c r="P72" s="45">
        <f t="shared" si="30"/>
        <v>0.34542593283832845</v>
      </c>
      <c r="Q72" s="45">
        <f t="shared" si="31"/>
        <v>2.8842856391956943E-2</v>
      </c>
    </row>
    <row r="73" spans="1:20" ht="15.6">
      <c r="A73" s="825"/>
      <c r="B73" s="825"/>
      <c r="C73" s="966"/>
      <c r="D73" s="951"/>
      <c r="E73" s="23" t="s">
        <v>459</v>
      </c>
      <c r="F73" s="30">
        <f>'Input Sheet'!CH76</f>
        <v>0.30961868311660362</v>
      </c>
      <c r="G73" s="30">
        <f>'Input Sheet'!CI76</f>
        <v>1</v>
      </c>
      <c r="H73" s="30">
        <f>'Input Sheet'!CJ76</f>
        <v>0.5900274563984732</v>
      </c>
      <c r="I73" s="449">
        <v>1</v>
      </c>
      <c r="J73" s="30">
        <f t="shared" si="32"/>
        <v>0.2</v>
      </c>
      <c r="K73" s="29"/>
      <c r="L73" s="29"/>
      <c r="M73" s="29"/>
      <c r="N73" s="29"/>
      <c r="O73" s="45">
        <f t="shared" si="33"/>
        <v>0.30961868311660362</v>
      </c>
      <c r="P73" s="45">
        <f t="shared" si="30"/>
        <v>1</v>
      </c>
      <c r="Q73" s="45">
        <f t="shared" si="31"/>
        <v>0.5900274563984732</v>
      </c>
    </row>
    <row r="74" spans="1:20" ht="15.6">
      <c r="A74" s="825"/>
      <c r="B74" s="825"/>
      <c r="C74" s="966"/>
      <c r="D74" s="951"/>
      <c r="E74" s="23" t="s">
        <v>492</v>
      </c>
      <c r="F74" s="30">
        <f>'Input Sheet'!CH77</f>
        <v>4.8307416181102738</v>
      </c>
      <c r="G74" s="30">
        <f>'Input Sheet'!CI77</f>
        <v>0.59155536436681477</v>
      </c>
      <c r="H74" s="30">
        <f>'Input Sheet'!CJ77</f>
        <v>4.8307416181102738</v>
      </c>
      <c r="I74" s="449">
        <v>1</v>
      </c>
      <c r="J74" s="30">
        <f t="shared" si="32"/>
        <v>0.2</v>
      </c>
      <c r="K74" s="29"/>
      <c r="L74" s="29"/>
      <c r="M74" s="29"/>
      <c r="N74" s="29"/>
      <c r="O74" s="45">
        <f t="shared" si="33"/>
        <v>4.8307416181102738</v>
      </c>
      <c r="P74" s="45">
        <f t="shared" si="30"/>
        <v>0.59155536436681477</v>
      </c>
      <c r="Q74" s="45">
        <f t="shared" si="31"/>
        <v>4.8307416181102738</v>
      </c>
    </row>
    <row r="75" spans="1:20" ht="15.6">
      <c r="A75" s="825"/>
      <c r="B75" s="825"/>
      <c r="C75" s="966"/>
      <c r="D75" s="951"/>
      <c r="E75" s="34" t="s">
        <v>461</v>
      </c>
      <c r="F75" s="30">
        <f>'Input Sheet'!CH78</f>
        <v>0.13533528323661276</v>
      </c>
      <c r="G75" s="30">
        <f>'Input Sheet'!CI78</f>
        <v>1</v>
      </c>
      <c r="H75" s="30">
        <f>'Input Sheet'!CJ78</f>
        <v>1</v>
      </c>
      <c r="I75" s="449">
        <v>1</v>
      </c>
      <c r="J75" s="30">
        <f t="shared" si="32"/>
        <v>0.2</v>
      </c>
      <c r="K75" s="29"/>
      <c r="L75" s="29"/>
      <c r="M75" s="29"/>
      <c r="N75" s="29"/>
      <c r="O75" s="45">
        <f t="shared" si="33"/>
        <v>0.13533528323661276</v>
      </c>
      <c r="P75" s="45">
        <f t="shared" si="30"/>
        <v>1</v>
      </c>
      <c r="Q75" s="45">
        <f t="shared" si="31"/>
        <v>1</v>
      </c>
    </row>
    <row r="76" spans="1:20" ht="15.6">
      <c r="A76" s="825">
        <v>2</v>
      </c>
      <c r="B76" s="825"/>
      <c r="C76" s="966"/>
      <c r="D76" s="951"/>
      <c r="E76" s="23" t="s">
        <v>38</v>
      </c>
      <c r="F76" s="47"/>
      <c r="G76" s="47"/>
      <c r="H76" s="47"/>
      <c r="I76" s="449">
        <f>SUM(I71:I75)</f>
        <v>5</v>
      </c>
      <c r="J76" s="872" t="s">
        <v>493</v>
      </c>
      <c r="K76" s="873"/>
      <c r="L76" s="873"/>
      <c r="M76" s="873"/>
      <c r="N76" s="874"/>
      <c r="O76" s="45">
        <f>SUM(O71:O75)</f>
        <v>37.229299435857911</v>
      </c>
      <c r="P76" s="45">
        <f>SUM(P71:P75)</f>
        <v>7.2875349638214493</v>
      </c>
      <c r="Q76" s="45">
        <f>SUM(Q71:Q75)</f>
        <v>11.154995646614783</v>
      </c>
    </row>
    <row r="77" spans="1:20" ht="15.6">
      <c r="A77" s="825"/>
      <c r="B77" s="825"/>
      <c r="C77" s="966"/>
      <c r="D77" s="951"/>
      <c r="E77" s="23"/>
      <c r="F77" s="23"/>
      <c r="G77" s="23"/>
      <c r="H77" s="23"/>
      <c r="I77" s="23"/>
      <c r="J77" s="872" t="s">
        <v>494</v>
      </c>
      <c r="K77" s="873"/>
      <c r="L77" s="873"/>
      <c r="M77" s="873"/>
      <c r="N77" s="874"/>
      <c r="O77" s="45">
        <f>O76/SUM($O76:$Q76)</f>
        <v>0.66872778216379325</v>
      </c>
      <c r="P77" s="45">
        <f>P76/SUM($O76:$Q76)</f>
        <v>0.13090165991959432</v>
      </c>
      <c r="Q77" s="45">
        <f>Q76/SUM($O76:$Q76)</f>
        <v>0.20037055791661237</v>
      </c>
    </row>
    <row r="78" spans="1:20" ht="15.6">
      <c r="A78" s="825"/>
      <c r="B78" s="825"/>
      <c r="C78" s="966"/>
      <c r="D78" s="951"/>
      <c r="E78" s="23"/>
      <c r="F78" s="971" t="s">
        <v>1058</v>
      </c>
      <c r="G78" s="971"/>
      <c r="H78" s="971"/>
      <c r="I78" s="971"/>
      <c r="J78" s="971"/>
      <c r="K78" s="749"/>
      <c r="L78" s="749"/>
      <c r="M78" s="749"/>
      <c r="N78" s="750"/>
      <c r="O78" s="45">
        <f>'Input Sheet'!$CH$15</f>
        <v>1</v>
      </c>
      <c r="P78" s="45">
        <f>'Input Sheet'!$CI$15</f>
        <v>0.65</v>
      </c>
      <c r="Q78" s="45">
        <f>'Input Sheet'!$CJ$15</f>
        <v>0.5</v>
      </c>
      <c r="R78" s="17"/>
      <c r="S78" s="17"/>
      <c r="T78" s="17"/>
    </row>
    <row r="79" spans="1:20" ht="15.6">
      <c r="A79" s="825"/>
      <c r="B79" s="825"/>
      <c r="C79" s="966"/>
      <c r="D79" s="951"/>
      <c r="E79" s="23"/>
      <c r="F79" s="23"/>
      <c r="G79" s="23"/>
      <c r="H79" s="23"/>
      <c r="I79" s="56"/>
      <c r="J79" s="748"/>
      <c r="K79" s="749"/>
      <c r="L79" s="749"/>
      <c r="M79" s="749"/>
      <c r="N79" s="750"/>
      <c r="O79" s="45">
        <f>O77*O78</f>
        <v>0.66872778216379325</v>
      </c>
      <c r="P79" s="45">
        <f t="shared" ref="P79:Q79" si="34">P77*P78</f>
        <v>8.5086078947736316E-2</v>
      </c>
      <c r="Q79" s="45">
        <f t="shared" si="34"/>
        <v>0.10018527895830619</v>
      </c>
      <c r="R79" s="17"/>
      <c r="S79" s="17"/>
      <c r="T79" s="17"/>
    </row>
    <row r="80" spans="1:20" ht="15.6" customHeight="1">
      <c r="A80" s="825"/>
      <c r="B80" s="825"/>
      <c r="C80" s="966"/>
      <c r="D80" s="951"/>
      <c r="E80" s="869" t="s">
        <v>1062</v>
      </c>
      <c r="F80" s="972" t="s">
        <v>1063</v>
      </c>
      <c r="G80" s="973"/>
      <c r="H80" s="973"/>
      <c r="I80" s="973"/>
      <c r="J80" s="973"/>
      <c r="O80" s="501">
        <f>O79/($O79+$P79+$Q79)</f>
        <v>0.78305439758300932</v>
      </c>
      <c r="P80" s="501">
        <f>P79/($O79+$P79+$Q79)</f>
        <v>9.9632511270185117E-2</v>
      </c>
      <c r="Q80" s="501">
        <f>Q79/($O79+$P79+$Q79)</f>
        <v>0.11731309114680553</v>
      </c>
    </row>
    <row r="81" spans="1:20" ht="15.6" customHeight="1">
      <c r="A81" s="825"/>
      <c r="B81" s="825"/>
      <c r="C81" s="966"/>
      <c r="D81" s="951"/>
      <c r="E81" s="869"/>
      <c r="F81" s="972" t="s">
        <v>1064</v>
      </c>
      <c r="G81" s="973"/>
      <c r="H81" s="973"/>
      <c r="I81" s="973"/>
      <c r="J81" s="973"/>
      <c r="O81" s="51">
        <f>ROUND($E$2*$C71*O80/100,0)*100</f>
        <v>95600</v>
      </c>
      <c r="P81" s="51">
        <f>ROUND($E$2*$C71*P80/100,0)*100</f>
        <v>12200</v>
      </c>
      <c r="Q81" s="51">
        <f>ROUND($E$2*$C71*Q80/100,0)*100</f>
        <v>14300</v>
      </c>
    </row>
    <row r="82" spans="1:20" ht="15.75" customHeight="1">
      <c r="A82" s="825">
        <v>8</v>
      </c>
      <c r="B82" s="825" t="s">
        <v>642</v>
      </c>
      <c r="C82" s="966">
        <f>Buckets!AC10</f>
        <v>0.17185360690599419</v>
      </c>
      <c r="D82" s="951" t="s">
        <v>490</v>
      </c>
      <c r="E82" s="23" t="s">
        <v>457</v>
      </c>
      <c r="F82" s="30">
        <f>'Input Sheet'!CH85</f>
        <v>70.737844855863344</v>
      </c>
      <c r="G82" s="30">
        <f>'Input Sheet'!CI85</f>
        <v>5.4825719925320255</v>
      </c>
      <c r="H82" s="30">
        <f>'Input Sheet'!CJ85</f>
        <v>8.0071715675621764</v>
      </c>
      <c r="I82" s="449">
        <v>1</v>
      </c>
      <c r="J82" s="30">
        <f>I82/I$32</f>
        <v>0.2</v>
      </c>
      <c r="K82" s="29"/>
      <c r="L82" s="29"/>
      <c r="M82" s="29"/>
      <c r="N82" s="29"/>
      <c r="O82" s="45">
        <f>F82</f>
        <v>70.737844855863344</v>
      </c>
      <c r="P82" s="45">
        <f t="shared" ref="P82:P86" si="35">G82</f>
        <v>5.4825719925320255</v>
      </c>
      <c r="Q82" s="45">
        <f t="shared" ref="Q82:Q86" si="36">H82</f>
        <v>8.0071715675621764</v>
      </c>
    </row>
    <row r="83" spans="1:20" ht="15.75" customHeight="1">
      <c r="A83" s="825"/>
      <c r="B83" s="825"/>
      <c r="C83" s="966"/>
      <c r="D83" s="951"/>
      <c r="E83" s="23" t="s">
        <v>491</v>
      </c>
      <c r="F83" s="30">
        <f>'Input Sheet'!CH86</f>
        <v>8.4675003934437859E-2</v>
      </c>
      <c r="G83" s="30">
        <f>'Input Sheet'!CI86</f>
        <v>0.3875249732726323</v>
      </c>
      <c r="H83" s="30">
        <f>'Input Sheet'!CJ86</f>
        <v>4.4317203492001335E-2</v>
      </c>
      <c r="I83" s="449">
        <v>1</v>
      </c>
      <c r="J83" s="30">
        <f t="shared" ref="J83:J86" si="37">I83/I$32</f>
        <v>0.2</v>
      </c>
      <c r="K83" s="29"/>
      <c r="L83" s="29"/>
      <c r="M83" s="29"/>
      <c r="N83" s="29"/>
      <c r="O83" s="45">
        <f t="shared" ref="O83:O86" si="38">F83</f>
        <v>8.4675003934437859E-2</v>
      </c>
      <c r="P83" s="45">
        <f t="shared" si="35"/>
        <v>0.3875249732726323</v>
      </c>
      <c r="Q83" s="45">
        <f t="shared" si="36"/>
        <v>4.4317203492001335E-2</v>
      </c>
    </row>
    <row r="84" spans="1:20" ht="15.6">
      <c r="A84" s="825"/>
      <c r="B84" s="825"/>
      <c r="C84" s="966"/>
      <c r="D84" s="951"/>
      <c r="E84" s="23" t="s">
        <v>459</v>
      </c>
      <c r="F84" s="30">
        <f>'Input Sheet'!CH87</f>
        <v>0.3605949401730783</v>
      </c>
      <c r="G84" s="30">
        <f>'Input Sheet'!CI87</f>
        <v>1</v>
      </c>
      <c r="H84" s="30">
        <f>'Input Sheet'!CJ87</f>
        <v>0.68215389097645196</v>
      </c>
      <c r="I84" s="449">
        <v>1</v>
      </c>
      <c r="J84" s="30">
        <f t="shared" si="37"/>
        <v>0.2</v>
      </c>
      <c r="K84" s="29"/>
      <c r="L84" s="29"/>
      <c r="M84" s="29"/>
      <c r="N84" s="29"/>
      <c r="O84" s="45">
        <f t="shared" si="38"/>
        <v>0.3605949401730783</v>
      </c>
      <c r="P84" s="45">
        <f t="shared" si="35"/>
        <v>1</v>
      </c>
      <c r="Q84" s="45">
        <f t="shared" si="36"/>
        <v>0.68215389097645196</v>
      </c>
    </row>
    <row r="85" spans="1:20" ht="15.6">
      <c r="A85" s="825"/>
      <c r="B85" s="825"/>
      <c r="C85" s="966"/>
      <c r="D85" s="951"/>
      <c r="E85" s="23" t="s">
        <v>492</v>
      </c>
      <c r="F85" s="30">
        <f>'Input Sheet'!CH88</f>
        <v>4.8307416181102738</v>
      </c>
      <c r="G85" s="30">
        <f>'Input Sheet'!CI88</f>
        <v>0.59155536436681477</v>
      </c>
      <c r="H85" s="30">
        <f>'Input Sheet'!CJ88</f>
        <v>4.8307416181102738</v>
      </c>
      <c r="I85" s="449">
        <v>1</v>
      </c>
      <c r="J85" s="30">
        <f t="shared" si="37"/>
        <v>0.2</v>
      </c>
      <c r="K85" s="29"/>
      <c r="L85" s="29"/>
      <c r="M85" s="29"/>
      <c r="N85" s="29"/>
      <c r="O85" s="45">
        <f t="shared" si="38"/>
        <v>4.8307416181102738</v>
      </c>
      <c r="P85" s="45">
        <f t="shared" si="35"/>
        <v>0.59155536436681477</v>
      </c>
      <c r="Q85" s="45">
        <f t="shared" si="36"/>
        <v>4.8307416181102738</v>
      </c>
    </row>
    <row r="86" spans="1:20" ht="15.6">
      <c r="A86" s="825"/>
      <c r="B86" s="825"/>
      <c r="C86" s="966"/>
      <c r="D86" s="951"/>
      <c r="E86" s="34" t="s">
        <v>461</v>
      </c>
      <c r="F86" s="30">
        <f>'Input Sheet'!CH89</f>
        <v>0.13533528323661276</v>
      </c>
      <c r="G86" s="30">
        <f>'Input Sheet'!CI89</f>
        <v>1</v>
      </c>
      <c r="H86" s="30">
        <f>'Input Sheet'!CJ89</f>
        <v>1</v>
      </c>
      <c r="I86" s="449">
        <v>1</v>
      </c>
      <c r="J86" s="30">
        <f t="shared" si="37"/>
        <v>0.2</v>
      </c>
      <c r="K86" s="29"/>
      <c r="L86" s="29"/>
      <c r="M86" s="29"/>
      <c r="N86" s="29"/>
      <c r="O86" s="45">
        <f t="shared" si="38"/>
        <v>0.13533528323661276</v>
      </c>
      <c r="P86" s="45">
        <f t="shared" si="35"/>
        <v>1</v>
      </c>
      <c r="Q86" s="45">
        <f t="shared" si="36"/>
        <v>1</v>
      </c>
    </row>
    <row r="87" spans="1:20" ht="15.6">
      <c r="A87" s="825">
        <v>2</v>
      </c>
      <c r="B87" s="825"/>
      <c r="C87" s="966"/>
      <c r="D87" s="951"/>
      <c r="E87" s="23" t="s">
        <v>38</v>
      </c>
      <c r="F87" s="47"/>
      <c r="G87" s="47"/>
      <c r="H87" s="47"/>
      <c r="I87" s="449">
        <f>SUM(I82:I86)</f>
        <v>5</v>
      </c>
      <c r="J87" s="872" t="s">
        <v>493</v>
      </c>
      <c r="K87" s="873"/>
      <c r="L87" s="873"/>
      <c r="M87" s="873"/>
      <c r="N87" s="874"/>
      <c r="O87" s="45">
        <f>SUM(O82:O86)</f>
        <v>76.149191701317747</v>
      </c>
      <c r="P87" s="45">
        <f>SUM(P82:P86)</f>
        <v>8.4616523301714714</v>
      </c>
      <c r="Q87" s="45">
        <f>SUM(Q82:Q86)</f>
        <v>14.564384280140903</v>
      </c>
    </row>
    <row r="88" spans="1:20" ht="15.6">
      <c r="A88" s="825"/>
      <c r="B88" s="825"/>
      <c r="C88" s="966"/>
      <c r="D88" s="951"/>
      <c r="E88" s="23"/>
      <c r="F88" s="23"/>
      <c r="G88" s="23"/>
      <c r="H88" s="23"/>
      <c r="I88" s="23"/>
      <c r="J88" s="872" t="s">
        <v>494</v>
      </c>
      <c r="K88" s="873"/>
      <c r="L88" s="873"/>
      <c r="M88" s="873"/>
      <c r="N88" s="874"/>
      <c r="O88" s="45">
        <f>O87/SUM($O87:$Q87)</f>
        <v>0.7678247179027452</v>
      </c>
      <c r="P88" s="45">
        <f>P87/SUM($O87:$Q87)</f>
        <v>8.5320220323396895E-2</v>
      </c>
      <c r="Q88" s="45">
        <f>Q87/SUM($O87:$Q87)</f>
        <v>0.1468550617738579</v>
      </c>
    </row>
    <row r="89" spans="1:20" ht="15.6">
      <c r="A89" s="825"/>
      <c r="B89" s="825"/>
      <c r="C89" s="966"/>
      <c r="D89" s="951"/>
      <c r="E89" s="23"/>
      <c r="F89" s="971" t="s">
        <v>1058</v>
      </c>
      <c r="G89" s="971"/>
      <c r="H89" s="971"/>
      <c r="I89" s="971"/>
      <c r="J89" s="971"/>
      <c r="K89" s="749"/>
      <c r="L89" s="749"/>
      <c r="M89" s="749"/>
      <c r="N89" s="750"/>
      <c r="O89" s="45">
        <f>'Input Sheet'!$CH$15</f>
        <v>1</v>
      </c>
      <c r="P89" s="45">
        <f>'Input Sheet'!$CI$15</f>
        <v>0.65</v>
      </c>
      <c r="Q89" s="45">
        <f>'Input Sheet'!$CJ$15</f>
        <v>0.5</v>
      </c>
      <c r="R89" s="17"/>
      <c r="S89" s="17"/>
      <c r="T89" s="17"/>
    </row>
    <row r="90" spans="1:20" ht="15.6">
      <c r="A90" s="825"/>
      <c r="B90" s="825"/>
      <c r="C90" s="966"/>
      <c r="D90" s="951"/>
      <c r="E90" s="23"/>
      <c r="F90" s="23"/>
      <c r="G90" s="23"/>
      <c r="H90" s="23"/>
      <c r="I90" s="56"/>
      <c r="J90" s="748"/>
      <c r="K90" s="749"/>
      <c r="L90" s="749"/>
      <c r="M90" s="749"/>
      <c r="N90" s="750"/>
      <c r="O90" s="45">
        <f>O88*O89</f>
        <v>0.7678247179027452</v>
      </c>
      <c r="P90" s="45">
        <f t="shared" ref="P90:Q90" si="39">P88*P89</f>
        <v>5.5458143210207984E-2</v>
      </c>
      <c r="Q90" s="45">
        <f t="shared" si="39"/>
        <v>7.3427530886928952E-2</v>
      </c>
      <c r="R90" s="17"/>
      <c r="S90" s="17"/>
      <c r="T90" s="17"/>
    </row>
    <row r="91" spans="1:20" ht="15.6" customHeight="1">
      <c r="A91" s="825"/>
      <c r="B91" s="825"/>
      <c r="C91" s="966"/>
      <c r="D91" s="951"/>
      <c r="E91" s="869" t="s">
        <v>1062</v>
      </c>
      <c r="F91" s="972" t="s">
        <v>1063</v>
      </c>
      <c r="G91" s="973"/>
      <c r="H91" s="973"/>
      <c r="I91" s="973"/>
      <c r="J91" s="973"/>
      <c r="O91" s="501">
        <f>O90/($O90+$P90+$Q90)</f>
        <v>0.85626833897877486</v>
      </c>
      <c r="P91" s="501">
        <f>P90/($O90+$P90+$Q90)</f>
        <v>6.1846214457850587E-2</v>
      </c>
      <c r="Q91" s="501">
        <f>Q90/($O90+$P90+$Q90)</f>
        <v>8.18854465633745E-2</v>
      </c>
    </row>
    <row r="92" spans="1:20" ht="15.6" customHeight="1">
      <c r="A92" s="825"/>
      <c r="B92" s="825"/>
      <c r="C92" s="966"/>
      <c r="D92" s="951"/>
      <c r="E92" s="869"/>
      <c r="F92" s="972" t="s">
        <v>1064</v>
      </c>
      <c r="G92" s="973"/>
      <c r="H92" s="973"/>
      <c r="I92" s="973"/>
      <c r="J92" s="973"/>
      <c r="O92" s="51">
        <f>ROUND($E$2*$C82*O91/100,0)*100</f>
        <v>151500</v>
      </c>
      <c r="P92" s="51">
        <f>ROUND($E$2*$C82*P91/100,0)*100</f>
        <v>10900</v>
      </c>
      <c r="Q92" s="51">
        <f>ROUND($E$2*$C82*Q91/100,0)*100</f>
        <v>14500</v>
      </c>
    </row>
    <row r="93" spans="1:20" ht="15.75" customHeight="1">
      <c r="A93" s="825">
        <v>9</v>
      </c>
      <c r="B93" s="878" t="s">
        <v>643</v>
      </c>
      <c r="C93" s="966">
        <f>Buckets!AC11</f>
        <v>5.4591534525115795E-2</v>
      </c>
      <c r="D93" s="951" t="s">
        <v>490</v>
      </c>
      <c r="E93" s="23" t="s">
        <v>457</v>
      </c>
      <c r="F93" s="30">
        <f>'Input Sheet'!CH96</f>
        <v>966.32498634648505</v>
      </c>
      <c r="G93" s="30">
        <f>'Input Sheet'!CI96</f>
        <v>29.178492864002152</v>
      </c>
      <c r="H93" s="30">
        <f>'Input Sheet'!CJ96</f>
        <v>32.956308586440748</v>
      </c>
      <c r="I93" s="449">
        <v>1</v>
      </c>
      <c r="J93" s="30">
        <f>I93/I$32</f>
        <v>0.2</v>
      </c>
      <c r="K93" s="29"/>
      <c r="L93" s="29"/>
      <c r="M93" s="29"/>
      <c r="N93" s="29"/>
      <c r="O93" s="45">
        <f>F93</f>
        <v>966.32498634648505</v>
      </c>
      <c r="P93" s="45">
        <f t="shared" ref="P93:P97" si="40">G93</f>
        <v>29.178492864002152</v>
      </c>
      <c r="Q93" s="45">
        <f t="shared" ref="Q93:Q97" si="41">H93</f>
        <v>32.956308586440748</v>
      </c>
    </row>
    <row r="94" spans="1:20" ht="15.75" customHeight="1">
      <c r="A94" s="825"/>
      <c r="B94" s="879"/>
      <c r="C94" s="966"/>
      <c r="D94" s="951"/>
      <c r="E94" s="23" t="s">
        <v>491</v>
      </c>
      <c r="F94" s="30">
        <f>'Input Sheet'!CH97</f>
        <v>6.4122785540395008E-2</v>
      </c>
      <c r="G94" s="30">
        <f>'Input Sheet'!CI97</f>
        <v>0.38911257857993747</v>
      </c>
      <c r="H94" s="30">
        <f>'Input Sheet'!CJ97</f>
        <v>2.4143271263786067E-2</v>
      </c>
      <c r="I94" s="449">
        <v>1</v>
      </c>
      <c r="J94" s="30">
        <f t="shared" ref="J94:J97" si="42">I94/I$32</f>
        <v>0.2</v>
      </c>
      <c r="K94" s="29"/>
      <c r="L94" s="29"/>
      <c r="M94" s="29"/>
      <c r="N94" s="29"/>
      <c r="O94" s="45">
        <f t="shared" ref="O94:O97" si="43">F94</f>
        <v>6.4122785540395008E-2</v>
      </c>
      <c r="P94" s="45">
        <f t="shared" si="40"/>
        <v>0.38911257857993747</v>
      </c>
      <c r="Q94" s="45">
        <f t="shared" si="41"/>
        <v>2.4143271263786067E-2</v>
      </c>
    </row>
    <row r="95" spans="1:20" ht="15.6">
      <c r="A95" s="825"/>
      <c r="B95" s="879"/>
      <c r="C95" s="966"/>
      <c r="D95" s="951"/>
      <c r="E95" s="23" t="s">
        <v>459</v>
      </c>
      <c r="F95" s="30">
        <f>'Input Sheet'!CH98</f>
        <v>0.42147281477591775</v>
      </c>
      <c r="G95" s="30">
        <f>'Input Sheet'!CI98</f>
        <v>1</v>
      </c>
      <c r="H95" s="30">
        <f>'Input Sheet'!CJ98</f>
        <v>0.71217716489086835</v>
      </c>
      <c r="I95" s="449">
        <v>1</v>
      </c>
      <c r="J95" s="30">
        <f t="shared" si="42"/>
        <v>0.2</v>
      </c>
      <c r="K95" s="29"/>
      <c r="L95" s="29"/>
      <c r="M95" s="29"/>
      <c r="N95" s="29"/>
      <c r="O95" s="45">
        <f t="shared" si="43"/>
        <v>0.42147281477591775</v>
      </c>
      <c r="P95" s="45">
        <f t="shared" si="40"/>
        <v>1</v>
      </c>
      <c r="Q95" s="45">
        <f t="shared" si="41"/>
        <v>0.71217716489086835</v>
      </c>
    </row>
    <row r="96" spans="1:20" ht="15.6">
      <c r="A96" s="825"/>
      <c r="B96" s="879"/>
      <c r="C96" s="966"/>
      <c r="D96" s="951"/>
      <c r="E96" s="23" t="s">
        <v>492</v>
      </c>
      <c r="F96" s="30">
        <f>'Input Sheet'!CH99</f>
        <v>3.3702940643216048</v>
      </c>
      <c r="G96" s="30">
        <f>'Input Sheet'!CI99</f>
        <v>0.66697681085847416</v>
      </c>
      <c r="H96" s="30">
        <f>'Input Sheet'!CJ99</f>
        <v>3.3702940643216048</v>
      </c>
      <c r="I96" s="449">
        <v>1</v>
      </c>
      <c r="J96" s="30">
        <f t="shared" si="42"/>
        <v>0.2</v>
      </c>
      <c r="K96" s="29"/>
      <c r="L96" s="29"/>
      <c r="M96" s="29"/>
      <c r="N96" s="29"/>
      <c r="O96" s="45">
        <f t="shared" si="43"/>
        <v>3.3702940643216048</v>
      </c>
      <c r="P96" s="45">
        <f t="shared" si="40"/>
        <v>0.66697681085847416</v>
      </c>
      <c r="Q96" s="45">
        <f t="shared" si="41"/>
        <v>3.3702940643216048</v>
      </c>
    </row>
    <row r="97" spans="1:20" ht="15.6">
      <c r="A97" s="825"/>
      <c r="B97" s="879"/>
      <c r="C97" s="966"/>
      <c r="D97" s="951"/>
      <c r="E97" s="34" t="s">
        <v>461</v>
      </c>
      <c r="F97" s="30">
        <f>'Input Sheet'!CH100</f>
        <v>0.13533528323661276</v>
      </c>
      <c r="G97" s="30">
        <f>'Input Sheet'!CI100</f>
        <v>1</v>
      </c>
      <c r="H97" s="30">
        <f>'Input Sheet'!CJ100</f>
        <v>1</v>
      </c>
      <c r="I97" s="449">
        <v>1</v>
      </c>
      <c r="J97" s="30">
        <f t="shared" si="42"/>
        <v>0.2</v>
      </c>
      <c r="K97" s="29"/>
      <c r="L97" s="29"/>
      <c r="M97" s="29"/>
      <c r="N97" s="29"/>
      <c r="O97" s="45">
        <f t="shared" si="43"/>
        <v>0.13533528323661276</v>
      </c>
      <c r="P97" s="45">
        <f t="shared" si="40"/>
        <v>1</v>
      </c>
      <c r="Q97" s="45">
        <f t="shared" si="41"/>
        <v>1</v>
      </c>
    </row>
    <row r="98" spans="1:20" ht="15.6">
      <c r="A98" s="825">
        <v>2</v>
      </c>
      <c r="B98" s="879"/>
      <c r="C98" s="966"/>
      <c r="D98" s="951"/>
      <c r="E98" s="23" t="s">
        <v>38</v>
      </c>
      <c r="F98" s="47"/>
      <c r="G98" s="47"/>
      <c r="H98" s="47"/>
      <c r="I98" s="449">
        <f>SUM(I93:I97)</f>
        <v>5</v>
      </c>
      <c r="J98" s="872" t="s">
        <v>493</v>
      </c>
      <c r="K98" s="873"/>
      <c r="L98" s="873"/>
      <c r="M98" s="873"/>
      <c r="N98" s="874"/>
      <c r="O98" s="45">
        <f>SUM(O93:O97)</f>
        <v>970.3162112943595</v>
      </c>
      <c r="P98" s="45">
        <f>SUM(P93:P97)</f>
        <v>32.234582253440564</v>
      </c>
      <c r="Q98" s="45">
        <f>SUM(Q93:Q97)</f>
        <v>38.06292308691701</v>
      </c>
    </row>
    <row r="99" spans="1:20" ht="15.6">
      <c r="A99" s="825"/>
      <c r="B99" s="879"/>
      <c r="C99" s="966"/>
      <c r="D99" s="951"/>
      <c r="E99" s="23"/>
      <c r="F99" s="23"/>
      <c r="G99" s="23"/>
      <c r="H99" s="23"/>
      <c r="I99" s="23"/>
      <c r="J99" s="872" t="s">
        <v>494</v>
      </c>
      <c r="K99" s="873"/>
      <c r="L99" s="873"/>
      <c r="M99" s="873"/>
      <c r="N99" s="874"/>
      <c r="O99" s="45">
        <f>O98/SUM($O98:$Q98)</f>
        <v>0.9324461092366767</v>
      </c>
      <c r="P99" s="45">
        <f>P98/SUM($O98:$Q98)</f>
        <v>3.0976511012833163E-2</v>
      </c>
      <c r="Q99" s="45">
        <f>Q98/SUM($O98:$Q98)</f>
        <v>3.6577379750490163E-2</v>
      </c>
    </row>
    <row r="100" spans="1:20" ht="15.6">
      <c r="A100" s="825"/>
      <c r="B100" s="879"/>
      <c r="C100" s="966"/>
      <c r="D100" s="951"/>
      <c r="E100" s="23"/>
      <c r="F100" s="971" t="s">
        <v>1058</v>
      </c>
      <c r="G100" s="971"/>
      <c r="H100" s="971"/>
      <c r="I100" s="971"/>
      <c r="J100" s="971"/>
      <c r="K100" s="749"/>
      <c r="L100" s="749"/>
      <c r="M100" s="749"/>
      <c r="N100" s="750"/>
      <c r="O100" s="45">
        <f>'Input Sheet'!$CH$15</f>
        <v>1</v>
      </c>
      <c r="P100" s="45">
        <f>'Input Sheet'!$CI$15</f>
        <v>0.65</v>
      </c>
      <c r="Q100" s="45">
        <f>'Input Sheet'!$CJ$15</f>
        <v>0.5</v>
      </c>
      <c r="R100" s="17"/>
      <c r="S100" s="17"/>
      <c r="T100" s="17"/>
    </row>
    <row r="101" spans="1:20" ht="15.6">
      <c r="A101" s="825"/>
      <c r="B101" s="879"/>
      <c r="C101" s="966"/>
      <c r="D101" s="951"/>
      <c r="E101" s="23"/>
      <c r="F101" s="23"/>
      <c r="G101" s="23"/>
      <c r="H101" s="23"/>
      <c r="I101" s="56"/>
      <c r="J101" s="748"/>
      <c r="K101" s="749"/>
      <c r="L101" s="749"/>
      <c r="M101" s="749"/>
      <c r="N101" s="750"/>
      <c r="O101" s="45">
        <f>O99*O100</f>
        <v>0.9324461092366767</v>
      </c>
      <c r="P101" s="45">
        <f t="shared" ref="P101:Q101" si="44">P99*P100</f>
        <v>2.0134732158341558E-2</v>
      </c>
      <c r="Q101" s="45">
        <f t="shared" si="44"/>
        <v>1.8288689875245082E-2</v>
      </c>
      <c r="R101" s="17"/>
      <c r="S101" s="17"/>
      <c r="T101" s="17"/>
    </row>
    <row r="102" spans="1:20" ht="15.6" customHeight="1">
      <c r="A102" s="825"/>
      <c r="B102" s="879"/>
      <c r="C102" s="966"/>
      <c r="D102" s="951"/>
      <c r="E102" s="869" t="s">
        <v>1062</v>
      </c>
      <c r="F102" s="972" t="s">
        <v>1063</v>
      </c>
      <c r="G102" s="973"/>
      <c r="H102" s="973"/>
      <c r="I102" s="973"/>
      <c r="J102" s="973"/>
      <c r="O102" s="501">
        <f>O101/($O101+$P101+$Q101)</f>
        <v>0.96042370185073744</v>
      </c>
      <c r="P102" s="501">
        <f>P101/($O101+$P101+$Q101)</f>
        <v>2.073886501721579E-2</v>
      </c>
      <c r="Q102" s="501">
        <f>Q101/($O101+$P101+$Q101)</f>
        <v>1.8837433132046669E-2</v>
      </c>
    </row>
    <row r="103" spans="1:20" ht="15.6" customHeight="1">
      <c r="A103" s="825"/>
      <c r="B103" s="880"/>
      <c r="C103" s="966"/>
      <c r="D103" s="951"/>
      <c r="E103" s="869"/>
      <c r="F103" s="972" t="s">
        <v>1064</v>
      </c>
      <c r="G103" s="973"/>
      <c r="H103" s="973"/>
      <c r="I103" s="973"/>
      <c r="J103" s="973"/>
      <c r="O103" s="51">
        <f>ROUND($E$2*$C93*O102/100,0)*100</f>
        <v>54000</v>
      </c>
      <c r="P103" s="51">
        <f>ROUND($E$2*$C93*P102/100,0)*100</f>
        <v>1200</v>
      </c>
      <c r="Q103" s="51">
        <f>ROUND($E$2*$C93*Q102/100,0)*100</f>
        <v>1100</v>
      </c>
    </row>
    <row r="104" spans="1:20" ht="15.6">
      <c r="A104" s="825">
        <v>10</v>
      </c>
      <c r="B104" s="878" t="s">
        <v>636</v>
      </c>
      <c r="C104" s="966">
        <f>Buckets!AC12</f>
        <v>4.0899954361399454E-2</v>
      </c>
      <c r="D104" s="951" t="s">
        <v>490</v>
      </c>
      <c r="E104" s="23" t="s">
        <v>457</v>
      </c>
      <c r="F104" s="30">
        <f>'Input Sheet'!CH107</f>
        <v>674.44896895267539</v>
      </c>
      <c r="G104" s="30">
        <f>'Input Sheet'!CI107</f>
        <v>13.351589638528207</v>
      </c>
      <c r="H104" s="30">
        <f>'Input Sheet'!CJ107</f>
        <v>14.016421129554439</v>
      </c>
      <c r="I104" s="449">
        <v>1</v>
      </c>
      <c r="J104" s="30">
        <f>I104/I$32</f>
        <v>0.2</v>
      </c>
      <c r="K104" s="29"/>
      <c r="L104" s="29"/>
      <c r="M104" s="29"/>
      <c r="N104" s="29"/>
      <c r="O104" s="30">
        <f>F104</f>
        <v>674.44896895267539</v>
      </c>
      <c r="P104" s="45">
        <f t="shared" ref="P104:P108" si="45">G104</f>
        <v>13.351589638528207</v>
      </c>
      <c r="Q104" s="45">
        <f t="shared" ref="Q104:Q108" si="46">H104</f>
        <v>14.016421129554439</v>
      </c>
    </row>
    <row r="105" spans="1:20" ht="31.2">
      <c r="A105" s="825"/>
      <c r="B105" s="879"/>
      <c r="C105" s="966"/>
      <c r="D105" s="951"/>
      <c r="E105" s="23" t="s">
        <v>491</v>
      </c>
      <c r="F105" s="30">
        <f>'Input Sheet'!CH108</f>
        <v>9.6336801673312378E-2</v>
      </c>
      <c r="G105" s="30">
        <f>'Input Sheet'!CI108</f>
        <v>0.40872960899050986</v>
      </c>
      <c r="H105" s="30">
        <f>'Input Sheet'!CJ108</f>
        <v>2.8129412108128731E-2</v>
      </c>
      <c r="I105" s="449">
        <v>1</v>
      </c>
      <c r="J105" s="30">
        <f t="shared" ref="J105:J108" si="47">I105/I$32</f>
        <v>0.2</v>
      </c>
      <c r="K105" s="29"/>
      <c r="L105" s="29"/>
      <c r="M105" s="29"/>
      <c r="N105" s="29"/>
      <c r="O105" s="45">
        <f t="shared" ref="O105:O108" si="48">F105</f>
        <v>9.6336801673312378E-2</v>
      </c>
      <c r="P105" s="45">
        <f t="shared" si="45"/>
        <v>0.40872960899050986</v>
      </c>
      <c r="Q105" s="45">
        <f t="shared" si="46"/>
        <v>2.8129412108128731E-2</v>
      </c>
    </row>
    <row r="106" spans="1:20" ht="15.6">
      <c r="A106" s="825"/>
      <c r="B106" s="879"/>
      <c r="C106" s="966"/>
      <c r="D106" s="951"/>
      <c r="E106" s="23" t="s">
        <v>459</v>
      </c>
      <c r="F106" s="30">
        <f>'Input Sheet'!CH109</f>
        <v>0.51881779249624593</v>
      </c>
      <c r="G106" s="30">
        <f>'Input Sheet'!CI109</f>
        <v>1</v>
      </c>
      <c r="H106" s="30">
        <f>'Input Sheet'!CJ109</f>
        <v>0.74025578754107368</v>
      </c>
      <c r="I106" s="449">
        <v>1</v>
      </c>
      <c r="J106" s="30">
        <f t="shared" si="47"/>
        <v>0.2</v>
      </c>
      <c r="K106" s="29"/>
      <c r="L106" s="29"/>
      <c r="M106" s="29"/>
      <c r="N106" s="29"/>
      <c r="O106" s="45">
        <f t="shared" si="48"/>
        <v>0.51881779249624593</v>
      </c>
      <c r="P106" s="45">
        <f t="shared" si="45"/>
        <v>1</v>
      </c>
      <c r="Q106" s="45">
        <f t="shared" si="46"/>
        <v>0.74025578754107368</v>
      </c>
    </row>
    <row r="107" spans="1:20" ht="15.6">
      <c r="A107" s="825"/>
      <c r="B107" s="879"/>
      <c r="C107" s="966"/>
      <c r="D107" s="951"/>
      <c r="E107" s="23" t="s">
        <v>492</v>
      </c>
      <c r="F107" s="30">
        <f>'Input Sheet'!CH110</f>
        <v>3.3702940643216048</v>
      </c>
      <c r="G107" s="30">
        <f>'Input Sheet'!CI110</f>
        <v>0.66697681085847416</v>
      </c>
      <c r="H107" s="30">
        <f>'Input Sheet'!CJ110</f>
        <v>3.3702940643216048</v>
      </c>
      <c r="I107" s="449">
        <v>1</v>
      </c>
      <c r="J107" s="30">
        <f t="shared" si="47"/>
        <v>0.2</v>
      </c>
      <c r="K107" s="29"/>
      <c r="L107" s="29"/>
      <c r="M107" s="29"/>
      <c r="N107" s="29"/>
      <c r="O107" s="45">
        <f t="shared" si="48"/>
        <v>3.3702940643216048</v>
      </c>
      <c r="P107" s="45">
        <f t="shared" si="45"/>
        <v>0.66697681085847416</v>
      </c>
      <c r="Q107" s="45">
        <f t="shared" si="46"/>
        <v>3.3702940643216048</v>
      </c>
    </row>
    <row r="108" spans="1:20" ht="15.6">
      <c r="A108" s="825"/>
      <c r="B108" s="879"/>
      <c r="C108" s="966"/>
      <c r="D108" s="951"/>
      <c r="E108" s="34" t="s">
        <v>461</v>
      </c>
      <c r="F108" s="30">
        <f>'Input Sheet'!CH111</f>
        <v>0.13533528323661276</v>
      </c>
      <c r="G108" s="30">
        <f>'Input Sheet'!CI111</f>
        <v>1</v>
      </c>
      <c r="H108" s="30">
        <f>'Input Sheet'!CJ111</f>
        <v>1</v>
      </c>
      <c r="I108" s="449">
        <v>1</v>
      </c>
      <c r="J108" s="30">
        <f t="shared" si="47"/>
        <v>0.2</v>
      </c>
      <c r="K108" s="29"/>
      <c r="L108" s="29"/>
      <c r="M108" s="29"/>
      <c r="N108" s="29"/>
      <c r="O108" s="45">
        <f t="shared" si="48"/>
        <v>0.13533528323661276</v>
      </c>
      <c r="P108" s="45">
        <f t="shared" si="45"/>
        <v>1</v>
      </c>
      <c r="Q108" s="45">
        <f t="shared" si="46"/>
        <v>1</v>
      </c>
    </row>
    <row r="109" spans="1:20" ht="15.6">
      <c r="A109" s="825">
        <v>2</v>
      </c>
      <c r="B109" s="879"/>
      <c r="C109" s="966"/>
      <c r="D109" s="951"/>
      <c r="E109" s="23" t="s">
        <v>38</v>
      </c>
      <c r="F109" s="47"/>
      <c r="G109" s="47"/>
      <c r="H109" s="47"/>
      <c r="I109" s="449">
        <f>SUM(I104:I108)</f>
        <v>5</v>
      </c>
      <c r="J109" s="872" t="s">
        <v>493</v>
      </c>
      <c r="K109" s="873"/>
      <c r="L109" s="873"/>
      <c r="M109" s="873"/>
      <c r="N109" s="874"/>
      <c r="O109" s="30">
        <f>SUM(O104:O108)</f>
        <v>678.56975289440311</v>
      </c>
      <c r="P109" s="45">
        <f>SUM(P104:P108)</f>
        <v>16.427296058377191</v>
      </c>
      <c r="Q109" s="45">
        <f>SUM(Q104:Q108)</f>
        <v>19.155100393525245</v>
      </c>
    </row>
    <row r="110" spans="1:20" ht="15.6">
      <c r="A110" s="825"/>
      <c r="B110" s="879"/>
      <c r="C110" s="966"/>
      <c r="D110" s="951"/>
      <c r="E110" s="23"/>
      <c r="F110" s="23"/>
      <c r="G110" s="23"/>
      <c r="H110" s="23"/>
      <c r="I110" s="23"/>
      <c r="J110" s="872" t="s">
        <v>494</v>
      </c>
      <c r="K110" s="873"/>
      <c r="L110" s="873"/>
      <c r="M110" s="873"/>
      <c r="N110" s="874"/>
      <c r="O110" s="45">
        <f>O109/SUM($O109:$Q109)</f>
        <v>0.95017532820635975</v>
      </c>
      <c r="P110" s="45">
        <f>P109/SUM($O109:$Q109)</f>
        <v>2.300251574319815E-2</v>
      </c>
      <c r="Q110" s="45">
        <f>Q109/SUM($O109:$Q109)</f>
        <v>2.6822156050442109E-2</v>
      </c>
    </row>
    <row r="111" spans="1:20" ht="15.6">
      <c r="A111" s="825"/>
      <c r="B111" s="879"/>
      <c r="C111" s="966"/>
      <c r="D111" s="951"/>
      <c r="E111" s="23"/>
      <c r="F111" s="971" t="s">
        <v>1058</v>
      </c>
      <c r="G111" s="971"/>
      <c r="H111" s="971"/>
      <c r="I111" s="971"/>
      <c r="J111" s="971"/>
      <c r="K111" s="749"/>
      <c r="L111" s="749"/>
      <c r="M111" s="749"/>
      <c r="N111" s="750"/>
      <c r="O111" s="45">
        <f>'Input Sheet'!$CH$15</f>
        <v>1</v>
      </c>
      <c r="P111" s="45">
        <f>'Input Sheet'!$CI$15</f>
        <v>0.65</v>
      </c>
      <c r="Q111" s="45">
        <f>'Input Sheet'!$CJ$15</f>
        <v>0.5</v>
      </c>
      <c r="R111" s="17"/>
      <c r="S111" s="17"/>
      <c r="T111" s="17"/>
    </row>
    <row r="112" spans="1:20" ht="15.6">
      <c r="A112" s="825"/>
      <c r="B112" s="879"/>
      <c r="C112" s="966"/>
      <c r="D112" s="951"/>
      <c r="E112" s="23"/>
      <c r="F112" s="23"/>
      <c r="G112" s="23"/>
      <c r="H112" s="23"/>
      <c r="I112" s="56"/>
      <c r="J112" s="748"/>
      <c r="K112" s="749"/>
      <c r="L112" s="749"/>
      <c r="M112" s="749"/>
      <c r="N112" s="750"/>
      <c r="O112" s="45">
        <f>O110*O111</f>
        <v>0.95017532820635975</v>
      </c>
      <c r="P112" s="45">
        <f t="shared" ref="P112:Q112" si="49">P110*P111</f>
        <v>1.4951635233078797E-2</v>
      </c>
      <c r="Q112" s="45">
        <f t="shared" si="49"/>
        <v>1.3411078025221054E-2</v>
      </c>
      <c r="R112" s="17"/>
      <c r="S112" s="17"/>
      <c r="T112" s="17"/>
    </row>
    <row r="113" spans="1:20" ht="15.6" customHeight="1">
      <c r="A113" s="825"/>
      <c r="B113" s="879"/>
      <c r="C113" s="966"/>
      <c r="D113" s="951"/>
      <c r="E113" s="869" t="s">
        <v>1062</v>
      </c>
      <c r="F113" s="972" t="s">
        <v>1063</v>
      </c>
      <c r="G113" s="973"/>
      <c r="H113" s="973"/>
      <c r="I113" s="973"/>
      <c r="J113" s="973"/>
      <c r="O113" s="501">
        <f>O112/($O112+$P112+$Q112)</f>
        <v>0.97101521652050748</v>
      </c>
      <c r="P113" s="501">
        <f>P112/($O112+$P112+$Q112)</f>
        <v>1.527956461529021E-2</v>
      </c>
      <c r="Q113" s="501">
        <f>Q112/($O112+$P112+$Q112)</f>
        <v>1.3705218864202329E-2</v>
      </c>
    </row>
    <row r="114" spans="1:20" ht="15.6" customHeight="1">
      <c r="A114" s="825"/>
      <c r="B114" s="880"/>
      <c r="C114" s="966"/>
      <c r="D114" s="951"/>
      <c r="E114" s="869"/>
      <c r="F114" s="972" t="s">
        <v>1064</v>
      </c>
      <c r="G114" s="973"/>
      <c r="H114" s="973"/>
      <c r="I114" s="973"/>
      <c r="J114" s="973"/>
      <c r="O114" s="51">
        <f>ROUND($E$2*$C104*O113/100,0)*100</f>
        <v>40900</v>
      </c>
      <c r="P114" s="51">
        <f>ROUND($E$2*$C104*P113/100,0)*100</f>
        <v>600</v>
      </c>
      <c r="Q114" s="51">
        <f>ROUND($E$2*$C104*Q113/100,0)*100</f>
        <v>600</v>
      </c>
    </row>
    <row r="115" spans="1:20" ht="15.6">
      <c r="A115" s="825">
        <v>11</v>
      </c>
      <c r="B115" s="878" t="s">
        <v>637</v>
      </c>
      <c r="C115" s="966">
        <f>Buckets!AC13</f>
        <v>0.11929153355408174</v>
      </c>
      <c r="D115" s="951" t="s">
        <v>490</v>
      </c>
      <c r="E115" s="23" t="s">
        <v>457</v>
      </c>
      <c r="F115" s="30">
        <f>'Input Sheet'!CH118</f>
        <v>1043.7343156717561</v>
      </c>
      <c r="G115" s="30">
        <f>'Input Sheet'!CI118</f>
        <v>31.574240173673427</v>
      </c>
      <c r="H115" s="30">
        <f>'Input Sheet'!CJ118</f>
        <v>27.401114013368481</v>
      </c>
      <c r="I115" s="449">
        <v>1</v>
      </c>
      <c r="J115" s="30">
        <f>I115/I$32</f>
        <v>0.2</v>
      </c>
      <c r="K115" s="29"/>
      <c r="L115" s="29"/>
      <c r="M115" s="29"/>
      <c r="N115" s="29"/>
      <c r="O115" s="45">
        <f>F115</f>
        <v>1043.7343156717561</v>
      </c>
      <c r="P115" s="45">
        <f t="shared" ref="P115:P119" si="50">G115</f>
        <v>31.574240173673427</v>
      </c>
      <c r="Q115" s="45">
        <f t="shared" ref="Q115:Q119" si="51">H115</f>
        <v>27.401114013368481</v>
      </c>
    </row>
    <row r="116" spans="1:20" ht="31.2">
      <c r="A116" s="825"/>
      <c r="B116" s="879"/>
      <c r="C116" s="966"/>
      <c r="D116" s="951"/>
      <c r="E116" s="23" t="s">
        <v>491</v>
      </c>
      <c r="F116" s="30">
        <f>'Input Sheet'!CH119</f>
        <v>0.12568121782201344</v>
      </c>
      <c r="G116" s="30">
        <f>'Input Sheet'!CI119</f>
        <v>0.45247135323733723</v>
      </c>
      <c r="H116" s="30">
        <f>'Input Sheet'!CJ119</f>
        <v>4.220776922960489E-2</v>
      </c>
      <c r="I116" s="449">
        <v>1</v>
      </c>
      <c r="J116" s="30">
        <f t="shared" ref="J116:J119" si="52">I116/I$32</f>
        <v>0.2</v>
      </c>
      <c r="K116" s="29"/>
      <c r="L116" s="29"/>
      <c r="M116" s="29"/>
      <c r="N116" s="29"/>
      <c r="O116" s="45">
        <f t="shared" ref="O116:O119" si="53">F116</f>
        <v>0.12568121782201344</v>
      </c>
      <c r="P116" s="45">
        <f t="shared" si="50"/>
        <v>0.45247135323733723</v>
      </c>
      <c r="Q116" s="45">
        <f t="shared" si="51"/>
        <v>4.220776922960489E-2</v>
      </c>
    </row>
    <row r="117" spans="1:20" ht="15.6">
      <c r="A117" s="825"/>
      <c r="B117" s="879"/>
      <c r="C117" s="966"/>
      <c r="D117" s="951"/>
      <c r="E117" s="23" t="s">
        <v>459</v>
      </c>
      <c r="F117" s="30">
        <f>'Input Sheet'!CH120</f>
        <v>0.59333269512305176</v>
      </c>
      <c r="G117" s="30">
        <f>'Input Sheet'!CI120</f>
        <v>1</v>
      </c>
      <c r="H117" s="30">
        <f>'Input Sheet'!CJ120</f>
        <v>0.78721805325675964</v>
      </c>
      <c r="I117" s="449">
        <v>1</v>
      </c>
      <c r="J117" s="30">
        <f t="shared" si="52"/>
        <v>0.2</v>
      </c>
      <c r="K117" s="29"/>
      <c r="L117" s="29"/>
      <c r="M117" s="29"/>
      <c r="N117" s="29"/>
      <c r="O117" s="45">
        <f t="shared" si="53"/>
        <v>0.59333269512305176</v>
      </c>
      <c r="P117" s="45">
        <f t="shared" si="50"/>
        <v>1</v>
      </c>
      <c r="Q117" s="45">
        <f t="shared" si="51"/>
        <v>0.78721805325675964</v>
      </c>
    </row>
    <row r="118" spans="1:20" ht="15.6">
      <c r="A118" s="825"/>
      <c r="B118" s="879"/>
      <c r="C118" s="966"/>
      <c r="D118" s="951"/>
      <c r="E118" s="23" t="s">
        <v>492</v>
      </c>
      <c r="F118" s="30">
        <f>'Input Sheet'!CH121</f>
        <v>2.3513743805749008</v>
      </c>
      <c r="G118" s="30">
        <f>'Input Sheet'!CI121</f>
        <v>0.75201425431938251</v>
      </c>
      <c r="H118" s="30">
        <f>'Input Sheet'!CJ121</f>
        <v>2.3513743805749008</v>
      </c>
      <c r="I118" s="449">
        <v>1</v>
      </c>
      <c r="J118" s="30">
        <f t="shared" si="52"/>
        <v>0.2</v>
      </c>
      <c r="K118" s="29"/>
      <c r="L118" s="29"/>
      <c r="M118" s="29"/>
      <c r="N118" s="29"/>
      <c r="O118" s="45">
        <f t="shared" si="53"/>
        <v>2.3513743805749008</v>
      </c>
      <c r="P118" s="45">
        <f t="shared" si="50"/>
        <v>0.75201425431938251</v>
      </c>
      <c r="Q118" s="45">
        <f t="shared" si="51"/>
        <v>2.3513743805749008</v>
      </c>
    </row>
    <row r="119" spans="1:20" ht="15.6">
      <c r="A119" s="825"/>
      <c r="B119" s="879"/>
      <c r="C119" s="966"/>
      <c r="D119" s="951"/>
      <c r="E119" s="34" t="s">
        <v>461</v>
      </c>
      <c r="F119" s="30">
        <f>'Input Sheet'!CH122</f>
        <v>0.23457028809379776</v>
      </c>
      <c r="G119" s="30">
        <f>'Input Sheet'!CI122</f>
        <v>1</v>
      </c>
      <c r="H119" s="30">
        <f>'Input Sheet'!CJ122</f>
        <v>1</v>
      </c>
      <c r="I119" s="449">
        <v>1</v>
      </c>
      <c r="J119" s="30">
        <f t="shared" si="52"/>
        <v>0.2</v>
      </c>
      <c r="K119" s="29"/>
      <c r="L119" s="29"/>
      <c r="M119" s="29"/>
      <c r="N119" s="29"/>
      <c r="O119" s="45">
        <f t="shared" si="53"/>
        <v>0.23457028809379776</v>
      </c>
      <c r="P119" s="45">
        <f t="shared" si="50"/>
        <v>1</v>
      </c>
      <c r="Q119" s="45">
        <f t="shared" si="51"/>
        <v>1</v>
      </c>
    </row>
    <row r="120" spans="1:20" ht="15.6">
      <c r="A120" s="825">
        <v>2</v>
      </c>
      <c r="B120" s="879"/>
      <c r="C120" s="966"/>
      <c r="D120" s="951"/>
      <c r="E120" s="23" t="s">
        <v>38</v>
      </c>
      <c r="F120" s="47"/>
      <c r="G120" s="47"/>
      <c r="H120" s="47"/>
      <c r="I120" s="449">
        <f>SUM(I115:I119)</f>
        <v>5</v>
      </c>
      <c r="J120" s="872" t="s">
        <v>493</v>
      </c>
      <c r="K120" s="873"/>
      <c r="L120" s="873"/>
      <c r="M120" s="873"/>
      <c r="N120" s="874"/>
      <c r="O120" s="45">
        <f>SUM(O115:O119)</f>
        <v>1047.03927425337</v>
      </c>
      <c r="P120" s="45">
        <f>SUM(P115:P119)</f>
        <v>34.77872578123015</v>
      </c>
      <c r="Q120" s="45">
        <f>SUM(Q115:Q119)</f>
        <v>31.581914216429745</v>
      </c>
    </row>
    <row r="121" spans="1:20" ht="15.6">
      <c r="A121" s="825"/>
      <c r="B121" s="879"/>
      <c r="C121" s="966"/>
      <c r="D121" s="951"/>
      <c r="E121" s="23"/>
      <c r="F121" s="23"/>
      <c r="G121" s="23"/>
      <c r="H121" s="23"/>
      <c r="I121" s="23"/>
      <c r="J121" s="872" t="s">
        <v>494</v>
      </c>
      <c r="K121" s="873"/>
      <c r="L121" s="873"/>
      <c r="M121" s="873"/>
      <c r="N121" s="874"/>
      <c r="O121" s="45">
        <f>O120/SUM($O120:$Q120)</f>
        <v>0.94039819911222111</v>
      </c>
      <c r="P121" s="45">
        <f>P120/SUM($O120:$Q120)</f>
        <v>3.1236508406438455E-2</v>
      </c>
      <c r="Q121" s="45">
        <f>Q120/SUM($O120:$Q120)</f>
        <v>2.8365292481340364E-2</v>
      </c>
    </row>
    <row r="122" spans="1:20" ht="15.6">
      <c r="A122" s="825"/>
      <c r="B122" s="879"/>
      <c r="C122" s="966"/>
      <c r="D122" s="951"/>
      <c r="E122" s="23"/>
      <c r="F122" s="971" t="s">
        <v>1058</v>
      </c>
      <c r="G122" s="971"/>
      <c r="H122" s="971"/>
      <c r="I122" s="971"/>
      <c r="J122" s="971"/>
      <c r="K122" s="749"/>
      <c r="L122" s="749"/>
      <c r="M122" s="749"/>
      <c r="N122" s="750"/>
      <c r="O122" s="45">
        <f>'Input Sheet'!$CH$15</f>
        <v>1</v>
      </c>
      <c r="P122" s="45">
        <f>'Input Sheet'!$CI$15</f>
        <v>0.65</v>
      </c>
      <c r="Q122" s="45">
        <f>'Input Sheet'!$CJ$15</f>
        <v>0.5</v>
      </c>
      <c r="R122" s="17"/>
      <c r="S122" s="17"/>
      <c r="T122" s="17"/>
    </row>
    <row r="123" spans="1:20" ht="15.6">
      <c r="A123" s="825"/>
      <c r="B123" s="879"/>
      <c r="C123" s="966"/>
      <c r="D123" s="951"/>
      <c r="E123" s="23"/>
      <c r="F123" s="23"/>
      <c r="G123" s="23"/>
      <c r="H123" s="23"/>
      <c r="I123" s="56"/>
      <c r="J123" s="748"/>
      <c r="K123" s="749"/>
      <c r="L123" s="749"/>
      <c r="M123" s="749"/>
      <c r="N123" s="750"/>
      <c r="O123" s="45">
        <f>O121*O122</f>
        <v>0.94039819911222111</v>
      </c>
      <c r="P123" s="45">
        <f t="shared" ref="P123:Q123" si="54">P121*P122</f>
        <v>2.0303730464184995E-2</v>
      </c>
      <c r="Q123" s="45">
        <f t="shared" si="54"/>
        <v>1.4182646240670182E-2</v>
      </c>
      <c r="R123" s="17"/>
      <c r="S123" s="17"/>
      <c r="T123" s="17"/>
    </row>
    <row r="124" spans="1:20" ht="15.6" customHeight="1">
      <c r="A124" s="825"/>
      <c r="B124" s="879"/>
      <c r="C124" s="966"/>
      <c r="D124" s="951"/>
      <c r="E124" s="869" t="s">
        <v>1062</v>
      </c>
      <c r="F124" s="972" t="s">
        <v>1063</v>
      </c>
      <c r="G124" s="973"/>
      <c r="H124" s="973"/>
      <c r="I124" s="973"/>
      <c r="J124" s="973"/>
      <c r="O124" s="501">
        <f>O123/($O123+$P123+$Q123)</f>
        <v>0.96462516941972209</v>
      </c>
      <c r="P124" s="501">
        <f>P123/($O123+$P123+$Q123)</f>
        <v>2.0826804493411854E-2</v>
      </c>
      <c r="Q124" s="501">
        <f>Q123/($O123+$P123+$Q123)</f>
        <v>1.4548026086866062E-2</v>
      </c>
    </row>
    <row r="125" spans="1:20" ht="15.6" customHeight="1">
      <c r="A125" s="825"/>
      <c r="B125" s="880"/>
      <c r="C125" s="966"/>
      <c r="D125" s="951"/>
      <c r="E125" s="869"/>
      <c r="F125" s="972" t="s">
        <v>1064</v>
      </c>
      <c r="G125" s="973"/>
      <c r="H125" s="973"/>
      <c r="I125" s="973"/>
      <c r="J125" s="973"/>
      <c r="O125" s="51">
        <f>ROUND($E$2*$C115*O124/100,0)*100</f>
        <v>118500</v>
      </c>
      <c r="P125" s="51">
        <f>ROUND($E$2*$C115*P124/100,0)*100</f>
        <v>2600</v>
      </c>
      <c r="Q125" s="51">
        <f>ROUND($E$2*$C115*Q124/100,0)*100</f>
        <v>1800</v>
      </c>
    </row>
    <row r="126" spans="1:20" ht="15.6">
      <c r="A126" s="825">
        <v>12</v>
      </c>
      <c r="B126" s="878" t="s">
        <v>638</v>
      </c>
      <c r="C126" s="966">
        <f>Buckets!AC14</f>
        <v>2.6004291970519407E-2</v>
      </c>
      <c r="D126" s="951" t="s">
        <v>490</v>
      </c>
      <c r="E126" s="23" t="s">
        <v>457</v>
      </c>
      <c r="F126" s="30">
        <f>'Input Sheet'!CH129</f>
        <v>20.507737162645302</v>
      </c>
      <c r="G126" s="30">
        <f>'Input Sheet'!CI129</f>
        <v>4.8468145542427594</v>
      </c>
      <c r="H126" s="30">
        <f>'Input Sheet'!CJ129</f>
        <v>2.3620102258900322</v>
      </c>
      <c r="I126" s="449">
        <v>1</v>
      </c>
      <c r="J126" s="30">
        <f>I126/I$32</f>
        <v>0.2</v>
      </c>
      <c r="K126" s="29"/>
      <c r="L126" s="29"/>
      <c r="M126" s="29"/>
      <c r="N126" s="29"/>
      <c r="O126" s="45">
        <f>F126</f>
        <v>20.507737162645302</v>
      </c>
      <c r="P126" s="45">
        <f t="shared" ref="P126:P130" si="55">G126</f>
        <v>4.8468145542427594</v>
      </c>
      <c r="Q126" s="45">
        <f t="shared" ref="Q126:Q130" si="56">H126</f>
        <v>2.3620102258900322</v>
      </c>
    </row>
    <row r="127" spans="1:20" ht="31.2">
      <c r="A127" s="825"/>
      <c r="B127" s="879"/>
      <c r="C127" s="966"/>
      <c r="D127" s="951"/>
      <c r="E127" s="23" t="s">
        <v>491</v>
      </c>
      <c r="F127" s="30">
        <f>'Input Sheet'!CH130</f>
        <v>9.4206705975023675E-2</v>
      </c>
      <c r="G127" s="30">
        <f>'Input Sheet'!CI130</f>
        <v>0.32597069029526032</v>
      </c>
      <c r="H127" s="30">
        <f>'Input Sheet'!CJ130</f>
        <v>3.267655134767472E-2</v>
      </c>
      <c r="I127" s="449">
        <v>1</v>
      </c>
      <c r="J127" s="30">
        <f t="shared" ref="J127:J130" si="57">I127/I$32</f>
        <v>0.2</v>
      </c>
      <c r="K127" s="29"/>
      <c r="L127" s="29"/>
      <c r="M127" s="29"/>
      <c r="N127" s="29"/>
      <c r="O127" s="45">
        <f t="shared" ref="O127:O130" si="58">F127</f>
        <v>9.4206705975023675E-2</v>
      </c>
      <c r="P127" s="45">
        <f t="shared" si="55"/>
        <v>0.32597069029526032</v>
      </c>
      <c r="Q127" s="45">
        <f t="shared" si="56"/>
        <v>3.267655134767472E-2</v>
      </c>
    </row>
    <row r="128" spans="1:20" ht="15.6">
      <c r="A128" s="825"/>
      <c r="B128" s="879"/>
      <c r="C128" s="966"/>
      <c r="D128" s="951"/>
      <c r="E128" s="23" t="s">
        <v>459</v>
      </c>
      <c r="F128" s="30">
        <f>'Input Sheet'!CH131</f>
        <v>0.24526760348267987</v>
      </c>
      <c r="G128" s="30">
        <f>'Input Sheet'!CI131</f>
        <v>1</v>
      </c>
      <c r="H128" s="30">
        <f>'Input Sheet'!CJ131</f>
        <v>0.53129788176043136</v>
      </c>
      <c r="I128" s="449">
        <v>1</v>
      </c>
      <c r="J128" s="30">
        <f t="shared" si="57"/>
        <v>0.2</v>
      </c>
      <c r="K128" s="29"/>
      <c r="L128" s="29"/>
      <c r="M128" s="29"/>
      <c r="N128" s="29"/>
      <c r="O128" s="45">
        <f t="shared" si="58"/>
        <v>0.24526760348267987</v>
      </c>
      <c r="P128" s="45">
        <f t="shared" si="55"/>
        <v>1</v>
      </c>
      <c r="Q128" s="45">
        <f t="shared" si="56"/>
        <v>0.53129788176043136</v>
      </c>
    </row>
    <row r="129" spans="1:20" ht="15.6">
      <c r="A129" s="825"/>
      <c r="B129" s="879"/>
      <c r="C129" s="966"/>
      <c r="D129" s="951"/>
      <c r="E129" s="23" t="s">
        <v>492</v>
      </c>
      <c r="F129" s="30">
        <f>'Input Sheet'!CH132</f>
        <v>1.6904588483790908</v>
      </c>
      <c r="G129" s="30">
        <f>'Input Sheet'!CI132</f>
        <v>0.83945702076920725</v>
      </c>
      <c r="H129" s="30">
        <f>'Input Sheet'!CJ132</f>
        <v>1.6904588483790908</v>
      </c>
      <c r="I129" s="449">
        <v>1</v>
      </c>
      <c r="J129" s="30">
        <f t="shared" si="57"/>
        <v>0.2</v>
      </c>
      <c r="K129" s="29"/>
      <c r="L129" s="29"/>
      <c r="M129" s="29"/>
      <c r="N129" s="29"/>
      <c r="O129" s="45">
        <f t="shared" si="58"/>
        <v>1.6904588483790908</v>
      </c>
      <c r="P129" s="45">
        <f t="shared" si="55"/>
        <v>0.83945702076920725</v>
      </c>
      <c r="Q129" s="45">
        <f t="shared" si="56"/>
        <v>1.6904588483790908</v>
      </c>
    </row>
    <row r="130" spans="1:20" ht="15.6">
      <c r="A130" s="825"/>
      <c r="B130" s="879"/>
      <c r="C130" s="966"/>
      <c r="D130" s="951"/>
      <c r="E130" s="34" t="s">
        <v>461</v>
      </c>
      <c r="F130" s="30">
        <f>'Input Sheet'!CH133</f>
        <v>0.31140322391459774</v>
      </c>
      <c r="G130" s="30">
        <f>'Input Sheet'!CI133</f>
        <v>1</v>
      </c>
      <c r="H130" s="30">
        <f>'Input Sheet'!CJ133</f>
        <v>1</v>
      </c>
      <c r="I130" s="449">
        <v>1</v>
      </c>
      <c r="J130" s="30">
        <f t="shared" si="57"/>
        <v>0.2</v>
      </c>
      <c r="K130" s="29"/>
      <c r="L130" s="29"/>
      <c r="M130" s="29"/>
      <c r="N130" s="29"/>
      <c r="O130" s="45">
        <f t="shared" si="58"/>
        <v>0.31140322391459774</v>
      </c>
      <c r="P130" s="45">
        <f t="shared" si="55"/>
        <v>1</v>
      </c>
      <c r="Q130" s="45">
        <f t="shared" si="56"/>
        <v>1</v>
      </c>
    </row>
    <row r="131" spans="1:20" ht="15.6">
      <c r="A131" s="825">
        <v>2</v>
      </c>
      <c r="B131" s="879"/>
      <c r="C131" s="966"/>
      <c r="D131" s="951"/>
      <c r="E131" s="23" t="s">
        <v>38</v>
      </c>
      <c r="F131" s="47"/>
      <c r="G131" s="47"/>
      <c r="H131" s="47"/>
      <c r="I131" s="449">
        <f>SUM(I126:I130)</f>
        <v>5</v>
      </c>
      <c r="J131" s="872" t="s">
        <v>493</v>
      </c>
      <c r="K131" s="873"/>
      <c r="L131" s="873"/>
      <c r="M131" s="873"/>
      <c r="N131" s="874"/>
      <c r="O131" s="45">
        <f>SUM(O126:O130)</f>
        <v>22.849073544396695</v>
      </c>
      <c r="P131" s="45">
        <f>SUM(P126:P130)</f>
        <v>8.0122422653072256</v>
      </c>
      <c r="Q131" s="45">
        <f>SUM(Q126:Q130)</f>
        <v>5.6164435073772285</v>
      </c>
    </row>
    <row r="132" spans="1:20" ht="15.6">
      <c r="A132" s="825"/>
      <c r="B132" s="879"/>
      <c r="C132" s="966"/>
      <c r="D132" s="951"/>
      <c r="E132" s="23"/>
      <c r="F132" s="23"/>
      <c r="G132" s="23"/>
      <c r="H132" s="23"/>
      <c r="I132" s="23"/>
      <c r="J132" s="872" t="s">
        <v>494</v>
      </c>
      <c r="K132" s="873"/>
      <c r="L132" s="873"/>
      <c r="M132" s="873"/>
      <c r="N132" s="874"/>
      <c r="O132" s="45">
        <f>O131/SUM($O131:$Q131)</f>
        <v>0.62638369165666763</v>
      </c>
      <c r="P132" s="45">
        <f>P131/SUM($O131:$Q131)</f>
        <v>0.21964732525540284</v>
      </c>
      <c r="Q132" s="45">
        <f>Q131/SUM($O131:$Q131)</f>
        <v>0.15396898308792945</v>
      </c>
    </row>
    <row r="133" spans="1:20" ht="15.6">
      <c r="A133" s="825"/>
      <c r="B133" s="879"/>
      <c r="C133" s="966"/>
      <c r="D133" s="951"/>
      <c r="E133" s="23"/>
      <c r="F133" s="971" t="s">
        <v>1058</v>
      </c>
      <c r="G133" s="971"/>
      <c r="H133" s="971"/>
      <c r="I133" s="971"/>
      <c r="J133" s="971"/>
      <c r="K133" s="749"/>
      <c r="L133" s="749"/>
      <c r="M133" s="749"/>
      <c r="N133" s="750"/>
      <c r="O133" s="45">
        <f>'Input Sheet'!$CH$15</f>
        <v>1</v>
      </c>
      <c r="P133" s="45">
        <f>'Input Sheet'!$CI$15</f>
        <v>0.65</v>
      </c>
      <c r="Q133" s="45">
        <f>'Input Sheet'!$CJ$15</f>
        <v>0.5</v>
      </c>
      <c r="R133" s="17"/>
      <c r="S133" s="17"/>
      <c r="T133" s="17"/>
    </row>
    <row r="134" spans="1:20" ht="15.6">
      <c r="A134" s="825"/>
      <c r="B134" s="879"/>
      <c r="C134" s="966"/>
      <c r="D134" s="951"/>
      <c r="E134" s="23"/>
      <c r="F134" s="23"/>
      <c r="G134" s="23"/>
      <c r="H134" s="23"/>
      <c r="I134" s="56"/>
      <c r="J134" s="748"/>
      <c r="K134" s="749"/>
      <c r="L134" s="749"/>
      <c r="M134" s="749"/>
      <c r="N134" s="750"/>
      <c r="O134" s="45">
        <f>O132*O133</f>
        <v>0.62638369165666763</v>
      </c>
      <c r="P134" s="45">
        <f t="shared" ref="P134:Q134" si="59">P132*P133</f>
        <v>0.14277076141601186</v>
      </c>
      <c r="Q134" s="45">
        <f t="shared" si="59"/>
        <v>7.6984491543964723E-2</v>
      </c>
      <c r="R134" s="17"/>
      <c r="S134" s="17"/>
      <c r="T134" s="17"/>
    </row>
    <row r="135" spans="1:20" ht="15.6" customHeight="1">
      <c r="A135" s="825"/>
      <c r="B135" s="879"/>
      <c r="C135" s="966"/>
      <c r="D135" s="951"/>
      <c r="E135" s="869" t="s">
        <v>1062</v>
      </c>
      <c r="F135" s="972" t="s">
        <v>1063</v>
      </c>
      <c r="G135" s="973"/>
      <c r="H135" s="973"/>
      <c r="I135" s="973"/>
      <c r="J135" s="973"/>
      <c r="O135" s="501">
        <f>O134/($O134+$P134+$Q134)</f>
        <v>0.7402846726792135</v>
      </c>
      <c r="P135" s="501">
        <f>P134/($O134+$P134+$Q134)</f>
        <v>0.16873205319806697</v>
      </c>
      <c r="Q135" s="501">
        <f>Q134/($O134+$P134+$Q134)</f>
        <v>9.0983274122719518E-2</v>
      </c>
    </row>
    <row r="136" spans="1:20" ht="15.6" customHeight="1">
      <c r="A136" s="825"/>
      <c r="B136" s="880"/>
      <c r="C136" s="966"/>
      <c r="D136" s="951"/>
      <c r="E136" s="869"/>
      <c r="F136" s="972" t="s">
        <v>1064</v>
      </c>
      <c r="G136" s="973"/>
      <c r="H136" s="973"/>
      <c r="I136" s="973"/>
      <c r="J136" s="973"/>
      <c r="O136" s="51">
        <f>ROUND($E$2*$C126*O135/100,0)*100</f>
        <v>19800</v>
      </c>
      <c r="P136" s="51">
        <f>ROUND($E$2*$C126*P135/100,0)*100</f>
        <v>4500</v>
      </c>
      <c r="Q136" s="51">
        <f>ROUND($E$2*$C126*Q135/100,0)*100</f>
        <v>2400</v>
      </c>
    </row>
    <row r="137" spans="1:20" ht="15.6">
      <c r="A137" s="825">
        <v>13</v>
      </c>
      <c r="B137" s="878" t="s">
        <v>644</v>
      </c>
      <c r="C137" s="966">
        <f>Buckets!AC15</f>
        <v>4.863909577308876E-2</v>
      </c>
      <c r="D137" s="951" t="s">
        <v>490</v>
      </c>
      <c r="E137" s="23" t="s">
        <v>457</v>
      </c>
      <c r="F137" s="30">
        <f>'Input Sheet'!CH140</f>
        <v>36.034091168712429</v>
      </c>
      <c r="G137" s="30">
        <f>'Input Sheet'!CI140</f>
        <v>5.8040215500399821</v>
      </c>
      <c r="H137" s="30">
        <f>'Input Sheet'!CJ140</f>
        <v>3.7596820535833064</v>
      </c>
      <c r="I137" s="449">
        <v>1</v>
      </c>
      <c r="J137" s="30">
        <f>I137/I$32</f>
        <v>0.2</v>
      </c>
      <c r="K137" s="29"/>
      <c r="L137" s="29"/>
      <c r="M137" s="29"/>
      <c r="N137" s="29"/>
      <c r="O137" s="45">
        <f>F137</f>
        <v>36.034091168712429</v>
      </c>
      <c r="P137" s="45">
        <f t="shared" ref="P137:P141" si="60">G137</f>
        <v>5.8040215500399821</v>
      </c>
      <c r="Q137" s="45">
        <f t="shared" ref="Q137:Q141" si="61">H137</f>
        <v>3.7596820535833064</v>
      </c>
    </row>
    <row r="138" spans="1:20" ht="31.2">
      <c r="A138" s="825"/>
      <c r="B138" s="879"/>
      <c r="C138" s="966"/>
      <c r="D138" s="951"/>
      <c r="E138" s="23" t="s">
        <v>491</v>
      </c>
      <c r="F138" s="30">
        <f>'Input Sheet'!CH141</f>
        <v>9.4206705975023675E-2</v>
      </c>
      <c r="G138" s="30">
        <f>'Input Sheet'!CI141</f>
        <v>0.32597069029526032</v>
      </c>
      <c r="H138" s="30">
        <f>'Input Sheet'!CJ141</f>
        <v>3.267655134767472E-2</v>
      </c>
      <c r="I138" s="449">
        <v>1</v>
      </c>
      <c r="J138" s="30">
        <f t="shared" ref="J138:J141" si="62">I138/I$32</f>
        <v>0.2</v>
      </c>
      <c r="K138" s="29"/>
      <c r="L138" s="29"/>
      <c r="M138" s="29"/>
      <c r="N138" s="29"/>
      <c r="O138" s="45">
        <f t="shared" ref="O138:O141" si="63">F138</f>
        <v>9.4206705975023675E-2</v>
      </c>
      <c r="P138" s="45">
        <f t="shared" si="60"/>
        <v>0.32597069029526032</v>
      </c>
      <c r="Q138" s="45">
        <f t="shared" si="61"/>
        <v>3.267655134767472E-2</v>
      </c>
    </row>
    <row r="139" spans="1:20" ht="15.6">
      <c r="A139" s="825"/>
      <c r="B139" s="879"/>
      <c r="C139" s="966"/>
      <c r="D139" s="951"/>
      <c r="E139" s="23" t="s">
        <v>459</v>
      </c>
      <c r="F139" s="30">
        <f>'Input Sheet'!CH142</f>
        <v>0.24526760348267987</v>
      </c>
      <c r="G139" s="30">
        <f>'Input Sheet'!CI142</f>
        <v>1</v>
      </c>
      <c r="H139" s="30">
        <f>'Input Sheet'!CJ142</f>
        <v>0.53129788176043136</v>
      </c>
      <c r="I139" s="449">
        <v>1</v>
      </c>
      <c r="J139" s="30">
        <f t="shared" si="62"/>
        <v>0.2</v>
      </c>
      <c r="K139" s="29"/>
      <c r="L139" s="29"/>
      <c r="M139" s="29"/>
      <c r="N139" s="29"/>
      <c r="O139" s="45">
        <f t="shared" si="63"/>
        <v>0.24526760348267987</v>
      </c>
      <c r="P139" s="45">
        <f t="shared" si="60"/>
        <v>1</v>
      </c>
      <c r="Q139" s="45">
        <f t="shared" si="61"/>
        <v>0.53129788176043136</v>
      </c>
    </row>
    <row r="140" spans="1:20" ht="15.6">
      <c r="A140" s="825"/>
      <c r="B140" s="879"/>
      <c r="C140" s="966"/>
      <c r="D140" s="951"/>
      <c r="E140" s="23" t="s">
        <v>492</v>
      </c>
      <c r="F140" s="30">
        <f>'Input Sheet'!CH143</f>
        <v>1.6904588483790908</v>
      </c>
      <c r="G140" s="30">
        <f>'Input Sheet'!CI143</f>
        <v>0.83945702076920725</v>
      </c>
      <c r="H140" s="30">
        <f>'Input Sheet'!CJ143</f>
        <v>1.6904588483790908</v>
      </c>
      <c r="I140" s="449">
        <v>1</v>
      </c>
      <c r="J140" s="30">
        <f t="shared" si="62"/>
        <v>0.2</v>
      </c>
      <c r="K140" s="29"/>
      <c r="L140" s="29"/>
      <c r="M140" s="29"/>
      <c r="N140" s="29"/>
      <c r="O140" s="45">
        <f t="shared" si="63"/>
        <v>1.6904588483790908</v>
      </c>
      <c r="P140" s="45">
        <f t="shared" si="60"/>
        <v>0.83945702076920725</v>
      </c>
      <c r="Q140" s="45">
        <f t="shared" si="61"/>
        <v>1.6904588483790908</v>
      </c>
    </row>
    <row r="141" spans="1:20" ht="15.6">
      <c r="A141" s="825"/>
      <c r="B141" s="879"/>
      <c r="C141" s="966"/>
      <c r="D141" s="951"/>
      <c r="E141" s="34" t="s">
        <v>461</v>
      </c>
      <c r="F141" s="30">
        <f>'Input Sheet'!CH144</f>
        <v>0.31140322391459774</v>
      </c>
      <c r="G141" s="30">
        <f>'Input Sheet'!CI144</f>
        <v>1</v>
      </c>
      <c r="H141" s="30">
        <f>'Input Sheet'!CJ144</f>
        <v>1</v>
      </c>
      <c r="I141" s="449">
        <v>1</v>
      </c>
      <c r="J141" s="30">
        <f t="shared" si="62"/>
        <v>0.2</v>
      </c>
      <c r="K141" s="29"/>
      <c r="L141" s="29"/>
      <c r="M141" s="29"/>
      <c r="N141" s="29"/>
      <c r="O141" s="45">
        <f t="shared" si="63"/>
        <v>0.31140322391459774</v>
      </c>
      <c r="P141" s="45">
        <f t="shared" si="60"/>
        <v>1</v>
      </c>
      <c r="Q141" s="45">
        <f t="shared" si="61"/>
        <v>1</v>
      </c>
    </row>
    <row r="142" spans="1:20" ht="15.6">
      <c r="A142" s="825">
        <v>2</v>
      </c>
      <c r="B142" s="879"/>
      <c r="C142" s="966"/>
      <c r="D142" s="951"/>
      <c r="E142" s="23" t="s">
        <v>38</v>
      </c>
      <c r="F142" s="47"/>
      <c r="G142" s="47"/>
      <c r="H142" s="47"/>
      <c r="I142" s="449">
        <f>SUM(I137:I141)</f>
        <v>5</v>
      </c>
      <c r="J142" s="872" t="s">
        <v>493</v>
      </c>
      <c r="K142" s="873"/>
      <c r="L142" s="873"/>
      <c r="M142" s="873"/>
      <c r="N142" s="874"/>
      <c r="O142" s="45">
        <f>SUM(O137:O141)</f>
        <v>38.375427550463819</v>
      </c>
      <c r="P142" s="45">
        <f>SUM(P137:P141)</f>
        <v>8.9694492611044492</v>
      </c>
      <c r="Q142" s="45">
        <f>SUM(Q137:Q141)</f>
        <v>7.0141153350705032</v>
      </c>
    </row>
    <row r="143" spans="1:20" ht="15.6">
      <c r="A143" s="825"/>
      <c r="B143" s="879"/>
      <c r="C143" s="966"/>
      <c r="D143" s="951"/>
      <c r="E143" s="23"/>
      <c r="F143" s="23"/>
      <c r="G143" s="23"/>
      <c r="H143" s="23"/>
      <c r="I143" s="23"/>
      <c r="J143" s="872" t="s">
        <v>494</v>
      </c>
      <c r="K143" s="873"/>
      <c r="L143" s="873"/>
      <c r="M143" s="873"/>
      <c r="N143" s="874"/>
      <c r="O143" s="45">
        <f>O142/SUM($O142:$Q142)</f>
        <v>0.70596282298506008</v>
      </c>
      <c r="P143" s="45">
        <f>P142/SUM($O142:$Q142)</f>
        <v>0.16500396543240667</v>
      </c>
      <c r="Q143" s="45">
        <f>Q142/SUM($O142:$Q142)</f>
        <v>0.12903321158253325</v>
      </c>
    </row>
    <row r="144" spans="1:20" ht="15.6">
      <c r="A144" s="825"/>
      <c r="B144" s="879"/>
      <c r="C144" s="966"/>
      <c r="D144" s="951"/>
      <c r="E144" s="23"/>
      <c r="F144" s="971" t="s">
        <v>1058</v>
      </c>
      <c r="G144" s="971"/>
      <c r="H144" s="971"/>
      <c r="I144" s="971"/>
      <c r="J144" s="971"/>
      <c r="K144" s="749"/>
      <c r="L144" s="749"/>
      <c r="M144" s="749"/>
      <c r="N144" s="750"/>
      <c r="O144" s="45">
        <f>'Input Sheet'!$CH$15</f>
        <v>1</v>
      </c>
      <c r="P144" s="45">
        <f>'Input Sheet'!$CI$15</f>
        <v>0.65</v>
      </c>
      <c r="Q144" s="45">
        <f>'Input Sheet'!$CJ$15</f>
        <v>0.5</v>
      </c>
      <c r="R144" s="17"/>
      <c r="S144" s="17"/>
      <c r="T144" s="17"/>
    </row>
    <row r="145" spans="1:20" ht="15.6">
      <c r="A145" s="825"/>
      <c r="B145" s="879"/>
      <c r="C145" s="966"/>
      <c r="D145" s="951"/>
      <c r="E145" s="23"/>
      <c r="F145" s="23"/>
      <c r="G145" s="23"/>
      <c r="H145" s="23"/>
      <c r="I145" s="56"/>
      <c r="J145" s="748"/>
      <c r="K145" s="749"/>
      <c r="L145" s="749"/>
      <c r="M145" s="749"/>
      <c r="N145" s="750"/>
      <c r="O145" s="45">
        <f>O143*O144</f>
        <v>0.70596282298506008</v>
      </c>
      <c r="P145" s="45">
        <f t="shared" ref="P145:Q145" si="64">P143*P144</f>
        <v>0.10725257753106433</v>
      </c>
      <c r="Q145" s="45">
        <f t="shared" si="64"/>
        <v>6.4516605791266626E-2</v>
      </c>
      <c r="R145" s="17"/>
      <c r="S145" s="17"/>
      <c r="T145" s="17"/>
    </row>
    <row r="146" spans="1:20" ht="15.6" customHeight="1">
      <c r="A146" s="825"/>
      <c r="B146" s="879"/>
      <c r="C146" s="966"/>
      <c r="D146" s="951"/>
      <c r="E146" s="869" t="s">
        <v>1062</v>
      </c>
      <c r="F146" s="972" t="s">
        <v>1063</v>
      </c>
      <c r="G146" s="973"/>
      <c r="H146" s="973"/>
      <c r="I146" s="973"/>
      <c r="J146" s="973"/>
      <c r="O146" s="501">
        <f>O145/($O145+$P145+$Q145)</f>
        <v>0.80430338407623758</v>
      </c>
      <c r="P146" s="501">
        <f>P145/($O145+$P145+$Q145)</f>
        <v>0.12219285244282564</v>
      </c>
      <c r="Q146" s="501">
        <f>Q145/($O145+$P145+$Q145)</f>
        <v>7.3503763480936832E-2</v>
      </c>
    </row>
    <row r="147" spans="1:20" ht="15.6" customHeight="1">
      <c r="A147" s="825"/>
      <c r="B147" s="880"/>
      <c r="C147" s="966"/>
      <c r="D147" s="951"/>
      <c r="E147" s="869"/>
      <c r="F147" s="972" t="s">
        <v>1064</v>
      </c>
      <c r="G147" s="973"/>
      <c r="H147" s="973"/>
      <c r="I147" s="973"/>
      <c r="J147" s="973"/>
      <c r="O147" s="51">
        <f>ROUND($E$2*$C137*O146/100,0)*100</f>
        <v>40300</v>
      </c>
      <c r="P147" s="51">
        <f>ROUND($E$2*$C137*P146/100,0)*100</f>
        <v>6100</v>
      </c>
      <c r="Q147" s="51">
        <f>ROUND($E$2*$C137*Q146/100,0)*100</f>
        <v>3700</v>
      </c>
    </row>
    <row r="148" spans="1:20" ht="15.6">
      <c r="A148" s="825">
        <v>14</v>
      </c>
      <c r="B148" s="878" t="s">
        <v>645</v>
      </c>
      <c r="C148" s="966">
        <f>Buckets!AC16</f>
        <v>9.2927958983521543E-3</v>
      </c>
      <c r="D148" s="951" t="s">
        <v>490</v>
      </c>
      <c r="E148" s="23" t="s">
        <v>457</v>
      </c>
      <c r="F148" s="30">
        <f>'Input Sheet'!CH151</f>
        <v>15.578232312296535</v>
      </c>
      <c r="G148" s="30">
        <f>'Input Sheet'!CI151</f>
        <v>4.6231982948734638</v>
      </c>
      <c r="H148" s="30">
        <f>'Input Sheet'!CJ151</f>
        <v>2.1999363834769543</v>
      </c>
      <c r="I148" s="449">
        <v>1</v>
      </c>
      <c r="J148" s="30">
        <f>I148/I$32</f>
        <v>0.2</v>
      </c>
      <c r="K148" s="29"/>
      <c r="L148" s="29"/>
      <c r="M148" s="29"/>
      <c r="N148" s="29"/>
      <c r="O148" s="45">
        <f>F148</f>
        <v>15.578232312296535</v>
      </c>
      <c r="P148" s="45">
        <f t="shared" ref="P148:P152" si="65">G148</f>
        <v>4.6231982948734638</v>
      </c>
      <c r="Q148" s="45">
        <f t="shared" ref="Q148:Q152" si="66">H148</f>
        <v>2.1999363834769543</v>
      </c>
    </row>
    <row r="149" spans="1:20" ht="31.2">
      <c r="A149" s="825"/>
      <c r="B149" s="879"/>
      <c r="C149" s="966"/>
      <c r="D149" s="951"/>
      <c r="E149" s="23" t="s">
        <v>491</v>
      </c>
      <c r="F149" s="30">
        <f>'Input Sheet'!CH152</f>
        <v>9.2307727185159311E-2</v>
      </c>
      <c r="G149" s="30">
        <f>'Input Sheet'!CI152</f>
        <v>0.38099473730017713</v>
      </c>
      <c r="H149" s="30">
        <f>'Input Sheet'!CJ152</f>
        <v>4.8292886471666421E-2</v>
      </c>
      <c r="I149" s="449">
        <v>1</v>
      </c>
      <c r="J149" s="30">
        <f t="shared" ref="J149:J152" si="67">I149/I$32</f>
        <v>0.2</v>
      </c>
      <c r="K149" s="29"/>
      <c r="L149" s="29"/>
      <c r="M149" s="29"/>
      <c r="N149" s="29"/>
      <c r="O149" s="45">
        <f t="shared" ref="O149:O152" si="68">F149</f>
        <v>9.2307727185159311E-2</v>
      </c>
      <c r="P149" s="45">
        <f t="shared" si="65"/>
        <v>0.38099473730017713</v>
      </c>
      <c r="Q149" s="45">
        <f t="shared" si="66"/>
        <v>4.8292886471666421E-2</v>
      </c>
    </row>
    <row r="150" spans="1:20" ht="15.6">
      <c r="A150" s="825"/>
      <c r="B150" s="879"/>
      <c r="C150" s="966"/>
      <c r="D150" s="951"/>
      <c r="E150" s="23" t="s">
        <v>459</v>
      </c>
      <c r="F150" s="30">
        <f>'Input Sheet'!CH153</f>
        <v>0.21828554812642756</v>
      </c>
      <c r="G150" s="30">
        <f>'Input Sheet'!CI153</f>
        <v>1</v>
      </c>
      <c r="H150" s="30">
        <f>'Input Sheet'!CJ153</f>
        <v>0.56511179095104691</v>
      </c>
      <c r="I150" s="449">
        <v>1</v>
      </c>
      <c r="J150" s="30">
        <f t="shared" si="67"/>
        <v>0.2</v>
      </c>
      <c r="K150" s="29"/>
      <c r="L150" s="29"/>
      <c r="M150" s="29"/>
      <c r="N150" s="29"/>
      <c r="O150" s="45">
        <f t="shared" si="68"/>
        <v>0.21828554812642756</v>
      </c>
      <c r="P150" s="45">
        <f t="shared" si="65"/>
        <v>1</v>
      </c>
      <c r="Q150" s="45">
        <f t="shared" si="66"/>
        <v>0.56511179095104691</v>
      </c>
    </row>
    <row r="151" spans="1:20" ht="15.6">
      <c r="A151" s="825"/>
      <c r="B151" s="879"/>
      <c r="C151" s="966"/>
      <c r="D151" s="951"/>
      <c r="E151" s="23" t="s">
        <v>492</v>
      </c>
      <c r="F151" s="30">
        <f>'Input Sheet'!CH154</f>
        <v>1.6904588483790908</v>
      </c>
      <c r="G151" s="30">
        <f>'Input Sheet'!CI154</f>
        <v>0.83945702076920725</v>
      </c>
      <c r="H151" s="30">
        <f>'Input Sheet'!CJ154</f>
        <v>1.6904588483790908</v>
      </c>
      <c r="I151" s="449">
        <v>1</v>
      </c>
      <c r="J151" s="30">
        <f t="shared" si="67"/>
        <v>0.2</v>
      </c>
      <c r="K151" s="29"/>
      <c r="L151" s="29"/>
      <c r="M151" s="29"/>
      <c r="N151" s="29"/>
      <c r="O151" s="45">
        <f t="shared" si="68"/>
        <v>1.6904588483790908</v>
      </c>
      <c r="P151" s="45">
        <f t="shared" si="65"/>
        <v>0.83945702076920725</v>
      </c>
      <c r="Q151" s="45">
        <f t="shared" si="66"/>
        <v>1.6904588483790908</v>
      </c>
    </row>
    <row r="152" spans="1:20" ht="15.6">
      <c r="A152" s="825"/>
      <c r="B152" s="879"/>
      <c r="C152" s="966"/>
      <c r="D152" s="951"/>
      <c r="E152" s="34" t="s">
        <v>461</v>
      </c>
      <c r="F152" s="30">
        <f>'Input Sheet'!CH155</f>
        <v>0.31140322391459774</v>
      </c>
      <c r="G152" s="30">
        <f>'Input Sheet'!CI155</f>
        <v>1</v>
      </c>
      <c r="H152" s="30">
        <f>'Input Sheet'!CJ155</f>
        <v>1</v>
      </c>
      <c r="I152" s="449">
        <v>1</v>
      </c>
      <c r="J152" s="30">
        <f t="shared" si="67"/>
        <v>0.2</v>
      </c>
      <c r="K152" s="29"/>
      <c r="L152" s="29"/>
      <c r="M152" s="29"/>
      <c r="N152" s="29"/>
      <c r="O152" s="45">
        <f t="shared" si="68"/>
        <v>0.31140322391459774</v>
      </c>
      <c r="P152" s="45">
        <f t="shared" si="65"/>
        <v>1</v>
      </c>
      <c r="Q152" s="45">
        <f t="shared" si="66"/>
        <v>1</v>
      </c>
    </row>
    <row r="153" spans="1:20" ht="15.6">
      <c r="A153" s="825">
        <v>2</v>
      </c>
      <c r="B153" s="879"/>
      <c r="C153" s="966"/>
      <c r="D153" s="951"/>
      <c r="E153" s="23" t="s">
        <v>38</v>
      </c>
      <c r="F153" s="47"/>
      <c r="G153" s="47"/>
      <c r="H153" s="47"/>
      <c r="I153" s="449">
        <f>SUM(I148:I152)</f>
        <v>5</v>
      </c>
      <c r="J153" s="872" t="s">
        <v>493</v>
      </c>
      <c r="K153" s="873"/>
      <c r="L153" s="873"/>
      <c r="M153" s="873"/>
      <c r="N153" s="874"/>
      <c r="O153" s="45">
        <f>SUM(O148:O152)</f>
        <v>17.890687659901811</v>
      </c>
      <c r="P153" s="45">
        <f>SUM(P148:P152)</f>
        <v>7.8436500529428477</v>
      </c>
      <c r="Q153" s="45">
        <f>SUM(Q148:Q152)</f>
        <v>5.503799909278758</v>
      </c>
    </row>
    <row r="154" spans="1:20" ht="15.6">
      <c r="A154" s="825"/>
      <c r="B154" s="879"/>
      <c r="C154" s="966"/>
      <c r="D154" s="951"/>
      <c r="E154" s="23"/>
      <c r="F154" s="23"/>
      <c r="G154" s="23"/>
      <c r="H154" s="23"/>
      <c r="I154" s="23"/>
      <c r="J154" s="872" t="s">
        <v>494</v>
      </c>
      <c r="K154" s="873"/>
      <c r="L154" s="873"/>
      <c r="M154" s="873"/>
      <c r="N154" s="874"/>
      <c r="O154" s="45">
        <f>O153/SUM($O153:$Q153)</f>
        <v>0.57271940716565961</v>
      </c>
      <c r="P154" s="45">
        <f>P153/SUM($O153:$Q153)</f>
        <v>0.25109211527987607</v>
      </c>
      <c r="Q154" s="45">
        <f>Q153/SUM($O153:$Q153)</f>
        <v>0.17618847755446429</v>
      </c>
    </row>
    <row r="155" spans="1:20" ht="15.6">
      <c r="A155" s="825"/>
      <c r="B155" s="879"/>
      <c r="C155" s="966"/>
      <c r="D155" s="951"/>
      <c r="E155" s="23"/>
      <c r="F155" s="971" t="s">
        <v>1058</v>
      </c>
      <c r="G155" s="971"/>
      <c r="H155" s="971"/>
      <c r="I155" s="971"/>
      <c r="J155" s="971"/>
      <c r="K155" s="749"/>
      <c r="L155" s="749"/>
      <c r="M155" s="749"/>
      <c r="N155" s="750"/>
      <c r="O155" s="45">
        <f>'Input Sheet'!$CH$15</f>
        <v>1</v>
      </c>
      <c r="P155" s="45">
        <f>'Input Sheet'!$CI$15</f>
        <v>0.65</v>
      </c>
      <c r="Q155" s="45">
        <f>'Input Sheet'!$CJ$15</f>
        <v>0.5</v>
      </c>
      <c r="R155" s="17"/>
      <c r="S155" s="17"/>
      <c r="T155" s="17"/>
    </row>
    <row r="156" spans="1:20" ht="15.6">
      <c r="A156" s="825"/>
      <c r="B156" s="879"/>
      <c r="C156" s="966"/>
      <c r="D156" s="951"/>
      <c r="E156" s="23"/>
      <c r="F156" s="23"/>
      <c r="G156" s="23"/>
      <c r="H156" s="23"/>
      <c r="I156" s="56"/>
      <c r="J156" s="748"/>
      <c r="K156" s="749"/>
      <c r="L156" s="749"/>
      <c r="M156" s="749"/>
      <c r="N156" s="750"/>
      <c r="O156" s="45">
        <f>O154*O155</f>
        <v>0.57271940716565961</v>
      </c>
      <c r="P156" s="45">
        <f t="shared" ref="P156:Q156" si="69">P154*P155</f>
        <v>0.16320987493191946</v>
      </c>
      <c r="Q156" s="45">
        <f t="shared" si="69"/>
        <v>8.8094238777232145E-2</v>
      </c>
      <c r="R156" s="17"/>
      <c r="S156" s="17"/>
      <c r="T156" s="17"/>
    </row>
    <row r="157" spans="1:20" ht="15.6" customHeight="1">
      <c r="A157" s="825"/>
      <c r="B157" s="879"/>
      <c r="C157" s="966"/>
      <c r="D157" s="951"/>
      <c r="E157" s="869" t="s">
        <v>1062</v>
      </c>
      <c r="F157" s="972" t="s">
        <v>1063</v>
      </c>
      <c r="G157" s="973"/>
      <c r="H157" s="973"/>
      <c r="I157" s="973"/>
      <c r="J157" s="973"/>
      <c r="O157" s="501">
        <f>O156/($O156+$P156+$Q156)</f>
        <v>0.69502798482941519</v>
      </c>
      <c r="P157" s="501">
        <f t="shared" ref="P157:Q157" si="70">P156/($O156+$P156+$Q156)</f>
        <v>0.19806458286366674</v>
      </c>
      <c r="Q157" s="501">
        <f t="shared" si="70"/>
        <v>0.10690743230691804</v>
      </c>
    </row>
    <row r="158" spans="1:20" ht="15.6" customHeight="1">
      <c r="A158" s="825"/>
      <c r="B158" s="880"/>
      <c r="C158" s="966"/>
      <c r="D158" s="951"/>
      <c r="E158" s="869"/>
      <c r="F158" s="972" t="s">
        <v>1064</v>
      </c>
      <c r="G158" s="973"/>
      <c r="H158" s="973"/>
      <c r="I158" s="973"/>
      <c r="J158" s="973"/>
      <c r="O158" s="51">
        <f>ROUND($E$2*$C148*O157/100,0)*100</f>
        <v>6700</v>
      </c>
      <c r="P158" s="51">
        <f>ROUND($E$2*$C148*P157/100,0)*100</f>
        <v>1900</v>
      </c>
      <c r="Q158" s="51">
        <f>ROUND($E$2*$C148*Q157/100,0)*100</f>
        <v>1000</v>
      </c>
    </row>
    <row r="160" spans="1:20"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spans="5:17" ht="15.6">
      <c r="E161" s="869" t="s">
        <v>1065</v>
      </c>
      <c r="F161" s="972" t="s">
        <v>494</v>
      </c>
      <c r="G161" s="973"/>
      <c r="H161" s="973"/>
      <c r="I161" s="973"/>
      <c r="J161" s="973"/>
      <c r="O161" s="90">
        <f>O162/SUM($O$162:$Q$162)</f>
        <v>0.87248713217441975</v>
      </c>
      <c r="P161" s="90">
        <f>P162/SUM($O$162:$Q$162)</f>
        <v>6.594153636981645E-2</v>
      </c>
      <c r="Q161" s="90">
        <f>Q162/SUM($O$162:$Q$162)</f>
        <v>6.1571331455763816E-2</v>
      </c>
    </row>
    <row r="162" spans="5:17" ht="15.6">
      <c r="E162" s="869"/>
      <c r="F162" s="972" t="s">
        <v>1066</v>
      </c>
      <c r="G162" s="973"/>
      <c r="H162" s="973"/>
      <c r="I162" s="973"/>
      <c r="J162" s="973"/>
      <c r="O162" s="51">
        <f>O37+O26+O15+O158+O147+O136+O125+O114+O103+O92+O81+O70+O59+O48</f>
        <v>898400</v>
      </c>
      <c r="P162" s="51">
        <f>P37+P26+P15+P158+P147+P136+P125+P114+P103+P92+P81+P70+P59+P48</f>
        <v>67900</v>
      </c>
      <c r="Q162" s="51">
        <f>Q37+Q26+Q15+Q158+Q147+Q136+Q125+Q114+Q103+Q92+Q81+Q70+Q59+Q48</f>
        <v>63400</v>
      </c>
    </row>
  </sheetData>
  <mergeCells count="158">
    <mergeCell ref="A148:A158"/>
    <mergeCell ref="B148:B158"/>
    <mergeCell ref="C148:C158"/>
    <mergeCell ref="D148:D158"/>
    <mergeCell ref="A137:A147"/>
    <mergeCell ref="B137:B147"/>
    <mergeCell ref="C137:C147"/>
    <mergeCell ref="J154:N154"/>
    <mergeCell ref="E157:E158"/>
    <mergeCell ref="F157:J157"/>
    <mergeCell ref="F158:J158"/>
    <mergeCell ref="J142:N142"/>
    <mergeCell ref="J143:N143"/>
    <mergeCell ref="E146:E147"/>
    <mergeCell ref="F146:J146"/>
    <mergeCell ref="F147:J147"/>
    <mergeCell ref="F144:J144"/>
    <mergeCell ref="F155:J155"/>
    <mergeCell ref="D137:D147"/>
    <mergeCell ref="J120:N120"/>
    <mergeCell ref="J121:N121"/>
    <mergeCell ref="E124:E125"/>
    <mergeCell ref="F111:J111"/>
    <mergeCell ref="F124:J124"/>
    <mergeCell ref="F125:J125"/>
    <mergeCell ref="F133:J133"/>
    <mergeCell ref="F122:J122"/>
    <mergeCell ref="J153:N153"/>
    <mergeCell ref="J98:N98"/>
    <mergeCell ref="J77:N77"/>
    <mergeCell ref="E80:E81"/>
    <mergeCell ref="F81:J81"/>
    <mergeCell ref="J87:N87"/>
    <mergeCell ref="J109:N109"/>
    <mergeCell ref="J110:N110"/>
    <mergeCell ref="E113:E114"/>
    <mergeCell ref="F113:J113"/>
    <mergeCell ref="F114:J114"/>
    <mergeCell ref="J99:N99"/>
    <mergeCell ref="E102:E103"/>
    <mergeCell ref="F89:J89"/>
    <mergeCell ref="F100:J100"/>
    <mergeCell ref="F102:J102"/>
    <mergeCell ref="F103:J103"/>
    <mergeCell ref="F91:J91"/>
    <mergeCell ref="F80:J80"/>
    <mergeCell ref="J88:N88"/>
    <mergeCell ref="E91:E92"/>
    <mergeCell ref="F92:J92"/>
    <mergeCell ref="A104:A114"/>
    <mergeCell ref="B104:B114"/>
    <mergeCell ref="C104:C114"/>
    <mergeCell ref="D104:D114"/>
    <mergeCell ref="A93:A103"/>
    <mergeCell ref="B93:B103"/>
    <mergeCell ref="C93:C103"/>
    <mergeCell ref="A126:A136"/>
    <mergeCell ref="B126:B136"/>
    <mergeCell ref="C126:C136"/>
    <mergeCell ref="D126:D136"/>
    <mergeCell ref="A115:A125"/>
    <mergeCell ref="B115:B125"/>
    <mergeCell ref="C115:C125"/>
    <mergeCell ref="D115:D125"/>
    <mergeCell ref="D93:D103"/>
    <mergeCell ref="A82:A92"/>
    <mergeCell ref="B82:B92"/>
    <mergeCell ref="C82:C92"/>
    <mergeCell ref="D82:D92"/>
    <mergeCell ref="A71:A81"/>
    <mergeCell ref="B71:B81"/>
    <mergeCell ref="C71:C81"/>
    <mergeCell ref="A60:A70"/>
    <mergeCell ref="B60:B70"/>
    <mergeCell ref="C60:C70"/>
    <mergeCell ref="D60:D70"/>
    <mergeCell ref="D71:D81"/>
    <mergeCell ref="E161:E162"/>
    <mergeCell ref="F161:J161"/>
    <mergeCell ref="F162:J162"/>
    <mergeCell ref="J32:N32"/>
    <mergeCell ref="J33:N33"/>
    <mergeCell ref="E36:E37"/>
    <mergeCell ref="F36:J36"/>
    <mergeCell ref="F37:J37"/>
    <mergeCell ref="J54:N54"/>
    <mergeCell ref="J55:N55"/>
    <mergeCell ref="E58:E59"/>
    <mergeCell ref="F58:J58"/>
    <mergeCell ref="F59:J59"/>
    <mergeCell ref="J66:N66"/>
    <mergeCell ref="J43:N43"/>
    <mergeCell ref="J44:N44"/>
    <mergeCell ref="E47:E48"/>
    <mergeCell ref="F47:J47"/>
    <mergeCell ref="F48:J48"/>
    <mergeCell ref="J131:N131"/>
    <mergeCell ref="J132:N132"/>
    <mergeCell ref="E135:E136"/>
    <mergeCell ref="F135:J135"/>
    <mergeCell ref="F136:J136"/>
    <mergeCell ref="B1:E1"/>
    <mergeCell ref="G1:I1"/>
    <mergeCell ref="B2:D2"/>
    <mergeCell ref="F2:I2"/>
    <mergeCell ref="F34:J34"/>
    <mergeCell ref="F45:J45"/>
    <mergeCell ref="F56:J56"/>
    <mergeCell ref="F67:J67"/>
    <mergeCell ref="F78:J78"/>
    <mergeCell ref="B5:B15"/>
    <mergeCell ref="B16:B26"/>
    <mergeCell ref="D5:D15"/>
    <mergeCell ref="D16:D26"/>
    <mergeCell ref="C5:C15"/>
    <mergeCell ref="C16:C26"/>
    <mergeCell ref="J76:N76"/>
    <mergeCell ref="J65:N65"/>
    <mergeCell ref="E69:E70"/>
    <mergeCell ref="F69:J69"/>
    <mergeCell ref="F70:J70"/>
    <mergeCell ref="E25:E26"/>
    <mergeCell ref="F25:J25"/>
    <mergeCell ref="F26:J26"/>
    <mergeCell ref="F23:J23"/>
    <mergeCell ref="O2:Q2"/>
    <mergeCell ref="O3:Q3"/>
    <mergeCell ref="J21:N21"/>
    <mergeCell ref="J22:N22"/>
    <mergeCell ref="F12:J12"/>
    <mergeCell ref="E14:E15"/>
    <mergeCell ref="F14:J14"/>
    <mergeCell ref="F15:J15"/>
    <mergeCell ref="J11:N11"/>
    <mergeCell ref="A3:A4"/>
    <mergeCell ref="B3:B4"/>
    <mergeCell ref="C3:C4"/>
    <mergeCell ref="F3:H3"/>
    <mergeCell ref="K3:N3"/>
    <mergeCell ref="I3:I4"/>
    <mergeCell ref="J3:J4"/>
    <mergeCell ref="J10:N10"/>
    <mergeCell ref="D3:D4"/>
    <mergeCell ref="E3:E4"/>
    <mergeCell ref="A27:A37"/>
    <mergeCell ref="B27:B37"/>
    <mergeCell ref="A5:A15"/>
    <mergeCell ref="A16:A26"/>
    <mergeCell ref="D38:D48"/>
    <mergeCell ref="C38:C48"/>
    <mergeCell ref="D27:D37"/>
    <mergeCell ref="C27:C37"/>
    <mergeCell ref="D49:D59"/>
    <mergeCell ref="A38:A48"/>
    <mergeCell ref="B38:B48"/>
    <mergeCell ref="A49:A59"/>
    <mergeCell ref="B49:B59"/>
    <mergeCell ref="C49:C5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70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ColWidth="8.88671875" defaultRowHeight="14.4"/>
  <cols>
    <col min="1" max="1" width="8" style="82" bestFit="1" customWidth="1"/>
    <col min="2" max="2" width="15.109375" style="86" customWidth="1"/>
    <col min="3" max="3" width="13.109375" style="82" bestFit="1" customWidth="1"/>
    <col min="4" max="4" width="12.44140625" style="82" bestFit="1" customWidth="1"/>
    <col min="5" max="5" width="22" style="87" bestFit="1" customWidth="1"/>
    <col min="6" max="6" width="22.6640625" style="88" bestFit="1" customWidth="1"/>
    <col min="7" max="7" width="12.44140625" style="82" bestFit="1" customWidth="1"/>
    <col min="8" max="8" width="11.44140625" style="82" bestFit="1" customWidth="1"/>
    <col min="9" max="9" width="13" style="82" customWidth="1"/>
    <col min="10" max="10" width="10" style="89" bestFit="1" customWidth="1"/>
    <col min="11" max="11" width="11.109375" style="89" bestFit="1" customWidth="1"/>
    <col min="12" max="12" width="14.109375" style="85" customWidth="1"/>
    <col min="13" max="13" width="13" style="82" bestFit="1" customWidth="1"/>
    <col min="14" max="14" width="10.6640625" style="82" bestFit="1" customWidth="1"/>
    <col min="15" max="15" width="14.109375" style="82" customWidth="1"/>
    <col min="16" max="16" width="11.44140625" style="82" bestFit="1" customWidth="1"/>
    <col min="17" max="17" width="8.44140625" style="82" bestFit="1" customWidth="1"/>
    <col min="18" max="18" width="13.44140625" style="82" customWidth="1"/>
    <col min="19" max="19" width="11.77734375" style="82" customWidth="1"/>
    <col min="20" max="20" width="11.109375" style="82" customWidth="1"/>
    <col min="21" max="21" width="12.77734375" style="82" customWidth="1"/>
    <col min="22" max="22" width="16.44140625" style="82" bestFit="1" customWidth="1"/>
    <col min="23" max="23" width="17.44140625" style="82" bestFit="1" customWidth="1"/>
    <col min="24" max="24" width="11.109375" style="82" bestFit="1" customWidth="1"/>
    <col min="25" max="25" width="12.77734375" style="82" customWidth="1"/>
    <col min="26" max="26" width="15.109375" style="82" bestFit="1" customWidth="1"/>
    <col min="27" max="27" width="13" style="82" customWidth="1"/>
    <col min="28" max="28" width="13.109375" style="82" customWidth="1"/>
    <col min="29" max="31" width="0" style="82" hidden="1" customWidth="1"/>
    <col min="32" max="16384" width="8.88671875" style="82"/>
  </cols>
  <sheetData>
    <row r="1" spans="1:42" s="755" customFormat="1" ht="46.5" customHeight="1">
      <c r="A1" s="162" t="s">
        <v>41</v>
      </c>
      <c r="B1" s="163" t="s">
        <v>503</v>
      </c>
      <c r="C1" s="162" t="s">
        <v>504</v>
      </c>
      <c r="D1" s="162" t="s">
        <v>505</v>
      </c>
      <c r="E1" s="162" t="s">
        <v>506</v>
      </c>
      <c r="F1" s="162" t="s">
        <v>507</v>
      </c>
      <c r="G1" s="162" t="s">
        <v>508</v>
      </c>
      <c r="H1" s="162" t="s">
        <v>509</v>
      </c>
      <c r="I1" s="162" t="s">
        <v>510</v>
      </c>
      <c r="J1" s="164" t="s">
        <v>511</v>
      </c>
      <c r="K1" s="162" t="s">
        <v>512</v>
      </c>
      <c r="L1" s="165" t="s">
        <v>513</v>
      </c>
      <c r="M1" s="162" t="s">
        <v>178</v>
      </c>
      <c r="N1" s="162" t="s">
        <v>514</v>
      </c>
      <c r="O1" s="166" t="s">
        <v>515</v>
      </c>
      <c r="P1" s="166" t="s">
        <v>704</v>
      </c>
      <c r="R1" s="752" t="s">
        <v>516</v>
      </c>
      <c r="S1" s="767" t="s">
        <v>1061</v>
      </c>
      <c r="T1" s="753" t="s">
        <v>518</v>
      </c>
      <c r="U1" s="768" t="s">
        <v>1075</v>
      </c>
      <c r="V1" s="752" t="s">
        <v>520</v>
      </c>
      <c r="W1" s="753" t="s">
        <v>521</v>
      </c>
      <c r="X1" s="754" t="s">
        <v>522</v>
      </c>
      <c r="Y1" s="768" t="s">
        <v>1076</v>
      </c>
      <c r="Z1" s="753" t="s">
        <v>524</v>
      </c>
      <c r="AA1" s="768" t="s">
        <v>1077</v>
      </c>
      <c r="AB1" s="768" t="s">
        <v>1078</v>
      </c>
      <c r="AC1" s="763" t="s">
        <v>933</v>
      </c>
      <c r="AD1" s="763" t="s">
        <v>934</v>
      </c>
      <c r="AE1" s="763" t="s">
        <v>935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22">
        <v>2025</v>
      </c>
      <c r="B2" s="86">
        <f>'AnnualSalesSummary Revised'!$E$75</f>
        <v>267370</v>
      </c>
      <c r="C2" s="152">
        <f t="shared" ref="C2:C32" ca="1" si="0">IF(A2&lt;$S$2,0,IF(A2&lt;=$U$2,$T$2*EXP(-$W$2*EXP(-$X$2*(A2-$S$2))),IF(A2&lt;=2045,0.05+($Y$2-0.05)*(1-COS(PI()*(A2-$U$2)/(2045-$U$2)))/2,IF(A2&lt;=2050,$Y$2+($AB$2-$Y$2)*(A2-2045)/5,$AB$2+($AA$2-$AB$2)*(A2-2050)/5))))</f>
        <v>5.5728017354228227E-4</v>
      </c>
      <c r="D2" s="153">
        <f t="shared" ref="D2:D32" ca="1" si="1">C2*B2</f>
        <v>149</v>
      </c>
      <c r="E2" s="152">
        <f t="shared" ref="E2:E32" si="2">IF(A2&lt;$S$3,0,IF(A2&lt;=$U$3,$T$3*EXP(-$W$3*EXP(-$X$3*(A2-$S$3))),IF(A2&lt;=2045,0.05+($Y$3-0.05)*(1-COS(PI()*(A2-$U$3)/(2045-$U$3)))/2,IF(A2&lt;=2050,$Y$3+($AB$3-$Y$3)*(A2-2045)/5,$AB$3+($AA$3-$AB$3)*(A2-2050)/5))))</f>
        <v>0</v>
      </c>
      <c r="F2" s="153">
        <f t="shared" ref="F2:F32" si="3">E2*B2</f>
        <v>0</v>
      </c>
      <c r="G2" s="152">
        <f t="shared" ref="G2:G32" si="4">IF(A2&lt;$S$4,0,IF(A2&lt;=$U$4,$T$4*EXP(-$W$4*EXP(-$X$4*(A2-$S$4))),IF(A2&lt;=2045,0.05+($Y$4-0.05)*(1-COS(PI()*(A2-$U$4)/(2045-$U$4)))/2,IF(A2&lt;=2050,$Y$4+($AB$4-$Y$4)*(A2-2045)/5,$AB$4+($AA$4-$AB$4)*(A2-2050)/5))))</f>
        <v>0</v>
      </c>
      <c r="H2" s="153">
        <f>G2*B2</f>
        <v>0</v>
      </c>
      <c r="I2" s="153">
        <f>Table1[[#This Row],[LNG Share %]]*Table1[[#This Row],[Grand Total Sales]]</f>
        <v>368</v>
      </c>
      <c r="J2" s="154">
        <f t="shared" ref="J2:J32" si="5">IF(A2&lt;$S$7,0,IF(A2&lt;=2045,$X$7+($Y$7-$X$7)*(((A2-$S$7)/($U$7-$S$7))^($T$7-1)*EXP(($T$7-1)/$T$7*(1-((A2-$S$7)/($U$7-$S$7))^$T$7)))/(((2045-$S$7)/($U$7-$S$7))^($T$7-1)*EXP(($T$7-1)/$T$7*(1-((2045-$S$7)/($U$7-$S$7))^$T$7))),IF(A2&lt;=2050,$Y$7+($AB$7-$Y$7)*(A2-2045)/5,$AB$7*(1+COS(PI()*(A2-2050)/5))/2)))</f>
        <v>1.37636982458765E-3</v>
      </c>
      <c r="K2" s="151">
        <f>Table1[[#This Row],[CNG Share %]]*Table1[[#This Row],[Grand Total Sales]]</f>
        <v>11875</v>
      </c>
      <c r="L2" s="152">
        <f t="shared" ref="L2:L32" si="6">IF(A2&lt;$S$8,0,IF(A2&lt;=2045,$X$8+($Y$8-$X$8)*(((A2-$S$8)/($U$8-$S$8))^($T$8-1)*EXP(($T$8-1)/$T$8*(1-((A2-$S$8)/($U$8-$S$8))^$T$8)))/(((2045-$S$8)/($U$8-$S$8))^($T$8-1)*EXP(($T$8-1)/$T$8*(1-((2045-$S$8)/($U$8-$S$8))^$T$8))),IF(A2&lt;=2050,$Y$8+($AB$8-$Y$8)*(A2-2045)/5,$AB$8*(1+COS(PI()*(A2-2050)/5))/2)))</f>
        <v>4.4414107790702026E-2</v>
      </c>
      <c r="M2" s="155">
        <f ca="1">Table1[[#This Row],[Grand Total Sales]]-(Table1[[#This Row],[BET Units ]]+Table1[[#This Row],[H2 ICE Units]]+Table1[[#This Row],[H2 FCET Units]]+Table1[[#This Row],[LNG Units]]+Table1[[#This Row],[CNG Units]])</f>
        <v>254978</v>
      </c>
      <c r="N2" s="152">
        <f ca="1">Table1[[#This Row],[Diesel]]/Table1[[#This Row],[Grand Total Sales]]</f>
        <v>0.95365224221116807</v>
      </c>
      <c r="O2" s="156">
        <f t="shared" ref="O2:O32" ca="1" si="7">C2+E2+G2</f>
        <v>5.5728017354228227E-4</v>
      </c>
      <c r="P2" s="155">
        <f ca="1">Table1[[#This Row],[H2 FCET Units]]+Table1[[#This Row],[H2 ICE Units]]+Table1[[#This Row],[BET Units ]]</f>
        <v>149</v>
      </c>
      <c r="R2" s="83" t="s">
        <v>182</v>
      </c>
      <c r="S2" s="769">
        <f>'No change with year'!G65</f>
        <v>2025</v>
      </c>
      <c r="T2" s="781">
        <f ca="1">Z2</f>
        <v>1.0382215288691468</v>
      </c>
      <c r="U2" s="780">
        <f>Buckets!AE18</f>
        <v>2031</v>
      </c>
      <c r="V2" s="80">
        <v>5.5728017354228227E-4</v>
      </c>
      <c r="W2" s="83">
        <f ca="1">LN( MAX(T2, VALUE(V2)*1.01) / VALUE(V2) )</f>
        <v>7.5299516208593325</v>
      </c>
      <c r="X2" s="84">
        <f ca="1">-(1/(VALUE(U2)-VALUE(S2))) * LN( LN( MAX(T2, 0.0501)/0.03 ) / W2 )</f>
        <v>0.12560227618425523</v>
      </c>
      <c r="Y2" s="759">
        <f>'Estimation SS2045'!U174</f>
        <v>0.76063904990810127</v>
      </c>
      <c r="Z2" s="83">
        <f ca="1">AA2 / EXP(-W2 * EXP(-X2 * (2055 - S2)))</f>
        <v>1.0382215288691468</v>
      </c>
      <c r="AA2" s="760">
        <f>'Estimation 100% ZET 2055'!O161</f>
        <v>0.87248713217441975</v>
      </c>
      <c r="AB2" s="762">
        <f>Estimation2050!U174</f>
        <v>0.830697129466901</v>
      </c>
      <c r="AC2" s="764">
        <f ca="1">$T$2*EXP(-$W$2*EXP(-$X$2*(2045-$S$2)))</f>
        <v>0.56372639615429487</v>
      </c>
      <c r="AD2" s="764">
        <f ca="1">$T$2*EXP(-$W$2*EXP(-$X$2*(2050-$S$2)))</f>
        <v>0.74946950632592979</v>
      </c>
      <c r="AE2" s="764">
        <f ca="1">$T$2*EXP(-$W$2*EXP(-$X$2*(2055-$S$2)))</f>
        <v>0.87248713217441975</v>
      </c>
      <c r="AF2"/>
      <c r="AG2"/>
      <c r="AH2"/>
      <c r="AI2"/>
      <c r="AJ2"/>
      <c r="AK2"/>
      <c r="AL2"/>
      <c r="AM2"/>
      <c r="AN2"/>
      <c r="AO2"/>
      <c r="AP2"/>
    </row>
    <row r="3" spans="1:42">
      <c r="A3" s="122">
        <v>2026</v>
      </c>
      <c r="B3" s="86">
        <f>'AnnualSalesSummary Revised'!$F$75</f>
        <v>301119.97842446715</v>
      </c>
      <c r="C3" s="152">
        <f t="shared" ca="1" si="0"/>
        <v>1.3554133916627094E-3</v>
      </c>
      <c r="D3" s="153">
        <f t="shared" ca="1" si="1"/>
        <v>408.14205125370887</v>
      </c>
      <c r="E3" s="152">
        <f t="shared" si="2"/>
        <v>0</v>
      </c>
      <c r="F3" s="153">
        <f t="shared" si="3"/>
        <v>0</v>
      </c>
      <c r="G3" s="152">
        <f t="shared" si="4"/>
        <v>0</v>
      </c>
      <c r="H3" s="153">
        <f t="shared" ref="H3:H32" si="8">G3*B3</f>
        <v>0</v>
      </c>
      <c r="I3" s="153">
        <f>Table1[[#This Row],[LNG Share %]]*Table1[[#This Row],[Grand Total Sales]]</f>
        <v>414.46682101680636</v>
      </c>
      <c r="J3" s="154">
        <f t="shared" si="5"/>
        <v>1.376417543549908E-3</v>
      </c>
      <c r="K3" s="151">
        <f>Table1[[#This Row],[CNG Share %]]*Table1[[#This Row],[Grand Total Sales]]</f>
        <v>13373.994638025666</v>
      </c>
      <c r="L3" s="152">
        <f t="shared" si="6"/>
        <v>4.4414172410617368E-2</v>
      </c>
      <c r="M3" s="155">
        <f ca="1">Table1[[#This Row],[Grand Total Sales]]-(Table1[[#This Row],[BET Units ]]+Table1[[#This Row],[H2 ICE Units]]+Table1[[#This Row],[H2 FCET Units]]+Table1[[#This Row],[LNG Units]]+Table1[[#This Row],[CNG Units]])</f>
        <v>286923.37491417094</v>
      </c>
      <c r="N3" s="152">
        <f ca="1">Table1[[#This Row],[Diesel]]/Table1[[#This Row],[Grand Total Sales]]</f>
        <v>0.95285399665416992</v>
      </c>
      <c r="O3" s="156">
        <f t="shared" ca="1" si="7"/>
        <v>1.3554133916627094E-3</v>
      </c>
      <c r="P3" s="155">
        <f ca="1">Table1[[#This Row],[H2 FCET Units]]+Table1[[#This Row],[H2 ICE Units]]+Table1[[#This Row],[BET Units ]]</f>
        <v>408.14205125370887</v>
      </c>
      <c r="R3" s="83" t="s">
        <v>327</v>
      </c>
      <c r="S3" s="769">
        <f>'No change with year'!H65</f>
        <v>2028</v>
      </c>
      <c r="T3" s="781">
        <f>AA3</f>
        <v>6.594153636981645E-2</v>
      </c>
      <c r="U3" s="780">
        <f>Buckets!AF18</f>
        <v>2051</v>
      </c>
      <c r="V3" s="80">
        <v>1E-4</v>
      </c>
      <c r="W3" s="746">
        <f>LN(T3/V3)</f>
        <v>6.4913536298781276</v>
      </c>
      <c r="X3" s="747">
        <f>-(1/(VALUE(U3)-VALUE(S3)) ) * LN( LN( MAX(T3, 0.0501)/0.03 ) / W3 )</f>
        <v>9.1707505961943311E-2</v>
      </c>
      <c r="Y3" s="759">
        <f>'Estimation SS2045'!V174</f>
        <v>4.9342570337904706E-2</v>
      </c>
      <c r="Z3" s="83">
        <f>AA3 / EXP(-W3 * EXP(-X3 * (2055 - S3)))</f>
        <v>0.11380633437880265</v>
      </c>
      <c r="AA3" s="761">
        <f>'Estimation 100% ZET 2055'!P161</f>
        <v>6.594153636981645E-2</v>
      </c>
      <c r="AB3" s="762">
        <f>Estimation2050!V174</f>
        <v>3.1282952548330405E-2</v>
      </c>
      <c r="AC3" s="764">
        <f>$T$3*EXP(-$W$3*EXP(-$X$3*(2045-$S$3)))</f>
        <v>1.6833550117131873E-2</v>
      </c>
      <c r="AD3" s="764">
        <f>$T$3*EXP(-$W$3*EXP(-$X$3*(2050-$S$3)))</f>
        <v>2.7814452200337996E-2</v>
      </c>
      <c r="AE3" s="764">
        <f>$T$3*EXP(-$W$3*EXP(-$X$3*(2055-$S$3)))</f>
        <v>3.8207769739236321E-2</v>
      </c>
      <c r="AF3"/>
      <c r="AG3"/>
      <c r="AH3"/>
      <c r="AI3"/>
      <c r="AJ3"/>
      <c r="AK3"/>
      <c r="AL3"/>
      <c r="AM3"/>
      <c r="AN3"/>
      <c r="AO3"/>
      <c r="AP3"/>
    </row>
    <row r="4" spans="1:42">
      <c r="A4" s="122">
        <v>2027</v>
      </c>
      <c r="B4" s="462">
        <f>'AnnualSalesSummary Revised'!$G$75</f>
        <v>306590</v>
      </c>
      <c r="C4" s="152">
        <f t="shared" ca="1" si="0"/>
        <v>2.9683073770682285E-3</v>
      </c>
      <c r="D4" s="153">
        <f t="shared" ca="1" si="1"/>
        <v>910.05335873534818</v>
      </c>
      <c r="E4" s="152">
        <f t="shared" si="2"/>
        <v>0</v>
      </c>
      <c r="F4" s="153">
        <f t="shared" si="3"/>
        <v>0</v>
      </c>
      <c r="G4" s="152">
        <f t="shared" si="4"/>
        <v>0</v>
      </c>
      <c r="H4" s="153">
        <f t="shared" si="8"/>
        <v>0</v>
      </c>
      <c r="I4" s="153">
        <f>Table1[[#This Row],[LNG Share %]]*Table1[[#This Row],[Grand Total Sales]]</f>
        <v>422.21530521241357</v>
      </c>
      <c r="J4" s="154">
        <f t="shared" si="5"/>
        <v>1.3771333220666479E-3</v>
      </c>
      <c r="K4" s="151">
        <f>Table1[[#This Row],[CNG Share %]]*Table1[[#This Row],[Grand Total Sales]]</f>
        <v>13617.238294212208</v>
      </c>
      <c r="L4" s="152">
        <f t="shared" si="6"/>
        <v>4.4415141701334704E-2</v>
      </c>
      <c r="M4" s="155">
        <f ca="1">Table1[[#This Row],[Grand Total Sales]]-(Table1[[#This Row],[BET Units ]]+Table1[[#This Row],[H2 ICE Units]]+Table1[[#This Row],[H2 FCET Units]]+Table1[[#This Row],[LNG Units]]+Table1[[#This Row],[CNG Units]])</f>
        <v>291640.49304184003</v>
      </c>
      <c r="N4" s="152">
        <f ca="1">Table1[[#This Row],[Diesel]]/Table1[[#This Row],[Grand Total Sales]]</f>
        <v>0.95123941759953046</v>
      </c>
      <c r="O4" s="156">
        <f t="shared" ca="1" si="7"/>
        <v>2.9683073770682285E-3</v>
      </c>
      <c r="P4" s="155">
        <f ca="1">Table1[[#This Row],[H2 FCET Units]]+Table1[[#This Row],[H2 ICE Units]]+Table1[[#This Row],[BET Units ]]</f>
        <v>910.05335873534818</v>
      </c>
      <c r="R4" s="83" t="s">
        <v>526</v>
      </c>
      <c r="S4" s="769">
        <f>'No change with year'!I65</f>
        <v>2030</v>
      </c>
      <c r="T4" s="781">
        <f>AA4</f>
        <v>6.1571331455763816E-2</v>
      </c>
      <c r="U4" s="780">
        <f>Buckets!AG18</f>
        <v>2051</v>
      </c>
      <c r="V4" s="80">
        <v>1E-4</v>
      </c>
      <c r="W4" s="83">
        <f>LN(T4/V4)</f>
        <v>6.4227814567566579</v>
      </c>
      <c r="X4" s="84">
        <f>-(1/(VALUE(U4)-VALUE(S4)) ) * LN( LN( MAX(T4, 0.0501)/0.03 ) / W4 )</f>
        <v>0.10427364807478398</v>
      </c>
      <c r="Y4" s="759">
        <f>'Estimation SS2045'!W174</f>
        <v>4.0152693340873742E-2</v>
      </c>
      <c r="Z4" s="83">
        <f>AA4 / EXP(-W4 * EXP(-X4 * (2055 - S4)))</f>
        <v>9.8887902965456215E-2</v>
      </c>
      <c r="AA4" s="761">
        <f>'Estimation 100% ZET 2055'!Q161</f>
        <v>6.1571331455763816E-2</v>
      </c>
      <c r="AB4" s="762">
        <f>Estimation2050!W174</f>
        <v>1.4528412419449327E-2</v>
      </c>
      <c r="AC4" s="764">
        <f>$T$4*EXP(-$W$4*EXP(-$X$4*(2045-$S$4)))</f>
        <v>1.6055748022997834E-2</v>
      </c>
      <c r="AD4" s="764">
        <f>$T$4*EXP(-$W$4*EXP(-$X$4*(2050-$S$4)))</f>
        <v>2.7720616640294123E-2</v>
      </c>
      <c r="AE4" s="764">
        <f>$T$4*EXP(-$W$4*EXP(-$X$4*(2055-$S$4)))</f>
        <v>3.8336629087582362E-2</v>
      </c>
      <c r="AF4"/>
      <c r="AG4"/>
      <c r="AH4"/>
      <c r="AI4"/>
      <c r="AJ4"/>
      <c r="AK4"/>
      <c r="AL4"/>
      <c r="AM4"/>
      <c r="AN4"/>
      <c r="AO4"/>
      <c r="AP4"/>
    </row>
    <row r="5" spans="1:42">
      <c r="A5" s="122">
        <v>2028</v>
      </c>
      <c r="B5" s="86">
        <f>'AnnualSalesSummary Revised'!$H$75</f>
        <v>311550</v>
      </c>
      <c r="C5" s="152">
        <f t="shared" ca="1" si="0"/>
        <v>5.9260139136606445E-3</v>
      </c>
      <c r="D5" s="153">
        <f t="shared" ca="1" si="1"/>
        <v>1846.2496348009738</v>
      </c>
      <c r="E5" s="152">
        <f t="shared" si="2"/>
        <v>1.0000000000000003E-4</v>
      </c>
      <c r="F5" s="153">
        <f t="shared" si="3"/>
        <v>31.155000000000008</v>
      </c>
      <c r="G5" s="152">
        <f t="shared" si="4"/>
        <v>0</v>
      </c>
      <c r="H5" s="153">
        <f t="shared" si="8"/>
        <v>0</v>
      </c>
      <c r="I5" s="153">
        <f>Table1[[#This Row],[LNG Share %]]*Table1[[#This Row],[Grand Total Sales]]</f>
        <v>430.01216025553077</v>
      </c>
      <c r="J5" s="154">
        <f t="shared" si="5"/>
        <v>1.3802348266908385E-3</v>
      </c>
      <c r="K5" s="151">
        <f>Table1[[#This Row],[CNG Share %]]*Table1[[#This Row],[Grand Total Sales]]</f>
        <v>13838.845902642373</v>
      </c>
      <c r="L5" s="152">
        <f t="shared" si="6"/>
        <v>4.4419341687184637E-2</v>
      </c>
      <c r="M5" s="155">
        <f ca="1">Table1[[#This Row],[Grand Total Sales]]-(Table1[[#This Row],[BET Units ]]+Table1[[#This Row],[H2 ICE Units]]+Table1[[#This Row],[H2 FCET Units]]+Table1[[#This Row],[LNG Units]]+Table1[[#This Row],[CNG Units]])</f>
        <v>295403.7373023011</v>
      </c>
      <c r="N5" s="152">
        <f ca="1">Table1[[#This Row],[Diesel]]/Table1[[#This Row],[Grand Total Sales]]</f>
        <v>0.94817440957246379</v>
      </c>
      <c r="O5" s="156">
        <f t="shared" ca="1" si="7"/>
        <v>6.0260139136606447E-3</v>
      </c>
      <c r="P5" s="155">
        <f ca="1">Table1[[#This Row],[H2 FCET Units]]+Table1[[#This Row],[H2 ICE Units]]+Table1[[#This Row],[BET Units ]]</f>
        <v>1877.4046348009738</v>
      </c>
      <c r="Y5"/>
      <c r="Z5"/>
      <c r="AA5"/>
      <c r="AB5"/>
      <c r="AF5"/>
      <c r="AG5"/>
      <c r="AH5"/>
      <c r="AI5"/>
      <c r="AJ5"/>
      <c r="AK5"/>
      <c r="AL5"/>
      <c r="AM5"/>
      <c r="AN5"/>
      <c r="AO5"/>
      <c r="AP5"/>
    </row>
    <row r="6" spans="1:42" s="782" customFormat="1" ht="46.8">
      <c r="A6" s="122">
        <v>2029</v>
      </c>
      <c r="B6" s="795">
        <f>'AnnualSalesSummary Revised'!$I$75</f>
        <v>340650</v>
      </c>
      <c r="C6" s="152">
        <f t="shared" ca="1" si="0"/>
        <v>1.0903757202234165E-2</v>
      </c>
      <c r="D6" s="153">
        <f t="shared" ca="1" si="1"/>
        <v>3714.3648909410686</v>
      </c>
      <c r="E6" s="152">
        <f t="shared" si="2"/>
        <v>1.7661896842847784E-4</v>
      </c>
      <c r="F6" s="153">
        <f t="shared" si="3"/>
        <v>60.165251595160974</v>
      </c>
      <c r="G6" s="152">
        <f t="shared" si="4"/>
        <v>0</v>
      </c>
      <c r="H6" s="153">
        <f t="shared" si="8"/>
        <v>0</v>
      </c>
      <c r="I6" s="153">
        <f>Table1[[#This Row],[LNG Share %]]*Table1[[#This Row],[Grand Total Sales]]</f>
        <v>473.02071551434142</v>
      </c>
      <c r="J6" s="154">
        <f t="shared" si="5"/>
        <v>1.3885827550692541E-3</v>
      </c>
      <c r="K6" s="151">
        <f>Table1[[#This Row],[CNG Share %]]*Table1[[#This Row],[Grand Total Sales]]</f>
        <v>15135.2996480521</v>
      </c>
      <c r="L6" s="152">
        <f t="shared" si="6"/>
        <v>4.4430646258776164E-2</v>
      </c>
      <c r="M6" s="155">
        <f ca="1">Table1[[#This Row],[Grand Total Sales]]-(Table1[[#This Row],[BET Units ]]+Table1[[#This Row],[H2 ICE Units]]+Table1[[#This Row],[H2 FCET Units]]+Table1[[#This Row],[LNG Units]]+Table1[[#This Row],[CNG Units]])</f>
        <v>321267.14949389733</v>
      </c>
      <c r="N6" s="152">
        <f ca="1">Table1[[#This Row],[Diesel]]/Table1[[#This Row],[Grand Total Sales]]</f>
        <v>0.9431003948154919</v>
      </c>
      <c r="O6" s="152">
        <f t="shared" ca="1" si="7"/>
        <v>1.1080376170662643E-2</v>
      </c>
      <c r="P6" s="155">
        <f ca="1">Table1[[#This Row],[H2 FCET Units]]+Table1[[#This Row],[H2 ICE Units]]+Table1[[#This Row],[BET Units ]]</f>
        <v>3774.5301425362295</v>
      </c>
      <c r="R6" s="752" t="s">
        <v>516</v>
      </c>
      <c r="S6" s="767" t="s">
        <v>1061</v>
      </c>
      <c r="T6" s="752" t="s">
        <v>527</v>
      </c>
      <c r="U6" s="752" t="s">
        <v>528</v>
      </c>
      <c r="V6" s="768" t="s">
        <v>1076</v>
      </c>
      <c r="W6" s="752" t="s">
        <v>530</v>
      </c>
      <c r="X6" s="752" t="s">
        <v>531</v>
      </c>
      <c r="Y6" s="765" t="s">
        <v>1053</v>
      </c>
      <c r="Z6" s="768" t="s">
        <v>1078</v>
      </c>
      <c r="AA6" s="753" t="s">
        <v>1054</v>
      </c>
      <c r="AB6" s="765" t="s">
        <v>932</v>
      </c>
      <c r="AC6" s="763" t="s">
        <v>933</v>
      </c>
      <c r="AD6" s="763" t="s">
        <v>934</v>
      </c>
      <c r="AE6" s="763" t="s">
        <v>935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122">
        <v>2030</v>
      </c>
      <c r="B7" s="86">
        <f>'AnnualSalesSummary Revised'!$J$75</f>
        <v>349950</v>
      </c>
      <c r="C7" s="152">
        <f t="shared" ca="1" si="0"/>
        <v>1.8669494666594316E-2</v>
      </c>
      <c r="D7" s="153">
        <f t="shared" ca="1" si="1"/>
        <v>6533.3896585746807</v>
      </c>
      <c r="E7" s="152">
        <f t="shared" si="2"/>
        <v>2.9677498582906072E-4</v>
      </c>
      <c r="F7" s="153">
        <f t="shared" si="3"/>
        <v>103.8564062908798</v>
      </c>
      <c r="G7" s="152">
        <f t="shared" si="4"/>
        <v>1E-4</v>
      </c>
      <c r="H7" s="153">
        <f t="shared" si="8"/>
        <v>34.995000000000005</v>
      </c>
      <c r="I7" s="153">
        <f>Table1[[#This Row],[LNG Share %]]*Table1[[#This Row],[Grand Total Sales]]</f>
        <v>492.08950375123715</v>
      </c>
      <c r="J7" s="154">
        <f t="shared" si="5"/>
        <v>1.4061708922738596E-3</v>
      </c>
      <c r="K7" s="151">
        <f>Table1[[#This Row],[CNG Share %]]*Table1[[#This Row],[Grand Total Sales]]</f>
        <v>15556.839574443309</v>
      </c>
      <c r="L7" s="152">
        <f t="shared" si="6"/>
        <v>4.4454463707510529E-2</v>
      </c>
      <c r="M7" s="155">
        <f ca="1">Table1[[#This Row],[Grand Total Sales]]-(Table1[[#This Row],[BET Units ]]+Table1[[#This Row],[H2 ICE Units]]+Table1[[#This Row],[H2 FCET Units]]+Table1[[#This Row],[LNG Units]]+Table1[[#This Row],[CNG Units]])</f>
        <v>327228.8298569399</v>
      </c>
      <c r="N7" s="152">
        <f ca="1">Table1[[#This Row],[Diesel]]/Table1[[#This Row],[Grand Total Sales]]</f>
        <v>0.93507309574779229</v>
      </c>
      <c r="O7" s="156">
        <f t="shared" ca="1" si="7"/>
        <v>1.9066269652423376E-2</v>
      </c>
      <c r="P7" s="155">
        <f ca="1">Table1[[#This Row],[H2 FCET Units]]+Table1[[#This Row],[H2 ICE Units]]+Table1[[#This Row],[BET Units ]]</f>
        <v>6672.2410648655605</v>
      </c>
      <c r="R7" s="83" t="s">
        <v>180</v>
      </c>
      <c r="S7" s="769">
        <f>'No change with year'!F65</f>
        <v>2025</v>
      </c>
      <c r="T7" s="167">
        <v>5</v>
      </c>
      <c r="U7" s="167">
        <v>2045</v>
      </c>
      <c r="V7" s="771">
        <f>'Estimation SS2045'!T174</f>
        <v>4.8070125830623495E-3</v>
      </c>
      <c r="W7" s="167">
        <v>368</v>
      </c>
      <c r="X7" s="168">
        <f>W7 / VLOOKUP(2025, A:B, 2, FALSE)</f>
        <v>1.37636982458765E-3</v>
      </c>
      <c r="Y7" s="766">
        <f>V7</f>
        <v>4.8070125830623495E-3</v>
      </c>
      <c r="Z7" s="773">
        <f>Estimation2050!$T$174</f>
        <v>3.983596953719977E-3</v>
      </c>
      <c r="AA7" s="770">
        <v>0</v>
      </c>
      <c r="AB7" s="766">
        <f>Z7</f>
        <v>3.983596953719977E-3</v>
      </c>
      <c r="AC7" s="764">
        <f>($V$7/(((2045-$S$7)/($U$7-$S$7))^($T$7-1)*EXP(($T$7-1)/$T$7*(1-((2045-$S$7)/($U$7-$S$7))^$T$7))))*(((2045-$S$7)/($U$7-$S$7))^($T$7-1)*EXP(($T$7-1)/$T$7*(1-((2045-$S$7)/($U$7-$S$7))^$T$7)))</f>
        <v>4.8070125830623495E-3</v>
      </c>
      <c r="AD7" s="764">
        <f>($V$7/(((2045-$S$7)/($U$7-$S$7))^($T$7-1)*EXP(($T$7-1)/$T$7*(1-((2045-$S$7)/($U$7-$S$7))^$T$7))))*(((2050-$S$7)/($U$7-$S$7))^($T$7-1)*EXP(($T$7-1)/$T$7*(1-((2050-$S$7)/($U$7-$S$7))^$T$7)))</f>
        <v>2.2733255554364604E-3</v>
      </c>
      <c r="AE7" s="764">
        <f>($V$7/(((2045-$S$7)/($U$7-$S$7))^($T$7-1)*EXP(($T$7-1)/$T$7*(1-((2045-$S$7)/($U$7-$S$7))^$T$7))))*(((2055-$S$7)/($U$7-$S$7))^($T$7-1)*EXP(($T$7-1)/$T$7*(1-((2055-$S$7)/($U$7-$S$7))^$T$7)))</f>
        <v>1.2454804162468968E-4</v>
      </c>
      <c r="AF7"/>
      <c r="AG7"/>
      <c r="AH7"/>
      <c r="AI7"/>
      <c r="AJ7"/>
      <c r="AK7"/>
      <c r="AL7"/>
      <c r="AM7"/>
      <c r="AN7"/>
      <c r="AO7"/>
      <c r="AP7"/>
    </row>
    <row r="8" spans="1:42">
      <c r="A8" s="122">
        <v>2031</v>
      </c>
      <c r="B8" s="86">
        <f>'AnnualSalesSummary Revised'!$K$75</f>
        <v>357130</v>
      </c>
      <c r="C8" s="152">
        <f t="shared" ca="1" si="0"/>
        <v>3.0000000000000002E-2</v>
      </c>
      <c r="D8" s="153">
        <f t="shared" ca="1" si="1"/>
        <v>10713.900000000001</v>
      </c>
      <c r="E8" s="152">
        <f t="shared" si="2"/>
        <v>4.7650423585832955E-4</v>
      </c>
      <c r="F8" s="153">
        <f t="shared" si="3"/>
        <v>170.17395775208524</v>
      </c>
      <c r="G8" s="152">
        <f t="shared" si="4"/>
        <v>1.8888951635164685E-4</v>
      </c>
      <c r="H8" s="153">
        <f t="shared" si="8"/>
        <v>67.458112974663635</v>
      </c>
      <c r="I8" s="153">
        <f>Table1[[#This Row],[LNG Share %]]*Table1[[#This Row],[Grand Total Sales]]</f>
        <v>513.58633436503203</v>
      </c>
      <c r="J8" s="154">
        <f t="shared" si="5"/>
        <v>1.4380935075883627E-3</v>
      </c>
      <c r="K8" s="151">
        <f>Table1[[#This Row],[CNG Share %]]*Table1[[#This Row],[Grand Total Sales]]</f>
        <v>15891.460949332401</v>
      </c>
      <c r="L8" s="152">
        <f t="shared" si="6"/>
        <v>4.4497692575063426E-2</v>
      </c>
      <c r="M8" s="155">
        <f ca="1">Table1[[#This Row],[Grand Total Sales]]-(Table1[[#This Row],[BET Units ]]+Table1[[#This Row],[H2 ICE Units]]+Table1[[#This Row],[H2 FCET Units]]+Table1[[#This Row],[LNG Units]]+Table1[[#This Row],[CNG Units]])</f>
        <v>329773.4206455758</v>
      </c>
      <c r="N8" s="152">
        <f ca="1">Table1[[#This Row],[Diesel]]/Table1[[#This Row],[Grand Total Sales]]</f>
        <v>0.92339882016513819</v>
      </c>
      <c r="O8" s="156">
        <f t="shared" ca="1" si="7"/>
        <v>3.0665393752209977E-2</v>
      </c>
      <c r="P8" s="155">
        <f ca="1">Table1[[#This Row],[H2 FCET Units]]+Table1[[#This Row],[H2 ICE Units]]+Table1[[#This Row],[BET Units ]]</f>
        <v>10951.532070726751</v>
      </c>
      <c r="R8" s="83" t="s">
        <v>179</v>
      </c>
      <c r="S8" s="769">
        <f>'No change with year'!E65</f>
        <v>2025</v>
      </c>
      <c r="T8" s="167">
        <v>5</v>
      </c>
      <c r="U8" s="167">
        <v>2045</v>
      </c>
      <c r="V8" s="772">
        <f>'Estimation SS2045'!S174</f>
        <v>4.9059804891842217E-2</v>
      </c>
      <c r="W8" s="167">
        <v>11875</v>
      </c>
      <c r="X8" s="168">
        <f>W8 / VLOOKUP(2025, A:B, 2, FALSE)</f>
        <v>4.4414107790702026E-2</v>
      </c>
      <c r="Y8" s="766">
        <f>V8</f>
        <v>4.9059804891842217E-2</v>
      </c>
      <c r="Z8" s="773">
        <f>Estimation2050!$S$174</f>
        <v>3.4446397188049212E-2</v>
      </c>
      <c r="AA8" s="770">
        <v>0</v>
      </c>
      <c r="AB8" s="766">
        <f>Z8</f>
        <v>3.4446397188049212E-2</v>
      </c>
      <c r="AC8" s="764">
        <f>($V$8/(((2045-$S$8)/($U$8-$S$8))^($T$8-1)*EXP(($T$8-1)/$T$8*(1-((2045-$S$8)/($U$8-$S$8))^$T$8))))*(((2045-$S$8)/($U$8-$S$8))^($T$8-1)*EXP(($T$8-1)/$T$8*(1-((2045-$S$8)/($U$8-$S$8))^$T$8)))</f>
        <v>4.9059804891842217E-2</v>
      </c>
      <c r="AD8" s="764">
        <f>($V$8/(((2045-$S$8)/($U$8-$S$8))^($T$8-1)*EXP(($T$8-1)/$T$8*(1-((2045-$S$8)/($U$8-$S$8))^$T$8))))*(((2050-$S$8)/($U$8-$S$8))^($T$8-1)*EXP(($T$8-1)/$T$8*(1-((2050-$S$8)/($U$8-$S$8))^$T$8)))</f>
        <v>2.3201293168719168E-2</v>
      </c>
      <c r="AE8" s="764">
        <f>($V$8/(((2045-$S$8)/($U$8-$S$8))^($T$8-1)*EXP(($T$8-1)/$T$8*(1-((2045-$S$8)/($U$8-$S$8))^$T$8))))*(((2055-$S$8)/($U$8-$S$8))^($T$8-1)*EXP(($T$8-1)/$T$8*(1-((2055-$S$8)/($U$8-$S$8))^$T$8)))</f>
        <v>1.2711226601108034E-3</v>
      </c>
      <c r="AF8"/>
      <c r="AG8"/>
      <c r="AH8"/>
      <c r="AI8"/>
      <c r="AJ8"/>
      <c r="AK8"/>
      <c r="AL8"/>
      <c r="AM8"/>
      <c r="AN8"/>
      <c r="AO8"/>
      <c r="AP8"/>
    </row>
    <row r="9" spans="1:42">
      <c r="A9" s="122">
        <v>2032</v>
      </c>
      <c r="B9" s="86">
        <f>'AnnualSalesSummary Revised'!$L$75</f>
        <v>393810</v>
      </c>
      <c r="C9" s="152">
        <f t="shared" si="0"/>
        <v>5.890860233316067E-2</v>
      </c>
      <c r="D9" s="153">
        <f t="shared" si="1"/>
        <v>23198.796684822002</v>
      </c>
      <c r="E9" s="152">
        <f t="shared" si="2"/>
        <v>7.3398377074094926E-4</v>
      </c>
      <c r="F9" s="153">
        <f t="shared" si="3"/>
        <v>289.05014875549324</v>
      </c>
      <c r="G9" s="152">
        <f t="shared" si="4"/>
        <v>3.3501577080588188E-4</v>
      </c>
      <c r="H9" s="153">
        <f t="shared" si="8"/>
        <v>131.93256070106435</v>
      </c>
      <c r="I9" s="153">
        <f>Table1[[#This Row],[LNG Share %]]*Table1[[#This Row],[Grand Total Sales]]</f>
        <v>586.95910934693575</v>
      </c>
      <c r="J9" s="154">
        <f t="shared" si="5"/>
        <v>1.4904626833928437E-3</v>
      </c>
      <c r="K9" s="151">
        <f>Table1[[#This Row],[CNG Share %]]*Table1[[#This Row],[Grand Total Sales]]</f>
        <v>17551.564186772997</v>
      </c>
      <c r="L9" s="152">
        <f t="shared" si="6"/>
        <v>4.4568609702072055E-2</v>
      </c>
      <c r="M9" s="155">
        <f>Table1[[#This Row],[Grand Total Sales]]-(Table1[[#This Row],[BET Units ]]+Table1[[#This Row],[H2 ICE Units]]+Table1[[#This Row],[H2 FCET Units]]+Table1[[#This Row],[LNG Units]]+Table1[[#This Row],[CNG Units]])</f>
        <v>352051.69730960153</v>
      </c>
      <c r="N9" s="152">
        <f>Table1[[#This Row],[Diesel]]/Table1[[#This Row],[Grand Total Sales]]</f>
        <v>0.89396332573982762</v>
      </c>
      <c r="O9" s="156">
        <f t="shared" si="7"/>
        <v>5.9977601874707499E-2</v>
      </c>
      <c r="P9" s="155">
        <f>Table1[[#This Row],[H2 FCET Units]]+Table1[[#This Row],[H2 ICE Units]]+Table1[[#This Row],[BET Units ]]</f>
        <v>23619.779394278561</v>
      </c>
    </row>
    <row r="10" spans="1:42">
      <c r="A10" s="122">
        <v>2033</v>
      </c>
      <c r="B10" s="86">
        <f>'AnnualSalesSummary Revised'!$M$75</f>
        <v>419910</v>
      </c>
      <c r="C10" s="152">
        <f t="shared" si="0"/>
        <v>8.5187694812574266E-2</v>
      </c>
      <c r="D10" s="153">
        <f t="shared" si="1"/>
        <v>35771.164928748061</v>
      </c>
      <c r="E10" s="152">
        <f t="shared" si="2"/>
        <v>1.0885926698824978E-3</v>
      </c>
      <c r="F10" s="153">
        <f t="shared" si="3"/>
        <v>457.11094801035966</v>
      </c>
      <c r="G10" s="152">
        <f t="shared" si="4"/>
        <v>5.6141042024854097E-4</v>
      </c>
      <c r="H10" s="153">
        <f t="shared" si="8"/>
        <v>235.74184956656484</v>
      </c>
      <c r="I10" s="153">
        <f>Table1[[#This Row],[LNG Share %]]*Table1[[#This Row],[Grand Total Sales]]</f>
        <v>659.35616126186483</v>
      </c>
      <c r="J10" s="154">
        <f t="shared" si="5"/>
        <v>1.570232100359279E-3</v>
      </c>
      <c r="K10" s="151">
        <f>Table1[[#This Row],[CNG Share %]]*Table1[[#This Row],[Grand Total Sales]]</f>
        <v>18760.164376046756</v>
      </c>
      <c r="L10" s="152">
        <f t="shared" si="6"/>
        <v>4.4676631602121299E-2</v>
      </c>
      <c r="M10" s="155">
        <f>Table1[[#This Row],[Grand Total Sales]]-(Table1[[#This Row],[BET Units ]]+Table1[[#This Row],[H2 ICE Units]]+Table1[[#This Row],[H2 FCET Units]]+Table1[[#This Row],[LNG Units]]+Table1[[#This Row],[CNG Units]])</f>
        <v>364026.46173636639</v>
      </c>
      <c r="N10" s="152">
        <f>Table1[[#This Row],[Diesel]]/Table1[[#This Row],[Grand Total Sales]]</f>
        <v>0.86691543839481411</v>
      </c>
      <c r="O10" s="156">
        <f t="shared" si="7"/>
        <v>8.6837697902705305E-2</v>
      </c>
      <c r="P10" s="155">
        <f>Table1[[#This Row],[H2 FCET Units]]+Table1[[#This Row],[H2 ICE Units]]+Table1[[#This Row],[BET Units ]]</f>
        <v>36464.017726324986</v>
      </c>
    </row>
    <row r="11" spans="1:42">
      <c r="A11" s="122">
        <v>2034</v>
      </c>
      <c r="B11" s="86">
        <f>'AnnualSalesSummary Revised'!$N$75</f>
        <v>435110</v>
      </c>
      <c r="C11" s="152">
        <f t="shared" si="0"/>
        <v>0.12751953400938912</v>
      </c>
      <c r="D11" s="153">
        <f t="shared" si="1"/>
        <v>55485.024442825299</v>
      </c>
      <c r="E11" s="152">
        <f t="shared" si="2"/>
        <v>1.5597115229007306E-3</v>
      </c>
      <c r="F11" s="153">
        <f t="shared" si="3"/>
        <v>678.64608072933686</v>
      </c>
      <c r="G11" s="152">
        <f t="shared" si="4"/>
        <v>8.9390961196707968E-4</v>
      </c>
      <c r="H11" s="153">
        <f t="shared" si="8"/>
        <v>388.94901126299607</v>
      </c>
      <c r="I11" s="153">
        <f>Table1[[#This Row],[LNG Share %]]*Table1[[#This Row],[Grand Total Sales]]</f>
        <v>733.10210364627039</v>
      </c>
      <c r="J11" s="154">
        <f t="shared" si="5"/>
        <v>1.6848661341873788E-3</v>
      </c>
      <c r="K11" s="151">
        <f>Table1[[#This Row],[CNG Share %]]*Table1[[#This Row],[Grand Total Sales]]</f>
        <v>19506.793371984204</v>
      </c>
      <c r="L11" s="152">
        <f t="shared" si="6"/>
        <v>4.4831866360194442E-2</v>
      </c>
      <c r="M11" s="155">
        <f>Table1[[#This Row],[Grand Total Sales]]-(Table1[[#This Row],[BET Units ]]+Table1[[#This Row],[H2 ICE Units]]+Table1[[#This Row],[H2 FCET Units]]+Table1[[#This Row],[LNG Units]]+Table1[[#This Row],[CNG Units]])</f>
        <v>358317.48498955189</v>
      </c>
      <c r="N11" s="152">
        <f>Table1[[#This Row],[Diesel]]/Table1[[#This Row],[Grand Total Sales]]</f>
        <v>0.82351011236136118</v>
      </c>
      <c r="O11" s="156">
        <f t="shared" si="7"/>
        <v>0.12997315514425695</v>
      </c>
      <c r="P11" s="155">
        <f>Table1[[#This Row],[H2 FCET Units]]+Table1[[#This Row],[H2 ICE Units]]+Table1[[#This Row],[BET Units ]]</f>
        <v>56552.619534817633</v>
      </c>
      <c r="R11" s="983"/>
    </row>
    <row r="12" spans="1:42">
      <c r="A12" s="95">
        <v>2035</v>
      </c>
      <c r="B12" s="459">
        <f>'AnnualSalesSummary Revised'!$O$75</f>
        <v>459480</v>
      </c>
      <c r="C12" s="152">
        <f t="shared" si="0"/>
        <v>0.18378142474391024</v>
      </c>
      <c r="D12" s="159">
        <f t="shared" si="1"/>
        <v>84443.889041331873</v>
      </c>
      <c r="E12" s="152">
        <f t="shared" si="2"/>
        <v>2.1653968922523549E-3</v>
      </c>
      <c r="F12" s="159">
        <f t="shared" si="3"/>
        <v>994.95656405211207</v>
      </c>
      <c r="G12" s="152">
        <f t="shared" si="4"/>
        <v>1.3592619007633823E-3</v>
      </c>
      <c r="H12" s="153">
        <f t="shared" si="8"/>
        <v>624.55365816275889</v>
      </c>
      <c r="I12" s="159">
        <f>Table1[[#This Row],[LNG Share %]]*Table1[[#This Row],[Grand Total Sales]]</f>
        <v>846.26002207956196</v>
      </c>
      <c r="J12" s="154">
        <f t="shared" si="5"/>
        <v>1.8417777097579045E-3</v>
      </c>
      <c r="K12" s="157">
        <f>Table1[[#This Row],[CNG Share %]]*Table1[[#This Row],[Grand Total Sales]]</f>
        <v>20696.979035130444</v>
      </c>
      <c r="L12" s="152">
        <f t="shared" si="6"/>
        <v>4.5044352387765392E-2</v>
      </c>
      <c r="M12" s="160">
        <f>Table1[[#This Row],[Grand Total Sales]]-(Table1[[#This Row],[BET Units ]]+Table1[[#This Row],[H2 ICE Units]]+Table1[[#This Row],[H2 FCET Units]]+Table1[[#This Row],[LNG Units]]+Table1[[#This Row],[CNG Units]])</f>
        <v>351873.36167924327</v>
      </c>
      <c r="N12" s="158">
        <f>Table1[[#This Row],[Diesel]]/Table1[[#This Row],[Grand Total Sales]]</f>
        <v>0.7658077863655508</v>
      </c>
      <c r="O12" s="161">
        <f t="shared" si="7"/>
        <v>0.18730608353692596</v>
      </c>
      <c r="P12" s="160">
        <f>Table1[[#This Row],[H2 FCET Units]]+Table1[[#This Row],[H2 ICE Units]]+Table1[[#This Row],[BET Units ]]</f>
        <v>86063.399263546744</v>
      </c>
    </row>
    <row r="13" spans="1:42">
      <c r="A13" s="122">
        <v>2036</v>
      </c>
      <c r="B13" s="86">
        <f>'AnnualSalesSummary Revised'!$P$75</f>
        <v>480610</v>
      </c>
      <c r="C13" s="152">
        <f t="shared" si="0"/>
        <v>0.25115216088551262</v>
      </c>
      <c r="D13" s="153">
        <f t="shared" si="1"/>
        <v>120706.24004318622</v>
      </c>
      <c r="E13" s="152">
        <f t="shared" si="2"/>
        <v>2.9210859597661142E-3</v>
      </c>
      <c r="F13" s="153">
        <f t="shared" si="3"/>
        <v>1403.903123123192</v>
      </c>
      <c r="G13" s="152">
        <f t="shared" si="4"/>
        <v>1.9828500031468213E-3</v>
      </c>
      <c r="H13" s="153">
        <f t="shared" si="8"/>
        <v>952.97754001239377</v>
      </c>
      <c r="I13" s="153">
        <f>Table1[[#This Row],[LNG Share %]]*Table1[[#This Row],[Grand Total Sales]]</f>
        <v>984.02608832528972</v>
      </c>
      <c r="J13" s="154">
        <f t="shared" si="5"/>
        <v>2.0474523799448403E-3</v>
      </c>
      <c r="K13" s="151">
        <f>Table1[[#This Row],[CNG Share %]]*Table1[[#This Row],[Grand Total Sales]]</f>
        <v>21782.625641962928</v>
      </c>
      <c r="L13" s="152">
        <f t="shared" si="6"/>
        <v>4.5322872270578907E-2</v>
      </c>
      <c r="M13" s="155">
        <f>Table1[[#This Row],[Grand Total Sales]]-(Table1[[#This Row],[BET Units ]]+Table1[[#This Row],[H2 ICE Units]]+Table1[[#This Row],[H2 FCET Units]]+Table1[[#This Row],[LNG Units]]+Table1[[#This Row],[CNG Units]])</f>
        <v>334780.22756338998</v>
      </c>
      <c r="N13" s="152">
        <f>Table1[[#This Row],[Diesel]]/Table1[[#This Row],[Grand Total Sales]]</f>
        <v>0.69657357850105073</v>
      </c>
      <c r="O13" s="156">
        <f t="shared" si="7"/>
        <v>0.25605609684842551</v>
      </c>
      <c r="P13" s="155">
        <f>Table1[[#This Row],[H2 FCET Units]]+Table1[[#This Row],[H2 ICE Units]]+Table1[[#This Row],[BET Units ]]</f>
        <v>123063.1207063218</v>
      </c>
    </row>
    <row r="14" spans="1:42">
      <c r="A14" s="122">
        <v>2037</v>
      </c>
      <c r="B14" s="86">
        <f>'AnnualSalesSummary Revised'!$Q$75</f>
        <v>500010</v>
      </c>
      <c r="C14" s="152">
        <f t="shared" si="0"/>
        <v>0.32625349240836127</v>
      </c>
      <c r="D14" s="153">
        <f t="shared" si="1"/>
        <v>163130.00873910473</v>
      </c>
      <c r="E14" s="152">
        <f t="shared" si="2"/>
        <v>3.8384768322619494E-3</v>
      </c>
      <c r="F14" s="153">
        <f t="shared" si="3"/>
        <v>1919.2768008992973</v>
      </c>
      <c r="G14" s="152">
        <f t="shared" si="4"/>
        <v>2.7863675559910623E-3</v>
      </c>
      <c r="H14" s="153">
        <f t="shared" si="8"/>
        <v>1393.211641671091</v>
      </c>
      <c r="I14" s="153">
        <f>Table1[[#This Row],[LNG Share %]]*Table1[[#This Row],[Grand Total Sales]]</f>
        <v>1153.1186258485841</v>
      </c>
      <c r="J14" s="154">
        <f t="shared" si="5"/>
        <v>2.3061911278746106E-3</v>
      </c>
      <c r="K14" s="151">
        <f>Table1[[#This Row],[CNG Share %]]*Table1[[#This Row],[Grand Total Sales]]</f>
        <v>22837.081882772323</v>
      </c>
      <c r="L14" s="152">
        <f t="shared" si="6"/>
        <v>4.5673250300538634E-2</v>
      </c>
      <c r="M14" s="155">
        <f>Table1[[#This Row],[Grand Total Sales]]-(Table1[[#This Row],[BET Units ]]+Table1[[#This Row],[H2 ICE Units]]+Table1[[#This Row],[H2 FCET Units]]+Table1[[#This Row],[LNG Units]]+Table1[[#This Row],[CNG Units]])</f>
        <v>309577.30230970401</v>
      </c>
      <c r="N14" s="152">
        <f>Table1[[#This Row],[Diesel]]/Table1[[#This Row],[Grand Total Sales]]</f>
        <v>0.61914222177497258</v>
      </c>
      <c r="O14" s="156">
        <f t="shared" si="7"/>
        <v>0.33287833679661427</v>
      </c>
      <c r="P14" s="155">
        <f>Table1[[#This Row],[H2 FCET Units]]+Table1[[#This Row],[H2 ICE Units]]+Table1[[#This Row],[BET Units ]]</f>
        <v>166442.49718167511</v>
      </c>
    </row>
    <row r="15" spans="1:42">
      <c r="A15" s="122">
        <v>2038</v>
      </c>
      <c r="B15" s="86">
        <f>'AnnualSalesSummary Revised'!$R$75</f>
        <v>520490</v>
      </c>
      <c r="C15" s="152">
        <f t="shared" si="0"/>
        <v>0.40531952495405055</v>
      </c>
      <c r="D15" s="153">
        <f t="shared" si="1"/>
        <v>210964.75954333376</v>
      </c>
      <c r="E15" s="152">
        <f t="shared" si="2"/>
        <v>4.9246973747600993E-3</v>
      </c>
      <c r="F15" s="153">
        <f t="shared" si="3"/>
        <v>2563.2557365888842</v>
      </c>
      <c r="G15" s="152">
        <f t="shared" si="4"/>
        <v>3.7857915370495925E-3</v>
      </c>
      <c r="H15" s="153">
        <f t="shared" si="8"/>
        <v>1970.4666371189423</v>
      </c>
      <c r="I15" s="153">
        <f>Table1[[#This Row],[LNG Share %]]*Table1[[#This Row],[Grand Total Sales]]</f>
        <v>1362.8803941730075</v>
      </c>
      <c r="J15" s="154">
        <f t="shared" si="5"/>
        <v>2.6184564432995975E-3</v>
      </c>
      <c r="K15" s="151">
        <f>Table1[[#This Row],[CNG Share %]]*Table1[[#This Row],[Grand Total Sales]]</f>
        <v>23992.565735955901</v>
      </c>
      <c r="L15" s="152">
        <f t="shared" si="6"/>
        <v>4.609611277057369E-2</v>
      </c>
      <c r="M15" s="155">
        <f>Table1[[#This Row],[Grand Total Sales]]-(Table1[[#This Row],[BET Units ]]+Table1[[#This Row],[H2 ICE Units]]+Table1[[#This Row],[H2 FCET Units]]+Table1[[#This Row],[LNG Units]]+Table1[[#This Row],[CNG Units]])</f>
        <v>279636.07195282949</v>
      </c>
      <c r="N15" s="152">
        <f>Table1[[#This Row],[Diesel]]/Table1[[#This Row],[Grand Total Sales]]</f>
        <v>0.53725541692026646</v>
      </c>
      <c r="O15" s="156">
        <f t="shared" si="7"/>
        <v>0.41403001386586025</v>
      </c>
      <c r="P15" s="155">
        <f>Table1[[#This Row],[H2 FCET Units]]+Table1[[#This Row],[H2 ICE Units]]+Table1[[#This Row],[BET Units ]]</f>
        <v>215498.48191704159</v>
      </c>
    </row>
    <row r="16" spans="1:42">
      <c r="A16" s="122">
        <v>2039</v>
      </c>
      <c r="B16" s="462">
        <f>'AnnualSalesSummary Revised'!$S$75</f>
        <v>544970</v>
      </c>
      <c r="C16" s="152">
        <f t="shared" si="0"/>
        <v>0.48438555749973988</v>
      </c>
      <c r="D16" s="153">
        <f t="shared" si="1"/>
        <v>263975.59727063327</v>
      </c>
      <c r="E16" s="152">
        <f t="shared" si="2"/>
        <v>6.1818293573337943E-3</v>
      </c>
      <c r="F16" s="153">
        <f t="shared" si="3"/>
        <v>3368.9115448661978</v>
      </c>
      <c r="G16" s="152">
        <f t="shared" si="4"/>
        <v>4.9899183908842471E-3</v>
      </c>
      <c r="H16" s="153">
        <f t="shared" si="8"/>
        <v>2719.3558254801883</v>
      </c>
      <c r="I16" s="153">
        <f>Table1[[#This Row],[LNG Share %]]*Table1[[#This Row],[Grand Total Sales]]</f>
        <v>1623.418225490632</v>
      </c>
      <c r="J16" s="154">
        <f t="shared" si="5"/>
        <v>2.9789130144606715E-3</v>
      </c>
      <c r="K16" s="151">
        <f>Table1[[#This Row],[CNG Share %]]*Table1[[#This Row],[Grand Total Sales]]</f>
        <v>25387.010398007762</v>
      </c>
      <c r="L16" s="152">
        <f t="shared" si="6"/>
        <v>4.6584234724861485E-2</v>
      </c>
      <c r="M16" s="155">
        <f>Table1[[#This Row],[Grand Total Sales]]-(Table1[[#This Row],[BET Units ]]+Table1[[#This Row],[H2 ICE Units]]+Table1[[#This Row],[H2 FCET Units]]+Table1[[#This Row],[LNG Units]]+Table1[[#This Row],[CNG Units]])</f>
        <v>247895.70673552196</v>
      </c>
      <c r="N16" s="152">
        <f>Table1[[#This Row],[Diesel]]/Table1[[#This Row],[Grand Total Sales]]</f>
        <v>0.45487954701271988</v>
      </c>
      <c r="O16" s="156">
        <f t="shared" si="7"/>
        <v>0.49555730524795794</v>
      </c>
      <c r="P16" s="155">
        <f>Table1[[#This Row],[H2 FCET Units]]+Table1[[#This Row],[H2 ICE Units]]+Table1[[#This Row],[BET Units ]]</f>
        <v>270063.86464097968</v>
      </c>
    </row>
    <row r="17" spans="1:16">
      <c r="A17" s="95">
        <v>2040</v>
      </c>
      <c r="B17" s="459">
        <f>'AnnualSalesSummary Revised'!$T$75</f>
        <v>570540</v>
      </c>
      <c r="C17" s="152">
        <f t="shared" si="0"/>
        <v>0.55948688902258858</v>
      </c>
      <c r="D17" s="159">
        <f t="shared" si="1"/>
        <v>319209.64966294769</v>
      </c>
      <c r="E17" s="152">
        <f t="shared" si="2"/>
        <v>7.6068054359492042E-3</v>
      </c>
      <c r="F17" s="159">
        <f t="shared" si="3"/>
        <v>4339.986773426459</v>
      </c>
      <c r="G17" s="152">
        <f t="shared" si="4"/>
        <v>6.399615750991983E-3</v>
      </c>
      <c r="H17" s="153">
        <f t="shared" si="8"/>
        <v>3651.2367705709662</v>
      </c>
      <c r="I17" s="159">
        <f>Table1[[#This Row],[LNG Share %]]*Table1[[#This Row],[Grand Total Sales]]</f>
        <v>1925.2459235025458</v>
      </c>
      <c r="J17" s="154">
        <f t="shared" si="5"/>
        <v>3.3744276010490865E-3</v>
      </c>
      <c r="K17" s="157">
        <f>Table1[[#This Row],[CNG Share %]]*Table1[[#This Row],[Grand Total Sales]]</f>
        <v>26883.748625806136</v>
      </c>
      <c r="L17" s="152">
        <f t="shared" si="6"/>
        <v>4.7119831433039112E-2</v>
      </c>
      <c r="M17" s="160">
        <f>Table1[[#This Row],[Grand Total Sales]]-(Table1[[#This Row],[BET Units ]]+Table1[[#This Row],[H2 ICE Units]]+Table1[[#This Row],[H2 FCET Units]]+Table1[[#This Row],[LNG Units]]+Table1[[#This Row],[CNG Units]])</f>
        <v>214530.13224374619</v>
      </c>
      <c r="N17" s="158">
        <f>Table1[[#This Row],[Diesel]]/Table1[[#This Row],[Grand Total Sales]]</f>
        <v>0.37601243075638202</v>
      </c>
      <c r="O17" s="161">
        <f t="shared" si="7"/>
        <v>0.57349331020952976</v>
      </c>
      <c r="P17" s="160">
        <f>Table1[[#This Row],[H2 FCET Units]]+Table1[[#This Row],[H2 ICE Units]]+Table1[[#This Row],[BET Units ]]</f>
        <v>327200.87320694514</v>
      </c>
    </row>
    <row r="18" spans="1:16">
      <c r="A18" s="122">
        <v>2041</v>
      </c>
      <c r="B18" s="86">
        <f>'AnnualSalesSummary Revised'!$U$75</f>
        <v>599070</v>
      </c>
      <c r="C18" s="152">
        <f t="shared" si="0"/>
        <v>0.62685762516419097</v>
      </c>
      <c r="D18" s="153">
        <f t="shared" si="1"/>
        <v>375531.5975071119</v>
      </c>
      <c r="E18" s="152">
        <f t="shared" si="2"/>
        <v>9.1916527120331909E-3</v>
      </c>
      <c r="F18" s="153">
        <f t="shared" si="3"/>
        <v>5506.4433901977236</v>
      </c>
      <c r="G18" s="152">
        <f t="shared" si="4"/>
        <v>8.0078156935289614E-3</v>
      </c>
      <c r="H18" s="153">
        <f t="shared" si="8"/>
        <v>4797.2421475223946</v>
      </c>
      <c r="I18" s="153">
        <f>Table1[[#This Row],[LNG Share %]]*Table1[[#This Row],[Grand Total Sales]]</f>
        <v>2265.9962727856296</v>
      </c>
      <c r="J18" s="154">
        <f t="shared" si="5"/>
        <v>3.7825233658597989E-3</v>
      </c>
      <c r="K18" s="151">
        <f>Table1[[#This Row],[CNG Share %]]*Table1[[#This Row],[Grand Total Sales]]</f>
        <v>28559.143776407946</v>
      </c>
      <c r="L18" s="152">
        <f t="shared" si="6"/>
        <v>4.7672465281866805E-2</v>
      </c>
      <c r="M18" s="155">
        <f>Table1[[#This Row],[Grand Total Sales]]-(Table1[[#This Row],[BET Units ]]+Table1[[#This Row],[H2 ICE Units]]+Table1[[#This Row],[H2 FCET Units]]+Table1[[#This Row],[LNG Units]]+Table1[[#This Row],[CNG Units]])</f>
        <v>182409.57690597442</v>
      </c>
      <c r="N18" s="152">
        <f>Table1[[#This Row],[Diesel]]/Table1[[#This Row],[Grand Total Sales]]</f>
        <v>0.30448791778252027</v>
      </c>
      <c r="O18" s="156">
        <f t="shared" si="7"/>
        <v>0.64405709356975305</v>
      </c>
      <c r="P18" s="155">
        <f>Table1[[#This Row],[H2 FCET Units]]+Table1[[#This Row],[H2 ICE Units]]+Table1[[#This Row],[BET Units ]]</f>
        <v>385835.283044832</v>
      </c>
    </row>
    <row r="19" spans="1:16">
      <c r="A19" s="122">
        <v>2042</v>
      </c>
      <c r="B19" s="86">
        <f>'AnnualSalesSummary Revised'!$V$75</f>
        <v>627500</v>
      </c>
      <c r="C19" s="152">
        <f t="shared" si="0"/>
        <v>0.683119515898712</v>
      </c>
      <c r="D19" s="153">
        <f t="shared" si="1"/>
        <v>428657.49622644176</v>
      </c>
      <c r="E19" s="152">
        <f t="shared" si="2"/>
        <v>1.0924023975801889E-2</v>
      </c>
      <c r="F19" s="153">
        <f t="shared" si="3"/>
        <v>6854.825044815685</v>
      </c>
      <c r="G19" s="152">
        <f t="shared" si="4"/>
        <v>9.8001677554965198E-3</v>
      </c>
      <c r="H19" s="153">
        <f t="shared" si="8"/>
        <v>6149.6052665740663</v>
      </c>
      <c r="I19" s="153">
        <f>Table1[[#This Row],[LNG Share %]]*Table1[[#This Row],[Grand Total Sales]]</f>
        <v>2617.3163316550517</v>
      </c>
      <c r="J19" s="154">
        <f t="shared" si="5"/>
        <v>4.1710220424781702E-3</v>
      </c>
      <c r="K19" s="151">
        <f>Table1[[#This Row],[CNG Share %]]*Table1[[#This Row],[Grand Total Sales]]</f>
        <v>30244.597157381802</v>
      </c>
      <c r="L19" s="152">
        <f t="shared" si="6"/>
        <v>4.8198561206982952E-2</v>
      </c>
      <c r="M19" s="155">
        <f>Table1[[#This Row],[Grand Total Sales]]-(Table1[[#This Row],[BET Units ]]+Table1[[#This Row],[H2 ICE Units]]+Table1[[#This Row],[H2 FCET Units]]+Table1[[#This Row],[LNG Units]]+Table1[[#This Row],[CNG Units]])</f>
        <v>152976.15997313161</v>
      </c>
      <c r="N19" s="152">
        <f>Table1[[#This Row],[Diesel]]/Table1[[#This Row],[Grand Total Sales]]</f>
        <v>0.24378670912052847</v>
      </c>
      <c r="O19" s="156">
        <f t="shared" si="7"/>
        <v>0.70384370763001047</v>
      </c>
      <c r="P19" s="155">
        <f>Table1[[#This Row],[H2 FCET Units]]+Table1[[#This Row],[H2 ICE Units]]+Table1[[#This Row],[BET Units ]]</f>
        <v>441661.92653783149</v>
      </c>
    </row>
    <row r="20" spans="1:16">
      <c r="A20" s="122">
        <v>2043</v>
      </c>
      <c r="B20" s="86">
        <f>'AnnualSalesSummary Revised'!$W$75</f>
        <v>654020</v>
      </c>
      <c r="C20" s="152">
        <f t="shared" si="0"/>
        <v>0.72545135509552694</v>
      </c>
      <c r="D20" s="153">
        <f t="shared" si="1"/>
        <v>474459.69525957655</v>
      </c>
      <c r="E20" s="152">
        <f t="shared" si="2"/>
        <v>1.2787938556281546E-2</v>
      </c>
      <c r="F20" s="153">
        <f t="shared" si="3"/>
        <v>8363.567574579256</v>
      </c>
      <c r="G20" s="152">
        <f t="shared" si="4"/>
        <v>1.1756197102529911E-2</v>
      </c>
      <c r="H20" s="153">
        <f t="shared" si="8"/>
        <v>7688.7880289966124</v>
      </c>
      <c r="I20" s="153">
        <f>Table1[[#This Row],[LNG Share %]]*Table1[[#This Row],[Grand Total Sales]]</f>
        <v>2942.9219380279092</v>
      </c>
      <c r="J20" s="154">
        <f t="shared" si="5"/>
        <v>4.499743032365844E-3</v>
      </c>
      <c r="K20" s="151">
        <f>Table1[[#This Row],[CNG Share %]]*Table1[[#This Row],[Grand Total Sales]]</f>
        <v>31813.957625514628</v>
      </c>
      <c r="L20" s="152">
        <f t="shared" si="6"/>
        <v>4.8643707570891759E-2</v>
      </c>
      <c r="M20" s="155">
        <f>Table1[[#This Row],[Grand Total Sales]]-(Table1[[#This Row],[BET Units ]]+Table1[[#This Row],[H2 ICE Units]]+Table1[[#This Row],[H2 FCET Units]]+Table1[[#This Row],[LNG Units]]+Table1[[#This Row],[CNG Units]])</f>
        <v>128751.06957330508</v>
      </c>
      <c r="N20" s="152">
        <f>Table1[[#This Row],[Diesel]]/Table1[[#This Row],[Grand Total Sales]]</f>
        <v>0.19686105864240402</v>
      </c>
      <c r="O20" s="156">
        <f t="shared" si="7"/>
        <v>0.74999549075433847</v>
      </c>
      <c r="P20" s="155">
        <f>Table1[[#This Row],[H2 FCET Units]]+Table1[[#This Row],[H2 ICE Units]]+Table1[[#This Row],[BET Units ]]</f>
        <v>490512.05086315243</v>
      </c>
    </row>
    <row r="21" spans="1:16">
      <c r="A21" s="122">
        <v>2044</v>
      </c>
      <c r="B21" s="86">
        <f>'AnnualSalesSummary Revised'!$X$75</f>
        <v>679990</v>
      </c>
      <c r="C21" s="152">
        <f t="shared" si="0"/>
        <v>0.75173044757494067</v>
      </c>
      <c r="D21" s="153">
        <f t="shared" si="1"/>
        <v>511169.18704648392</v>
      </c>
      <c r="E21" s="152">
        <f t="shared" si="2"/>
        <v>1.4764648490330072E-2</v>
      </c>
      <c r="F21" s="153">
        <f t="shared" si="3"/>
        <v>10039.813326939546</v>
      </c>
      <c r="G21" s="152">
        <f t="shared" si="4"/>
        <v>1.3850779763132984E-2</v>
      </c>
      <c r="H21" s="153">
        <f t="shared" si="8"/>
        <v>9418.3917311327987</v>
      </c>
      <c r="I21" s="153">
        <f>Table1[[#This Row],[LNG Share %]]*Table1[[#This Row],[Grand Total Sales]]</f>
        <v>3212.9489925802427</v>
      </c>
      <c r="J21" s="154">
        <f t="shared" si="5"/>
        <v>4.7249944743014494E-3</v>
      </c>
      <c r="K21" s="151">
        <f>Table1[[#This Row],[CNG Share %]]*Table1[[#This Row],[Grand Total Sales]]</f>
        <v>33284.652261065159</v>
      </c>
      <c r="L21" s="152">
        <f t="shared" si="6"/>
        <v>4.8948737865358548E-2</v>
      </c>
      <c r="M21" s="155">
        <f>Table1[[#This Row],[Grand Total Sales]]-(Table1[[#This Row],[BET Units ]]+Table1[[#This Row],[H2 ICE Units]]+Table1[[#This Row],[H2 FCET Units]]+Table1[[#This Row],[LNG Units]]+Table1[[#This Row],[CNG Units]])</f>
        <v>112865.0066417983</v>
      </c>
      <c r="N21" s="152">
        <f>Table1[[#This Row],[Diesel]]/Table1[[#This Row],[Grand Total Sales]]</f>
        <v>0.16598039183193622</v>
      </c>
      <c r="O21" s="156">
        <f t="shared" si="7"/>
        <v>0.78034587582840376</v>
      </c>
      <c r="P21" s="155">
        <f>Table1[[#This Row],[H2 FCET Units]]+Table1[[#This Row],[H2 ICE Units]]+Table1[[#This Row],[BET Units ]]</f>
        <v>530627.39210455632</v>
      </c>
    </row>
    <row r="22" spans="1:16">
      <c r="A22" s="95">
        <v>2045</v>
      </c>
      <c r="B22" s="157">
        <f>'AnnualSalesSummary Revised'!$Y$75</f>
        <v>707250</v>
      </c>
      <c r="C22" s="152">
        <f t="shared" si="0"/>
        <v>0.76063904990810127</v>
      </c>
      <c r="D22" s="159">
        <f t="shared" si="1"/>
        <v>537961.96804750466</v>
      </c>
      <c r="E22" s="152">
        <f t="shared" si="2"/>
        <v>1.6833550117131873E-2</v>
      </c>
      <c r="F22" s="159">
        <f t="shared" si="3"/>
        <v>11905.528320341517</v>
      </c>
      <c r="G22" s="152">
        <f t="shared" si="4"/>
        <v>1.6055748022997834E-2</v>
      </c>
      <c r="H22" s="153">
        <f t="shared" si="8"/>
        <v>11355.427789265219</v>
      </c>
      <c r="I22" s="159">
        <f>Table1[[#This Row],[LNG Share %]]*Table1[[#This Row],[Grand Total Sales]]</f>
        <v>3399.7596493708465</v>
      </c>
      <c r="J22" s="154">
        <f t="shared" si="5"/>
        <v>4.8070125830623495E-3</v>
      </c>
      <c r="K22" s="157">
        <f>Table1[[#This Row],[CNG Share %]]*Table1[[#This Row],[Grand Total Sales]]</f>
        <v>34697.547009755406</v>
      </c>
      <c r="L22" s="152">
        <f t="shared" si="6"/>
        <v>4.9059804891842217E-2</v>
      </c>
      <c r="M22" s="160">
        <f>Table1[[#This Row],[Grand Total Sales]]-(Table1[[#This Row],[BET Units ]]+Table1[[#This Row],[H2 ICE Units]]+Table1[[#This Row],[H2 FCET Units]]+Table1[[#This Row],[LNG Units]]+Table1[[#This Row],[CNG Units]])</f>
        <v>107929.76918376249</v>
      </c>
      <c r="N22" s="158">
        <f>Table1[[#This Row],[Diesel]]/Table1[[#This Row],[Grand Total Sales]]</f>
        <v>0.1526048344768646</v>
      </c>
      <c r="O22" s="161">
        <f t="shared" si="7"/>
        <v>0.79352834804823091</v>
      </c>
      <c r="P22" s="160">
        <f>Table1[[#This Row],[H2 FCET Units]]+Table1[[#This Row],[H2 ICE Units]]+Table1[[#This Row],[BET Units ]]</f>
        <v>561222.92415711144</v>
      </c>
    </row>
    <row r="23" spans="1:16">
      <c r="A23" s="122">
        <v>2046</v>
      </c>
      <c r="B23" s="86">
        <f>'AnnualSalesSummary Revised'!$Z$75</f>
        <v>734040</v>
      </c>
      <c r="C23" s="152">
        <f t="shared" si="0"/>
        <v>0.77465066581986119</v>
      </c>
      <c r="D23" s="153">
        <f t="shared" si="1"/>
        <v>568624.57473841088</v>
      </c>
      <c r="E23" s="152">
        <f t="shared" si="2"/>
        <v>1.8973072942500818E-2</v>
      </c>
      <c r="F23" s="153">
        <f t="shared" si="3"/>
        <v>13926.994462713301</v>
      </c>
      <c r="G23" s="152">
        <f t="shared" si="4"/>
        <v>1.8341465041090362E-2</v>
      </c>
      <c r="H23" s="153">
        <f t="shared" si="8"/>
        <v>13463.368998761969</v>
      </c>
      <c r="I23" s="153">
        <f>Table1[[#This Row],[LNG Share %]]*Table1[[#This Row],[Grand Total Sales]]</f>
        <v>3407.6555147585923</v>
      </c>
      <c r="J23" s="154">
        <f t="shared" si="5"/>
        <v>4.6423294571938754E-3</v>
      </c>
      <c r="K23" s="151">
        <f>Table1[[#This Row],[CNG Share %]]*Table1[[#This Row],[Grand Total Sales]]</f>
        <v>33866.494024629414</v>
      </c>
      <c r="L23" s="152">
        <f t="shared" si="6"/>
        <v>4.6137123351083616E-2</v>
      </c>
      <c r="M23" s="155">
        <f>Table1[[#This Row],[Grand Total Sales]]-(Table1[[#This Row],[BET Units ]]+Table1[[#This Row],[H2 ICE Units]]+Table1[[#This Row],[H2 FCET Units]]+Table1[[#This Row],[LNG Units]]+Table1[[#This Row],[CNG Units]])</f>
        <v>100750.91226072586</v>
      </c>
      <c r="N23" s="152">
        <f>Table1[[#This Row],[Diesel]]/Table1[[#This Row],[Grand Total Sales]]</f>
        <v>0.1372553433882702</v>
      </c>
      <c r="O23" s="156">
        <f t="shared" si="7"/>
        <v>0.81196520380345238</v>
      </c>
      <c r="P23" s="155">
        <f>Table1[[#This Row],[H2 FCET Units]]+Table1[[#This Row],[H2 ICE Units]]+Table1[[#This Row],[BET Units ]]</f>
        <v>596014.93819988612</v>
      </c>
    </row>
    <row r="24" spans="1:16">
      <c r="A24" s="122">
        <v>2047</v>
      </c>
      <c r="B24" s="86">
        <f>'AnnualSalesSummary Revised'!$AA$75</f>
        <v>762490</v>
      </c>
      <c r="C24" s="152">
        <f t="shared" si="0"/>
        <v>0.78866228173162112</v>
      </c>
      <c r="D24" s="153">
        <f t="shared" si="1"/>
        <v>601347.10319754377</v>
      </c>
      <c r="E24" s="152">
        <f t="shared" si="2"/>
        <v>2.1161493358695996E-2</v>
      </c>
      <c r="F24" s="153">
        <f t="shared" si="3"/>
        <v>16135.42707107211</v>
      </c>
      <c r="G24" s="152">
        <f t="shared" si="4"/>
        <v>2.0678247356969617E-2</v>
      </c>
      <c r="H24" s="153">
        <f t="shared" si="8"/>
        <v>15766.956827215763</v>
      </c>
      <c r="I24" s="153">
        <f>Table1[[#This Row],[LNG Share %]]*Table1[[#This Row],[Grand Total Sales]]</f>
        <v>3414.1605511723046</v>
      </c>
      <c r="J24" s="154">
        <f t="shared" si="5"/>
        <v>4.4776463313254003E-3</v>
      </c>
      <c r="K24" s="151">
        <f>Table1[[#This Row],[CNG Share %]]*Table1[[#This Row],[Grand Total Sales]]</f>
        <v>32950.579735954721</v>
      </c>
      <c r="L24" s="152">
        <f t="shared" si="6"/>
        <v>4.3214441810325015E-2</v>
      </c>
      <c r="M24" s="155">
        <f>Table1[[#This Row],[Grand Total Sales]]-(Table1[[#This Row],[BET Units ]]+Table1[[#This Row],[H2 ICE Units]]+Table1[[#This Row],[H2 FCET Units]]+Table1[[#This Row],[LNG Units]]+Table1[[#This Row],[CNG Units]])</f>
        <v>92875.77261704125</v>
      </c>
      <c r="N24" s="152">
        <f>Table1[[#This Row],[Diesel]]/Table1[[#This Row],[Grand Total Sales]]</f>
        <v>0.12180588941106277</v>
      </c>
      <c r="O24" s="156">
        <f t="shared" si="7"/>
        <v>0.83050202244728677</v>
      </c>
      <c r="P24" s="155">
        <f>Table1[[#This Row],[H2 FCET Units]]+Table1[[#This Row],[H2 ICE Units]]+Table1[[#This Row],[BET Units ]]</f>
        <v>633249.48709583166</v>
      </c>
    </row>
    <row r="25" spans="1:16">
      <c r="A25" s="122">
        <v>2048</v>
      </c>
      <c r="B25" s="86">
        <f>'AnnualSalesSummary Revised'!$AB$75</f>
        <v>775820</v>
      </c>
      <c r="C25" s="152">
        <f t="shared" si="0"/>
        <v>0.80267389764338115</v>
      </c>
      <c r="D25" s="153">
        <f t="shared" si="1"/>
        <v>622730.46326968796</v>
      </c>
      <c r="E25" s="152">
        <f t="shared" si="2"/>
        <v>2.3377637675049814E-2</v>
      </c>
      <c r="F25" s="153">
        <f t="shared" si="3"/>
        <v>18136.838861057146</v>
      </c>
      <c r="G25" s="152">
        <f t="shared" si="4"/>
        <v>2.3037557413599117E-2</v>
      </c>
      <c r="H25" s="153">
        <f t="shared" si="8"/>
        <v>17872.997792618466</v>
      </c>
      <c r="I25" s="153">
        <f>Table1[[#This Row],[LNG Share %]]*Table1[[#This Row],[Grand Total Sales]]</f>
        <v>3346.0831140575924</v>
      </c>
      <c r="J25" s="154">
        <f t="shared" si="5"/>
        <v>4.3129632054569262E-3</v>
      </c>
      <c r="K25" s="151">
        <f>Table1[[#This Row],[CNG Share %]]*Table1[[#This Row],[Grand Total Sales]]</f>
        <v>31259.153452335016</v>
      </c>
      <c r="L25" s="152">
        <f t="shared" si="6"/>
        <v>4.0291760269566414E-2</v>
      </c>
      <c r="M25" s="155">
        <f>Table1[[#This Row],[Grand Total Sales]]-(Table1[[#This Row],[BET Units ]]+Table1[[#This Row],[H2 ICE Units]]+Table1[[#This Row],[H2 FCET Units]]+Table1[[#This Row],[LNG Units]]+Table1[[#This Row],[CNG Units]])</f>
        <v>82474.463510243804</v>
      </c>
      <c r="N25" s="152">
        <f>Table1[[#This Row],[Diesel]]/Table1[[#This Row],[Grand Total Sales]]</f>
        <v>0.10630618379294657</v>
      </c>
      <c r="O25" s="156">
        <f t="shared" si="7"/>
        <v>0.84908909273203015</v>
      </c>
      <c r="P25" s="155">
        <f>Table1[[#This Row],[H2 FCET Units]]+Table1[[#This Row],[H2 ICE Units]]+Table1[[#This Row],[BET Units ]]</f>
        <v>658740.29992336361</v>
      </c>
    </row>
    <row r="26" spans="1:16">
      <c r="A26" s="122">
        <v>2049</v>
      </c>
      <c r="B26" s="86">
        <f>'AnnualSalesSummary Revised'!$AC$75</f>
        <v>799700</v>
      </c>
      <c r="C26" s="152">
        <f t="shared" si="0"/>
        <v>0.81668551355514107</v>
      </c>
      <c r="D26" s="153">
        <f t="shared" si="1"/>
        <v>653103.40519004629</v>
      </c>
      <c r="E26" s="152">
        <f t="shared" si="2"/>
        <v>2.5601454773353814E-2</v>
      </c>
      <c r="F26" s="153">
        <f t="shared" si="3"/>
        <v>20473.483382251045</v>
      </c>
      <c r="G26" s="152">
        <f t="shared" si="4"/>
        <v>2.5392928417591033E-2</v>
      </c>
      <c r="H26" s="153">
        <f t="shared" si="8"/>
        <v>20306.724855547549</v>
      </c>
      <c r="I26" s="153">
        <f>Table1[[#This Row],[LNG Share %]]*Table1[[#This Row],[Grand Total Sales]]</f>
        <v>3317.3795796468844</v>
      </c>
      <c r="J26" s="154">
        <f t="shared" si="5"/>
        <v>4.1482800795884511E-3</v>
      </c>
      <c r="K26" s="151">
        <f>Table1[[#This Row],[CNG Share %]]*Table1[[#This Row],[Grand Total Sales]]</f>
        <v>29884.052259427608</v>
      </c>
      <c r="L26" s="152">
        <f t="shared" si="6"/>
        <v>3.7369078728807813E-2</v>
      </c>
      <c r="M26" s="155">
        <f>Table1[[#This Row],[Grand Total Sales]]-(Table1[[#This Row],[BET Units ]]+Table1[[#This Row],[H2 ICE Units]]+Table1[[#This Row],[H2 FCET Units]]+Table1[[#This Row],[LNG Units]]+Table1[[#This Row],[CNG Units]])</f>
        <v>72614.954733080696</v>
      </c>
      <c r="N26" s="152">
        <f>Table1[[#This Row],[Diesel]]/Table1[[#This Row],[Grand Total Sales]]</f>
        <v>9.0802744445517933E-2</v>
      </c>
      <c r="O26" s="156">
        <f t="shared" si="7"/>
        <v>0.86767989674608592</v>
      </c>
      <c r="P26" s="155">
        <f>Table1[[#This Row],[H2 FCET Units]]+Table1[[#This Row],[H2 ICE Units]]+Table1[[#This Row],[BET Units ]]</f>
        <v>693883.61342784483</v>
      </c>
    </row>
    <row r="27" spans="1:16">
      <c r="A27" s="95">
        <v>2050</v>
      </c>
      <c r="B27" s="459">
        <f>'AnnualSalesSummary Revised'!$AD$75</f>
        <v>853510</v>
      </c>
      <c r="C27" s="152">
        <f t="shared" si="0"/>
        <v>0.830697129466901</v>
      </c>
      <c r="D27" s="159">
        <f t="shared" si="1"/>
        <v>709008.30697129469</v>
      </c>
      <c r="E27" s="152">
        <f t="shared" si="2"/>
        <v>2.7814452200337996E-2</v>
      </c>
      <c r="F27" s="159">
        <f t="shared" si="3"/>
        <v>23739.913097510482</v>
      </c>
      <c r="G27" s="152">
        <f t="shared" si="4"/>
        <v>2.7720616640294123E-2</v>
      </c>
      <c r="H27" s="153">
        <f t="shared" si="8"/>
        <v>23659.823508657439</v>
      </c>
      <c r="I27" s="159">
        <f>Table1[[#This Row],[LNG Share %]]*Table1[[#This Row],[Grand Total Sales]]</f>
        <v>3400.0398359695378</v>
      </c>
      <c r="J27" s="154">
        <f t="shared" si="5"/>
        <v>3.983596953719977E-3</v>
      </c>
      <c r="K27" s="157">
        <f>Table1[[#This Row],[CNG Share %]]*Table1[[#This Row],[Grand Total Sales]]</f>
        <v>29400.344463971884</v>
      </c>
      <c r="L27" s="152">
        <f t="shared" si="6"/>
        <v>3.4446397188049212E-2</v>
      </c>
      <c r="M27" s="160">
        <f>Table1[[#This Row],[Grand Total Sales]]-(Table1[[#This Row],[BET Units ]]+Table1[[#This Row],[H2 ICE Units]]+Table1[[#This Row],[H2 FCET Units]]+Table1[[#This Row],[LNG Units]]+Table1[[#This Row],[CNG Units]])</f>
        <v>64301.572122595971</v>
      </c>
      <c r="N27" s="158">
        <f>Table1[[#This Row],[Diesel]]/Table1[[#This Row],[Grand Total Sales]]</f>
        <v>7.5337807550697675E-2</v>
      </c>
      <c r="O27" s="161">
        <f t="shared" si="7"/>
        <v>0.88623219830753308</v>
      </c>
      <c r="P27" s="160">
        <f>Table1[[#This Row],[H2 FCET Units]]+Table1[[#This Row],[H2 ICE Units]]+Table1[[#This Row],[BET Units ]]</f>
        <v>756408.04357746267</v>
      </c>
    </row>
    <row r="28" spans="1:16">
      <c r="A28" s="122">
        <v>2051</v>
      </c>
      <c r="B28" s="86">
        <f>'AnnualSalesSummary Revised'!$AE$75</f>
        <v>887890</v>
      </c>
      <c r="C28" s="152">
        <f t="shared" si="0"/>
        <v>0.8390551300084047</v>
      </c>
      <c r="D28" s="153">
        <f t="shared" si="1"/>
        <v>744988.65938316251</v>
      </c>
      <c r="E28" s="152">
        <f t="shared" si="2"/>
        <v>3.0000000000000006E-2</v>
      </c>
      <c r="F28" s="153">
        <f t="shared" si="3"/>
        <v>26636.700000000004</v>
      </c>
      <c r="G28" s="152">
        <f t="shared" si="4"/>
        <v>2.9999999999999995E-2</v>
      </c>
      <c r="H28" s="153">
        <f t="shared" si="8"/>
        <v>26636.699999999997</v>
      </c>
      <c r="I28" s="153">
        <f>Table1[[#This Row],[LNG Share %]]*Table1[[#This Row],[Grand Total Sales]]</f>
        <v>3199.2428453784096</v>
      </c>
      <c r="J28" s="154">
        <f t="shared" si="5"/>
        <v>3.6031972940098545E-3</v>
      </c>
      <c r="K28" s="151">
        <f>Table1[[#This Row],[CNG Share %]]*Table1[[#This Row],[Grand Total Sales]]</f>
        <v>27664.041074742723</v>
      </c>
      <c r="L28" s="152">
        <f t="shared" si="6"/>
        <v>3.1157058954085215E-2</v>
      </c>
      <c r="M28" s="155">
        <f>Table1[[#This Row],[Grand Total Sales]]-(Table1[[#This Row],[BET Units ]]+Table1[[#This Row],[H2 ICE Units]]+Table1[[#This Row],[H2 FCET Units]]+Table1[[#This Row],[LNG Units]]+Table1[[#This Row],[CNG Units]])</f>
        <v>58764.65669671644</v>
      </c>
      <c r="N28" s="152">
        <f>Table1[[#This Row],[Diesel]]/Table1[[#This Row],[Grand Total Sales]]</f>
        <v>6.6184613743500251E-2</v>
      </c>
      <c r="O28" s="156">
        <f t="shared" si="7"/>
        <v>0.89905513000840476</v>
      </c>
      <c r="P28" s="155">
        <f>Table1[[#This Row],[H2 FCET Units]]+Table1[[#This Row],[H2 ICE Units]]+Table1[[#This Row],[BET Units ]]</f>
        <v>798262.05938316253</v>
      </c>
    </row>
    <row r="29" spans="1:16">
      <c r="A29" s="122">
        <v>2052</v>
      </c>
      <c r="B29" s="86">
        <f>'AnnualSalesSummary Revised'!$AF$75</f>
        <v>922960</v>
      </c>
      <c r="C29" s="152">
        <f t="shared" si="0"/>
        <v>0.84741313054990852</v>
      </c>
      <c r="D29" s="153">
        <f t="shared" si="1"/>
        <v>782128.42297234351</v>
      </c>
      <c r="E29" s="152">
        <f t="shared" si="2"/>
        <v>4.5146386076924824E-2</v>
      </c>
      <c r="F29" s="153">
        <f t="shared" si="3"/>
        <v>41668.308493558536</v>
      </c>
      <c r="G29" s="152">
        <f t="shared" si="4"/>
        <v>3.3345580033975121E-2</v>
      </c>
      <c r="H29" s="153">
        <f t="shared" si="8"/>
        <v>30776.636548157676</v>
      </c>
      <c r="I29" s="153">
        <f>Table1[[#This Row],[LNG Share %]]*Table1[[#This Row],[Grand Total Sales]]</f>
        <v>2406.431813377988</v>
      </c>
      <c r="J29" s="154">
        <f t="shared" si="5"/>
        <v>2.6072980555798602E-3</v>
      </c>
      <c r="K29" s="151">
        <f>Table1[[#This Row],[CNG Share %]]*Table1[[#This Row],[Grand Total Sales]]</f>
        <v>20808.557445092014</v>
      </c>
      <c r="L29" s="152">
        <f t="shared" si="6"/>
        <v>2.254545965707291E-2</v>
      </c>
      <c r="M29" s="155">
        <f>Table1[[#This Row],[Grand Total Sales]]-(Table1[[#This Row],[BET Units ]]+Table1[[#This Row],[H2 ICE Units]]+Table1[[#This Row],[H2 FCET Units]]+Table1[[#This Row],[LNG Units]]+Table1[[#This Row],[CNG Units]])</f>
        <v>45171.642727470258</v>
      </c>
      <c r="N29" s="152">
        <f>Table1[[#This Row],[Diesel]]/Table1[[#This Row],[Grand Total Sales]]</f>
        <v>4.8942145626538806E-2</v>
      </c>
      <c r="O29" s="156">
        <f t="shared" si="7"/>
        <v>0.92590509666080845</v>
      </c>
      <c r="P29" s="155">
        <f>Table1[[#This Row],[H2 FCET Units]]+Table1[[#This Row],[H2 ICE Units]]+Table1[[#This Row],[BET Units ]]</f>
        <v>854573.36801405973</v>
      </c>
    </row>
    <row r="30" spans="1:16">
      <c r="A30" s="122">
        <v>2053</v>
      </c>
      <c r="B30" s="86">
        <f>'AnnualSalesSummary Revised'!$AG$75</f>
        <v>958330</v>
      </c>
      <c r="C30" s="152">
        <f t="shared" si="0"/>
        <v>0.85577113109141223</v>
      </c>
      <c r="D30" s="153">
        <f t="shared" si="1"/>
        <v>820111.14805883309</v>
      </c>
      <c r="E30" s="152">
        <f t="shared" si="2"/>
        <v>5.2078102841222038E-2</v>
      </c>
      <c r="F30" s="153">
        <f t="shared" si="3"/>
        <v>49908.008295828316</v>
      </c>
      <c r="G30" s="152">
        <f t="shared" si="4"/>
        <v>4.2754163841238021E-2</v>
      </c>
      <c r="H30" s="153">
        <f t="shared" si="8"/>
        <v>40972.597833973632</v>
      </c>
      <c r="I30" s="153">
        <f>Table1[[#This Row],[LNG Share %]]*Table1[[#This Row],[Grand Total Sales]]</f>
        <v>1318.9485230546181</v>
      </c>
      <c r="J30" s="154">
        <f t="shared" si="5"/>
        <v>1.3762988981401167E-3</v>
      </c>
      <c r="K30" s="151">
        <f>Table1[[#This Row],[CNG Share %]]*Table1[[#This Row],[Grand Total Sales]]</f>
        <v>11405.02546406052</v>
      </c>
      <c r="L30" s="152">
        <f t="shared" si="6"/>
        <v>1.1900937530976303E-2</v>
      </c>
      <c r="M30" s="155">
        <f>Table1[[#This Row],[Grand Total Sales]]-(Table1[[#This Row],[BET Units ]]+Table1[[#This Row],[H2 ICE Units]]+Table1[[#This Row],[H2 FCET Units]]+Table1[[#This Row],[LNG Units]]+Table1[[#This Row],[CNG Units]])</f>
        <v>34614.271824249881</v>
      </c>
      <c r="N30" s="152">
        <f>Table1[[#This Row],[Diesel]]/Table1[[#This Row],[Grand Total Sales]]</f>
        <v>3.6119365797011346E-2</v>
      </c>
      <c r="O30" s="156">
        <f t="shared" si="7"/>
        <v>0.95060339777387226</v>
      </c>
      <c r="P30" s="155">
        <f>Table1[[#This Row],[H2 FCET Units]]+Table1[[#This Row],[H2 ICE Units]]+Table1[[#This Row],[BET Units ]]</f>
        <v>910991.75418863504</v>
      </c>
    </row>
    <row r="31" spans="1:16">
      <c r="A31" s="122">
        <v>2054</v>
      </c>
      <c r="B31" s="86">
        <f>'AnnualSalesSummary Revised'!$AH$75</f>
        <v>993980</v>
      </c>
      <c r="C31" s="152">
        <f t="shared" si="0"/>
        <v>0.86412913163291605</v>
      </c>
      <c r="D31" s="153">
        <f t="shared" si="1"/>
        <v>858927.07426048594</v>
      </c>
      <c r="E31" s="152">
        <f t="shared" si="2"/>
        <v>5.9009819605519237E-2</v>
      </c>
      <c r="F31" s="153">
        <f t="shared" si="3"/>
        <v>58654.580491494009</v>
      </c>
      <c r="G31" s="152">
        <f t="shared" si="4"/>
        <v>5.2162747648500915E-2</v>
      </c>
      <c r="H31" s="153">
        <f t="shared" si="8"/>
        <v>51848.727907656939</v>
      </c>
      <c r="I31" s="153">
        <f>Table1[[#This Row],[LNG Share %]]*Table1[[#This Row],[Grand Total Sales]]</f>
        <v>378.10965375866755</v>
      </c>
      <c r="J31" s="154">
        <f t="shared" si="5"/>
        <v>3.8039965971012248E-4</v>
      </c>
      <c r="K31" s="151">
        <f>Table1[[#This Row],[CNG Share %]]*Table1[[#This Row],[Grand Total Sales]]</f>
        <v>3269.5364177955371</v>
      </c>
      <c r="L31" s="152">
        <f t="shared" si="6"/>
        <v>3.2893382339640002E-3</v>
      </c>
      <c r="M31" s="155">
        <f>Table1[[#This Row],[Grand Total Sales]]-(Table1[[#This Row],[BET Units ]]+Table1[[#This Row],[H2 ICE Units]]+Table1[[#This Row],[H2 FCET Units]]+Table1[[#This Row],[LNG Units]]+Table1[[#This Row],[CNG Units]])</f>
        <v>20901.971268808818</v>
      </c>
      <c r="N31" s="152">
        <f>Table1[[#This Row],[Diesel]]/Table1[[#This Row],[Grand Total Sales]]</f>
        <v>2.1028563219389545E-2</v>
      </c>
      <c r="O31" s="156">
        <f t="shared" si="7"/>
        <v>0.97530169888693619</v>
      </c>
      <c r="P31" s="155">
        <f>Table1[[#This Row],[H2 FCET Units]]+Table1[[#This Row],[H2 ICE Units]]+Table1[[#This Row],[BET Units ]]</f>
        <v>969430.3826596369</v>
      </c>
    </row>
    <row r="32" spans="1:16">
      <c r="A32" s="95">
        <v>2055</v>
      </c>
      <c r="B32" s="459">
        <f>'AnnualSalesSummary Revised'!$AI$75</f>
        <v>1029830</v>
      </c>
      <c r="C32" s="152">
        <f t="shared" si="0"/>
        <v>0.87248713217441975</v>
      </c>
      <c r="D32" s="159">
        <f t="shared" si="1"/>
        <v>898513.42332718265</v>
      </c>
      <c r="E32" s="152">
        <f t="shared" si="2"/>
        <v>6.594153636981645E-2</v>
      </c>
      <c r="F32" s="159">
        <f t="shared" si="3"/>
        <v>67908.572399728073</v>
      </c>
      <c r="G32" s="152">
        <f t="shared" si="4"/>
        <v>6.1571331455763816E-2</v>
      </c>
      <c r="H32" s="153">
        <f t="shared" si="8"/>
        <v>63408.004273089253</v>
      </c>
      <c r="I32" s="159">
        <f>Table1[[#This Row],[LNG Share %]]*Table1[[#This Row],[Grand Total Sales]]</f>
        <v>0</v>
      </c>
      <c r="J32" s="154">
        <f t="shared" si="5"/>
        <v>0</v>
      </c>
      <c r="K32" s="115">
        <f>Table1[[#This Row],[CNG Share %]]*Table1[[#This Row],[Grand Total Sales]]</f>
        <v>0</v>
      </c>
      <c r="L32" s="152">
        <f t="shared" si="6"/>
        <v>0</v>
      </c>
      <c r="M32" s="160">
        <f>Table1[[#This Row],[Grand Total Sales]]-(Table1[[#This Row],[BET Units ]]+Table1[[#This Row],[H2 ICE Units]]+Table1[[#This Row],[H2 FCET Units]]+Table1[[#This Row],[LNG Units]]+Table1[[#This Row],[CNG Units]])</f>
        <v>0</v>
      </c>
      <c r="N32" s="158">
        <f>Table1[[#This Row],[Diesel]]/Table1[[#This Row],[Grand Total Sales]]</f>
        <v>0</v>
      </c>
      <c r="O32" s="161">
        <f t="shared" si="7"/>
        <v>1</v>
      </c>
      <c r="P32" s="160">
        <f>Table1[[#This Row],[H2 FCET Units]]+Table1[[#This Row],[H2 ICE Units]]+Table1[[#This Row],[BET Units ]]</f>
        <v>1029830</v>
      </c>
    </row>
    <row r="64" spans="4:7">
      <c r="D64" s="82" t="s">
        <v>516</v>
      </c>
      <c r="E64" s="87" t="s">
        <v>1218</v>
      </c>
      <c r="F64" s="88" t="s">
        <v>1227</v>
      </c>
      <c r="G64" s="82" t="s">
        <v>1219</v>
      </c>
    </row>
    <row r="65" spans="4:7">
      <c r="D65" s="82" t="s">
        <v>182</v>
      </c>
      <c r="E65" s="87" t="s">
        <v>1220</v>
      </c>
      <c r="F65" s="978">
        <v>2034</v>
      </c>
      <c r="G65" s="82" t="s">
        <v>1221</v>
      </c>
    </row>
    <row r="66" spans="4:7">
      <c r="D66" s="82" t="s">
        <v>181</v>
      </c>
      <c r="E66" s="87" t="s">
        <v>1222</v>
      </c>
      <c r="F66" s="978" t="s">
        <v>1228</v>
      </c>
      <c r="G66" s="82" t="s">
        <v>1221</v>
      </c>
    </row>
    <row r="67" spans="4:7">
      <c r="D67" s="82" t="s">
        <v>183</v>
      </c>
      <c r="E67" s="87" t="s">
        <v>1223</v>
      </c>
      <c r="F67" s="978" t="s">
        <v>1228</v>
      </c>
      <c r="G67" s="82" t="s">
        <v>1221</v>
      </c>
    </row>
    <row r="68" spans="4:7">
      <c r="D68" s="82" t="s">
        <v>180</v>
      </c>
      <c r="E68" s="87" t="s">
        <v>1224</v>
      </c>
      <c r="F68" s="978" t="s">
        <v>1228</v>
      </c>
      <c r="G68" s="82">
        <v>2054</v>
      </c>
    </row>
    <row r="69" spans="4:7">
      <c r="D69" s="82" t="s">
        <v>179</v>
      </c>
      <c r="E69" s="87" t="s">
        <v>1225</v>
      </c>
      <c r="F69" s="978" t="s">
        <v>1228</v>
      </c>
      <c r="G69" s="82">
        <v>2054</v>
      </c>
    </row>
    <row r="70" spans="4:7">
      <c r="D70" s="82" t="s">
        <v>178</v>
      </c>
      <c r="E70" s="87" t="s">
        <v>1226</v>
      </c>
      <c r="F70" s="978">
        <v>2048</v>
      </c>
      <c r="G70" s="82">
        <v>2054</v>
      </c>
    </row>
  </sheetData>
  <autoFilter ref="O1:O32" xr:uid="{00000000-0009-0000-0000-00000E000000}"/>
  <phoneticPr fontId="13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118"/>
  <sheetViews>
    <sheetView topLeftCell="A94" zoomScale="80" zoomScaleNormal="80" workbookViewId="0">
      <selection activeCell="A124" sqref="A124:A131"/>
    </sheetView>
  </sheetViews>
  <sheetFormatPr defaultColWidth="8.88671875" defaultRowHeight="14.4"/>
  <cols>
    <col min="1" max="1" width="32" style="4" bestFit="1" customWidth="1"/>
    <col min="2" max="2" width="29.88671875" style="4" bestFit="1" customWidth="1"/>
    <col min="3" max="3" width="30.88671875" style="4" bestFit="1" customWidth="1"/>
    <col min="4" max="4" width="23" style="4" bestFit="1" customWidth="1"/>
    <col min="5" max="5" width="37.109375" style="4" bestFit="1" customWidth="1"/>
    <col min="6" max="6" width="15.88671875" style="4" bestFit="1" customWidth="1"/>
    <col min="7" max="7" width="30.44140625" style="4" bestFit="1" customWidth="1"/>
    <col min="8" max="8" width="25.44140625" style="4" bestFit="1" customWidth="1"/>
    <col min="9" max="9" width="15.6640625" style="4" bestFit="1" customWidth="1"/>
    <col min="10" max="10" width="20.88671875" style="4" bestFit="1" customWidth="1"/>
    <col min="11" max="11" width="25.6640625" style="4" bestFit="1" customWidth="1"/>
    <col min="12" max="12" width="14.88671875" style="4" bestFit="1" customWidth="1"/>
    <col min="13" max="13" width="11.6640625" style="4" bestFit="1" customWidth="1"/>
    <col min="14" max="14" width="13" style="4" bestFit="1" customWidth="1"/>
    <col min="15" max="15" width="10.88671875" style="4" bestFit="1" customWidth="1"/>
    <col min="16" max="16" width="9" style="4" bestFit="1" customWidth="1"/>
    <col min="17" max="30" width="11.6640625" style="4" bestFit="1" customWidth="1"/>
    <col min="31" max="31" width="11.6640625" style="4" customWidth="1"/>
    <col min="32" max="32" width="11.6640625" style="4" bestFit="1" customWidth="1"/>
    <col min="33" max="16384" width="8.88671875" style="4"/>
  </cols>
  <sheetData>
    <row r="1" spans="1:32" ht="15" customHeight="1" thickBot="1">
      <c r="A1" s="190" t="s">
        <v>516</v>
      </c>
      <c r="B1" s="190" t="s">
        <v>567</v>
      </c>
      <c r="C1" s="190" t="s">
        <v>568</v>
      </c>
      <c r="D1" s="191" t="s">
        <v>569</v>
      </c>
      <c r="E1" s="192" t="s">
        <v>570</v>
      </c>
      <c r="G1" s="135" t="s">
        <v>571</v>
      </c>
      <c r="H1" s="135" t="s">
        <v>382</v>
      </c>
      <c r="I1" s="135" t="s">
        <v>572</v>
      </c>
      <c r="J1" s="135" t="s">
        <v>573</v>
      </c>
      <c r="K1" s="135" t="s">
        <v>574</v>
      </c>
      <c r="L1" s="135" t="s">
        <v>666</v>
      </c>
      <c r="M1" s="135" t="s">
        <v>667</v>
      </c>
      <c r="N1" s="135" t="s">
        <v>575</v>
      </c>
      <c r="O1" s="187" t="s">
        <v>577</v>
      </c>
      <c r="P1" s="135" t="s">
        <v>576</v>
      </c>
    </row>
    <row r="2" spans="1:32" ht="15" customHeight="1" thickBot="1">
      <c r="A2" s="193" t="s">
        <v>578</v>
      </c>
      <c r="B2" s="204">
        <v>0.53</v>
      </c>
      <c r="C2" s="204">
        <v>2.6</v>
      </c>
      <c r="D2" s="205">
        <f t="shared" ref="D2:D5" si="0">SUM(B2:C2)</f>
        <v>3.13</v>
      </c>
      <c r="E2" s="145" t="s">
        <v>579</v>
      </c>
      <c r="G2" s="194" t="s">
        <v>43</v>
      </c>
      <c r="H2" s="195">
        <f>'No change with year'!K5</f>
        <v>360</v>
      </c>
      <c r="I2" s="195">
        <f>'No change with year'!L5</f>
        <v>300</v>
      </c>
      <c r="J2" s="195">
        <f t="shared" ref="J2:J10" si="1">I2*H2</f>
        <v>108000</v>
      </c>
      <c r="K2" s="196">
        <f>AVERAGE('No change with year'!S5:S7)</f>
        <v>4.2</v>
      </c>
      <c r="L2" s="196">
        <f>AVERAGE('No change with year'!T5:T7)</f>
        <v>4.4333333333333327</v>
      </c>
      <c r="M2" s="196">
        <f>AVERAGE('No change with year'!U5:U7)</f>
        <v>4.3166666666666673</v>
      </c>
      <c r="N2" s="196">
        <f>AVERAGE('No change with year'!V5:V7)</f>
        <v>12.6</v>
      </c>
      <c r="O2" s="196">
        <f>AVERAGE('No change with year'!W5:W7)</f>
        <v>1.1666666666666667</v>
      </c>
      <c r="P2" s="196">
        <f>AVERAGE('No change with year'!X5:X7)</f>
        <v>16.8</v>
      </c>
    </row>
    <row r="3" spans="1:32" ht="15" customHeight="1" thickBot="1">
      <c r="A3" s="193" t="s">
        <v>580</v>
      </c>
      <c r="B3" s="204">
        <f>0.85*B2</f>
        <v>0.45050000000000001</v>
      </c>
      <c r="C3" s="204">
        <f>0.85*C2</f>
        <v>2.21</v>
      </c>
      <c r="D3" s="205">
        <f t="shared" si="0"/>
        <v>2.6604999999999999</v>
      </c>
      <c r="E3" s="197" t="s">
        <v>581</v>
      </c>
      <c r="G3" s="194" t="s">
        <v>51</v>
      </c>
      <c r="H3" s="195">
        <f>'No change with year'!K8</f>
        <v>360</v>
      </c>
      <c r="I3" s="195">
        <f>'No change with year'!L8</f>
        <v>300</v>
      </c>
      <c r="J3" s="195">
        <f t="shared" si="1"/>
        <v>108000</v>
      </c>
      <c r="K3" s="196">
        <f>AVERAGE('No change with year'!S8:S9)</f>
        <v>4.75</v>
      </c>
      <c r="L3" s="196">
        <f>AVERAGE('No change with year'!T8:T9)</f>
        <v>5.0999999999999996</v>
      </c>
      <c r="M3" s="196">
        <f>AVERAGE('No change with year'!U8:U9)</f>
        <v>4.9250000000000007</v>
      </c>
      <c r="N3" s="196">
        <f>AVERAGE('No change with year'!V8:V9)</f>
        <v>14.25</v>
      </c>
      <c r="O3" s="196">
        <f>AVERAGE('No change with year'!W8:W9)</f>
        <v>1.0249999999999999</v>
      </c>
      <c r="P3" s="196">
        <f>AVERAGE('No change with year'!X8:X9)</f>
        <v>19</v>
      </c>
    </row>
    <row r="4" spans="1:32" ht="15" customHeight="1" thickBot="1">
      <c r="A4" s="193" t="s">
        <v>582</v>
      </c>
      <c r="B4" s="204">
        <f>0.92*B2</f>
        <v>0.48760000000000003</v>
      </c>
      <c r="C4" s="204">
        <f>0.92*C2</f>
        <v>2.3920000000000003</v>
      </c>
      <c r="D4" s="205">
        <f t="shared" si="0"/>
        <v>2.8796000000000004</v>
      </c>
      <c r="E4" s="197" t="s">
        <v>583</v>
      </c>
      <c r="G4" s="194" t="s">
        <v>58</v>
      </c>
      <c r="H4" s="195">
        <f>'No change with year'!K14</f>
        <v>360</v>
      </c>
      <c r="I4" s="195">
        <f>'No change with year'!L14</f>
        <v>300</v>
      </c>
      <c r="J4" s="195">
        <f t="shared" si="1"/>
        <v>108000</v>
      </c>
      <c r="K4" s="196">
        <f>AVERAGE('No change with year'!S13:S14)</f>
        <v>2.75</v>
      </c>
      <c r="L4" s="196">
        <f>AVERAGE('No change with year'!T13:T14)</f>
        <v>2.95</v>
      </c>
      <c r="M4" s="196">
        <f>AVERAGE('No change with year'!U13:U14)</f>
        <v>2.85</v>
      </c>
      <c r="N4" s="196">
        <f>AVERAGE('No change with year'!V13:V14)</f>
        <v>8.25</v>
      </c>
      <c r="O4" s="196">
        <f>AVERAGE('No change with year'!W13:W14)</f>
        <v>1.4249999999999998</v>
      </c>
      <c r="P4" s="196">
        <f>AVERAGE('No change with year'!X13:X14)</f>
        <v>11</v>
      </c>
    </row>
    <row r="5" spans="1:32" ht="15" customHeight="1" thickBot="1">
      <c r="A5" s="193" t="s">
        <v>584</v>
      </c>
      <c r="B5" s="204">
        <v>0.74550000000000005</v>
      </c>
      <c r="C5" s="204">
        <v>0</v>
      </c>
      <c r="D5" s="205">
        <f t="shared" si="0"/>
        <v>0.74550000000000005</v>
      </c>
      <c r="E5" s="145" t="s">
        <v>585</v>
      </c>
      <c r="G5" s="194" t="s">
        <v>54</v>
      </c>
      <c r="H5" s="195">
        <f>'No change with year'!K15</f>
        <v>300</v>
      </c>
      <c r="I5" s="195">
        <f>'No change with year'!L15</f>
        <v>320</v>
      </c>
      <c r="J5" s="195">
        <f t="shared" si="1"/>
        <v>96000</v>
      </c>
      <c r="K5" s="196">
        <f>'No change with year'!$S$15</f>
        <v>2.6</v>
      </c>
      <c r="L5" s="196">
        <f>'No change with year'!$S$15</f>
        <v>2.6</v>
      </c>
      <c r="M5" s="196">
        <f>'No change with year'!$S$15</f>
        <v>2.6</v>
      </c>
      <c r="N5" s="196">
        <f>'No change with year'!$S$15</f>
        <v>2.6</v>
      </c>
      <c r="O5" s="196">
        <f>'No change with year'!$S$15</f>
        <v>2.6</v>
      </c>
      <c r="P5" s="196">
        <f>'No change with year'!$S$15</f>
        <v>2.6</v>
      </c>
    </row>
    <row r="6" spans="1:32" ht="15" customHeight="1" thickBot="1">
      <c r="A6" s="193" t="s">
        <v>586</v>
      </c>
      <c r="B6" s="204">
        <v>7.0000000000000007E-2</v>
      </c>
      <c r="C6" s="204">
        <v>0</v>
      </c>
      <c r="D6" s="205">
        <f t="shared" ref="D6" si="2">SUM(B6:C6)</f>
        <v>7.0000000000000007E-2</v>
      </c>
      <c r="E6" s="197" t="s">
        <v>587</v>
      </c>
      <c r="G6" s="194" t="s">
        <v>55</v>
      </c>
      <c r="H6" s="195">
        <f>'No change with year'!K16</f>
        <v>250</v>
      </c>
      <c r="I6" s="195">
        <f>'No change with year'!L16</f>
        <v>300</v>
      </c>
      <c r="J6" s="195">
        <f t="shared" si="1"/>
        <v>75000</v>
      </c>
      <c r="K6" s="196">
        <f>AVERAGE('No change with year'!S16)</f>
        <v>4.7</v>
      </c>
      <c r="L6" s="196">
        <f>AVERAGE('No change with year'!T16)</f>
        <v>4.9000000000000004</v>
      </c>
      <c r="M6" s="196">
        <f>AVERAGE('No change with year'!U16)</f>
        <v>4.8000000000000007</v>
      </c>
      <c r="N6" s="196">
        <f>AVERAGE('No change with year'!V16)</f>
        <v>14.100000000000001</v>
      </c>
      <c r="O6" s="196">
        <f>AVERAGE('No change with year'!W16)</f>
        <v>1.05</v>
      </c>
      <c r="P6" s="196">
        <f>AVERAGE('No change with year'!X16)</f>
        <v>18.8</v>
      </c>
    </row>
    <row r="7" spans="1:32" ht="15" customHeight="1" thickBot="1">
      <c r="A7" s="193" t="s">
        <v>588</v>
      </c>
      <c r="B7" s="204">
        <v>7.0000000000000007E-2</v>
      </c>
      <c r="C7" s="204">
        <v>0</v>
      </c>
      <c r="D7" s="205">
        <f t="shared" ref="D7" si="3">SUM(B7:C7)</f>
        <v>7.0000000000000007E-2</v>
      </c>
      <c r="E7" s="197" t="s">
        <v>589</v>
      </c>
      <c r="G7" s="194" t="s">
        <v>56</v>
      </c>
      <c r="H7" s="195">
        <f>'No change with year'!K17</f>
        <v>300</v>
      </c>
      <c r="I7" s="195">
        <f>'No change with year'!L17</f>
        <v>300</v>
      </c>
      <c r="J7" s="195">
        <f t="shared" si="1"/>
        <v>90000</v>
      </c>
      <c r="K7" s="196">
        <f>'No change with year'!S17</f>
        <v>4.7</v>
      </c>
      <c r="L7" s="196">
        <f>'No change with year'!T17</f>
        <v>4.9000000000000004</v>
      </c>
      <c r="M7" s="196">
        <f>'No change with year'!U17</f>
        <v>4.8000000000000007</v>
      </c>
      <c r="N7" s="196">
        <f>'No change with year'!V17</f>
        <v>14.100000000000001</v>
      </c>
      <c r="O7" s="196">
        <f>'No change with year'!W17</f>
        <v>1.05</v>
      </c>
      <c r="P7" s="196">
        <f>'No change with year'!X17</f>
        <v>18.8</v>
      </c>
    </row>
    <row r="8" spans="1:32">
      <c r="G8" s="194" t="s">
        <v>549</v>
      </c>
      <c r="H8" s="195">
        <f>'No change with year'!K12</f>
        <v>240</v>
      </c>
      <c r="I8" s="195">
        <f>'No change with year'!L12</f>
        <v>280</v>
      </c>
      <c r="J8" s="195">
        <f t="shared" si="1"/>
        <v>67200</v>
      </c>
      <c r="K8" s="196">
        <f>AVERAGE('No change with year'!S11:S12)</f>
        <v>3.4</v>
      </c>
      <c r="L8" s="196">
        <f>AVERAGE('No change with year'!T11:T12)</f>
        <v>3.6</v>
      </c>
      <c r="M8" s="196">
        <f>AVERAGE('No change with year'!U11:U12)</f>
        <v>3.5</v>
      </c>
      <c r="N8" s="196">
        <f>AVERAGE('No change with year'!V11:V12)</f>
        <v>10.199999999999999</v>
      </c>
      <c r="O8" s="196">
        <f>AVERAGE('No change with year'!W11:W12)</f>
        <v>1.35</v>
      </c>
      <c r="P8" s="196">
        <f>AVERAGE('No change with year'!X11:X12)</f>
        <v>13.6</v>
      </c>
    </row>
    <row r="9" spans="1:32">
      <c r="G9" s="194" t="s">
        <v>52</v>
      </c>
      <c r="H9" s="195">
        <f>'No change with year'!K10</f>
        <v>400</v>
      </c>
      <c r="I9" s="195">
        <f>'No change with year'!L10</f>
        <v>300</v>
      </c>
      <c r="J9" s="195">
        <f t="shared" si="1"/>
        <v>120000</v>
      </c>
      <c r="K9" s="196">
        <f>'No change with year'!S10</f>
        <v>6</v>
      </c>
      <c r="L9" s="196">
        <f>'No change with year'!T10</f>
        <v>6.3</v>
      </c>
      <c r="M9" s="196">
        <f>'No change with year'!U10</f>
        <v>6.15</v>
      </c>
      <c r="N9" s="196">
        <f>'No change with year'!V10</f>
        <v>18</v>
      </c>
      <c r="O9" s="196">
        <f>'No change with year'!W10</f>
        <v>0.85</v>
      </c>
      <c r="P9" s="196">
        <f>'No change with year'!X10</f>
        <v>24</v>
      </c>
    </row>
    <row r="10" spans="1:32">
      <c r="G10" s="194" t="s">
        <v>57</v>
      </c>
      <c r="H10" s="195">
        <f>'No change with year'!K18</f>
        <v>250</v>
      </c>
      <c r="I10" s="195">
        <f>'No change with year'!L18</f>
        <v>240</v>
      </c>
      <c r="J10" s="195">
        <f t="shared" si="1"/>
        <v>60000</v>
      </c>
      <c r="K10" s="196">
        <f>'No change with year'!S18</f>
        <v>3.6</v>
      </c>
      <c r="L10" s="196">
        <f>'No change with year'!T18</f>
        <v>3.8</v>
      </c>
      <c r="M10" s="196">
        <f>'No change with year'!U18</f>
        <v>3.7</v>
      </c>
      <c r="N10" s="196">
        <f>'No change with year'!V18</f>
        <v>10.8</v>
      </c>
      <c r="O10" s="196">
        <f>'No change with year'!W18</f>
        <v>1.25</v>
      </c>
      <c r="P10" s="196">
        <f>'No change with year'!X18</f>
        <v>14.4</v>
      </c>
    </row>
    <row r="12" spans="1:32" s="1" customFormat="1">
      <c r="A12" s="189" t="s">
        <v>590</v>
      </c>
      <c r="B12" s="189">
        <v>2025</v>
      </c>
      <c r="C12" s="189">
        <v>2026</v>
      </c>
      <c r="D12" s="189">
        <v>2027</v>
      </c>
      <c r="E12" s="189">
        <v>2028</v>
      </c>
      <c r="F12" s="189">
        <v>2029</v>
      </c>
      <c r="G12" s="189">
        <v>2030</v>
      </c>
      <c r="H12" s="189">
        <v>2031</v>
      </c>
      <c r="I12" s="189">
        <v>2032</v>
      </c>
      <c r="J12" s="189">
        <v>2033</v>
      </c>
      <c r="K12" s="189">
        <v>2034</v>
      </c>
      <c r="L12" s="189">
        <v>2035</v>
      </c>
      <c r="M12" s="189">
        <v>2036</v>
      </c>
      <c r="N12" s="189">
        <v>2037</v>
      </c>
      <c r="O12" s="189">
        <v>2038</v>
      </c>
      <c r="P12" s="189">
        <v>2039</v>
      </c>
      <c r="Q12" s="189">
        <v>2040</v>
      </c>
      <c r="R12" s="189">
        <v>2041</v>
      </c>
      <c r="S12" s="189">
        <v>2042</v>
      </c>
      <c r="T12" s="189">
        <v>2043</v>
      </c>
      <c r="U12" s="189">
        <v>2044</v>
      </c>
      <c r="V12" s="189">
        <v>2045</v>
      </c>
      <c r="W12" s="189">
        <v>2046</v>
      </c>
      <c r="X12" s="189">
        <v>2047</v>
      </c>
      <c r="Y12" s="189">
        <v>2048</v>
      </c>
      <c r="Z12" s="189">
        <v>2049</v>
      </c>
      <c r="AA12" s="189">
        <v>2050</v>
      </c>
      <c r="AB12" s="189">
        <v>2051</v>
      </c>
      <c r="AC12" s="189">
        <v>2052</v>
      </c>
      <c r="AD12" s="189">
        <v>2053</v>
      </c>
      <c r="AE12" s="189">
        <v>2054</v>
      </c>
      <c r="AF12" s="189">
        <v>2055</v>
      </c>
    </row>
    <row r="13" spans="1:32">
      <c r="A13" s="198" t="s">
        <v>43</v>
      </c>
      <c r="B13" s="206">
        <f ca="1">$D$2*$J2*'Applicationwise Stock'!B23/($K2*1000000000)</f>
        <v>123.24619299764248</v>
      </c>
      <c r="C13" s="206">
        <f ca="1">$D$2*$J2*'Applicationwise Stock'!C23/($K2*1000000000)</f>
        <v>125.5039768141732</v>
      </c>
      <c r="D13" s="206">
        <f ca="1">$D$2*$J2*'Applicationwise Stock'!D23/($K2*1000000000)</f>
        <v>128.10549106012633</v>
      </c>
      <c r="E13" s="206">
        <f ca="1">$D$2*$J2*'Applicationwise Stock'!E23/($K2*1000000000)</f>
        <v>129.39596825757357</v>
      </c>
      <c r="F13" s="206">
        <f ca="1">$D$2*$J2*'Applicationwise Stock'!F23/($K2*1000000000)</f>
        <v>132.09409562890778</v>
      </c>
      <c r="G13" s="206">
        <f ca="1">$D$2*$J2*'Applicationwise Stock'!G23/($K2*1000000000)</f>
        <v>131.27721925280957</v>
      </c>
      <c r="H13" s="206">
        <f ca="1">$D$2*$J2*'Applicationwise Stock'!H23/($K2*1000000000)</f>
        <v>130.13842589344884</v>
      </c>
      <c r="I13" s="206">
        <f ca="1">$D$2*$J2*'Applicationwise Stock'!I23/($K2*1000000000)</f>
        <v>133.33463950177631</v>
      </c>
      <c r="J13" s="206">
        <f ca="1">$D$2*$J2*'Applicationwise Stock'!J23/($K2*1000000000)</f>
        <v>136.92444953800575</v>
      </c>
      <c r="K13" s="206">
        <f ca="1">$D$2*$J2*'Applicationwise Stock'!K23/($K2*1000000000)</f>
        <v>139.68745631357629</v>
      </c>
      <c r="L13" s="206">
        <f ca="1">$D$2*$J2*'Applicationwise Stock'!L23/($K2*1000000000)</f>
        <v>143.10083063867975</v>
      </c>
      <c r="M13" s="206">
        <f ca="1">$D$2*$J2*'Applicationwise Stock'!M23/($K2*1000000000)</f>
        <v>146.44343619015331</v>
      </c>
      <c r="N13" s="206">
        <f ca="1">$D$2*$J2*'Applicationwise Stock'!N23/($K2*1000000000)</f>
        <v>150.28729438185781</v>
      </c>
      <c r="O13" s="206">
        <f ca="1">$D$2*$J2*'Applicationwise Stock'!O23/($K2*1000000000)</f>
        <v>149.4984393706257</v>
      </c>
      <c r="P13" s="206">
        <f ca="1">$D$2*$J2*'Applicationwise Stock'!P23/($K2*1000000000)</f>
        <v>148.32340769750522</v>
      </c>
      <c r="Q13" s="206">
        <f ca="1">$D$2*$J2*'Applicationwise Stock'!Q23/($K2*1000000000)</f>
        <v>145.87514577659667</v>
      </c>
      <c r="R13" s="206">
        <f ca="1">$D$2*$J2*'Applicationwise Stock'!R23/($K2*1000000000)</f>
        <v>144.88131787131869</v>
      </c>
      <c r="S13" s="206">
        <f ca="1">$D$2*$J2*'Applicationwise Stock'!S23/($K2*1000000000)</f>
        <v>145.11833655659947</v>
      </c>
      <c r="T13" s="206">
        <f ca="1">$D$2*$J2*'Applicationwise Stock'!T23/($K2*1000000000)</f>
        <v>145.14972327661371</v>
      </c>
      <c r="U13" s="206">
        <f ca="1">$D$2*$J2*'Applicationwise Stock'!U23/($K2*1000000000)</f>
        <v>142.46111879737569</v>
      </c>
      <c r="V13" s="206">
        <f ca="1">$D$2*$J2*'Applicationwise Stock'!V23/($K2*1000000000)</f>
        <v>140.0036944353254</v>
      </c>
      <c r="W13" s="206">
        <f ca="1">$D$2*$J2*'Applicationwise Stock'!W23/($K2*1000000000)</f>
        <v>137.55547670733873</v>
      </c>
      <c r="X13" s="206">
        <f ca="1">$D$2*$J2*'Applicationwise Stock'!X23/($K2*1000000000)</f>
        <v>133.68553909062871</v>
      </c>
      <c r="Y13" s="206">
        <f ca="1">$D$2*$J2*'Applicationwise Stock'!Y23/($K2*1000000000)</f>
        <v>128.89028315367815</v>
      </c>
      <c r="Z13" s="206">
        <f ca="1">$D$2*$J2*'Applicationwise Stock'!Z23/($K2*1000000000)</f>
        <v>124.24368093504616</v>
      </c>
      <c r="AA13" s="206">
        <f ca="1">$D$2*$J2*'Applicationwise Stock'!AA23/($K2*1000000000)</f>
        <v>120.33126937083648</v>
      </c>
      <c r="AB13" s="206">
        <f ca="1">$D$2*$J2*'Applicationwise Stock'!AB23/($K2*1000000000)</f>
        <v>115.92646553392157</v>
      </c>
      <c r="AC13" s="206">
        <f ca="1">$D$2*$J2*'Applicationwise Stock'!AC23/($K2*1000000000)</f>
        <v>111.96410058860523</v>
      </c>
      <c r="AD13" s="206">
        <f ca="1">$D$2*$J2*'Applicationwise Stock'!AD23/($K2*1000000000)</f>
        <v>107.97689477616484</v>
      </c>
      <c r="AE13" s="206">
        <f ca="1">$D$2*$J2*'Applicationwise Stock'!AE23/($K2*1000000000)</f>
        <v>104.32386115250888</v>
      </c>
      <c r="AF13" s="206">
        <f ca="1">$D$2*$J2*'Applicationwise Stock'!AF23/($K2*1000000000)</f>
        <v>101.09801318827813</v>
      </c>
    </row>
    <row r="14" spans="1:32">
      <c r="A14" s="198" t="s">
        <v>51</v>
      </c>
      <c r="B14" s="206">
        <f ca="1">$D$2*$J3*'Applicationwise Stock'!B24/($K3*1000000000)</f>
        <v>152.89699720620391</v>
      </c>
      <c r="C14" s="206">
        <f ca="1">$D$2*$J3*'Applicationwise Stock'!C24/($K3*1000000000)</f>
        <v>154.44898775002602</v>
      </c>
      <c r="D14" s="206">
        <f ca="1">$D$2*$J3*'Applicationwise Stock'!D24/($K3*1000000000)</f>
        <v>158.44212863207855</v>
      </c>
      <c r="E14" s="206">
        <f ca="1">$D$2*$J3*'Applicationwise Stock'!E24/($K3*1000000000)</f>
        <v>159.62710458014044</v>
      </c>
      <c r="F14" s="206">
        <f ca="1">$D$2*$J3*'Applicationwise Stock'!F24/($K3*1000000000)</f>
        <v>163.55259973771976</v>
      </c>
      <c r="G14" s="206">
        <f ca="1">$D$2*$J3*'Applicationwise Stock'!G24/($K3*1000000000)</f>
        <v>163.45830381572833</v>
      </c>
      <c r="H14" s="206">
        <f ca="1">$D$2*$J3*'Applicationwise Stock'!H24/($K3*1000000000)</f>
        <v>162.39988890105269</v>
      </c>
      <c r="I14" s="206">
        <f ca="1">$D$2*$J3*'Applicationwise Stock'!I24/($K3*1000000000)</f>
        <v>169.60633968234356</v>
      </c>
      <c r="J14" s="206">
        <f ca="1">$D$2*$J3*'Applicationwise Stock'!J24/($K3*1000000000)</f>
        <v>171.53859275605174</v>
      </c>
      <c r="K14" s="206">
        <f ca="1">$D$2*$J3*'Applicationwise Stock'!K24/($K3*1000000000)</f>
        <v>177.06965163443368</v>
      </c>
      <c r="L14" s="206">
        <f ca="1">$D$2*$J3*'Applicationwise Stock'!L24/($K3*1000000000)</f>
        <v>185.95866215472751</v>
      </c>
      <c r="M14" s="206">
        <f ca="1">$D$2*$J3*'Applicationwise Stock'!M24/($K3*1000000000)</f>
        <v>190.28164727257314</v>
      </c>
      <c r="N14" s="206">
        <f ca="1">$D$2*$J3*'Applicationwise Stock'!N24/($K3*1000000000)</f>
        <v>183.91213014547918</v>
      </c>
      <c r="O14" s="206">
        <f ca="1">$D$2*$J3*'Applicationwise Stock'!O24/($K3*1000000000)</f>
        <v>181.38354991353933</v>
      </c>
      <c r="P14" s="206">
        <f ca="1">$D$2*$J3*'Applicationwise Stock'!P24/($K3*1000000000)</f>
        <v>178.04689593835661</v>
      </c>
      <c r="Q14" s="206">
        <f ca="1">$D$2*$J3*'Applicationwise Stock'!Q24/($K3*1000000000)</f>
        <v>176.25413186737782</v>
      </c>
      <c r="R14" s="206">
        <f ca="1">$D$2*$J3*'Applicationwise Stock'!R24/($K3*1000000000)</f>
        <v>175.47947273878995</v>
      </c>
      <c r="S14" s="206">
        <f ca="1">$D$2*$J3*'Applicationwise Stock'!S24/($K3*1000000000)</f>
        <v>176.70351573523277</v>
      </c>
      <c r="T14" s="206">
        <f ca="1">$D$2*$J3*'Applicationwise Stock'!T24/($K3*1000000000)</f>
        <v>176.5426922868443</v>
      </c>
      <c r="U14" s="206">
        <f ca="1">$D$2*$J3*'Applicationwise Stock'!U24/($K3*1000000000)</f>
        <v>173.70314642356968</v>
      </c>
      <c r="V14" s="206">
        <f ca="1">$D$2*$J3*'Applicationwise Stock'!V24/($K3*1000000000)</f>
        <v>170.59752143186731</v>
      </c>
      <c r="W14" s="206">
        <f ca="1">$D$2*$J3*'Applicationwise Stock'!W24/($K3*1000000000)</f>
        <v>167.62571508679491</v>
      </c>
      <c r="X14" s="206">
        <f ca="1">$D$2*$J3*'Applicationwise Stock'!X24/($K3*1000000000)</f>
        <v>162.9967292835999</v>
      </c>
      <c r="Y14" s="206">
        <f ca="1">$D$2*$J3*'Applicationwise Stock'!Y24/($K3*1000000000)</f>
        <v>156.79064356073985</v>
      </c>
      <c r="Z14" s="206">
        <f ca="1">$D$2*$J3*'Applicationwise Stock'!Z24/($K3*1000000000)</f>
        <v>150.94416275621342</v>
      </c>
      <c r="AA14" s="206">
        <f ca="1">$D$2*$J3*'Applicationwise Stock'!AA24/($K3*1000000000)</f>
        <v>146.07272181944901</v>
      </c>
      <c r="AB14" s="206">
        <f ca="1">$D$2*$J3*'Applicationwise Stock'!AB24/($K3*1000000000)</f>
        <v>140.85457226615435</v>
      </c>
      <c r="AC14" s="206">
        <f ca="1">$D$2*$J3*'Applicationwise Stock'!AC24/($K3*1000000000)</f>
        <v>136.10026961718594</v>
      </c>
      <c r="AD14" s="206">
        <f ca="1">$D$2*$J3*'Applicationwise Stock'!AD24/($K3*1000000000)</f>
        <v>131.29432490846344</v>
      </c>
      <c r="AE14" s="206">
        <f ca="1">$D$2*$J3*'Applicationwise Stock'!AE24/($K3*1000000000)</f>
        <v>126.83828541782394</v>
      </c>
      <c r="AF14" s="206">
        <f ca="1">$D$2*$J3*'Applicationwise Stock'!AF24/($K3*1000000000)</f>
        <v>122.91272895107043</v>
      </c>
    </row>
    <row r="15" spans="1:32">
      <c r="A15" s="198" t="s">
        <v>58</v>
      </c>
      <c r="B15" s="206">
        <f ca="1">$D$2*$J4*'Applicationwise Stock'!B25/($K4*1000000000)</f>
        <v>53.379980277435671</v>
      </c>
      <c r="C15" s="206">
        <f ca="1">$D$2*$J4*'Applicationwise Stock'!C25/($K4*1000000000)</f>
        <v>55.191657245135367</v>
      </c>
      <c r="D15" s="206">
        <f ca="1">$D$2*$J4*'Applicationwise Stock'!D25/($K4*1000000000)</f>
        <v>55.129815935881794</v>
      </c>
      <c r="E15" s="206">
        <f ca="1">$D$2*$J4*'Applicationwise Stock'!E25/($K4*1000000000)</f>
        <v>56.578949006965367</v>
      </c>
      <c r="F15" s="206">
        <f ca="1">$D$2*$J4*'Applicationwise Stock'!F25/($K4*1000000000)</f>
        <v>56.331567947096779</v>
      </c>
      <c r="G15" s="206">
        <f ca="1">$D$2*$J4*'Applicationwise Stock'!G25/($K4*1000000000)</f>
        <v>55.549395626847698</v>
      </c>
      <c r="H15" s="206">
        <f ca="1">$D$2*$J4*'Applicationwise Stock'!H25/($K4*1000000000)</f>
        <v>55.535248280656425</v>
      </c>
      <c r="I15" s="206">
        <f ca="1">$D$2*$J4*'Applicationwise Stock'!I25/($K4*1000000000)</f>
        <v>53.646277436432321</v>
      </c>
      <c r="J15" s="206">
        <f ca="1">$D$2*$J4*'Applicationwise Stock'!J25/($K4*1000000000)</f>
        <v>54.15811370176317</v>
      </c>
      <c r="K15" s="206">
        <f ca="1">$D$2*$J4*'Applicationwise Stock'!K25/($K4*1000000000)</f>
        <v>56.766776447257655</v>
      </c>
      <c r="L15" s="206">
        <f ca="1">$D$2*$J4*'Applicationwise Stock'!L25/($K4*1000000000)</f>
        <v>55.721896232108108</v>
      </c>
      <c r="M15" s="206">
        <f ca="1">$D$2*$J4*'Applicationwise Stock'!M25/($K4*1000000000)</f>
        <v>57.644937413752963</v>
      </c>
      <c r="N15" s="206">
        <f ca="1">$D$2*$J4*'Applicationwise Stock'!N25/($K4*1000000000)</f>
        <v>56.597680186987148</v>
      </c>
      <c r="O15" s="206">
        <f ca="1">$D$2*$J4*'Applicationwise Stock'!O25/($K4*1000000000)</f>
        <v>55.427709911360452</v>
      </c>
      <c r="P15" s="206">
        <f ca="1">$D$2*$J4*'Applicationwise Stock'!P25/($K4*1000000000)</f>
        <v>54.333222296834862</v>
      </c>
      <c r="Q15" s="206">
        <f ca="1">$D$2*$J4*'Applicationwise Stock'!Q25/($K4*1000000000)</f>
        <v>53.923583675366757</v>
      </c>
      <c r="R15" s="206">
        <f ca="1">$D$2*$J4*'Applicationwise Stock'!R25/($K4*1000000000)</f>
        <v>52.913950557535358</v>
      </c>
      <c r="S15" s="206">
        <f ca="1">$D$2*$J4*'Applicationwise Stock'!S25/($K4*1000000000)</f>
        <v>59.572603277378882</v>
      </c>
      <c r="T15" s="206">
        <f ca="1">$D$2*$J4*'Applicationwise Stock'!T25/($K4*1000000000)</f>
        <v>59.074896774516354</v>
      </c>
      <c r="U15" s="206">
        <f ca="1">$D$2*$J4*'Applicationwise Stock'!U25/($K4*1000000000)</f>
        <v>57.702364828325472</v>
      </c>
      <c r="V15" s="206">
        <f ca="1">$D$2*$J4*'Applicationwise Stock'!V25/($K4*1000000000)</f>
        <v>56.355704366087188</v>
      </c>
      <c r="W15" s="206">
        <f ca="1">$D$2*$J4*'Applicationwise Stock'!W25/($K4*1000000000)</f>
        <v>55.040486002946885</v>
      </c>
      <c r="X15" s="206">
        <f ca="1">$D$2*$J4*'Applicationwise Stock'!X25/($K4*1000000000)</f>
        <v>53.314119421953414</v>
      </c>
      <c r="Y15" s="206">
        <f ca="1">$D$2*$J4*'Applicationwise Stock'!Y25/($K4*1000000000)</f>
        <v>51.591069458983576</v>
      </c>
      <c r="Z15" s="206">
        <f ca="1">$D$2*$J4*'Applicationwise Stock'!Z25/($K4*1000000000)</f>
        <v>49.846384666234734</v>
      </c>
      <c r="AA15" s="206">
        <f ca="1">$D$2*$J4*'Applicationwise Stock'!AA25/($K4*1000000000)</f>
        <v>47.917309232376965</v>
      </c>
      <c r="AB15" s="206">
        <f ca="1">$D$2*$J4*'Applicationwise Stock'!AB25/($K4*1000000000)</f>
        <v>46.565626705238031</v>
      </c>
      <c r="AC15" s="206">
        <f ca="1">$D$2*$J4*'Applicationwise Stock'!AC25/($K4*1000000000)</f>
        <v>45.379310259232135</v>
      </c>
      <c r="AD15" s="206">
        <f ca="1">$D$2*$J4*'Applicationwise Stock'!AD25/($K4*1000000000)</f>
        <v>44.247704047670069</v>
      </c>
      <c r="AE15" s="206">
        <f ca="1">$D$2*$J4*'Applicationwise Stock'!AE25/($K4*1000000000)</f>
        <v>42.750074260698021</v>
      </c>
      <c r="AF15" s="206">
        <f ca="1">$D$2*$J4*'Applicationwise Stock'!AF25/($K4*1000000000)</f>
        <v>41.458338030987896</v>
      </c>
    </row>
    <row r="16" spans="1:32">
      <c r="A16" s="198" t="s">
        <v>54</v>
      </c>
      <c r="B16" s="206">
        <f ca="1">$D$2*$J5*'Applicationwise Stock'!B26/($K5*1000000000)</f>
        <v>57.325811900957866</v>
      </c>
      <c r="C16" s="206">
        <f ca="1">$D$2*$J5*'Applicationwise Stock'!C26/($K5*1000000000)</f>
        <v>57.434333517331886</v>
      </c>
      <c r="D16" s="206">
        <f ca="1">$D$2*$J5*'Applicationwise Stock'!D26/($K5*1000000000)</f>
        <v>55.7276851556135</v>
      </c>
      <c r="E16" s="206">
        <f ca="1">$D$2*$J5*'Applicationwise Stock'!E26/($K5*1000000000)</f>
        <v>55.766006762074753</v>
      </c>
      <c r="F16" s="206">
        <f ca="1">$D$2*$J5*'Applicationwise Stock'!F26/($K5*1000000000)</f>
        <v>55.702411584317524</v>
      </c>
      <c r="G16" s="206">
        <f ca="1">$D$2*$J5*'Applicationwise Stock'!G26/($K5*1000000000)</f>
        <v>58.2469691757166</v>
      </c>
      <c r="H16" s="206">
        <f ca="1">$D$2*$J5*'Applicationwise Stock'!H26/($K5*1000000000)</f>
        <v>61.456188596407131</v>
      </c>
      <c r="I16" s="206">
        <f ca="1">$D$2*$J5*'Applicationwise Stock'!I26/($K5*1000000000)</f>
        <v>62.70414505317359</v>
      </c>
      <c r="J16" s="206">
        <f ca="1">$D$2*$J5*'Applicationwise Stock'!J26/($K5*1000000000)</f>
        <v>65.349633904148263</v>
      </c>
      <c r="K16" s="206">
        <f ca="1">$D$2*$J5*'Applicationwise Stock'!K26/($K5*1000000000)</f>
        <v>68.226966109856264</v>
      </c>
      <c r="L16" s="206">
        <f ca="1">$D$2*$J5*'Applicationwise Stock'!L26/($K5*1000000000)</f>
        <v>71.3840075170463</v>
      </c>
      <c r="M16" s="206">
        <f ca="1">$D$2*$J5*'Applicationwise Stock'!M26/($K5*1000000000)</f>
        <v>72.566282392119007</v>
      </c>
      <c r="N16" s="206">
        <f ca="1">$D$2*$J5*'Applicationwise Stock'!N26/($K5*1000000000)</f>
        <v>73.089618246252357</v>
      </c>
      <c r="O16" s="206">
        <f ca="1">$D$2*$J5*'Applicationwise Stock'!O26/($K5*1000000000)</f>
        <v>70.242531325437042</v>
      </c>
      <c r="P16" s="206">
        <f ca="1">$D$2*$J5*'Applicationwise Stock'!P26/($K5*1000000000)</f>
        <v>67.354853600017975</v>
      </c>
      <c r="Q16" s="206">
        <f ca="1">$D$2*$J5*'Applicationwise Stock'!Q26/($K5*1000000000)</f>
        <v>65.737872393290814</v>
      </c>
      <c r="R16" s="206">
        <f ca="1">$D$2*$J5*'Applicationwise Stock'!R26/($K5*1000000000)</f>
        <v>65.412537134164424</v>
      </c>
      <c r="S16" s="206">
        <f ca="1">$D$2*$J5*'Applicationwise Stock'!S26/($K5*1000000000)</f>
        <v>64.358776808834563</v>
      </c>
      <c r="T16" s="206">
        <f ca="1">$D$2*$J5*'Applicationwise Stock'!T26/($K5*1000000000)</f>
        <v>62.920872551318489</v>
      </c>
      <c r="U16" s="206">
        <f ca="1">$D$2*$J5*'Applicationwise Stock'!U26/($K5*1000000000)</f>
        <v>60.710197989755414</v>
      </c>
      <c r="V16" s="206">
        <f ca="1">$D$2*$J5*'Applicationwise Stock'!V26/($K5*1000000000)</f>
        <v>58.605630829675306</v>
      </c>
      <c r="W16" s="206">
        <f ca="1">$D$2*$J5*'Applicationwise Stock'!W26/($K5*1000000000)</f>
        <v>55.896261978809449</v>
      </c>
      <c r="X16" s="206">
        <f ca="1">$D$2*$J5*'Applicationwise Stock'!X26/($K5*1000000000)</f>
        <v>53.496409567566459</v>
      </c>
      <c r="Y16" s="206">
        <f ca="1">$D$2*$J5*'Applicationwise Stock'!Y26/($K5*1000000000)</f>
        <v>52.70562977478027</v>
      </c>
      <c r="Z16" s="206">
        <f ca="1">$D$2*$J5*'Applicationwise Stock'!Z26/($K5*1000000000)</f>
        <v>51.126004746461803</v>
      </c>
      <c r="AA16" s="206">
        <f ca="1">$D$2*$J5*'Applicationwise Stock'!AA26/($K5*1000000000)</f>
        <v>47.291776576891664</v>
      </c>
      <c r="AB16" s="206">
        <f ca="1">$D$2*$J5*'Applicationwise Stock'!AB26/($K5*1000000000)</f>
        <v>45.259661316535819</v>
      </c>
      <c r="AC16" s="206">
        <f ca="1">$D$2*$J5*'Applicationwise Stock'!AC26/($K5*1000000000)</f>
        <v>43.357306600659776</v>
      </c>
      <c r="AD16" s="206">
        <f ca="1">$D$2*$J5*'Applicationwise Stock'!AD26/($K5*1000000000)</f>
        <v>41.382773605903978</v>
      </c>
      <c r="AE16" s="206">
        <f ca="1">$D$2*$J5*'Applicationwise Stock'!AE26/($K5*1000000000)</f>
        <v>39.610809693006651</v>
      </c>
      <c r="AF16" s="206">
        <f ca="1">$D$2*$J5*'Applicationwise Stock'!AF26/($K5*1000000000)</f>
        <v>38.076152366986868</v>
      </c>
    </row>
    <row r="17" spans="1:32">
      <c r="A17" s="198" t="s">
        <v>55</v>
      </c>
      <c r="B17" s="206">
        <f ca="1">$D$2*$J6*'Applicationwise Stock'!B27/($K6*1000000000)</f>
        <v>10.600740482371684</v>
      </c>
      <c r="C17" s="206">
        <f ca="1">$D$2*$J6*'Applicationwise Stock'!C27/($K6*1000000000)</f>
        <v>10.748651736386455</v>
      </c>
      <c r="D17" s="206">
        <f ca="1">$D$2*$J6*'Applicationwise Stock'!D27/($K6*1000000000)</f>
        <v>10.976708120415186</v>
      </c>
      <c r="E17" s="206">
        <f ca="1">$D$2*$J6*'Applicationwise Stock'!E27/($K6*1000000000)</f>
        <v>11.697351946856607</v>
      </c>
      <c r="F17" s="206">
        <f ca="1">$D$2*$J6*'Applicationwise Stock'!F27/($K6*1000000000)</f>
        <v>11.670430021761275</v>
      </c>
      <c r="G17" s="206">
        <f ca="1">$D$2*$J6*'Applicationwise Stock'!G27/($K6*1000000000)</f>
        <v>13.007199733601357</v>
      </c>
      <c r="H17" s="206">
        <f ca="1">$D$2*$J6*'Applicationwise Stock'!H27/($K6*1000000000)</f>
        <v>14.56092712768136</v>
      </c>
      <c r="I17" s="206">
        <f ca="1">$D$2*$J6*'Applicationwise Stock'!I27/($K6*1000000000)</f>
        <v>14.586689586556895</v>
      </c>
      <c r="J17" s="206">
        <f ca="1">$D$2*$J6*'Applicationwise Stock'!J27/($K6*1000000000)</f>
        <v>15.39084708882914</v>
      </c>
      <c r="K17" s="206">
        <f ca="1">$D$2*$J6*'Applicationwise Stock'!K27/($K6*1000000000)</f>
        <v>15.347459967004005</v>
      </c>
      <c r="L17" s="206">
        <f ca="1">$D$2*$J6*'Applicationwise Stock'!L27/($K6*1000000000)</f>
        <v>14.825515279596061</v>
      </c>
      <c r="M17" s="206">
        <f ca="1">$D$2*$J6*'Applicationwise Stock'!M27/($K6*1000000000)</f>
        <v>13.959120206308993</v>
      </c>
      <c r="N17" s="206">
        <f ca="1">$D$2*$J6*'Applicationwise Stock'!N27/($K6*1000000000)</f>
        <v>12.940182561980199</v>
      </c>
      <c r="O17" s="206">
        <f ca="1">$D$2*$J6*'Applicationwise Stock'!O27/($K6*1000000000)</f>
        <v>11.750660100564904</v>
      </c>
      <c r="P17" s="206">
        <f ca="1">$D$2*$J6*'Applicationwise Stock'!P27/($K6*1000000000)</f>
        <v>10.408776424791963</v>
      </c>
      <c r="Q17" s="206">
        <f ca="1">$D$2*$J6*'Applicationwise Stock'!Q27/($K6*1000000000)</f>
        <v>9.5002154405888035</v>
      </c>
      <c r="R17" s="206">
        <f ca="1">$D$2*$J6*'Applicationwise Stock'!R27/($K6*1000000000)</f>
        <v>9.8812676073080485</v>
      </c>
      <c r="S17" s="206">
        <f ca="1">$D$2*$J6*'Applicationwise Stock'!S27/($K6*1000000000)</f>
        <v>8.9361085108359788</v>
      </c>
      <c r="T17" s="206">
        <f ca="1">$D$2*$J6*'Applicationwise Stock'!T27/($K6*1000000000)</f>
        <v>7.9921350262196622</v>
      </c>
      <c r="U17" s="206">
        <f ca="1">$D$2*$J6*'Applicationwise Stock'!U27/($K6*1000000000)</f>
        <v>6.9818807781933296</v>
      </c>
      <c r="V17" s="206">
        <f ca="1">$D$2*$J6*'Applicationwise Stock'!V27/($K6*1000000000)</f>
        <v>6.0514901921099344</v>
      </c>
      <c r="W17" s="206">
        <f ca="1">$D$2*$J6*'Applicationwise Stock'!W27/($K6*1000000000)</f>
        <v>5.1818444541231798</v>
      </c>
      <c r="X17" s="206">
        <f ca="1">$D$2*$J6*'Applicationwise Stock'!X27/($K6*1000000000)</f>
        <v>4.4998224688455508</v>
      </c>
      <c r="Y17" s="206">
        <f ca="1">$D$2*$J6*'Applicationwise Stock'!Y27/($K6*1000000000)</f>
        <v>3.926412681620691</v>
      </c>
      <c r="Z17" s="206">
        <f ca="1">$D$2*$J6*'Applicationwise Stock'!Z27/($K6*1000000000)</f>
        <v>3.4277570005873224</v>
      </c>
      <c r="AA17" s="206">
        <f ca="1">$D$2*$J6*'Applicationwise Stock'!AA27/($K6*1000000000)</f>
        <v>2.8908023438303965</v>
      </c>
      <c r="AB17" s="206">
        <f ca="1">$D$2*$J6*'Applicationwise Stock'!AB27/($K6*1000000000)</f>
        <v>2.6404387942538787</v>
      </c>
      <c r="AC17" s="206">
        <f ca="1">$D$2*$J6*'Applicationwise Stock'!AC27/($K6*1000000000)</f>
        <v>2.4319489243179575</v>
      </c>
      <c r="AD17" s="206">
        <f ca="1">$D$2*$J6*'Applicationwise Stock'!AD27/($K6*1000000000)</f>
        <v>2.1446204488849014</v>
      </c>
      <c r="AE17" s="206">
        <f ca="1">$D$2*$J6*'Applicationwise Stock'!AE27/($K6*1000000000)</f>
        <v>1.8974712733287917</v>
      </c>
      <c r="AF17" s="206">
        <f ca="1">$D$2*$J6*'Applicationwise Stock'!AF27/($K6*1000000000)</f>
        <v>1.6879607600866908</v>
      </c>
    </row>
    <row r="18" spans="1:32">
      <c r="A18" s="198" t="s">
        <v>56</v>
      </c>
      <c r="B18" s="206">
        <f ca="1">$D$2*$J7*'Applicationwise Stock'!B28/($K7*1000000000)</f>
        <v>5.1991167145646466</v>
      </c>
      <c r="C18" s="206">
        <f ca="1">$D$2*$J7*'Applicationwise Stock'!C28/($K7*1000000000)</f>
        <v>5.2666454720795404</v>
      </c>
      <c r="D18" s="206">
        <f ca="1">$D$2*$J7*'Applicationwise Stock'!D28/($K7*1000000000)</f>
        <v>5.2661062846331435</v>
      </c>
      <c r="E18" s="206">
        <f ca="1">$D$2*$J7*'Applicationwise Stock'!E28/($K7*1000000000)</f>
        <v>5.5536750076738945</v>
      </c>
      <c r="F18" s="206">
        <f ca="1">$D$2*$J7*'Applicationwise Stock'!F28/($K7*1000000000)</f>
        <v>5.6372097387333291</v>
      </c>
      <c r="G18" s="206">
        <f ca="1">$D$2*$J7*'Applicationwise Stock'!G28/($K7*1000000000)</f>
        <v>6.3540453639593943</v>
      </c>
      <c r="H18" s="206">
        <f ca="1">$D$2*$J7*'Applicationwise Stock'!H28/($K7*1000000000)</f>
        <v>7.6629508585777302</v>
      </c>
      <c r="I18" s="206">
        <f ca="1">$D$2*$J7*'Applicationwise Stock'!I28/($K7*1000000000)</f>
        <v>7.6533354826927118</v>
      </c>
      <c r="J18" s="206">
        <f ca="1">$D$2*$J7*'Applicationwise Stock'!J28/($K7*1000000000)</f>
        <v>8.5762048819518206</v>
      </c>
      <c r="K18" s="206">
        <f ca="1">$D$2*$J7*'Applicationwise Stock'!K28/($K7*1000000000)</f>
        <v>9.4747169003254488</v>
      </c>
      <c r="L18" s="206">
        <f ca="1">$D$2*$J7*'Applicationwise Stock'!L28/($K7*1000000000)</f>
        <v>9.4438790179882979</v>
      </c>
      <c r="M18" s="206">
        <f ca="1">$D$2*$J7*'Applicationwise Stock'!M28/($K7*1000000000)</f>
        <v>10.068052214757341</v>
      </c>
      <c r="N18" s="206">
        <f ca="1">$D$2*$J7*'Applicationwise Stock'!N28/($K7*1000000000)</f>
        <v>10.661749900194394</v>
      </c>
      <c r="O18" s="206">
        <f ca="1">$D$2*$J7*'Applicationwise Stock'!O28/($K7*1000000000)</f>
        <v>11.891300900963845</v>
      </c>
      <c r="P18" s="206">
        <f ca="1">$D$2*$J7*'Applicationwise Stock'!P28/($K7*1000000000)</f>
        <v>11.696846404546539</v>
      </c>
      <c r="Q18" s="206">
        <f ca="1">$D$2*$J7*'Applicationwise Stock'!Q28/($K7*1000000000)</f>
        <v>11.277541842497637</v>
      </c>
      <c r="R18" s="206">
        <f ca="1">$D$2*$J7*'Applicationwise Stock'!R28/($K7*1000000000)</f>
        <v>11.184834611265538</v>
      </c>
      <c r="S18" s="206">
        <f ca="1">$D$2*$J7*'Applicationwise Stock'!S28/($K7*1000000000)</f>
        <v>10.851731213147506</v>
      </c>
      <c r="T18" s="206">
        <f ca="1">$D$2*$J7*'Applicationwise Stock'!T28/($K7*1000000000)</f>
        <v>10.487026846738026</v>
      </c>
      <c r="U18" s="206">
        <f ca="1">$D$2*$J7*'Applicationwise Stock'!U28/($K7*1000000000)</f>
        <v>9.8243045003202241</v>
      </c>
      <c r="V18" s="206">
        <f ca="1">$D$2*$J7*'Applicationwise Stock'!V28/($K7*1000000000)</f>
        <v>9.390855969216549</v>
      </c>
      <c r="W18" s="206">
        <f ca="1">$D$2*$J7*'Applicationwise Stock'!W28/($K7*1000000000)</f>
        <v>8.9253406286765333</v>
      </c>
      <c r="X18" s="206">
        <f ca="1">$D$2*$J7*'Applicationwise Stock'!X28/($K7*1000000000)</f>
        <v>8.585715018032591</v>
      </c>
      <c r="Y18" s="206">
        <f ca="1">$D$2*$J7*'Applicationwise Stock'!Y28/($K7*1000000000)</f>
        <v>8.3761211653849905</v>
      </c>
      <c r="Z18" s="206">
        <f ca="1">$D$2*$J7*'Applicationwise Stock'!Z28/($K7*1000000000)</f>
        <v>8.2447991130509468</v>
      </c>
      <c r="AA18" s="206">
        <f ca="1">$D$2*$J7*'Applicationwise Stock'!AA28/($K7*1000000000)</f>
        <v>7.9257220218521391</v>
      </c>
      <c r="AB18" s="206">
        <f ca="1">$D$2*$J7*'Applicationwise Stock'!AB28/($K7*1000000000)</f>
        <v>7.5410385126251622</v>
      </c>
      <c r="AC18" s="206">
        <f ca="1">$D$2*$J7*'Applicationwise Stock'!AC28/($K7*1000000000)</f>
        <v>7.1870574497230608</v>
      </c>
      <c r="AD18" s="206">
        <f ca="1">$D$2*$J7*'Applicationwise Stock'!AD28/($K7*1000000000)</f>
        <v>6.8322153073661527</v>
      </c>
      <c r="AE18" s="206">
        <f ca="1">$D$2*$J7*'Applicationwise Stock'!AE28/($K7*1000000000)</f>
        <v>6.5172593207074927</v>
      </c>
      <c r="AF18" s="206">
        <f ca="1">$D$2*$J7*'Applicationwise Stock'!AF28/($K7*1000000000)</f>
        <v>6.2471542395325859</v>
      </c>
    </row>
    <row r="19" spans="1:32">
      <c r="A19" s="198" t="s">
        <v>549</v>
      </c>
      <c r="B19" s="206">
        <f ca="1">$D$2*$J8*'Applicationwise Stock'!B29/($K8*1000000000)</f>
        <v>8.8589758528808353</v>
      </c>
      <c r="C19" s="206">
        <f ca="1">$D$2*$J8*'Applicationwise Stock'!C29/($K8*1000000000)</f>
        <v>8.9840332577126798</v>
      </c>
      <c r="D19" s="206">
        <f ca="1">$D$2*$J8*'Applicationwise Stock'!D29/($K8*1000000000)</f>
        <v>8.7998479605968125</v>
      </c>
      <c r="E19" s="206">
        <f ca="1">$D$2*$J8*'Applicationwise Stock'!E29/($K8*1000000000)</f>
        <v>8.7950605617391275</v>
      </c>
      <c r="F19" s="206">
        <f ca="1">$D$2*$J8*'Applicationwise Stock'!F29/($K8*1000000000)</f>
        <v>8.9127865442454315</v>
      </c>
      <c r="G19" s="206">
        <f ca="1">$D$2*$J8*'Applicationwise Stock'!G29/($K8*1000000000)</f>
        <v>9.5077751626370475</v>
      </c>
      <c r="H19" s="206">
        <f ca="1">$D$2*$J8*'Applicationwise Stock'!H29/($K8*1000000000)</f>
        <v>9.7647462724580532</v>
      </c>
      <c r="I19" s="206">
        <f ca="1">$D$2*$J8*'Applicationwise Stock'!I29/($K8*1000000000)</f>
        <v>10.171910600235744</v>
      </c>
      <c r="J19" s="206">
        <f ca="1">$D$2*$J8*'Applicationwise Stock'!J29/($K8*1000000000)</f>
        <v>10.82708023048535</v>
      </c>
      <c r="K19" s="206">
        <f ca="1">$D$2*$J8*'Applicationwise Stock'!K29/($K8*1000000000)</f>
        <v>11.847807634895794</v>
      </c>
      <c r="L19" s="206">
        <f ca="1">$D$2*$J8*'Applicationwise Stock'!L29/($K8*1000000000)</f>
        <v>12.34012019979459</v>
      </c>
      <c r="M19" s="206">
        <f ca="1">$D$2*$J8*'Applicationwise Stock'!M29/($K8*1000000000)</f>
        <v>12.587203214275643</v>
      </c>
      <c r="N19" s="206">
        <f ca="1">$D$2*$J8*'Applicationwise Stock'!N29/($K8*1000000000)</f>
        <v>12.760626698398294</v>
      </c>
      <c r="O19" s="206">
        <f ca="1">$D$2*$J8*'Applicationwise Stock'!O29/($K8*1000000000)</f>
        <v>12.812691207409614</v>
      </c>
      <c r="P19" s="206">
        <f ca="1">$D$2*$J8*'Applicationwise Stock'!P29/($K8*1000000000)</f>
        <v>12.692347843822093</v>
      </c>
      <c r="Q19" s="206">
        <f ca="1">$D$2*$J8*'Applicationwise Stock'!Q29/($K8*1000000000)</f>
        <v>12.679348966522843</v>
      </c>
      <c r="R19" s="206">
        <f ca="1">$D$2*$J8*'Applicationwise Stock'!R29/($K8*1000000000)</f>
        <v>12.831061594557902</v>
      </c>
      <c r="S19" s="206">
        <f ca="1">$D$2*$J8*'Applicationwise Stock'!S29/($K8*1000000000)</f>
        <v>12.973919955065536</v>
      </c>
      <c r="T19" s="206">
        <f ca="1">$D$2*$J8*'Applicationwise Stock'!T29/($K8*1000000000)</f>
        <v>12.874006566712298</v>
      </c>
      <c r="U19" s="206">
        <f ca="1">$D$2*$J8*'Applicationwise Stock'!U29/($K8*1000000000)</f>
        <v>12.586432862087014</v>
      </c>
      <c r="V19" s="206">
        <f ca="1">$D$2*$J8*'Applicationwise Stock'!V29/($K8*1000000000)</f>
        <v>12.301535521580968</v>
      </c>
      <c r="W19" s="206">
        <f ca="1">$D$2*$J8*'Applicationwise Stock'!W29/($K8*1000000000)</f>
        <v>12.070612494620779</v>
      </c>
      <c r="X19" s="206">
        <f ca="1">$D$2*$J8*'Applicationwise Stock'!X29/($K8*1000000000)</f>
        <v>11.741935028752494</v>
      </c>
      <c r="Y19" s="206">
        <f ca="1">$D$2*$J8*'Applicationwise Stock'!Y29/($K8*1000000000)</f>
        <v>11.390911381294773</v>
      </c>
      <c r="Z19" s="206">
        <f ca="1">$D$2*$J8*'Applicationwise Stock'!Z29/($K8*1000000000)</f>
        <v>11.752779518315087</v>
      </c>
      <c r="AA19" s="206">
        <f ca="1">$D$2*$J8*'Applicationwise Stock'!AA29/($K8*1000000000)</f>
        <v>11.294223327960896</v>
      </c>
      <c r="AB19" s="206">
        <f ca="1">$D$2*$J8*'Applicationwise Stock'!AB29/($K8*1000000000)</f>
        <v>10.970568882613737</v>
      </c>
      <c r="AC19" s="206">
        <f ca="1">$D$2*$J8*'Applicationwise Stock'!AC29/($K8*1000000000)</f>
        <v>10.674404329066657</v>
      </c>
      <c r="AD19" s="206">
        <f ca="1">$D$2*$J8*'Applicationwise Stock'!AD29/($K8*1000000000)</f>
        <v>10.361482290759763</v>
      </c>
      <c r="AE19" s="206">
        <f ca="1">$D$2*$J8*'Applicationwise Stock'!AE29/($K8*1000000000)</f>
        <v>10.073780162154081</v>
      </c>
      <c r="AF19" s="206">
        <f ca="1">$D$2*$J8*'Applicationwise Stock'!AF29/($K8*1000000000)</f>
        <v>9.8356074045023991</v>
      </c>
    </row>
    <row r="20" spans="1:32">
      <c r="A20" s="198" t="s">
        <v>52</v>
      </c>
      <c r="B20" s="206">
        <f ca="1">$D$2*$J9*'Applicationwise Stock'!B30/($K9*1000000000)</f>
        <v>11.105135884012336</v>
      </c>
      <c r="C20" s="206">
        <f ca="1">$D$2*$J9*'Applicationwise Stock'!C30/($K9*1000000000)</f>
        <v>11.144735500135948</v>
      </c>
      <c r="D20" s="206">
        <f ca="1">$D$2*$J9*'Applicationwise Stock'!D30/($K9*1000000000)</f>
        <v>10.854265630706756</v>
      </c>
      <c r="E20" s="206">
        <f ca="1">$D$2*$J9*'Applicationwise Stock'!E30/($K9*1000000000)</f>
        <v>10.746882493320065</v>
      </c>
      <c r="F20" s="206">
        <f ca="1">$D$2*$J9*'Applicationwise Stock'!F30/($K9*1000000000)</f>
        <v>10.425287637105596</v>
      </c>
      <c r="G20" s="206">
        <f ca="1">$D$2*$J9*'Applicationwise Stock'!G30/($K9*1000000000)</f>
        <v>10.558947597097957</v>
      </c>
      <c r="H20" s="206">
        <f ca="1">$D$2*$J9*'Applicationwise Stock'!H30/($K9*1000000000)</f>
        <v>10.551206945154663</v>
      </c>
      <c r="I20" s="206">
        <f ca="1">$D$2*$J9*'Applicationwise Stock'!I30/($K9*1000000000)</f>
        <v>10.902963202911723</v>
      </c>
      <c r="J20" s="206">
        <f ca="1">$D$2*$J9*'Applicationwise Stock'!J30/($K9*1000000000)</f>
        <v>12.031087304407206</v>
      </c>
      <c r="K20" s="206">
        <f ca="1">$D$2*$J9*'Applicationwise Stock'!K30/($K9*1000000000)</f>
        <v>12.831357708484211</v>
      </c>
      <c r="L20" s="206">
        <f ca="1">$D$2*$J9*'Applicationwise Stock'!L30/($K9*1000000000)</f>
        <v>13.483156763724647</v>
      </c>
      <c r="M20" s="206">
        <f ca="1">$D$2*$J9*'Applicationwise Stock'!M30/($K9*1000000000)</f>
        <v>14.032733559419636</v>
      </c>
      <c r="N20" s="206">
        <f ca="1">$D$2*$J9*'Applicationwise Stock'!N30/($K9*1000000000)</f>
        <v>14.602683463269829</v>
      </c>
      <c r="O20" s="206">
        <f ca="1">$D$2*$J9*'Applicationwise Stock'!O30/($K9*1000000000)</f>
        <v>14.399081642968795</v>
      </c>
      <c r="P20" s="206">
        <f ca="1">$D$2*$J9*'Applicationwise Stock'!P30/($K9*1000000000)</f>
        <v>13.876669071905159</v>
      </c>
      <c r="Q20" s="206">
        <f ca="1">$D$2*$J9*'Applicationwise Stock'!Q30/($K9*1000000000)</f>
        <v>13.534103090262029</v>
      </c>
      <c r="R20" s="206">
        <f ca="1">$D$2*$J9*'Applicationwise Stock'!R30/($K9*1000000000)</f>
        <v>13.323444352756521</v>
      </c>
      <c r="S20" s="206">
        <f ca="1">$D$2*$J9*'Applicationwise Stock'!S30/($K9*1000000000)</f>
        <v>13.334736185212144</v>
      </c>
      <c r="T20" s="206">
        <f ca="1">$D$2*$J9*'Applicationwise Stock'!T30/($K9*1000000000)</f>
        <v>13.200683553804122</v>
      </c>
      <c r="U20" s="206">
        <f ca="1">$D$2*$J9*'Applicationwise Stock'!U30/($K9*1000000000)</f>
        <v>12.999386159305349</v>
      </c>
      <c r="V20" s="206">
        <f ca="1">$D$2*$J9*'Applicationwise Stock'!V30/($K9*1000000000)</f>
        <v>12.74434239778712</v>
      </c>
      <c r="W20" s="206">
        <f ca="1">$D$2*$J9*'Applicationwise Stock'!W30/($K9*1000000000)</f>
        <v>12.354503480279957</v>
      </c>
      <c r="X20" s="206">
        <f ca="1">$D$2*$J9*'Applicationwise Stock'!X30/($K9*1000000000)</f>
        <v>11.999722391991442</v>
      </c>
      <c r="Y20" s="206">
        <f ca="1">$D$2*$J9*'Applicationwise Stock'!Y30/($K9*1000000000)</f>
        <v>12.425416955876276</v>
      </c>
      <c r="Z20" s="206">
        <f ca="1">$D$2*$J9*'Applicationwise Stock'!Z30/($K9*1000000000)</f>
        <v>12.076340074959282</v>
      </c>
      <c r="AA20" s="206">
        <f ca="1">$D$2*$J9*'Applicationwise Stock'!AA30/($K9*1000000000)</f>
        <v>11.661226867009626</v>
      </c>
      <c r="AB20" s="206">
        <f ca="1">$D$2*$J9*'Applicationwise Stock'!AB30/($K9*1000000000)</f>
        <v>11.267108652949569</v>
      </c>
      <c r="AC20" s="206">
        <f ca="1">$D$2*$J9*'Applicationwise Stock'!AC30/($K9*1000000000)</f>
        <v>10.924210611094344</v>
      </c>
      <c r="AD20" s="206">
        <f ca="1">$D$2*$J9*'Applicationwise Stock'!AD30/($K9*1000000000)</f>
        <v>10.587757249764536</v>
      </c>
      <c r="AE20" s="206">
        <f ca="1">$D$2*$J9*'Applicationwise Stock'!AE30/($K9*1000000000)</f>
        <v>10.285444275105899</v>
      </c>
      <c r="AF20" s="206">
        <f ca="1">$D$2*$J9*'Applicationwise Stock'!AF30/($K9*1000000000)</f>
        <v>10.034929885078054</v>
      </c>
    </row>
    <row r="21" spans="1:32">
      <c r="A21" s="198" t="s">
        <v>57</v>
      </c>
      <c r="B21" s="206">
        <f ca="1">$D$2*$J10*'Applicationwise Stock'!B31/($K10*1000000000)</f>
        <v>3.812038062750446</v>
      </c>
      <c r="C21" s="206">
        <f ca="1">$D$2*$J10*'Applicationwise Stock'!C31/($K10*1000000000)</f>
        <v>3.8721533608608643</v>
      </c>
      <c r="D21" s="206">
        <f ca="1">$D$2*$J10*'Applicationwise Stock'!D31/($K10*1000000000)</f>
        <v>3.9346410342605007</v>
      </c>
      <c r="E21" s="206">
        <f ca="1">$D$2*$J10*'Applicationwise Stock'!E31/($K10*1000000000)</f>
        <v>4.2197242735798079</v>
      </c>
      <c r="F21" s="206">
        <f ca="1">$D$2*$J10*'Applicationwise Stock'!F31/($K10*1000000000)</f>
        <v>4.3231748345996861</v>
      </c>
      <c r="G21" s="206">
        <f ca="1">$D$2*$J10*'Applicationwise Stock'!G31/($K10*1000000000)</f>
        <v>4.7958042136347174</v>
      </c>
      <c r="H21" s="206">
        <f ca="1">$D$2*$J10*'Applicationwise Stock'!H31/($K10*1000000000)</f>
        <v>4.9867410863037547</v>
      </c>
      <c r="I21" s="206">
        <f ca="1">$D$2*$J10*'Applicationwise Stock'!I31/($K10*1000000000)</f>
        <v>4.9071283851920739</v>
      </c>
      <c r="J21" s="206">
        <f ca="1">$D$2*$J10*'Applicationwise Stock'!J31/($K10*1000000000)</f>
        <v>5.6014052614329515</v>
      </c>
      <c r="K21" s="206">
        <f ca="1">$D$2*$J10*'Applicationwise Stock'!K31/($K10*1000000000)</f>
        <v>6.3152393452479512</v>
      </c>
      <c r="L21" s="206">
        <f ca="1">$D$2*$J10*'Applicationwise Stock'!L31/($K10*1000000000)</f>
        <v>6.4742564424658164</v>
      </c>
      <c r="M21" s="206">
        <f ca="1">$D$2*$J10*'Applicationwise Stock'!M31/($K10*1000000000)</f>
        <v>7.7452234374761177</v>
      </c>
      <c r="N21" s="206">
        <f ca="1">$D$2*$J10*'Applicationwise Stock'!N31/($K10*1000000000)</f>
        <v>7.5190618518162164</v>
      </c>
      <c r="O21" s="206">
        <f ca="1">$D$2*$J10*'Applicationwise Stock'!O31/($K10*1000000000)</f>
        <v>6.9536558170191203</v>
      </c>
      <c r="P21" s="206">
        <f ca="1">$D$2*$J10*'Applicationwise Stock'!P31/($K10*1000000000)</f>
        <v>6.5010939652482236</v>
      </c>
      <c r="Q21" s="206">
        <f ca="1">$D$2*$J10*'Applicationwise Stock'!Q31/($K10*1000000000)</f>
        <v>6.3823037039517718</v>
      </c>
      <c r="R21" s="206">
        <f ca="1">$D$2*$J10*'Applicationwise Stock'!R31/($K10*1000000000)</f>
        <v>6.0262507143701525</v>
      </c>
      <c r="S21" s="206">
        <f ca="1">$D$2*$J10*'Applicationwise Stock'!S31/($K10*1000000000)</f>
        <v>5.9513632460423116</v>
      </c>
      <c r="T21" s="206">
        <f ca="1">$D$2*$J10*'Applicationwise Stock'!T31/($K10*1000000000)</f>
        <v>5.787101135435698</v>
      </c>
      <c r="U21" s="206">
        <f ca="1">$D$2*$J10*'Applicationwise Stock'!U31/($K10*1000000000)</f>
        <v>5.6600728904122333</v>
      </c>
      <c r="V21" s="206">
        <f ca="1">$D$2*$J10*'Applicationwise Stock'!V31/($K10*1000000000)</f>
        <v>5.5615019825463223</v>
      </c>
      <c r="W21" s="206">
        <f ca="1">$D$2*$J10*'Applicationwise Stock'!W31/($K10*1000000000)</f>
        <v>5.434237375606342</v>
      </c>
      <c r="X21" s="206">
        <f ca="1">$D$2*$J10*'Applicationwise Stock'!X31/($K10*1000000000)</f>
        <v>5.2960371299742697</v>
      </c>
      <c r="Y21" s="206">
        <f ca="1">$D$2*$J10*'Applicationwise Stock'!Y31/($K10*1000000000)</f>
        <v>5.2510758218540943</v>
      </c>
      <c r="Z21" s="206">
        <f ca="1">$D$2*$J10*'Applicationwise Stock'!Z31/($K10*1000000000)</f>
        <v>5.073497178340153</v>
      </c>
      <c r="AA21" s="206">
        <f ca="1">$D$2*$J10*'Applicationwise Stock'!AA31/($K10*1000000000)</f>
        <v>4.8905750097039444</v>
      </c>
      <c r="AB21" s="206">
        <f ca="1">$D$2*$J10*'Applicationwise Stock'!AB31/($K10*1000000000)</f>
        <v>4.6824514542479347</v>
      </c>
      <c r="AC21" s="206">
        <f ca="1">$D$2*$J10*'Applicationwise Stock'!AC31/($K10*1000000000)</f>
        <v>4.492792674153228</v>
      </c>
      <c r="AD21" s="206">
        <f ca="1">$D$2*$J10*'Applicationwise Stock'!AD31/($K10*1000000000)</f>
        <v>4.320873758141615</v>
      </c>
      <c r="AE21" s="206">
        <f ca="1">$D$2*$J10*'Applicationwise Stock'!AE31/($K10*1000000000)</f>
        <v>4.1668038574392332</v>
      </c>
      <c r="AF21" s="206">
        <f ca="1">$D$2*$J10*'Applicationwise Stock'!AF31/($K10*1000000000)</f>
        <v>4.0387318184038445</v>
      </c>
    </row>
    <row r="22" spans="1:32" s="5" customFormat="1">
      <c r="A22" s="199" t="s">
        <v>591</v>
      </c>
      <c r="B22" s="207">
        <f ca="1">SUM(B13:B21)</f>
        <v>426.42498937881993</v>
      </c>
      <c r="C22" s="207">
        <f t="shared" ref="C22:AF22" ca="1" si="4">SUM(C13:C21)</f>
        <v>432.59517465384192</v>
      </c>
      <c r="D22" s="207">
        <f t="shared" ca="1" si="4"/>
        <v>437.23668981431257</v>
      </c>
      <c r="E22" s="207">
        <f t="shared" ca="1" si="4"/>
        <v>442.38072288992373</v>
      </c>
      <c r="F22" s="207">
        <f t="shared" ca="1" si="4"/>
        <v>448.64956367448718</v>
      </c>
      <c r="G22" s="207">
        <f t="shared" ca="1" si="4"/>
        <v>452.75565994203271</v>
      </c>
      <c r="H22" s="207">
        <f t="shared" ca="1" si="4"/>
        <v>457.05632396174065</v>
      </c>
      <c r="I22" s="207">
        <f t="shared" ca="1" si="4"/>
        <v>467.51342893131499</v>
      </c>
      <c r="J22" s="207">
        <f t="shared" ca="1" si="4"/>
        <v>480.3974146670754</v>
      </c>
      <c r="K22" s="207">
        <f t="shared" ca="1" si="4"/>
        <v>497.56743206108138</v>
      </c>
      <c r="L22" s="207">
        <f t="shared" ca="1" si="4"/>
        <v>512.73232424613104</v>
      </c>
      <c r="M22" s="207">
        <f t="shared" ca="1" si="4"/>
        <v>525.32863590083616</v>
      </c>
      <c r="N22" s="207">
        <f t="shared" ca="1" si="4"/>
        <v>522.37102743623541</v>
      </c>
      <c r="O22" s="207">
        <f t="shared" ca="1" si="4"/>
        <v>514.3596201898888</v>
      </c>
      <c r="P22" s="207">
        <f t="shared" ca="1" si="4"/>
        <v>503.23411324302867</v>
      </c>
      <c r="Q22" s="207">
        <f t="shared" ca="1" si="4"/>
        <v>495.1642467564551</v>
      </c>
      <c r="R22" s="207">
        <f t="shared" ca="1" si="4"/>
        <v>491.93413718206671</v>
      </c>
      <c r="S22" s="207">
        <f t="shared" ca="1" si="4"/>
        <v>497.80109148834919</v>
      </c>
      <c r="T22" s="207">
        <f t="shared" ca="1" si="4"/>
        <v>494.02913801820267</v>
      </c>
      <c r="U22" s="207">
        <f t="shared" ca="1" si="4"/>
        <v>482.62890522934441</v>
      </c>
      <c r="V22" s="207">
        <f t="shared" ca="1" si="4"/>
        <v>471.61227712619609</v>
      </c>
      <c r="W22" s="207">
        <f t="shared" ca="1" si="4"/>
        <v>460.08447820919667</v>
      </c>
      <c r="X22" s="207">
        <f t="shared" ca="1" si="4"/>
        <v>445.6160294013448</v>
      </c>
      <c r="Y22" s="207">
        <f t="shared" ca="1" si="4"/>
        <v>431.34756395421266</v>
      </c>
      <c r="Z22" s="207">
        <f t="shared" ca="1" si="4"/>
        <v>416.73540598920891</v>
      </c>
      <c r="AA22" s="207">
        <f t="shared" ca="1" si="4"/>
        <v>400.27562656991114</v>
      </c>
      <c r="AB22" s="207">
        <f t="shared" ca="1" si="4"/>
        <v>385.70793211854004</v>
      </c>
      <c r="AC22" s="207">
        <f t="shared" ca="1" si="4"/>
        <v>372.51140105403834</v>
      </c>
      <c r="AD22" s="207">
        <f t="shared" ca="1" si="4"/>
        <v>359.14864639311924</v>
      </c>
      <c r="AE22" s="207">
        <f t="shared" ca="1" si="4"/>
        <v>346.46378941277294</v>
      </c>
      <c r="AF22" s="207">
        <f t="shared" ca="1" si="4"/>
        <v>335.38961664492689</v>
      </c>
    </row>
    <row r="24" spans="1:32" s="1" customFormat="1">
      <c r="A24" s="189" t="s">
        <v>592</v>
      </c>
      <c r="B24" s="189">
        <v>2025</v>
      </c>
      <c r="C24" s="189">
        <v>2026</v>
      </c>
      <c r="D24" s="189">
        <v>2027</v>
      </c>
      <c r="E24" s="189">
        <v>2028</v>
      </c>
      <c r="F24" s="189">
        <v>2029</v>
      </c>
      <c r="G24" s="189">
        <v>2030</v>
      </c>
      <c r="H24" s="189">
        <v>2031</v>
      </c>
      <c r="I24" s="189">
        <v>2032</v>
      </c>
      <c r="J24" s="189">
        <v>2033</v>
      </c>
      <c r="K24" s="189">
        <v>2034</v>
      </c>
      <c r="L24" s="189">
        <v>2035</v>
      </c>
      <c r="M24" s="189">
        <v>2036</v>
      </c>
      <c r="N24" s="189">
        <v>2037</v>
      </c>
      <c r="O24" s="189">
        <v>2038</v>
      </c>
      <c r="P24" s="189">
        <v>2039</v>
      </c>
      <c r="Q24" s="189">
        <v>2040</v>
      </c>
      <c r="R24" s="189">
        <v>2041</v>
      </c>
      <c r="S24" s="189">
        <v>2042</v>
      </c>
      <c r="T24" s="189">
        <v>2043</v>
      </c>
      <c r="U24" s="189">
        <v>2044</v>
      </c>
      <c r="V24" s="189">
        <v>2045</v>
      </c>
      <c r="W24" s="189">
        <v>2046</v>
      </c>
      <c r="X24" s="189">
        <v>2047</v>
      </c>
      <c r="Y24" s="189">
        <v>2048</v>
      </c>
      <c r="Z24" s="189">
        <v>2049</v>
      </c>
      <c r="AA24" s="189">
        <v>2050</v>
      </c>
      <c r="AB24" s="189">
        <v>2051</v>
      </c>
      <c r="AC24" s="189">
        <v>2052</v>
      </c>
      <c r="AD24" s="189">
        <v>2053</v>
      </c>
      <c r="AE24" s="189">
        <v>2054</v>
      </c>
      <c r="AF24" s="189">
        <v>2055</v>
      </c>
    </row>
    <row r="25" spans="1:32">
      <c r="A25" s="194" t="s">
        <v>43</v>
      </c>
      <c r="B25" s="208">
        <f>$D$3*$J2*'Applicationwise Stock'!B67/($L2*1000000000)</f>
        <v>0.22225443719483423</v>
      </c>
      <c r="C25" s="208">
        <f>$D$3*$J2*'Applicationwise Stock'!C67/($L2*1000000000)</f>
        <v>0.47464838983263824</v>
      </c>
      <c r="D25" s="208">
        <f>$D$3*$J2*'Applicationwise Stock'!D67/($L2*1000000000)</f>
        <v>0.7360184898139962</v>
      </c>
      <c r="E25" s="208">
        <f>$D$3*$J2*'Applicationwise Stock'!E67/($L2*1000000000)</f>
        <v>0.99576617938494494</v>
      </c>
      <c r="F25" s="208">
        <f>$D$3*$J2*'Applicationwise Stock'!F67/($L2*1000000000)</f>
        <v>1.2884196982902574</v>
      </c>
      <c r="G25" s="208">
        <f>$D$3*$J2*'Applicationwise Stock'!G67/($L2*1000000000)</f>
        <v>1.5563735066955779</v>
      </c>
      <c r="H25" s="208">
        <f>$D$3*$J2*'Applicationwise Stock'!H67/($L2*1000000000)</f>
        <v>1.8178486795595299</v>
      </c>
      <c r="I25" s="208">
        <f>$D$3*$J2*'Applicationwise Stock'!I67/($L2*1000000000)</f>
        <v>2.136696805226022</v>
      </c>
      <c r="J25" s="208">
        <f>$D$3*$J2*'Applicationwise Stock'!J67/($L2*1000000000)</f>
        <v>2.4739630355743616</v>
      </c>
      <c r="K25" s="208">
        <f>$D$3*$J2*'Applicationwise Stock'!K67/($L2*1000000000)</f>
        <v>2.7876669321082734</v>
      </c>
      <c r="L25" s="208">
        <f>$D$3*$J2*'Applicationwise Stock'!L67/($L2*1000000000)</f>
        <v>3.1382794845642277</v>
      </c>
      <c r="M25" s="208">
        <f>$D$3*$J2*'Applicationwise Stock'!M67/($L2*1000000000)</f>
        <v>3.5230849500664583</v>
      </c>
      <c r="N25" s="208">
        <f>$D$3*$J2*'Applicationwise Stock'!N67/($L2*1000000000)</f>
        <v>4.0633397010574228</v>
      </c>
      <c r="O25" s="208">
        <f>$D$3*$J2*'Applicationwise Stock'!O67/($L2*1000000000)</f>
        <v>4.5485111750077705</v>
      </c>
      <c r="P25" s="208">
        <f>$D$3*$J2*'Applicationwise Stock'!P67/($L2*1000000000)</f>
        <v>5.0952680394816161</v>
      </c>
      <c r="Q25" s="208">
        <f>$D$3*$J2*'Applicationwise Stock'!Q67/($L2*1000000000)</f>
        <v>5.6044892700947333</v>
      </c>
      <c r="R25" s="208">
        <f>$D$3*$J2*'Applicationwise Stock'!R67/($L2*1000000000)</f>
        <v>5.9134826012337038</v>
      </c>
      <c r="S25" s="208">
        <f>$D$3*$J2*'Applicationwise Stock'!S67/($L2*1000000000)</f>
        <v>6.2001469555791724</v>
      </c>
      <c r="T25" s="208">
        <f>$D$3*$J2*'Applicationwise Stock'!T67/($L2*1000000000)</f>
        <v>6.5964521286071447</v>
      </c>
      <c r="U25" s="208">
        <f>$D$3*$J2*'Applicationwise Stock'!U67/($L2*1000000000)</f>
        <v>7.0001935126942438</v>
      </c>
      <c r="V25" s="208">
        <f>$D$3*$J2*'Applicationwise Stock'!V67/($L2*1000000000)</f>
        <v>7.4172068492018042</v>
      </c>
      <c r="W25" s="208">
        <f>$D$3*$J2*'Applicationwise Stock'!W67/($L2*1000000000)</f>
        <v>7.8230438134723963</v>
      </c>
      <c r="X25" s="208">
        <f>$D$3*$J2*'Applicationwise Stock'!X67/($L2*1000000000)</f>
        <v>8.1801542403738488</v>
      </c>
      <c r="Y25" s="208">
        <f>$D$3*$J2*'Applicationwise Stock'!Y67/($L2*1000000000)</f>
        <v>8.4183113160786185</v>
      </c>
      <c r="Z25" s="208">
        <f>$D$3*$J2*'Applicationwise Stock'!Z67/($L2*1000000000)</f>
        <v>8.6146145445454838</v>
      </c>
      <c r="AA25" s="208">
        <f>$D$3*$J2*'Applicationwise Stock'!AA67/($L2*1000000000)</f>
        <v>8.8681364585820326</v>
      </c>
      <c r="AB25" s="208">
        <f>$D$3*$J2*'Applicationwise Stock'!AB67/($L2*1000000000)</f>
        <v>9.0042469752060121</v>
      </c>
      <c r="AC25" s="208">
        <f>$D$3*$J2*'Applicationwise Stock'!AC67/($L2*1000000000)</f>
        <v>8.9883133379157769</v>
      </c>
      <c r="AD25" s="208">
        <f>$D$3*$J2*'Applicationwise Stock'!AD67/($L2*1000000000)</f>
        <v>8.7728622368595506</v>
      </c>
      <c r="AE25" s="208">
        <f>$D$3*$J2*'Applicationwise Stock'!AE67/($L2*1000000000)</f>
        <v>8.3834400326754945</v>
      </c>
      <c r="AF25" s="208">
        <f>$D$3*$J2*'Applicationwise Stock'!AF67/($L2*1000000000)</f>
        <v>7.8983077047289783</v>
      </c>
    </row>
    <row r="26" spans="1:32">
      <c r="A26" s="194" t="s">
        <v>51</v>
      </c>
      <c r="B26" s="208">
        <f>$D$3*$J3*'Applicationwise Stock'!B68/($L3*1000000000)</f>
        <v>0.27106934899055535</v>
      </c>
      <c r="C26" s="208">
        <f>$D$3*$J3*'Applicationwise Stock'!C68/($L3*1000000000)</f>
        <v>0.57425412061685077</v>
      </c>
      <c r="D26" s="208">
        <f>$D$3*$J3*'Applicationwise Stock'!D68/($L3*1000000000)</f>
        <v>0.89494465129294887</v>
      </c>
      <c r="E26" s="208">
        <f>$D$3*$J3*'Applicationwise Stock'!E68/($L3*1000000000)</f>
        <v>1.2076686498349847</v>
      </c>
      <c r="F26" s="208">
        <f>$D$3*$J3*'Applicationwise Stock'!F68/($L3*1000000000)</f>
        <v>1.5683245158089407</v>
      </c>
      <c r="G26" s="208">
        <f>$D$3*$J3*'Applicationwise Stock'!G68/($L3*1000000000)</f>
        <v>1.9051798430562386</v>
      </c>
      <c r="H26" s="208">
        <f>$D$3*$J3*'Applicationwise Stock'!H68/($L3*1000000000)</f>
        <v>2.2301929411508823</v>
      </c>
      <c r="I26" s="208">
        <f>$D$3*$J3*'Applicationwise Stock'!I68/($L3*1000000000)</f>
        <v>2.6720619368591243</v>
      </c>
      <c r="J26" s="208">
        <f>$D$3*$J3*'Applicationwise Stock'!J68/($L3*1000000000)</f>
        <v>3.0470429439014528</v>
      </c>
      <c r="K26" s="208">
        <f>$D$3*$J3*'Applicationwise Stock'!K68/($L3*1000000000)</f>
        <v>3.4740185785926072</v>
      </c>
      <c r="L26" s="208">
        <f>$D$3*$J3*'Applicationwise Stock'!L68/($L3*1000000000)</f>
        <v>4.0093170931989501</v>
      </c>
      <c r="M26" s="208">
        <f>$D$3*$J3*'Applicationwise Stock'!M68/($L3*1000000000)</f>
        <v>4.5004364792450877</v>
      </c>
      <c r="N26" s="208">
        <f>$D$3*$J3*'Applicationwise Stock'!N68/($L3*1000000000)</f>
        <v>4.8885016885718438</v>
      </c>
      <c r="O26" s="208">
        <f>$D$3*$J3*'Applicationwise Stock'!O68/($L3*1000000000)</f>
        <v>5.4254408589941869</v>
      </c>
      <c r="P26" s="208">
        <f>$D$3*$J3*'Applicationwise Stock'!P68/($L3*1000000000)</f>
        <v>6.0130702335602049</v>
      </c>
      <c r="Q26" s="208">
        <f>$D$3*$J3*'Applicationwise Stock'!Q68/($L3*1000000000)</f>
        <v>6.6573068523948189</v>
      </c>
      <c r="R26" s="208">
        <f>$D$3*$J3*'Applicationwise Stock'!R68/($L3*1000000000)</f>
        <v>7.0414449089859561</v>
      </c>
      <c r="S26" s="208">
        <f>$D$3*$J3*'Applicationwise Stock'!S68/($L3*1000000000)</f>
        <v>7.4221446059334486</v>
      </c>
      <c r="T26" s="208">
        <f>$D$3*$J3*'Applicationwise Stock'!T68/($L3*1000000000)</f>
        <v>7.8876653687740577</v>
      </c>
      <c r="U26" s="208">
        <f>$D$3*$J3*'Applicationwise Stock'!U68/($L3*1000000000)</f>
        <v>8.3912354993818319</v>
      </c>
      <c r="V26" s="208">
        <f>$D$3*$J3*'Applicationwise Stock'!V68/($L3*1000000000)</f>
        <v>8.8854236842528653</v>
      </c>
      <c r="W26" s="208">
        <f>$D$3*$J3*'Applicationwise Stock'!W68/($L3*1000000000)</f>
        <v>9.3722324014094927</v>
      </c>
      <c r="X26" s="208">
        <f>$D$3*$J3*'Applicationwise Stock'!X68/($L3*1000000000)</f>
        <v>9.8052908417034264</v>
      </c>
      <c r="Y26" s="208">
        <f>$D$3*$J3*'Applicationwise Stock'!Y68/($L3*1000000000)</f>
        <v>10.067681703784375</v>
      </c>
      <c r="Z26" s="208">
        <f>$D$3*$J3*'Applicationwise Stock'!Z68/($L3*1000000000)</f>
        <v>10.289218562783827</v>
      </c>
      <c r="AA26" s="208">
        <f>$D$3*$J3*'Applicationwise Stock'!AA68/($L3*1000000000)</f>
        <v>10.583456282564324</v>
      </c>
      <c r="AB26" s="208">
        <f>$D$3*$J3*'Applicationwise Stock'!AB68/($L3*1000000000)</f>
        <v>10.755739673654192</v>
      </c>
      <c r="AC26" s="208">
        <f>$D$3*$J3*'Applicationwise Stock'!AC68/($L3*1000000000)</f>
        <v>10.741450290581694</v>
      </c>
      <c r="AD26" s="208">
        <f>$D$3*$J3*'Applicationwise Stock'!AD68/($L3*1000000000)</f>
        <v>10.487234027818307</v>
      </c>
      <c r="AE26" s="208">
        <f>$D$3*$J3*'Applicationwise Stock'!AE68/($L3*1000000000)</f>
        <v>10.020594815964648</v>
      </c>
      <c r="AF26" s="208">
        <f>$D$3*$J3*'Applicationwise Stock'!AF68/($L3*1000000000)</f>
        <v>9.4404526616521718</v>
      </c>
    </row>
    <row r="27" spans="1:32">
      <c r="A27" s="194" t="s">
        <v>58</v>
      </c>
      <c r="B27" s="208">
        <f>$D$3*$J4*'Applicationwise Stock'!B69/($L4*1000000000)</f>
        <v>9.4721182212455721E-2</v>
      </c>
      <c r="C27" s="208">
        <f>$D$3*$J4*'Applicationwise Stock'!C69/($L4*1000000000)</f>
        <v>0.20539020722649551</v>
      </c>
      <c r="D27" s="208">
        <f>$D$3*$J4*'Applicationwise Stock'!D69/($L4*1000000000)</f>
        <v>0.31167308173161645</v>
      </c>
      <c r="E27" s="208">
        <f>$D$3*$J4*'Applicationwise Stock'!E69/($L4*1000000000)</f>
        <v>0.42843335668278887</v>
      </c>
      <c r="F27" s="208">
        <f>$D$3*$J4*'Applicationwise Stock'!F69/($L4*1000000000)</f>
        <v>0.5406516883129473</v>
      </c>
      <c r="G27" s="208">
        <f>$D$3*$J4*'Applicationwise Stock'!G69/($L4*1000000000)</f>
        <v>0.64803068774434958</v>
      </c>
      <c r="H27" s="208">
        <f>$D$3*$J4*'Applicationwise Stock'!H69/($L4*1000000000)</f>
        <v>0.76333059772849055</v>
      </c>
      <c r="I27" s="208">
        <f>$D$3*$J4*'Applicationwise Stock'!I69/($L4*1000000000)</f>
        <v>0.84592385959846939</v>
      </c>
      <c r="J27" s="208">
        <f>$D$3*$J4*'Applicationwise Stock'!J69/($L4*1000000000)</f>
        <v>0.96286966844087873</v>
      </c>
      <c r="K27" s="208">
        <f>$D$3*$J4*'Applicationwise Stock'!K69/($L4*1000000000)</f>
        <v>1.1147294663262819</v>
      </c>
      <c r="L27" s="208">
        <f>$D$3*$J4*'Applicationwise Stock'!L69/($L4*1000000000)</f>
        <v>1.202450269386194</v>
      </c>
      <c r="M27" s="208">
        <f>$D$3*$J4*'Applicationwise Stock'!M69/($L4*1000000000)</f>
        <v>1.3646024609395264</v>
      </c>
      <c r="N27" s="208">
        <f>$D$3*$J4*'Applicationwise Stock'!N69/($L4*1000000000)</f>
        <v>1.5057444464070986</v>
      </c>
      <c r="O27" s="208">
        <f>$D$3*$J4*'Applicationwise Stock'!O69/($L4*1000000000)</f>
        <v>1.659400879994426</v>
      </c>
      <c r="P27" s="208">
        <f>$D$3*$J4*'Applicationwise Stock'!P69/($L4*1000000000)</f>
        <v>1.8365999847344936</v>
      </c>
      <c r="Q27" s="208">
        <f>$D$3*$J4*'Applicationwise Stock'!Q69/($L4*1000000000)</f>
        <v>2.0385682675867254</v>
      </c>
      <c r="R27" s="208">
        <f>$D$3*$J4*'Applicationwise Stock'!R69/($L4*1000000000)</f>
        <v>2.1251661828267054</v>
      </c>
      <c r="S27" s="208">
        <f>$D$3*$J4*'Applicationwise Stock'!S69/($L4*1000000000)</f>
        <v>2.5044827468947668</v>
      </c>
      <c r="T27" s="208">
        <f>$D$3*$J4*'Applicationwise Stock'!T69/($L4*1000000000)</f>
        <v>2.6417331620355666</v>
      </c>
      <c r="U27" s="208">
        <f>$D$3*$J4*'Applicationwise Stock'!U69/($L4*1000000000)</f>
        <v>2.7899670942121655</v>
      </c>
      <c r="V27" s="208">
        <f>$D$3*$J4*'Applicationwise Stock'!V69/($L4*1000000000)</f>
        <v>2.9378563088758773</v>
      </c>
      <c r="W27" s="208">
        <f>$D$3*$J4*'Applicationwise Stock'!W69/($L4*1000000000)</f>
        <v>3.0801503069879743</v>
      </c>
      <c r="X27" s="208">
        <f>$D$3*$J4*'Applicationwise Stock'!X69/($L4*1000000000)</f>
        <v>3.2100446630468542</v>
      </c>
      <c r="Y27" s="208">
        <f>$D$3*$J4*'Applicationwise Stock'!Y69/($L4*1000000000)</f>
        <v>3.3156685422764931</v>
      </c>
      <c r="Z27" s="208">
        <f>$D$3*$J4*'Applicationwise Stock'!Z69/($L4*1000000000)</f>
        <v>3.4008460970096399</v>
      </c>
      <c r="AA27" s="208">
        <f>$D$3*$J4*'Applicationwise Stock'!AA69/($L4*1000000000)</f>
        <v>3.4748660290981506</v>
      </c>
      <c r="AB27" s="208">
        <f>$D$3*$J4*'Applicationwise Stock'!AB69/($L4*1000000000)</f>
        <v>3.5589511728239271</v>
      </c>
      <c r="AC27" s="208">
        <f>$D$3*$J4*'Applicationwise Stock'!AC69/($L4*1000000000)</f>
        <v>3.5846691005008684</v>
      </c>
      <c r="AD27" s="208">
        <f>$D$3*$J4*'Applicationwise Stock'!AD69/($L4*1000000000)</f>
        <v>3.5374718301832004</v>
      </c>
      <c r="AE27" s="208">
        <f>$D$3*$J4*'Applicationwise Stock'!AE69/($L4*1000000000)</f>
        <v>3.3803934915864504</v>
      </c>
      <c r="AF27" s="208">
        <f>$D$3*$J4*'Applicationwise Stock'!AF69/($L4*1000000000)</f>
        <v>3.1870955965494874</v>
      </c>
    </row>
    <row r="28" spans="1:32">
      <c r="A28" s="194" t="s">
        <v>54</v>
      </c>
      <c r="B28" s="208">
        <f>$D$3*$J5*'Applicationwise Stock'!B70/($L5*1000000000)</f>
        <v>0.10912097488548912</v>
      </c>
      <c r="C28" s="208">
        <f>$D$3*$J5*'Applicationwise Stock'!C70/($L5*1000000000)</f>
        <v>0.22928054540368611</v>
      </c>
      <c r="D28" s="208">
        <f>$D$3*$J5*'Applicationwise Stock'!D70/($L5*1000000000)</f>
        <v>0.33796605189427376</v>
      </c>
      <c r="E28" s="208">
        <f>$D$3*$J5*'Applicationwise Stock'!E70/($L5*1000000000)</f>
        <v>0.45298859710102962</v>
      </c>
      <c r="F28" s="208">
        <f>$D$3*$J5*'Applicationwise Stock'!F70/($L5*1000000000)</f>
        <v>0.57349421836611014</v>
      </c>
      <c r="G28" s="208">
        <f>$D$3*$J5*'Applicationwise Stock'!G70/($L5*1000000000)</f>
        <v>0.72891835881567657</v>
      </c>
      <c r="H28" s="208">
        <f>$D$3*$J5*'Applicationwise Stock'!H70/($L5*1000000000)</f>
        <v>0.90614750321578597</v>
      </c>
      <c r="I28" s="208">
        <f>$D$3*$J5*'Applicationwise Stock'!I70/($L5*1000000000)</f>
        <v>1.0606626018787546</v>
      </c>
      <c r="J28" s="208">
        <f>$D$3*$J5*'Applicationwise Stock'!J70/($L5*1000000000)</f>
        <v>1.2463397820399211</v>
      </c>
      <c r="K28" s="208">
        <f>$D$3*$J5*'Applicationwise Stock'!K70/($L5*1000000000)</f>
        <v>1.4372113224586844</v>
      </c>
      <c r="L28" s="208">
        <f>$D$3*$J5*'Applicationwise Stock'!L70/($L5*1000000000)</f>
        <v>1.6524620130593242</v>
      </c>
      <c r="M28" s="208">
        <f>$D$3*$J5*'Applicationwise Stock'!M70/($L5*1000000000)</f>
        <v>1.8427616895614007</v>
      </c>
      <c r="N28" s="208">
        <f>$D$3*$J5*'Applicationwise Stock'!N70/($L5*1000000000)</f>
        <v>2.0859200324568534</v>
      </c>
      <c r="O28" s="208">
        <f>$D$3*$J5*'Applicationwise Stock'!O70/($L5*1000000000)</f>
        <v>2.2558688983842083</v>
      </c>
      <c r="P28" s="208">
        <f>$D$3*$J5*'Applicationwise Stock'!P70/($L5*1000000000)</f>
        <v>2.442346808015071</v>
      </c>
      <c r="Q28" s="208">
        <f>$D$3*$J5*'Applicationwise Stock'!Q70/($L5*1000000000)</f>
        <v>2.6659468012896577</v>
      </c>
      <c r="R28" s="208">
        <f>$D$3*$J5*'Applicationwise Stock'!R70/($L5*1000000000)</f>
        <v>2.8182078854634875</v>
      </c>
      <c r="S28" s="208">
        <f>$D$3*$J5*'Applicationwise Stock'!S70/($L5*1000000000)</f>
        <v>2.90247554272861</v>
      </c>
      <c r="T28" s="208">
        <f>$D$3*$J5*'Applicationwise Stock'!T70/($L5*1000000000)</f>
        <v>3.0183530387354232</v>
      </c>
      <c r="U28" s="208">
        <f>$D$3*$J5*'Applicationwise Stock'!U70/($L5*1000000000)</f>
        <v>3.1488823899959177</v>
      </c>
      <c r="V28" s="208">
        <f>$D$3*$J5*'Applicationwise Stock'!V70/($L5*1000000000)</f>
        <v>3.2773387694251293</v>
      </c>
      <c r="W28" s="208">
        <f>$D$3*$J5*'Applicationwise Stock'!W70/($L5*1000000000)</f>
        <v>3.3555347275138652</v>
      </c>
      <c r="X28" s="208">
        <f>$D$3*$J5*'Applicationwise Stock'!X70/($L5*1000000000)</f>
        <v>3.4552763839876763</v>
      </c>
      <c r="Y28" s="208">
        <f>$D$3*$J5*'Applicationwise Stock'!Y70/($L5*1000000000)</f>
        <v>3.6336484477163822</v>
      </c>
      <c r="Z28" s="208">
        <f>$D$3*$J5*'Applicationwise Stock'!Z70/($L5*1000000000)</f>
        <v>3.7418337875285275</v>
      </c>
      <c r="AA28" s="208">
        <f>$D$3*$J5*'Applicationwise Stock'!AA70/($L5*1000000000)</f>
        <v>3.6789221190357391</v>
      </c>
      <c r="AB28" s="208">
        <f>$D$3*$J5*'Applicationwise Stock'!AB70/($L5*1000000000)</f>
        <v>3.7107115781422952</v>
      </c>
      <c r="AC28" s="208">
        <f>$D$3*$J5*'Applicationwise Stock'!AC70/($L5*1000000000)</f>
        <v>3.6740308565947553</v>
      </c>
      <c r="AD28" s="208">
        <f>$D$3*$J5*'Applicationwise Stock'!AD70/($L5*1000000000)</f>
        <v>3.5490422274291626</v>
      </c>
      <c r="AE28" s="208">
        <f>$D$3*$J5*'Applicationwise Stock'!AE70/($L5*1000000000)</f>
        <v>3.3599547264169098</v>
      </c>
      <c r="AF28" s="208">
        <f>$D$3*$J5*'Applicationwise Stock'!AF70/($L5*1000000000)</f>
        <v>3.1399705891154204</v>
      </c>
    </row>
    <row r="29" spans="1:32">
      <c r="A29" s="194" t="s">
        <v>55</v>
      </c>
      <c r="B29" s="208">
        <f>$D$3*$J6*'Applicationwise Stock'!B71/($L6*1000000000)</f>
        <v>1.9355126029198796E-2</v>
      </c>
      <c r="C29" s="208">
        <f>$D$3*$J6*'Applicationwise Stock'!C71/($L6*1000000000)</f>
        <v>4.1157727738695547E-2</v>
      </c>
      <c r="D29" s="208">
        <f>$D$3*$J6*'Applicationwise Stock'!D71/($L6*1000000000)</f>
        <v>6.3852215229780115E-2</v>
      </c>
      <c r="E29" s="208">
        <f>$D$3*$J6*'Applicationwise Stock'!E71/($L6*1000000000)</f>
        <v>9.1139587308785713E-2</v>
      </c>
      <c r="F29" s="208">
        <f>$D$3*$J6*'Applicationwise Stock'!F71/($L6*1000000000)</f>
        <v>0.11525072942901378</v>
      </c>
      <c r="G29" s="208">
        <f>$D$3*$J6*'Applicationwise Stock'!G71/($L6*1000000000)</f>
        <v>0.15613171980905302</v>
      </c>
      <c r="H29" s="208">
        <f>$D$3*$J6*'Applicationwise Stock'!H71/($L6*1000000000)</f>
        <v>0.20593211593036378</v>
      </c>
      <c r="I29" s="208">
        <f>$D$3*$J6*'Applicationwise Stock'!I71/($L6*1000000000)</f>
        <v>0.23666799108998557</v>
      </c>
      <c r="J29" s="208">
        <f>$D$3*$J6*'Applicationwise Stock'!J71/($L6*1000000000)</f>
        <v>0.28155134080254457</v>
      </c>
      <c r="K29" s="208">
        <f>$D$3*$J6*'Applicationwise Stock'!K71/($L6*1000000000)</f>
        <v>0.31010077913075218</v>
      </c>
      <c r="L29" s="208">
        <f>$D$3*$J6*'Applicationwise Stock'!L71/($L6*1000000000)</f>
        <v>0.3291865888475648</v>
      </c>
      <c r="M29" s="208">
        <f>$D$3*$J6*'Applicationwise Stock'!M71/($L6*1000000000)</f>
        <v>0.34001190645376506</v>
      </c>
      <c r="N29" s="208">
        <f>$D$3*$J6*'Applicationwise Stock'!N71/($L6*1000000000)</f>
        <v>0.35422902420547647</v>
      </c>
      <c r="O29" s="208">
        <f>$D$3*$J6*'Applicationwise Stock'!O71/($L6*1000000000)</f>
        <v>0.36197430657125013</v>
      </c>
      <c r="P29" s="208">
        <f>$D$3*$J6*'Applicationwise Stock'!P71/($L6*1000000000)</f>
        <v>0.36202611057844514</v>
      </c>
      <c r="Q29" s="208">
        <f>$D$3*$J6*'Applicationwise Stock'!Q71/($L6*1000000000)</f>
        <v>0.3695481792155566</v>
      </c>
      <c r="R29" s="208">
        <f>$D$3*$J6*'Applicationwise Stock'!R71/($L6*1000000000)</f>
        <v>0.40834427439179277</v>
      </c>
      <c r="S29" s="208">
        <f>$D$3*$J6*'Applicationwise Stock'!S71/($L6*1000000000)</f>
        <v>0.38655473658391831</v>
      </c>
      <c r="T29" s="208">
        <f>$D$3*$J6*'Applicationwise Stock'!T71/($L6*1000000000)</f>
        <v>0.36773916807156248</v>
      </c>
      <c r="U29" s="208">
        <f>$D$3*$J6*'Applicationwise Stock'!U71/($L6*1000000000)</f>
        <v>0.34735135503756748</v>
      </c>
      <c r="V29" s="208">
        <f>$D$3*$J6*'Applicationwise Stock'!V71/($L6*1000000000)</f>
        <v>0.32459819621476038</v>
      </c>
      <c r="W29" s="208">
        <f>$D$3*$J6*'Applicationwise Stock'!W71/($L6*1000000000)</f>
        <v>0.29837684840795886</v>
      </c>
      <c r="X29" s="208">
        <f>$D$3*$J6*'Applicationwise Stock'!X71/($L6*1000000000)</f>
        <v>0.27877595647388709</v>
      </c>
      <c r="Y29" s="208">
        <f>$D$3*$J6*'Applicationwise Stock'!Y71/($L6*1000000000)</f>
        <v>0.25964718709760809</v>
      </c>
      <c r="Z29" s="208">
        <f>$D$3*$J6*'Applicationwise Stock'!Z71/($L6*1000000000)</f>
        <v>0.24063258726361245</v>
      </c>
      <c r="AA29" s="208">
        <f>$D$3*$J6*'Applicationwise Stock'!AA71/($L6*1000000000)</f>
        <v>0.21570248133760817</v>
      </c>
      <c r="AB29" s="208">
        <f>$D$3*$J6*'Applicationwise Stock'!AB71/($L6*1000000000)</f>
        <v>0.2076461018125699</v>
      </c>
      <c r="AC29" s="208">
        <f>$D$3*$J6*'Applicationwise Stock'!AC71/($L6*1000000000)</f>
        <v>0.19766816537272847</v>
      </c>
      <c r="AD29" s="208">
        <f>$D$3*$J6*'Applicationwise Stock'!AD71/($L6*1000000000)</f>
        <v>0.17641836473522968</v>
      </c>
      <c r="AE29" s="208">
        <f>$D$3*$J6*'Applicationwise Stock'!AE71/($L6*1000000000)</f>
        <v>0.15438201074465682</v>
      </c>
      <c r="AF29" s="208">
        <f>$D$3*$J6*'Applicationwise Stock'!AF71/($L6*1000000000)</f>
        <v>0.13351702548187194</v>
      </c>
    </row>
    <row r="30" spans="1:32">
      <c r="A30" s="194" t="s">
        <v>56</v>
      </c>
      <c r="B30" s="208">
        <f>$D$3*$J7*'Applicationwise Stock'!B72/($L7*1000000000)</f>
        <v>9.492691516998544E-3</v>
      </c>
      <c r="C30" s="208">
        <f>$D$3*$J7*'Applicationwise Stock'!C72/($L7*1000000000)</f>
        <v>2.0166544209660676E-2</v>
      </c>
      <c r="D30" s="208">
        <f>$D$3*$J7*'Applicationwise Stock'!D72/($L7*1000000000)</f>
        <v>3.0633278048444158E-2</v>
      </c>
      <c r="E30" s="208">
        <f>$D$3*$J7*'Applicationwise Stock'!E72/($L7*1000000000)</f>
        <v>4.3271301961854268E-2</v>
      </c>
      <c r="F30" s="208">
        <f>$D$3*$J7*'Applicationwise Stock'!F72/($L7*1000000000)</f>
        <v>5.5669973867450186E-2</v>
      </c>
      <c r="G30" s="208">
        <f>$D$3*$J7*'Applicationwise Stock'!G72/($L7*1000000000)</f>
        <v>7.6270684754453491E-2</v>
      </c>
      <c r="H30" s="208">
        <f>$D$3*$J7*'Applicationwise Stock'!H72/($L7*1000000000)</f>
        <v>0.10837549496263385</v>
      </c>
      <c r="I30" s="208">
        <f>$D$3*$J7*'Applicationwise Stock'!I72/($L7*1000000000)</f>
        <v>0.12417481863025893</v>
      </c>
      <c r="J30" s="208">
        <f>$D$3*$J7*'Applicationwise Stock'!J72/($L7*1000000000)</f>
        <v>0.15688817968072985</v>
      </c>
      <c r="K30" s="208">
        <f>$D$3*$J7*'Applicationwise Stock'!K72/($L7*1000000000)</f>
        <v>0.19143995808759096</v>
      </c>
      <c r="L30" s="208">
        <f>$D$3*$J7*'Applicationwise Stock'!L72/($L7*1000000000)</f>
        <v>0.20969242962497292</v>
      </c>
      <c r="M30" s="208">
        <f>$D$3*$J7*'Applicationwise Stock'!M72/($L7*1000000000)</f>
        <v>0.24523448306351808</v>
      </c>
      <c r="N30" s="208">
        <f>$D$3*$J7*'Applicationwise Stock'!N72/($L7*1000000000)</f>
        <v>0.29185842204151707</v>
      </c>
      <c r="O30" s="208">
        <f>$D$3*$J7*'Applicationwise Stock'!O72/($L7*1000000000)</f>
        <v>0.36630668924289134</v>
      </c>
      <c r="P30" s="208">
        <f>$D$3*$J7*'Applicationwise Stock'!P72/($L7*1000000000)</f>
        <v>0.4068262816929597</v>
      </c>
      <c r="Q30" s="208">
        <f>$D$3*$J7*'Applicationwise Stock'!Q72/($L7*1000000000)</f>
        <v>0.43868426773950675</v>
      </c>
      <c r="R30" s="208">
        <f>$D$3*$J7*'Applicationwise Stock'!R72/($L7*1000000000)</f>
        <v>0.46221429831042632</v>
      </c>
      <c r="S30" s="208">
        <f>$D$3*$J7*'Applicationwise Stock'!S72/($L7*1000000000)</f>
        <v>0.46942000485906066</v>
      </c>
      <c r="T30" s="208">
        <f>$D$3*$J7*'Applicationwise Stock'!T72/($L7*1000000000)</f>
        <v>0.4825357073562519</v>
      </c>
      <c r="U30" s="208">
        <f>$D$3*$J7*'Applicationwise Stock'!U72/($L7*1000000000)</f>
        <v>0.4887630695651804</v>
      </c>
      <c r="V30" s="208">
        <f>$D$3*$J7*'Applicationwise Stock'!V72/($L7*1000000000)</f>
        <v>0.50371971394660586</v>
      </c>
      <c r="W30" s="208">
        <f>$D$3*$J7*'Applicationwise Stock'!W72/($L7*1000000000)</f>
        <v>0.51393186949735259</v>
      </c>
      <c r="X30" s="208">
        <f>$D$3*$J7*'Applicationwise Stock'!X72/($L7*1000000000)</f>
        <v>0.53190785475105939</v>
      </c>
      <c r="Y30" s="208">
        <f>$D$3*$J7*'Applicationwise Stock'!Y72/($L7*1000000000)</f>
        <v>0.55389906149224555</v>
      </c>
      <c r="Z30" s="208">
        <f>$D$3*$J7*'Applicationwise Stock'!Z72/($L7*1000000000)</f>
        <v>0.57879462917069324</v>
      </c>
      <c r="AA30" s="208">
        <f>$D$3*$J7*'Applicationwise Stock'!AA72/($L7*1000000000)</f>
        <v>0.59139218222729295</v>
      </c>
      <c r="AB30" s="208">
        <f>$D$3*$J7*'Applicationwise Stock'!AB72/($L7*1000000000)</f>
        <v>0.59303296640418801</v>
      </c>
      <c r="AC30" s="208">
        <f>$D$3*$J7*'Applicationwise Stock'!AC72/($L7*1000000000)</f>
        <v>0.58416212869831619</v>
      </c>
      <c r="AD30" s="208">
        <f>$D$3*$J7*'Applicationwise Stock'!AD72/($L7*1000000000)</f>
        <v>0.56202404144344198</v>
      </c>
      <c r="AE30" s="208">
        <f>$D$3*$J7*'Applicationwise Stock'!AE72/($L7*1000000000)</f>
        <v>0.53025709143415045</v>
      </c>
      <c r="AF30" s="208">
        <f>$D$3*$J7*'Applicationwise Stock'!AF72/($L7*1000000000)</f>
        <v>0.49414741830018521</v>
      </c>
    </row>
    <row r="31" spans="1:32">
      <c r="A31" s="194" t="s">
        <v>549</v>
      </c>
      <c r="B31" s="208">
        <f>$D$3*$J8*'Applicationwise Stock'!B73/($L8*1000000000)</f>
        <v>1.5926412399434514E-2</v>
      </c>
      <c r="C31" s="208">
        <f>$D$3*$J8*'Applicationwise Stock'!C73/($L8*1000000000)</f>
        <v>3.3872198643398424E-2</v>
      </c>
      <c r="D31" s="208">
        <f>$D$3*$J8*'Applicationwise Stock'!D73/($L8*1000000000)</f>
        <v>5.0402683545029137E-2</v>
      </c>
      <c r="E31" s="208">
        <f>$D$3*$J8*'Applicationwise Stock'!E73/($L8*1000000000)</f>
        <v>6.747345879516721E-2</v>
      </c>
      <c r="F31" s="208">
        <f>$D$3*$J8*'Applicationwise Stock'!F73/($L8*1000000000)</f>
        <v>8.6665244748992898E-2</v>
      </c>
      <c r="G31" s="208">
        <f>$D$3*$J8*'Applicationwise Stock'!G73/($L8*1000000000)</f>
        <v>0.11237271552058488</v>
      </c>
      <c r="H31" s="208">
        <f>$D$3*$J8*'Applicationwise Stock'!H73/($L8*1000000000)</f>
        <v>0.13597862799043892</v>
      </c>
      <c r="I31" s="208">
        <f>$D$3*$J8*'Applicationwise Stock'!I73/($L8*1000000000)</f>
        <v>0.16250246616336575</v>
      </c>
      <c r="J31" s="208">
        <f>$D$3*$J8*'Applicationwise Stock'!J73/($L8*1000000000)</f>
        <v>0.19502086115954292</v>
      </c>
      <c r="K31" s="208">
        <f>$D$3*$J8*'Applicationwise Stock'!K73/($L8*1000000000)</f>
        <v>0.23571052803703138</v>
      </c>
      <c r="L31" s="208">
        <f>$D$3*$J8*'Applicationwise Stock'!L73/($L8*1000000000)</f>
        <v>0.26979032122839397</v>
      </c>
      <c r="M31" s="208">
        <f>$D$3*$J8*'Applicationwise Stock'!M73/($L8*1000000000)</f>
        <v>0.30188390580866331</v>
      </c>
      <c r="N31" s="208">
        <f>$D$3*$J8*'Applicationwise Stock'!N73/($L8*1000000000)</f>
        <v>0.34394609386902186</v>
      </c>
      <c r="O31" s="208">
        <f>$D$3*$J8*'Applicationwise Stock'!O73/($L8*1000000000)</f>
        <v>0.38862477058491857</v>
      </c>
      <c r="P31" s="208">
        <f>$D$3*$J8*'Applicationwise Stock'!P73/($L8*1000000000)</f>
        <v>0.4346671488205277</v>
      </c>
      <c r="Q31" s="208">
        <f>$D$3*$J8*'Applicationwise Stock'!Q73/($L8*1000000000)</f>
        <v>0.48563413550648649</v>
      </c>
      <c r="R31" s="208">
        <f>$D$3*$J8*'Applicationwise Stock'!R73/($L8*1000000000)</f>
        <v>0.52209680737350295</v>
      </c>
      <c r="S31" s="208">
        <f>$D$3*$J8*'Applicationwise Stock'!S73/($L8*1000000000)</f>
        <v>0.55259686653039497</v>
      </c>
      <c r="T31" s="208">
        <f>$D$3*$J8*'Applicationwise Stock'!T73/($L8*1000000000)</f>
        <v>0.58326436179727958</v>
      </c>
      <c r="U31" s="208">
        <f>$D$3*$J8*'Applicationwise Stock'!U73/($L8*1000000000)</f>
        <v>0.61655790568117841</v>
      </c>
      <c r="V31" s="208">
        <f>$D$3*$J8*'Applicationwise Stock'!V73/($L8*1000000000)</f>
        <v>0.64970727802745143</v>
      </c>
      <c r="W31" s="208">
        <f>$D$3*$J8*'Applicationwise Stock'!W73/($L8*1000000000)</f>
        <v>0.68436012391639856</v>
      </c>
      <c r="X31" s="208">
        <f>$D$3*$J8*'Applicationwise Stock'!X73/($L8*1000000000)</f>
        <v>0.71626585087890027</v>
      </c>
      <c r="Y31" s="208">
        <f>$D$3*$J8*'Applicationwise Stock'!Y73/($L8*1000000000)</f>
        <v>0.74168720980719716</v>
      </c>
      <c r="Z31" s="208">
        <f>$D$3*$J8*'Applicationwise Stock'!Z73/($L8*1000000000)</f>
        <v>0.81238078263751468</v>
      </c>
      <c r="AA31" s="208">
        <f>$D$3*$J8*'Applicationwise Stock'!AA73/($L8*1000000000)</f>
        <v>0.82978915086517502</v>
      </c>
      <c r="AB31" s="208">
        <f>$D$3*$J8*'Applicationwise Stock'!AB73/($L8*1000000000)</f>
        <v>0.84947668677592014</v>
      </c>
      <c r="AC31" s="208">
        <f>$D$3*$J8*'Applicationwise Stock'!AC73/($L8*1000000000)</f>
        <v>0.85428064974605777</v>
      </c>
      <c r="AD31" s="208">
        <f>$D$3*$J8*'Applicationwise Stock'!AD73/($L8*1000000000)</f>
        <v>0.83924715357907531</v>
      </c>
      <c r="AE31" s="208">
        <f>$D$3*$J8*'Applicationwise Stock'!AE73/($L8*1000000000)</f>
        <v>0.80702797772696466</v>
      </c>
      <c r="AF31" s="208">
        <f>$D$3*$J8*'Applicationwise Stock'!AF73/($L8*1000000000)</f>
        <v>0.76603766831318831</v>
      </c>
    </row>
    <row r="32" spans="1:32">
      <c r="A32" s="194" t="s">
        <v>52</v>
      </c>
      <c r="B32" s="208">
        <f>$D$3*$J9*'Applicationwise Stock'!B74/($L9*1000000000)</f>
        <v>2.0132263264597997E-2</v>
      </c>
      <c r="C32" s="208">
        <f>$D$3*$J9*'Applicationwise Stock'!C74/($L9*1000000000)</f>
        <v>4.2371719349299793E-2</v>
      </c>
      <c r="D32" s="208">
        <f>$D$3*$J9*'Applicationwise Stock'!D74/($L9*1000000000)</f>
        <v>6.2692158282567884E-2</v>
      </c>
      <c r="E32" s="208">
        <f>$D$3*$J9*'Applicationwise Stock'!E74/($L9*1000000000)</f>
        <v>8.3140173028259309E-2</v>
      </c>
      <c r="F32" s="208">
        <f>$D$3*$J9*'Applicationwise Stock'!F74/($L9*1000000000)</f>
        <v>0.10222421708556058</v>
      </c>
      <c r="G32" s="208">
        <f>$D$3*$J9*'Applicationwise Stock'!G74/($L9*1000000000)</f>
        <v>0.12584526857041659</v>
      </c>
      <c r="H32" s="208">
        <f>$D$3*$J9*'Applicationwise Stock'!H74/($L9*1000000000)</f>
        <v>0.14816516793549092</v>
      </c>
      <c r="I32" s="208">
        <f>$D$3*$J9*'Applicationwise Stock'!I74/($L9*1000000000)</f>
        <v>0.17564518656366332</v>
      </c>
      <c r="J32" s="208">
        <f>$D$3*$J9*'Applicationwise Stock'!J74/($L9*1000000000)</f>
        <v>0.21852889906113956</v>
      </c>
      <c r="K32" s="208">
        <f>$D$3*$J9*'Applicationwise Stock'!K74/($L9*1000000000)</f>
        <v>0.25742331783841937</v>
      </c>
      <c r="L32" s="208">
        <f>$D$3*$J9*'Applicationwise Stock'!L74/($L9*1000000000)</f>
        <v>0.29725751564917097</v>
      </c>
      <c r="M32" s="208">
        <f>$D$3*$J9*'Applicationwise Stock'!M74/($L9*1000000000)</f>
        <v>0.33938080896775774</v>
      </c>
      <c r="N32" s="208">
        <f>$D$3*$J9*'Applicationwise Stock'!N74/($L9*1000000000)</f>
        <v>0.39690387010375749</v>
      </c>
      <c r="O32" s="208">
        <f>$D$3*$J9*'Applicationwise Stock'!O74/($L9*1000000000)</f>
        <v>0.44041205494249602</v>
      </c>
      <c r="P32" s="208">
        <f>$D$3*$J9*'Applicationwise Stock'!P74/($L9*1000000000)</f>
        <v>0.47921937536708303</v>
      </c>
      <c r="Q32" s="208">
        <f>$D$3*$J9*'Applicationwise Stock'!Q74/($L9*1000000000)</f>
        <v>0.52272830356333833</v>
      </c>
      <c r="R32" s="208">
        <f>$D$3*$J9*'Applicationwise Stock'!R74/($L9*1000000000)</f>
        <v>0.5466876269919978</v>
      </c>
      <c r="S32" s="208">
        <f>$D$3*$J9*'Applicationwise Stock'!S74/($L9*1000000000)</f>
        <v>0.57273789166063072</v>
      </c>
      <c r="T32" s="208">
        <f>$D$3*$J9*'Applicationwise Stock'!T74/($L9*1000000000)</f>
        <v>0.60309040625001964</v>
      </c>
      <c r="U32" s="208">
        <f>$D$3*$J9*'Applicationwise Stock'!U74/($L9*1000000000)</f>
        <v>0.6421379495685331</v>
      </c>
      <c r="V32" s="208">
        <f>$D$3*$J9*'Applicationwise Stock'!V74/($L9*1000000000)</f>
        <v>0.678750437292158</v>
      </c>
      <c r="W32" s="208">
        <f>$D$3*$J9*'Applicationwise Stock'!W74/($L9*1000000000)</f>
        <v>0.70634189975822181</v>
      </c>
      <c r="X32" s="208">
        <f>$D$3*$J9*'Applicationwise Stock'!X74/($L9*1000000000)</f>
        <v>0.73814223689853975</v>
      </c>
      <c r="Y32" s="208">
        <f>$D$3*$J9*'Applicationwise Stock'!Y74/($L9*1000000000)</f>
        <v>0.81584484250643796</v>
      </c>
      <c r="Z32" s="208">
        <f>$D$3*$J9*'Applicationwise Stock'!Z74/($L9*1000000000)</f>
        <v>0.84176075032204123</v>
      </c>
      <c r="AA32" s="208">
        <f>$D$3*$J9*'Applicationwise Stock'!AA74/($L9*1000000000)</f>
        <v>0.86395258907088068</v>
      </c>
      <c r="AB32" s="208">
        <f>$D$3*$J9*'Applicationwise Stock'!AB74/($L9*1000000000)</f>
        <v>0.87976986706160742</v>
      </c>
      <c r="AC32" s="208">
        <f>$D$3*$J9*'Applicationwise Stock'!AC74/($L9*1000000000)</f>
        <v>0.88161966593345531</v>
      </c>
      <c r="AD32" s="208">
        <f>$D$3*$J9*'Applicationwise Stock'!AD74/($L9*1000000000)</f>
        <v>0.8647812166627773</v>
      </c>
      <c r="AE32" s="208">
        <f>$D$3*$J9*'Applicationwise Stock'!AE74/($L9*1000000000)</f>
        <v>0.83090899809270513</v>
      </c>
      <c r="AF32" s="208">
        <f>$D$3*$J9*'Applicationwise Stock'!AF74/($L9*1000000000)</f>
        <v>0.78812947072827078</v>
      </c>
    </row>
    <row r="33" spans="1:32">
      <c r="A33" s="194" t="s">
        <v>57</v>
      </c>
      <c r="B33" s="208">
        <f>$D$3*$J10*'Applicationwise Stock'!B75/($L10*1000000000)</f>
        <v>6.8743898176075336E-3</v>
      </c>
      <c r="C33" s="208">
        <f>$D$3*$J10*'Applicationwise Stock'!C75/($L10*1000000000)</f>
        <v>1.4644247971830737E-2</v>
      </c>
      <c r="D33" s="208">
        <f>$D$3*$J10*'Applicationwise Stock'!D75/($L10*1000000000)</f>
        <v>2.2606123500493597E-2</v>
      </c>
      <c r="E33" s="208">
        <f>$D$3*$J10*'Applicationwise Stock'!E75/($L10*1000000000)</f>
        <v>3.2472872026401332E-2</v>
      </c>
      <c r="F33" s="208">
        <f>$D$3*$J10*'Applicationwise Stock'!F75/($L10*1000000000)</f>
        <v>4.2167392793232422E-2</v>
      </c>
      <c r="G33" s="208">
        <f>$D$3*$J10*'Applicationwise Stock'!G75/($L10*1000000000)</f>
        <v>5.6857257214033737E-2</v>
      </c>
      <c r="H33" s="208">
        <f>$D$3*$J10*'Applicationwise Stock'!H75/($L10*1000000000)</f>
        <v>6.9657679019912558E-2</v>
      </c>
      <c r="I33" s="208">
        <f>$D$3*$J10*'Applicationwise Stock'!I75/($L10*1000000000)</f>
        <v>7.8637071226597119E-2</v>
      </c>
      <c r="J33" s="208">
        <f>$D$3*$J10*'Applicationwise Stock'!J75/($L10*1000000000)</f>
        <v>0.10120668449509032</v>
      </c>
      <c r="K33" s="208">
        <f>$D$3*$J10*'Applicationwise Stock'!K75/($L10*1000000000)</f>
        <v>0.12602981223723378</v>
      </c>
      <c r="L33" s="208">
        <f>$D$3*$J10*'Applicationwise Stock'!L75/($L10*1000000000)</f>
        <v>0.14198398486239355</v>
      </c>
      <c r="M33" s="208">
        <f>$D$3*$J10*'Applicationwise Stock'!M75/($L10*1000000000)</f>
        <v>0.18633187555120248</v>
      </c>
      <c r="N33" s="208">
        <f>$D$3*$J10*'Applicationwise Stock'!N75/($L10*1000000000)</f>
        <v>0.20329398212174726</v>
      </c>
      <c r="O33" s="208">
        <f>$D$3*$J10*'Applicationwise Stock'!O75/($L10*1000000000)</f>
        <v>0.21156596232056626</v>
      </c>
      <c r="P33" s="208">
        <f>$D$3*$J10*'Applicationwise Stock'!P75/($L10*1000000000)</f>
        <v>0.22332831221321259</v>
      </c>
      <c r="Q33" s="208">
        <f>$D$3*$J10*'Applicationwise Stock'!Q75/($L10*1000000000)</f>
        <v>0.24520662815352762</v>
      </c>
      <c r="R33" s="208">
        <f>$D$3*$J10*'Applicationwise Stock'!R75/($L10*1000000000)</f>
        <v>0.24596772912951773</v>
      </c>
      <c r="S33" s="208">
        <f>$D$3*$J10*'Applicationwise Stock'!S75/($L10*1000000000)</f>
        <v>0.25427060140744817</v>
      </c>
      <c r="T33" s="208">
        <f>$D$3*$J10*'Applicationwise Stock'!T75/($L10*1000000000)</f>
        <v>0.26299971327234506</v>
      </c>
      <c r="U33" s="208">
        <f>$D$3*$J10*'Applicationwise Stock'!U75/($L10*1000000000)</f>
        <v>0.27812224039314615</v>
      </c>
      <c r="V33" s="208">
        <f>$D$3*$J10*'Applicationwise Stock'!V75/($L10*1000000000)</f>
        <v>0.29464087189390398</v>
      </c>
      <c r="W33" s="208">
        <f>$D$3*$J10*'Applicationwise Stock'!W75/($L10*1000000000)</f>
        <v>0.30905550327615261</v>
      </c>
      <c r="X33" s="208">
        <f>$D$3*$J10*'Applicationwise Stock'!X75/($L10*1000000000)</f>
        <v>0.32406198067965342</v>
      </c>
      <c r="Y33" s="208">
        <f>$D$3*$J10*'Applicationwise Stock'!Y75/($L10*1000000000)</f>
        <v>0.34296759950472394</v>
      </c>
      <c r="Z33" s="208">
        <f>$D$3*$J10*'Applicationwise Stock'!Z75/($L10*1000000000)</f>
        <v>0.35177823335006386</v>
      </c>
      <c r="AA33" s="208">
        <f>$D$3*$J10*'Applicationwise Stock'!AA75/($L10*1000000000)</f>
        <v>0.36042407575147678</v>
      </c>
      <c r="AB33" s="208">
        <f>$D$3*$J10*'Applicationwise Stock'!AB75/($L10*1000000000)</f>
        <v>0.36369563368706204</v>
      </c>
      <c r="AC33" s="208">
        <f>$D$3*$J10*'Applicationwise Stock'!AC75/($L10*1000000000)</f>
        <v>0.3606747886624968</v>
      </c>
      <c r="AD33" s="208">
        <f>$D$3*$J10*'Applicationwise Stock'!AD75/($L10*1000000000)</f>
        <v>0.35106056996376572</v>
      </c>
      <c r="AE33" s="208">
        <f>$D$3*$J10*'Applicationwise Stock'!AE75/($L10*1000000000)</f>
        <v>0.3348433415026324</v>
      </c>
      <c r="AF33" s="208">
        <f>$D$3*$J10*'Applicationwise Stock'!AF75/($L10*1000000000)</f>
        <v>0.31552693898372008</v>
      </c>
    </row>
    <row r="34" spans="1:32">
      <c r="A34" s="200" t="s">
        <v>591</v>
      </c>
      <c r="B34" s="209">
        <f>SUM(B25:B33)</f>
        <v>0.76894682631117173</v>
      </c>
      <c r="C34" s="209">
        <f t="shared" ref="C34:AF34" si="5">SUM(C25:C33)</f>
        <v>1.6357857009925558</v>
      </c>
      <c r="D34" s="209">
        <f t="shared" si="5"/>
        <v>2.5107887333391501</v>
      </c>
      <c r="E34" s="209">
        <f t="shared" si="5"/>
        <v>3.402354176124216</v>
      </c>
      <c r="F34" s="209">
        <f t="shared" si="5"/>
        <v>4.3728676787025051</v>
      </c>
      <c r="G34" s="209">
        <f t="shared" si="5"/>
        <v>5.365980042180384</v>
      </c>
      <c r="H34" s="209">
        <f t="shared" si="5"/>
        <v>6.3856288074935295</v>
      </c>
      <c r="I34" s="209">
        <f t="shared" si="5"/>
        <v>7.4929727372362409</v>
      </c>
      <c r="J34" s="209">
        <f t="shared" si="5"/>
        <v>8.6834113951556624</v>
      </c>
      <c r="K34" s="209">
        <f t="shared" si="5"/>
        <v>9.9343306948168753</v>
      </c>
      <c r="L34" s="209">
        <f t="shared" si="5"/>
        <v>11.250419700421192</v>
      </c>
      <c r="M34" s="209">
        <f t="shared" si="5"/>
        <v>12.643728559657381</v>
      </c>
      <c r="N34" s="209">
        <f t="shared" si="5"/>
        <v>14.133737260834739</v>
      </c>
      <c r="O34" s="209">
        <f t="shared" si="5"/>
        <v>15.658105596042713</v>
      </c>
      <c r="P34" s="209">
        <f t="shared" si="5"/>
        <v>17.293352294463613</v>
      </c>
      <c r="Q34" s="209">
        <f t="shared" si="5"/>
        <v>19.028112705544352</v>
      </c>
      <c r="R34" s="209">
        <f t="shared" si="5"/>
        <v>20.083612314707089</v>
      </c>
      <c r="S34" s="209">
        <f t="shared" si="5"/>
        <v>21.264829952177447</v>
      </c>
      <c r="T34" s="209">
        <f t="shared" si="5"/>
        <v>22.443833054899653</v>
      </c>
      <c r="U34" s="209">
        <f t="shared" si="5"/>
        <v>23.703211016529764</v>
      </c>
      <c r="V34" s="209">
        <f t="shared" si="5"/>
        <v>24.969242109130555</v>
      </c>
      <c r="W34" s="209">
        <f t="shared" si="5"/>
        <v>26.143027494239814</v>
      </c>
      <c r="X34" s="209">
        <f t="shared" si="5"/>
        <v>27.239920008793845</v>
      </c>
      <c r="Y34" s="209">
        <f t="shared" si="5"/>
        <v>28.149355910264084</v>
      </c>
      <c r="Z34" s="209">
        <f t="shared" si="5"/>
        <v>28.871859974611407</v>
      </c>
      <c r="AA34" s="209">
        <f t="shared" si="5"/>
        <v>29.466641368532681</v>
      </c>
      <c r="AB34" s="209">
        <f t="shared" si="5"/>
        <v>29.923270655567777</v>
      </c>
      <c r="AC34" s="209">
        <f t="shared" si="5"/>
        <v>29.866868984006153</v>
      </c>
      <c r="AD34" s="209">
        <f t="shared" si="5"/>
        <v>29.140141668674513</v>
      </c>
      <c r="AE34" s="209">
        <f t="shared" si="5"/>
        <v>27.801802486144616</v>
      </c>
      <c r="AF34" s="209">
        <f t="shared" si="5"/>
        <v>26.163185073853295</v>
      </c>
    </row>
    <row r="36" spans="1:32" s="1" customFormat="1">
      <c r="A36" s="189" t="s">
        <v>593</v>
      </c>
      <c r="B36" s="189">
        <v>2025</v>
      </c>
      <c r="C36" s="189">
        <v>2026</v>
      </c>
      <c r="D36" s="189">
        <v>2027</v>
      </c>
      <c r="E36" s="189">
        <v>2028</v>
      </c>
      <c r="F36" s="189">
        <v>2029</v>
      </c>
      <c r="G36" s="189">
        <v>2030</v>
      </c>
      <c r="H36" s="189">
        <v>2031</v>
      </c>
      <c r="I36" s="189">
        <v>2032</v>
      </c>
      <c r="J36" s="189">
        <v>2033</v>
      </c>
      <c r="K36" s="189">
        <v>2034</v>
      </c>
      <c r="L36" s="189">
        <v>2035</v>
      </c>
      <c r="M36" s="189">
        <v>2036</v>
      </c>
      <c r="N36" s="189">
        <v>2037</v>
      </c>
      <c r="O36" s="189">
        <v>2038</v>
      </c>
      <c r="P36" s="189">
        <v>2039</v>
      </c>
      <c r="Q36" s="189">
        <v>2040</v>
      </c>
      <c r="R36" s="189">
        <v>2041</v>
      </c>
      <c r="S36" s="189">
        <v>2042</v>
      </c>
      <c r="T36" s="189">
        <v>2043</v>
      </c>
      <c r="U36" s="189">
        <v>2044</v>
      </c>
      <c r="V36" s="189">
        <v>2045</v>
      </c>
      <c r="W36" s="189">
        <v>2046</v>
      </c>
      <c r="X36" s="189">
        <v>2047</v>
      </c>
      <c r="Y36" s="189">
        <v>2048</v>
      </c>
      <c r="Z36" s="189">
        <v>2049</v>
      </c>
      <c r="AA36" s="189">
        <v>2050</v>
      </c>
      <c r="AB36" s="189">
        <v>2051</v>
      </c>
      <c r="AC36" s="189">
        <v>2052</v>
      </c>
      <c r="AD36" s="189">
        <v>2053</v>
      </c>
      <c r="AE36" s="189">
        <v>2054</v>
      </c>
      <c r="AF36" s="189">
        <v>2055</v>
      </c>
    </row>
    <row r="37" spans="1:32">
      <c r="A37" s="194" t="s">
        <v>43</v>
      </c>
      <c r="B37" s="210">
        <f>$D$4*$J2*'Applicationwise Stock'!B78/($M2*1000000000)</f>
        <v>7.6562378130806304E-3</v>
      </c>
      <c r="C37" s="210">
        <f>$D$4*$J2*'Applicationwise Stock'!C78/($M2*1000000000)</f>
        <v>1.6351011621456586E-2</v>
      </c>
      <c r="D37" s="210">
        <f>$D$4*$J2*'Applicationwise Stock'!D78/($M2*1000000000)</f>
        <v>2.5359431672512318E-2</v>
      </c>
      <c r="E37" s="210">
        <f>$D$4*$J2*'Applicationwise Stock'!E78/($M2*1000000000)</f>
        <v>3.4331456075435723E-2</v>
      </c>
      <c r="F37" s="210">
        <f>$D$4*$J2*'Applicationwise Stock'!F78/($M2*1000000000)</f>
        <v>4.4497104812488406E-2</v>
      </c>
      <c r="G37" s="210">
        <f>$D$4*$J2*'Applicationwise Stock'!G78/($M2*1000000000)</f>
        <v>5.3932894878854533E-2</v>
      </c>
      <c r="H37" s="210">
        <f>$D$4*$J2*'Applicationwise Stock'!H78/($M2*1000000000)</f>
        <v>6.3363975002279888E-2</v>
      </c>
      <c r="I37" s="210">
        <f>$D$4*$J2*'Applicationwise Stock'!I78/($M2*1000000000)</f>
        <v>7.5221851813481219E-2</v>
      </c>
      <c r="J37" s="210">
        <f>$D$4*$J2*'Applicationwise Stock'!J78/($M2*1000000000)</f>
        <v>8.8417900849269912E-2</v>
      </c>
      <c r="K37" s="210">
        <f>$D$4*$J2*'Applicationwise Stock'!K78/($M2*1000000000)</f>
        <v>0.1017459236607608</v>
      </c>
      <c r="L37" s="210">
        <f>$D$4*$J2*'Applicationwise Stock'!L78/($M2*1000000000)</f>
        <v>0.11785052193555068</v>
      </c>
      <c r="M37" s="210">
        <f>$D$4*$J2*'Applicationwise Stock'!M78/($M2*1000000000)</f>
        <v>0.13721961550522815</v>
      </c>
      <c r="N37" s="210">
        <f>$D$4*$J2*'Applicationwise Stock'!N78/($M2*1000000000)</f>
        <v>0.16549428840913638</v>
      </c>
      <c r="O37" s="210">
        <f>$D$4*$J2*'Applicationwise Stock'!O78/($M2*1000000000)</f>
        <v>0.19526296671506008</v>
      </c>
      <c r="P37" s="210">
        <f>$D$4*$J2*'Applicationwise Stock'!P78/($M2*1000000000)</f>
        <v>0.23223305038954131</v>
      </c>
      <c r="Q37" s="210">
        <f>$D$4*$J2*'Applicationwise Stock'!Q78/($M2*1000000000)</f>
        <v>0.27272324723875208</v>
      </c>
      <c r="R37" s="210">
        <f>$D$4*$J2*'Applicationwise Stock'!R78/($M2*1000000000)</f>
        <v>0.31225228953362277</v>
      </c>
      <c r="S37" s="210">
        <f>$D$4*$J2*'Applicationwise Stock'!S78/($M2*1000000000)</f>
        <v>0.35663755489303028</v>
      </c>
      <c r="T37" s="210">
        <f>$D$4*$J2*'Applicationwise Stock'!T78/($M2*1000000000)</f>
        <v>0.41266453094660432</v>
      </c>
      <c r="U37" s="210">
        <f>$D$4*$J2*'Applicationwise Stock'!U78/($M2*1000000000)</f>
        <v>0.47363852437109322</v>
      </c>
      <c r="V37" s="210">
        <f>$D$4*$J2*'Applicationwise Stock'!V78/($M2*1000000000)</f>
        <v>0.53879736890834085</v>
      </c>
      <c r="W37" s="210">
        <f>$D$4*$J2*'Applicationwise Stock'!W78/($M2*1000000000)</f>
        <v>0.60512078324118668</v>
      </c>
      <c r="X37" s="210">
        <f>$D$4*$J2*'Applicationwise Stock'!X78/($M2*1000000000)</f>
        <v>0.66959467044679166</v>
      </c>
      <c r="Y37" s="210">
        <f>$D$4*$J2*'Applicationwise Stock'!Y78/($M2*1000000000)</f>
        <v>0.72659860356967809</v>
      </c>
      <c r="Z37" s="210">
        <f>$D$4*$J2*'Applicationwise Stock'!Z78/($M2*1000000000)</f>
        <v>0.7819254629355713</v>
      </c>
      <c r="AA37" s="210">
        <f>$D$4*$J2*'Applicationwise Stock'!AA78/($M2*1000000000)</f>
        <v>0.8449916562974864</v>
      </c>
      <c r="AB37" s="210">
        <f>$D$4*$J2*'Applicationwise Stock'!AB78/($M2*1000000000)</f>
        <v>0.8957943056040667</v>
      </c>
      <c r="AC37" s="210">
        <f>$D$4*$J2*'Applicationwise Stock'!AC78/($M2*1000000000)</f>
        <v>0.92674816573706542</v>
      </c>
      <c r="AD37" s="210">
        <f>$D$4*$J2*'Applicationwise Stock'!AD78/($M2*1000000000)</f>
        <v>0.93098336706104212</v>
      </c>
      <c r="AE37" s="210">
        <f>$D$4*$J2*'Applicationwise Stock'!AE78/($M2*1000000000)</f>
        <v>0.91112187641565623</v>
      </c>
      <c r="AF37" s="210">
        <f>$D$4*$J2*'Applicationwise Stock'!AF78/($M2*1000000000)</f>
        <v>0.87696610986569501</v>
      </c>
    </row>
    <row r="38" spans="1:32">
      <c r="A38" s="194" t="s">
        <v>51</v>
      </c>
      <c r="B38" s="210">
        <f>$D$4*$J3*'Applicationwise Stock'!B79/($M3*1000000000)</f>
        <v>9.4151546077983154E-3</v>
      </c>
      <c r="C38" s="210">
        <f>$D$4*$J3*'Applicationwise Stock'!C79/($M3*1000000000)</f>
        <v>1.9946137299607838E-2</v>
      </c>
      <c r="D38" s="210">
        <f>$D$4*$J3*'Applicationwise Stock'!D79/($M3*1000000000)</f>
        <v>3.1090595275668396E-2</v>
      </c>
      <c r="E38" s="210">
        <f>$D$4*$J3*'Applicationwise Stock'!E79/($M3*1000000000)</f>
        <v>4.1982153557348141E-2</v>
      </c>
      <c r="F38" s="210">
        <f>$D$4*$J3*'Applicationwise Stock'!F79/($M3*1000000000)</f>
        <v>5.4612542882986309E-2</v>
      </c>
      <c r="G38" s="210">
        <f>$D$4*$J3*'Applicationwise Stock'!G79/($M3*1000000000)</f>
        <v>6.6566841254106238E-2</v>
      </c>
      <c r="H38" s="210">
        <f>$D$4*$J3*'Applicationwise Stock'!H79/($M3*1000000000)</f>
        <v>7.8380709520031844E-2</v>
      </c>
      <c r="I38" s="210">
        <f>$D$4*$J3*'Applicationwise Stock'!I79/($M3*1000000000)</f>
        <v>9.4848334525163808E-2</v>
      </c>
      <c r="J38" s="210">
        <f>$D$4*$J3*'Applicationwise Stock'!J79/($M3*1000000000)</f>
        <v>0.10980133928504693</v>
      </c>
      <c r="K38" s="210">
        <f>$D$4*$J3*'Applicationwise Stock'!K79/($M3*1000000000)</f>
        <v>0.1278469408743812</v>
      </c>
      <c r="L38" s="210">
        <f>$D$4*$J3*'Applicationwise Stock'!L79/($M3*1000000000)</f>
        <v>0.15180719886341984</v>
      </c>
      <c r="M38" s="210">
        <f>$D$4*$J3*'Applicationwise Stock'!M79/($M3*1000000000)</f>
        <v>0.17673793967652854</v>
      </c>
      <c r="N38" s="210">
        <f>$D$4*$J3*'Applicationwise Stock'!N79/($M3*1000000000)</f>
        <v>0.20075099968414781</v>
      </c>
      <c r="O38" s="210">
        <f>$D$4*$J3*'Applicationwise Stock'!O79/($M3*1000000000)</f>
        <v>0.23483764679716004</v>
      </c>
      <c r="P38" s="210">
        <f>$D$4*$J3*'Applicationwise Stock'!P79/($M3*1000000000)</f>
        <v>0.27633464459631568</v>
      </c>
      <c r="Q38" s="210">
        <f>$D$4*$J3*'Applicationwise Stock'!Q79/($M3*1000000000)</f>
        <v>0.32663804014065245</v>
      </c>
      <c r="R38" s="210">
        <f>$D$4*$J3*'Applicationwise Stock'!R79/($M3*1000000000)</f>
        <v>0.37489199109882615</v>
      </c>
      <c r="S38" s="210">
        <f>$D$4*$J3*'Applicationwise Stock'!S79/($M3*1000000000)</f>
        <v>0.43046373595004067</v>
      </c>
      <c r="T38" s="210">
        <f>$D$4*$J3*'Applicationwise Stock'!T79/($M3*1000000000)</f>
        <v>0.49752770949606917</v>
      </c>
      <c r="U38" s="210">
        <f>$D$4*$J3*'Applicationwise Stock'!U79/($M3*1000000000)</f>
        <v>0.57245974402123789</v>
      </c>
      <c r="V38" s="210">
        <f>$D$4*$J3*'Applicationwise Stock'!V79/($M3*1000000000)</f>
        <v>0.65079661511873499</v>
      </c>
      <c r="W38" s="210">
        <f>$D$4*$J3*'Applicationwise Stock'!W79/($M3*1000000000)</f>
        <v>0.73095631862585131</v>
      </c>
      <c r="X38" s="210">
        <f>$D$4*$J3*'Applicationwise Stock'!X79/($M3*1000000000)</f>
        <v>0.80926926088368456</v>
      </c>
      <c r="Y38" s="210">
        <f>$D$4*$J3*'Applicationwise Stock'!Y79/($M3*1000000000)</f>
        <v>0.87615535948013734</v>
      </c>
      <c r="Z38" s="210">
        <f>$D$4*$J3*'Applicationwise Stock'!Z79/($M3*1000000000)</f>
        <v>0.94165966267070711</v>
      </c>
      <c r="AA38" s="210">
        <f>$D$4*$J3*'Applicationwise Stock'!AA79/($M3*1000000000)</f>
        <v>1.0167861977647585</v>
      </c>
      <c r="AB38" s="210">
        <f>$D$4*$J3*'Applicationwise Stock'!AB79/($M3*1000000000)</f>
        <v>1.0789051091423179</v>
      </c>
      <c r="AC38" s="210">
        <f>$D$4*$J3*'Applicationwise Stock'!AC79/($M3*1000000000)</f>
        <v>1.1166794475133408</v>
      </c>
      <c r="AD38" s="210">
        <f>$D$4*$J3*'Applicationwise Stock'!AD79/($M3*1000000000)</f>
        <v>1.1221312076687906</v>
      </c>
      <c r="AE38" s="210">
        <f>$D$4*$J3*'Applicationwise Stock'!AE79/($M3*1000000000)</f>
        <v>1.0980693834859849</v>
      </c>
      <c r="AF38" s="210">
        <f>$D$4*$J3*'Applicationwise Stock'!AF79/($M3*1000000000)</f>
        <v>1.0568750584046125</v>
      </c>
    </row>
    <row r="39" spans="1:32">
      <c r="A39" s="194" t="s">
        <v>58</v>
      </c>
      <c r="B39" s="210">
        <f>$D$4*$J4*'Applicationwise Stock'!B80/($M4*1000000000)</f>
        <v>3.2885720989253671E-3</v>
      </c>
      <c r="C39" s="210">
        <f>$D$4*$J4*'Applicationwise Stock'!C80/($M4*1000000000)</f>
        <v>7.1309539481945652E-3</v>
      </c>
      <c r="D39" s="210">
        <f>$D$4*$J4*'Applicationwise Stock'!D80/($M4*1000000000)</f>
        <v>1.0822942980967514E-2</v>
      </c>
      <c r="E39" s="210">
        <f>$D$4*$J4*'Applicationwise Stock'!E80/($M4*1000000000)</f>
        <v>1.488721332216416E-2</v>
      </c>
      <c r="F39" s="210">
        <f>$D$4*$J4*'Applicationwise Stock'!F80/($M4*1000000000)</f>
        <v>1.8818597159265895E-2</v>
      </c>
      <c r="G39" s="210">
        <f>$D$4*$J4*'Applicationwise Stock'!G80/($M4*1000000000)</f>
        <v>2.2632407728523717E-2</v>
      </c>
      <c r="H39" s="210">
        <f>$D$4*$J4*'Applicationwise Stock'!H80/($M4*1000000000)</f>
        <v>2.6815916184322275E-2</v>
      </c>
      <c r="I39" s="210">
        <f>$D$4*$J4*'Applicationwise Stock'!I80/($M4*1000000000)</f>
        <v>3.0014262605950314E-2</v>
      </c>
      <c r="J39" s="210">
        <f>$D$4*$J4*'Applicationwise Stock'!J80/($M4*1000000000)</f>
        <v>3.4682451142975794E-2</v>
      </c>
      <c r="K39" s="210">
        <f>$D$4*$J4*'Applicationwise Stock'!K80/($M4*1000000000)</f>
        <v>4.1005385577664387E-2</v>
      </c>
      <c r="L39" s="210">
        <f>$D$4*$J4*'Applicationwise Stock'!L80/($M4*1000000000)</f>
        <v>4.5509524712936199E-2</v>
      </c>
      <c r="M39" s="210">
        <f>$D$4*$J4*'Applicationwise Stock'!M80/($M4*1000000000)</f>
        <v>5.3566653644283979E-2</v>
      </c>
      <c r="N39" s="210">
        <f>$D$4*$J4*'Applicationwise Stock'!N80/($M4*1000000000)</f>
        <v>6.1808247782551951E-2</v>
      </c>
      <c r="O39" s="210">
        <f>$D$4*$J4*'Applicationwise Stock'!O80/($M4*1000000000)</f>
        <v>7.1795498762607407E-2</v>
      </c>
      <c r="P39" s="210">
        <f>$D$4*$J4*'Applicationwise Stock'!P80/($M4*1000000000)</f>
        <v>8.4365882007160067E-2</v>
      </c>
      <c r="Q39" s="210">
        <f>$D$4*$J4*'Applicationwise Stock'!Q80/($M4*1000000000)</f>
        <v>9.9978510059643019E-2</v>
      </c>
      <c r="R39" s="210">
        <f>$D$4*$J4*'Applicationwise Stock'!R80/($M4*1000000000)</f>
        <v>0.11309684452320802</v>
      </c>
      <c r="S39" s="210">
        <f>$D$4*$J4*'Applicationwise Stock'!S80/($M4*1000000000)</f>
        <v>0.14519057260457058</v>
      </c>
      <c r="T39" s="210">
        <f>$D$4*$J4*'Applicationwise Stock'!T80/($M4*1000000000)</f>
        <v>0.1665600945352573</v>
      </c>
      <c r="U39" s="210">
        <f>$D$4*$J4*'Applicationwise Stock'!U80/($M4*1000000000)</f>
        <v>0.19025292310497335</v>
      </c>
      <c r="V39" s="210">
        <f>$D$4*$J4*'Applicationwise Stock'!V80/($M4*1000000000)</f>
        <v>0.21508538915266484</v>
      </c>
      <c r="W39" s="210">
        <f>$D$4*$J4*'Applicationwise Stock'!W80/($M4*1000000000)</f>
        <v>0.2401228559830792</v>
      </c>
      <c r="X39" s="210">
        <f>$D$4*$J4*'Applicationwise Stock'!X80/($M4*1000000000)</f>
        <v>0.26482370312330905</v>
      </c>
      <c r="Y39" s="210">
        <f>$D$4*$J4*'Applicationwise Stock'!Y80/($M4*1000000000)</f>
        <v>0.28842703727399832</v>
      </c>
      <c r="Z39" s="210">
        <f>$D$4*$J4*'Applicationwise Stock'!Z80/($M4*1000000000)</f>
        <v>0.31110842198226801</v>
      </c>
      <c r="AA39" s="210">
        <f>$D$4*$J4*'Applicationwise Stock'!AA80/($M4*1000000000)</f>
        <v>0.33369784512073503</v>
      </c>
      <c r="AB39" s="210">
        <f>$D$4*$J4*'Applicationwise Stock'!AB80/($M4*1000000000)</f>
        <v>0.35684384634171634</v>
      </c>
      <c r="AC39" s="210">
        <f>$D$4*$J4*'Applicationwise Stock'!AC80/($M4*1000000000)</f>
        <v>0.37250138090106488</v>
      </c>
      <c r="AD39" s="210">
        <f>$D$4*$J4*'Applicationwise Stock'!AD80/($M4*1000000000)</f>
        <v>0.37834577275447401</v>
      </c>
      <c r="AE39" s="210">
        <f>$D$4*$J4*'Applicationwise Stock'!AE80/($M4*1000000000)</f>
        <v>0.37026848788129879</v>
      </c>
      <c r="AF39" s="210">
        <f>$D$4*$J4*'Applicationwise Stock'!AF80/($M4*1000000000)</f>
        <v>0.35664745975739176</v>
      </c>
    </row>
    <row r="40" spans="1:32">
      <c r="A40" s="194" t="s">
        <v>54</v>
      </c>
      <c r="B40" s="210">
        <f>$D$4*$J5*'Applicationwise Stock'!B81/($M5*1000000000)</f>
        <v>3.6600864155770844E-3</v>
      </c>
      <c r="C40" s="210">
        <f>$D$4*$J5*'Applicationwise Stock'!C81/($M5*1000000000)</f>
        <v>7.6905597181706128E-3</v>
      </c>
      <c r="D40" s="210">
        <f>$D$4*$J5*'Applicationwise Stock'!D81/($M5*1000000000)</f>
        <v>1.1338144761749351E-2</v>
      </c>
      <c r="E40" s="210">
        <f>$D$4*$J5*'Applicationwise Stock'!E81/($M5*1000000000)</f>
        <v>1.5206884552618807E-2</v>
      </c>
      <c r="F40" s="210">
        <f>$D$4*$J5*'Applicationwise Stock'!F81/($M5*1000000000)</f>
        <v>1.9285085564421815E-2</v>
      </c>
      <c r="G40" s="210">
        <f>$D$4*$J5*'Applicationwise Stock'!G81/($M5*1000000000)</f>
        <v>2.4594438879354572E-2</v>
      </c>
      <c r="H40" s="210">
        <f>$D$4*$J5*'Applicationwise Stock'!H81/($M5*1000000000)</f>
        <v>3.075400711359514E-2</v>
      </c>
      <c r="I40" s="210">
        <f>$D$4*$J5*'Applicationwise Stock'!I81/($M5*1000000000)</f>
        <v>3.6357708532270029E-2</v>
      </c>
      <c r="J40" s="210">
        <f>$D$4*$J5*'Applicationwise Stock'!J81/($M5*1000000000)</f>
        <v>4.3371213998150207E-2</v>
      </c>
      <c r="K40" s="210">
        <f>$D$4*$J5*'Applicationwise Stock'!K81/($M5*1000000000)</f>
        <v>5.1075766480323428E-2</v>
      </c>
      <c r="L40" s="210">
        <f>$D$4*$J5*'Applicationwise Stock'!L81/($M5*1000000000)</f>
        <v>6.0421222017015011E-2</v>
      </c>
      <c r="M40" s="210">
        <f>$D$4*$J5*'Applicationwise Stock'!M81/($M5*1000000000)</f>
        <v>6.9884423224554154E-2</v>
      </c>
      <c r="N40" s="210">
        <f>$D$4*$J5*'Applicationwise Stock'!N81/($M5*1000000000)</f>
        <v>8.2720978071048931E-2</v>
      </c>
      <c r="O40" s="210">
        <f>$D$4*$J5*'Applicationwise Stock'!O81/($M5*1000000000)</f>
        <v>9.429368352813039E-2</v>
      </c>
      <c r="P40" s="210">
        <f>$D$4*$J5*'Applicationwise Stock'!P81/($M5*1000000000)</f>
        <v>0.10838831174110106</v>
      </c>
      <c r="Q40" s="210">
        <f>$D$4*$J5*'Applicationwise Stock'!Q81/($M5*1000000000)</f>
        <v>0.12631523184854584</v>
      </c>
      <c r="R40" s="210">
        <f>$D$4*$J5*'Applicationwise Stock'!R81/($M5*1000000000)</f>
        <v>0.14489502070930121</v>
      </c>
      <c r="S40" s="210">
        <f>$D$4*$J5*'Applicationwise Stock'!S81/($M5*1000000000)</f>
        <v>0.16255928736822964</v>
      </c>
      <c r="T40" s="210">
        <f>$D$4*$J5*'Applicationwise Stock'!T81/($M5*1000000000)</f>
        <v>0.18385476495963698</v>
      </c>
      <c r="U40" s="210">
        <f>$D$4*$J5*'Applicationwise Stock'!U81/($M5*1000000000)</f>
        <v>0.20744909340425111</v>
      </c>
      <c r="V40" s="210">
        <f>$D$4*$J5*'Applicationwise Stock'!V81/($M5*1000000000)</f>
        <v>0.23180592828861352</v>
      </c>
      <c r="W40" s="210">
        <f>$D$4*$J5*'Applicationwise Stock'!W81/($M5*1000000000)</f>
        <v>0.2527238168485173</v>
      </c>
      <c r="X40" s="210">
        <f>$D$4*$J5*'Applicationwise Stock'!X81/($M5*1000000000)</f>
        <v>0.27539206022652057</v>
      </c>
      <c r="Y40" s="210">
        <f>$D$4*$J5*'Applicationwise Stock'!Y81/($M5*1000000000)</f>
        <v>0.30537298298535881</v>
      </c>
      <c r="Z40" s="210">
        <f>$D$4*$J5*'Applicationwise Stock'!Z81/($M5*1000000000)</f>
        <v>0.33069842427057816</v>
      </c>
      <c r="AA40" s="210">
        <f>$D$4*$J5*'Applicationwise Stock'!AA81/($M5*1000000000)</f>
        <v>0.34131767213964742</v>
      </c>
      <c r="AB40" s="210">
        <f>$D$4*$J5*'Applicationwise Stock'!AB81/($M5*1000000000)</f>
        <v>0.35944812747486032</v>
      </c>
      <c r="AC40" s="210">
        <f>$D$4*$J5*'Applicationwise Stock'!AC81/($M5*1000000000)</f>
        <v>0.36884547359185749</v>
      </c>
      <c r="AD40" s="210">
        <f>$D$4*$J5*'Applicationwise Stock'!AD81/($M5*1000000000)</f>
        <v>0.36671604030122124</v>
      </c>
      <c r="AE40" s="210">
        <f>$D$4*$J5*'Applicationwise Stock'!AE81/($M5*1000000000)</f>
        <v>0.35555416076433749</v>
      </c>
      <c r="AF40" s="210">
        <f>$D$4*$J5*'Applicationwise Stock'!AF81/($M5*1000000000)</f>
        <v>0.33946301882217444</v>
      </c>
    </row>
    <row r="41" spans="1:32">
      <c r="A41" s="194" t="s">
        <v>55</v>
      </c>
      <c r="B41" s="210">
        <f>$D$4*$J6*'Applicationwise Stock'!B82/($M6*1000000000)</f>
        <v>6.6272590702545233E-4</v>
      </c>
      <c r="C41" s="210">
        <f>$D$4*$J6*'Applicationwise Stock'!C82/($M6*1000000000)</f>
        <v>1.4092789833798469E-3</v>
      </c>
      <c r="D41" s="210">
        <f>$D$4*$J6*'Applicationwise Stock'!D82/($M6*1000000000)</f>
        <v>2.1867529990078844E-3</v>
      </c>
      <c r="E41" s="210">
        <f>$D$4*$J6*'Applicationwise Stock'!E82/($M6*1000000000)</f>
        <v>3.1233084733963442E-3</v>
      </c>
      <c r="F41" s="210">
        <f>$D$4*$J6*'Applicationwise Stock'!F82/($M6*1000000000)</f>
        <v>3.9563167208812589E-3</v>
      </c>
      <c r="G41" s="210">
        <f>$D$4*$J6*'Applicationwise Stock'!G82/($M6*1000000000)</f>
        <v>5.3777921903911631E-3</v>
      </c>
      <c r="H41" s="210">
        <f>$D$4*$J6*'Applicationwise Stock'!H82/($M6*1000000000)</f>
        <v>7.134798902598956E-3</v>
      </c>
      <c r="I41" s="210">
        <f>$D$4*$J6*'Applicationwise Stock'!I82/($M6*1000000000)</f>
        <v>8.2815878757174933E-3</v>
      </c>
      <c r="J41" s="210">
        <f>$D$4*$J6*'Applicationwise Stock'!J82/($M6*1000000000)</f>
        <v>1.0001786127393929E-2</v>
      </c>
      <c r="K41" s="210">
        <f>$D$4*$J6*'Applicationwise Stock'!K82/($M6*1000000000)</f>
        <v>1.1249985502950949E-2</v>
      </c>
      <c r="L41" s="210">
        <f>$D$4*$J6*'Applicationwise Stock'!L82/($M6*1000000000)</f>
        <v>1.2287258532232346E-2</v>
      </c>
      <c r="M41" s="210">
        <f>$D$4*$J6*'Applicationwise Stock'!M82/($M6*1000000000)</f>
        <v>1.3163160548010143E-2</v>
      </c>
      <c r="N41" s="210">
        <f>$D$4*$J6*'Applicationwise Stock'!N82/($M6*1000000000)</f>
        <v>1.4340258869457469E-2</v>
      </c>
      <c r="O41" s="210">
        <f>$D$4*$J6*'Applicationwise Stock'!O82/($M6*1000000000)</f>
        <v>1.5445477257362374E-2</v>
      </c>
      <c r="P41" s="210">
        <f>$D$4*$J6*'Applicationwise Stock'!P82/($M6*1000000000)</f>
        <v>1.6400982152938112E-2</v>
      </c>
      <c r="Q41" s="210">
        <f>$D$4*$J6*'Applicationwise Stock'!Q82/($M6*1000000000)</f>
        <v>1.7874345740552529E-2</v>
      </c>
      <c r="R41" s="210">
        <f>$D$4*$J6*'Applicationwise Stock'!R82/($M6*1000000000)</f>
        <v>2.1431953024013996E-2</v>
      </c>
      <c r="S41" s="210">
        <f>$D$4*$J6*'Applicationwise Stock'!S82/($M6*1000000000)</f>
        <v>2.2100854207315272E-2</v>
      </c>
      <c r="T41" s="210">
        <f>$D$4*$J6*'Applicationwise Stock'!T82/($M6*1000000000)</f>
        <v>2.2866494262934588E-2</v>
      </c>
      <c r="U41" s="210">
        <f>$D$4*$J6*'Applicationwise Stock'!U82/($M6*1000000000)</f>
        <v>2.3360328256769824E-2</v>
      </c>
      <c r="V41" s="210">
        <f>$D$4*$J6*'Applicationwise Stock'!V82/($M6*1000000000)</f>
        <v>2.3437114829265807E-2</v>
      </c>
      <c r="W41" s="210">
        <f>$D$4*$J6*'Applicationwise Stock'!W82/($M6*1000000000)</f>
        <v>2.2940580286893969E-2</v>
      </c>
      <c r="X41" s="210">
        <f>$D$4*$J6*'Applicationwise Stock'!X82/($M6*1000000000)</f>
        <v>2.2681865999358838E-2</v>
      </c>
      <c r="Y41" s="210">
        <f>$D$4*$J6*'Applicationwise Stock'!Y82/($M6*1000000000)</f>
        <v>2.227543371262317E-2</v>
      </c>
      <c r="Z41" s="210">
        <f>$D$4*$J6*'Applicationwise Stock'!Z82/($M6*1000000000)</f>
        <v>2.1709854689494133E-2</v>
      </c>
      <c r="AA41" s="210">
        <f>$D$4*$J6*'Applicationwise Stock'!AA82/($M6*1000000000)</f>
        <v>2.0429049679918872E-2</v>
      </c>
      <c r="AB41" s="210">
        <f>$D$4*$J6*'Applicationwise Stock'!AB82/($M6*1000000000)</f>
        <v>2.0533247937583387E-2</v>
      </c>
      <c r="AC41" s="210">
        <f>$D$4*$J6*'Applicationwise Stock'!AC82/($M6*1000000000)</f>
        <v>2.0257844488564009E-2</v>
      </c>
      <c r="AD41" s="210">
        <f>$D$4*$J6*'Applicationwise Stock'!AD82/($M6*1000000000)</f>
        <v>1.8608757426120923E-2</v>
      </c>
      <c r="AE41" s="210">
        <f>$D$4*$J6*'Applicationwise Stock'!AE82/($M6*1000000000)</f>
        <v>1.667722835393325E-2</v>
      </c>
      <c r="AF41" s="210">
        <f>$D$4*$J6*'Applicationwise Stock'!AF82/($M6*1000000000)</f>
        <v>1.4735279566763232E-2</v>
      </c>
    </row>
    <row r="42" spans="1:32">
      <c r="A42" s="194" t="s">
        <v>56</v>
      </c>
      <c r="B42" s="210">
        <f>$D$4*$J7*'Applicationwise Stock'!B83/($M7*1000000000)</f>
        <v>3.2503289238339792E-4</v>
      </c>
      <c r="C42" s="210">
        <f>$D$4*$J7*'Applicationwise Stock'!C83/($M7*1000000000)</f>
        <v>6.9052128199378795E-4</v>
      </c>
      <c r="D42" s="210">
        <f>$D$4*$J7*'Applicationwise Stock'!D83/($M7*1000000000)</f>
        <v>1.0491008401324077E-3</v>
      </c>
      <c r="E42" s="210">
        <f>$D$4*$J7*'Applicationwise Stock'!E83/($M7*1000000000)</f>
        <v>1.4828860659030333E-3</v>
      </c>
      <c r="F42" s="210">
        <f>$D$4*$J7*'Applicationwise Stock'!F83/($M7*1000000000)</f>
        <v>1.9110338785185126E-3</v>
      </c>
      <c r="G42" s="210">
        <f>$D$4*$J7*'Applicationwise Stock'!G83/($M7*1000000000)</f>
        <v>2.6270631831245834E-3</v>
      </c>
      <c r="H42" s="210">
        <f>$D$4*$J7*'Applicationwise Stock'!H83/($M7*1000000000)</f>
        <v>3.7548167707337596E-3</v>
      </c>
      <c r="I42" s="210">
        <f>$D$4*$J7*'Applicationwise Stock'!I83/($M7*1000000000)</f>
        <v>4.3451785249944003E-3</v>
      </c>
      <c r="J42" s="210">
        <f>$D$4*$J7*'Applicationwise Stock'!J83/($M7*1000000000)</f>
        <v>5.5732713423065601E-3</v>
      </c>
      <c r="K42" s="210">
        <f>$D$4*$J7*'Applicationwise Stock'!K83/($M7*1000000000)</f>
        <v>6.9451510544668521E-3</v>
      </c>
      <c r="L42" s="210">
        <f>$D$4*$J7*'Applicationwise Stock'!L83/($M7*1000000000)</f>
        <v>7.8270050553216498E-3</v>
      </c>
      <c r="M42" s="210">
        <f>$D$4*$J7*'Applicationwise Stock'!M83/($M7*1000000000)</f>
        <v>9.4939642147864496E-3</v>
      </c>
      <c r="N42" s="210">
        <f>$D$4*$J7*'Applicationwise Stock'!N83/($M7*1000000000)</f>
        <v>1.1815308851933484E-2</v>
      </c>
      <c r="O42" s="210">
        <f>$D$4*$J7*'Applicationwise Stock'!O83/($M7*1000000000)</f>
        <v>1.5630340428063282E-2</v>
      </c>
      <c r="P42" s="210">
        <f>$D$4*$J7*'Applicationwise Stock'!P83/($M7*1000000000)</f>
        <v>1.843057832135734E-2</v>
      </c>
      <c r="Q42" s="210">
        <f>$D$4*$J7*'Applicationwise Stock'!Q83/($M7*1000000000)</f>
        <v>2.1218327442883458E-2</v>
      </c>
      <c r="R42" s="210">
        <f>$D$4*$J7*'Applicationwise Stock'!R83/($M7*1000000000)</f>
        <v>2.4259321728390449E-2</v>
      </c>
      <c r="S42" s="210">
        <f>$D$4*$J7*'Applicationwise Stock'!S83/($M7*1000000000)</f>
        <v>2.6838587417321893E-2</v>
      </c>
      <c r="T42" s="210">
        <f>$D$4*$J7*'Applicationwise Stock'!T83/($M7*1000000000)</f>
        <v>3.0004690666444345E-2</v>
      </c>
      <c r="U42" s="210">
        <f>$D$4*$J7*'Applicationwise Stock'!U83/($M7*1000000000)</f>
        <v>3.2870652666934813E-2</v>
      </c>
      <c r="V42" s="210">
        <f>$D$4*$J7*'Applicationwise Stock'!V83/($M7*1000000000)</f>
        <v>3.6370309247561648E-2</v>
      </c>
      <c r="W42" s="210">
        <f>$D$4*$J7*'Applicationwise Stock'!W83/($M7*1000000000)</f>
        <v>3.9513438717194545E-2</v>
      </c>
      <c r="X42" s="210">
        <f>$D$4*$J7*'Applicationwise Stock'!X83/($M7*1000000000)</f>
        <v>4.3277271247027529E-2</v>
      </c>
      <c r="Y42" s="210">
        <f>$D$4*$J7*'Applicationwise Stock'!Y83/($M7*1000000000)</f>
        <v>4.7519643735313789E-2</v>
      </c>
      <c r="Z42" s="210">
        <f>$D$4*$J7*'Applicationwise Stock'!Z83/($M7*1000000000)</f>
        <v>5.2218809751606352E-2</v>
      </c>
      <c r="AA42" s="210">
        <f>$D$4*$J7*'Applicationwise Stock'!AA83/($M7*1000000000)</f>
        <v>5.6010390775836458E-2</v>
      </c>
      <c r="AB42" s="210">
        <f>$D$4*$J7*'Applicationwise Stock'!AB83/($M7*1000000000)</f>
        <v>5.8642530864023282E-2</v>
      </c>
      <c r="AC42" s="210">
        <f>$D$4*$J7*'Applicationwise Stock'!AC83/($M7*1000000000)</f>
        <v>5.9867331378144498E-2</v>
      </c>
      <c r="AD42" s="210">
        <f>$D$4*$J7*'Applicationwise Stock'!AD83/($M7*1000000000)</f>
        <v>5.9282768381656095E-2</v>
      </c>
      <c r="AE42" s="210">
        <f>$D$4*$J7*'Applicationwise Stock'!AE83/($M7*1000000000)</f>
        <v>5.7281405764083505E-2</v>
      </c>
      <c r="AF42" s="210">
        <f>$D$4*$J7*'Applicationwise Stock'!AF83/($M7*1000000000)</f>
        <v>5.4535369774517194E-2</v>
      </c>
    </row>
    <row r="43" spans="1:32">
      <c r="A43" s="194" t="s">
        <v>549</v>
      </c>
      <c r="B43" s="210">
        <f>$D$4*$J8*'Applicationwise Stock'!B84/($M8*1000000000)</f>
        <v>5.4945928364523119E-4</v>
      </c>
      <c r="C43" s="210">
        <f>$D$4*$J8*'Applicationwise Stock'!C84/($M8*1000000000)</f>
        <v>1.1686072780138393E-3</v>
      </c>
      <c r="D43" s="210">
        <f>$D$4*$J8*'Applicationwise Stock'!D84/($M8*1000000000)</f>
        <v>1.7392300703069641E-3</v>
      </c>
      <c r="E43" s="210">
        <f>$D$4*$J8*'Applicationwise Stock'!E84/($M8*1000000000)</f>
        <v>2.329809483940677E-3</v>
      </c>
      <c r="F43" s="210">
        <f>$D$4*$J8*'Applicationwise Stock'!F84/($M8*1000000000)</f>
        <v>2.9975880612548127E-3</v>
      </c>
      <c r="G43" s="210">
        <f>$D$4*$J8*'Applicationwise Stock'!G84/($M8*1000000000)</f>
        <v>3.899899021827686E-3</v>
      </c>
      <c r="H43" s="210">
        <f>$D$4*$J8*'Applicationwise Stock'!H84/($M8*1000000000)</f>
        <v>4.7468764000897778E-3</v>
      </c>
      <c r="I43" s="210">
        <f>$D$4*$J8*'Applicationwise Stock'!I84/($M8*1000000000)</f>
        <v>5.7294595834390801E-3</v>
      </c>
      <c r="J43" s="210">
        <f>$D$4*$J8*'Applicationwise Stock'!J84/($M8*1000000000)</f>
        <v>6.9804054242269794E-3</v>
      </c>
      <c r="K43" s="210">
        <f>$D$4*$J8*'Applicationwise Stock'!K84/($M8*1000000000)</f>
        <v>8.6160398694801934E-3</v>
      </c>
      <c r="L43" s="210">
        <f>$D$4*$J8*'Applicationwise Stock'!L84/($M8*1000000000)</f>
        <v>1.0146560321224945E-2</v>
      </c>
      <c r="M43" s="210">
        <f>$D$4*$J8*'Applicationwise Stock'!M84/($M8*1000000000)</f>
        <v>1.1775670014009936E-2</v>
      </c>
      <c r="N43" s="210">
        <f>$D$4*$J8*'Applicationwise Stock'!N84/($M8*1000000000)</f>
        <v>1.4029521012322745E-2</v>
      </c>
      <c r="O43" s="210">
        <f>$D$4*$J8*'Applicationwise Stock'!O84/($M8*1000000000)</f>
        <v>1.6708354456224449E-2</v>
      </c>
      <c r="P43" s="210">
        <f>$D$4*$J8*'Applicationwise Stock'!P84/($M8*1000000000)</f>
        <v>1.9841129592630395E-2</v>
      </c>
      <c r="Q43" s="210">
        <f>$D$4*$J8*'Applicationwise Stock'!Q84/($M8*1000000000)</f>
        <v>2.3667255926318308E-2</v>
      </c>
      <c r="R43" s="210">
        <f>$D$4*$J8*'Applicationwise Stock'!R84/($M8*1000000000)</f>
        <v>2.7609969663411369E-2</v>
      </c>
      <c r="S43" s="210">
        <f>$D$4*$J8*'Applicationwise Stock'!S84/($M8*1000000000)</f>
        <v>3.1833624721835735E-2</v>
      </c>
      <c r="T43" s="210">
        <f>$D$4*$J8*'Applicationwise Stock'!T84/($M8*1000000000)</f>
        <v>3.6543046657467187E-2</v>
      </c>
      <c r="U43" s="210">
        <f>$D$4*$J8*'Applicationwise Stock'!U84/($M8*1000000000)</f>
        <v>4.1779518282069439E-2</v>
      </c>
      <c r="V43" s="210">
        <f>$D$4*$J8*'Applicationwise Stock'!V84/($M8*1000000000)</f>
        <v>4.7266711845126631E-2</v>
      </c>
      <c r="W43" s="210">
        <f>$D$4*$J8*'Applicationwise Stock'!W84/($M8*1000000000)</f>
        <v>5.3015588527639122E-2</v>
      </c>
      <c r="X43" s="210">
        <f>$D$4*$J8*'Applicationwise Stock'!X84/($M8*1000000000)</f>
        <v>5.8718820817855621E-2</v>
      </c>
      <c r="Y43" s="210">
        <f>$D$4*$J8*'Applicationwise Stock'!Y84/($M8*1000000000)</f>
        <v>6.4112535160137249E-2</v>
      </c>
      <c r="Z43" s="210">
        <f>$D$4*$J8*'Applicationwise Stock'!Z84/($M8*1000000000)</f>
        <v>7.3848508964991566E-2</v>
      </c>
      <c r="AA43" s="210">
        <f>$D$4*$J8*'Applicationwise Stock'!AA84/($M8*1000000000)</f>
        <v>7.9184538439238866E-2</v>
      </c>
      <c r="AB43" s="210">
        <f>$D$4*$J8*'Applicationwise Stock'!AB84/($M8*1000000000)</f>
        <v>8.463791321608484E-2</v>
      </c>
      <c r="AC43" s="210">
        <f>$D$4*$J8*'Applicationwise Stock'!AC84/($M8*1000000000)</f>
        <v>8.821383125319622E-2</v>
      </c>
      <c r="AD43" s="210">
        <f>$D$4*$J8*'Applicationwise Stock'!AD84/($M8*1000000000)</f>
        <v>8.9195526469291728E-2</v>
      </c>
      <c r="AE43" s="210">
        <f>$D$4*$J8*'Applicationwise Stock'!AE84/($M8*1000000000)</f>
        <v>8.7840618895496519E-2</v>
      </c>
      <c r="AF43" s="210">
        <f>$D$4*$J8*'Applicationwise Stock'!AF84/($M8*1000000000)</f>
        <v>8.5182713598534368E-2</v>
      </c>
    </row>
    <row r="44" spans="1:32">
      <c r="A44" s="194" t="s">
        <v>52</v>
      </c>
      <c r="B44" s="210">
        <f>$D$4*$J9*'Applicationwise Stock'!B85/($M9*1000000000)</f>
        <v>6.9173720791051345E-4</v>
      </c>
      <c r="C44" s="210">
        <f>$D$4*$J9*'Applicationwise Stock'!C85/($M9*1000000000)</f>
        <v>1.4559024050360037E-3</v>
      </c>
      <c r="D44" s="210">
        <f>$D$4*$J9*'Applicationwise Stock'!D85/($M9*1000000000)</f>
        <v>2.1545053376976131E-3</v>
      </c>
      <c r="E44" s="210">
        <f>$D$4*$J9*'Applicationwise Stock'!E85/($M9*1000000000)</f>
        <v>2.8590999421746564E-3</v>
      </c>
      <c r="F44" s="210">
        <f>$D$4*$J9*'Applicationwise Stock'!F85/($M9*1000000000)</f>
        <v>3.5213707532643253E-3</v>
      </c>
      <c r="G44" s="210">
        <f>$D$4*$J9*'Applicationwise Stock'!G85/($M9*1000000000)</f>
        <v>4.3497105260442382E-3</v>
      </c>
      <c r="H44" s="210">
        <f>$D$4*$J9*'Applicationwise Stock'!H85/($M9*1000000000)</f>
        <v>5.1512705921571006E-3</v>
      </c>
      <c r="I44" s="210">
        <f>$D$4*$J9*'Applicationwise Stock'!I85/($M9*1000000000)</f>
        <v>6.1676672319318539E-3</v>
      </c>
      <c r="J44" s="210">
        <f>$D$4*$J9*'Applicationwise Stock'!J85/($M9*1000000000)</f>
        <v>7.7900354236216671E-3</v>
      </c>
      <c r="K44" s="210">
        <f>$D$4*$J9*'Applicationwise Stock'!K85/($M9*1000000000)</f>
        <v>9.3714669928529129E-3</v>
      </c>
      <c r="L44" s="210">
        <f>$D$4*$J9*'Applicationwise Stock'!L85/($M9*1000000000)</f>
        <v>1.1134130248809705E-2</v>
      </c>
      <c r="M44" s="210">
        <f>$D$4*$J9*'Applicationwise Stock'!M85/($M9*1000000000)</f>
        <v>1.3184507893338963E-2</v>
      </c>
      <c r="N44" s="210">
        <f>$D$4*$J9*'Applicationwise Stock'!N85/($M9*1000000000)</f>
        <v>1.6123850885712263E-2</v>
      </c>
      <c r="O44" s="210">
        <f>$D$4*$J9*'Applicationwise Stock'!O85/($M9*1000000000)</f>
        <v>1.8857902087107452E-2</v>
      </c>
      <c r="P44" s="210">
        <f>$D$4*$J9*'Applicationwise Stock'!P85/($M9*1000000000)</f>
        <v>2.1785870677659573E-2</v>
      </c>
      <c r="Q44" s="210">
        <f>$D$4*$J9*'Applicationwise Stock'!Q85/($M9*1000000000)</f>
        <v>2.5371473724861891E-2</v>
      </c>
      <c r="R44" s="210">
        <f>$D$4*$J9*'Applicationwise Stock'!R85/($M9*1000000000)</f>
        <v>2.8792880446059786E-2</v>
      </c>
      <c r="S44" s="210">
        <f>$D$4*$J9*'Applicationwise Stock'!S85/($M9*1000000000)</f>
        <v>3.2859773683713886E-2</v>
      </c>
      <c r="T44" s="210">
        <f>$D$4*$J9*'Applicationwise Stock'!T85/($M9*1000000000)</f>
        <v>3.7631602122704041E-2</v>
      </c>
      <c r="U44" s="210">
        <f>$D$4*$J9*'Applicationwise Stock'!U85/($M9*1000000000)</f>
        <v>4.3336004900908817E-2</v>
      </c>
      <c r="V44" s="210">
        <f>$D$4*$J9*'Applicationwise Stock'!V85/($M9*1000000000)</f>
        <v>4.9178894181649918E-2</v>
      </c>
      <c r="W44" s="210">
        <f>$D$4*$J9*'Applicationwise Stock'!W85/($M9*1000000000)</f>
        <v>5.4496026437258274E-2</v>
      </c>
      <c r="X44" s="210">
        <f>$D$4*$J9*'Applicationwise Stock'!X85/($M9*1000000000)</f>
        <v>6.0266242317659945E-2</v>
      </c>
      <c r="Y44" s="210">
        <f>$D$4*$J9*'Applicationwise Stock'!Y85/($M9*1000000000)</f>
        <v>7.0236152017264283E-2</v>
      </c>
      <c r="Z44" s="210">
        <f>$D$4*$J9*'Applicationwise Stock'!Z85/($M9*1000000000)</f>
        <v>7.6208206086394836E-2</v>
      </c>
      <c r="AA44" s="210">
        <f>$D$4*$J9*'Applicationwise Stock'!AA85/($M9*1000000000)</f>
        <v>8.210952220731052E-2</v>
      </c>
      <c r="AB44" s="210">
        <f>$D$4*$J9*'Applicationwise Stock'!AB85/($M9*1000000000)</f>
        <v>8.7299859102479754E-2</v>
      </c>
      <c r="AC44" s="210">
        <f>$D$4*$J9*'Applicationwise Stock'!AC85/($M9*1000000000)</f>
        <v>9.0666815395904404E-2</v>
      </c>
      <c r="AD44" s="210">
        <f>$D$4*$J9*'Applicationwise Stock'!AD85/($M9*1000000000)</f>
        <v>9.1535681979005745E-2</v>
      </c>
      <c r="AE44" s="210">
        <f>$D$4*$J9*'Applicationwise Stock'!AE85/($M9*1000000000)</f>
        <v>9.0072296430253829E-2</v>
      </c>
      <c r="AF44" s="210">
        <f>$D$4*$J9*'Applicationwise Stock'!AF85/($M9*1000000000)</f>
        <v>8.7283045229860703E-2</v>
      </c>
    </row>
    <row r="45" spans="1:32">
      <c r="A45" s="194" t="s">
        <v>57</v>
      </c>
      <c r="B45" s="210">
        <f>$D$4*$J10*'Applicationwise Stock'!B86/($M10*1000000000)</f>
        <v>2.368095050326697E-4</v>
      </c>
      <c r="C45" s="210">
        <f>$D$4*$J10*'Applicationwise Stock'!C86/($M10*1000000000)</f>
        <v>5.0447504701180222E-4</v>
      </c>
      <c r="D45" s="210">
        <f>$D$4*$J10*'Applicationwise Stock'!D86/($M10*1000000000)</f>
        <v>7.7889136241131535E-4</v>
      </c>
      <c r="E45" s="210">
        <f>$D$4*$J10*'Applicationwise Stock'!E86/($M10*1000000000)</f>
        <v>1.1195810850959478E-3</v>
      </c>
      <c r="F45" s="210">
        <f>$D$4*$J10*'Applicationwise Stock'!F86/($M10*1000000000)</f>
        <v>1.4563010013582773E-3</v>
      </c>
      <c r="G45" s="210">
        <f>$D$4*$J10*'Applicationwise Stock'!G86/($M10*1000000000)</f>
        <v>1.9702702874550213E-3</v>
      </c>
      <c r="H45" s="210">
        <f>$D$4*$J10*'Applicationwise Stock'!H86/($M10*1000000000)</f>
        <v>2.4280279661143466E-3</v>
      </c>
      <c r="I45" s="210">
        <f>$D$4*$J10*'Applicationwise Stock'!I86/($M10*1000000000)</f>
        <v>2.768397511703837E-3</v>
      </c>
      <c r="J45" s="210">
        <f>$D$4*$J10*'Applicationwise Stock'!J86/($M10*1000000000)</f>
        <v>3.6170639845040124E-3</v>
      </c>
      <c r="K45" s="210">
        <f>$D$4*$J10*'Applicationwise Stock'!K86/($M10*1000000000)</f>
        <v>4.5999109531968865E-3</v>
      </c>
      <c r="L45" s="210">
        <f>$D$4*$J10*'Applicationwise Stock'!L86/($M10*1000000000)</f>
        <v>5.3318663314799973E-3</v>
      </c>
      <c r="M45" s="210">
        <f>$D$4*$J10*'Applicationwise Stock'!M86/($M10*1000000000)</f>
        <v>7.2573862628608236E-3</v>
      </c>
      <c r="N45" s="210">
        <f>$D$4*$J10*'Applicationwise Stock'!N86/($M10*1000000000)</f>
        <v>8.2798868379975517E-3</v>
      </c>
      <c r="O45" s="210">
        <f>$D$4*$J10*'Applicationwise Stock'!O86/($M10*1000000000)</f>
        <v>9.0823119630061861E-3</v>
      </c>
      <c r="P45" s="210">
        <f>$D$4*$J10*'Applicationwise Stock'!P86/($M10*1000000000)</f>
        <v>1.017889829970531E-2</v>
      </c>
      <c r="Q45" s="210">
        <f>$D$4*$J10*'Applicationwise Stock'!Q86/($M10*1000000000)</f>
        <v>1.1932139513823157E-2</v>
      </c>
      <c r="R45" s="210">
        <f>$D$4*$J10*'Applicationwise Stock'!R86/($M10*1000000000)</f>
        <v>1.2987944964284601E-2</v>
      </c>
      <c r="S45" s="210">
        <f>$D$4*$J10*'Applicationwise Stock'!S86/($M10*1000000000)</f>
        <v>1.4625854228428003E-2</v>
      </c>
      <c r="T45" s="210">
        <f>$D$4*$J10*'Applicationwise Stock'!T86/($M10*1000000000)</f>
        <v>1.6452882731605632E-2</v>
      </c>
      <c r="U45" s="210">
        <f>$D$4*$J10*'Applicationwise Stock'!U86/($M10*1000000000)</f>
        <v>1.8817966574168607E-2</v>
      </c>
      <c r="V45" s="210">
        <f>$D$4*$J10*'Applicationwise Stock'!V86/($M10*1000000000)</f>
        <v>2.1403168305381543E-2</v>
      </c>
      <c r="W45" s="210">
        <f>$D$4*$J10*'Applicationwise Stock'!W86/($M10*1000000000)</f>
        <v>2.3905772825328755E-2</v>
      </c>
      <c r="X45" s="210">
        <f>$D$4*$J10*'Applicationwise Stock'!X86/($M10*1000000000)</f>
        <v>2.6526416101857055E-2</v>
      </c>
      <c r="Y45" s="210">
        <f>$D$4*$J10*'Applicationwise Stock'!Y86/($M10*1000000000)</f>
        <v>2.9602110151689929E-2</v>
      </c>
      <c r="Z45" s="210">
        <f>$D$4*$J10*'Applicationwise Stock'!Z86/($M10*1000000000)</f>
        <v>3.1929966981177199E-2</v>
      </c>
      <c r="AA45" s="210">
        <f>$D$4*$J10*'Applicationwise Stock'!AA86/($M10*1000000000)</f>
        <v>3.4342653404256247E-2</v>
      </c>
      <c r="AB45" s="210">
        <f>$D$4*$J10*'Applicationwise Stock'!AB86/($M10*1000000000)</f>
        <v>3.6182534589182434E-2</v>
      </c>
      <c r="AC45" s="210">
        <f>$D$4*$J10*'Applicationwise Stock'!AC86/($M10*1000000000)</f>
        <v>3.7187699878081931E-2</v>
      </c>
      <c r="AD45" s="210">
        <f>$D$4*$J10*'Applicationwise Stock'!AD86/($M10*1000000000)</f>
        <v>3.7254836864306223E-2</v>
      </c>
      <c r="AE45" s="210">
        <f>$D$4*$J10*'Applicationwise Stock'!AE86/($M10*1000000000)</f>
        <v>3.6391158334295674E-2</v>
      </c>
      <c r="AF45" s="210">
        <f>$D$4*$J10*'Applicationwise Stock'!AF86/($M10*1000000000)</f>
        <v>3.5033635378969884E-2</v>
      </c>
    </row>
    <row r="46" spans="1:32">
      <c r="A46" s="200" t="s">
        <v>591</v>
      </c>
      <c r="B46" s="211">
        <f>SUM(B37:B45)</f>
        <v>2.6485815731378662E-2</v>
      </c>
      <c r="C46" s="211">
        <f t="shared" ref="C46:AF46" si="6">SUM(C37:C45)</f>
        <v>5.6347447582864883E-2</v>
      </c>
      <c r="D46" s="211">
        <f t="shared" si="6"/>
        <v>8.6519595300453764E-2</v>
      </c>
      <c r="E46" s="211">
        <f t="shared" si="6"/>
        <v>0.1173223925580775</v>
      </c>
      <c r="F46" s="211">
        <f t="shared" si="6"/>
        <v>0.1510559408344396</v>
      </c>
      <c r="G46" s="211">
        <f t="shared" si="6"/>
        <v>0.18595131794968178</v>
      </c>
      <c r="H46" s="211">
        <f t="shared" si="6"/>
        <v>0.22253039845192307</v>
      </c>
      <c r="I46" s="211">
        <f t="shared" si="6"/>
        <v>0.26373444820465197</v>
      </c>
      <c r="J46" s="211">
        <f t="shared" si="6"/>
        <v>0.31023546757749598</v>
      </c>
      <c r="K46" s="211">
        <f t="shared" si="6"/>
        <v>0.36245657096607758</v>
      </c>
      <c r="L46" s="211">
        <f t="shared" si="6"/>
        <v>0.42231528801799034</v>
      </c>
      <c r="M46" s="211">
        <f t="shared" si="6"/>
        <v>0.49228332098360117</v>
      </c>
      <c r="N46" s="211">
        <f t="shared" si="6"/>
        <v>0.57536334040430848</v>
      </c>
      <c r="O46" s="211">
        <f t="shared" si="6"/>
        <v>0.67191418199472175</v>
      </c>
      <c r="P46" s="211">
        <f t="shared" si="6"/>
        <v>0.78795934777840881</v>
      </c>
      <c r="Q46" s="211">
        <f t="shared" si="6"/>
        <v>0.92571857163603277</v>
      </c>
      <c r="R46" s="211">
        <f t="shared" si="6"/>
        <v>1.0602182156911184</v>
      </c>
      <c r="S46" s="211">
        <f t="shared" si="6"/>
        <v>1.2231098450744862</v>
      </c>
      <c r="T46" s="211">
        <f t="shared" si="6"/>
        <v>1.4041058163787237</v>
      </c>
      <c r="U46" s="211">
        <f t="shared" si="6"/>
        <v>1.6039647555824073</v>
      </c>
      <c r="V46" s="211">
        <f t="shared" si="6"/>
        <v>1.8141414998773397</v>
      </c>
      <c r="W46" s="211">
        <f t="shared" si="6"/>
        <v>2.022795181492949</v>
      </c>
      <c r="X46" s="211">
        <f t="shared" si="6"/>
        <v>2.2305503111640657</v>
      </c>
      <c r="Y46" s="211">
        <f t="shared" si="6"/>
        <v>2.430299858086201</v>
      </c>
      <c r="Z46" s="211">
        <f t="shared" si="6"/>
        <v>2.6213073183327888</v>
      </c>
      <c r="AA46" s="211">
        <f t="shared" si="6"/>
        <v>2.8088695258291883</v>
      </c>
      <c r="AB46" s="211">
        <f t="shared" si="6"/>
        <v>2.9782874742723147</v>
      </c>
      <c r="AC46" s="211">
        <f t="shared" si="6"/>
        <v>3.08096799013722</v>
      </c>
      <c r="AD46" s="211">
        <f t="shared" si="6"/>
        <v>3.0940539589059086</v>
      </c>
      <c r="AE46" s="211">
        <f t="shared" si="6"/>
        <v>3.0232766163253397</v>
      </c>
      <c r="AF46" s="211">
        <f t="shared" si="6"/>
        <v>2.9067216903985189</v>
      </c>
    </row>
    <row r="48" spans="1:32" s="1" customFormat="1">
      <c r="A48" s="189" t="s">
        <v>1217</v>
      </c>
      <c r="B48" s="189">
        <v>2025</v>
      </c>
      <c r="C48" s="189">
        <v>2026</v>
      </c>
      <c r="D48" s="189">
        <v>2027</v>
      </c>
      <c r="E48" s="189">
        <v>2028</v>
      </c>
      <c r="F48" s="189">
        <v>2029</v>
      </c>
      <c r="G48" s="189">
        <v>2030</v>
      </c>
      <c r="H48" s="189">
        <v>2031</v>
      </c>
      <c r="I48" s="189">
        <v>2032</v>
      </c>
      <c r="J48" s="189">
        <v>2033</v>
      </c>
      <c r="K48" s="189">
        <v>2034</v>
      </c>
      <c r="L48" s="189">
        <v>2035</v>
      </c>
      <c r="M48" s="189">
        <v>2036</v>
      </c>
      <c r="N48" s="189">
        <v>2037</v>
      </c>
      <c r="O48" s="189">
        <v>2038</v>
      </c>
      <c r="P48" s="189">
        <v>2039</v>
      </c>
      <c r="Q48" s="189">
        <v>2040</v>
      </c>
      <c r="R48" s="189">
        <v>2041</v>
      </c>
      <c r="S48" s="189">
        <v>2042</v>
      </c>
      <c r="T48" s="189">
        <v>2043</v>
      </c>
      <c r="U48" s="189">
        <v>2044</v>
      </c>
      <c r="V48" s="189">
        <v>2045</v>
      </c>
      <c r="W48" s="189">
        <v>2046</v>
      </c>
      <c r="X48" s="189">
        <v>2047</v>
      </c>
      <c r="Y48" s="189">
        <v>2048</v>
      </c>
      <c r="Z48" s="189">
        <v>2049</v>
      </c>
      <c r="AA48" s="189">
        <v>2050</v>
      </c>
      <c r="AB48" s="189">
        <v>2051</v>
      </c>
      <c r="AC48" s="189">
        <v>2052</v>
      </c>
      <c r="AD48" s="189">
        <v>2053</v>
      </c>
      <c r="AE48" s="189">
        <v>2054</v>
      </c>
      <c r="AF48" s="189">
        <v>2055</v>
      </c>
    </row>
    <row r="49" spans="1:39">
      <c r="A49" s="7" t="s">
        <v>1216</v>
      </c>
      <c r="B49" s="212">
        <f>D5</f>
        <v>0.74550000000000005</v>
      </c>
      <c r="C49" s="213">
        <f>0.97*B49</f>
        <v>0.72313500000000008</v>
      </c>
      <c r="D49" s="213">
        <f t="shared" ref="D49:AF49" si="7">0.97*C49</f>
        <v>0.70144095000000006</v>
      </c>
      <c r="E49" s="213">
        <f t="shared" si="7"/>
        <v>0.6803977215</v>
      </c>
      <c r="F49" s="213">
        <f t="shared" si="7"/>
        <v>0.659985789855</v>
      </c>
      <c r="G49" s="213">
        <f t="shared" si="7"/>
        <v>0.64018621615935001</v>
      </c>
      <c r="H49" s="213">
        <f t="shared" si="7"/>
        <v>0.62098062967456946</v>
      </c>
      <c r="I49" s="213">
        <f t="shared" si="7"/>
        <v>0.6023512107843324</v>
      </c>
      <c r="J49" s="213">
        <f t="shared" si="7"/>
        <v>0.58428067446080245</v>
      </c>
      <c r="K49" s="213">
        <f t="shared" si="7"/>
        <v>0.56675225422697839</v>
      </c>
      <c r="L49" s="213">
        <f t="shared" si="7"/>
        <v>0.54974968660016899</v>
      </c>
      <c r="M49" s="213">
        <f t="shared" si="7"/>
        <v>0.53325719600216392</v>
      </c>
      <c r="N49" s="213">
        <f t="shared" si="7"/>
        <v>0.51725948012209899</v>
      </c>
      <c r="O49" s="213">
        <f t="shared" si="7"/>
        <v>0.50174169571843596</v>
      </c>
      <c r="P49" s="213">
        <f t="shared" si="7"/>
        <v>0.48668944484688287</v>
      </c>
      <c r="Q49" s="213">
        <f t="shared" si="7"/>
        <v>0.47208876150147638</v>
      </c>
      <c r="R49" s="213">
        <f t="shared" si="7"/>
        <v>0.45792609865643208</v>
      </c>
      <c r="S49" s="213">
        <f t="shared" si="7"/>
        <v>0.44418831569673911</v>
      </c>
      <c r="T49" s="213">
        <f t="shared" si="7"/>
        <v>0.43086266622583691</v>
      </c>
      <c r="U49" s="213">
        <f t="shared" si="7"/>
        <v>0.41793678623906177</v>
      </c>
      <c r="V49" s="213">
        <f t="shared" si="7"/>
        <v>0.40539868265188989</v>
      </c>
      <c r="W49" s="213">
        <f t="shared" si="7"/>
        <v>0.39323672217233319</v>
      </c>
      <c r="X49" s="213">
        <f t="shared" si="7"/>
        <v>0.38143962050716318</v>
      </c>
      <c r="Y49" s="213">
        <f t="shared" si="7"/>
        <v>0.36999643189194825</v>
      </c>
      <c r="Z49" s="213">
        <f t="shared" si="7"/>
        <v>0.3588965389351898</v>
      </c>
      <c r="AA49" s="213">
        <f t="shared" si="7"/>
        <v>0.3481296427671341</v>
      </c>
      <c r="AB49" s="213">
        <f t="shared" si="7"/>
        <v>0.33768575348412005</v>
      </c>
      <c r="AC49" s="213">
        <f t="shared" si="7"/>
        <v>0.32755518087959645</v>
      </c>
      <c r="AD49" s="213">
        <f t="shared" si="7"/>
        <v>0.31772852545320857</v>
      </c>
      <c r="AE49" s="213">
        <f t="shared" si="7"/>
        <v>0.30819666968961229</v>
      </c>
      <c r="AF49" s="213">
        <f t="shared" si="7"/>
        <v>0.29895076959892392</v>
      </c>
      <c r="AG49" s="212"/>
      <c r="AH49" s="212"/>
      <c r="AI49" s="212"/>
      <c r="AJ49" s="212"/>
      <c r="AK49" s="212"/>
      <c r="AL49" s="212"/>
      <c r="AM49" s="212"/>
    </row>
    <row r="50" spans="1:39" s="1" customFormat="1">
      <c r="A50" s="189" t="s">
        <v>594</v>
      </c>
      <c r="B50" s="189">
        <v>2025</v>
      </c>
      <c r="C50" s="189">
        <v>2026</v>
      </c>
      <c r="D50" s="189">
        <v>2027</v>
      </c>
      <c r="E50" s="189">
        <v>2028</v>
      </c>
      <c r="F50" s="189">
        <v>2029</v>
      </c>
      <c r="G50" s="189">
        <v>2030</v>
      </c>
      <c r="H50" s="189">
        <v>2031</v>
      </c>
      <c r="I50" s="189">
        <v>2032</v>
      </c>
      <c r="J50" s="189">
        <v>2033</v>
      </c>
      <c r="K50" s="189">
        <v>2034</v>
      </c>
      <c r="L50" s="189">
        <v>2035</v>
      </c>
      <c r="M50" s="189">
        <v>2036</v>
      </c>
      <c r="N50" s="189">
        <v>2037</v>
      </c>
      <c r="O50" s="189">
        <v>2038</v>
      </c>
      <c r="P50" s="189">
        <v>2039</v>
      </c>
      <c r="Q50" s="189">
        <v>2040</v>
      </c>
      <c r="R50" s="189">
        <v>2041</v>
      </c>
      <c r="S50" s="189">
        <v>2042</v>
      </c>
      <c r="T50" s="189">
        <v>2043</v>
      </c>
      <c r="U50" s="189">
        <v>2044</v>
      </c>
      <c r="V50" s="189">
        <v>2045</v>
      </c>
      <c r="W50" s="189">
        <v>2046</v>
      </c>
      <c r="X50" s="189">
        <v>2047</v>
      </c>
      <c r="Y50" s="189">
        <v>2048</v>
      </c>
      <c r="Z50" s="189">
        <v>2049</v>
      </c>
      <c r="AA50" s="189">
        <v>2050</v>
      </c>
      <c r="AB50" s="189">
        <v>2051</v>
      </c>
      <c r="AC50" s="189">
        <v>2052</v>
      </c>
      <c r="AD50" s="189">
        <v>2053</v>
      </c>
      <c r="AE50" s="189">
        <v>2054</v>
      </c>
      <c r="AF50" s="189">
        <v>2055</v>
      </c>
    </row>
    <row r="51" spans="1:39">
      <c r="A51" s="194" t="s">
        <v>43</v>
      </c>
      <c r="B51" s="214">
        <f ca="1">B$49*$J2*'Applicationwise Stock'!B34/($O2*1000000000)</f>
        <v>2.9694161856954502E-3</v>
      </c>
      <c r="C51" s="214">
        <f ca="1">C$49*$J2*'Applicationwise Stock'!C34/($O2*1000000000)</f>
        <v>1.0817666193711587E-2</v>
      </c>
      <c r="D51" s="214">
        <f ca="1">D$49*$J2*'Applicationwise Stock'!D34/($O2*1000000000)</f>
        <v>2.7836567689098972E-2</v>
      </c>
      <c r="E51" s="214">
        <f ca="1">E$49*$J2*'Applicationwise Stock'!E34/($O2*1000000000)</f>
        <v>6.0837009854850854E-2</v>
      </c>
      <c r="F51" s="214">
        <f ca="1">F$49*$J2*'Applicationwise Stock'!F34/($O2*1000000000)</f>
        <v>0.12581835990812457</v>
      </c>
      <c r="G51" s="214">
        <f ca="1">G$49*$J2*'Applicationwise Stock'!G34/($O2*1000000000)</f>
        <v>0.23141261293673482</v>
      </c>
      <c r="H51" s="214">
        <f ca="1">H$49*$J2*'Applicationwise Stock'!H34/($O2*1000000000)</f>
        <v>0.39420071127126866</v>
      </c>
      <c r="I51" s="214">
        <f ca="1">I$49*$J2*'Applicationwise Stock'!I34/($O2*1000000000)</f>
        <v>0.74692233467886093</v>
      </c>
      <c r="J51" s="214">
        <f ca="1">J$49*$J2*'Applicationwise Stock'!J34/($O2*1000000000)</f>
        <v>1.267454984692594</v>
      </c>
      <c r="K51" s="214">
        <f ca="1">K$49*$J2*'Applicationwise Stock'!K34/($O2*1000000000)</f>
        <v>2.0183346064941357</v>
      </c>
      <c r="L51" s="214">
        <f ca="1">L$49*$J2*'Applicationwise Stock'!L34/($O2*1000000000)</f>
        <v>3.128176816070332</v>
      </c>
      <c r="M51" s="214">
        <f ca="1">M$49*$J2*'Applicationwise Stock'!M34/($O2*1000000000)</f>
        <v>4.6701348659540374</v>
      </c>
      <c r="N51" s="214">
        <f ca="1">N$49*$J2*'Applicationwise Stock'!N34/($O2*1000000000)</f>
        <v>6.9051001667154894</v>
      </c>
      <c r="O51" s="214">
        <f ca="1">O$49*$J2*'Applicationwise Stock'!O34/($O2*1000000000)</f>
        <v>9.5752179251035798</v>
      </c>
      <c r="P51" s="214">
        <f ca="1">P$49*$J2*'Applicationwise Stock'!P34/($O2*1000000000)</f>
        <v>12.890845596638439</v>
      </c>
      <c r="Q51" s="214">
        <f ca="1">Q$49*$J2*'Applicationwise Stock'!Q34/($O2*1000000000)</f>
        <v>16.573414412661869</v>
      </c>
      <c r="R51" s="214">
        <f ca="1">R$49*$J2*'Applicationwise Stock'!R34/($O2*1000000000)</f>
        <v>20.69256880074601</v>
      </c>
      <c r="S51" s="214">
        <f ca="1">S$49*$J2*'Applicationwise Stock'!S34/($O2*1000000000)</f>
        <v>25.070697542543368</v>
      </c>
      <c r="T51" s="214">
        <f ca="1">T$49*$J2*'Applicationwise Stock'!T34/($O2*1000000000)</f>
        <v>30.038880915877268</v>
      </c>
      <c r="U51" s="214">
        <f ca="1">U$49*$J2*'Applicationwise Stock'!U34/($O2*1000000000)</f>
        <v>35.071928548001999</v>
      </c>
      <c r="V51" s="214">
        <f ca="1">V$49*$J2*'Applicationwise Stock'!V34/($O2*1000000000)</f>
        <v>40.148469426297012</v>
      </c>
      <c r="W51" s="214">
        <f ca="1">W$49*$J2*'Applicationwise Stock'!W34/($O2*1000000000)</f>
        <v>45.308203638023613</v>
      </c>
      <c r="X51" s="214">
        <f ca="1">X$49*$J2*'Applicationwise Stock'!X34/($O2*1000000000)</f>
        <v>50.326538409337537</v>
      </c>
      <c r="Y51" s="214">
        <f ca="1">Y$49*$J2*'Applicationwise Stock'!Y34/($O2*1000000000)</f>
        <v>54.770524410876455</v>
      </c>
      <c r="Z51" s="214">
        <f ca="1">Z$49*$J2*'Applicationwise Stock'!Z34/($O2*1000000000)</f>
        <v>59.105160923101081</v>
      </c>
      <c r="AA51" s="214">
        <f ca="1">AA$49*$J2*'Applicationwise Stock'!AA34/($O2*1000000000)</f>
        <v>64.041379913884896</v>
      </c>
      <c r="AB51" s="214">
        <f ca="1">AB$49*$J2*'Applicationwise Stock'!AB34/($O2*1000000000)</f>
        <v>68.303299118587532</v>
      </c>
      <c r="AC51" s="214">
        <f ca="1">AC$49*$J2*'Applicationwise Stock'!AC34/($O2*1000000000)</f>
        <v>72.276344495780862</v>
      </c>
      <c r="AD51" s="214">
        <f ca="1">AD$49*$J2*'Applicationwise Stock'!AD34/($O2*1000000000)</f>
        <v>75.94326593995298</v>
      </c>
      <c r="AE51" s="214">
        <f ca="1">AE$49*$J2*'Applicationwise Stock'!AE34/($O2*1000000000)</f>
        <v>79.31995298954233</v>
      </c>
      <c r="AF51" s="214">
        <f ca="1">AF$49*$J2*'Applicationwise Stock'!AF34/($O2*1000000000)</f>
        <v>82.291734304437142</v>
      </c>
    </row>
    <row r="52" spans="1:39">
      <c r="A52" s="194" t="s">
        <v>51</v>
      </c>
      <c r="B52" s="214">
        <f ca="1">B$49*$J3*'Applicationwise Stock'!B35/($O3*1000000000)</f>
        <v>4.7420241140068231E-3</v>
      </c>
      <c r="C52" s="214">
        <f ca="1">C$49*$J3*'Applicationwise Stock'!C35/($O3*1000000000)</f>
        <v>1.7136747528209074E-2</v>
      </c>
      <c r="D52" s="214">
        <f ca="1">D$49*$J3*'Applicationwise Stock'!D35/($O3*1000000000)</f>
        <v>4.4318581454439676E-2</v>
      </c>
      <c r="E52" s="214">
        <f ca="1">E$49*$J3*'Applicationwise Stock'!E35/($O3*1000000000)</f>
        <v>9.660975822222001E-2</v>
      </c>
      <c r="F52" s="214">
        <f ca="1">F$49*$J3*'Applicationwise Stock'!F35/($O3*1000000000)</f>
        <v>0.20053274979962357</v>
      </c>
      <c r="G52" s="214">
        <f ca="1">G$49*$J3*'Applicationwise Stock'!G35/($O3*1000000000)</f>
        <v>0.37091285798018431</v>
      </c>
      <c r="H52" s="214">
        <f ca="1">H$49*$J3*'Applicationwise Stock'!H35/($O3*1000000000)</f>
        <v>0.6332348751837773</v>
      </c>
      <c r="I52" s="214">
        <f ca="1">I$49*$J3*'Applicationwise Stock'!I35/($O3*1000000000)</f>
        <v>1.2230431513821778</v>
      </c>
      <c r="J52" s="214">
        <f ca="1">J$49*$J3*'Applicationwise Stock'!J35/($O3*1000000000)</f>
        <v>2.0439987529918806</v>
      </c>
      <c r="K52" s="214">
        <f ca="1">K$49*$J3*'Applicationwise Stock'!K35/($O3*1000000000)</f>
        <v>3.2934201177641595</v>
      </c>
      <c r="L52" s="214">
        <f ca="1">L$49*$J3*'Applicationwise Stock'!L35/($O3*1000000000)</f>
        <v>5.2327838394419484</v>
      </c>
      <c r="M52" s="214">
        <f ca="1">M$49*$J3*'Applicationwise Stock'!M35/($O3*1000000000)</f>
        <v>7.8113061164611937</v>
      </c>
      <c r="N52" s="214">
        <f ca="1">N$49*$J3*'Applicationwise Stock'!N35/($O3*1000000000)</f>
        <v>10.877405903427766</v>
      </c>
      <c r="O52" s="214">
        <f ca="1">O$49*$J3*'Applicationwise Stock'!O35/($O3*1000000000)</f>
        <v>14.954680837657309</v>
      </c>
      <c r="P52" s="214">
        <f ca="1">P$49*$J3*'Applicationwise Stock'!P35/($O3*1000000000)</f>
        <v>19.919267409207723</v>
      </c>
      <c r="Q52" s="214">
        <f ca="1">Q$49*$J3*'Applicationwise Stock'!Q35/($O3*1000000000)</f>
        <v>25.777288790534058</v>
      </c>
      <c r="R52" s="214">
        <f ca="1">R$49*$J3*'Applicationwise Stock'!R35/($O3*1000000000)</f>
        <v>32.262319247195499</v>
      </c>
      <c r="S52" s="214">
        <f ca="1">S$49*$J3*'Applicationwise Stock'!S35/($O3*1000000000)</f>
        <v>39.296743292657624</v>
      </c>
      <c r="T52" s="214">
        <f ca="1">T$49*$J3*'Applicationwise Stock'!T35/($O3*1000000000)</f>
        <v>47.031033865811253</v>
      </c>
      <c r="U52" s="214">
        <f ca="1">U$49*$J3*'Applicationwise Stock'!U35/($O3*1000000000)</f>
        <v>55.047579291630626</v>
      </c>
      <c r="V52" s="214">
        <f ca="1">V$49*$J3*'Applicationwise Stock'!V35/($O3*1000000000)</f>
        <v>62.975185862548059</v>
      </c>
      <c r="W52" s="214">
        <f ca="1">W$49*$J3*'Applicationwise Stock'!W35/($O3*1000000000)</f>
        <v>71.073359550941689</v>
      </c>
      <c r="X52" s="214">
        <f ca="1">X$49*$J3*'Applicationwise Stock'!X35/($O3*1000000000)</f>
        <v>78.987571438116149</v>
      </c>
      <c r="Y52" s="214">
        <f ca="1">Y$49*$J3*'Applicationwise Stock'!Y35/($O3*1000000000)</f>
        <v>85.765793017317236</v>
      </c>
      <c r="Z52" s="214">
        <f ca="1">Z$49*$J3*'Applicationwise Stock'!Z35/($O3*1000000000)</f>
        <v>92.43462012917972</v>
      </c>
      <c r="AA52" s="214">
        <f ca="1">AA$49*$J3*'Applicationwise Stock'!AA35/($O3*1000000000)</f>
        <v>100.07337535344182</v>
      </c>
      <c r="AB52" s="214">
        <f ca="1">AB$49*$J3*'Applicationwise Stock'!AB35/($O3*1000000000)</f>
        <v>106.83099632877179</v>
      </c>
      <c r="AC52" s="214">
        <f ca="1">AC$49*$J3*'Applicationwise Stock'!AC35/($O3*1000000000)</f>
        <v>113.09505405576239</v>
      </c>
      <c r="AD52" s="214">
        <f ca="1">AD$49*$J3*'Applicationwise Stock'!AD35/($O3*1000000000)</f>
        <v>118.86982797102564</v>
      </c>
      <c r="AE52" s="214">
        <f ca="1">AE$49*$J3*'Applicationwise Stock'!AE35/($O3*1000000000)</f>
        <v>124.14133225506596</v>
      </c>
      <c r="AF52" s="214">
        <f ca="1">AF$49*$J3*'Applicationwise Stock'!AF35/($O3*1000000000)</f>
        <v>128.78868209052868</v>
      </c>
    </row>
    <row r="53" spans="1:39">
      <c r="A53" s="194" t="s">
        <v>58</v>
      </c>
      <c r="B53" s="214">
        <f ca="1">B$49*$J4*'Applicationwise Stock'!B36/($O4*1000000000)</f>
        <v>6.8943177581763378E-4</v>
      </c>
      <c r="C53" s="214">
        <f ca="1">C$49*$J4*'Applicationwise Stock'!C36/($O4*1000000000)</f>
        <v>2.55014486681408E-3</v>
      </c>
      <c r="D53" s="214">
        <f ca="1">D$49*$J4*'Applicationwise Stock'!D36/($O4*1000000000)</f>
        <v>6.4216970051746373E-3</v>
      </c>
      <c r="E53" s="214">
        <f ca="1">E$49*$J4*'Applicationwise Stock'!E36/($O4*1000000000)</f>
        <v>1.4259927587733652E-2</v>
      </c>
      <c r="F53" s="214">
        <f ca="1">F$49*$J4*'Applicationwise Stock'!F36/($O4*1000000000)</f>
        <v>2.876257619794273E-2</v>
      </c>
      <c r="G53" s="214">
        <f ca="1">G$49*$J4*'Applicationwise Stock'!G36/($O4*1000000000)</f>
        <v>5.2491903796792701E-2</v>
      </c>
      <c r="H53" s="214">
        <f ca="1">H$49*$J4*'Applicationwise Stock'!H36/($O4*1000000000)</f>
        <v>9.0177024412852691E-2</v>
      </c>
      <c r="I53" s="214">
        <f ca="1">I$49*$J4*'Applicationwise Stock'!I36/($O4*1000000000)</f>
        <v>0.16109697107904461</v>
      </c>
      <c r="J53" s="214">
        <f ca="1">J$49*$J4*'Applicationwise Stock'!J36/($O4*1000000000)</f>
        <v>0.26873881542387462</v>
      </c>
      <c r="K53" s="214">
        <f ca="1">K$49*$J4*'Applicationwise Stock'!K36/($O4*1000000000)</f>
        <v>0.43968871535537779</v>
      </c>
      <c r="L53" s="214">
        <f ca="1">L$49*$J4*'Applicationwise Stock'!L36/($O4*1000000000)</f>
        <v>0.65296567843357967</v>
      </c>
      <c r="M53" s="214">
        <f ca="1">M$49*$J4*'Applicationwise Stock'!M36/($O4*1000000000)</f>
        <v>0.98545321895647597</v>
      </c>
      <c r="N53" s="214">
        <f ca="1">N$49*$J4*'Applicationwise Stock'!N36/($O4*1000000000)</f>
        <v>1.3939964780016496</v>
      </c>
      <c r="O53" s="214">
        <f ca="1">O$49*$J4*'Applicationwise Stock'!O36/($O4*1000000000)</f>
        <v>1.9030678481425636</v>
      </c>
      <c r="P53" s="214">
        <f ca="1">P$49*$J4*'Applicationwise Stock'!P36/($O4*1000000000)</f>
        <v>2.5313517787046718</v>
      </c>
      <c r="Q53" s="214">
        <f ca="1">Q$49*$J4*'Applicationwise Stock'!Q36/($O4*1000000000)</f>
        <v>3.2841634431963995</v>
      </c>
      <c r="R53" s="214">
        <f ca="1">R$49*$J4*'Applicationwise Stock'!R36/($O4*1000000000)</f>
        <v>4.0512359325352199</v>
      </c>
      <c r="S53" s="214">
        <f ca="1">S$49*$J4*'Applicationwise Stock'!S36/($O4*1000000000)</f>
        <v>5.5170387397013867</v>
      </c>
      <c r="T53" s="214">
        <f ca="1">T$49*$J4*'Applicationwise Stock'!T36/($O4*1000000000)</f>
        <v>6.553689131440124</v>
      </c>
      <c r="U53" s="214">
        <f ca="1">U$49*$J4*'Applicationwise Stock'!U36/($O4*1000000000)</f>
        <v>7.6150408607618765</v>
      </c>
      <c r="V53" s="214">
        <f ca="1">V$49*$J4*'Applicationwise Stock'!V36/($O4*1000000000)</f>
        <v>8.6632871236968754</v>
      </c>
      <c r="W53" s="214">
        <f ca="1">W$49*$J4*'Applicationwise Stock'!W36/($O4*1000000000)</f>
        <v>9.7184397421668027</v>
      </c>
      <c r="X53" s="214">
        <f ca="1">X$49*$J4*'Applicationwise Stock'!X36/($O4*1000000000)</f>
        <v>10.758957624355727</v>
      </c>
      <c r="Y53" s="214">
        <f ca="1">Y$49*$J4*'Applicationwise Stock'!Y36/($O4*1000000000)</f>
        <v>11.752129835500874</v>
      </c>
      <c r="Z53" s="214">
        <f ca="1">Z$49*$J4*'Applicationwise Stock'!Z36/($O4*1000000000)</f>
        <v>12.711596179692645</v>
      </c>
      <c r="AA53" s="214">
        <f ca="1">AA$49*$J4*'Applicationwise Stock'!AA36/($O4*1000000000)</f>
        <v>13.670674232716319</v>
      </c>
      <c r="AB53" s="214">
        <f ca="1">AB$49*$J4*'Applicationwise Stock'!AB36/($O4*1000000000)</f>
        <v>14.707534206943546</v>
      </c>
      <c r="AC53" s="214">
        <f ca="1">AC$49*$J4*'Applicationwise Stock'!AC36/($O4*1000000000)</f>
        <v>15.703288252894643</v>
      </c>
      <c r="AD53" s="214">
        <f ca="1">AD$49*$J4*'Applicationwise Stock'!AD36/($O4*1000000000)</f>
        <v>16.682629533888942</v>
      </c>
      <c r="AE53" s="214">
        <f ca="1">AE$49*$J4*'Applicationwise Stock'!AE36/($O4*1000000000)</f>
        <v>17.424125796278076</v>
      </c>
      <c r="AF53" s="214">
        <f ca="1">AF$49*$J4*'Applicationwise Stock'!AF36/($O4*1000000000)</f>
        <v>18.090093493635667</v>
      </c>
    </row>
    <row r="54" spans="1:39">
      <c r="A54" s="194" t="s">
        <v>54</v>
      </c>
      <c r="B54" s="214">
        <f ca="1">B$49*$J5*'Applicationwise Stock'!B37/($O5*1000000000)</f>
        <v>3.8365889529408392E-4</v>
      </c>
      <c r="C54" s="214">
        <f ca="1">C$49*$J5*'Applicationwise Stock'!C37/($O5*1000000000)</f>
        <v>1.3751344862622033E-3</v>
      </c>
      <c r="D54" s="214">
        <f ca="1">D$49*$J5*'Applicationwise Stock'!D37/($O5*1000000000)</f>
        <v>3.3636937009093185E-3</v>
      </c>
      <c r="E54" s="214">
        <f ca="1">E$49*$J5*'Applicationwise Stock'!E37/($O5*1000000000)</f>
        <v>7.283064595861052E-3</v>
      </c>
      <c r="F54" s="214">
        <f ca="1">F$49*$J5*'Applicationwise Stock'!F37/($O5*1000000000)</f>
        <v>1.473778141739461E-2</v>
      </c>
      <c r="G54" s="214">
        <f ca="1">G$49*$J5*'Applicationwise Stock'!G37/($O5*1000000000)</f>
        <v>2.8521245619928314E-2</v>
      </c>
      <c r="H54" s="214">
        <f ca="1">H$49*$J5*'Applicationwise Stock'!H37/($O5*1000000000)</f>
        <v>5.1710052179703384E-2</v>
      </c>
      <c r="I54" s="214">
        <f ca="1">I$49*$J5*'Applicationwise Stock'!I37/($O5*1000000000)</f>
        <v>9.7572224192545479E-2</v>
      </c>
      <c r="J54" s="214">
        <f ca="1">J$49*$J5*'Applicationwise Stock'!J37/($O5*1000000000)</f>
        <v>0.16803207802858589</v>
      </c>
      <c r="K54" s="214">
        <f ca="1">K$49*$J5*'Applicationwise Stock'!K37/($O5*1000000000)</f>
        <v>0.27383522716778491</v>
      </c>
      <c r="L54" s="214">
        <f ca="1">L$49*$J5*'Applicationwise Stock'!L37/($O5*1000000000)</f>
        <v>0.43345853944846335</v>
      </c>
      <c r="M54" s="214">
        <f ca="1">M$49*$J5*'Applicationwise Stock'!M37/($O5*1000000000)</f>
        <v>0.64282370781343723</v>
      </c>
      <c r="N54" s="214">
        <f ca="1">N$49*$J5*'Applicationwise Stock'!N37/($O5*1000000000)</f>
        <v>0.93282657432367688</v>
      </c>
      <c r="O54" s="214">
        <f ca="1">O$49*$J5*'Applicationwise Stock'!O37/($O5*1000000000)</f>
        <v>1.2497111970672377</v>
      </c>
      <c r="P54" s="214">
        <f ca="1">P$49*$J5*'Applicationwise Stock'!P37/($O5*1000000000)</f>
        <v>1.6260657696516887</v>
      </c>
      <c r="Q54" s="214">
        <f ca="1">Q$49*$J5*'Applicationwise Stock'!Q37/($O5*1000000000)</f>
        <v>2.0746451737898259</v>
      </c>
      <c r="R54" s="214">
        <f ca="1">R$49*$J5*'Applicationwise Stock'!R37/($O5*1000000000)</f>
        <v>2.5951383383755675</v>
      </c>
      <c r="S54" s="214">
        <f ca="1">S$49*$J5*'Applicationwise Stock'!S37/($O5*1000000000)</f>
        <v>3.0885128070654795</v>
      </c>
      <c r="T54" s="214">
        <f ca="1">T$49*$J5*'Applicationwise Stock'!T37/($O5*1000000000)</f>
        <v>3.6170938130213215</v>
      </c>
      <c r="U54" s="214">
        <f ca="1">U$49*$J5*'Applicationwise Stock'!U37/($O5*1000000000)</f>
        <v>4.1516663634380819</v>
      </c>
      <c r="V54" s="214">
        <f ca="1">V$49*$J5*'Applicationwise Stock'!V37/($O5*1000000000)</f>
        <v>4.6683815243116102</v>
      </c>
      <c r="W54" s="214">
        <f ca="1">W$49*$J5*'Applicationwise Stock'!W37/($O5*1000000000)</f>
        <v>5.1142178352771799</v>
      </c>
      <c r="X54" s="214">
        <f ca="1">X$49*$J5*'Applicationwise Stock'!X37/($O5*1000000000)</f>
        <v>5.594158436568522</v>
      </c>
      <c r="Y54" s="214">
        <f ca="1">Y$49*$J5*'Applicationwise Stock'!Y37/($O5*1000000000)</f>
        <v>6.2213011966851139</v>
      </c>
      <c r="Z54" s="214">
        <f ca="1">Z$49*$J5*'Applicationwise Stock'!Z37/($O5*1000000000)</f>
        <v>6.7560125820506594</v>
      </c>
      <c r="AA54" s="214">
        <f ca="1">AA$49*$J5*'Applicationwise Stock'!AA37/($O5*1000000000)</f>
        <v>6.9914186949603714</v>
      </c>
      <c r="AB54" s="214">
        <f ca="1">AB$49*$J5*'Applicationwise Stock'!AB37/($O5*1000000000)</f>
        <v>7.4074356117603166</v>
      </c>
      <c r="AC54" s="214">
        <f ca="1">AC$49*$J5*'Applicationwise Stock'!AC37/($O5*1000000000)</f>
        <v>7.7745843231205853</v>
      </c>
      <c r="AD54" s="214">
        <f ca="1">AD$49*$J5*'Applicationwise Stock'!AD37/($O5*1000000000)</f>
        <v>8.0849163450942996</v>
      </c>
      <c r="AE54" s="214">
        <f ca="1">AE$49*$J5*'Applicationwise Stock'!AE37/($O5*1000000000)</f>
        <v>8.3658488736070478</v>
      </c>
      <c r="AF54" s="214">
        <f ca="1">AF$49*$J5*'Applicationwise Stock'!AF37/($O5*1000000000)</f>
        <v>8.6092268150490643</v>
      </c>
    </row>
    <row r="55" spans="1:39">
      <c r="A55" s="194" t="s">
        <v>55</v>
      </c>
      <c r="B55" s="214">
        <f ca="1">B$49*$J6*'Applicationwise Stock'!B38/($O6*1000000000)</f>
        <v>3.1757025600274768E-4</v>
      </c>
      <c r="C55" s="214">
        <f ca="1">C$49*$J6*'Applicationwise Stock'!C38/($O6*1000000000)</f>
        <v>1.1519566559245913E-3</v>
      </c>
      <c r="D55" s="214">
        <f ca="1">D$49*$J6*'Applicationwise Stock'!D38/($O6*1000000000)</f>
        <v>2.9656924626519378E-3</v>
      </c>
      <c r="E55" s="214">
        <f ca="1">E$49*$J6*'Applicationwise Stock'!E38/($O6*1000000000)</f>
        <v>6.8381831846034205E-3</v>
      </c>
      <c r="F55" s="214">
        <f ca="1">F$49*$J6*'Applicationwise Stock'!F38/($O6*1000000000)</f>
        <v>1.382144757392061E-2</v>
      </c>
      <c r="G55" s="214">
        <f ca="1">G$49*$J6*'Applicationwise Stock'!G38/($O6*1000000000)</f>
        <v>2.8509363708712421E-2</v>
      </c>
      <c r="H55" s="214">
        <f ca="1">H$49*$J6*'Applicationwise Stock'!H38/($O6*1000000000)</f>
        <v>5.4841198927043346E-2</v>
      </c>
      <c r="I55" s="214">
        <f ca="1">I$49*$J6*'Applicationwise Stock'!I38/($O6*1000000000)</f>
        <v>0.10160036170754444</v>
      </c>
      <c r="J55" s="214">
        <f ca="1">J$49*$J6*'Applicationwise Stock'!J38/($O6*1000000000)</f>
        <v>0.17714141993471005</v>
      </c>
      <c r="K55" s="214">
        <f ca="1">K$49*$J6*'Applicationwise Stock'!K38/($O6*1000000000)</f>
        <v>0.27572638381869968</v>
      </c>
      <c r="L55" s="214">
        <f ca="1">L$49*$J6*'Applicationwise Stock'!L38/($O6*1000000000)</f>
        <v>0.40296283491403628</v>
      </c>
      <c r="M55" s="214">
        <f ca="1">M$49*$J6*'Applicationwise Stock'!M38/($O6*1000000000)</f>
        <v>0.55350763639814471</v>
      </c>
      <c r="N55" s="214">
        <f ca="1">N$49*$J6*'Applicationwise Stock'!N38/($O6*1000000000)</f>
        <v>0.73925484334281433</v>
      </c>
      <c r="O55" s="214">
        <f ca="1">O$49*$J6*'Applicationwise Stock'!O38/($O6*1000000000)</f>
        <v>0.93579415898304352</v>
      </c>
      <c r="P55" s="214">
        <f ca="1">P$49*$J6*'Applicationwise Stock'!P38/($O6*1000000000)</f>
        <v>1.1248055488814099</v>
      </c>
      <c r="Q55" s="214">
        <f ca="1">Q$49*$J6*'Applicationwise Stock'!Q38/($O6*1000000000)</f>
        <v>1.3420546433635805</v>
      </c>
      <c r="R55" s="214">
        <f ca="1">R$49*$J6*'Applicationwise Stock'!R38/($O6*1000000000)</f>
        <v>1.7547721752239449</v>
      </c>
      <c r="S55" s="214">
        <f ca="1">S$49*$J6*'Applicationwise Stock'!S38/($O6*1000000000)</f>
        <v>1.919546414539234</v>
      </c>
      <c r="T55" s="214">
        <f ca="1">T$49*$J6*'Applicationwise Stock'!T38/($O6*1000000000)</f>
        <v>2.0565364329419786</v>
      </c>
      <c r="U55" s="214">
        <f ca="1">U$49*$J6*'Applicationwise Stock'!U38/($O6*1000000000)</f>
        <v>2.13718335773132</v>
      </c>
      <c r="V55" s="214">
        <f ca="1">V$49*$J6*'Applicationwise Stock'!V38/($O6*1000000000)</f>
        <v>2.1577339218424592</v>
      </c>
      <c r="W55" s="214">
        <f ca="1">W$49*$J6*'Applicationwise Stock'!W38/($O6*1000000000)</f>
        <v>2.1222150398756505</v>
      </c>
      <c r="X55" s="214">
        <f ca="1">X$49*$J6*'Applicationwise Stock'!X38/($O6*1000000000)</f>
        <v>2.1062701153392345</v>
      </c>
      <c r="Y55" s="214">
        <f ca="1">Y$49*$J6*'Applicationwise Stock'!Y38/($O6*1000000000)</f>
        <v>2.0745730089822363</v>
      </c>
      <c r="Z55" s="214">
        <f ca="1">Z$49*$J6*'Applicationwise Stock'!Z38/($O6*1000000000)</f>
        <v>2.0275294871657144</v>
      </c>
      <c r="AA55" s="214">
        <f ca="1">AA$49*$J6*'Applicationwise Stock'!AA38/($O6*1000000000)</f>
        <v>1.9129633050922994</v>
      </c>
      <c r="AB55" s="214">
        <f ca="1">AB$49*$J6*'Applicationwise Stock'!AB38/($O6*1000000000)</f>
        <v>1.9343775765074371</v>
      </c>
      <c r="AC55" s="214">
        <f ca="1">AC$49*$J6*'Applicationwise Stock'!AC38/($O6*1000000000)</f>
        <v>1.9519913609323474</v>
      </c>
      <c r="AD55" s="214">
        <f ca="1">AD$49*$J6*'Applicationwise Stock'!AD38/($O6*1000000000)</f>
        <v>1.8754907952712698</v>
      </c>
      <c r="AE55" s="214">
        <f ca="1">AE$49*$J6*'Applicationwise Stock'!AE38/($O6*1000000000)</f>
        <v>1.7938249631307388</v>
      </c>
      <c r="AF55" s="214">
        <f ca="1">AF$49*$J6*'Applicationwise Stock'!AF38/($O6*1000000000)</f>
        <v>1.7083702461420469</v>
      </c>
    </row>
    <row r="56" spans="1:39">
      <c r="A56" s="194" t="s">
        <v>56</v>
      </c>
      <c r="B56" s="214">
        <f ca="1">B$49*$J7*'Applicationwise Stock'!B39/($O7*1000000000)</f>
        <v>1.5575183910766438E-4</v>
      </c>
      <c r="C56" s="214">
        <f ca="1">C$49*$J7*'Applicationwise Stock'!C39/($O7*1000000000)</f>
        <v>5.6443798299085667E-4</v>
      </c>
      <c r="D56" s="214">
        <f ca="1">D$49*$J7*'Applicationwise Stock'!D39/($O7*1000000000)</f>
        <v>1.4227992167172422E-3</v>
      </c>
      <c r="E56" s="214">
        <f ca="1">E$49*$J7*'Applicationwise Stock'!E39/($O7*1000000000)</f>
        <v>3.2466362662904535E-3</v>
      </c>
      <c r="F56" s="214">
        <f ca="1">F$49*$J7*'Applicationwise Stock'!F39/($O7*1000000000)</f>
        <v>6.6762234743547805E-3</v>
      </c>
      <c r="G56" s="214">
        <f ca="1">G$49*$J7*'Applicationwise Stock'!G39/($O7*1000000000)</f>
        <v>1.3926886187102527E-2</v>
      </c>
      <c r="H56" s="214">
        <f ca="1">H$49*$J7*'Applicationwise Stock'!H39/($O7*1000000000)</f>
        <v>2.8861171319544781E-2</v>
      </c>
      <c r="I56" s="214">
        <f ca="1">I$49*$J7*'Applicationwise Stock'!I39/($O7*1000000000)</f>
        <v>5.3307616419518776E-2</v>
      </c>
      <c r="J56" s="214">
        <f ca="1">J$49*$J7*'Applicationwise Stock'!J39/($O7*1000000000)</f>
        <v>9.8708089403512597E-2</v>
      </c>
      <c r="K56" s="214">
        <f ca="1">K$49*$J7*'Applicationwise Stock'!K39/($O7*1000000000)</f>
        <v>0.17021900915520882</v>
      </c>
      <c r="L56" s="214">
        <f ca="1">L$49*$J7*'Applicationwise Stock'!L39/($O7*1000000000)</f>
        <v>0.25668802668270141</v>
      </c>
      <c r="M56" s="214">
        <f ca="1">M$49*$J7*'Applicationwise Stock'!M39/($O7*1000000000)</f>
        <v>0.39921884059747353</v>
      </c>
      <c r="N56" s="214">
        <f ca="1">N$49*$J7*'Applicationwise Stock'!N39/($O7*1000000000)</f>
        <v>0.60909111710571984</v>
      </c>
      <c r="O56" s="214">
        <f ca="1">O$49*$J7*'Applicationwise Stock'!O39/($O7*1000000000)</f>
        <v>0.94699445227734991</v>
      </c>
      <c r="P56" s="214">
        <f ca="1">P$49*$J7*'Applicationwise Stock'!P39/($O7*1000000000)</f>
        <v>1.2639984954341523</v>
      </c>
      <c r="Q56" s="214">
        <f ca="1">Q$49*$J7*'Applicationwise Stock'!Q39/($O7*1000000000)</f>
        <v>1.5931299126952201</v>
      </c>
      <c r="R56" s="214">
        <f ca="1">R$49*$J7*'Applicationwise Stock'!R39/($O7*1000000000)</f>
        <v>1.9862670803303368</v>
      </c>
      <c r="S56" s="214">
        <f ca="1">S$49*$J7*'Applicationwise Stock'!S39/($O7*1000000000)</f>
        <v>2.3310372424956252</v>
      </c>
      <c r="T56" s="214">
        <f ca="1">T$49*$J7*'Applicationwise Stock'!T39/($O7*1000000000)</f>
        <v>2.698522073614003</v>
      </c>
      <c r="U56" s="214">
        <f ca="1">U$49*$J7*'Applicationwise Stock'!U39/($O7*1000000000)</f>
        <v>3.0072613306356728</v>
      </c>
      <c r="V56" s="214">
        <f ca="1">V$49*$J7*'Applicationwise Stock'!V39/($O7*1000000000)</f>
        <v>3.3484262283585289</v>
      </c>
      <c r="W56" s="214">
        <f ca="1">W$49*$J7*'Applicationwise Stock'!W39/($O7*1000000000)</f>
        <v>3.6553571389274024</v>
      </c>
      <c r="X56" s="214">
        <f ca="1">X$49*$J7*'Applicationwise Stock'!X39/($O7*1000000000)</f>
        <v>4.0187885381044355</v>
      </c>
      <c r="Y56" s="214">
        <f ca="1">Y$49*$J7*'Applicationwise Stock'!Y39/($O7*1000000000)</f>
        <v>4.4256364011385445</v>
      </c>
      <c r="Z56" s="214">
        <f ca="1">Z$49*$J7*'Applicationwise Stock'!Z39/($O7*1000000000)</f>
        <v>4.8768256660563321</v>
      </c>
      <c r="AA56" s="214">
        <f ca="1">AA$49*$J7*'Applicationwise Stock'!AA39/($O7*1000000000)</f>
        <v>5.2447776052635664</v>
      </c>
      <c r="AB56" s="214">
        <f ca="1">AB$49*$J7*'Applicationwise Stock'!AB39/($O7*1000000000)</f>
        <v>5.5245422973430784</v>
      </c>
      <c r="AC56" s="214">
        <f ca="1">AC$49*$J7*'Applicationwise Stock'!AC39/($O7*1000000000)</f>
        <v>5.7686548891310929</v>
      </c>
      <c r="AD56" s="214">
        <f ca="1">AD$49*$J7*'Applicationwise Stock'!AD39/($O7*1000000000)</f>
        <v>5.9748366788814407</v>
      </c>
      <c r="AE56" s="214">
        <f ca="1">AE$49*$J7*'Applicationwise Stock'!AE39/($O7*1000000000)</f>
        <v>6.1612645340195407</v>
      </c>
      <c r="AF56" s="214">
        <f ca="1">AF$49*$J7*'Applicationwise Stock'!AF39/($O7*1000000000)</f>
        <v>6.32268988606672</v>
      </c>
    </row>
    <row r="57" spans="1:39">
      <c r="A57" s="194" t="s">
        <v>549</v>
      </c>
      <c r="B57" s="214">
        <f ca="1">B$49*$J8*'Applicationwise Stock'!B40/($O8*1000000000)</f>
        <v>1.4932197452908682E-4</v>
      </c>
      <c r="C57" s="214">
        <f ca="1">C$49*$J8*'Applicationwise Stock'!C40/($O8*1000000000)</f>
        <v>5.4173898209056571E-4</v>
      </c>
      <c r="D57" s="214">
        <f ca="1">D$49*$J8*'Applicationwise Stock'!D40/($O8*1000000000)</f>
        <v>1.3377216494503807E-3</v>
      </c>
      <c r="E57" s="214">
        <f ca="1">E$49*$J8*'Applicationwise Stock'!E40/($O8*1000000000)</f>
        <v>2.8928678679404516E-3</v>
      </c>
      <c r="F57" s="214">
        <f ca="1">F$49*$J8*'Applicationwise Stock'!F40/($O8*1000000000)</f>
        <v>5.93904706826662E-3</v>
      </c>
      <c r="G57" s="214">
        <f ca="1">G$49*$J8*'Applicationwise Stock'!G40/($O8*1000000000)</f>
        <v>1.1725171620219422E-2</v>
      </c>
      <c r="H57" s="214">
        <f ca="1">H$49*$J8*'Applicationwise Stock'!H40/($O8*1000000000)</f>
        <v>2.0692619170738929E-2</v>
      </c>
      <c r="I57" s="214">
        <f ca="1">I$49*$J8*'Applicationwise Stock'!I40/($O8*1000000000)</f>
        <v>3.9863702889742489E-2</v>
      </c>
      <c r="J57" s="214">
        <f ca="1">J$49*$J8*'Applicationwise Stock'!J40/($O8*1000000000)</f>
        <v>7.0114128922215413E-2</v>
      </c>
      <c r="K57" s="214">
        <f ca="1">K$49*$J8*'Applicationwise Stock'!K40/($O8*1000000000)</f>
        <v>0.11976127190618628</v>
      </c>
      <c r="L57" s="214">
        <f ca="1">L$49*$J8*'Applicationwise Stock'!L40/($O8*1000000000)</f>
        <v>0.18871706608732489</v>
      </c>
      <c r="M57" s="214">
        <f ca="1">M$49*$J8*'Applicationwise Stock'!M40/($O8*1000000000)</f>
        <v>0.28082217794505382</v>
      </c>
      <c r="N57" s="214">
        <f ca="1">N$49*$J8*'Applicationwise Stock'!N40/($O8*1000000000)</f>
        <v>0.41016856063966239</v>
      </c>
      <c r="O57" s="214">
        <f ca="1">O$49*$J8*'Applicationwise Stock'!O40/($O8*1000000000)</f>
        <v>0.57410987267392466</v>
      </c>
      <c r="P57" s="214">
        <f ca="1">P$49*$J8*'Applicationwise Stock'!P40/($O8*1000000000)</f>
        <v>0.77171390464248402</v>
      </c>
      <c r="Q57" s="214">
        <f ca="1">Q$49*$J8*'Applicationwise Stock'!Q40/($O8*1000000000)</f>
        <v>1.0077905680325778</v>
      </c>
      <c r="R57" s="214">
        <f ca="1">R$49*$J8*'Applicationwise Stock'!R40/($O8*1000000000)</f>
        <v>1.2820567738783684</v>
      </c>
      <c r="S57" s="214">
        <f ca="1">S$49*$J8*'Applicationwise Stock'!S40/($O8*1000000000)</f>
        <v>1.5680430715534748</v>
      </c>
      <c r="T57" s="214">
        <f ca="1">T$49*$J8*'Applicationwise Stock'!T40/($O8*1000000000)</f>
        <v>1.8639055911954459</v>
      </c>
      <c r="U57" s="214">
        <f ca="1">U$49*$J8*'Applicationwise Stock'!U40/($O8*1000000000)</f>
        <v>2.1677470722190177</v>
      </c>
      <c r="V57" s="214">
        <f ca="1">V$49*$J8*'Applicationwise Stock'!V40/($O8*1000000000)</f>
        <v>2.4679222310900886</v>
      </c>
      <c r="W57" s="214">
        <f ca="1">W$49*$J8*'Applicationwise Stock'!W40/($O8*1000000000)</f>
        <v>2.7814477955183357</v>
      </c>
      <c r="X57" s="214">
        <f ca="1">X$49*$J8*'Applicationwise Stock'!X40/($O8*1000000000)</f>
        <v>3.0923949015781917</v>
      </c>
      <c r="Y57" s="214">
        <f ca="1">Y$49*$J8*'Applicationwise Stock'!Y40/($O8*1000000000)</f>
        <v>3.3863188049755384</v>
      </c>
      <c r="Z57" s="214">
        <f ca="1">Z$49*$J8*'Applicationwise Stock'!Z40/($O8*1000000000)</f>
        <v>3.9114189106657777</v>
      </c>
      <c r="AA57" s="214">
        <f ca="1">AA$49*$J8*'Applicationwise Stock'!AA40/($O8*1000000000)</f>
        <v>4.205147192228611</v>
      </c>
      <c r="AB57" s="214">
        <f ca="1">AB$49*$J8*'Applicationwise Stock'!AB40/($O8*1000000000)</f>
        <v>4.5220033792974519</v>
      </c>
      <c r="AC57" s="214">
        <f ca="1">AC$49*$J8*'Applicationwise Stock'!AC40/($O8*1000000000)</f>
        <v>4.8206286819026163</v>
      </c>
      <c r="AD57" s="214">
        <f ca="1">AD$49*$J8*'Applicationwise Stock'!AD40/($O8*1000000000)</f>
        <v>5.0982716610919869</v>
      </c>
      <c r="AE57" s="214">
        <f ca="1">AE$49*$J8*'Applicationwise Stock'!AE40/($O8*1000000000)</f>
        <v>5.3583849769200844</v>
      </c>
      <c r="AF57" s="214">
        <f ca="1">AF$49*$J8*'Applicationwise Stock'!AF40/($O8*1000000000)</f>
        <v>5.6008949538069626</v>
      </c>
    </row>
    <row r="58" spans="1:39">
      <c r="A58" s="194" t="s">
        <v>52</v>
      </c>
      <c r="B58" s="214">
        <f ca="1">B$49*$J9*'Applicationwise Stock'!B41/($O9*1000000000)</f>
        <v>5.2462775071338041E-4</v>
      </c>
      <c r="C58" s="214">
        <f ca="1">C$49*$J9*'Applicationwise Stock'!C41/($O9*1000000000)</f>
        <v>1.883543602862296E-3</v>
      </c>
      <c r="D58" s="214">
        <f ca="1">D$49*$J9*'Applicationwise Stock'!D41/($O9*1000000000)</f>
        <v>4.6246429552040981E-3</v>
      </c>
      <c r="E58" s="214">
        <f ca="1">E$49*$J9*'Applicationwise Stock'!E41/($O9*1000000000)</f>
        <v>9.9073941210754881E-3</v>
      </c>
      <c r="F58" s="214">
        <f ca="1">F$49*$J9*'Applicationwise Stock'!F41/($O9*1000000000)</f>
        <v>1.9470561850003221E-2</v>
      </c>
      <c r="G58" s="214">
        <f ca="1">G$49*$J9*'Applicationwise Stock'!G41/($O9*1000000000)</f>
        <v>3.6496239314593455E-2</v>
      </c>
      <c r="H58" s="214">
        <f ca="1">H$49*$J9*'Applicationwise Stock'!H41/($O9*1000000000)</f>
        <v>6.2667709161364701E-2</v>
      </c>
      <c r="I58" s="214">
        <f ca="1">I$49*$J9*'Applicationwise Stock'!I41/($O9*1000000000)</f>
        <v>0.11975863167226986</v>
      </c>
      <c r="J58" s="214">
        <f ca="1">J$49*$J9*'Applicationwise Stock'!J41/($O9*1000000000)</f>
        <v>0.21836661516472314</v>
      </c>
      <c r="K58" s="214">
        <f ca="1">K$49*$J9*'Applicationwise Stock'!K41/($O9*1000000000)</f>
        <v>0.36352827352057304</v>
      </c>
      <c r="L58" s="214">
        <f ca="1">L$49*$J9*'Applicationwise Stock'!L41/($O9*1000000000)</f>
        <v>0.57792375511920369</v>
      </c>
      <c r="M58" s="214">
        <f ca="1">M$49*$J9*'Applicationwise Stock'!M41/($O9*1000000000)</f>
        <v>0.87746866192148854</v>
      </c>
      <c r="N58" s="214">
        <f ca="1">N$49*$J9*'Applicationwise Stock'!N41/($O9*1000000000)</f>
        <v>1.3155586429683932</v>
      </c>
      <c r="O58" s="214">
        <f ca="1">O$49*$J9*'Applicationwise Stock'!O41/($O9*1000000000)</f>
        <v>1.8083255811798162</v>
      </c>
      <c r="P58" s="214">
        <f ca="1">P$49*$J9*'Applicationwise Stock'!P41/($O9*1000000000)</f>
        <v>2.3647583474417488</v>
      </c>
      <c r="Q58" s="214">
        <f ca="1">Q$49*$J9*'Applicationwise Stock'!Q41/($O9*1000000000)</f>
        <v>3.0150185669820178</v>
      </c>
      <c r="R58" s="214">
        <f ca="1">R$49*$J9*'Applicationwise Stock'!R41/($O9*1000000000)</f>
        <v>3.7311985191283901</v>
      </c>
      <c r="S58" s="214">
        <f ca="1">S$49*$J9*'Applicationwise Stock'!S41/($O9*1000000000)</f>
        <v>4.517086195154854</v>
      </c>
      <c r="T58" s="214">
        <f ca="1">T$49*$J9*'Applicationwise Stock'!T41/($O9*1000000000)</f>
        <v>5.3566562955165624</v>
      </c>
      <c r="U58" s="214">
        <f ca="1">U$49*$J9*'Applicationwise Stock'!U41/($O9*1000000000)</f>
        <v>6.2750323048686383</v>
      </c>
      <c r="V58" s="214">
        <f ca="1">V$49*$J9*'Applicationwise Stock'!V41/($O9*1000000000)</f>
        <v>7.1659991486332606</v>
      </c>
      <c r="W58" s="214">
        <f ca="1">W$49*$J9*'Applicationwise Stock'!W41/($O9*1000000000)</f>
        <v>7.9791031130609493</v>
      </c>
      <c r="X58" s="214">
        <f ca="1">X$49*$J9*'Applicationwise Stock'!X41/($O9*1000000000)</f>
        <v>8.8575507774774938</v>
      </c>
      <c r="Y58" s="214">
        <f ca="1">Y$49*$J9*'Applicationwise Stock'!Y41/($O9*1000000000)</f>
        <v>10.353031048404873</v>
      </c>
      <c r="Z58" s="214">
        <f ca="1">Z$49*$J9*'Applicationwise Stock'!Z41/($O9*1000000000)</f>
        <v>11.264612399407474</v>
      </c>
      <c r="AA58" s="214">
        <f ca="1">AA$49*$J9*'Applicationwise Stock'!AA41/($O9*1000000000)</f>
        <v>12.169038120184124</v>
      </c>
      <c r="AB58" s="214">
        <f ca="1">AB$49*$J9*'Applicationwise Stock'!AB41/($O9*1000000000)</f>
        <v>13.016714889885009</v>
      </c>
      <c r="AC58" s="214">
        <f ca="1">AC$49*$J9*'Applicationwise Stock'!AC41/($O9*1000000000)</f>
        <v>13.827296381137327</v>
      </c>
      <c r="AD58" s="214">
        <f ca="1">AD$49*$J9*'Applicationwise Stock'!AD41/($O9*1000000000)</f>
        <v>14.601323922001855</v>
      </c>
      <c r="AE58" s="214">
        <f ca="1">AE$49*$J9*'Applicationwise Stock'!AE41/($O9*1000000000)</f>
        <v>15.333866404945944</v>
      </c>
      <c r="AF58" s="214">
        <f ca="1">AF$49*$J9*'Applicationwise Stock'!AF41/($O9*1000000000)</f>
        <v>16.016136471379845</v>
      </c>
    </row>
    <row r="59" spans="1:39">
      <c r="A59" s="194" t="s">
        <v>57</v>
      </c>
      <c r="B59" s="214">
        <f ca="1">B$49*$J10*'Applicationwise Stock'!B42/($O10*1000000000)</f>
        <v>7.3475876203233826E-5</v>
      </c>
      <c r="C59" s="214">
        <f ca="1">C$49*$J10*'Applicationwise Stock'!C42/($O10*1000000000)</f>
        <v>2.6700452732695174E-4</v>
      </c>
      <c r="D59" s="214">
        <f ca="1">D$49*$J10*'Applicationwise Stock'!D42/($O10*1000000000)</f>
        <v>6.8397943336303895E-4</v>
      </c>
      <c r="E59" s="214">
        <f ca="1">E$49*$J10*'Applicationwise Stock'!E42/($O10*1000000000)</f>
        <v>1.58716170634012E-3</v>
      </c>
      <c r="F59" s="214">
        <f ca="1">F$49*$J10*'Applicationwise Stock'!F42/($O10*1000000000)</f>
        <v>3.2942260723809328E-3</v>
      </c>
      <c r="G59" s="214">
        <f ca="1">G$49*$J10*'Applicationwise Stock'!G42/($O10*1000000000)</f>
        <v>6.763151081516902E-3</v>
      </c>
      <c r="H59" s="214">
        <f ca="1">H$49*$J10*'Applicationwise Stock'!H42/($O10*1000000000)</f>
        <v>1.2084221057083224E-2</v>
      </c>
      <c r="I59" s="214">
        <f ca="1">I$49*$J10*'Applicationwise Stock'!I42/($O10*1000000000)</f>
        <v>2.1991247308170023E-2</v>
      </c>
      <c r="J59" s="214">
        <f ca="1">J$49*$J10*'Applicationwise Stock'!J42/($O10*1000000000)</f>
        <v>4.1479978448500064E-2</v>
      </c>
      <c r="K59" s="214">
        <f ca="1">K$49*$J10*'Applicationwise Stock'!K42/($O10*1000000000)</f>
        <v>7.2998772861574357E-2</v>
      </c>
      <c r="L59" s="214">
        <f ca="1">L$49*$J10*'Applicationwise Stock'!L42/($O10*1000000000)</f>
        <v>0.11322153093996827</v>
      </c>
      <c r="M59" s="214">
        <f ca="1">M$49*$J10*'Applicationwise Stock'!M42/($O10*1000000000)</f>
        <v>0.19759841184274921</v>
      </c>
      <c r="N59" s="214">
        <f ca="1">N$49*$J10*'Applicationwise Stock'!N42/($O10*1000000000)</f>
        <v>0.27637665824018098</v>
      </c>
      <c r="O59" s="214">
        <f ca="1">O$49*$J10*'Applicationwise Stock'!O42/($O10*1000000000)</f>
        <v>0.35629947766373721</v>
      </c>
      <c r="P59" s="214">
        <f ca="1">P$49*$J10*'Applicationwise Stock'!P42/($O10*1000000000)</f>
        <v>0.45201010314523593</v>
      </c>
      <c r="Q59" s="214">
        <f ca="1">Q$49*$J10*'Applicationwise Stock'!Q42/($O10*1000000000)</f>
        <v>0.58009368836581998</v>
      </c>
      <c r="R59" s="214">
        <f ca="1">R$49*$J10*'Applicationwise Stock'!R42/($O10*1000000000)</f>
        <v>0.68855589857847388</v>
      </c>
      <c r="S59" s="214">
        <f ca="1">S$49*$J10*'Applicationwise Stock'!S42/($O10*1000000000)</f>
        <v>0.82252777394064258</v>
      </c>
      <c r="T59" s="214">
        <f ca="1">T$49*$J10*'Applicationwise Stock'!T42/($O10*1000000000)</f>
        <v>0.95811711069792771</v>
      </c>
      <c r="U59" s="214">
        <f ca="1">U$49*$J10*'Applicationwise Stock'!U42/($O10*1000000000)</f>
        <v>1.1147444224209071</v>
      </c>
      <c r="V59" s="214">
        <f ca="1">V$49*$J10*'Applicationwise Stock'!V42/($O10*1000000000)</f>
        <v>1.2758851440949535</v>
      </c>
      <c r="W59" s="214">
        <f ca="1">W$49*$J10*'Applicationwise Stock'!W42/($O10*1000000000)</f>
        <v>1.4319489970155164</v>
      </c>
      <c r="X59" s="214">
        <f ca="1">X$49*$J10*'Applicationwise Stock'!X42/($O10*1000000000)</f>
        <v>1.5949741032692537</v>
      </c>
      <c r="Y59" s="214">
        <f ca="1">Y$49*$J10*'Applicationwise Stock'!Y42/($O10*1000000000)</f>
        <v>1.7851100607254142</v>
      </c>
      <c r="Z59" s="214">
        <f ca="1">Z$49*$J10*'Applicationwise Stock'!Z42/($O10*1000000000)</f>
        <v>1.930849858355141</v>
      </c>
      <c r="AA59" s="214">
        <f ca="1">AA$49*$J10*'Applicationwise Stock'!AA42/($O10*1000000000)</f>
        <v>2.0822462778387925</v>
      </c>
      <c r="AB59" s="214">
        <f ca="1">AB$49*$J10*'Applicationwise Stock'!AB42/($O10*1000000000)</f>
        <v>2.207101757582191</v>
      </c>
      <c r="AC59" s="214">
        <f ca="1">AC$49*$J10*'Applicationwise Stock'!AC42/($O10*1000000000)</f>
        <v>2.3201910566556494</v>
      </c>
      <c r="AD59" s="214">
        <f ca="1">AD$49*$J10*'Applicationwise Stock'!AD42/($O10*1000000000)</f>
        <v>2.4311961597913827</v>
      </c>
      <c r="AE59" s="214">
        <f ca="1">AE$49*$J10*'Applicationwise Stock'!AE42/($O10*1000000000)</f>
        <v>2.534497342697521</v>
      </c>
      <c r="AF59" s="214">
        <f ca="1">AF$49*$J10*'Applicationwise Stock'!AF42/($O10*1000000000)</f>
        <v>2.6299566944645001</v>
      </c>
    </row>
    <row r="60" spans="1:39">
      <c r="A60" s="200" t="s">
        <v>591</v>
      </c>
      <c r="B60" s="215">
        <f ca="1">SUM(B51:B59)</f>
        <v>1.0005278667370103E-2</v>
      </c>
      <c r="C60" s="215">
        <f t="shared" ref="C60:AF60" ca="1" si="8">SUM(C51:C59)</f>
        <v>3.6288374826192203E-2</v>
      </c>
      <c r="D60" s="215">
        <f t="shared" ca="1" si="8"/>
        <v>9.2975375567009313E-2</v>
      </c>
      <c r="E60" s="215">
        <f t="shared" ca="1" si="8"/>
        <v>0.20346200340691553</v>
      </c>
      <c r="F60" s="215">
        <f t="shared" ca="1" si="8"/>
        <v>0.41905297336201175</v>
      </c>
      <c r="G60" s="215">
        <f t="shared" ca="1" si="8"/>
        <v>0.78075943224578492</v>
      </c>
      <c r="H60" s="215">
        <f t="shared" ca="1" si="8"/>
        <v>1.3484695826833772</v>
      </c>
      <c r="I60" s="215">
        <f t="shared" ca="1" si="8"/>
        <v>2.5651562413298739</v>
      </c>
      <c r="J60" s="215">
        <f t="shared" ca="1" si="8"/>
        <v>4.3540348630105958</v>
      </c>
      <c r="K60" s="215">
        <f t="shared" ca="1" si="8"/>
        <v>7.0275123780436992</v>
      </c>
      <c r="L60" s="215">
        <f t="shared" ca="1" si="8"/>
        <v>10.986898087137556</v>
      </c>
      <c r="M60" s="215">
        <f t="shared" ca="1" si="8"/>
        <v>16.418333637890051</v>
      </c>
      <c r="N60" s="215">
        <f t="shared" ca="1" si="8"/>
        <v>23.459778944765354</v>
      </c>
      <c r="O60" s="215">
        <f t="shared" ca="1" si="8"/>
        <v>32.304201350748556</v>
      </c>
      <c r="P60" s="215">
        <f t="shared" ca="1" si="8"/>
        <v>42.944816953747555</v>
      </c>
      <c r="Q60" s="215">
        <f t="shared" ca="1" si="8"/>
        <v>55.247599199621362</v>
      </c>
      <c r="R60" s="215">
        <f t="shared" ca="1" si="8"/>
        <v>69.044112765991812</v>
      </c>
      <c r="S60" s="215">
        <f t="shared" ca="1" si="8"/>
        <v>84.131233079651722</v>
      </c>
      <c r="T60" s="215">
        <f t="shared" ca="1" si="8"/>
        <v>100.17443523011589</v>
      </c>
      <c r="U60" s="215">
        <f t="shared" ca="1" si="8"/>
        <v>116.58818355170816</v>
      </c>
      <c r="V60" s="215">
        <f t="shared" ca="1" si="8"/>
        <v>132.87129061087285</v>
      </c>
      <c r="W60" s="215">
        <f t="shared" ca="1" si="8"/>
        <v>149.18429285080714</v>
      </c>
      <c r="X60" s="215">
        <f t="shared" ca="1" si="8"/>
        <v>165.33720434414658</v>
      </c>
      <c r="Y60" s="215">
        <f t="shared" ca="1" si="8"/>
        <v>180.53441778460626</v>
      </c>
      <c r="Z60" s="215">
        <f t="shared" ca="1" si="8"/>
        <v>195.01862613567454</v>
      </c>
      <c r="AA60" s="215">
        <f t="shared" ca="1" si="8"/>
        <v>210.39102069561082</v>
      </c>
      <c r="AB60" s="215">
        <f t="shared" ca="1" si="8"/>
        <v>224.45400516667834</v>
      </c>
      <c r="AC60" s="215">
        <f t="shared" ca="1" si="8"/>
        <v>237.53803349731751</v>
      </c>
      <c r="AD60" s="215">
        <f t="shared" ca="1" si="8"/>
        <v>249.56175900699981</v>
      </c>
      <c r="AE60" s="215">
        <f t="shared" ca="1" si="8"/>
        <v>260.43309813620726</v>
      </c>
      <c r="AF60" s="215">
        <f t="shared" ca="1" si="8"/>
        <v>270.05778495551061</v>
      </c>
    </row>
    <row r="62" spans="1:39" s="1" customFormat="1">
      <c r="A62" s="189" t="s">
        <v>595</v>
      </c>
      <c r="B62" s="189">
        <v>2025</v>
      </c>
      <c r="C62" s="189">
        <v>2026</v>
      </c>
      <c r="D62" s="189">
        <v>2027</v>
      </c>
      <c r="E62" s="189">
        <v>2028</v>
      </c>
      <c r="F62" s="189">
        <v>2029</v>
      </c>
      <c r="G62" s="189">
        <v>2030</v>
      </c>
      <c r="H62" s="189">
        <v>2031</v>
      </c>
      <c r="I62" s="189">
        <v>2032</v>
      </c>
      <c r="J62" s="189">
        <v>2033</v>
      </c>
      <c r="K62" s="189">
        <v>2034</v>
      </c>
      <c r="L62" s="189">
        <v>2035</v>
      </c>
      <c r="M62" s="189">
        <v>2036</v>
      </c>
      <c r="N62" s="189">
        <v>2037</v>
      </c>
      <c r="O62" s="189">
        <v>2038</v>
      </c>
      <c r="P62" s="189">
        <v>2039</v>
      </c>
      <c r="Q62" s="189">
        <v>2040</v>
      </c>
      <c r="R62" s="189">
        <v>2041</v>
      </c>
      <c r="S62" s="189">
        <v>2042</v>
      </c>
      <c r="T62" s="189">
        <v>2043</v>
      </c>
      <c r="U62" s="189">
        <v>2044</v>
      </c>
      <c r="V62" s="189">
        <v>2045</v>
      </c>
      <c r="W62" s="189">
        <v>2046</v>
      </c>
      <c r="X62" s="189">
        <v>2047</v>
      </c>
      <c r="Y62" s="189">
        <v>2048</v>
      </c>
      <c r="Z62" s="189">
        <v>2049</v>
      </c>
      <c r="AA62" s="189">
        <v>2050</v>
      </c>
      <c r="AB62" s="189">
        <v>2051</v>
      </c>
      <c r="AC62" s="189">
        <v>2052</v>
      </c>
      <c r="AD62" s="189">
        <v>2053</v>
      </c>
      <c r="AE62" s="189">
        <v>2054</v>
      </c>
      <c r="AF62" s="189">
        <v>2055</v>
      </c>
    </row>
    <row r="63" spans="1:39">
      <c r="A63" s="194" t="s">
        <v>43</v>
      </c>
      <c r="B63" s="201">
        <f>$D$6*$J2*'Applicationwise Stock'!B45/($M2*1000000000)</f>
        <v>0</v>
      </c>
      <c r="C63" s="201">
        <f>$D$6*$J2*'Applicationwise Stock'!C45/($M2*1000000000)</f>
        <v>0</v>
      </c>
      <c r="D63" s="201">
        <f>$D$6*$J2*'Applicationwise Stock'!D45/($M2*1000000000)</f>
        <v>0</v>
      </c>
      <c r="E63" s="201">
        <f>$D$6*$J2*'Applicationwise Stock'!E45/($M2*1000000000)</f>
        <v>1.5905572634501646E-5</v>
      </c>
      <c r="F63" s="201">
        <f>$D$6*$J2*'Applicationwise Stock'!F45/($M2*1000000000)</f>
        <v>4.6865455502977784E-5</v>
      </c>
      <c r="G63" s="201">
        <f>$D$6*$J2*'Applicationwise Stock'!G45/($M2*1000000000)</f>
        <v>9.8425310157949474E-5</v>
      </c>
      <c r="H63" s="201">
        <f>$D$6*$J2*'Applicationwise Stock'!H45/($M2*1000000000)</f>
        <v>1.8075257344656246E-4</v>
      </c>
      <c r="I63" s="201">
        <f>$D$6*$J2*'Applicationwise Stock'!I45/($M2*1000000000)</f>
        <v>3.233783164140603E-4</v>
      </c>
      <c r="J63" s="201">
        <f>$D$6*$J2*'Applicationwise Stock'!J45/($M2*1000000000)</f>
        <v>5.4797772396618014E-4</v>
      </c>
      <c r="K63" s="201">
        <f>$D$6*$J2*'Applicationwise Stock'!K45/($M2*1000000000)</f>
        <v>8.693944942578907E-4</v>
      </c>
      <c r="L63" s="201">
        <f>$D$6*$J2*'Applicationwise Stock'!L45/($M2*1000000000)</f>
        <v>1.3434518396234015E-3</v>
      </c>
      <c r="M63" s="201">
        <f>$D$6*$J2*'Applicationwise Stock'!M45/($M2*1000000000)</f>
        <v>2.0183384654847364E-3</v>
      </c>
      <c r="N63" s="201">
        <f>$D$6*$J2*'Applicationwise Stock'!N45/($M2*1000000000)</f>
        <v>3.0427135973007113E-3</v>
      </c>
      <c r="O63" s="201">
        <f>$D$6*$J2*'Applicationwise Stock'!O45/($M2*1000000000)</f>
        <v>4.3606598493294247E-3</v>
      </c>
      <c r="P63" s="201">
        <f>$D$6*$J2*'Applicationwise Stock'!P45/($M2*1000000000)</f>
        <v>6.1443974393136256E-3</v>
      </c>
      <c r="Q63" s="201">
        <f>$D$6*$J2*'Applicationwise Stock'!Q45/($M2*1000000000)</f>
        <v>8.3614124699546676E-3</v>
      </c>
      <c r="R63" s="201">
        <f>$D$6*$J2*'Applicationwise Stock'!R45/($M2*1000000000)</f>
        <v>1.1160528613014096E-2</v>
      </c>
      <c r="S63" s="201">
        <f>$D$6*$J2*'Applicationwise Stock'!S45/($M2*1000000000)</f>
        <v>1.4581395396942694E-2</v>
      </c>
      <c r="T63" s="201">
        <f>$D$6*$J2*'Applicationwise Stock'!T45/($M2*1000000000)</f>
        <v>1.8981759702486549E-2</v>
      </c>
      <c r="U63" s="201">
        <f>$D$6*$J2*'Applicationwise Stock'!U45/($M2*1000000000)</f>
        <v>2.4225049473458375E-2</v>
      </c>
      <c r="V63" s="201">
        <f>$D$6*$J2*'Applicationwise Stock'!V45/($M2*1000000000)</f>
        <v>3.0499828638135183E-2</v>
      </c>
      <c r="W63" s="201">
        <f>$D$6*$J2*'Applicationwise Stock'!W45/($M2*1000000000)</f>
        <v>3.7918721143036682E-2</v>
      </c>
      <c r="X63" s="201">
        <f>$D$6*$J2*'Applicationwise Stock'!X45/($M2*1000000000)</f>
        <v>4.6396404772742005E-2</v>
      </c>
      <c r="Y63" s="201">
        <f>$D$6*$J2*'Applicationwise Stock'!Y45/($M2*1000000000)</f>
        <v>5.5548612966192817E-2</v>
      </c>
      <c r="Z63" s="201">
        <f>$D$6*$J2*'Applicationwise Stock'!Z45/($M2*1000000000)</f>
        <v>6.5840212006501961E-2</v>
      </c>
      <c r="AA63" s="201">
        <f>$D$6*$J2*'Applicationwise Stock'!AA45/($M2*1000000000)</f>
        <v>7.8390470157313125E-2</v>
      </c>
      <c r="AB63" s="201">
        <f>$D$6*$J2*'Applicationwise Stock'!AB45/($M2*1000000000)</f>
        <v>9.183114064206023E-2</v>
      </c>
      <c r="AC63" s="201">
        <f>$D$6*$J2*'Applicationwise Stock'!AC45/($M2*1000000000)</f>
        <v>0.11295896544265176</v>
      </c>
      <c r="AD63" s="201">
        <f>$D$6*$J2*'Applicationwise Stock'!AD45/($M2*1000000000)</f>
        <v>0.13820212765629716</v>
      </c>
      <c r="AE63" s="201">
        <f>$D$6*$J2*'Applicationwise Stock'!AE45/($M2*1000000000)</f>
        <v>0.16786797815495796</v>
      </c>
      <c r="AF63" s="201">
        <f>$D$6*$J2*'Applicationwise Stock'!AF45/($M2*1000000000)</f>
        <v>0.20197148157419559</v>
      </c>
    </row>
    <row r="64" spans="1:39">
      <c r="A64" s="194" t="s">
        <v>51</v>
      </c>
      <c r="B64" s="201">
        <f>$D$6*$J3*'Applicationwise Stock'!B46/($M3*1000000000)</f>
        <v>0</v>
      </c>
      <c r="C64" s="201">
        <f>$D$6*$J3*'Applicationwise Stock'!C46/($M3*1000000000)</f>
        <v>0</v>
      </c>
      <c r="D64" s="201">
        <f>$D$6*$J3*'Applicationwise Stock'!D46/($M3*1000000000)</f>
        <v>0</v>
      </c>
      <c r="E64" s="201">
        <f>$D$6*$J3*'Applicationwise Stock'!E46/($M3*1000000000)</f>
        <v>1.9450098221641702E-5</v>
      </c>
      <c r="F64" s="201">
        <f>$D$6*$J3*'Applicationwise Stock'!F46/($M3*1000000000)</f>
        <v>5.7519286011361732E-5</v>
      </c>
      <c r="G64" s="201">
        <f>$D$6*$J3*'Applicationwise Stock'!G46/($M3*1000000000)</f>
        <v>1.2148174154914835E-4</v>
      </c>
      <c r="H64" s="201">
        <f>$D$6*$J3*'Applicationwise Stock'!H46/($M3*1000000000)</f>
        <v>2.2358942843790137E-4</v>
      </c>
      <c r="I64" s="201">
        <f>$D$6*$J3*'Applicationwise Stock'!I46/($M3*1000000000)</f>
        <v>4.0775245482494317E-4</v>
      </c>
      <c r="J64" s="201">
        <f>$D$6*$J3*'Applicationwise Stock'!J46/($M3*1000000000)</f>
        <v>6.8050346606204394E-4</v>
      </c>
      <c r="K64" s="201">
        <f>$D$6*$J3*'Applicationwise Stock'!K46/($M3*1000000000)</f>
        <v>1.0924214209749893E-3</v>
      </c>
      <c r="L64" s="201">
        <f>$D$6*$J3*'Applicationwise Stock'!L46/($M3*1000000000)</f>
        <v>1.730545246907514E-3</v>
      </c>
      <c r="M64" s="201">
        <f>$D$6*$J3*'Applicationwise Stock'!M46/($M3*1000000000)</f>
        <v>2.5996063365012665E-3</v>
      </c>
      <c r="N64" s="201">
        <f>$D$6*$J3*'Applicationwise Stock'!N46/($M3*1000000000)</f>
        <v>3.6909297733621707E-3</v>
      </c>
      <c r="O64" s="201">
        <f>$D$6*$J3*'Applicationwise Stock'!O46/($M3*1000000000)</f>
        <v>5.2444511866591376E-3</v>
      </c>
      <c r="P64" s="201">
        <f>$D$6*$J3*'Applicationwise Stock'!P46/($M3*1000000000)</f>
        <v>7.3112327457406073E-3</v>
      </c>
      <c r="Q64" s="201">
        <f>$D$6*$J3*'Applicationwise Stock'!Q46/($M3*1000000000)</f>
        <v>1.0014384214201769E-2</v>
      </c>
      <c r="R64" s="201">
        <f>$D$6*$J3*'Applicationwise Stock'!R46/($M3*1000000000)</f>
        <v>1.3399398286870687E-2</v>
      </c>
      <c r="S64" s="201">
        <f>$D$6*$J3*'Applicationwise Stock'!S46/($M3*1000000000)</f>
        <v>1.7599834486907381E-2</v>
      </c>
      <c r="T64" s="201">
        <f>$D$6*$J3*'Applicationwise Stock'!T46/($M3*1000000000)</f>
        <v>2.288529960478938E-2</v>
      </c>
      <c r="U64" s="201">
        <f>$D$6*$J3*'Applicationwise Stock'!U46/($M3*1000000000)</f>
        <v>2.9279429157271015E-2</v>
      </c>
      <c r="V64" s="201">
        <f>$D$6*$J3*'Applicationwise Stock'!V46/($M3*1000000000)</f>
        <v>3.6839796154937307E-2</v>
      </c>
      <c r="W64" s="201">
        <f>$D$6*$J3*'Applicationwise Stock'!W46/($M3*1000000000)</f>
        <v>4.5803961095593405E-2</v>
      </c>
      <c r="X64" s="201">
        <f>$D$6*$J3*'Applicationwise Stock'!X46/($M3*1000000000)</f>
        <v>5.607449678929427E-2</v>
      </c>
      <c r="Y64" s="201">
        <f>$D$6*$J3*'Applicationwise Stock'!Y46/($M3*1000000000)</f>
        <v>6.6982257773291309E-2</v>
      </c>
      <c r="Z64" s="201">
        <f>$D$6*$J3*'Applicationwise Stock'!Z46/($M3*1000000000)</f>
        <v>7.9290258173008304E-2</v>
      </c>
      <c r="AA64" s="201">
        <f>$D$6*$J3*'Applicationwise Stock'!AA46/($M3*1000000000)</f>
        <v>9.4327970576060835E-2</v>
      </c>
      <c r="AB64" s="201">
        <f>$D$6*$J3*'Applicationwise Stock'!AB46/($M3*1000000000)</f>
        <v>0.11060249679782705</v>
      </c>
      <c r="AC64" s="201">
        <f>$D$6*$J3*'Applicationwise Stock'!AC46/($M3*1000000000)</f>
        <v>0.13610920397329032</v>
      </c>
      <c r="AD64" s="201">
        <f>$D$6*$J3*'Applicationwise Stock'!AD46/($M3*1000000000)</f>
        <v>0.16657754144300288</v>
      </c>
      <c r="AE64" s="201">
        <f>$D$6*$J3*'Applicationwise Stock'!AE46/($M3*1000000000)</f>
        <v>0.2023117785348415</v>
      </c>
      <c r="AF64" s="201">
        <f>$D$6*$J3*'Applicationwise Stock'!AF46/($M3*1000000000)</f>
        <v>0.24340578157288736</v>
      </c>
    </row>
    <row r="65" spans="1:32">
      <c r="A65" s="194" t="s">
        <v>58</v>
      </c>
      <c r="B65" s="201">
        <f>$D$6*$J4*'Applicationwise Stock'!B47/($M4*1000000000)</f>
        <v>0</v>
      </c>
      <c r="C65" s="201">
        <f>$D$6*$J4*'Applicationwise Stock'!C47/($M4*1000000000)</f>
        <v>0</v>
      </c>
      <c r="D65" s="201">
        <f>$D$6*$J4*'Applicationwise Stock'!D47/($M4*1000000000)</f>
        <v>0</v>
      </c>
      <c r="E65" s="201">
        <f>$D$6*$J4*'Applicationwise Stock'!E47/($M4*1000000000)</f>
        <v>6.897163123542157E-6</v>
      </c>
      <c r="F65" s="201">
        <f>$D$6*$J4*'Applicationwise Stock'!F47/($M4*1000000000)</f>
        <v>1.9820213731040702E-5</v>
      </c>
      <c r="G65" s="201">
        <f>$D$6*$J4*'Applicationwise Stock'!G47/($M4*1000000000)</f>
        <v>4.1303211246212845E-5</v>
      </c>
      <c r="H65" s="201">
        <f>$D$6*$J4*'Applicationwise Stock'!H47/($M4*1000000000)</f>
        <v>7.649529341347626E-5</v>
      </c>
      <c r="I65" s="201">
        <f>$D$6*$J4*'Applicationwise Stock'!I47/($M4*1000000000)</f>
        <v>1.2903114555047691E-4</v>
      </c>
      <c r="J65" s="201">
        <f>$D$6*$J4*'Applicationwise Stock'!J47/($M4*1000000000)</f>
        <v>2.1494754406458004E-4</v>
      </c>
      <c r="K65" s="201">
        <f>$D$6*$J4*'Applicationwise Stock'!K47/($M4*1000000000)</f>
        <v>3.5038117669466897E-4</v>
      </c>
      <c r="L65" s="201">
        <f>$D$6*$J4*'Applicationwise Stock'!L47/($M4*1000000000)</f>
        <v>5.1879154790181203E-4</v>
      </c>
      <c r="M65" s="201">
        <f>$D$6*$J4*'Applicationwise Stock'!M47/($M4*1000000000)</f>
        <v>7.8790220421100969E-4</v>
      </c>
      <c r="N65" s="201">
        <f>$D$6*$J4*'Applicationwise Stock'!N47/($M4*1000000000)</f>
        <v>1.1363823957982586E-3</v>
      </c>
      <c r="O65" s="201">
        <f>$D$6*$J4*'Applicationwise Stock'!O47/($M4*1000000000)</f>
        <v>1.6033544613379873E-3</v>
      </c>
      <c r="P65" s="201">
        <f>$D$6*$J4*'Applicationwise Stock'!P47/($M4*1000000000)</f>
        <v>2.2321435665626304E-3</v>
      </c>
      <c r="Q65" s="201">
        <f>$D$6*$J4*'Applicationwise Stock'!Q47/($M4*1000000000)</f>
        <v>3.0652376326699995E-3</v>
      </c>
      <c r="R65" s="201">
        <f>$D$6*$J4*'Applicationwise Stock'!R47/($M4*1000000000)</f>
        <v>4.0423100539250193E-3</v>
      </c>
      <c r="S65" s="201">
        <f>$D$6*$J4*'Applicationwise Stock'!S47/($M4*1000000000)</f>
        <v>5.9362260592291122E-3</v>
      </c>
      <c r="T65" s="201">
        <f>$D$6*$J4*'Applicationwise Stock'!T47/($M4*1000000000)</f>
        <v>7.66143793177317E-3</v>
      </c>
      <c r="U65" s="201">
        <f>$D$6*$J4*'Applicationwise Stock'!U47/($M4*1000000000)</f>
        <v>9.7308099690746747E-3</v>
      </c>
      <c r="V65" s="201">
        <f>$D$6*$J4*'Applicationwise Stock'!V47/($M4*1000000000)</f>
        <v>1.2175388912930797E-2</v>
      </c>
      <c r="W65" s="201">
        <f>$D$6*$J4*'Applicationwise Stock'!W47/($M4*1000000000)</f>
        <v>1.5046833406253771E-2</v>
      </c>
      <c r="X65" s="201">
        <f>$D$6*$J4*'Applicationwise Stock'!X47/($M4*1000000000)</f>
        <v>1.83497095568682E-2</v>
      </c>
      <c r="Y65" s="201">
        <f>$D$6*$J4*'Applicationwise Stock'!Y47/($M4*1000000000)</f>
        <v>2.2050306433024379E-2</v>
      </c>
      <c r="Z65" s="201">
        <f>$D$6*$J4*'Applicationwise Stock'!Z47/($M4*1000000000)</f>
        <v>2.6196159904321455E-2</v>
      </c>
      <c r="AA65" s="201">
        <f>$D$6*$J4*'Applicationwise Stock'!AA47/($M4*1000000000)</f>
        <v>3.095738374993761E-2</v>
      </c>
      <c r="AB65" s="201">
        <f>$D$6*$J4*'Applicationwise Stock'!AB47/($M4*1000000000)</f>
        <v>3.6581363864065089E-2</v>
      </c>
      <c r="AC65" s="201">
        <f>$D$6*$J4*'Applicationwise Stock'!AC47/($M4*1000000000)</f>
        <v>4.5403241320772718E-2</v>
      </c>
      <c r="AD65" s="201">
        <f>$D$6*$J4*'Applicationwise Stock'!AD47/($M4*1000000000)</f>
        <v>5.6164473646289986E-2</v>
      </c>
      <c r="AE65" s="201">
        <f>$D$6*$J4*'Applicationwise Stock'!AE47/($M4*1000000000)</f>
        <v>6.8219438084012513E-2</v>
      </c>
      <c r="AF65" s="201">
        <f>$D$6*$J4*'Applicationwise Stock'!AF47/($M4*1000000000)</f>
        <v>8.2138425916943716E-2</v>
      </c>
    </row>
    <row r="66" spans="1:32">
      <c r="A66" s="194" t="s">
        <v>54</v>
      </c>
      <c r="B66" s="201">
        <f>$D$6*$J5*'Applicationwise Stock'!B48/($M5*1000000000)</f>
        <v>0</v>
      </c>
      <c r="C66" s="201">
        <f>$D$6*$J5*'Applicationwise Stock'!C48/($M5*1000000000)</f>
        <v>0</v>
      </c>
      <c r="D66" s="201">
        <f>$D$6*$J5*'Applicationwise Stock'!D48/($M5*1000000000)</f>
        <v>0</v>
      </c>
      <c r="E66" s="201">
        <f>$D$6*$J5*'Applicationwise Stock'!E48/($M5*1000000000)</f>
        <v>7.0452650264729486E-6</v>
      </c>
      <c r="F66" s="201">
        <f>$D$6*$J5*'Applicationwise Stock'!F48/($M5*1000000000)</f>
        <v>2.0311530900699663E-5</v>
      </c>
      <c r="G66" s="201">
        <f>$D$6*$J5*'Applicationwise Stock'!G48/($M5*1000000000)</f>
        <v>4.4883837225846644E-5</v>
      </c>
      <c r="H66" s="201">
        <f>$D$6*$J5*'Applicationwise Stock'!H48/($M5*1000000000)</f>
        <v>8.7729122571243316E-5</v>
      </c>
      <c r="I66" s="201">
        <f>$D$6*$J5*'Applicationwise Stock'!I48/($M5*1000000000)</f>
        <v>1.5630158378700617E-4</v>
      </c>
      <c r="J66" s="201">
        <f>$D$6*$J5*'Applicationwise Stock'!J48/($M5*1000000000)</f>
        <v>2.6879691673377615E-4</v>
      </c>
      <c r="K66" s="201">
        <f>$D$6*$J5*'Applicationwise Stock'!K48/($M5*1000000000)</f>
        <v>4.3643016418081903E-4</v>
      </c>
      <c r="L66" s="201">
        <f>$D$6*$J5*'Applicationwise Stock'!L48/($M5*1000000000)</f>
        <v>6.8877931584761373E-4</v>
      </c>
      <c r="M66" s="201">
        <f>$D$6*$J5*'Applicationwise Stock'!M48/($M5*1000000000)</f>
        <v>1.027917320807231E-3</v>
      </c>
      <c r="N66" s="201">
        <f>$D$6*$J5*'Applicationwise Stock'!N48/($M5*1000000000)</f>
        <v>1.5208757183000116E-3</v>
      </c>
      <c r="O66" s="201">
        <f>$D$6*$J5*'Applicationwise Stock'!O48/($M5*1000000000)</f>
        <v>2.105789370733658E-3</v>
      </c>
      <c r="P66" s="201">
        <f>$D$6*$J5*'Applicationwise Stock'!P48/($M5*1000000000)</f>
        <v>2.8677264669970557E-3</v>
      </c>
      <c r="Q66" s="201">
        <f>$D$6*$J5*'Applicationwise Stock'!Q48/($M5*1000000000)</f>
        <v>3.8726942621031234E-3</v>
      </c>
      <c r="R66" s="201">
        <f>$D$6*$J5*'Applicationwise Stock'!R48/($M5*1000000000)</f>
        <v>5.1788412085775892E-3</v>
      </c>
      <c r="S66" s="201">
        <f>$D$6*$J5*'Applicationwise Stock'!S48/($M5*1000000000)</f>
        <v>6.6463590612950109E-3</v>
      </c>
      <c r="T66" s="201">
        <f>$D$6*$J5*'Applicationwise Stock'!T48/($M5*1000000000)</f>
        <v>8.4569588779912323E-3</v>
      </c>
      <c r="U66" s="201">
        <f>$D$6*$J5*'Applicationwise Stock'!U48/($M5*1000000000)</f>
        <v>1.0610337403645503E-2</v>
      </c>
      <c r="V66" s="201">
        <f>$D$6*$J5*'Applicationwise Stock'!V48/($M5*1000000000)</f>
        <v>1.312189238123267E-2</v>
      </c>
      <c r="W66" s="201">
        <f>$D$6*$J5*'Applicationwise Stock'!W48/($M5*1000000000)</f>
        <v>1.5836448197918299E-2</v>
      </c>
      <c r="X66" s="201">
        <f>$D$6*$J5*'Applicationwise Stock'!X48/($M5*1000000000)</f>
        <v>1.9081994020267983E-2</v>
      </c>
      <c r="Y66" s="201">
        <f>$D$6*$J5*'Applicationwise Stock'!Y48/($M5*1000000000)</f>
        <v>2.3345827474548383E-2</v>
      </c>
      <c r="Z66" s="201">
        <f>$D$6*$J5*'Applicationwise Stock'!Z48/($M5*1000000000)</f>
        <v>2.7845690409477129E-2</v>
      </c>
      <c r="AA66" s="201">
        <f>$D$6*$J5*'Applicationwise Stock'!AA48/($M5*1000000000)</f>
        <v>3.1664280460784726E-2</v>
      </c>
      <c r="AB66" s="201">
        <f>$D$6*$J5*'Applicationwise Stock'!AB48/($M5*1000000000)</f>
        <v>3.6848338219129716E-2</v>
      </c>
      <c r="AC66" s="201">
        <f>$D$6*$J5*'Applicationwise Stock'!AC48/($M5*1000000000)</f>
        <v>4.495763212221137E-2</v>
      </c>
      <c r="AD66" s="201">
        <f>$D$6*$J5*'Applicationwise Stock'!AD48/($M5*1000000000)</f>
        <v>5.4438069259295577E-2</v>
      </c>
      <c r="AE66" s="201">
        <f>$D$6*$J5*'Applicationwise Stock'!AE48/($M5*1000000000)</f>
        <v>6.5508423886052353E-2</v>
      </c>
      <c r="AF66" s="201">
        <f>$D$6*$J5*'Applicationwise Stock'!AF48/($M5*1000000000)</f>
        <v>7.8180727943595998E-2</v>
      </c>
    </row>
    <row r="67" spans="1:32">
      <c r="A67" s="194" t="s">
        <v>55</v>
      </c>
      <c r="B67" s="201">
        <f>$D$6*$J6*'Applicationwise Stock'!B49/($M6*1000000000)</f>
        <v>0</v>
      </c>
      <c r="C67" s="201">
        <f>$D$6*$J6*'Applicationwise Stock'!C49/($M6*1000000000)</f>
        <v>0</v>
      </c>
      <c r="D67" s="201">
        <f>$D$6*$J6*'Applicationwise Stock'!D49/($M6*1000000000)</f>
        <v>0</v>
      </c>
      <c r="E67" s="201">
        <f>$D$6*$J6*'Applicationwise Stock'!E49/($M6*1000000000)</f>
        <v>1.4470114426374358E-6</v>
      </c>
      <c r="F67" s="201">
        <f>$D$6*$J6*'Applicationwise Stock'!F49/($M6*1000000000)</f>
        <v>4.1668909925598077E-6</v>
      </c>
      <c r="G67" s="201">
        <f>$D$6*$J6*'Applicationwise Stock'!G49/($M6*1000000000)</f>
        <v>9.8142490866325756E-6</v>
      </c>
      <c r="H67" s="201">
        <f>$D$6*$J6*'Applicationwise Stock'!H49/($M6*1000000000)</f>
        <v>2.035278346445388E-5</v>
      </c>
      <c r="I67" s="201">
        <f>$D$6*$J6*'Applicationwise Stock'!I49/($M6*1000000000)</f>
        <v>3.5602499538633429E-5</v>
      </c>
      <c r="J67" s="201">
        <f>$D$6*$J6*'Applicationwise Stock'!J49/($M6*1000000000)</f>
        <v>6.1986949984586695E-5</v>
      </c>
      <c r="K67" s="201">
        <f>$D$6*$J6*'Applicationwise Stock'!K49/($M6*1000000000)</f>
        <v>9.6128425639509382E-5</v>
      </c>
      <c r="L67" s="201">
        <f>$D$6*$J6*'Applicationwise Stock'!L49/($M6*1000000000)</f>
        <v>1.4007014825172611E-4</v>
      </c>
      <c r="M67" s="201">
        <f>$D$6*$J6*'Applicationwise Stock'!M49/($M6*1000000000)</f>
        <v>1.9361454383602883E-4</v>
      </c>
      <c r="N67" s="201">
        <f>$D$6*$J6*'Applicationwise Stock'!N49/($M6*1000000000)</f>
        <v>2.6365442016367213E-4</v>
      </c>
      <c r="O67" s="201">
        <f>$D$6*$J6*'Applicationwise Stock'!O49/($M6*1000000000)</f>
        <v>3.449321377370847E-4</v>
      </c>
      <c r="P67" s="201">
        <f>$D$6*$J6*'Applicationwise Stock'!P49/($M6*1000000000)</f>
        <v>4.3393544792055073E-4</v>
      </c>
      <c r="Q67" s="201">
        <f>$D$6*$J6*'Applicationwise Stock'!Q49/($M6*1000000000)</f>
        <v>5.4800893902711117E-4</v>
      </c>
      <c r="R67" s="201">
        <f>$D$6*$J6*'Applicationwise Stock'!R49/($M6*1000000000)</f>
        <v>7.6602136469371325E-4</v>
      </c>
      <c r="S67" s="201">
        <f>$D$6*$J6*'Applicationwise Stock'!S49/($M6*1000000000)</f>
        <v>9.036100920546843E-4</v>
      </c>
      <c r="T67" s="201">
        <f>$D$6*$J6*'Applicationwise Stock'!T49/($M6*1000000000)</f>
        <v>1.0518139233862914E-3</v>
      </c>
      <c r="U67" s="201">
        <f>$D$6*$J6*'Applicationwise Stock'!U49/($M6*1000000000)</f>
        <v>1.1948037978707429E-3</v>
      </c>
      <c r="V67" s="201">
        <f>$D$6*$J6*'Applicationwise Stock'!V49/($M6*1000000000)</f>
        <v>1.3267102389776318E-3</v>
      </c>
      <c r="W67" s="201">
        <f>$D$6*$J6*'Applicationwise Stock'!W49/($M6*1000000000)</f>
        <v>1.4375270042765401E-3</v>
      </c>
      <c r="X67" s="201">
        <f>$D$6*$J6*'Applicationwise Stock'!X49/($M6*1000000000)</f>
        <v>1.5716329331073595E-3</v>
      </c>
      <c r="Y67" s="201">
        <f>$D$6*$J6*'Applicationwise Stock'!Y49/($M6*1000000000)</f>
        <v>1.7029614974176438E-3</v>
      </c>
      <c r="Z67" s="201">
        <f>$D$6*$J6*'Applicationwise Stock'!Z49/($M6*1000000000)</f>
        <v>1.8280277381175682E-3</v>
      </c>
      <c r="AA67" s="201">
        <f>$D$6*$J6*'Applicationwise Stock'!AA49/($M6*1000000000)</f>
        <v>1.8952173046216994E-3</v>
      </c>
      <c r="AB67" s="201">
        <f>$D$6*$J6*'Applicationwise Stock'!AB49/($M6*1000000000)</f>
        <v>2.104938117376165E-3</v>
      </c>
      <c r="AC67" s="201">
        <f>$D$6*$J6*'Applicationwise Stock'!AC49/($M6*1000000000)</f>
        <v>2.4691768919837789E-3</v>
      </c>
      <c r="AD67" s="201">
        <f>$D$6*$J6*'Applicationwise Stock'!AD49/($M6*1000000000)</f>
        <v>2.7624230038056181E-3</v>
      </c>
      <c r="AE67" s="201">
        <f>$D$6*$J6*'Applicationwise Stock'!AE49/($M6*1000000000)</f>
        <v>3.0726653343203661E-3</v>
      </c>
      <c r="AF67" s="201">
        <f>$D$6*$J6*'Applicationwise Stock'!AF49/($M6*1000000000)</f>
        <v>3.3936388328220843E-3</v>
      </c>
    </row>
    <row r="68" spans="1:32">
      <c r="A68" s="194" t="s">
        <v>56</v>
      </c>
      <c r="B68" s="201">
        <f>$D$6*$J7*'Applicationwise Stock'!B50/($M7*1000000000)</f>
        <v>0</v>
      </c>
      <c r="C68" s="201">
        <f>$D$6*$J7*'Applicationwise Stock'!C50/($M7*1000000000)</f>
        <v>0</v>
      </c>
      <c r="D68" s="201">
        <f>$D$6*$J7*'Applicationwise Stock'!D50/($M7*1000000000)</f>
        <v>0</v>
      </c>
      <c r="E68" s="201">
        <f>$D$6*$J7*'Applicationwise Stock'!E50/($M7*1000000000)</f>
        <v>6.8701286592930348E-7</v>
      </c>
      <c r="F68" s="201">
        <f>$D$6*$J7*'Applicationwise Stock'!F50/($M7*1000000000)</f>
        <v>2.012748325442881E-6</v>
      </c>
      <c r="G68" s="201">
        <f>$D$6*$J7*'Applicationwise Stock'!G50/($M7*1000000000)</f>
        <v>4.7942820274041043E-6</v>
      </c>
      <c r="H68" s="201">
        <f>$D$6*$J7*'Applicationwise Stock'!H50/($M7*1000000000)</f>
        <v>1.0711019851674684E-5</v>
      </c>
      <c r="I68" s="201">
        <f>$D$6*$J7*'Applicationwise Stock'!I50/($M7*1000000000)</f>
        <v>1.8679897955920715E-5</v>
      </c>
      <c r="J68" s="201">
        <f>$D$6*$J7*'Applicationwise Stock'!J50/($M7*1000000000)</f>
        <v>3.4540839760598141E-5</v>
      </c>
      <c r="K68" s="201">
        <f>$D$6*$J7*'Applicationwise Stock'!K50/($M7*1000000000)</f>
        <v>5.9344648623711896E-5</v>
      </c>
      <c r="L68" s="201">
        <f>$D$6*$J7*'Applicationwise Stock'!L50/($M7*1000000000)</f>
        <v>8.9224928049652777E-5</v>
      </c>
      <c r="M68" s="201">
        <f>$D$6*$J7*'Applicationwise Stock'!M50/($M7*1000000000)</f>
        <v>1.3964499968963253E-4</v>
      </c>
      <c r="N68" s="201">
        <f>$D$6*$J7*'Applicationwise Stock'!N50/($M7*1000000000)</f>
        <v>2.1723167153181802E-4</v>
      </c>
      <c r="O68" s="201">
        <f>$D$6*$J7*'Applicationwise Stock'!O50/($M7*1000000000)</f>
        <v>3.4906054682384992E-4</v>
      </c>
      <c r="P68" s="201">
        <f>$D$6*$J7*'Applicationwise Stock'!P50/($M7*1000000000)</f>
        <v>4.8763428828439188E-4</v>
      </c>
      <c r="Q68" s="201">
        <f>$D$6*$J7*'Applicationwise Stock'!Q50/($M7*1000000000)</f>
        <v>6.5053195673191459E-4</v>
      </c>
      <c r="R68" s="201">
        <f>$D$6*$J7*'Applicationwise Stock'!R50/($M7*1000000000)</f>
        <v>8.6707724284872741E-4</v>
      </c>
      <c r="S68" s="201">
        <f>$D$6*$J7*'Applicationwise Stock'!S50/($M7*1000000000)</f>
        <v>1.0973158873993547E-3</v>
      </c>
      <c r="T68" s="201">
        <f>$D$6*$J7*'Applicationwise Stock'!T50/($M7*1000000000)</f>
        <v>1.3801569688371932E-3</v>
      </c>
      <c r="U68" s="201">
        <f>$D$6*$J7*'Applicationwise Stock'!U50/($M7*1000000000)</f>
        <v>1.6812255467156026E-3</v>
      </c>
      <c r="V68" s="201">
        <f>$D$6*$J7*'Applicationwise Stock'!V50/($M7*1000000000)</f>
        <v>2.0588225993273617E-3</v>
      </c>
      <c r="W68" s="201">
        <f>$D$6*$J7*'Applicationwise Stock'!W50/($M7*1000000000)</f>
        <v>2.4760330592092433E-3</v>
      </c>
      <c r="X68" s="201">
        <f>$D$6*$J7*'Applicationwise Stock'!X50/($M7*1000000000)</f>
        <v>2.9986944085099222E-3</v>
      </c>
      <c r="Y68" s="201">
        <f>$D$6*$J7*'Applicationwise Stock'!Y50/($M7*1000000000)</f>
        <v>3.6328865554875549E-3</v>
      </c>
      <c r="Z68" s="201">
        <f>$D$6*$J7*'Applicationwise Stock'!Z50/($M7*1000000000)</f>
        <v>4.3969632244298014E-3</v>
      </c>
      <c r="AA68" s="201">
        <f>$D$6*$J7*'Applicationwise Stock'!AA50/($M7*1000000000)</f>
        <v>5.1961233390769457E-3</v>
      </c>
      <c r="AB68" s="201">
        <f>$D$6*$J7*'Applicationwise Stock'!AB50/($M7*1000000000)</f>
        <v>6.0116596697375041E-3</v>
      </c>
      <c r="AC68" s="201">
        <f>$D$6*$J7*'Applicationwise Stock'!AC50/($M7*1000000000)</f>
        <v>7.2970760194698454E-3</v>
      </c>
      <c r="AD68" s="201">
        <f>$D$6*$J7*'Applicationwise Stock'!AD50/($M7*1000000000)</f>
        <v>8.8003771211984938E-3</v>
      </c>
      <c r="AE68" s="201">
        <f>$D$6*$J7*'Applicationwise Stock'!AE50/($M7*1000000000)</f>
        <v>1.055370749006551E-2</v>
      </c>
      <c r="AF68" s="201">
        <f>$D$6*$J7*'Applicationwise Stock'!AF50/($M7*1000000000)</f>
        <v>1.255988037353313E-2</v>
      </c>
    </row>
    <row r="69" spans="1:32">
      <c r="A69" s="194" t="s">
        <v>549</v>
      </c>
      <c r="B69" s="201">
        <f>$D$6*$J8*'Applicationwise Stock'!B51/($M8*1000000000)</f>
        <v>0</v>
      </c>
      <c r="C69" s="201">
        <f>$D$6*$J8*'Applicationwise Stock'!C51/($M8*1000000000)</f>
        <v>0</v>
      </c>
      <c r="D69" s="201">
        <f>$D$6*$J8*'Applicationwise Stock'!D51/($M8*1000000000)</f>
        <v>0</v>
      </c>
      <c r="E69" s="201">
        <f>$D$6*$J8*'Applicationwise Stock'!E51/($M8*1000000000)</f>
        <v>1.0793877745803975E-6</v>
      </c>
      <c r="F69" s="201">
        <f>$D$6*$J8*'Applicationwise Stock'!F51/($M8*1000000000)</f>
        <v>3.1571341662113553E-6</v>
      </c>
      <c r="G69" s="201">
        <f>$D$6*$J8*'Applicationwise Stock'!G51/($M8*1000000000)</f>
        <v>7.1171549695280554E-6</v>
      </c>
      <c r="H69" s="201">
        <f>$D$6*$J8*'Applicationwise Stock'!H51/($M8*1000000000)</f>
        <v>1.3540976952883869E-5</v>
      </c>
      <c r="I69" s="201">
        <f>$D$6*$J8*'Applicationwise Stock'!I51/($M8*1000000000)</f>
        <v>2.4630914413660822E-5</v>
      </c>
      <c r="J69" s="201">
        <f>$D$6*$J8*'Applicationwise Stock'!J51/($M8*1000000000)</f>
        <v>4.3261677103711307E-5</v>
      </c>
      <c r="K69" s="201">
        <f>$D$6*$J8*'Applicationwise Stock'!K51/($M8*1000000000)</f>
        <v>7.3621992462400936E-5</v>
      </c>
      <c r="L69" s="201">
        <f>$D$6*$J8*'Applicationwise Stock'!L51/($M8*1000000000)</f>
        <v>1.1566698989126345E-4</v>
      </c>
      <c r="M69" s="201">
        <f>$D$6*$J8*'Applicationwise Stock'!M51/($M8*1000000000)</f>
        <v>1.7320619693199685E-4</v>
      </c>
      <c r="N69" s="201">
        <f>$D$6*$J8*'Applicationwise Stock'!N51/($M8*1000000000)</f>
        <v>2.579413148221604E-4</v>
      </c>
      <c r="O69" s="201">
        <f>$D$6*$J8*'Applicationwise Stock'!O51/($M8*1000000000)</f>
        <v>3.7313501710717833E-4</v>
      </c>
      <c r="P69" s="201">
        <f>$D$6*$J8*'Applicationwise Stock'!P51/($M8*1000000000)</f>
        <v>5.2495450435481302E-4</v>
      </c>
      <c r="Q69" s="201">
        <f>$D$6*$J8*'Applicationwise Stock'!Q51/($M8*1000000000)</f>
        <v>7.2561356919707213E-4</v>
      </c>
      <c r="R69" s="201">
        <f>$D$6*$J8*'Applicationwise Stock'!R51/($M8*1000000000)</f>
        <v>9.868361794662633E-4</v>
      </c>
      <c r="S69" s="201">
        <f>$D$6*$J8*'Applicationwise Stock'!S51/($M8*1000000000)</f>
        <v>1.3015417546988351E-3</v>
      </c>
      <c r="T69" s="201">
        <f>$D$6*$J8*'Applicationwise Stock'!T51/($M8*1000000000)</f>
        <v>1.6809085308534778E-3</v>
      </c>
      <c r="U69" s="201">
        <f>$D$6*$J8*'Applicationwise Stock'!U51/($M8*1000000000)</f>
        <v>2.1368846605209994E-3</v>
      </c>
      <c r="V69" s="201">
        <f>$D$6*$J8*'Applicationwise Stock'!V51/($M8*1000000000)</f>
        <v>2.6756378088582003E-3</v>
      </c>
      <c r="W69" s="201">
        <f>$D$6*$J8*'Applicationwise Stock'!W51/($M8*1000000000)</f>
        <v>3.3221191095865422E-3</v>
      </c>
      <c r="X69" s="201">
        <f>$D$6*$J8*'Applicationwise Stock'!X51/($M8*1000000000)</f>
        <v>4.0686437611958627E-3</v>
      </c>
      <c r="Y69" s="201">
        <f>$D$6*$J8*'Applicationwise Stock'!Y51/($M8*1000000000)</f>
        <v>4.9014165240552528E-3</v>
      </c>
      <c r="Z69" s="201">
        <f>$D$6*$J8*'Applicationwise Stock'!Z51/($M8*1000000000)</f>
        <v>6.2182416574145232E-3</v>
      </c>
      <c r="AA69" s="201">
        <f>$D$6*$J8*'Applicationwise Stock'!AA51/($M8*1000000000)</f>
        <v>7.3460053139938128E-3</v>
      </c>
      <c r="AB69" s="201">
        <f>$D$6*$J8*'Applicationwise Stock'!AB51/($M8*1000000000)</f>
        <v>8.6765411027652888E-3</v>
      </c>
      <c r="AC69" s="201">
        <f>$D$6*$J8*'Applicationwise Stock'!AC51/($M8*1000000000)</f>
        <v>1.0752158444434211E-2</v>
      </c>
      <c r="AD69" s="201">
        <f>$D$6*$J8*'Applicationwise Stock'!AD51/($M8*1000000000)</f>
        <v>1.3240850450845314E-2</v>
      </c>
      <c r="AE69" s="201">
        <f>$D$6*$J8*'Applicationwise Stock'!AE51/($M8*1000000000)</f>
        <v>1.6184033635408178E-2</v>
      </c>
      <c r="AF69" s="201">
        <f>$D$6*$J8*'Applicationwise Stock'!AF51/($M8*1000000000)</f>
        <v>1.9618179854910447E-2</v>
      </c>
    </row>
    <row r="70" spans="1:32">
      <c r="A70" s="194" t="s">
        <v>52</v>
      </c>
      <c r="B70" s="201">
        <f>$D$6*$J9*'Applicationwise Stock'!B52/($M9*1000000000)</f>
        <v>0</v>
      </c>
      <c r="C70" s="201">
        <f>$D$6*$J9*'Applicationwise Stock'!C52/($M9*1000000000)</f>
        <v>0</v>
      </c>
      <c r="D70" s="201">
        <f>$D$6*$J9*'Applicationwise Stock'!D52/($M9*1000000000)</f>
        <v>0</v>
      </c>
      <c r="E70" s="201">
        <f>$D$6*$J9*'Applicationwise Stock'!E52/($M9*1000000000)</f>
        <v>1.3246050997556264E-6</v>
      </c>
      <c r="F70" s="201">
        <f>$D$6*$J9*'Applicationwise Stock'!F52/($M9*1000000000)</f>
        <v>3.7087951012102623E-6</v>
      </c>
      <c r="G70" s="201">
        <f>$D$6*$J9*'Applicationwise Stock'!G52/($M9*1000000000)</f>
        <v>7.9380424244769268E-6</v>
      </c>
      <c r="H70" s="201">
        <f>$D$6*$J9*'Applicationwise Stock'!H52/($M9*1000000000)</f>
        <v>1.4694555005718809E-5</v>
      </c>
      <c r="I70" s="201">
        <f>$D$6*$J9*'Applicationwise Stock'!I52/($M9*1000000000)</f>
        <v>2.6514766621404007E-5</v>
      </c>
      <c r="J70" s="201">
        <f>$D$6*$J9*'Applicationwise Stock'!J52/($M9*1000000000)</f>
        <v>4.8279430296917831E-5</v>
      </c>
      <c r="K70" s="201">
        <f>$D$6*$J9*'Applicationwise Stock'!K52/($M9*1000000000)</f>
        <v>8.007693589643069E-5</v>
      </c>
      <c r="L70" s="201">
        <f>$D$6*$J9*'Applicationwise Stock'!L52/($M9*1000000000)</f>
        <v>1.2692491742675676E-4</v>
      </c>
      <c r="M70" s="201">
        <f>$D$6*$J9*'Applicationwise Stock'!M52/($M9*1000000000)</f>
        <v>1.9392853807114239E-4</v>
      </c>
      <c r="N70" s="201">
        <f>$D$6*$J9*'Applicationwise Stock'!N52/($M9*1000000000)</f>
        <v>2.964468490267086E-4</v>
      </c>
      <c r="O70" s="201">
        <f>$D$6*$J9*'Applicationwise Stock'!O52/($M9*1000000000)</f>
        <v>4.2113923524389756E-4</v>
      </c>
      <c r="P70" s="201">
        <f>$D$6*$J9*'Applicationwise Stock'!P52/($M9*1000000000)</f>
        <v>5.7640825791373989E-4</v>
      </c>
      <c r="Q70" s="201">
        <f>$D$6*$J9*'Applicationwise Stock'!Q52/($M9*1000000000)</f>
        <v>7.7786312289861734E-4</v>
      </c>
      <c r="R70" s="201">
        <f>$D$6*$J9*'Applicationwise Stock'!R52/($M9*1000000000)</f>
        <v>1.0291158042405404E-3</v>
      </c>
      <c r="S70" s="201">
        <f>$D$6*$J9*'Applicationwise Stock'!S52/($M9*1000000000)</f>
        <v>1.3434966288953997E-3</v>
      </c>
      <c r="T70" s="201">
        <f>$D$6*$J9*'Applicationwise Stock'!T52/($M9*1000000000)</f>
        <v>1.7309799489532032E-3</v>
      </c>
      <c r="U70" s="201">
        <f>$D$6*$J9*'Applicationwise Stock'!U52/($M9*1000000000)</f>
        <v>2.2164938211065464E-3</v>
      </c>
      <c r="V70" s="201">
        <f>$D$6*$J9*'Applicationwise Stock'!V52/($M9*1000000000)</f>
        <v>2.7838811614695805E-3</v>
      </c>
      <c r="W70" s="201">
        <f>$D$6*$J9*'Applicationwise Stock'!W52/($M9*1000000000)</f>
        <v>3.4148878820682068E-3</v>
      </c>
      <c r="X70" s="201">
        <f>$D$6*$J9*'Applicationwise Stock'!X52/($M9*1000000000)</f>
        <v>4.1758650361368036E-3</v>
      </c>
      <c r="Y70" s="201">
        <f>$D$6*$J9*'Applicationwise Stock'!Y52/($M9*1000000000)</f>
        <v>5.3695682946183288E-3</v>
      </c>
      <c r="Z70" s="201">
        <f>$D$6*$J9*'Applicationwise Stock'!Z52/($M9*1000000000)</f>
        <v>6.4169344562921135E-3</v>
      </c>
      <c r="AA70" s="201">
        <f>$D$6*$J9*'Applicationwise Stock'!AA52/($M9*1000000000)</f>
        <v>7.6173581150218517E-3</v>
      </c>
      <c r="AB70" s="201">
        <f>$D$6*$J9*'Applicationwise Stock'!AB52/($M9*1000000000)</f>
        <v>8.9494268819512168E-3</v>
      </c>
      <c r="AC70" s="201">
        <f>$D$6*$J9*'Applicationwise Stock'!AC52/($M9*1000000000)</f>
        <v>1.1051146412527113E-2</v>
      </c>
      <c r="AD70" s="201">
        <f>$D$6*$J9*'Applicationwise Stock'!AD52/($M9*1000000000)</f>
        <v>1.3588240621208987E-2</v>
      </c>
      <c r="AE70" s="201">
        <f>$D$6*$J9*'Applicationwise Stock'!AE52/($M9*1000000000)</f>
        <v>1.6595204967532622E-2</v>
      </c>
      <c r="AF70" s="201">
        <f>$D$6*$J9*'Applicationwise Stock'!AF52/($M9*1000000000)</f>
        <v>2.0101901046190113E-2</v>
      </c>
    </row>
    <row r="71" spans="1:32">
      <c r="A71" s="194" t="s">
        <v>57</v>
      </c>
      <c r="B71" s="201">
        <f>$D$6*$J10*'Applicationwise Stock'!B53/($M10*1000000000)</f>
        <v>0</v>
      </c>
      <c r="C71" s="201">
        <f>$D$6*$J10*'Applicationwise Stock'!C53/($M10*1000000000)</f>
        <v>0</v>
      </c>
      <c r="D71" s="201">
        <f>$D$6*$J10*'Applicationwise Stock'!D53/($M10*1000000000)</f>
        <v>0</v>
      </c>
      <c r="E71" s="201">
        <f>$D$6*$J10*'Applicationwise Stock'!E53/($M10*1000000000)</f>
        <v>5.1869568916854509E-7</v>
      </c>
      <c r="F71" s="201">
        <f>$D$6*$J10*'Applicationwise Stock'!F53/($M10*1000000000)</f>
        <v>1.5338123697194667E-6</v>
      </c>
      <c r="G71" s="201">
        <f>$D$6*$J10*'Applicationwise Stock'!G53/($M10*1000000000)</f>
        <v>3.5956620643737158E-6</v>
      </c>
      <c r="H71" s="201">
        <f>$D$6*$J10*'Applicationwise Stock'!H53/($M10*1000000000)</f>
        <v>6.9262116724779356E-6</v>
      </c>
      <c r="I71" s="201">
        <f>$D$6*$J10*'Applicationwise Stock'!I53/($M10*1000000000)</f>
        <v>1.1901325278716633E-5</v>
      </c>
      <c r="J71" s="201">
        <f>$D$6*$J10*'Applicationwise Stock'!J53/($M10*1000000000)</f>
        <v>2.2417072455129623E-5</v>
      </c>
      <c r="K71" s="201">
        <f>$D$6*$J10*'Applicationwise Stock'!K53/($M10*1000000000)</f>
        <v>3.9305134917441806E-5</v>
      </c>
      <c r="L71" s="201">
        <f>$D$6*$J10*'Applicationwise Stock'!L53/($M10*1000000000)</f>
        <v>6.078128050693057E-5</v>
      </c>
      <c r="M71" s="201">
        <f>$D$6*$J10*'Applicationwise Stock'!M53/($M10*1000000000)</f>
        <v>1.0674757977772083E-4</v>
      </c>
      <c r="N71" s="201">
        <f>$D$6*$J10*'Applicationwise Stock'!N53/($M10*1000000000)</f>
        <v>1.5223077792149054E-4</v>
      </c>
      <c r="O71" s="201">
        <f>$D$6*$J10*'Applicationwise Stock'!O53/($M10*1000000000)</f>
        <v>2.0282838974765394E-4</v>
      </c>
      <c r="P71" s="201">
        <f>$D$6*$J10*'Applicationwise Stock'!P53/($M10*1000000000)</f>
        <v>2.693122126365515E-4</v>
      </c>
      <c r="Q71" s="201">
        <f>$D$6*$J10*'Applicationwise Stock'!Q53/($M10*1000000000)</f>
        <v>3.6582704677455606E-4</v>
      </c>
      <c r="R71" s="201">
        <f>$D$6*$J10*'Applicationwise Stock'!R53/($M10*1000000000)</f>
        <v>4.6421543174158983E-4</v>
      </c>
      <c r="S71" s="201">
        <f>$D$6*$J10*'Applicationwise Stock'!S53/($M10*1000000000)</f>
        <v>5.9798908050141158E-4</v>
      </c>
      <c r="T71" s="201">
        <f>$D$6*$J10*'Applicationwise Stock'!T53/($M10*1000000000)</f>
        <v>7.568003620474432E-4</v>
      </c>
      <c r="U71" s="201">
        <f>$D$6*$J10*'Applicationwise Stock'!U53/($M10*1000000000)</f>
        <v>9.6247696881166661E-4</v>
      </c>
      <c r="V71" s="201">
        <f>$D$6*$J10*'Applicationwise Stock'!V53/($M10*1000000000)</f>
        <v>1.2115741525425955E-3</v>
      </c>
      <c r="W71" s="201">
        <f>$D$6*$J10*'Applicationwise Stock'!W53/($M10*1000000000)</f>
        <v>1.4980089241309784E-3</v>
      </c>
      <c r="X71" s="201">
        <f>$D$6*$J10*'Applicationwise Stock'!X53/($M10*1000000000)</f>
        <v>1.838022900945026E-3</v>
      </c>
      <c r="Y71" s="201">
        <f>$D$6*$J10*'Applicationwise Stock'!Y53/($M10*1000000000)</f>
        <v>2.2630874209231028E-3</v>
      </c>
      <c r="Z71" s="201">
        <f>$D$6*$J10*'Applicationwise Stock'!Z53/($M10*1000000000)</f>
        <v>2.6885884845197021E-3</v>
      </c>
      <c r="AA71" s="201">
        <f>$D$6*$J10*'Applicationwise Stock'!AA53/($M10*1000000000)</f>
        <v>3.1859921062480975E-3</v>
      </c>
      <c r="AB71" s="201">
        <f>$D$6*$J10*'Applicationwise Stock'!AB53/($M10*1000000000)</f>
        <v>3.7092035547209848E-3</v>
      </c>
      <c r="AC71" s="201">
        <f>$D$6*$J10*'Applicationwise Stock'!AC53/($M10*1000000000)</f>
        <v>4.5327136979861783E-3</v>
      </c>
      <c r="AD71" s="201">
        <f>$D$6*$J10*'Applicationwise Stock'!AD53/($M10*1000000000)</f>
        <v>5.5303863659658574E-3</v>
      </c>
      <c r="AE71" s="201">
        <f>$D$6*$J10*'Applicationwise Stock'!AE53/($M10*1000000000)</f>
        <v>6.704822187266043E-3</v>
      </c>
      <c r="AF71" s="201">
        <f>$D$6*$J10*'Applicationwise Stock'!AF53/($M10*1000000000)</f>
        <v>8.0684933691500798E-3</v>
      </c>
    </row>
    <row r="72" spans="1:32">
      <c r="A72" s="200" t="s">
        <v>591</v>
      </c>
      <c r="B72" s="202">
        <f>SUM(B63:B71)</f>
        <v>0</v>
      </c>
      <c r="C72" s="202">
        <f t="shared" ref="C72:AF72" si="9">SUM(C63:C71)</f>
        <v>0</v>
      </c>
      <c r="D72" s="202">
        <f t="shared" si="9"/>
        <v>0</v>
      </c>
      <c r="E72" s="202">
        <f t="shared" si="9"/>
        <v>5.4354811878229754E-5</v>
      </c>
      <c r="F72" s="202">
        <f t="shared" si="9"/>
        <v>1.5909586710122372E-4</v>
      </c>
      <c r="G72" s="202">
        <f t="shared" si="9"/>
        <v>3.3935349075157276E-4</v>
      </c>
      <c r="H72" s="202">
        <f t="shared" si="9"/>
        <v>6.3479196481639258E-4</v>
      </c>
      <c r="I72" s="202">
        <f t="shared" si="9"/>
        <v>1.133792904384822E-3</v>
      </c>
      <c r="J72" s="202">
        <f t="shared" si="9"/>
        <v>1.9227116204275239E-3</v>
      </c>
      <c r="K72" s="202">
        <f t="shared" si="9"/>
        <v>3.0971043936478624E-3</v>
      </c>
      <c r="L72" s="202">
        <f t="shared" si="9"/>
        <v>4.814236214406669E-3</v>
      </c>
      <c r="M72" s="202">
        <f t="shared" si="9"/>
        <v>7.2409061853107651E-3</v>
      </c>
      <c r="N72" s="202">
        <f t="shared" si="9"/>
        <v>1.0578406518227002E-2</v>
      </c>
      <c r="O72" s="202">
        <f t="shared" si="9"/>
        <v>1.5005350194719873E-2</v>
      </c>
      <c r="P72" s="202">
        <f t="shared" si="9"/>
        <v>2.0847744929723966E-2</v>
      </c>
      <c r="Q72" s="202">
        <f t="shared" si="9"/>
        <v>2.8381573213558831E-2</v>
      </c>
      <c r="R72" s="202">
        <f t="shared" si="9"/>
        <v>3.7894344185378223E-2</v>
      </c>
      <c r="S72" s="202">
        <f t="shared" si="9"/>
        <v>5.000776844792388E-2</v>
      </c>
      <c r="T72" s="202">
        <f t="shared" si="9"/>
        <v>6.458611585111794E-2</v>
      </c>
      <c r="U72" s="202">
        <f t="shared" si="9"/>
        <v>8.2037510798475127E-2</v>
      </c>
      <c r="V72" s="202">
        <f t="shared" si="9"/>
        <v>0.10269353204841132</v>
      </c>
      <c r="W72" s="202">
        <f t="shared" si="9"/>
        <v>0.12675453982207369</v>
      </c>
      <c r="X72" s="202">
        <f t="shared" si="9"/>
        <v>0.15455546417906746</v>
      </c>
      <c r="Y72" s="202">
        <f t="shared" si="9"/>
        <v>0.18579692493955877</v>
      </c>
      <c r="Z72" s="202">
        <f t="shared" si="9"/>
        <v>0.22072107605408253</v>
      </c>
      <c r="AA72" s="202">
        <f t="shared" si="9"/>
        <v>0.2605808011230587</v>
      </c>
      <c r="AB72" s="202">
        <f t="shared" si="9"/>
        <v>0.3053151088496332</v>
      </c>
      <c r="AC72" s="202">
        <f t="shared" si="9"/>
        <v>0.37553131432532733</v>
      </c>
      <c r="AD72" s="202">
        <f t="shared" si="9"/>
        <v>0.45930448956790998</v>
      </c>
      <c r="AE72" s="202">
        <f t="shared" si="9"/>
        <v>0.55701805227445711</v>
      </c>
      <c r="AF72" s="202">
        <f t="shared" si="9"/>
        <v>0.66943851048422853</v>
      </c>
    </row>
    <row r="74" spans="1:32" s="1" customFormat="1">
      <c r="A74" s="189" t="s">
        <v>596</v>
      </c>
      <c r="B74" s="189">
        <v>2025</v>
      </c>
      <c r="C74" s="189">
        <v>2026</v>
      </c>
      <c r="D74" s="189">
        <v>2027</v>
      </c>
      <c r="E74" s="189">
        <v>2028</v>
      </c>
      <c r="F74" s="189">
        <v>2029</v>
      </c>
      <c r="G74" s="189">
        <v>2030</v>
      </c>
      <c r="H74" s="189">
        <v>2031</v>
      </c>
      <c r="I74" s="189">
        <v>2032</v>
      </c>
      <c r="J74" s="189">
        <v>2033</v>
      </c>
      <c r="K74" s="189">
        <v>2034</v>
      </c>
      <c r="L74" s="189">
        <v>2035</v>
      </c>
      <c r="M74" s="189">
        <v>2036</v>
      </c>
      <c r="N74" s="189">
        <v>2037</v>
      </c>
      <c r="O74" s="189">
        <v>2038</v>
      </c>
      <c r="P74" s="189">
        <v>2039</v>
      </c>
      <c r="Q74" s="189">
        <v>2040</v>
      </c>
      <c r="R74" s="189">
        <v>2041</v>
      </c>
      <c r="S74" s="189">
        <v>2042</v>
      </c>
      <c r="T74" s="189">
        <v>2043</v>
      </c>
      <c r="U74" s="189">
        <v>2044</v>
      </c>
      <c r="V74" s="189">
        <v>2045</v>
      </c>
      <c r="W74" s="189">
        <v>2046</v>
      </c>
      <c r="X74" s="189">
        <v>2047</v>
      </c>
      <c r="Y74" s="189">
        <v>2048</v>
      </c>
      <c r="Z74" s="189">
        <v>2049</v>
      </c>
      <c r="AA74" s="189">
        <v>2050</v>
      </c>
      <c r="AB74" s="189">
        <v>2051</v>
      </c>
      <c r="AC74" s="189">
        <v>2052</v>
      </c>
      <c r="AD74" s="189">
        <v>2053</v>
      </c>
      <c r="AE74" s="189">
        <v>2054</v>
      </c>
      <c r="AF74" s="189">
        <v>2055</v>
      </c>
    </row>
    <row r="75" spans="1:32">
      <c r="A75" s="194" t="s">
        <v>43</v>
      </c>
      <c r="B75" s="212">
        <f>$D$7*$J2*'Applicationwise Sales'!B35/($N2*1000000000)</f>
        <v>0</v>
      </c>
      <c r="C75" s="212">
        <f>$D$7*$J2*'Applicationwise Sales'!C35/($N2*1000000000)</f>
        <v>0</v>
      </c>
      <c r="D75" s="212">
        <f>$D$7*$J2*'Applicationwise Sales'!D35/($N2*1000000000)</f>
        <v>0</v>
      </c>
      <c r="E75" s="212">
        <f>$D$7*$J2*'Applicationwise Sales'!E35/($N2*1000000000)</f>
        <v>0</v>
      </c>
      <c r="F75" s="212">
        <f>$D$7*$J2*'Applicationwise Sales'!F35/($N2*1000000000)</f>
        <v>0</v>
      </c>
      <c r="G75" s="212">
        <f>$D$7*$J2*'Applicationwise Sales'!G35/($N2*1000000000)</f>
        <v>6.0459267532341842E-6</v>
      </c>
      <c r="H75" s="212">
        <f>$D$7*$J2*'Applicationwise Sales'!H35/($N2*1000000000)</f>
        <v>1.1433700257651548E-5</v>
      </c>
      <c r="I75" s="212">
        <f>$D$7*$J2*'Applicationwise Sales'!I35/($N2*1000000000)</f>
        <v>2.2335570927383148E-5</v>
      </c>
      <c r="J75" s="212">
        <f>$D$7*$J2*'Applicationwise Sales'!J35/($N2*1000000000)</f>
        <v>3.9816539833859885E-5</v>
      </c>
      <c r="K75" s="212">
        <f>$D$7*$J2*'Applicationwise Sales'!K35/($N2*1000000000)</f>
        <v>6.4713697196489575E-5</v>
      </c>
      <c r="L75" s="212">
        <f>$D$7*$J2*'Applicationwise Sales'!L35/($N2*1000000000)</f>
        <v>1.0321119236454031E-4</v>
      </c>
      <c r="M75" s="212">
        <f>$D$7*$J2*'Applicationwise Sales'!M35/($N2*1000000000)</f>
        <v>1.5730497506892831E-4</v>
      </c>
      <c r="N75" s="212">
        <f>$D$7*$J2*'Applicationwise Sales'!N35/($N2*1000000000)</f>
        <v>2.3775857359512617E-4</v>
      </c>
      <c r="O75" s="212">
        <f>$D$7*$J2*'Applicationwise Sales'!O35/($N2*1000000000)</f>
        <v>3.3947088473636227E-4</v>
      </c>
      <c r="P75" s="212">
        <f>$D$7*$J2*'Applicationwise Sales'!P35/($N2*1000000000)</f>
        <v>4.7542298100839748E-4</v>
      </c>
      <c r="Q75" s="212">
        <f>$D$7*$J2*'Applicationwise Sales'!Q35/($N2*1000000000)</f>
        <v>6.3851606489271728E-4</v>
      </c>
      <c r="R75" s="212">
        <f>$D$7*$J2*'Applicationwise Sales'!R35/($N2*1000000000)</f>
        <v>8.3805068418893848E-4</v>
      </c>
      <c r="S75" s="212">
        <f>$D$7*$J2*'Applicationwise Sales'!S35/($N2*1000000000)</f>
        <v>1.0688372718416265E-3</v>
      </c>
      <c r="T75" s="212">
        <f>$D$7*$J2*'Applicationwise Sales'!T35/($N2*1000000000)</f>
        <v>1.3475241703753795E-3</v>
      </c>
      <c r="U75" s="212">
        <f>$D$7*$J2*'Applicationwise Sales'!U35/($N2*1000000000)</f>
        <v>1.6590899852369481E-3</v>
      </c>
      <c r="V75" s="212">
        <f>$D$7*$J2*'Applicationwise Sales'!V35/($N2*1000000000)</f>
        <v>2.0124565236020304E-3</v>
      </c>
      <c r="W75" s="212">
        <f>$D$7*$J2*'Applicationwise Sales'!W35/($N2*1000000000)</f>
        <v>2.4030276369160285E-3</v>
      </c>
      <c r="X75" s="212">
        <f>$D$7*$J2*'Applicationwise Sales'!X35/($N2*1000000000)</f>
        <v>2.8239245186788028E-3</v>
      </c>
      <c r="Y75" s="212">
        <f>$D$7*$J2*'Applicationwise Sales'!Y35/($N2*1000000000)</f>
        <v>3.1908748945440862E-3</v>
      </c>
      <c r="Z75" s="212">
        <f>$D$7*$J2*'Applicationwise Sales'!Z35/($N2*1000000000)</f>
        <v>3.6177178393169349E-3</v>
      </c>
      <c r="AA75" s="212">
        <f>$D$7*$J2*'Applicationwise Sales'!AA35/($N2*1000000000)</f>
        <v>4.2453051439491959E-3</v>
      </c>
      <c r="AB75" s="212">
        <f>$D$7*$J2*'Applicationwise Sales'!AB35/($N2*1000000000)</f>
        <v>4.7800189292217295E-3</v>
      </c>
      <c r="AC75" s="212">
        <f>$D$7*$J2*'Applicationwise Sales'!AC35/($N2*1000000000)</f>
        <v>5.5247524831560559E-3</v>
      </c>
      <c r="AD75" s="212">
        <f>$D$7*$J2*'Applicationwise Sales'!AD35/($N2*1000000000)</f>
        <v>7.3602659777597477E-3</v>
      </c>
      <c r="AE75" s="212">
        <f>$D$7*$J2*'Applicationwise Sales'!AE35/($N2*1000000000)</f>
        <v>9.3281720750232732E-3</v>
      </c>
      <c r="AF75" s="212">
        <f>$D$7*$J2*'Applicationwise Sales'!AF35/($N2*1000000000)</f>
        <v>1.1419731269802506E-2</v>
      </c>
    </row>
    <row r="76" spans="1:32">
      <c r="A76" s="194" t="s">
        <v>51</v>
      </c>
      <c r="B76" s="212">
        <f>$D$7*$J3*'Applicationwise Sales'!B36/($N3*1000000000)</f>
        <v>0</v>
      </c>
      <c r="C76" s="212">
        <f>$D$7*$J3*'Applicationwise Sales'!C36/($N3*1000000000)</f>
        <v>0</v>
      </c>
      <c r="D76" s="212">
        <f>$D$7*$J3*'Applicationwise Sales'!D36/($N3*1000000000)</f>
        <v>0</v>
      </c>
      <c r="E76" s="212">
        <f>$D$7*$J3*'Applicationwise Sales'!E36/($N3*1000000000)</f>
        <v>0</v>
      </c>
      <c r="F76" s="212">
        <f>$D$7*$J3*'Applicationwise Sales'!F36/($N3*1000000000)</f>
        <v>0</v>
      </c>
      <c r="G76" s="212">
        <f>$D$7*$J3*'Applicationwise Sales'!G36/($N3*1000000000)</f>
        <v>7.528015429506007E-6</v>
      </c>
      <c r="H76" s="212">
        <f>$D$7*$J3*'Applicationwise Sales'!H36/($N3*1000000000)</f>
        <v>1.4268127486733506E-5</v>
      </c>
      <c r="I76" s="212">
        <f>$D$7*$J3*'Applicationwise Sales'!I36/($N3*1000000000)</f>
        <v>2.8411629895008307E-5</v>
      </c>
      <c r="J76" s="212">
        <f>$D$7*$J3*'Applicationwise Sales'!J36/($N3*1000000000)</f>
        <v>4.9882057109309728E-5</v>
      </c>
      <c r="K76" s="212">
        <f>$D$7*$J3*'Applicationwise Sales'!K36/($N3*1000000000)</f>
        <v>8.2031931291206032E-5</v>
      </c>
      <c r="L76" s="212">
        <f>$D$7*$J3*'Applicationwise Sales'!L36/($N3*1000000000)</f>
        <v>1.3412231896798175E-4</v>
      </c>
      <c r="M76" s="212">
        <f>$D$7*$J3*'Applicationwise Sales'!M36/($N3*1000000000)</f>
        <v>2.0439461514287614E-4</v>
      </c>
      <c r="N76" s="212">
        <f>$D$7*$J3*'Applicationwise Sales'!N36/($N3*1000000000)</f>
        <v>2.9095397525174209E-4</v>
      </c>
      <c r="O76" s="212">
        <f>$D$7*$J3*'Applicationwise Sales'!O36/($N3*1000000000)</f>
        <v>4.1187342439823367E-4</v>
      </c>
      <c r="P76" s="212">
        <f>$D$7*$J3*'Applicationwise Sales'!P36/($N3*1000000000)</f>
        <v>5.7069607110792639E-4</v>
      </c>
      <c r="Q76" s="212">
        <f>$D$7*$J3*'Applicationwise Sales'!Q36/($N3*1000000000)</f>
        <v>7.7148916699897193E-4</v>
      </c>
      <c r="R76" s="212">
        <f>$D$7*$J3*'Applicationwise Sales'!R36/($N3*1000000000)</f>
        <v>1.0150424799453721E-3</v>
      </c>
      <c r="S76" s="212">
        <f>$D$7*$J3*'Applicationwise Sales'!S36/($N3*1000000000)</f>
        <v>1.301470979924081E-3</v>
      </c>
      <c r="T76" s="212">
        <f>$D$7*$J3*'Applicationwise Sales'!T36/($N3*1000000000)</f>
        <v>1.6389665759562291E-3</v>
      </c>
      <c r="U76" s="212">
        <f>$D$7*$J3*'Applicationwise Sales'!U36/($N3*1000000000)</f>
        <v>2.0229319625475273E-3</v>
      </c>
      <c r="V76" s="212">
        <f>$D$7*$J3*'Applicationwise Sales'!V36/($N3*1000000000)</f>
        <v>2.4522216810106746E-3</v>
      </c>
      <c r="W76" s="212">
        <f>$D$7*$J3*'Applicationwise Sales'!W36/($N3*1000000000)</f>
        <v>2.9283401552116458E-3</v>
      </c>
      <c r="X76" s="212">
        <f>$D$7*$J3*'Applicationwise Sales'!X36/($N3*1000000000)</f>
        <v>3.4430833986940556E-3</v>
      </c>
      <c r="Y76" s="212">
        <f>$D$7*$J3*'Applicationwise Sales'!Y36/($N3*1000000000)</f>
        <v>3.8815907296972838E-3</v>
      </c>
      <c r="Z76" s="212">
        <f>$D$7*$J3*'Applicationwise Sales'!Z36/($N3*1000000000)</f>
        <v>4.3951803925496701E-3</v>
      </c>
      <c r="AA76" s="212">
        <f>$D$7*$J3*'Applicationwise Sales'!AA36/($N3*1000000000)</f>
        <v>5.1534674284842213E-3</v>
      </c>
      <c r="AB76" s="212">
        <f>$D$7*$J3*'Applicationwise Sales'!AB36/($N3*1000000000)</f>
        <v>5.8078844946983675E-3</v>
      </c>
      <c r="AC76" s="212">
        <f>$D$7*$J3*'Applicationwise Sales'!AC36/($N3*1000000000)</f>
        <v>6.7157267246630379E-3</v>
      </c>
      <c r="AD76" s="212">
        <f>$D$7*$J3*'Applicationwise Sales'!AD36/($N3*1000000000)</f>
        <v>8.9497031258396146E-3</v>
      </c>
      <c r="AE76" s="212">
        <f>$D$7*$J3*'Applicationwise Sales'!AE36/($N3*1000000000)</f>
        <v>1.1341310981087309E-2</v>
      </c>
      <c r="AF76" s="212">
        <f>$D$7*$J3*'Applicationwise Sales'!AF36/($N3*1000000000)</f>
        <v>1.3883856764279555E-2</v>
      </c>
    </row>
    <row r="77" spans="1:32">
      <c r="A77" s="194" t="s">
        <v>58</v>
      </c>
      <c r="B77" s="212">
        <f>$D$7*$J4*'Applicationwise Sales'!B37/($N4*1000000000)</f>
        <v>0</v>
      </c>
      <c r="C77" s="212">
        <f>$D$7*$J4*'Applicationwise Sales'!C37/($N4*1000000000)</f>
        <v>0</v>
      </c>
      <c r="D77" s="212">
        <f>$D$7*$J4*'Applicationwise Sales'!D37/($N4*1000000000)</f>
        <v>0</v>
      </c>
      <c r="E77" s="212">
        <f>$D$7*$J4*'Applicationwise Sales'!E37/($N4*1000000000)</f>
        <v>0</v>
      </c>
      <c r="F77" s="212">
        <f>$D$7*$J4*'Applicationwise Sales'!F37/($N4*1000000000)</f>
        <v>0</v>
      </c>
      <c r="G77" s="212">
        <f>$D$7*$J4*'Applicationwise Sales'!G37/($N4*1000000000)</f>
        <v>2.5583081288428554E-6</v>
      </c>
      <c r="H77" s="212">
        <f>$D$7*$J4*'Applicationwise Sales'!H37/($N4*1000000000)</f>
        <v>4.8792151758095656E-6</v>
      </c>
      <c r="I77" s="212">
        <f>$D$7*$J4*'Applicationwise Sales'!I37/($N4*1000000000)</f>
        <v>8.9865637252916954E-6</v>
      </c>
      <c r="J77" s="212">
        <f>$D$7*$J4*'Applicationwise Sales'!J37/($N4*1000000000)</f>
        <v>1.5748748297391714E-5</v>
      </c>
      <c r="K77" s="212">
        <f>$D$7*$J4*'Applicationwise Sales'!K37/($N4*1000000000)</f>
        <v>2.6298624649460461E-5</v>
      </c>
      <c r="L77" s="212">
        <f>$D$7*$J4*'Applicationwise Sales'!L37/($N4*1000000000)</f>
        <v>4.0189307953426727E-5</v>
      </c>
      <c r="M77" s="212">
        <f>$D$7*$J4*'Applicationwise Sales'!M37/($N4*1000000000)</f>
        <v>6.192039519576674E-5</v>
      </c>
      <c r="N77" s="212">
        <f>$D$7*$J4*'Applicationwise Sales'!N37/($N4*1000000000)</f>
        <v>8.9539064266204755E-5</v>
      </c>
      <c r="O77" s="212">
        <f>$D$7*$J4*'Applicationwise Sales'!O37/($N4*1000000000)</f>
        <v>1.2586147254602754E-4</v>
      </c>
      <c r="P77" s="212">
        <f>$D$7*$J4*'Applicationwise Sales'!P37/($N4*1000000000)</f>
        <v>1.7415499625544022E-4</v>
      </c>
      <c r="Q77" s="212">
        <f>$D$7*$J4*'Applicationwise Sales'!Q37/($N4*1000000000)</f>
        <v>2.360311228482917E-4</v>
      </c>
      <c r="R77" s="212">
        <f>$D$7*$J4*'Applicationwise Sales'!R37/($N4*1000000000)</f>
        <v>3.0607515944373388E-4</v>
      </c>
      <c r="S77" s="212">
        <f>$D$7*$J4*'Applicationwise Sales'!S37/($N4*1000000000)</f>
        <v>4.3876894039963785E-4</v>
      </c>
      <c r="T77" s="212">
        <f>$D$7*$J4*'Applicationwise Sales'!T37/($N4*1000000000)</f>
        <v>5.4843267674983668E-4</v>
      </c>
      <c r="U77" s="212">
        <f>$D$7*$J4*'Applicationwise Sales'!U37/($N4*1000000000)</f>
        <v>6.7199679757763513E-4</v>
      </c>
      <c r="V77" s="212">
        <f>$D$7*$J4*'Applicationwise Sales'!V37/($N4*1000000000)</f>
        <v>8.1007437233101599E-4</v>
      </c>
      <c r="W77" s="212">
        <f>$D$7*$J4*'Applicationwise Sales'!W37/($N4*1000000000)</f>
        <v>9.6153066515682257E-4</v>
      </c>
      <c r="X77" s="212">
        <f>$D$7*$J4*'Applicationwise Sales'!X37/($N4*1000000000)</f>
        <v>1.1261879934923926E-3</v>
      </c>
      <c r="Y77" s="212">
        <f>$D$7*$J4*'Applicationwise Sales'!Y37/($N4*1000000000)</f>
        <v>1.2772153516263961E-3</v>
      </c>
      <c r="Z77" s="212">
        <f>$D$7*$J4*'Applicationwise Sales'!Z37/($N4*1000000000)</f>
        <v>1.4514231522709557E-3</v>
      </c>
      <c r="AA77" s="212">
        <f>$D$7*$J4*'Applicationwise Sales'!AA37/($N4*1000000000)</f>
        <v>1.6905298218163403E-3</v>
      </c>
      <c r="AB77" s="212">
        <f>$D$7*$J4*'Applicationwise Sales'!AB37/($N4*1000000000)</f>
        <v>1.9200497149374366E-3</v>
      </c>
      <c r="AC77" s="212">
        <f>$D$7*$J4*'Applicationwise Sales'!AC37/($N4*1000000000)</f>
        <v>2.2391950251964689E-3</v>
      </c>
      <c r="AD77" s="212">
        <f>$D$7*$J4*'Applicationwise Sales'!AD37/($N4*1000000000)</f>
        <v>3.0161533295726779E-3</v>
      </c>
      <c r="AE77" s="212">
        <f>$D$7*$J4*'Applicationwise Sales'!AE37/($N4*1000000000)</f>
        <v>3.8225200305886517E-3</v>
      </c>
      <c r="AF77" s="212">
        <f>$D$7*$J4*'Applicationwise Sales'!AF37/($N4*1000000000)</f>
        <v>4.6830107167863556E-3</v>
      </c>
    </row>
    <row r="78" spans="1:32">
      <c r="A78" s="194" t="s">
        <v>54</v>
      </c>
      <c r="B78" s="212">
        <f>$D$7*$J5*'Applicationwise Sales'!B38/($N5*1000000000)</f>
        <v>0</v>
      </c>
      <c r="C78" s="212">
        <f>$D$7*$J5*'Applicationwise Sales'!C38/($N5*1000000000)</f>
        <v>0</v>
      </c>
      <c r="D78" s="212">
        <f>$D$7*$J5*'Applicationwise Sales'!D38/($N5*1000000000)</f>
        <v>0</v>
      </c>
      <c r="E78" s="212">
        <f>$D$7*$J5*'Applicationwise Sales'!E38/($N5*1000000000)</f>
        <v>0</v>
      </c>
      <c r="F78" s="212">
        <f>$D$7*$J5*'Applicationwise Sales'!F38/($N5*1000000000)</f>
        <v>0</v>
      </c>
      <c r="G78" s="212">
        <f>$D$7*$J5*'Applicationwise Sales'!G38/($N5*1000000000)</f>
        <v>8.0476318261152167E-6</v>
      </c>
      <c r="H78" s="212">
        <f>$D$7*$J5*'Applicationwise Sales'!H38/($N5*1000000000)</f>
        <v>1.6198251236671712E-5</v>
      </c>
      <c r="I78" s="212">
        <f>$D$7*$J5*'Applicationwise Sales'!I38/($N5*1000000000)</f>
        <v>3.1511681086986143E-5</v>
      </c>
      <c r="J78" s="212">
        <f>$D$7*$J5*'Applicationwise Sales'!J38/($N5*1000000000)</f>
        <v>5.700945982077037E-5</v>
      </c>
      <c r="K78" s="212">
        <f>$D$7*$J5*'Applicationwise Sales'!K38/($N5*1000000000)</f>
        <v>9.4823529799775106E-5</v>
      </c>
      <c r="L78" s="212">
        <f>$D$7*$J5*'Applicationwise Sales'!L38/($N5*1000000000)</f>
        <v>1.5445672464745722E-4</v>
      </c>
      <c r="M78" s="212">
        <f>$D$7*$J5*'Applicationwise Sales'!M38/($N5*1000000000)</f>
        <v>2.3384531678937665E-4</v>
      </c>
      <c r="N78" s="212">
        <f>$D$7*$J5*'Applicationwise Sales'!N38/($N5*1000000000)</f>
        <v>3.4688927198370755E-4</v>
      </c>
      <c r="O78" s="212">
        <f>$D$7*$J5*'Applicationwise Sales'!O38/($N5*1000000000)</f>
        <v>4.785058831828785E-4</v>
      </c>
      <c r="P78" s="212">
        <f>$D$7*$J5*'Applicationwise Sales'!P38/($N5*1000000000)</f>
        <v>6.4768021004232899E-4</v>
      </c>
      <c r="Q78" s="212">
        <f>$D$7*$J5*'Applicationwise Sales'!Q38/($N5*1000000000)</f>
        <v>8.6323178711882683E-4</v>
      </c>
      <c r="R78" s="212">
        <f>$D$7*$J5*'Applicationwise Sales'!R38/($N5*1000000000)</f>
        <v>1.1351157410476533E-3</v>
      </c>
      <c r="S78" s="212">
        <f>$D$7*$J5*'Applicationwise Sales'!S38/($N5*1000000000)</f>
        <v>1.422061354663948E-3</v>
      </c>
      <c r="T78" s="212">
        <f>$D$7*$J5*'Applicationwise Sales'!T38/($N5*1000000000)</f>
        <v>1.7524125021395316E-3</v>
      </c>
      <c r="U78" s="212">
        <f>$D$7*$J5*'Applicationwise Sales'!U38/($N5*1000000000)</f>
        <v>2.121077294706974E-3</v>
      </c>
      <c r="V78" s="212">
        <f>$D$7*$J5*'Applicationwise Sales'!V38/($N5*1000000000)</f>
        <v>2.5272465392863308E-3</v>
      </c>
      <c r="W78" s="212">
        <f>$D$7*$J5*'Applicationwise Sales'!W38/($N5*1000000000)</f>
        <v>2.9294419724448149E-3</v>
      </c>
      <c r="X78" s="212">
        <f>$D$7*$J5*'Applicationwise Sales'!X38/($N5*1000000000)</f>
        <v>3.390115871920603E-3</v>
      </c>
      <c r="Y78" s="212">
        <f>$D$7*$J5*'Applicationwise Sales'!Y38/($N5*1000000000)</f>
        <v>3.9144239596935592E-3</v>
      </c>
      <c r="Z78" s="212">
        <f>$D$7*$J5*'Applicationwise Sales'!Z38/($N5*1000000000)</f>
        <v>4.4660490907615542E-3</v>
      </c>
      <c r="AA78" s="212">
        <f>$D$7*$J5*'Applicationwise Sales'!AA38/($N5*1000000000)</f>
        <v>5.0053828090929915E-3</v>
      </c>
      <c r="AB78" s="212">
        <f>$D$7*$J5*'Applicationwise Sales'!AB38/($N5*1000000000)</f>
        <v>5.5986017556940324E-3</v>
      </c>
      <c r="AC78" s="212">
        <f>$D$7*$J5*'Applicationwise Sales'!AC38/($N5*1000000000)</f>
        <v>6.4182640519330472E-3</v>
      </c>
      <c r="AD78" s="212">
        <f>$D$7*$J5*'Applicationwise Sales'!AD38/($N5*1000000000)</f>
        <v>8.4625943708126969E-3</v>
      </c>
      <c r="AE78" s="212">
        <f>$D$7*$J5*'Applicationwise Sales'!AE38/($N5*1000000000)</f>
        <v>1.062546319026306E-2</v>
      </c>
      <c r="AF78" s="212">
        <f>$D$7*$J5*'Applicationwise Sales'!AF38/($N5*1000000000)</f>
        <v>1.2902907211715414E-2</v>
      </c>
    </row>
    <row r="79" spans="1:32">
      <c r="A79" s="194" t="s">
        <v>55</v>
      </c>
      <c r="B79" s="212">
        <f>$D$7*$J6*'Applicationwise Sales'!B39/($N6*1000000000)</f>
        <v>0</v>
      </c>
      <c r="C79" s="212">
        <f>$D$7*$J6*'Applicationwise Sales'!C39/($N6*1000000000)</f>
        <v>0</v>
      </c>
      <c r="D79" s="212">
        <f>$D$7*$J6*'Applicationwise Sales'!D39/($N6*1000000000)</f>
        <v>0</v>
      </c>
      <c r="E79" s="212">
        <f>$D$7*$J6*'Applicationwise Sales'!E39/($N6*1000000000)</f>
        <v>0</v>
      </c>
      <c r="F79" s="212">
        <f>$D$7*$J6*'Applicationwise Sales'!F39/($N6*1000000000)</f>
        <v>0</v>
      </c>
      <c r="G79" s="212">
        <f>$D$7*$J6*'Applicationwise Sales'!G39/($N6*1000000000)</f>
        <v>5.9904206763092247E-7</v>
      </c>
      <c r="H79" s="212">
        <f>$D$7*$J6*'Applicationwise Sales'!H39/($N6*1000000000)</f>
        <v>1.279293760535616E-6</v>
      </c>
      <c r="I79" s="212">
        <f>$D$7*$J6*'Applicationwise Sales'!I39/($N6*1000000000)</f>
        <v>2.4434913618371636E-6</v>
      </c>
      <c r="J79" s="212">
        <f>$D$7*$J6*'Applicationwise Sales'!J39/($N6*1000000000)</f>
        <v>4.4755358028232625E-6</v>
      </c>
      <c r="K79" s="212">
        <f>$D$7*$J6*'Applicationwise Sales'!K39/($N6*1000000000)</f>
        <v>7.1100935134102972E-6</v>
      </c>
      <c r="L79" s="212">
        <f>$D$7*$J6*'Applicationwise Sales'!L39/($N6*1000000000)</f>
        <v>1.0692873707276878E-5</v>
      </c>
      <c r="M79" s="212">
        <f>$D$7*$J6*'Applicationwise Sales'!M39/($N6*1000000000)</f>
        <v>1.4994451872778816E-5</v>
      </c>
      <c r="N79" s="212">
        <f>$D$7*$J6*'Applicationwise Sales'!N39/($N6*1000000000)</f>
        <v>2.0471719586485146E-5</v>
      </c>
      <c r="O79" s="212">
        <f>$D$7*$J6*'Applicationwise Sales'!O39/($N6*1000000000)</f>
        <v>2.6682599479756322E-5</v>
      </c>
      <c r="P79" s="212">
        <f>$D$7*$J6*'Applicationwise Sales'!P39/($N6*1000000000)</f>
        <v>3.3363388782280233E-5</v>
      </c>
      <c r="Q79" s="212">
        <f>$D$7*$J6*'Applicationwise Sales'!Q39/($N6*1000000000)</f>
        <v>4.158378143489742E-5</v>
      </c>
      <c r="R79" s="212">
        <f>$D$7*$J6*'Applicationwise Sales'!R39/($N6*1000000000)</f>
        <v>5.7157149041904498E-5</v>
      </c>
      <c r="S79" s="212">
        <f>$D$7*$J6*'Applicationwise Sales'!S39/($N6*1000000000)</f>
        <v>6.5816946832748878E-5</v>
      </c>
      <c r="T79" s="212">
        <f>$D$7*$J6*'Applicationwise Sales'!T39/($N6*1000000000)</f>
        <v>7.4196456442503185E-5</v>
      </c>
      <c r="U79" s="212">
        <f>$D$7*$J6*'Applicationwise Sales'!U39/($N6*1000000000)</f>
        <v>8.1310385423087698E-5</v>
      </c>
      <c r="V79" s="212">
        <f>$D$7*$J6*'Applicationwise Sales'!V39/($N6*1000000000)</f>
        <v>8.6985996789185611E-5</v>
      </c>
      <c r="W79" s="212">
        <f>$D$7*$J6*'Applicationwise Sales'!W39/($N6*1000000000)</f>
        <v>9.0524315945275031E-5</v>
      </c>
      <c r="X79" s="212">
        <f>$D$7*$J6*'Applicationwise Sales'!X39/($N6*1000000000)</f>
        <v>9.5052606930509035E-5</v>
      </c>
      <c r="Y79" s="212">
        <f>$D$7*$J6*'Applicationwise Sales'!Y39/($N6*1000000000)</f>
        <v>9.720431474624663E-5</v>
      </c>
      <c r="Z79" s="212">
        <f>$D$7*$J6*'Applicationwise Sales'!Z39/($N6*1000000000)</f>
        <v>9.9809161774201259E-5</v>
      </c>
      <c r="AA79" s="212">
        <f>$D$7*$J6*'Applicationwise Sales'!AA39/($N6*1000000000)</f>
        <v>1.0198793816911151E-4</v>
      </c>
      <c r="AB79" s="212">
        <f>$D$7*$J6*'Applicationwise Sales'!AB39/($N6*1000000000)</f>
        <v>1.0887373612103934E-4</v>
      </c>
      <c r="AC79" s="212">
        <f>$D$7*$J6*'Applicationwise Sales'!AC39/($N6*1000000000)</f>
        <v>1.2000199874692448E-4</v>
      </c>
      <c r="AD79" s="212">
        <f>$D$7*$J6*'Applicationwise Sales'!AD39/($N6*1000000000)</f>
        <v>1.4618846891140458E-4</v>
      </c>
      <c r="AE79" s="212">
        <f>$D$7*$J6*'Applicationwise Sales'!AE39/($N6*1000000000)</f>
        <v>1.6966337661859844E-4</v>
      </c>
      <c r="AF79" s="212">
        <f>$D$7*$J6*'Applicationwise Sales'!AF39/($N6*1000000000)</f>
        <v>1.9066703356734771E-4</v>
      </c>
    </row>
    <row r="80" spans="1:32">
      <c r="A80" s="194" t="s">
        <v>56</v>
      </c>
      <c r="B80" s="212">
        <f>$D$7*$J7*'Applicationwise Sales'!B40/($N7*1000000000)</f>
        <v>0</v>
      </c>
      <c r="C80" s="212">
        <f>$D$7*$J7*'Applicationwise Sales'!C40/($N7*1000000000)</f>
        <v>0</v>
      </c>
      <c r="D80" s="212">
        <f>$D$7*$J7*'Applicationwise Sales'!D40/($N7*1000000000)</f>
        <v>0</v>
      </c>
      <c r="E80" s="212">
        <f>$D$7*$J7*'Applicationwise Sales'!E40/($N7*1000000000)</f>
        <v>0</v>
      </c>
      <c r="F80" s="212">
        <f>$D$7*$J7*'Applicationwise Sales'!F40/($N7*1000000000)</f>
        <v>0</v>
      </c>
      <c r="G80" s="212">
        <f>$D$7*$J7*'Applicationwise Sales'!G40/($N7*1000000000)</f>
        <v>2.9263335311243323E-7</v>
      </c>
      <c r="H80" s="212">
        <f>$D$7*$J7*'Applicationwise Sales'!H40/($N7*1000000000)</f>
        <v>6.7325144441063905E-7</v>
      </c>
      <c r="I80" s="212">
        <f>$D$7*$J7*'Applicationwise Sales'!I40/($N7*1000000000)</f>
        <v>1.2820495719903595E-6</v>
      </c>
      <c r="J80" s="212">
        <f>$D$7*$J7*'Applicationwise Sales'!J40/($N7*1000000000)</f>
        <v>2.4938921022340575E-6</v>
      </c>
      <c r="K80" s="212">
        <f>$D$7*$J7*'Applicationwise Sales'!K40/($N7*1000000000)</f>
        <v>4.3893988529199933E-6</v>
      </c>
      <c r="L80" s="212">
        <f>$D$7*$J7*'Applicationwise Sales'!L40/($N7*1000000000)</f>
        <v>6.8113791488333507E-6</v>
      </c>
      <c r="M80" s="212">
        <f>$D$7*$J7*'Applicationwise Sales'!M40/($N7*1000000000)</f>
        <v>1.0814787906086854E-5</v>
      </c>
      <c r="N80" s="212">
        <f>$D$7*$J7*'Applicationwise Sales'!N40/($N7*1000000000)</f>
        <v>1.686717735337849E-5</v>
      </c>
      <c r="O80" s="212">
        <f>$D$7*$J7*'Applicationwise Sales'!O40/($N7*1000000000)</f>
        <v>2.7001957040560666E-5</v>
      </c>
      <c r="P80" s="212">
        <f>$D$7*$J7*'Applicationwise Sales'!P40/($N7*1000000000)</f>
        <v>3.7492056529526488E-5</v>
      </c>
      <c r="Q80" s="212">
        <f>$D$7*$J7*'Applicationwise Sales'!Q40/($N7*1000000000)</f>
        <v>4.9363389497224568E-5</v>
      </c>
      <c r="R80" s="212">
        <f>$D$7*$J7*'Applicationwise Sales'!R40/($N7*1000000000)</f>
        <v>6.4697494723485046E-5</v>
      </c>
      <c r="S80" s="212">
        <f>$D$7*$J7*'Applicationwise Sales'!S40/($N7*1000000000)</f>
        <v>7.9926045597245618E-5</v>
      </c>
      <c r="T80" s="212">
        <f>$D$7*$J7*'Applicationwise Sales'!T40/($N7*1000000000)</f>
        <v>9.735824383505272E-5</v>
      </c>
      <c r="U80" s="212">
        <f>$D$7*$J7*'Applicationwise Sales'!U40/($N7*1000000000)</f>
        <v>1.1441300858785489E-4</v>
      </c>
      <c r="V80" s="212">
        <f>$D$7*$J7*'Applicationwise Sales'!V40/($N7*1000000000)</f>
        <v>1.3498707611738877E-4</v>
      </c>
      <c r="W80" s="212">
        <f>$D$7*$J7*'Applicationwise Sales'!W40/($N7*1000000000)</f>
        <v>1.5592138323384491E-4</v>
      </c>
      <c r="X80" s="212">
        <f>$D$7*$J7*'Applicationwise Sales'!X40/($N7*1000000000)</f>
        <v>1.8136150936545563E-4</v>
      </c>
      <c r="Y80" s="212">
        <f>$D$7*$J7*'Applicationwise Sales'!Y40/($N7*1000000000)</f>
        <v>2.0736361257286601E-4</v>
      </c>
      <c r="Z80" s="212">
        <f>$D$7*$J7*'Applicationwise Sales'!Z40/($N7*1000000000)</f>
        <v>2.4007141939445931E-4</v>
      </c>
      <c r="AA80" s="212">
        <f>$D$7*$J7*'Applicationwise Sales'!AA40/($N7*1000000000)</f>
        <v>2.7962065591767983E-4</v>
      </c>
      <c r="AB80" s="212">
        <f>$D$7*$J7*'Applicationwise Sales'!AB40/($N7*1000000000)</f>
        <v>3.1094113557521291E-4</v>
      </c>
      <c r="AC80" s="212">
        <f>$D$7*$J7*'Applicationwise Sales'!AC40/($N7*1000000000)</f>
        <v>3.5463789985540892E-4</v>
      </c>
      <c r="AD80" s="212">
        <f>$D$7*$J7*'Applicationwise Sales'!AD40/($N7*1000000000)</f>
        <v>4.6571928173875338E-4</v>
      </c>
      <c r="AE80" s="212">
        <f>$D$7*$J7*'Applicationwise Sales'!AE40/($N7*1000000000)</f>
        <v>5.8274411749614135E-4</v>
      </c>
      <c r="AF80" s="212">
        <f>$D$7*$J7*'Applicationwise Sales'!AF40/($N7*1000000000)</f>
        <v>7.0565998644908287E-4</v>
      </c>
    </row>
    <row r="81" spans="1:32">
      <c r="A81" s="194" t="s">
        <v>549</v>
      </c>
      <c r="B81" s="212">
        <f>$D$7*$J8*'Applicationwise Sales'!B41/($N8*1000000000)</f>
        <v>0</v>
      </c>
      <c r="C81" s="212">
        <f>$D$7*$J8*'Applicationwise Sales'!C41/($N8*1000000000)</f>
        <v>0</v>
      </c>
      <c r="D81" s="212">
        <f>$D$7*$J8*'Applicationwise Sales'!D41/($N8*1000000000)</f>
        <v>0</v>
      </c>
      <c r="E81" s="212">
        <f>$D$7*$J8*'Applicationwise Sales'!E41/($N8*1000000000)</f>
        <v>0</v>
      </c>
      <c r="F81" s="212">
        <f>$D$7*$J8*'Applicationwise Sales'!F41/($N8*1000000000)</f>
        <v>0</v>
      </c>
      <c r="G81" s="212">
        <f>$D$7*$J8*'Applicationwise Sales'!G41/($N8*1000000000)</f>
        <v>4.3787728401546391E-7</v>
      </c>
      <c r="H81" s="212">
        <f>$D$7*$J8*'Applicationwise Sales'!H41/($N8*1000000000)</f>
        <v>8.5791096061602136E-7</v>
      </c>
      <c r="I81" s="212">
        <f>$D$7*$J8*'Applicationwise Sales'!I41/($N8*1000000000)</f>
        <v>1.7039490377557825E-6</v>
      </c>
      <c r="J81" s="212">
        <f>$D$7*$J8*'Applicationwise Sales'!J41/($N8*1000000000)</f>
        <v>3.14842873377306E-6</v>
      </c>
      <c r="K81" s="212">
        <f>$D$7*$J8*'Applicationwise Sales'!K41/($N8*1000000000)</f>
        <v>5.4887923079202505E-6</v>
      </c>
      <c r="L81" s="212">
        <f>$D$7*$J8*'Applicationwise Sales'!L41/($N8*1000000000)</f>
        <v>8.9002873991584518E-6</v>
      </c>
      <c r="M81" s="212">
        <f>$D$7*$J8*'Applicationwise Sales'!M41/($N8*1000000000)</f>
        <v>1.3520781397386377E-5</v>
      </c>
      <c r="N81" s="212">
        <f>$D$7*$J8*'Applicationwise Sales'!N41/($N8*1000000000)</f>
        <v>2.0187657343023609E-5</v>
      </c>
      <c r="O81" s="212">
        <f>$D$7*$J8*'Applicationwise Sales'!O41/($N8*1000000000)</f>
        <v>2.9094187460044974E-5</v>
      </c>
      <c r="P81" s="212">
        <f>$D$7*$J8*'Applicationwise Sales'!P41/($N8*1000000000)</f>
        <v>4.0682950463299659E-5</v>
      </c>
      <c r="Q81" s="212">
        <f>$D$7*$J8*'Applicationwise Sales'!Q41/($N8*1000000000)</f>
        <v>5.5499296774684531E-5</v>
      </c>
      <c r="R81" s="212">
        <f>$D$7*$J8*'Applicationwise Sales'!R41/($N8*1000000000)</f>
        <v>7.4219920871650095E-5</v>
      </c>
      <c r="S81" s="212">
        <f>$D$7*$J8*'Applicationwise Sales'!S41/($N8*1000000000)</f>
        <v>9.5556561209998657E-5</v>
      </c>
      <c r="T81" s="212">
        <f>$D$7*$J8*'Applicationwise Sales'!T41/($N8*1000000000)</f>
        <v>1.1951820938132822E-4</v>
      </c>
      <c r="U81" s="212">
        <f>$D$7*$J8*'Applicationwise Sales'!U41/($N8*1000000000)</f>
        <v>1.4658051886456511E-4</v>
      </c>
      <c r="V81" s="212">
        <f>$D$7*$J8*'Applicationwise Sales'!V41/($N8*1000000000)</f>
        <v>1.7682608670133257E-4</v>
      </c>
      <c r="W81" s="212">
        <f>$D$7*$J8*'Applicationwise Sales'!W41/($N8*1000000000)</f>
        <v>2.1086776123636634E-4</v>
      </c>
      <c r="X81" s="212">
        <f>$D$7*$J8*'Applicationwise Sales'!X41/($N8*1000000000)</f>
        <v>2.4803234852461338E-4</v>
      </c>
      <c r="Y81" s="212">
        <f>$D$7*$J8*'Applicationwise Sales'!Y41/($N8*1000000000)</f>
        <v>2.8199932735978897E-4</v>
      </c>
      <c r="Z81" s="212">
        <f>$D$7*$J8*'Applicationwise Sales'!Z41/($N8*1000000000)</f>
        <v>3.4221652002724761E-4</v>
      </c>
      <c r="AA81" s="212">
        <f>$D$7*$J8*'Applicationwise Sales'!AA41/($N8*1000000000)</f>
        <v>3.9846188477692525E-4</v>
      </c>
      <c r="AB81" s="212">
        <f>$D$7*$J8*'Applicationwise Sales'!AB41/($N8*1000000000)</f>
        <v>4.5235164103127139E-4</v>
      </c>
      <c r="AC81" s="212">
        <f>$D$7*$J8*'Applicationwise Sales'!AC41/($N8*1000000000)</f>
        <v>5.2671741668261648E-4</v>
      </c>
      <c r="AD81" s="212">
        <f>$D$7*$J8*'Applicationwise Sales'!AD41/($N8*1000000000)</f>
        <v>7.0629245026847915E-4</v>
      </c>
      <c r="AE81" s="212">
        <f>$D$7*$J8*'Applicationwise Sales'!AE41/($N8*1000000000)</f>
        <v>9.0075227048159556E-4</v>
      </c>
      <c r="AF81" s="212">
        <f>$D$7*$J8*'Applicationwise Sales'!AF41/($N8*1000000000)</f>
        <v>1.1110009968793345E-3</v>
      </c>
    </row>
    <row r="82" spans="1:32">
      <c r="A82" s="194" t="s">
        <v>52</v>
      </c>
      <c r="B82" s="212">
        <f>$D$7*$J9*'Applicationwise Sales'!B42/($N9*1000000000)</f>
        <v>0</v>
      </c>
      <c r="C82" s="212">
        <f>$D$7*$J9*'Applicationwise Sales'!C42/($N9*1000000000)</f>
        <v>0</v>
      </c>
      <c r="D82" s="212">
        <f>$D$7*$J9*'Applicationwise Sales'!D42/($N9*1000000000)</f>
        <v>0</v>
      </c>
      <c r="E82" s="212">
        <f>$D$7*$J9*'Applicationwise Sales'!E42/($N9*1000000000)</f>
        <v>0</v>
      </c>
      <c r="F82" s="212">
        <f>$D$7*$J9*'Applicationwise Sales'!F42/($N9*1000000000)</f>
        <v>0</v>
      </c>
      <c r="G82" s="212">
        <f>$D$7*$J9*'Applicationwise Sales'!G42/($N9*1000000000)</f>
        <v>4.8628866551746436E-7</v>
      </c>
      <c r="H82" s="212">
        <f>$D$7*$J9*'Applicationwise Sales'!H42/($N9*1000000000)</f>
        <v>9.2700781294314582E-7</v>
      </c>
      <c r="I82" s="212">
        <f>$D$7*$J9*'Applicationwise Sales'!I42/($N9*1000000000)</f>
        <v>1.8264114175224438E-6</v>
      </c>
      <c r="J82" s="212">
        <f>$D$7*$J9*'Applicationwise Sales'!J42/($N9*1000000000)</f>
        <v>3.4985444054504717E-6</v>
      </c>
      <c r="K82" s="212">
        <f>$D$7*$J9*'Applicationwise Sales'!K42/($N9*1000000000)</f>
        <v>5.9444464039967342E-6</v>
      </c>
      <c r="L82" s="212">
        <f>$D$7*$J9*'Applicationwise Sales'!L42/($N9*1000000000)</f>
        <v>9.7247002705090386E-6</v>
      </c>
      <c r="M82" s="212">
        <f>$D$7*$J9*'Applicationwise Sales'!M42/($N9*1000000000)</f>
        <v>1.5073525042441223E-5</v>
      </c>
      <c r="N82" s="212">
        <f>$D$7*$J9*'Applicationwise Sales'!N42/($N9*1000000000)</f>
        <v>2.3101841078238812E-5</v>
      </c>
      <c r="O82" s="212">
        <f>$D$7*$J9*'Applicationwise Sales'!O42/($N9*1000000000)</f>
        <v>3.2696454928279103E-5</v>
      </c>
      <c r="P82" s="212">
        <f>$D$7*$J9*'Applicationwise Sales'!P42/($N9*1000000000)</f>
        <v>4.4479070964219397E-5</v>
      </c>
      <c r="Q82" s="212">
        <f>$D$7*$J9*'Applicationwise Sales'!Q42/($N9*1000000000)</f>
        <v>5.9240675997548197E-5</v>
      </c>
      <c r="R82" s="212">
        <f>$D$7*$J9*'Applicationwise Sales'!R42/($N9*1000000000)</f>
        <v>7.7068056942290308E-5</v>
      </c>
      <c r="S82" s="212">
        <f>$D$7*$J9*'Applicationwise Sales'!S42/($N9*1000000000)</f>
        <v>9.8214073997265677E-5</v>
      </c>
      <c r="T82" s="212">
        <f>$D$7*$J9*'Applicationwise Sales'!T42/($N9*1000000000)</f>
        <v>1.2255097531483771E-4</v>
      </c>
      <c r="U82" s="212">
        <f>$D$7*$J9*'Applicationwise Sales'!U42/($N9*1000000000)</f>
        <v>1.5138973758732399E-4</v>
      </c>
      <c r="V82" s="212">
        <f>$D$7*$J9*'Applicationwise Sales'!V42/($N9*1000000000)</f>
        <v>1.8319113006901714E-4</v>
      </c>
      <c r="W82" s="212">
        <f>$D$7*$J9*'Applicationwise Sales'!W42/($N9*1000000000)</f>
        <v>2.1582719942625226E-4</v>
      </c>
      <c r="X82" s="212">
        <f>$D$7*$J9*'Applicationwise Sales'!X42/($N9*1000000000)</f>
        <v>2.5347775466657852E-4</v>
      </c>
      <c r="Y82" s="212">
        <f>$D$7*$J9*'Applicationwise Sales'!Y42/($N9*1000000000)</f>
        <v>3.0761008548235605E-4</v>
      </c>
      <c r="Z82" s="212">
        <f>$D$7*$J9*'Applicationwise Sales'!Z42/($N9*1000000000)</f>
        <v>3.5163793115304141E-4</v>
      </c>
      <c r="AA82" s="212">
        <f>$D$7*$J9*'Applicationwise Sales'!AA42/($N9*1000000000)</f>
        <v>4.1140982441321017E-4</v>
      </c>
      <c r="AB82" s="212">
        <f>$D$7*$J9*'Applicationwise Sales'!AB42/($N9*1000000000)</f>
        <v>4.6457892415375699E-4</v>
      </c>
      <c r="AC82" s="212">
        <f>$D$7*$J9*'Applicationwise Sales'!AC42/($N9*1000000000)</f>
        <v>5.3904384872364606E-4</v>
      </c>
      <c r="AD82" s="212">
        <f>$D$7*$J9*'Applicationwise Sales'!AD42/($N9*1000000000)</f>
        <v>7.217165267418234E-4</v>
      </c>
      <c r="AE82" s="212">
        <f>$D$7*$J9*'Applicationwise Sales'!AE42/($N9*1000000000)</f>
        <v>9.196783267635362E-4</v>
      </c>
      <c r="AF82" s="212">
        <f>$D$7*$J9*'Applicationwise Sales'!AF42/($N9*1000000000)</f>
        <v>1.1335158722208048E-3</v>
      </c>
    </row>
    <row r="83" spans="1:32">
      <c r="A83" s="194" t="s">
        <v>57</v>
      </c>
      <c r="B83" s="212">
        <f>$D$7*$J10*'Applicationwise Sales'!B43/($N10*1000000000)</f>
        <v>0</v>
      </c>
      <c r="C83" s="212">
        <f>$D$7*$J10*'Applicationwise Sales'!C43/($N10*1000000000)</f>
        <v>0</v>
      </c>
      <c r="D83" s="212">
        <f>$D$7*$J10*'Applicationwise Sales'!D43/($N10*1000000000)</f>
        <v>0</v>
      </c>
      <c r="E83" s="212">
        <f>$D$7*$J10*'Applicationwise Sales'!E43/($N10*1000000000)</f>
        <v>0</v>
      </c>
      <c r="F83" s="212">
        <f>$D$7*$J10*'Applicationwise Sales'!F43/($N10*1000000000)</f>
        <v>0</v>
      </c>
      <c r="G83" s="212">
        <f>$D$7*$J10*'Applicationwise Sales'!G43/($N10*1000000000)</f>
        <v>2.208690979555984E-7</v>
      </c>
      <c r="H83" s="212">
        <f>$D$7*$J10*'Applicationwise Sales'!H43/($N10*1000000000)</f>
        <v>4.3812503841098808E-7</v>
      </c>
      <c r="I83" s="212">
        <f>$D$7*$J10*'Applicationwise Sales'!I43/($N10*1000000000)</f>
        <v>8.2201830302149307E-7</v>
      </c>
      <c r="J83" s="212">
        <f>$D$7*$J10*'Applicationwise Sales'!J43/($N10*1000000000)</f>
        <v>1.6288440557544982E-6</v>
      </c>
      <c r="K83" s="212">
        <f>$D$7*$J10*'Applicationwise Sales'!K43/($N10*1000000000)</f>
        <v>2.9256920950318209E-6</v>
      </c>
      <c r="L83" s="212">
        <f>$D$7*$J10*'Applicationwise Sales'!L43/($N10*1000000000)</f>
        <v>4.6695447127620428E-6</v>
      </c>
      <c r="M83" s="212">
        <f>$D$7*$J10*'Applicationwise Sales'!M43/($N10*1000000000)</f>
        <v>8.3196776272952617E-6</v>
      </c>
      <c r="N83" s="212">
        <f>$D$7*$J10*'Applicationwise Sales'!N43/($N10*1000000000)</f>
        <v>1.1895359671051201E-5</v>
      </c>
      <c r="O83" s="212">
        <f>$D$7*$J10*'Applicationwise Sales'!O43/($N10*1000000000)</f>
        <v>1.5789888525213929E-5</v>
      </c>
      <c r="P83" s="212">
        <f>$D$7*$J10*'Applicationwise Sales'!P43/($N10*1000000000)</f>
        <v>2.0838042496147419E-5</v>
      </c>
      <c r="Q83" s="212">
        <f>$D$7*$J10*'Applicationwise Sales'!Q43/($N10*1000000000)</f>
        <v>2.793624249218265E-5</v>
      </c>
      <c r="R83" s="212">
        <f>$D$7*$J10*'Applicationwise Sales'!R43/($N10*1000000000)</f>
        <v>3.4858210903061939E-5</v>
      </c>
      <c r="S83" s="212">
        <f>$D$7*$J10*'Applicationwise Sales'!S43/($N10*1000000000)</f>
        <v>4.3833460378437011E-5</v>
      </c>
      <c r="T83" s="212">
        <f>$D$7*$J10*'Applicationwise Sales'!T43/($N10*1000000000)</f>
        <v>5.3725618488057066E-5</v>
      </c>
      <c r="U83" s="212">
        <f>$D$7*$J10*'Applicationwise Sales'!U43/($N10*1000000000)</f>
        <v>6.5916723997867867E-5</v>
      </c>
      <c r="V83" s="212">
        <f>$D$7*$J10*'Applicationwise Sales'!V43/($N10*1000000000)</f>
        <v>7.9942754303324718E-5</v>
      </c>
      <c r="W83" s="212">
        <f>$D$7*$J10*'Applicationwise Sales'!W43/($N10*1000000000)</f>
        <v>9.4933498190896638E-5</v>
      </c>
      <c r="X83" s="212">
        <f>$D$7*$J10*'Applicationwise Sales'!X43/($N10*1000000000)</f>
        <v>1.1187155473135268E-4</v>
      </c>
      <c r="Y83" s="212">
        <f>$D$7*$J10*'Applicationwise Sales'!Y43/($N10*1000000000)</f>
        <v>1.2999836449520226E-4</v>
      </c>
      <c r="Z83" s="212">
        <f>$D$7*$J10*'Applicationwise Sales'!Z43/($N10*1000000000)</f>
        <v>1.4772969628452102E-4</v>
      </c>
      <c r="AA83" s="212">
        <f>$D$7*$J10*'Applicationwise Sales'!AA43/($N10*1000000000)</f>
        <v>1.7254021630555013E-4</v>
      </c>
      <c r="AB83" s="212">
        <f>$D$7*$J10*'Applicationwise Sales'!AB43/($N10*1000000000)</f>
        <v>1.930724488440271E-4</v>
      </c>
      <c r="AC83" s="212">
        <f>$D$7*$J10*'Applicationwise Sales'!AC43/($N10*1000000000)</f>
        <v>2.2169219734132807E-4</v>
      </c>
      <c r="AD83" s="212">
        <f>$D$7*$J10*'Applicationwise Sales'!AD43/($N10*1000000000)</f>
        <v>2.9453319788619141E-4</v>
      </c>
      <c r="AE83" s="212">
        <f>$D$7*$J10*'Applicationwise Sales'!AE43/($N10*1000000000)</f>
        <v>3.7257692493036288E-4</v>
      </c>
      <c r="AF83" s="212">
        <f>$D$7*$J10*'Applicationwise Sales'!AF43/($N10*1000000000)</f>
        <v>4.5620314962154239E-4</v>
      </c>
    </row>
    <row r="84" spans="1:32">
      <c r="A84" s="200" t="s">
        <v>591</v>
      </c>
      <c r="B84" s="216">
        <f>SUM(B75:B83)</f>
        <v>0</v>
      </c>
      <c r="C84" s="216">
        <f t="shared" ref="C84:AE84" si="10">SUM(C75:C83)</f>
        <v>0</v>
      </c>
      <c r="D84" s="216">
        <f t="shared" si="10"/>
        <v>0</v>
      </c>
      <c r="E84" s="216">
        <f t="shared" si="10"/>
        <v>0</v>
      </c>
      <c r="F84" s="216">
        <f t="shared" si="10"/>
        <v>0</v>
      </c>
      <c r="G84" s="216">
        <f t="shared" si="10"/>
        <v>2.6216592605930149E-5</v>
      </c>
      <c r="H84" s="216">
        <f t="shared" si="10"/>
        <v>5.095488317378273E-5</v>
      </c>
      <c r="I84" s="216">
        <f t="shared" si="10"/>
        <v>9.9323365326796522E-5</v>
      </c>
      <c r="J84" s="216">
        <f t="shared" si="10"/>
        <v>1.7770205016136704E-4</v>
      </c>
      <c r="K84" s="216">
        <f t="shared" si="10"/>
        <v>2.9372620611021024E-4</v>
      </c>
      <c r="L84" s="216">
        <f t="shared" si="10"/>
        <v>4.727783291719457E-4</v>
      </c>
      <c r="M84" s="216">
        <f t="shared" si="10"/>
        <v>7.2018852604293639E-4</v>
      </c>
      <c r="N84" s="216">
        <f t="shared" si="10"/>
        <v>1.0576646401289579E-3</v>
      </c>
      <c r="O84" s="216">
        <f t="shared" si="10"/>
        <v>1.4869767522973571E-3</v>
      </c>
      <c r="P84" s="216">
        <f t="shared" si="10"/>
        <v>2.0448097676495666E-3</v>
      </c>
      <c r="Q84" s="216">
        <f t="shared" si="10"/>
        <v>2.742891528055345E-3</v>
      </c>
      <c r="R84" s="216">
        <f t="shared" si="10"/>
        <v>3.6022848971080899E-3</v>
      </c>
      <c r="S84" s="216">
        <f t="shared" si="10"/>
        <v>4.6144856348449897E-3</v>
      </c>
      <c r="T84" s="216">
        <f t="shared" si="10"/>
        <v>5.7546854286827549E-3</v>
      </c>
      <c r="U84" s="216">
        <f t="shared" si="10"/>
        <v>7.0347064145297846E-3</v>
      </c>
      <c r="V84" s="216">
        <f t="shared" si="10"/>
        <v>8.4639321602103003E-3</v>
      </c>
      <c r="W84" s="216">
        <f t="shared" si="10"/>
        <v>9.9904145877619463E-3</v>
      </c>
      <c r="X84" s="216">
        <f t="shared" si="10"/>
        <v>1.1673107557004363E-2</v>
      </c>
      <c r="Y84" s="216">
        <f t="shared" si="10"/>
        <v>1.3288280640217785E-2</v>
      </c>
      <c r="Z84" s="216">
        <f t="shared" si="10"/>
        <v>1.5111835203532585E-2</v>
      </c>
      <c r="AA84" s="216">
        <f t="shared" si="10"/>
        <v>1.7458705722925225E-2</v>
      </c>
      <c r="AB84" s="216">
        <f t="shared" si="10"/>
        <v>1.963637278027687E-2</v>
      </c>
      <c r="AC84" s="216">
        <f t="shared" si="10"/>
        <v>2.2660031646298533E-2</v>
      </c>
      <c r="AD84" s="216">
        <f t="shared" si="10"/>
        <v>3.0123166729531393E-2</v>
      </c>
      <c r="AE84" s="216">
        <f t="shared" si="10"/>
        <v>3.8062881293252526E-2</v>
      </c>
      <c r="AF84" s="216">
        <f>SUM(AF75:AF83)</f>
        <v>4.6486553001321936E-2</v>
      </c>
    </row>
    <row r="87" spans="1:32">
      <c r="A87" s="203" t="s">
        <v>41</v>
      </c>
      <c r="B87" s="203" t="s">
        <v>597</v>
      </c>
      <c r="C87" s="203" t="s">
        <v>598</v>
      </c>
      <c r="D87" s="203" t="s">
        <v>599</v>
      </c>
      <c r="E87" s="203" t="s">
        <v>600</v>
      </c>
      <c r="F87" s="203" t="s">
        <v>601</v>
      </c>
      <c r="G87" s="203" t="s">
        <v>602</v>
      </c>
      <c r="H87" s="203" t="s">
        <v>603</v>
      </c>
      <c r="I87" s="203" t="s">
        <v>604</v>
      </c>
      <c r="J87" s="203" t="s">
        <v>693</v>
      </c>
      <c r="K87" s="203" t="s">
        <v>694</v>
      </c>
    </row>
    <row r="88" spans="1:32">
      <c r="A88" s="148" cm="1">
        <f t="array" ref="A88:A118">TRANSPOSE(B74:AF74)</f>
        <v>2025</v>
      </c>
      <c r="B88" s="206" cm="1">
        <f t="array" aca="1" ref="B88:B118" ca="1">TRANSPOSE(B22:AF22)</f>
        <v>426.42498937881993</v>
      </c>
      <c r="C88" s="206" cm="1">
        <f t="array" aca="1" ref="C88:C118" ca="1">TRANSPOSE(B60:AF60)</f>
        <v>1.0005278667370103E-2</v>
      </c>
      <c r="D88" s="206" cm="1">
        <f t="array" ref="D88:D118">TRANSPOSE(B72:AF72)</f>
        <v>0</v>
      </c>
      <c r="E88" s="206" cm="1">
        <f t="array" ref="E88:E118">TRANSPOSE(B84:AF84)</f>
        <v>0</v>
      </c>
      <c r="F88" s="206" cm="1">
        <f t="array" ref="F88:F118">TRANSPOSE(B34:AF34)</f>
        <v>0.76894682631117173</v>
      </c>
      <c r="G88" s="206" cm="1">
        <f t="array" ref="G88:G118">TRANSPOSE(B46:AF46)</f>
        <v>2.6485815731378662E-2</v>
      </c>
      <c r="H88" s="206" cm="1">
        <f t="array" ref="H88:H118">TRANSPOSE('Diesel Only Emissions'!B36:AF36)</f>
        <v>427.42151743668472</v>
      </c>
      <c r="I88" s="206">
        <f ca="1">SUM(B88:G88)</f>
        <v>427.23042729952988</v>
      </c>
      <c r="J88" s="206">
        <f ca="1">-(I88-H88)</f>
        <v>0.1910901371548448</v>
      </c>
      <c r="K88" s="206">
        <f ca="1">J88</f>
        <v>0.1910901371548448</v>
      </c>
    </row>
    <row r="89" spans="1:32">
      <c r="A89" s="148">
        <v>2026</v>
      </c>
      <c r="B89" s="206">
        <f ca="1"/>
        <v>432.59517465384192</v>
      </c>
      <c r="C89" s="206">
        <f ca="1"/>
        <v>3.6288374826192203E-2</v>
      </c>
      <c r="D89" s="206">
        <v>0</v>
      </c>
      <c r="E89" s="206">
        <v>0</v>
      </c>
      <c r="F89" s="206">
        <v>1.6357857009925558</v>
      </c>
      <c r="G89" s="206">
        <v>5.6347447582864883E-2</v>
      </c>
      <c r="H89" s="206">
        <v>434.73466239913637</v>
      </c>
      <c r="I89" s="206">
        <f t="shared" ref="I89:I118" ca="1" si="11">SUM(B89:G89)</f>
        <v>434.32359617724353</v>
      </c>
      <c r="J89" s="206">
        <f t="shared" ref="J89:J118" ca="1" si="12">-(I89-H89)</f>
        <v>0.41106622189283826</v>
      </c>
      <c r="K89" s="206">
        <f ca="1">J89+K88</f>
        <v>0.60215635904768305</v>
      </c>
    </row>
    <row r="90" spans="1:32">
      <c r="A90" s="148">
        <v>2027</v>
      </c>
      <c r="B90" s="206">
        <f ca="1"/>
        <v>437.23668981431257</v>
      </c>
      <c r="C90" s="206">
        <f ca="1"/>
        <v>9.2975375567009313E-2</v>
      </c>
      <c r="D90" s="206">
        <v>0</v>
      </c>
      <c r="E90" s="206">
        <v>0</v>
      </c>
      <c r="F90" s="206">
        <v>2.5107887333391501</v>
      </c>
      <c r="G90" s="206">
        <v>8.6519595300453764E-2</v>
      </c>
      <c r="H90" s="206">
        <v>440.5707546012124</v>
      </c>
      <c r="I90" s="206">
        <f t="shared" ca="1" si="11"/>
        <v>439.92697351851916</v>
      </c>
      <c r="J90" s="206">
        <f t="shared" ca="1" si="12"/>
        <v>0.64378108269323775</v>
      </c>
      <c r="K90" s="206">
        <f ca="1">J90+K89</f>
        <v>1.2459374417409208</v>
      </c>
    </row>
    <row r="91" spans="1:32">
      <c r="A91" s="148">
        <v>2028</v>
      </c>
      <c r="B91" s="206">
        <f ca="1"/>
        <v>442.38072288992373</v>
      </c>
      <c r="C91" s="206">
        <f ca="1"/>
        <v>0.20346200340691553</v>
      </c>
      <c r="D91" s="206">
        <v>5.4354811878229754E-5</v>
      </c>
      <c r="E91" s="206">
        <v>0</v>
      </c>
      <c r="F91" s="206">
        <v>3.402354176124216</v>
      </c>
      <c r="G91" s="206">
        <v>0.1173223925580775</v>
      </c>
      <c r="H91" s="206">
        <v>447.00773569525001</v>
      </c>
      <c r="I91" s="206">
        <f t="shared" ca="1" si="11"/>
        <v>446.10391581682484</v>
      </c>
      <c r="J91" s="206">
        <f t="shared" ca="1" si="12"/>
        <v>0.90381987842516764</v>
      </c>
      <c r="K91" s="206">
        <f t="shared" ref="K91:K118" ca="1" si="13">J91+K90</f>
        <v>2.1497573201660884</v>
      </c>
    </row>
    <row r="92" spans="1:32">
      <c r="A92" s="148">
        <v>2029</v>
      </c>
      <c r="B92" s="206">
        <f ca="1"/>
        <v>448.64956367448718</v>
      </c>
      <c r="C92" s="206">
        <f ca="1"/>
        <v>0.41905297336201175</v>
      </c>
      <c r="D92" s="206">
        <v>1.5909586710122372E-4</v>
      </c>
      <c r="E92" s="206">
        <v>0</v>
      </c>
      <c r="F92" s="206">
        <v>4.3728676787025051</v>
      </c>
      <c r="G92" s="206">
        <v>0.1510559408344396</v>
      </c>
      <c r="H92" s="206">
        <v>454.82296941899892</v>
      </c>
      <c r="I92" s="206">
        <f t="shared" ca="1" si="11"/>
        <v>453.59269936325325</v>
      </c>
      <c r="J92" s="206">
        <f t="shared" ca="1" si="12"/>
        <v>1.2302700557456774</v>
      </c>
      <c r="K92" s="206">
        <f t="shared" ca="1" si="13"/>
        <v>3.3800273759117658</v>
      </c>
    </row>
    <row r="93" spans="1:32">
      <c r="A93" s="148">
        <v>2030</v>
      </c>
      <c r="B93" s="206">
        <f ca="1"/>
        <v>452.75565994203271</v>
      </c>
      <c r="C93" s="206">
        <f ca="1"/>
        <v>0.78075943224578492</v>
      </c>
      <c r="D93" s="206">
        <v>3.3935349075157276E-4</v>
      </c>
      <c r="E93" s="206">
        <v>2.6216592605930149E-5</v>
      </c>
      <c r="F93" s="206">
        <v>5.365980042180384</v>
      </c>
      <c r="G93" s="206">
        <v>0.18595131794968178</v>
      </c>
      <c r="H93" s="206">
        <v>460.73154685147625</v>
      </c>
      <c r="I93" s="206">
        <f t="shared" ca="1" si="11"/>
        <v>459.08871630449192</v>
      </c>
      <c r="J93" s="206">
        <f t="shared" ca="1" si="12"/>
        <v>1.6428305469843281</v>
      </c>
      <c r="K93" s="206">
        <f t="shared" ca="1" si="13"/>
        <v>5.0228579228960939</v>
      </c>
    </row>
    <row r="94" spans="1:32">
      <c r="A94" s="148">
        <v>2031</v>
      </c>
      <c r="B94" s="206">
        <f ca="1"/>
        <v>457.05632396174065</v>
      </c>
      <c r="C94" s="206">
        <f ca="1"/>
        <v>1.3484695826833772</v>
      </c>
      <c r="D94" s="206">
        <v>6.3479196481639258E-4</v>
      </c>
      <c r="E94" s="206">
        <v>5.095488317378273E-5</v>
      </c>
      <c r="F94" s="206">
        <v>6.3856288074935295</v>
      </c>
      <c r="G94" s="206">
        <v>0.22253039845192307</v>
      </c>
      <c r="H94" s="206">
        <v>467.20907026200234</v>
      </c>
      <c r="I94" s="206">
        <f t="shared" ca="1" si="11"/>
        <v>465.01363849721747</v>
      </c>
      <c r="J94" s="206">
        <f t="shared" ca="1" si="12"/>
        <v>2.1954317647848711</v>
      </c>
      <c r="K94" s="206">
        <f t="shared" ca="1" si="13"/>
        <v>7.218289687680965</v>
      </c>
    </row>
    <row r="95" spans="1:32">
      <c r="A95" s="148">
        <v>2032</v>
      </c>
      <c r="B95" s="206">
        <f ca="1"/>
        <v>467.51342893131499</v>
      </c>
      <c r="C95" s="206">
        <f ca="1"/>
        <v>2.5651562413298739</v>
      </c>
      <c r="D95" s="206">
        <v>1.133792904384822E-3</v>
      </c>
      <c r="E95" s="206">
        <v>9.9323365326796522E-5</v>
      </c>
      <c r="F95" s="206">
        <v>7.4929727372362409</v>
      </c>
      <c r="G95" s="206">
        <v>0.26373444820465197</v>
      </c>
      <c r="H95" s="206">
        <v>480.96279425279232</v>
      </c>
      <c r="I95" s="206">
        <f t="shared" ca="1" si="11"/>
        <v>477.83652547435548</v>
      </c>
      <c r="J95" s="206">
        <f t="shared" ca="1" si="12"/>
        <v>3.1262687784368381</v>
      </c>
      <c r="K95" s="206">
        <f t="shared" ca="1" si="13"/>
        <v>10.344558466117803</v>
      </c>
    </row>
    <row r="96" spans="1:32">
      <c r="A96" s="148">
        <v>2033</v>
      </c>
      <c r="B96" s="206">
        <f ca="1"/>
        <v>480.3974146670754</v>
      </c>
      <c r="C96" s="206">
        <f ca="1"/>
        <v>4.3540348630105958</v>
      </c>
      <c r="D96" s="206">
        <v>1.9227116204275239E-3</v>
      </c>
      <c r="E96" s="206">
        <v>1.7770205016136704E-4</v>
      </c>
      <c r="F96" s="206">
        <v>8.6834113951556624</v>
      </c>
      <c r="G96" s="206">
        <v>0.31023546757749598</v>
      </c>
      <c r="H96" s="206">
        <v>498.265781985893</v>
      </c>
      <c r="I96" s="206">
        <f t="shared" ca="1" si="11"/>
        <v>493.74719680648974</v>
      </c>
      <c r="J96" s="206">
        <f t="shared" ca="1" si="12"/>
        <v>4.5185851794032601</v>
      </c>
      <c r="K96" s="206">
        <f t="shared" ca="1" si="13"/>
        <v>14.863143645521063</v>
      </c>
    </row>
    <row r="97" spans="1:11">
      <c r="A97" s="148">
        <v>2034</v>
      </c>
      <c r="B97" s="206">
        <f ca="1"/>
        <v>497.56743206108138</v>
      </c>
      <c r="C97" s="206">
        <f ca="1"/>
        <v>7.0275123780436992</v>
      </c>
      <c r="D97" s="206">
        <v>3.0971043936478624E-3</v>
      </c>
      <c r="E97" s="206">
        <v>2.9372620611021024E-4</v>
      </c>
      <c r="F97" s="206">
        <v>9.9343306948168753</v>
      </c>
      <c r="G97" s="206">
        <v>0.36245657096607758</v>
      </c>
      <c r="H97" s="206">
        <v>521.54290599694934</v>
      </c>
      <c r="I97" s="206">
        <f t="shared" ca="1" si="11"/>
        <v>514.89512253550777</v>
      </c>
      <c r="J97" s="206">
        <f t="shared" ca="1" si="12"/>
        <v>6.6477834614415769</v>
      </c>
      <c r="K97" s="206">
        <f t="shared" ca="1" si="13"/>
        <v>21.51092710696264</v>
      </c>
    </row>
    <row r="98" spans="1:11">
      <c r="A98" s="148">
        <v>2035</v>
      </c>
      <c r="B98" s="206">
        <f ca="1"/>
        <v>512.73232424613104</v>
      </c>
      <c r="C98" s="206">
        <f ca="1"/>
        <v>10.986898087137556</v>
      </c>
      <c r="D98" s="206">
        <v>4.814236214406669E-3</v>
      </c>
      <c r="E98" s="206">
        <v>4.727783291719457E-4</v>
      </c>
      <c r="F98" s="206">
        <v>11.250419700421192</v>
      </c>
      <c r="G98" s="206">
        <v>0.42231528801799034</v>
      </c>
      <c r="H98" s="206">
        <v>545.23311036828943</v>
      </c>
      <c r="I98" s="206">
        <f t="shared" ca="1" si="11"/>
        <v>535.39724433625133</v>
      </c>
      <c r="J98" s="206">
        <f t="shared" ca="1" si="12"/>
        <v>9.8358660320380977</v>
      </c>
      <c r="K98" s="206">
        <f t="shared" ca="1" si="13"/>
        <v>31.346793139000738</v>
      </c>
    </row>
    <row r="99" spans="1:11">
      <c r="A99" s="148">
        <v>2036</v>
      </c>
      <c r="B99" s="206">
        <f ca="1"/>
        <v>525.32863590083616</v>
      </c>
      <c r="C99" s="206">
        <f ca="1"/>
        <v>16.418333637890051</v>
      </c>
      <c r="D99" s="206">
        <v>7.2409061853107651E-3</v>
      </c>
      <c r="E99" s="206">
        <v>7.2018852604293639E-4</v>
      </c>
      <c r="F99" s="206">
        <v>12.643728559657381</v>
      </c>
      <c r="G99" s="206">
        <v>0.49228332098360117</v>
      </c>
      <c r="H99" s="206">
        <v>569.41393678133511</v>
      </c>
      <c r="I99" s="206">
        <f t="shared" ca="1" si="11"/>
        <v>554.89094251407857</v>
      </c>
      <c r="J99" s="206">
        <f t="shared" ca="1" si="12"/>
        <v>14.522994267256536</v>
      </c>
      <c r="K99" s="206">
        <f t="shared" ca="1" si="13"/>
        <v>45.869787406257274</v>
      </c>
    </row>
    <row r="100" spans="1:11">
      <c r="A100" s="148">
        <v>2037</v>
      </c>
      <c r="B100" s="206">
        <f ca="1"/>
        <v>522.37102743623541</v>
      </c>
      <c r="C100" s="206">
        <f ca="1"/>
        <v>23.459778944765354</v>
      </c>
      <c r="D100" s="206">
        <v>1.0578406518227002E-2</v>
      </c>
      <c r="E100" s="206">
        <v>1.0576646401289579E-3</v>
      </c>
      <c r="F100" s="206">
        <v>14.133737260834739</v>
      </c>
      <c r="G100" s="206">
        <v>0.57536334040430848</v>
      </c>
      <c r="H100" s="206">
        <v>581.68555401091919</v>
      </c>
      <c r="I100" s="206">
        <f t="shared" ca="1" si="11"/>
        <v>560.55154305339829</v>
      </c>
      <c r="J100" s="206">
        <f t="shared" ca="1" si="12"/>
        <v>21.1340109575209</v>
      </c>
      <c r="K100" s="206">
        <f t="shared" ca="1" si="13"/>
        <v>67.003798363778174</v>
      </c>
    </row>
    <row r="101" spans="1:11">
      <c r="A101" s="148">
        <v>2038</v>
      </c>
      <c r="B101" s="206">
        <f ca="1"/>
        <v>514.3596201898888</v>
      </c>
      <c r="C101" s="206">
        <f ca="1"/>
        <v>32.304201350748556</v>
      </c>
      <c r="D101" s="206">
        <v>1.5005350194719873E-2</v>
      </c>
      <c r="E101" s="206">
        <v>1.4869767522973571E-3</v>
      </c>
      <c r="F101" s="206">
        <v>15.658105596042713</v>
      </c>
      <c r="G101" s="206">
        <v>0.67191418199472175</v>
      </c>
      <c r="H101" s="206">
        <v>592.78222822501846</v>
      </c>
      <c r="I101" s="206">
        <f t="shared" ca="1" si="11"/>
        <v>563.01033364562181</v>
      </c>
      <c r="J101" s="206">
        <f t="shared" ca="1" si="12"/>
        <v>29.771894579396644</v>
      </c>
      <c r="K101" s="206">
        <f t="shared" ca="1" si="13"/>
        <v>96.775692943174818</v>
      </c>
    </row>
    <row r="102" spans="1:11">
      <c r="A102" s="148">
        <v>2039</v>
      </c>
      <c r="B102" s="206">
        <f ca="1"/>
        <v>503.23411324302867</v>
      </c>
      <c r="C102" s="206">
        <f ca="1"/>
        <v>42.944816953747555</v>
      </c>
      <c r="D102" s="206">
        <v>2.0847744929723966E-2</v>
      </c>
      <c r="E102" s="206">
        <v>2.0448097676495666E-3</v>
      </c>
      <c r="F102" s="206">
        <v>17.293352294463613</v>
      </c>
      <c r="G102" s="206">
        <v>0.78795934777840881</v>
      </c>
      <c r="H102" s="206">
        <v>605.35067876068672</v>
      </c>
      <c r="I102" s="206">
        <f t="shared" ca="1" si="11"/>
        <v>564.28313439371561</v>
      </c>
      <c r="J102" s="206">
        <f t="shared" ca="1" si="12"/>
        <v>41.067544366971106</v>
      </c>
      <c r="K102" s="206">
        <f t="shared" ca="1" si="13"/>
        <v>137.84323731014592</v>
      </c>
    </row>
    <row r="103" spans="1:11">
      <c r="A103" s="148">
        <v>2040</v>
      </c>
      <c r="B103" s="206">
        <f ca="1"/>
        <v>495.1642467564551</v>
      </c>
      <c r="C103" s="206">
        <f ca="1"/>
        <v>55.247599199621362</v>
      </c>
      <c r="D103" s="206">
        <v>2.8381573213558831E-2</v>
      </c>
      <c r="E103" s="206">
        <v>2.742891528055345E-3</v>
      </c>
      <c r="F103" s="206">
        <v>19.028112705544352</v>
      </c>
      <c r="G103" s="206">
        <v>0.92571857163603277</v>
      </c>
      <c r="H103" s="206">
        <v>625.70578374334139</v>
      </c>
      <c r="I103" s="206">
        <f t="shared" ca="1" si="11"/>
        <v>570.39680169799851</v>
      </c>
      <c r="J103" s="206">
        <f t="shared" ca="1" si="12"/>
        <v>55.308982045342873</v>
      </c>
      <c r="K103" s="206">
        <f t="shared" ca="1" si="13"/>
        <v>193.1522193554888</v>
      </c>
    </row>
    <row r="104" spans="1:11">
      <c r="A104" s="148">
        <v>2041</v>
      </c>
      <c r="B104" s="206">
        <f ca="1"/>
        <v>491.93413718206671</v>
      </c>
      <c r="C104" s="206">
        <f ca="1"/>
        <v>69.044112765991812</v>
      </c>
      <c r="D104" s="206">
        <v>3.7894344185378223E-2</v>
      </c>
      <c r="E104" s="206">
        <v>3.6022848971080899E-3</v>
      </c>
      <c r="F104" s="206">
        <v>20.083612314707089</v>
      </c>
      <c r="G104" s="206">
        <v>1.0602182156911184</v>
      </c>
      <c r="H104" s="206">
        <v>654.54454583991537</v>
      </c>
      <c r="I104" s="206">
        <f t="shared" ca="1" si="11"/>
        <v>582.16357710753914</v>
      </c>
      <c r="J104" s="206">
        <f t="shared" ca="1" si="12"/>
        <v>72.380968732376232</v>
      </c>
      <c r="K104" s="206">
        <f t="shared" ca="1" si="13"/>
        <v>265.53318808786503</v>
      </c>
    </row>
    <row r="105" spans="1:11">
      <c r="A105" s="148">
        <v>2042</v>
      </c>
      <c r="B105" s="206">
        <f ca="1"/>
        <v>497.80109148834919</v>
      </c>
      <c r="C105" s="206">
        <f ca="1"/>
        <v>84.131233079651722</v>
      </c>
      <c r="D105" s="206">
        <v>5.000776844792388E-2</v>
      </c>
      <c r="E105" s="206">
        <v>4.6144856348449897E-3</v>
      </c>
      <c r="F105" s="206">
        <v>21.264829952177447</v>
      </c>
      <c r="G105" s="206">
        <v>1.2231098450744862</v>
      </c>
      <c r="H105" s="206">
        <v>698.06223419537241</v>
      </c>
      <c r="I105" s="206">
        <f t="shared" ca="1" si="11"/>
        <v>604.47488661933573</v>
      </c>
      <c r="J105" s="206">
        <f t="shared" ca="1" si="12"/>
        <v>93.587347576036677</v>
      </c>
      <c r="K105" s="206">
        <f t="shared" ca="1" si="13"/>
        <v>359.12053566390171</v>
      </c>
    </row>
    <row r="106" spans="1:11">
      <c r="A106" s="148">
        <v>2043</v>
      </c>
      <c r="B106" s="206">
        <f ca="1"/>
        <v>494.02913801820267</v>
      </c>
      <c r="C106" s="206">
        <f ca="1"/>
        <v>100.17443523011589</v>
      </c>
      <c r="D106" s="206">
        <v>6.458611585111794E-2</v>
      </c>
      <c r="E106" s="206">
        <v>5.7546854286827549E-3</v>
      </c>
      <c r="F106" s="206">
        <v>22.443833054899653</v>
      </c>
      <c r="G106" s="206">
        <v>1.4041058163787237</v>
      </c>
      <c r="H106" s="206">
        <v>735.2246851752235</v>
      </c>
      <c r="I106" s="206">
        <f t="shared" ca="1" si="11"/>
        <v>618.12185292087679</v>
      </c>
      <c r="J106" s="206">
        <f t="shared" ca="1" si="12"/>
        <v>117.10283225434671</v>
      </c>
      <c r="K106" s="206">
        <f t="shared" ca="1" si="13"/>
        <v>476.22336791824841</v>
      </c>
    </row>
    <row r="107" spans="1:11">
      <c r="A107" s="148">
        <v>2044</v>
      </c>
      <c r="B107" s="206">
        <f ca="1"/>
        <v>482.62890522934441</v>
      </c>
      <c r="C107" s="206">
        <f ca="1"/>
        <v>116.58818355170816</v>
      </c>
      <c r="D107" s="206">
        <v>8.2037510798475127E-2</v>
      </c>
      <c r="E107" s="206">
        <v>7.0347064145297846E-3</v>
      </c>
      <c r="F107" s="206">
        <v>23.703211016529764</v>
      </c>
      <c r="G107" s="206">
        <v>1.6039647555824073</v>
      </c>
      <c r="H107" s="206">
        <v>768.04036499855658</v>
      </c>
      <c r="I107" s="206">
        <f t="shared" ca="1" si="11"/>
        <v>624.61333677037771</v>
      </c>
      <c r="J107" s="206">
        <f t="shared" ca="1" si="12"/>
        <v>143.42702822817887</v>
      </c>
      <c r="K107" s="206">
        <f t="shared" ca="1" si="13"/>
        <v>619.65039614642728</v>
      </c>
    </row>
    <row r="108" spans="1:11">
      <c r="A108" s="148">
        <v>2045</v>
      </c>
      <c r="B108" s="206">
        <f ca="1"/>
        <v>471.61227712619609</v>
      </c>
      <c r="C108" s="206">
        <f ca="1"/>
        <v>132.87129061087285</v>
      </c>
      <c r="D108" s="206">
        <v>0.10269353204841132</v>
      </c>
      <c r="E108" s="206">
        <v>8.4639321602103003E-3</v>
      </c>
      <c r="F108" s="206">
        <v>24.969242109130555</v>
      </c>
      <c r="G108" s="206">
        <v>1.8141414998773397</v>
      </c>
      <c r="H108" s="206">
        <v>803.57056151441452</v>
      </c>
      <c r="I108" s="206">
        <f t="shared" ca="1" si="11"/>
        <v>631.37810881028543</v>
      </c>
      <c r="J108" s="206">
        <f t="shared" ca="1" si="12"/>
        <v>172.1924527041291</v>
      </c>
      <c r="K108" s="206">
        <f t="shared" ca="1" si="13"/>
        <v>791.84284885055638</v>
      </c>
    </row>
    <row r="109" spans="1:11">
      <c r="A109" s="148">
        <v>2046</v>
      </c>
      <c r="B109" s="206">
        <f ca="1"/>
        <v>460.08447820919667</v>
      </c>
      <c r="C109" s="206">
        <f ca="1"/>
        <v>149.18429285080714</v>
      </c>
      <c r="D109" s="206">
        <v>0.12675453982207369</v>
      </c>
      <c r="E109" s="206">
        <v>9.9904145877619463E-3</v>
      </c>
      <c r="F109" s="206">
        <v>26.143027494239814</v>
      </c>
      <c r="G109" s="206">
        <v>2.022795181492949</v>
      </c>
      <c r="H109" s="206">
        <v>840.93498291795652</v>
      </c>
      <c r="I109" s="206">
        <f t="shared" ca="1" si="11"/>
        <v>637.57133869014638</v>
      </c>
      <c r="J109" s="206">
        <f t="shared" ca="1" si="12"/>
        <v>203.36364422781014</v>
      </c>
      <c r="K109" s="206">
        <f t="shared" ca="1" si="13"/>
        <v>995.20649307836652</v>
      </c>
    </row>
    <row r="110" spans="1:11">
      <c r="A110" s="148">
        <v>2047</v>
      </c>
      <c r="B110" s="206">
        <f ca="1"/>
        <v>445.6160294013448</v>
      </c>
      <c r="C110" s="206">
        <f ca="1"/>
        <v>165.33720434414658</v>
      </c>
      <c r="D110" s="206">
        <v>0.15455546417906746</v>
      </c>
      <c r="E110" s="206">
        <v>1.1673107557004363E-2</v>
      </c>
      <c r="F110" s="206">
        <v>27.239920008793845</v>
      </c>
      <c r="G110" s="206">
        <v>2.2305503111640657</v>
      </c>
      <c r="H110" s="206">
        <v>877.91628635867653</v>
      </c>
      <c r="I110" s="206">
        <f t="shared" ca="1" si="11"/>
        <v>640.58993263718548</v>
      </c>
      <c r="J110" s="206">
        <f t="shared" ca="1" si="12"/>
        <v>237.32635372149105</v>
      </c>
      <c r="K110" s="206">
        <f t="shared" ca="1" si="13"/>
        <v>1232.5328467998575</v>
      </c>
    </row>
    <row r="111" spans="1:11">
      <c r="A111" s="148">
        <v>2048</v>
      </c>
      <c r="B111" s="206">
        <f ca="1"/>
        <v>431.34756395421266</v>
      </c>
      <c r="C111" s="206">
        <f ca="1"/>
        <v>180.53441778460626</v>
      </c>
      <c r="D111" s="206">
        <v>0.18579692493955877</v>
      </c>
      <c r="E111" s="206">
        <v>1.3288280640217785E-2</v>
      </c>
      <c r="F111" s="206">
        <v>28.149355910264084</v>
      </c>
      <c r="G111" s="206">
        <v>2.430299858086201</v>
      </c>
      <c r="H111" s="206">
        <v>916.20710995209436</v>
      </c>
      <c r="I111" s="206">
        <f t="shared" ca="1" si="11"/>
        <v>642.66072271274902</v>
      </c>
      <c r="J111" s="206">
        <f t="shared" ca="1" si="12"/>
        <v>273.54638723934534</v>
      </c>
      <c r="K111" s="206">
        <f t="shared" ca="1" si="13"/>
        <v>1506.0792340392027</v>
      </c>
    </row>
    <row r="112" spans="1:11">
      <c r="A112" s="148">
        <v>2049</v>
      </c>
      <c r="B112" s="206">
        <f ca="1"/>
        <v>416.73540598920891</v>
      </c>
      <c r="C112" s="206">
        <f ca="1"/>
        <v>195.01862613567454</v>
      </c>
      <c r="D112" s="206">
        <v>0.22072107605408253</v>
      </c>
      <c r="E112" s="206">
        <v>1.5111835203532585E-2</v>
      </c>
      <c r="F112" s="206">
        <v>28.871859974611407</v>
      </c>
      <c r="G112" s="206">
        <v>2.6213073183327888</v>
      </c>
      <c r="H112" s="206">
        <v>955.46581555694502</v>
      </c>
      <c r="I112" s="206">
        <f t="shared" ca="1" si="11"/>
        <v>643.4830323290854</v>
      </c>
      <c r="J112" s="206">
        <f t="shared" ca="1" si="12"/>
        <v>311.98278322785961</v>
      </c>
      <c r="K112" s="206">
        <f t="shared" ca="1" si="13"/>
        <v>1818.0620172670624</v>
      </c>
    </row>
    <row r="113" spans="1:11">
      <c r="A113" s="148">
        <v>2050</v>
      </c>
      <c r="B113" s="206">
        <f ca="1"/>
        <v>400.27562656991114</v>
      </c>
      <c r="C113" s="206">
        <f ca="1"/>
        <v>210.39102069561082</v>
      </c>
      <c r="D113" s="206">
        <v>0.2605808011230587</v>
      </c>
      <c r="E113" s="206">
        <v>1.7458705722925225E-2</v>
      </c>
      <c r="F113" s="206">
        <v>29.466641368532681</v>
      </c>
      <c r="G113" s="206">
        <v>2.8088695258291883</v>
      </c>
      <c r="H113" s="206">
        <v>995.42260168166774</v>
      </c>
      <c r="I113" s="206">
        <f t="shared" ca="1" si="11"/>
        <v>643.22019766672986</v>
      </c>
      <c r="J113" s="206">
        <f t="shared" ca="1" si="12"/>
        <v>352.20240401493788</v>
      </c>
      <c r="K113" s="206">
        <f t="shared" ca="1" si="13"/>
        <v>2170.2644212820005</v>
      </c>
    </row>
    <row r="114" spans="1:11">
      <c r="A114" s="148">
        <v>2051</v>
      </c>
      <c r="B114" s="206">
        <f ca="1"/>
        <v>385.70793211854004</v>
      </c>
      <c r="C114" s="206">
        <f ca="1"/>
        <v>224.45400516667834</v>
      </c>
      <c r="D114" s="206">
        <v>0.3053151088496332</v>
      </c>
      <c r="E114" s="206">
        <v>1.963637278027687E-2</v>
      </c>
      <c r="F114" s="206">
        <v>29.923270655567777</v>
      </c>
      <c r="G114" s="206">
        <v>2.9782874742723147</v>
      </c>
      <c r="H114" s="206">
        <v>1038.8448951205885</v>
      </c>
      <c r="I114" s="206">
        <f t="shared" ca="1" si="11"/>
        <v>643.38844689668838</v>
      </c>
      <c r="J114" s="206">
        <f t="shared" ca="1" si="12"/>
        <v>395.45644822390011</v>
      </c>
      <c r="K114" s="206">
        <f t="shared" ca="1" si="13"/>
        <v>2565.7208695059007</v>
      </c>
    </row>
    <row r="115" spans="1:11">
      <c r="A115" s="148">
        <v>2052</v>
      </c>
      <c r="B115" s="206">
        <f ca="1"/>
        <v>372.51140105403834</v>
      </c>
      <c r="C115" s="206">
        <f ca="1"/>
        <v>237.53803349731751</v>
      </c>
      <c r="D115" s="206">
        <v>0.37553131432532733</v>
      </c>
      <c r="E115" s="206">
        <v>2.2660031646298533E-2</v>
      </c>
      <c r="F115" s="206">
        <v>29.866868984006153</v>
      </c>
      <c r="G115" s="206">
        <v>3.08096799013722</v>
      </c>
      <c r="H115" s="206">
        <v>1084.4814891569472</v>
      </c>
      <c r="I115" s="206">
        <f t="shared" ca="1" si="11"/>
        <v>643.39546287147084</v>
      </c>
      <c r="J115" s="206">
        <f t="shared" ca="1" si="12"/>
        <v>441.08602628547635</v>
      </c>
      <c r="K115" s="206">
        <f t="shared" ca="1" si="13"/>
        <v>3006.806895791377</v>
      </c>
    </row>
    <row r="116" spans="1:11">
      <c r="A116" s="148">
        <v>2053</v>
      </c>
      <c r="B116" s="206">
        <f ca="1"/>
        <v>359.14864639311924</v>
      </c>
      <c r="C116" s="206">
        <f ca="1"/>
        <v>249.56175900699981</v>
      </c>
      <c r="D116" s="206">
        <v>0.45930448956790998</v>
      </c>
      <c r="E116" s="206">
        <v>3.0123166729531393E-2</v>
      </c>
      <c r="F116" s="206">
        <v>29.140141668674513</v>
      </c>
      <c r="G116" s="206">
        <v>3.0940539589059086</v>
      </c>
      <c r="H116" s="206">
        <v>1130.2055060112059</v>
      </c>
      <c r="I116" s="206">
        <f t="shared" ca="1" si="11"/>
        <v>641.43402868399676</v>
      </c>
      <c r="J116" s="206">
        <f t="shared" ca="1" si="12"/>
        <v>488.77147732720914</v>
      </c>
      <c r="K116" s="206">
        <f t="shared" ca="1" si="13"/>
        <v>3495.5783731185861</v>
      </c>
    </row>
    <row r="117" spans="1:11">
      <c r="A117" s="148">
        <v>2054</v>
      </c>
      <c r="B117" s="206">
        <f ca="1"/>
        <v>346.46378941277294</v>
      </c>
      <c r="C117" s="206">
        <f ca="1"/>
        <v>260.43309813620726</v>
      </c>
      <c r="D117" s="206">
        <v>0.55701805227445711</v>
      </c>
      <c r="E117" s="206">
        <v>3.8062881293252526E-2</v>
      </c>
      <c r="F117" s="206">
        <v>27.801802486144616</v>
      </c>
      <c r="G117" s="206">
        <v>3.0232766163253397</v>
      </c>
      <c r="H117" s="206">
        <v>1176.1888463355142</v>
      </c>
      <c r="I117" s="206">
        <f t="shared" ca="1" si="11"/>
        <v>638.31704758501792</v>
      </c>
      <c r="J117" s="206">
        <f t="shared" ca="1" si="12"/>
        <v>537.87179875049628</v>
      </c>
      <c r="K117" s="206">
        <f t="shared" ca="1" si="13"/>
        <v>4033.4501718690826</v>
      </c>
    </row>
    <row r="118" spans="1:11">
      <c r="A118" s="148">
        <v>2055</v>
      </c>
      <c r="B118" s="206">
        <f ca="1"/>
        <v>335.38961664492689</v>
      </c>
      <c r="C118" s="206">
        <f ca="1"/>
        <v>270.05778495551061</v>
      </c>
      <c r="D118" s="206">
        <v>0.66943851048422853</v>
      </c>
      <c r="E118" s="206">
        <v>4.6486553001321936E-2</v>
      </c>
      <c r="F118" s="206">
        <v>26.163185073853295</v>
      </c>
      <c r="G118" s="206">
        <v>2.9067216903985189</v>
      </c>
      <c r="H118" s="206">
        <v>1223.8162603687381</v>
      </c>
      <c r="I118" s="206">
        <f t="shared" ca="1" si="11"/>
        <v>635.2332334281748</v>
      </c>
      <c r="J118" s="206">
        <f t="shared" ca="1" si="12"/>
        <v>588.58302694056329</v>
      </c>
      <c r="K118" s="500">
        <f t="shared" ca="1" si="13"/>
        <v>4622.0331988096459</v>
      </c>
    </row>
  </sheetData>
  <autoFilter ref="A87:K87" xr:uid="{00000000-0001-0000-1600-000000000000}"/>
  <hyperlinks>
    <hyperlink ref="E3" r:id="rId1" display="https://www.niti.gov.in/sites/default/files/2024-02/LNG in M%26HCV segment_07022024_updated_0.pdf" xr:uid="{00000000-0004-0000-1600-000000000000}"/>
    <hyperlink ref="E4" r:id="rId2" display="https://te-cdn.ams3.cdn.digitaloceanspaces.com/files/202109_TE_LNG_trucks_a_dead_end_bridge_final.pdf" xr:uid="{00000000-0004-0000-1600-000001000000}"/>
    <hyperlink ref="E6" r:id="rId3" display="https://h2accelerate.eu/wp-content/uploads/2025/10/Hydrogen-ICEs-paper-V8.pdf" xr:uid="{00000000-0004-0000-1600-000002000000}"/>
    <hyperlink ref="E7" r:id="rId4" display="https://www.google.com/search?q=https://theicct.org/publication/lca-ghg-emissions-hdv-india-dec22/" xr:uid="{00000000-0004-0000-1600-000003000000}"/>
  </hyperlinks>
  <pageMargins left="0.7" right="0.7" top="0.75" bottom="0.75" header="0.3" footer="0.3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199"/>
  <sheetViews>
    <sheetView zoomScale="85" zoomScaleNormal="85" workbookViewId="0">
      <pane ySplit="1" topLeftCell="A175" activePane="bottomLeft" state="frozen"/>
      <selection activeCell="C97" sqref="C97:AG97"/>
      <selection pane="bottomLeft" activeCell="A166" sqref="A166:M197"/>
    </sheetView>
  </sheetViews>
  <sheetFormatPr defaultColWidth="8.88671875" defaultRowHeight="14.4"/>
  <cols>
    <col min="1" max="1" width="31.6640625" style="147" bestFit="1" customWidth="1"/>
    <col min="2" max="2" width="15" style="147" bestFit="1" customWidth="1"/>
    <col min="3" max="4" width="19.109375" style="147" bestFit="1" customWidth="1"/>
    <col min="5" max="5" width="22.88671875" style="147" bestFit="1" customWidth="1"/>
    <col min="6" max="21" width="15" style="147" bestFit="1" customWidth="1"/>
    <col min="22" max="31" width="15.6640625" style="147" bestFit="1" customWidth="1"/>
    <col min="32" max="32" width="16.6640625" style="147" bestFit="1" customWidth="1"/>
    <col min="33" max="16384" width="8.88671875" style="147"/>
  </cols>
  <sheetData>
    <row r="1" spans="1:32" s="188" customFormat="1">
      <c r="A1" s="188" t="str" cm="1">
        <f t="array" aca="1" ref="A1:AF10" ca="1">'Applicationwise Stock'!A22:AF31</f>
        <v>Diesel Application Wise Stock</v>
      </c>
      <c r="B1" s="188">
        <f ca="1"/>
        <v>2025</v>
      </c>
      <c r="C1" s="188">
        <f ca="1"/>
        <v>2026</v>
      </c>
      <c r="D1" s="188">
        <f ca="1"/>
        <v>2027</v>
      </c>
      <c r="E1" s="188">
        <f ca="1"/>
        <v>2028</v>
      </c>
      <c r="F1" s="188">
        <f ca="1"/>
        <v>2029</v>
      </c>
      <c r="G1" s="188">
        <f ca="1"/>
        <v>2030</v>
      </c>
      <c r="H1" s="188">
        <f ca="1"/>
        <v>2031</v>
      </c>
      <c r="I1" s="188">
        <f ca="1"/>
        <v>2032</v>
      </c>
      <c r="J1" s="188">
        <f ca="1"/>
        <v>2033</v>
      </c>
      <c r="K1" s="188">
        <f ca="1"/>
        <v>2034</v>
      </c>
      <c r="L1" s="188">
        <f ca="1"/>
        <v>2035</v>
      </c>
      <c r="M1" s="188">
        <f ca="1"/>
        <v>2036</v>
      </c>
      <c r="N1" s="188">
        <f ca="1"/>
        <v>2037</v>
      </c>
      <c r="O1" s="188">
        <f ca="1"/>
        <v>2038</v>
      </c>
      <c r="P1" s="188">
        <f ca="1"/>
        <v>2039</v>
      </c>
      <c r="Q1" s="188">
        <f ca="1"/>
        <v>2040</v>
      </c>
      <c r="R1" s="188">
        <f ca="1"/>
        <v>2041</v>
      </c>
      <c r="S1" s="188">
        <f ca="1"/>
        <v>2042</v>
      </c>
      <c r="T1" s="188">
        <f ca="1"/>
        <v>2043</v>
      </c>
      <c r="U1" s="188">
        <f ca="1"/>
        <v>2044</v>
      </c>
      <c r="V1" s="188">
        <f ca="1"/>
        <v>2045</v>
      </c>
      <c r="W1" s="188">
        <f ca="1"/>
        <v>2046</v>
      </c>
      <c r="X1" s="188">
        <f ca="1"/>
        <v>2047</v>
      </c>
      <c r="Y1" s="188">
        <f ca="1"/>
        <v>2048</v>
      </c>
      <c r="Z1" s="188">
        <f ca="1"/>
        <v>2049</v>
      </c>
      <c r="AA1" s="188">
        <f ca="1"/>
        <v>2050</v>
      </c>
      <c r="AB1" s="188">
        <f ca="1"/>
        <v>2051</v>
      </c>
      <c r="AC1" s="188">
        <f ca="1"/>
        <v>2052</v>
      </c>
      <c r="AD1" s="188">
        <f ca="1"/>
        <v>2053</v>
      </c>
      <c r="AE1" s="188">
        <f ca="1"/>
        <v>2054</v>
      </c>
      <c r="AF1" s="188">
        <f ca="1"/>
        <v>2055</v>
      </c>
    </row>
    <row r="2" spans="1:32">
      <c r="A2" s="147" t="str">
        <f ca="1"/>
        <v>Market Load Total</v>
      </c>
      <c r="B2" s="312">
        <f ca="1"/>
        <v>1531280.3531833466</v>
      </c>
      <c r="C2" s="312">
        <f ca="1"/>
        <v>1559332.3352843672</v>
      </c>
      <c r="D2" s="312">
        <f ca="1"/>
        <v>1591655.0184964223</v>
      </c>
      <c r="E2" s="312">
        <f ca="1"/>
        <v>1607688.6364980743</v>
      </c>
      <c r="F2" s="312">
        <f ca="1"/>
        <v>1641211.695779827</v>
      </c>
      <c r="G2" s="312">
        <f ca="1"/>
        <v>1631062.3620334875</v>
      </c>
      <c r="H2" s="312">
        <f ca="1"/>
        <v>1616913.3497588602</v>
      </c>
      <c r="I2" s="312">
        <f ca="1"/>
        <v>1656624.9139375826</v>
      </c>
      <c r="J2" s="312">
        <f ca="1"/>
        <v>1701226.7425737313</v>
      </c>
      <c r="K2" s="312">
        <f ca="1"/>
        <v>1735555.9002396769</v>
      </c>
      <c r="L2" s="312">
        <f ca="1"/>
        <v>1777965.5918898799</v>
      </c>
      <c r="M2" s="312">
        <f ca="1"/>
        <v>1819496.0123022243</v>
      </c>
      <c r="N2" s="312">
        <f ca="1"/>
        <v>1867254.2787948253</v>
      </c>
      <c r="O2" s="312">
        <f ca="1"/>
        <v>1857453.0983215829</v>
      </c>
      <c r="P2" s="312">
        <f ca="1"/>
        <v>1842853.8407570762</v>
      </c>
      <c r="Q2" s="312">
        <f ca="1"/>
        <v>1812435.2510404272</v>
      </c>
      <c r="R2" s="312">
        <f ca="1"/>
        <v>1800087.3714931323</v>
      </c>
      <c r="S2" s="312">
        <f ca="1"/>
        <v>1803032.2255878528</v>
      </c>
      <c r="T2" s="312">
        <f ca="1"/>
        <v>1803422.1919352077</v>
      </c>
      <c r="U2" s="312">
        <f ca="1"/>
        <v>1770017.4504466273</v>
      </c>
      <c r="V2" s="312">
        <f ca="1"/>
        <v>1739485.0213831698</v>
      </c>
      <c r="W2" s="312">
        <f ca="1"/>
        <v>1709066.9807443577</v>
      </c>
      <c r="X2" s="312">
        <f ca="1"/>
        <v>1660984.6887369561</v>
      </c>
      <c r="Y2" s="312">
        <f ca="1"/>
        <v>1601405.7189842865</v>
      </c>
      <c r="Z2" s="312">
        <f ca="1"/>
        <v>1543673.7070382021</v>
      </c>
      <c r="AA2" s="312">
        <f ca="1"/>
        <v>1495063.6947033287</v>
      </c>
      <c r="AB2" s="312">
        <f ca="1"/>
        <v>1440335.9225016879</v>
      </c>
      <c r="AC2" s="312">
        <f ca="1"/>
        <v>1391105.2611292806</v>
      </c>
      <c r="AD2" s="312">
        <f ca="1"/>
        <v>1341565.9627851506</v>
      </c>
      <c r="AE2" s="312">
        <f ca="1"/>
        <v>1296178.608568623</v>
      </c>
      <c r="AF2" s="312">
        <f ca="1"/>
        <v>1256098.8504045915</v>
      </c>
    </row>
    <row r="3" spans="1:32">
      <c r="A3" s="147" t="str">
        <f ca="1"/>
        <v>Parcel Load, FMCG &amp; eCommerce</v>
      </c>
      <c r="B3" s="312">
        <f ca="1"/>
        <v>2148446.1505427421</v>
      </c>
      <c r="C3" s="312">
        <f ca="1"/>
        <v>2170254.0877192747</v>
      </c>
      <c r="D3" s="312">
        <f ca="1"/>
        <v>2226364.0723061562</v>
      </c>
      <c r="E3" s="312">
        <f ca="1"/>
        <v>2243014.8702983879</v>
      </c>
      <c r="F3" s="312">
        <f ca="1"/>
        <v>2298174.3247963814</v>
      </c>
      <c r="G3" s="312">
        <f ca="1"/>
        <v>2296849.317017837</v>
      </c>
      <c r="H3" s="312">
        <f ca="1"/>
        <v>2281976.9029700635</v>
      </c>
      <c r="I3" s="312">
        <f ca="1"/>
        <v>2383239.0057127322</v>
      </c>
      <c r="J3" s="312">
        <f ca="1"/>
        <v>2410390.2366324863</v>
      </c>
      <c r="K3" s="312">
        <f ca="1"/>
        <v>2488110.41670678</v>
      </c>
      <c r="L3" s="312">
        <f ca="1"/>
        <v>2613015.1616227538</v>
      </c>
      <c r="M3" s="312">
        <f ca="1"/>
        <v>2673759.9826787435</v>
      </c>
      <c r="N3" s="312">
        <f ca="1"/>
        <v>2584258.1297805766</v>
      </c>
      <c r="O3" s="312">
        <f ca="1"/>
        <v>2548727.5532165179</v>
      </c>
      <c r="P3" s="312">
        <f ca="1"/>
        <v>2501842.2544882079</v>
      </c>
      <c r="Q3" s="312">
        <f ca="1"/>
        <v>2476651.0660574036</v>
      </c>
      <c r="R3" s="312">
        <f ca="1"/>
        <v>2465765.8724093372</v>
      </c>
      <c r="S3" s="312">
        <f ca="1"/>
        <v>2482965.6246076073</v>
      </c>
      <c r="T3" s="312">
        <f ca="1"/>
        <v>2480705.7992027877</v>
      </c>
      <c r="U3" s="312">
        <f ca="1"/>
        <v>2440805.6606080816</v>
      </c>
      <c r="V3" s="312">
        <f ca="1"/>
        <v>2397166.6867866814</v>
      </c>
      <c r="W3" s="312">
        <f ca="1"/>
        <v>2355408.0779265054</v>
      </c>
      <c r="X3" s="312">
        <f ca="1"/>
        <v>2290363.460232811</v>
      </c>
      <c r="Y3" s="312">
        <f ca="1"/>
        <v>2203158.0786697264</v>
      </c>
      <c r="Z3" s="312">
        <f ca="1"/>
        <v>2121005.7185303918</v>
      </c>
      <c r="AA3" s="312">
        <f ca="1"/>
        <v>2052554.2203360039</v>
      </c>
      <c r="AB3" s="312">
        <f ca="1"/>
        <v>1979230.9142830232</v>
      </c>
      <c r="AC3" s="312">
        <f ca="1"/>
        <v>1912425.3954609903</v>
      </c>
      <c r="AD3" s="312">
        <f ca="1"/>
        <v>1844894.2235096477</v>
      </c>
      <c r="AE3" s="312">
        <f ca="1"/>
        <v>1782279.7767561935</v>
      </c>
      <c r="AF3" s="312">
        <f ca="1"/>
        <v>1727119.4607667276</v>
      </c>
    </row>
    <row r="4" spans="1:32">
      <c r="A4" s="147" t="str">
        <f ca="1"/>
        <v>Cement Total</v>
      </c>
      <c r="B4" s="312">
        <f ca="1"/>
        <v>434253.18235400575</v>
      </c>
      <c r="C4" s="312">
        <f ca="1"/>
        <v>448991.41351355537</v>
      </c>
      <c r="D4" s="312">
        <f ca="1"/>
        <v>448488.32630361774</v>
      </c>
      <c r="E4" s="312">
        <f ca="1"/>
        <v>460277.21503122343</v>
      </c>
      <c r="F4" s="312">
        <f ca="1"/>
        <v>458264.73747046542</v>
      </c>
      <c r="G4" s="312">
        <f ca="1"/>
        <v>451901.66244773153</v>
      </c>
      <c r="H4" s="312">
        <f ca="1"/>
        <v>451786.57191990642</v>
      </c>
      <c r="I4" s="312">
        <f ca="1"/>
        <v>436419.54487690469</v>
      </c>
      <c r="J4" s="312">
        <f ca="1"/>
        <v>440583.40042553761</v>
      </c>
      <c r="K4" s="312">
        <f ca="1"/>
        <v>461805.21603939933</v>
      </c>
      <c r="L4" s="312">
        <f ca="1"/>
        <v>453304.97763074574</v>
      </c>
      <c r="M4" s="312">
        <f ca="1"/>
        <v>468949.17136380501</v>
      </c>
      <c r="N4" s="312">
        <f ca="1"/>
        <v>460429.59565203724</v>
      </c>
      <c r="O4" s="312">
        <f ca="1"/>
        <v>450911.73309738858</v>
      </c>
      <c r="P4" s="312">
        <f ca="1"/>
        <v>442007.93194975704</v>
      </c>
      <c r="Q4" s="312">
        <f ca="1"/>
        <v>438675.4677176032</v>
      </c>
      <c r="R4" s="312">
        <f ca="1"/>
        <v>430461.96909603069</v>
      </c>
      <c r="S4" s="312">
        <f ca="1"/>
        <v>484630.9874949471</v>
      </c>
      <c r="T4" s="312">
        <f ca="1"/>
        <v>480582.07942823326</v>
      </c>
      <c r="U4" s="312">
        <f ca="1"/>
        <v>469416.35095815599</v>
      </c>
      <c r="V4" s="312">
        <f ca="1"/>
        <v>458461.09042344033</v>
      </c>
      <c r="W4" s="312">
        <f ca="1"/>
        <v>447761.61551326455</v>
      </c>
      <c r="X4" s="312">
        <f ca="1"/>
        <v>433717.39560517063</v>
      </c>
      <c r="Y4" s="312">
        <f ca="1"/>
        <v>419700.15682228381</v>
      </c>
      <c r="Z4" s="312">
        <f ca="1"/>
        <v>405506.91584470926</v>
      </c>
      <c r="AA4" s="312">
        <f ca="1"/>
        <v>389813.63267375651</v>
      </c>
      <c r="AB4" s="312">
        <f ca="1"/>
        <v>378817.51697847765</v>
      </c>
      <c r="AC4" s="312">
        <f ca="1"/>
        <v>369166.67617112875</v>
      </c>
      <c r="AD4" s="312">
        <f ca="1"/>
        <v>359960.91033928737</v>
      </c>
      <c r="AE4" s="312">
        <f ca="1"/>
        <v>347777.49442941532</v>
      </c>
      <c r="AF4" s="312">
        <f ca="1"/>
        <v>337269.0497728574</v>
      </c>
    </row>
    <row r="5" spans="1:32">
      <c r="A5" s="147" t="str">
        <f ca="1"/>
        <v>Steel &amp; Metal Products Total</v>
      </c>
      <c r="B5" s="312">
        <f ca="1"/>
        <v>496030.05505354912</v>
      </c>
      <c r="C5" s="312">
        <f ca="1"/>
        <v>496969.07329959702</v>
      </c>
      <c r="D5" s="312">
        <f ca="1"/>
        <v>482201.74855096871</v>
      </c>
      <c r="E5" s="312">
        <f ca="1"/>
        <v>482533.33859622723</v>
      </c>
      <c r="F5" s="312">
        <f ca="1"/>
        <v>481983.06083341839</v>
      </c>
      <c r="G5" s="312">
        <f ca="1"/>
        <v>504000.66512534331</v>
      </c>
      <c r="H5" s="312">
        <f ca="1"/>
        <v>531769.47001683491</v>
      </c>
      <c r="I5" s="312">
        <f ca="1"/>
        <v>542567.81528970762</v>
      </c>
      <c r="J5" s="312">
        <f ca="1"/>
        <v>565458.75982023927</v>
      </c>
      <c r="K5" s="312">
        <f ca="1"/>
        <v>590355.80366622168</v>
      </c>
      <c r="L5" s="312">
        <f ca="1"/>
        <v>617673.1214866892</v>
      </c>
      <c r="M5" s="312">
        <f ca="1"/>
        <v>627903.13571455469</v>
      </c>
      <c r="N5" s="312">
        <f ca="1"/>
        <v>632431.46778572991</v>
      </c>
      <c r="O5" s="312">
        <f ca="1"/>
        <v>607796.13101083692</v>
      </c>
      <c r="P5" s="312">
        <f ca="1"/>
        <v>582809.56922273268</v>
      </c>
      <c r="Q5" s="312">
        <f ca="1"/>
        <v>568818.11841904989</v>
      </c>
      <c r="R5" s="312">
        <f ca="1"/>
        <v>566003.05028230674</v>
      </c>
      <c r="S5" s="312">
        <f ca="1"/>
        <v>556885.0495972106</v>
      </c>
      <c r="T5" s="312">
        <f ca="1"/>
        <v>544443.11978643527</v>
      </c>
      <c r="U5" s="312">
        <f ca="1"/>
        <v>525314.54597099335</v>
      </c>
      <c r="V5" s="312">
        <f ca="1"/>
        <v>507104.1006295121</v>
      </c>
      <c r="W5" s="312">
        <f ca="1"/>
        <v>483660.41382090177</v>
      </c>
      <c r="X5" s="312">
        <f ca="1"/>
        <v>462894.91771722841</v>
      </c>
      <c r="Y5" s="312">
        <f ca="1"/>
        <v>456052.44080946723</v>
      </c>
      <c r="Z5" s="312">
        <f ca="1"/>
        <v>442384.22637380421</v>
      </c>
      <c r="AA5" s="312">
        <f ca="1"/>
        <v>409207.33193529799</v>
      </c>
      <c r="AB5" s="312">
        <f ca="1"/>
        <v>391623.79999664915</v>
      </c>
      <c r="AC5" s="312">
        <f ca="1"/>
        <v>375163.06297163008</v>
      </c>
      <c r="AD5" s="312">
        <f ca="1"/>
        <v>358077.78013628308</v>
      </c>
      <c r="AE5" s="312">
        <f ca="1"/>
        <v>342745.2915395943</v>
      </c>
      <c r="AF5" s="312">
        <f ca="1"/>
        <v>329466.17463447107</v>
      </c>
    </row>
    <row r="6" spans="1:32">
      <c r="A6" s="147" t="str">
        <f ca="1"/>
        <v>Tankers - Petroleum &amp; CNG Total</v>
      </c>
      <c r="B6" s="312">
        <f ca="1"/>
        <v>212240.59751713273</v>
      </c>
      <c r="C6" s="312">
        <f ca="1"/>
        <v>215201.97299687468</v>
      </c>
      <c r="D6" s="312">
        <f ca="1"/>
        <v>219767.95810841903</v>
      </c>
      <c r="E6" s="312">
        <f ca="1"/>
        <v>234196.1838135295</v>
      </c>
      <c r="F6" s="312">
        <f ca="1"/>
        <v>233657.17189468793</v>
      </c>
      <c r="G6" s="312">
        <f ca="1"/>
        <v>260421.03832982481</v>
      </c>
      <c r="H6" s="312">
        <f ca="1"/>
        <v>291528.67944665556</v>
      </c>
      <c r="I6" s="312">
        <f ca="1"/>
        <v>292044.47734533506</v>
      </c>
      <c r="J6" s="312">
        <f ca="1"/>
        <v>308144.75534609996</v>
      </c>
      <c r="K6" s="312">
        <f ca="1"/>
        <v>307276.08879624633</v>
      </c>
      <c r="L6" s="312">
        <f ca="1"/>
        <v>296826.07801534177</v>
      </c>
      <c r="M6" s="312">
        <f ca="1"/>
        <v>279479.72298041434</v>
      </c>
      <c r="N6" s="312">
        <f ca="1"/>
        <v>259079.2674816057</v>
      </c>
      <c r="O6" s="312">
        <f ca="1"/>
        <v>235263.48231162957</v>
      </c>
      <c r="P6" s="312">
        <f ca="1"/>
        <v>208397.22767421609</v>
      </c>
      <c r="Q6" s="312">
        <f ca="1"/>
        <v>190206.6563184979</v>
      </c>
      <c r="R6" s="312">
        <f ca="1"/>
        <v>197835.81577996945</v>
      </c>
      <c r="S6" s="312">
        <f ca="1"/>
        <v>178912.50266636466</v>
      </c>
      <c r="T6" s="312">
        <f ca="1"/>
        <v>160012.9270425236</v>
      </c>
      <c r="U6" s="312">
        <f ca="1"/>
        <v>139786.32441963215</v>
      </c>
      <c r="V6" s="312">
        <f ca="1"/>
        <v>121158.69607206258</v>
      </c>
      <c r="W6" s="312">
        <f ca="1"/>
        <v>103747.25850640658</v>
      </c>
      <c r="X6" s="312">
        <f ca="1"/>
        <v>90092.29224099718</v>
      </c>
      <c r="Y6" s="312">
        <f ca="1"/>
        <v>78611.883295494132</v>
      </c>
      <c r="Z6" s="312">
        <f ca="1"/>
        <v>68628.148680555547</v>
      </c>
      <c r="AA6" s="312">
        <f ca="1"/>
        <v>57877.618811513792</v>
      </c>
      <c r="AB6" s="312">
        <f ca="1"/>
        <v>52865.015263016954</v>
      </c>
      <c r="AC6" s="312">
        <f ca="1"/>
        <v>48690.777185492647</v>
      </c>
      <c r="AD6" s="312">
        <f ca="1"/>
        <v>42938.087794500694</v>
      </c>
      <c r="AE6" s="312">
        <f ca="1"/>
        <v>37989.840190182411</v>
      </c>
      <c r="AF6" s="312">
        <f ca="1"/>
        <v>33795.16750759296</v>
      </c>
    </row>
    <row r="7" spans="1:32">
      <c r="A7" s="147" t="str">
        <f ca="1"/>
        <v>Tankers - Milk, Edible Oil &amp; Water Total</v>
      </c>
      <c r="B7" s="312">
        <f ca="1"/>
        <v>86744.226334589417</v>
      </c>
      <c r="C7" s="312">
        <f ca="1"/>
        <v>87870.904219999429</v>
      </c>
      <c r="D7" s="312">
        <f ca="1"/>
        <v>87861.908192317278</v>
      </c>
      <c r="E7" s="312">
        <f ca="1"/>
        <v>92659.824409184599</v>
      </c>
      <c r="F7" s="312">
        <f ca="1"/>
        <v>94053.552616424015</v>
      </c>
      <c r="G7" s="312">
        <f ca="1"/>
        <v>106013.53642388766</v>
      </c>
      <c r="H7" s="312">
        <f ca="1"/>
        <v>127851.86026026031</v>
      </c>
      <c r="I7" s="312">
        <f ca="1"/>
        <v>127691.4333285614</v>
      </c>
      <c r="J7" s="312">
        <f ca="1"/>
        <v>143088.9703414042</v>
      </c>
      <c r="K7" s="312">
        <f ca="1"/>
        <v>158080.11867777639</v>
      </c>
      <c r="L7" s="312">
        <f ca="1"/>
        <v>157565.60661890308</v>
      </c>
      <c r="M7" s="312">
        <f ca="1"/>
        <v>167979.57191820911</v>
      </c>
      <c r="N7" s="312">
        <f ca="1"/>
        <v>177885.07110725471</v>
      </c>
      <c r="O7" s="312">
        <f ca="1"/>
        <v>198399.4115531774</v>
      </c>
      <c r="P7" s="312">
        <f ca="1"/>
        <v>195155.05183304485</v>
      </c>
      <c r="Q7" s="312">
        <f ca="1"/>
        <v>188159.20007007063</v>
      </c>
      <c r="R7" s="312">
        <f ca="1"/>
        <v>186612.43405377361</v>
      </c>
      <c r="S7" s="312">
        <f ca="1"/>
        <v>181054.79837342308</v>
      </c>
      <c r="T7" s="312">
        <f ca="1"/>
        <v>174969.91899065927</v>
      </c>
      <c r="U7" s="312">
        <f ca="1"/>
        <v>163912.78364041552</v>
      </c>
      <c r="V7" s="312">
        <f ca="1"/>
        <v>156680.94801319766</v>
      </c>
      <c r="W7" s="312">
        <f ca="1"/>
        <v>148914.0963960941</v>
      </c>
      <c r="X7" s="312">
        <f ca="1"/>
        <v>143247.64140842448</v>
      </c>
      <c r="Y7" s="312">
        <f ca="1"/>
        <v>139750.69037028562</v>
      </c>
      <c r="Z7" s="312">
        <f ca="1"/>
        <v>137559.65861320359</v>
      </c>
      <c r="AA7" s="312">
        <f ca="1"/>
        <v>132236.0436730744</v>
      </c>
      <c r="AB7" s="312">
        <f ca="1"/>
        <v>125817.82395931227</v>
      </c>
      <c r="AC7" s="312">
        <f ca="1"/>
        <v>119911.8566336471</v>
      </c>
      <c r="AD7" s="312">
        <f ca="1"/>
        <v>113991.52270010975</v>
      </c>
      <c r="AE7" s="312">
        <f ca="1"/>
        <v>108736.66598269512</v>
      </c>
      <c r="AF7" s="312">
        <f ca="1"/>
        <v>104230.12043238606</v>
      </c>
    </row>
    <row r="8" spans="1:32">
      <c r="A8" s="147" t="str">
        <f ca="1"/>
        <v>Minerals &amp; Tippers Total</v>
      </c>
      <c r="B8" s="312">
        <f ca="1"/>
        <v>143201.914554783</v>
      </c>
      <c r="C8" s="312">
        <f ca="1"/>
        <v>145223.41908291072</v>
      </c>
      <c r="D8" s="312">
        <f ca="1"/>
        <v>142246.13506974158</v>
      </c>
      <c r="E8" s="312">
        <f ca="1"/>
        <v>142168.74862084014</v>
      </c>
      <c r="F8" s="312">
        <f ca="1"/>
        <v>144071.74354572906</v>
      </c>
      <c r="G8" s="312">
        <f ca="1"/>
        <v>153689.50418837462</v>
      </c>
      <c r="H8" s="312">
        <f ca="1"/>
        <v>157843.34268198206</v>
      </c>
      <c r="I8" s="312">
        <f ca="1"/>
        <v>164424.99639054431</v>
      </c>
      <c r="J8" s="312">
        <f ca="1"/>
        <v>175015.55978838712</v>
      </c>
      <c r="K8" s="312">
        <f ca="1"/>
        <v>191515.22306521802</v>
      </c>
      <c r="L8" s="312">
        <f ca="1"/>
        <v>199473.26505829534</v>
      </c>
      <c r="M8" s="312">
        <f ca="1"/>
        <v>203467.26631930427</v>
      </c>
      <c r="N8" s="312">
        <f ca="1"/>
        <v>206270.58979230467</v>
      </c>
      <c r="O8" s="312">
        <f ca="1"/>
        <v>207112.1924216144</v>
      </c>
      <c r="P8" s="312">
        <f ca="1"/>
        <v>205166.88854497147</v>
      </c>
      <c r="Q8" s="312">
        <f ca="1"/>
        <v>204956.76672646464</v>
      </c>
      <c r="R8" s="312">
        <f ca="1"/>
        <v>207409.14261703589</v>
      </c>
      <c r="S8" s="312">
        <f ca="1"/>
        <v>209718.3927013104</v>
      </c>
      <c r="T8" s="312">
        <f ca="1"/>
        <v>208103.33146404711</v>
      </c>
      <c r="U8" s="312">
        <f ca="1"/>
        <v>203454.81387444778</v>
      </c>
      <c r="V8" s="312">
        <f ca="1"/>
        <v>198849.55867457445</v>
      </c>
      <c r="W8" s="312">
        <f ca="1"/>
        <v>195116.77735485436</v>
      </c>
      <c r="X8" s="312">
        <f ca="1"/>
        <v>189803.83337972805</v>
      </c>
      <c r="Y8" s="312">
        <f ca="1"/>
        <v>184129.67203142701</v>
      </c>
      <c r="Z8" s="312">
        <f ca="1"/>
        <v>189979.13035462925</v>
      </c>
      <c r="AA8" s="312">
        <f ca="1"/>
        <v>182566.74708593416</v>
      </c>
      <c r="AB8" s="312">
        <f ca="1"/>
        <v>177334.99829266843</v>
      </c>
      <c r="AC8" s="312">
        <f ca="1"/>
        <v>172547.61295653923</v>
      </c>
      <c r="AD8" s="312">
        <f ca="1"/>
        <v>167489.34936759851</v>
      </c>
      <c r="AE8" s="312">
        <f ca="1"/>
        <v>162838.75585408049</v>
      </c>
      <c r="AF8" s="312">
        <f ca="1"/>
        <v>158988.78544475581</v>
      </c>
    </row>
    <row r="9" spans="1:32">
      <c r="A9" s="147" t="str">
        <f ca="1"/>
        <v>Perishables &amp; Fish Total</v>
      </c>
      <c r="B9" s="312">
        <f ca="1"/>
        <v>177398.33680530888</v>
      </c>
      <c r="C9" s="312">
        <f ca="1"/>
        <v>178030.91853252312</v>
      </c>
      <c r="D9" s="312">
        <f ca="1"/>
        <v>173390.82477167342</v>
      </c>
      <c r="E9" s="312">
        <f ca="1"/>
        <v>171675.43919041639</v>
      </c>
      <c r="F9" s="312">
        <f ca="1"/>
        <v>166538.14116782101</v>
      </c>
      <c r="G9" s="312">
        <f ca="1"/>
        <v>168673.2842986894</v>
      </c>
      <c r="H9" s="312">
        <f ca="1"/>
        <v>168549.63171173583</v>
      </c>
      <c r="I9" s="312">
        <f ca="1"/>
        <v>174168.74126057065</v>
      </c>
      <c r="J9" s="312">
        <f ca="1"/>
        <v>192189.89304164867</v>
      </c>
      <c r="K9" s="312">
        <f ca="1"/>
        <v>204973.76531124936</v>
      </c>
      <c r="L9" s="312">
        <f ca="1"/>
        <v>215385.89079432344</v>
      </c>
      <c r="M9" s="312">
        <f ca="1"/>
        <v>224165.0728341795</v>
      </c>
      <c r="N9" s="312">
        <f ca="1"/>
        <v>233269.70388609951</v>
      </c>
      <c r="O9" s="312">
        <f ca="1"/>
        <v>230017.27864167406</v>
      </c>
      <c r="P9" s="312">
        <f ca="1"/>
        <v>221672.02990263831</v>
      </c>
      <c r="Q9" s="312">
        <f ca="1"/>
        <v>216199.72987639022</v>
      </c>
      <c r="R9" s="312">
        <f ca="1"/>
        <v>212834.57432518405</v>
      </c>
      <c r="S9" s="312">
        <f ca="1"/>
        <v>213014.95503533774</v>
      </c>
      <c r="T9" s="312">
        <f ca="1"/>
        <v>210873.53919814891</v>
      </c>
      <c r="U9" s="312">
        <f ca="1"/>
        <v>207657.92586749757</v>
      </c>
      <c r="V9" s="312">
        <f ca="1"/>
        <v>203583.74437359616</v>
      </c>
      <c r="W9" s="312">
        <f ca="1"/>
        <v>197356.28562747539</v>
      </c>
      <c r="X9" s="312">
        <f ca="1"/>
        <v>191688.85610209973</v>
      </c>
      <c r="Y9" s="312">
        <f ca="1"/>
        <v>198489.08875201721</v>
      </c>
      <c r="Z9" s="312">
        <f ca="1"/>
        <v>192912.78075014826</v>
      </c>
      <c r="AA9" s="312">
        <f ca="1"/>
        <v>186281.5793452017</v>
      </c>
      <c r="AB9" s="312">
        <f ca="1"/>
        <v>179985.76122922634</v>
      </c>
      <c r="AC9" s="312">
        <f ca="1"/>
        <v>174508.1567267467</v>
      </c>
      <c r="AD9" s="312">
        <f ca="1"/>
        <v>169133.50239240474</v>
      </c>
      <c r="AE9" s="312">
        <f ca="1"/>
        <v>164304.22164705911</v>
      </c>
      <c r="AF9" s="312">
        <f ca="1"/>
        <v>160302.39433032036</v>
      </c>
    </row>
    <row r="10" spans="1:32">
      <c r="A10" s="147" t="str">
        <f ca="1"/>
        <v>LPG Total</v>
      </c>
      <c r="B10" s="312">
        <f ca="1"/>
        <v>73074.212065503758</v>
      </c>
      <c r="C10" s="312">
        <f ca="1"/>
        <v>74226.581997332862</v>
      </c>
      <c r="D10" s="312">
        <f ca="1"/>
        <v>75424.42877176679</v>
      </c>
      <c r="E10" s="312">
        <f ca="1"/>
        <v>80889.283199612924</v>
      </c>
      <c r="F10" s="312">
        <f ca="1"/>
        <v>82872.361046639344</v>
      </c>
      <c r="G10" s="312">
        <f ca="1"/>
        <v>91932.349143157538</v>
      </c>
      <c r="H10" s="312">
        <f ca="1"/>
        <v>95592.480887611906</v>
      </c>
      <c r="I10" s="312">
        <f ca="1"/>
        <v>94066.358821573303</v>
      </c>
      <c r="J10" s="312">
        <f ca="1"/>
        <v>107375.18073034412</v>
      </c>
      <c r="K10" s="312">
        <f ca="1"/>
        <v>121058.90118686168</v>
      </c>
      <c r="L10" s="312">
        <f ca="1"/>
        <v>124107.15225174089</v>
      </c>
      <c r="M10" s="312">
        <f ca="1"/>
        <v>148470.73682062846</v>
      </c>
      <c r="N10" s="312">
        <f ca="1"/>
        <v>144135.37096133322</v>
      </c>
      <c r="O10" s="312">
        <f ca="1"/>
        <v>133296.91662017483</v>
      </c>
      <c r="P10" s="312">
        <f ca="1"/>
        <v>124621.60955747393</v>
      </c>
      <c r="Q10" s="312">
        <f ca="1"/>
        <v>122344.47994795728</v>
      </c>
      <c r="R10" s="312">
        <f ca="1"/>
        <v>115519.18302307001</v>
      </c>
      <c r="S10" s="312">
        <f ca="1"/>
        <v>114083.64049921365</v>
      </c>
      <c r="T10" s="312">
        <f ca="1"/>
        <v>110934.8460466907</v>
      </c>
      <c r="U10" s="312">
        <f ca="1"/>
        <v>108499.79981620894</v>
      </c>
      <c r="V10" s="312">
        <f ca="1"/>
        <v>106610.26164625537</v>
      </c>
      <c r="W10" s="312">
        <f ca="1"/>
        <v>104170.68451641549</v>
      </c>
      <c r="X10" s="312">
        <f ca="1"/>
        <v>101521.47852985821</v>
      </c>
      <c r="Y10" s="312">
        <f ca="1"/>
        <v>100659.60041892833</v>
      </c>
      <c r="Z10" s="312">
        <f ca="1"/>
        <v>97255.536964986954</v>
      </c>
      <c r="AA10" s="312">
        <f ca="1"/>
        <v>93749.04171956444</v>
      </c>
      <c r="AB10" s="312">
        <f ca="1"/>
        <v>89759.452797085018</v>
      </c>
      <c r="AC10" s="312">
        <f ca="1"/>
        <v>86123.82122977433</v>
      </c>
      <c r="AD10" s="312">
        <f ca="1"/>
        <v>82828.250954791336</v>
      </c>
      <c r="AE10" s="312">
        <f ca="1"/>
        <v>79874.834327908626</v>
      </c>
      <c r="AF10" s="312">
        <f ca="1"/>
        <v>77419.779266527374</v>
      </c>
    </row>
    <row r="11" spans="1:32"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s="188" customFormat="1">
      <c r="A12" s="188" t="s">
        <v>607</v>
      </c>
      <c r="B12" s="313">
        <v>2025</v>
      </c>
      <c r="C12" s="313">
        <v>2026</v>
      </c>
      <c r="D12" s="313">
        <v>2027</v>
      </c>
      <c r="E12" s="313">
        <v>2028</v>
      </c>
      <c r="F12" s="313">
        <v>2029</v>
      </c>
      <c r="G12" s="313">
        <v>2030</v>
      </c>
      <c r="H12" s="313">
        <v>2031</v>
      </c>
      <c r="I12" s="313">
        <v>2032</v>
      </c>
      <c r="J12" s="313">
        <v>2033</v>
      </c>
      <c r="K12" s="313">
        <v>2034</v>
      </c>
      <c r="L12" s="313">
        <v>2035</v>
      </c>
      <c r="M12" s="313">
        <v>2036</v>
      </c>
      <c r="N12" s="313">
        <v>2037</v>
      </c>
      <c r="O12" s="313">
        <v>2038</v>
      </c>
      <c r="P12" s="313">
        <v>2039</v>
      </c>
      <c r="Q12" s="313">
        <v>2040</v>
      </c>
      <c r="R12" s="313">
        <v>2041</v>
      </c>
      <c r="S12" s="313">
        <v>2042</v>
      </c>
      <c r="T12" s="313">
        <v>2043</v>
      </c>
      <c r="U12" s="313">
        <v>2044</v>
      </c>
      <c r="V12" s="313">
        <v>2045</v>
      </c>
      <c r="W12" s="313">
        <v>2046</v>
      </c>
      <c r="X12" s="313">
        <v>2047</v>
      </c>
      <c r="Y12" s="313">
        <v>2048</v>
      </c>
      <c r="Z12" s="313">
        <v>2049</v>
      </c>
      <c r="AA12" s="313">
        <v>2050</v>
      </c>
      <c r="AB12" s="313">
        <v>2051</v>
      </c>
      <c r="AC12" s="313">
        <v>2052</v>
      </c>
      <c r="AD12" s="313">
        <v>2053</v>
      </c>
      <c r="AE12" s="313">
        <v>2054</v>
      </c>
      <c r="AF12" s="313">
        <v>2055</v>
      </c>
    </row>
    <row r="13" spans="1:32">
      <c r="A13" s="147" t="s">
        <v>43</v>
      </c>
      <c r="B13" s="312">
        <f ca="1">(('Emissions '!$J2/'Emissions '!$K2)*B2)/1000000</f>
        <v>39375.780510428907</v>
      </c>
      <c r="C13" s="312">
        <f ca="1">(('Emissions '!$J2/'Emissions '!$K2)*C2)/1000000</f>
        <v>40097.117193026577</v>
      </c>
      <c r="D13" s="312">
        <f ca="1">(('Emissions '!$J2/'Emissions '!$K2)*D2)/1000000</f>
        <v>40928.271904193716</v>
      </c>
      <c r="E13" s="312">
        <f ca="1">(('Emissions '!$J2/'Emissions '!$K2)*E2)/1000000</f>
        <v>41340.564938521915</v>
      </c>
      <c r="F13" s="312">
        <f ca="1">(('Emissions '!$J2/'Emissions '!$K2)*F2)/1000000</f>
        <v>42202.586462909836</v>
      </c>
      <c r="G13" s="312">
        <f ca="1">(('Emissions '!$J2/'Emissions '!$K2)*G2)/1000000</f>
        <v>41941.603595146822</v>
      </c>
      <c r="H13" s="312">
        <f ca="1">(('Emissions '!$J2/'Emissions '!$K2)*H2)/1000000</f>
        <v>41577.771850942117</v>
      </c>
      <c r="I13" s="312">
        <f ca="1">(('Emissions '!$J2/'Emissions '!$K2)*I2)/1000000</f>
        <v>42598.92635839498</v>
      </c>
      <c r="J13" s="312">
        <f ca="1">(('Emissions '!$J2/'Emissions '!$K2)*J2)/1000000</f>
        <v>43745.830523324519</v>
      </c>
      <c r="K13" s="312">
        <f ca="1">(('Emissions '!$J2/'Emissions '!$K2)*K2)/1000000</f>
        <v>44628.580291877406</v>
      </c>
      <c r="L13" s="312">
        <f ca="1">(('Emissions '!$J2/'Emissions '!$K2)*L2)/1000000</f>
        <v>45719.11522002548</v>
      </c>
      <c r="M13" s="312">
        <f ca="1">(('Emissions '!$J2/'Emissions '!$K2)*M2)/1000000</f>
        <v>46787.040316342907</v>
      </c>
      <c r="N13" s="312">
        <f ca="1">(('Emissions '!$J2/'Emissions '!$K2)*N2)/1000000</f>
        <v>48015.110026152652</v>
      </c>
      <c r="O13" s="312">
        <f ca="1">(('Emissions '!$J2/'Emissions '!$K2)*O2)/1000000</f>
        <v>47763.079671126419</v>
      </c>
      <c r="P13" s="312">
        <f ca="1">(('Emissions '!$J2/'Emissions '!$K2)*P2)/1000000</f>
        <v>47387.670190896242</v>
      </c>
      <c r="Q13" s="312">
        <f ca="1">(('Emissions '!$J2/'Emissions '!$K2)*Q2)/1000000</f>
        <v>46605.477883896696</v>
      </c>
      <c r="R13" s="312">
        <f ca="1">(('Emissions '!$J2/'Emissions '!$K2)*R2)/1000000</f>
        <v>46287.960981251978</v>
      </c>
      <c r="S13" s="312">
        <f ca="1">(('Emissions '!$J2/'Emissions '!$K2)*S2)/1000000</f>
        <v>46363.685800830499</v>
      </c>
      <c r="T13" s="312">
        <f ca="1">(('Emissions '!$J2/'Emissions '!$K2)*T2)/1000000</f>
        <v>46373.71350690534</v>
      </c>
      <c r="U13" s="312">
        <f ca="1">(('Emissions '!$J2/'Emissions '!$K2)*U2)/1000000</f>
        <v>45514.734440056127</v>
      </c>
      <c r="V13" s="312">
        <f ca="1">(('Emissions '!$J2/'Emissions '!$K2)*V2)/1000000</f>
        <v>44729.614835567219</v>
      </c>
      <c r="W13" s="312">
        <f ca="1">(('Emissions '!$J2/'Emissions '!$K2)*W2)/1000000</f>
        <v>43947.436647712049</v>
      </c>
      <c r="X13" s="312">
        <f ca="1">(('Emissions '!$J2/'Emissions '!$K2)*X2)/1000000</f>
        <v>42711.034853236015</v>
      </c>
      <c r="Y13" s="312">
        <f ca="1">(('Emissions '!$J2/'Emissions '!$K2)*Y2)/1000000</f>
        <v>41179.004202453078</v>
      </c>
      <c r="Z13" s="312">
        <f ca="1">(('Emissions '!$J2/'Emissions '!$K2)*Z2)/1000000</f>
        <v>39694.46675241091</v>
      </c>
      <c r="AA13" s="312">
        <f ca="1">(('Emissions '!$J2/'Emissions '!$K2)*AA2)/1000000</f>
        <v>38444.495006657024</v>
      </c>
      <c r="AB13" s="312">
        <f ca="1">(('Emissions '!$J2/'Emissions '!$K2)*AB2)/1000000</f>
        <v>37037.209435757693</v>
      </c>
      <c r="AC13" s="312">
        <f ca="1">(('Emissions '!$J2/'Emissions '!$K2)*AC2)/1000000</f>
        <v>35771.278143324358</v>
      </c>
      <c r="AD13" s="312">
        <f ca="1">(('Emissions '!$J2/'Emissions '!$K2)*AD2)/1000000</f>
        <v>34497.410471618154</v>
      </c>
      <c r="AE13" s="312">
        <f ca="1">(('Emissions '!$J2/'Emissions '!$K2)*AE2)/1000000</f>
        <v>33330.307077478872</v>
      </c>
      <c r="AF13" s="312">
        <f ca="1">(('Emissions '!$J2/'Emissions '!$K2)*AF2)/1000000</f>
        <v>32299.684724689494</v>
      </c>
    </row>
    <row r="14" spans="1:32">
      <c r="A14" s="147" t="s">
        <v>51</v>
      </c>
      <c r="B14" s="312">
        <f ca="1">(('Emissions '!$J3/'Emissions '!$K3)*B3)/1000000</f>
        <v>48848.880896550763</v>
      </c>
      <c r="C14" s="312">
        <f ca="1">(('Emissions '!$J3/'Emissions '!$K3)*C3)/1000000</f>
        <v>49344.724520775082</v>
      </c>
      <c r="D14" s="312">
        <f ca="1">(('Emissions '!$J3/'Emissions '!$K3)*D3)/1000000</f>
        <v>50620.488380855757</v>
      </c>
      <c r="E14" s="312">
        <f ca="1">(('Emissions '!$J3/'Emissions '!$K3)*E3)/1000000</f>
        <v>50999.074945731765</v>
      </c>
      <c r="F14" s="312">
        <f ca="1">(('Emissions '!$J3/'Emissions '!$K3)*F3)/1000000</f>
        <v>52253.226753265088</v>
      </c>
      <c r="G14" s="312">
        <f ca="1">(('Emissions '!$J3/'Emissions '!$K3)*G3)/1000000</f>
        <v>52223.100260616084</v>
      </c>
      <c r="H14" s="312">
        <f ca="1">(('Emissions '!$J3/'Emissions '!$K3)*H3)/1000000</f>
        <v>51884.948530687761</v>
      </c>
      <c r="I14" s="312">
        <f ca="1">(('Emissions '!$J3/'Emissions '!$K3)*I3)/1000000</f>
        <v>54187.32897199475</v>
      </c>
      <c r="J14" s="312">
        <f ca="1">(('Emissions '!$J3/'Emissions '!$K3)*J3)/1000000</f>
        <v>54804.662222380735</v>
      </c>
      <c r="K14" s="312">
        <f ca="1">(('Emissions '!$J3/'Emissions '!$K3)*K3)/1000000</f>
        <v>56571.773685122571</v>
      </c>
      <c r="L14" s="312">
        <f ca="1">(('Emissions '!$J3/'Emissions '!$K3)*L3)/1000000</f>
        <v>59411.713148475239</v>
      </c>
      <c r="M14" s="312">
        <f ca="1">(('Emissions '!$J3/'Emissions '!$K3)*M3)/1000000</f>
        <v>60792.858553537742</v>
      </c>
      <c r="N14" s="312">
        <f ca="1">(('Emissions '!$J3/'Emissions '!$K3)*N3)/1000000</f>
        <v>58757.869056063631</v>
      </c>
      <c r="O14" s="312">
        <f ca="1">(('Emissions '!$J3/'Emissions '!$K3)*O3)/1000000</f>
        <v>57950.015946817664</v>
      </c>
      <c r="P14" s="312">
        <f ca="1">(('Emissions '!$J3/'Emissions '!$K3)*P3)/1000000</f>
        <v>56883.992312573981</v>
      </c>
      <c r="Q14" s="312">
        <f ca="1">(('Emissions '!$J3/'Emissions '!$K3)*Q3)/1000000</f>
        <v>56311.224238778857</v>
      </c>
      <c r="R14" s="312">
        <f ca="1">(('Emissions '!$J3/'Emissions '!$K3)*R3)/1000000</f>
        <v>56063.729309517556</v>
      </c>
      <c r="S14" s="312">
        <f ca="1">(('Emissions '!$J3/'Emissions '!$K3)*S3)/1000000</f>
        <v>56454.797359499273</v>
      </c>
      <c r="T14" s="312">
        <f ca="1">(('Emissions '!$J3/'Emissions '!$K3)*T3)/1000000</f>
        <v>56403.416066084435</v>
      </c>
      <c r="U14" s="312">
        <f ca="1">(('Emissions '!$J3/'Emissions '!$K3)*U3)/1000000</f>
        <v>55496.212914878488</v>
      </c>
      <c r="V14" s="312">
        <f ca="1">(('Emissions '!$J3/'Emissions '!$K3)*V3)/1000000</f>
        <v>54504.00045746559</v>
      </c>
      <c r="W14" s="312">
        <f ca="1">(('Emissions '!$J3/'Emissions '!$K3)*W3)/1000000</f>
        <v>53554.541561276332</v>
      </c>
      <c r="X14" s="312">
        <f ca="1">(('Emissions '!$J3/'Emissions '!$K3)*X3)/1000000</f>
        <v>52075.632358977593</v>
      </c>
      <c r="Y14" s="312">
        <f ca="1">(('Emissions '!$J3/'Emissions '!$K3)*Y3)/1000000</f>
        <v>50092.85736764851</v>
      </c>
      <c r="Z14" s="312">
        <f ca="1">(('Emissions '!$J3/'Emissions '!$K3)*Z3)/1000000</f>
        <v>48224.972126585744</v>
      </c>
      <c r="AA14" s="312">
        <f ca="1">(('Emissions '!$J3/'Emissions '!$K3)*AA3)/1000000</f>
        <v>46668.601220271245</v>
      </c>
      <c r="AB14" s="312">
        <f ca="1">(('Emissions '!$J3/'Emissions '!$K3)*AB3)/1000000</f>
        <v>45001.460787908734</v>
      </c>
      <c r="AC14" s="312">
        <f ca="1">(('Emissions '!$J3/'Emissions '!$K3)*AC3)/1000000</f>
        <v>43482.514254691989</v>
      </c>
      <c r="AD14" s="312">
        <f ca="1">(('Emissions '!$J3/'Emissions '!$K3)*AD3)/1000000</f>
        <v>41947.068660850935</v>
      </c>
      <c r="AE14" s="312">
        <f ca="1">(('Emissions '!$J3/'Emissions '!$K3)*AE3)/1000000</f>
        <v>40523.413871509241</v>
      </c>
      <c r="AF14" s="312">
        <f ca="1">(('Emissions '!$J3/'Emissions '!$K3)*AF3)/1000000</f>
        <v>39269.242476380336</v>
      </c>
    </row>
    <row r="15" spans="1:32">
      <c r="A15" s="147" t="s">
        <v>58</v>
      </c>
      <c r="B15" s="312">
        <f ca="1">(('Emissions '!$J4/'Emissions '!$K4)*B4)/1000000</f>
        <v>17054.306797902769</v>
      </c>
      <c r="C15" s="312">
        <f ca="1">(('Emissions '!$J4/'Emissions '!$K4)*C4)/1000000</f>
        <v>17633.117330714173</v>
      </c>
      <c r="D15" s="312">
        <f ca="1">(('Emissions '!$J4/'Emissions '!$K4)*D4)/1000000</f>
        <v>17613.359723923895</v>
      </c>
      <c r="E15" s="312">
        <f ca="1">(('Emissions '!$J4/'Emissions '!$K4)*E4)/1000000</f>
        <v>18076.341535771684</v>
      </c>
      <c r="F15" s="312">
        <f ca="1">(('Emissions '!$J4/'Emissions '!$K4)*F4)/1000000</f>
        <v>17997.306053385553</v>
      </c>
      <c r="G15" s="312">
        <f ca="1">(('Emissions '!$J4/'Emissions '!$K4)*G4)/1000000</f>
        <v>17747.410743401822</v>
      </c>
      <c r="H15" s="312">
        <f ca="1">(('Emissions '!$J4/'Emissions '!$K4)*H4)/1000000</f>
        <v>17742.890824490871</v>
      </c>
      <c r="I15" s="312">
        <f ca="1">(('Emissions '!$J4/'Emissions '!$K4)*I4)/1000000</f>
        <v>17139.38576243844</v>
      </c>
      <c r="J15" s="312">
        <f ca="1">(('Emissions '!$J4/'Emissions '!$K4)*J4)/1000000</f>
        <v>17302.911725802933</v>
      </c>
      <c r="K15" s="312">
        <f ca="1">(('Emissions '!$J4/'Emissions '!$K4)*K4)/1000000</f>
        <v>18136.350302638228</v>
      </c>
      <c r="L15" s="312">
        <f ca="1">(('Emissions '!$J4/'Emissions '!$K4)*L4)/1000000</f>
        <v>17802.522757862014</v>
      </c>
      <c r="M15" s="312">
        <f ca="1">(('Emissions '!$J4/'Emissions '!$K4)*M4)/1000000</f>
        <v>18416.912911742162</v>
      </c>
      <c r="N15" s="312">
        <f ca="1">(('Emissions '!$J4/'Emissions '!$K4)*N4)/1000000</f>
        <v>18082.325938334554</v>
      </c>
      <c r="O15" s="312">
        <f ca="1">(('Emissions '!$J4/'Emissions '!$K4)*O4)/1000000</f>
        <v>17708.533518006534</v>
      </c>
      <c r="P15" s="312">
        <f ca="1">(('Emissions '!$J4/'Emissions '!$K4)*P4)/1000000</f>
        <v>17358.856963845006</v>
      </c>
      <c r="Q15" s="312">
        <f ca="1">(('Emissions '!$J4/'Emissions '!$K4)*Q4)/1000000</f>
        <v>17227.982004909507</v>
      </c>
      <c r="R15" s="312">
        <f ca="1">(('Emissions '!$J4/'Emissions '!$K4)*R4)/1000000</f>
        <v>16905.415513589571</v>
      </c>
      <c r="S15" s="312">
        <f ca="1">(('Emissions '!$J4/'Emissions '!$K4)*S4)/1000000</f>
        <v>19032.780599801561</v>
      </c>
      <c r="T15" s="312">
        <f ca="1">(('Emissions '!$J4/'Emissions '!$K4)*T4)/1000000</f>
        <v>18873.768937545163</v>
      </c>
      <c r="U15" s="312">
        <f ca="1">(('Emissions '!$J4/'Emissions '!$K4)*U4)/1000000</f>
        <v>18435.26032853849</v>
      </c>
      <c r="V15" s="312">
        <f ca="1">(('Emissions '!$J4/'Emissions '!$K4)*V4)/1000000</f>
        <v>18005.01736935693</v>
      </c>
      <c r="W15" s="312">
        <f ca="1">(('Emissions '!$J4/'Emissions '!$K4)*W4)/1000000</f>
        <v>17584.819809248205</v>
      </c>
      <c r="X15" s="312">
        <f ca="1">(('Emissions '!$J4/'Emissions '!$K4)*X4)/1000000</f>
        <v>17033.264991039428</v>
      </c>
      <c r="Y15" s="312">
        <f ca="1">(('Emissions '!$J4/'Emissions '!$K4)*Y4)/1000000</f>
        <v>16482.769795202421</v>
      </c>
      <c r="Z15" s="312">
        <f ca="1">(('Emissions '!$J4/'Emissions '!$K4)*Z4)/1000000</f>
        <v>15925.362513174035</v>
      </c>
      <c r="AA15" s="312">
        <f ca="1">(('Emissions '!$J4/'Emissions '!$K4)*AA4)/1000000</f>
        <v>15309.044483187528</v>
      </c>
      <c r="AB15" s="312">
        <f ca="1">(('Emissions '!$J4/'Emissions '!$K4)*AB4)/1000000</f>
        <v>14877.197030427486</v>
      </c>
      <c r="AC15" s="312">
        <f ca="1">(('Emissions '!$J4/'Emissions '!$K4)*AC4)/1000000</f>
        <v>14498.182191447966</v>
      </c>
      <c r="AD15" s="312">
        <f ca="1">(('Emissions '!$J4/'Emissions '!$K4)*AD4)/1000000</f>
        <v>14136.646660597467</v>
      </c>
      <c r="AE15" s="312">
        <f ca="1">(('Emissions '!$J4/'Emissions '!$K4)*AE4)/1000000</f>
        <v>13658.170690318855</v>
      </c>
      <c r="AF15" s="312">
        <f ca="1">(('Emissions '!$J4/'Emissions '!$K4)*AF4)/1000000</f>
        <v>13245.475409261309</v>
      </c>
    </row>
    <row r="16" spans="1:32">
      <c r="A16" s="147" t="s">
        <v>54</v>
      </c>
      <c r="B16" s="312">
        <f ca="1">(('Emissions '!$J5/'Emissions '!$K5)*B5)/1000000</f>
        <v>18314.955878900277</v>
      </c>
      <c r="C16" s="312">
        <f ca="1">(('Emissions '!$J5/'Emissions '!$K5)*C5)/1000000</f>
        <v>18349.627321831271</v>
      </c>
      <c r="D16" s="312">
        <f ca="1">(('Emissions '!$J5/'Emissions '!$K5)*D5)/1000000</f>
        <v>17804.372254189613</v>
      </c>
      <c r="E16" s="312">
        <f ca="1">(('Emissions '!$J5/'Emissions '!$K5)*E5)/1000000</f>
        <v>17816.615578937621</v>
      </c>
      <c r="F16" s="312">
        <f ca="1">(('Emissions '!$J5/'Emissions '!$K5)*F5)/1000000</f>
        <v>17796.297630772369</v>
      </c>
      <c r="G16" s="312">
        <f ca="1">(('Emissions '!$J5/'Emissions '!$K5)*G5)/1000000</f>
        <v>18609.255327704981</v>
      </c>
      <c r="H16" s="312">
        <f ca="1">(('Emissions '!$J5/'Emissions '!$K5)*H5)/1000000</f>
        <v>19634.565046775446</v>
      </c>
      <c r="I16" s="312">
        <f ca="1">(('Emissions '!$J5/'Emissions '!$K5)*I5)/1000000</f>
        <v>20033.273179927666</v>
      </c>
      <c r="J16" s="312">
        <f ca="1">(('Emissions '!$J5/'Emissions '!$K5)*J5)/1000000</f>
        <v>20878.477285670371</v>
      </c>
      <c r="K16" s="312">
        <f ca="1">(('Emissions '!$J5/'Emissions '!$K5)*K5)/1000000</f>
        <v>21797.752750752799</v>
      </c>
      <c r="L16" s="312">
        <f ca="1">(('Emissions '!$J5/'Emissions '!$K5)*L5)/1000000</f>
        <v>22806.392177970061</v>
      </c>
      <c r="M16" s="312">
        <f ca="1">(('Emissions '!$J5/'Emissions '!$K5)*M5)/1000000</f>
        <v>23184.115780229709</v>
      </c>
      <c r="N16" s="312">
        <f ca="1">(('Emissions '!$J5/'Emissions '!$K5)*N5)/1000000</f>
        <v>23351.315733626951</v>
      </c>
      <c r="O16" s="312">
        <f ca="1">(('Emissions '!$J5/'Emissions '!$K5)*O5)/1000000</f>
        <v>22441.70329886167</v>
      </c>
      <c r="P16" s="312">
        <f ca="1">(('Emissions '!$J5/'Emissions '!$K5)*P5)/1000000</f>
        <v>21519.122555916281</v>
      </c>
      <c r="Q16" s="312">
        <f ca="1">(('Emissions '!$J5/'Emissions '!$K5)*Q5)/1000000</f>
        <v>21002.515141626456</v>
      </c>
      <c r="R16" s="312">
        <f ca="1">(('Emissions '!$J5/'Emissions '!$K5)*R5)/1000000</f>
        <v>20898.574164269787</v>
      </c>
      <c r="S16" s="312">
        <f ca="1">(('Emissions '!$J5/'Emissions '!$K5)*S5)/1000000</f>
        <v>20561.909523589315</v>
      </c>
      <c r="T16" s="312">
        <f ca="1">(('Emissions '!$J5/'Emissions '!$K5)*T5)/1000000</f>
        <v>20102.515192114533</v>
      </c>
      <c r="U16" s="312">
        <f ca="1">(('Emissions '!$J5/'Emissions '!$K5)*U5)/1000000</f>
        <v>19396.229389698216</v>
      </c>
      <c r="V16" s="312">
        <f ca="1">(('Emissions '!$J5/'Emissions '!$K5)*V5)/1000000</f>
        <v>18723.843715551215</v>
      </c>
      <c r="W16" s="312">
        <f ca="1">(('Emissions '!$J5/'Emissions '!$K5)*W5)/1000000</f>
        <v>17858.230664156374</v>
      </c>
      <c r="X16" s="312">
        <f ca="1">(('Emissions '!$J5/'Emissions '!$K5)*X5)/1000000</f>
        <v>17091.504654174587</v>
      </c>
      <c r="Y16" s="312">
        <f ca="1">(('Emissions '!$J5/'Emissions '!$K5)*Y5)/1000000</f>
        <v>16838.859352964944</v>
      </c>
      <c r="Z16" s="312">
        <f ca="1">(('Emissions '!$J5/'Emissions '!$K5)*Z5)/1000000</f>
        <v>16334.186819955847</v>
      </c>
      <c r="AA16" s="312">
        <f ca="1">(('Emissions '!$J5/'Emissions '!$K5)*AA5)/1000000</f>
        <v>15109.193794534078</v>
      </c>
      <c r="AB16" s="312">
        <f ca="1">(('Emissions '!$J5/'Emissions '!$K5)*AB5)/1000000</f>
        <v>14459.955692183968</v>
      </c>
      <c r="AC16" s="312">
        <f ca="1">(('Emissions '!$J5/'Emissions '!$K5)*AC5)/1000000</f>
        <v>13852.174632798649</v>
      </c>
      <c r="AD16" s="312">
        <f ca="1">(('Emissions '!$J5/'Emissions '!$K5)*AD5)/1000000</f>
        <v>13221.333420416606</v>
      </c>
      <c r="AE16" s="312">
        <f ca="1">(('Emissions '!$J5/'Emissions '!$K5)*AE5)/1000000</f>
        <v>12655.210764538866</v>
      </c>
      <c r="AF16" s="312">
        <f ca="1">(('Emissions '!$J5/'Emissions '!$K5)*AF5)/1000000</f>
        <v>12164.904909580469</v>
      </c>
    </row>
    <row r="17" spans="1:32">
      <c r="A17" s="147" t="s">
        <v>55</v>
      </c>
      <c r="B17" s="312">
        <f ca="1">(('Emissions '!$J6/'Emissions '!$K6)*B6)/1000000</f>
        <v>3386.8180454861608</v>
      </c>
      <c r="C17" s="312">
        <f ca="1">(('Emissions '!$J6/'Emissions '!$K6)*C6)/1000000</f>
        <v>3434.0740371841703</v>
      </c>
      <c r="D17" s="312">
        <f ca="1">(('Emissions '!$J6/'Emissions '!$K6)*D6)/1000000</f>
        <v>3506.9355017300909</v>
      </c>
      <c r="E17" s="312">
        <f ca="1">(('Emissions '!$J6/'Emissions '!$K6)*E6)/1000000</f>
        <v>3737.1731459605771</v>
      </c>
      <c r="F17" s="312">
        <f ca="1">(('Emissions '!$J6/'Emissions '!$K6)*F6)/1000000</f>
        <v>3728.5718919365095</v>
      </c>
      <c r="G17" s="312">
        <f ca="1">(('Emissions '!$J6/'Emissions '!$K6)*G6)/1000000</f>
        <v>4155.6548669652893</v>
      </c>
      <c r="H17" s="312">
        <f ca="1">(('Emissions '!$J6/'Emissions '!$K6)*H6)/1000000</f>
        <v>4652.0533954253551</v>
      </c>
      <c r="I17" s="312">
        <f ca="1">(('Emissions '!$J6/'Emissions '!$K6)*I6)/1000000</f>
        <v>4660.2842129574747</v>
      </c>
      <c r="J17" s="312">
        <f ca="1">(('Emissions '!$J6/'Emissions '!$K6)*J6)/1000000</f>
        <v>4917.2035427569144</v>
      </c>
      <c r="K17" s="312">
        <f ca="1">(('Emissions '!$J6/'Emissions '!$K6)*K6)/1000000</f>
        <v>4903.3418424932925</v>
      </c>
      <c r="L17" s="312">
        <f ca="1">(('Emissions '!$J6/'Emissions '!$K6)*L6)/1000000</f>
        <v>4736.5863513086451</v>
      </c>
      <c r="M17" s="312">
        <f ca="1">(('Emissions '!$J6/'Emissions '!$K6)*M6)/1000000</f>
        <v>4459.7828135172504</v>
      </c>
      <c r="N17" s="312">
        <f ca="1">(('Emissions '!$J6/'Emissions '!$K6)*N6)/1000000</f>
        <v>4134.2436300256231</v>
      </c>
      <c r="O17" s="312">
        <f ca="1">(('Emissions '!$J6/'Emissions '!$K6)*O6)/1000000</f>
        <v>3754.2045049728122</v>
      </c>
      <c r="P17" s="312">
        <f ca="1">(('Emissions '!$J6/'Emissions '!$K6)*P6)/1000000</f>
        <v>3325.4876756523845</v>
      </c>
      <c r="Q17" s="312">
        <f ca="1">(('Emissions '!$J6/'Emissions '!$K6)*Q6)/1000000</f>
        <v>3035.2126008270939</v>
      </c>
      <c r="R17" s="312">
        <f ca="1">(('Emissions '!$J6/'Emissions '!$K6)*R6)/1000000</f>
        <v>3156.9545071271718</v>
      </c>
      <c r="S17" s="312">
        <f ca="1">(('Emissions '!$J6/'Emissions '!$K6)*S6)/1000000</f>
        <v>2854.9867446760318</v>
      </c>
      <c r="T17" s="312">
        <f ca="1">(('Emissions '!$J6/'Emissions '!$K6)*T6)/1000000</f>
        <v>2553.397771955164</v>
      </c>
      <c r="U17" s="312">
        <f ca="1">(('Emissions '!$J6/'Emissions '!$K6)*U6)/1000000</f>
        <v>2230.6328364834917</v>
      </c>
      <c r="V17" s="312">
        <f ca="1">(('Emissions '!$J6/'Emissions '!$K6)*V6)/1000000</f>
        <v>1933.3834479584452</v>
      </c>
      <c r="W17" s="312">
        <f ca="1">(('Emissions '!$J6/'Emissions '!$K6)*W6)/1000000</f>
        <v>1655.5413591447859</v>
      </c>
      <c r="X17" s="312">
        <f ca="1">(('Emissions '!$J6/'Emissions '!$K6)*X6)/1000000</f>
        <v>1437.6429612925081</v>
      </c>
      <c r="Y17" s="312">
        <f ca="1">(('Emissions '!$J6/'Emissions '!$K6)*Y6)/1000000</f>
        <v>1254.4449462046935</v>
      </c>
      <c r="Z17" s="312">
        <f ca="1">(('Emissions '!$J6/'Emissions '!$K6)*Z6)/1000000</f>
        <v>1095.1300321365247</v>
      </c>
      <c r="AA17" s="312">
        <f ca="1">(('Emissions '!$J6/'Emissions '!$K6)*AA6)/1000000</f>
        <v>923.57902358798594</v>
      </c>
      <c r="AB17" s="312">
        <f ca="1">(('Emissions '!$J6/'Emissions '!$K6)*AB6)/1000000</f>
        <v>843.59066909069611</v>
      </c>
      <c r="AC17" s="312">
        <f ca="1">(('Emissions '!$J6/'Emissions '!$K6)*AC6)/1000000</f>
        <v>776.9804870025423</v>
      </c>
      <c r="AD17" s="312">
        <f ca="1">(('Emissions '!$J6/'Emissions '!$K6)*AD6)/1000000</f>
        <v>685.18225203990471</v>
      </c>
      <c r="AE17" s="312">
        <f ca="1">(('Emissions '!$J6/'Emissions '!$K6)*AE6)/1000000</f>
        <v>606.22085409865542</v>
      </c>
      <c r="AF17" s="312">
        <f ca="1">(('Emissions '!$J6/'Emissions '!$K6)*AF6)/1000000</f>
        <v>539.28458788712169</v>
      </c>
    </row>
    <row r="18" spans="1:32">
      <c r="A18" s="147" t="s">
        <v>56</v>
      </c>
      <c r="B18" s="312">
        <f ca="1">(('Emissions '!$J7/'Emissions '!$K7)*B7)/1000000</f>
        <v>1661.0596532155419</v>
      </c>
      <c r="C18" s="312">
        <f ca="1">(('Emissions '!$J7/'Emissions '!$K7)*C7)/1000000</f>
        <v>1682.6343361276486</v>
      </c>
      <c r="D18" s="312">
        <f ca="1">(('Emissions '!$J7/'Emissions '!$K7)*D7)/1000000</f>
        <v>1682.4620717677774</v>
      </c>
      <c r="E18" s="312">
        <f ca="1">(('Emissions '!$J7/'Emissions '!$K7)*E7)/1000000</f>
        <v>1774.3370631545986</v>
      </c>
      <c r="F18" s="312">
        <f ca="1">(('Emissions '!$J7/'Emissions '!$K7)*F7)/1000000</f>
        <v>1801.0254756336512</v>
      </c>
      <c r="G18" s="312">
        <f ca="1">(('Emissions '!$J7/'Emissions '!$K7)*G7)/1000000</f>
        <v>2030.0464421595509</v>
      </c>
      <c r="H18" s="312">
        <f ca="1">(('Emissions '!$J7/'Emissions '!$K7)*H7)/1000000</f>
        <v>2448.2271113666861</v>
      </c>
      <c r="I18" s="312">
        <f ca="1">(('Emissions '!$J7/'Emissions '!$K7)*I7)/1000000</f>
        <v>2445.155106291601</v>
      </c>
      <c r="J18" s="312">
        <f ca="1">(('Emissions '!$J7/'Emissions '!$K7)*J7)/1000000</f>
        <v>2740.0015597290162</v>
      </c>
      <c r="K18" s="312">
        <f ca="1">(('Emissions '!$J7/'Emissions '!$K7)*K7)/1000000</f>
        <v>3027.0661023403986</v>
      </c>
      <c r="L18" s="312">
        <f ca="1">(('Emissions '!$J7/'Emissions '!$K7)*L7)/1000000</f>
        <v>3017.2137437662291</v>
      </c>
      <c r="M18" s="312">
        <f ca="1">(('Emissions '!$J7/'Emissions '!$K7)*M7)/1000000</f>
        <v>3216.6301005614509</v>
      </c>
      <c r="N18" s="312">
        <f ca="1">(('Emissions '!$J7/'Emissions '!$K7)*N7)/1000000</f>
        <v>3406.3098722665791</v>
      </c>
      <c r="O18" s="312">
        <f ca="1">(('Emissions '!$J7/'Emissions '!$K7)*O7)/1000000</f>
        <v>3799.137668039567</v>
      </c>
      <c r="P18" s="312">
        <f ca="1">(('Emissions '!$J7/'Emissions '!$K7)*P7)/1000000</f>
        <v>3737.0116308455395</v>
      </c>
      <c r="Q18" s="312">
        <f ca="1">(('Emissions '!$J7/'Emissions '!$K7)*Q7)/1000000</f>
        <v>3603.0485119800755</v>
      </c>
      <c r="R18" s="312">
        <f ca="1">(('Emissions '!$J7/'Emissions '!$K7)*R7)/1000000</f>
        <v>3573.4295882637498</v>
      </c>
      <c r="S18" s="312">
        <f ca="1">(('Emissions '!$J7/'Emissions '!$K7)*S7)/1000000</f>
        <v>3467.0067773634205</v>
      </c>
      <c r="T18" s="312">
        <f ca="1">(('Emissions '!$J7/'Emissions '!$K7)*T7)/1000000</f>
        <v>3350.4878104594327</v>
      </c>
      <c r="U18" s="312">
        <f ca="1">(('Emissions '!$J7/'Emissions '!$K7)*U7)/1000000</f>
        <v>3138.7554314122117</v>
      </c>
      <c r="V18" s="312">
        <f ca="1">(('Emissions '!$J7/'Emissions '!$K7)*V7)/1000000</f>
        <v>3000.2734725931464</v>
      </c>
      <c r="W18" s="312">
        <f ca="1">(('Emissions '!$J7/'Emissions '!$K7)*W7)/1000000</f>
        <v>2851.5465267337163</v>
      </c>
      <c r="X18" s="312">
        <f ca="1">(('Emissions '!$J7/'Emissions '!$K7)*X7)/1000000</f>
        <v>2743.039941863447</v>
      </c>
      <c r="Y18" s="312">
        <f ca="1">(('Emissions '!$J7/'Emissions '!$K7)*Y7)/1000000</f>
        <v>2676.0770496437667</v>
      </c>
      <c r="Z18" s="312">
        <f ca="1">(('Emissions '!$J7/'Emissions '!$K7)*Z7)/1000000</f>
        <v>2634.1211223804939</v>
      </c>
      <c r="AA18" s="312">
        <f ca="1">(('Emissions '!$J7/'Emissions '!$K7)*AA7)/1000000</f>
        <v>2532.1795596971692</v>
      </c>
      <c r="AB18" s="312">
        <f ca="1">(('Emissions '!$J7/'Emissions '!$K7)*AB7)/1000000</f>
        <v>2409.2774800719371</v>
      </c>
      <c r="AC18" s="312">
        <f ca="1">(('Emissions '!$J7/'Emissions '!$K7)*AC7)/1000000</f>
        <v>2296.1844887294124</v>
      </c>
      <c r="AD18" s="312">
        <f ca="1">(('Emissions '!$J7/'Emissions '!$K7)*AD7)/1000000</f>
        <v>2182.8163921297614</v>
      </c>
      <c r="AE18" s="312">
        <f ca="1">(('Emissions '!$J7/'Emissions '!$K7)*AE7)/1000000</f>
        <v>2082.1914762643746</v>
      </c>
      <c r="AF18" s="312">
        <f ca="1">(('Emissions '!$J7/'Emissions '!$K7)*AF7)/1000000</f>
        <v>1995.89592317335</v>
      </c>
    </row>
    <row r="19" spans="1:32">
      <c r="A19" s="147" t="s">
        <v>549</v>
      </c>
      <c r="B19" s="312">
        <f ca="1">(('Emissions '!$J8/'Emissions '!$K8)*B8)/1000000</f>
        <v>2830.3437229651227</v>
      </c>
      <c r="C19" s="312">
        <f ca="1">(('Emissions '!$J8/'Emissions '!$K8)*C8)/1000000</f>
        <v>2870.298165403412</v>
      </c>
      <c r="D19" s="312">
        <f ca="1">(('Emissions '!$J8/'Emissions '!$K8)*D8)/1000000</f>
        <v>2811.453022554892</v>
      </c>
      <c r="E19" s="312">
        <f ca="1">(('Emissions '!$J8/'Emissions '!$K8)*E8)/1000000</f>
        <v>2809.9235021530758</v>
      </c>
      <c r="F19" s="312">
        <f ca="1">(('Emissions '!$J8/'Emissions '!$K8)*F8)/1000000</f>
        <v>2847.5356371391154</v>
      </c>
      <c r="G19" s="312">
        <f ca="1">(('Emissions '!$J8/'Emissions '!$K8)*G8)/1000000</f>
        <v>3037.6278474878745</v>
      </c>
      <c r="H19" s="312">
        <f ca="1">(('Emissions '!$J8/'Emissions '!$K8)*H8)/1000000</f>
        <v>3119.7272435968216</v>
      </c>
      <c r="I19" s="312">
        <f ca="1">(('Emissions '!$J8/'Emissions '!$K8)*I8)/1000000</f>
        <v>3249.8116933660522</v>
      </c>
      <c r="J19" s="312">
        <f ca="1">(('Emissions '!$J8/'Emissions '!$K8)*J8)/1000000</f>
        <v>3459.1310640528277</v>
      </c>
      <c r="K19" s="312">
        <f ca="1">(('Emissions '!$J8/'Emissions '!$K8)*K8)/1000000</f>
        <v>3785.2420558772501</v>
      </c>
      <c r="L19" s="312">
        <f ca="1">(('Emissions '!$J8/'Emissions '!$K8)*L8)/1000000</f>
        <v>3942.5304152698368</v>
      </c>
      <c r="M19" s="312">
        <f ca="1">(('Emissions '!$J8/'Emissions '!$K8)*M8)/1000000</f>
        <v>4021.4706754874255</v>
      </c>
      <c r="N19" s="312">
        <f ca="1">(('Emissions '!$J8/'Emissions '!$K8)*N8)/1000000</f>
        <v>4076.8775394243744</v>
      </c>
      <c r="O19" s="312">
        <f ca="1">(('Emissions '!$J8/'Emissions '!$K8)*O8)/1000000</f>
        <v>4093.5115678624966</v>
      </c>
      <c r="P19" s="312">
        <f ca="1">(('Emissions '!$J8/'Emissions '!$K8)*P8)/1000000</f>
        <v>4055.0632088888478</v>
      </c>
      <c r="Q19" s="312">
        <f ca="1">(('Emissions '!$J8/'Emissions '!$K8)*Q8)/1000000</f>
        <v>4050.910212946595</v>
      </c>
      <c r="R19" s="312">
        <f ca="1">(('Emissions '!$J8/'Emissions '!$K8)*R8)/1000000</f>
        <v>4099.3807011367089</v>
      </c>
      <c r="S19" s="312">
        <f ca="1">(('Emissions '!$J8/'Emissions '!$K8)*S8)/1000000</f>
        <v>4145.022349861194</v>
      </c>
      <c r="T19" s="312">
        <f ca="1">(('Emissions '!$J8/'Emissions '!$K8)*T8)/1000000</f>
        <v>4113.1011395246951</v>
      </c>
      <c r="U19" s="312">
        <f ca="1">(('Emissions '!$J8/'Emissions '!$K8)*U8)/1000000</f>
        <v>4021.2245565773205</v>
      </c>
      <c r="V19" s="312">
        <f ca="1">(('Emissions '!$J8/'Emissions '!$K8)*V8)/1000000</f>
        <v>3930.2030420386477</v>
      </c>
      <c r="W19" s="312">
        <f ca="1">(('Emissions '!$J8/'Emissions '!$K8)*W8)/1000000</f>
        <v>3856.4257171312388</v>
      </c>
      <c r="X19" s="312">
        <f ca="1">(('Emissions '!$J8/'Emissions '!$K8)*X8)/1000000</f>
        <v>3751.4169420934481</v>
      </c>
      <c r="Y19" s="312">
        <f ca="1">(('Emissions '!$J8/'Emissions '!$K8)*Y8)/1000000</f>
        <v>3639.2688119152631</v>
      </c>
      <c r="Z19" s="312">
        <f ca="1">(('Emissions '!$J8/'Emissions '!$K8)*Z8)/1000000</f>
        <v>3754.8816352444369</v>
      </c>
      <c r="AA19" s="312">
        <f ca="1">(('Emissions '!$J8/'Emissions '!$K8)*AA8)/1000000</f>
        <v>3608.3780600514046</v>
      </c>
      <c r="AB19" s="312">
        <f ca="1">(('Emissions '!$J8/'Emissions '!$K8)*AB8)/1000000</f>
        <v>3504.9740839021524</v>
      </c>
      <c r="AC19" s="312">
        <f ca="1">(('Emissions '!$J8/'Emissions '!$K8)*AC8)/1000000</f>
        <v>3410.352820788069</v>
      </c>
      <c r="AD19" s="312">
        <f ca="1">(('Emissions '!$J8/'Emissions '!$K8)*AD8)/1000000</f>
        <v>3310.3777286772411</v>
      </c>
      <c r="AE19" s="312">
        <f ca="1">(('Emissions '!$J8/'Emissions '!$K8)*AE8)/1000000</f>
        <v>3218.4601157041789</v>
      </c>
      <c r="AF19" s="312">
        <f ca="1">(('Emissions '!$J8/'Emissions '!$K8)*AF8)/1000000</f>
        <v>3142.3665829081147</v>
      </c>
    </row>
    <row r="20" spans="1:32">
      <c r="A20" s="147" t="s">
        <v>52</v>
      </c>
      <c r="B20" s="312">
        <f ca="1">(('Emissions '!$J9/'Emissions '!$K9)*B9)/1000000</f>
        <v>3547.9667361061774</v>
      </c>
      <c r="C20" s="312">
        <f ca="1">(('Emissions '!$J9/'Emissions '!$K9)*C9)/1000000</f>
        <v>3560.6183706504626</v>
      </c>
      <c r="D20" s="312">
        <f ca="1">(('Emissions '!$J9/'Emissions '!$K9)*D9)/1000000</f>
        <v>3467.8164954334684</v>
      </c>
      <c r="E20" s="312">
        <f ca="1">(('Emissions '!$J9/'Emissions '!$K9)*E9)/1000000</f>
        <v>3433.5087838083277</v>
      </c>
      <c r="F20" s="312">
        <f ca="1">(('Emissions '!$J9/'Emissions '!$K9)*F9)/1000000</f>
        <v>3330.7628233564201</v>
      </c>
      <c r="G20" s="312">
        <f ca="1">(('Emissions '!$J9/'Emissions '!$K9)*G9)/1000000</f>
        <v>3373.4656859737879</v>
      </c>
      <c r="H20" s="312">
        <f ca="1">(('Emissions '!$J9/'Emissions '!$K9)*H9)/1000000</f>
        <v>3370.9926342347162</v>
      </c>
      <c r="I20" s="312">
        <f ca="1">(('Emissions '!$J9/'Emissions '!$K9)*I9)/1000000</f>
        <v>3483.3748252114128</v>
      </c>
      <c r="J20" s="312">
        <f ca="1">(('Emissions '!$J9/'Emissions '!$K9)*J9)/1000000</f>
        <v>3843.7978608329736</v>
      </c>
      <c r="K20" s="312">
        <f ca="1">(('Emissions '!$J9/'Emissions '!$K9)*K9)/1000000</f>
        <v>4099.4753062249874</v>
      </c>
      <c r="L20" s="312">
        <f ca="1">(('Emissions '!$J9/'Emissions '!$K9)*L9)/1000000</f>
        <v>4307.717815886469</v>
      </c>
      <c r="M20" s="312">
        <f ca="1">(('Emissions '!$J9/'Emissions '!$K9)*M9)/1000000</f>
        <v>4483.30145668359</v>
      </c>
      <c r="N20" s="312">
        <f ca="1">(('Emissions '!$J9/'Emissions '!$K9)*N9)/1000000</f>
        <v>4665.3940777219905</v>
      </c>
      <c r="O20" s="312">
        <f ca="1">(('Emissions '!$J9/'Emissions '!$K9)*O9)/1000000</f>
        <v>4600.3455728334811</v>
      </c>
      <c r="P20" s="312">
        <f ca="1">(('Emissions '!$J9/'Emissions '!$K9)*P9)/1000000</f>
        <v>4433.4405980527663</v>
      </c>
      <c r="Q20" s="312">
        <f ca="1">(('Emissions '!$J9/'Emissions '!$K9)*Q9)/1000000</f>
        <v>4323.9945975278042</v>
      </c>
      <c r="R20" s="312">
        <f ca="1">(('Emissions '!$J9/'Emissions '!$K9)*R9)/1000000</f>
        <v>4256.6914865036806</v>
      </c>
      <c r="S20" s="312">
        <f ca="1">(('Emissions '!$J9/'Emissions '!$K9)*S9)/1000000</f>
        <v>4260.2991007067549</v>
      </c>
      <c r="T20" s="312">
        <f ca="1">(('Emissions '!$J9/'Emissions '!$K9)*T9)/1000000</f>
        <v>4217.4707839629782</v>
      </c>
      <c r="U20" s="312">
        <f ca="1">(('Emissions '!$J9/'Emissions '!$K9)*U9)/1000000</f>
        <v>4153.1585173499516</v>
      </c>
      <c r="V20" s="312">
        <f ca="1">(('Emissions '!$J9/'Emissions '!$K9)*V9)/1000000</f>
        <v>4071.6748874719233</v>
      </c>
      <c r="W20" s="312">
        <f ca="1">(('Emissions '!$J9/'Emissions '!$K9)*W9)/1000000</f>
        <v>3947.1257125495076</v>
      </c>
      <c r="X20" s="312">
        <f ca="1">(('Emissions '!$J9/'Emissions '!$K9)*X9)/1000000</f>
        <v>3833.7771220419945</v>
      </c>
      <c r="Y20" s="312">
        <f ca="1">(('Emissions '!$J9/'Emissions '!$K9)*Y9)/1000000</f>
        <v>3969.7817750403442</v>
      </c>
      <c r="Z20" s="312">
        <f ca="1">(('Emissions '!$J9/'Emissions '!$K9)*Z9)/1000000</f>
        <v>3858.255615002965</v>
      </c>
      <c r="AA20" s="312">
        <f ca="1">(('Emissions '!$J9/'Emissions '!$K9)*AA9)/1000000</f>
        <v>3725.6315869040341</v>
      </c>
      <c r="AB20" s="312">
        <f ca="1">(('Emissions '!$J9/'Emissions '!$K9)*AB9)/1000000</f>
        <v>3599.7152245845264</v>
      </c>
      <c r="AC20" s="312">
        <f ca="1">(('Emissions '!$J9/'Emissions '!$K9)*AC9)/1000000</f>
        <v>3490.1631345349342</v>
      </c>
      <c r="AD20" s="312">
        <f ca="1">(('Emissions '!$J9/'Emissions '!$K9)*AD9)/1000000</f>
        <v>3382.6700478480948</v>
      </c>
      <c r="AE20" s="312">
        <f ca="1">(('Emissions '!$J9/'Emissions '!$K9)*AE9)/1000000</f>
        <v>3286.0844329411821</v>
      </c>
      <c r="AF20" s="312">
        <f ca="1">(('Emissions '!$J9/'Emissions '!$K9)*AF9)/1000000</f>
        <v>3206.0478866064072</v>
      </c>
    </row>
    <row r="21" spans="1:32">
      <c r="A21" s="147" t="s">
        <v>57</v>
      </c>
      <c r="B21" s="312">
        <f ca="1">(('Emissions '!$J10/'Emissions '!$K10)*B10)/1000000</f>
        <v>1217.9035344250626</v>
      </c>
      <c r="C21" s="312">
        <f ca="1">(('Emissions '!$J10/'Emissions '!$K10)*C10)/1000000</f>
        <v>1237.1096999555477</v>
      </c>
      <c r="D21" s="312">
        <f ca="1">(('Emissions '!$J10/'Emissions '!$K10)*D10)/1000000</f>
        <v>1257.07381286278</v>
      </c>
      <c r="E21" s="312">
        <f ca="1">(('Emissions '!$J10/'Emissions '!$K10)*E10)/1000000</f>
        <v>1348.154719993549</v>
      </c>
      <c r="F21" s="312">
        <f ca="1">(('Emissions '!$J10/'Emissions '!$K10)*F10)/1000000</f>
        <v>1381.2060174439894</v>
      </c>
      <c r="G21" s="312">
        <f ca="1">(('Emissions '!$J10/'Emissions '!$K10)*G10)/1000000</f>
        <v>1532.2058190526257</v>
      </c>
      <c r="H21" s="312">
        <f ca="1">(('Emissions '!$J10/'Emissions '!$K10)*H10)/1000000</f>
        <v>1593.2080147935319</v>
      </c>
      <c r="I21" s="312">
        <f ca="1">(('Emissions '!$J10/'Emissions '!$K10)*I10)/1000000</f>
        <v>1567.7726470262216</v>
      </c>
      <c r="J21" s="312">
        <f ca="1">(('Emissions '!$J10/'Emissions '!$K10)*J10)/1000000</f>
        <v>1789.5863455057354</v>
      </c>
      <c r="K21" s="312">
        <f ca="1">(('Emissions '!$J10/'Emissions '!$K10)*K10)/1000000</f>
        <v>2017.6483531143615</v>
      </c>
      <c r="L21" s="312">
        <f ca="1">(('Emissions '!$J10/'Emissions '!$K10)*L10)/1000000</f>
        <v>2068.452537529015</v>
      </c>
      <c r="M21" s="312">
        <f ca="1">(('Emissions '!$J10/'Emissions '!$K10)*M10)/1000000</f>
        <v>2474.5122803438076</v>
      </c>
      <c r="N21" s="312">
        <f ca="1">(('Emissions '!$J10/'Emissions '!$K10)*N10)/1000000</f>
        <v>2402.2561826888873</v>
      </c>
      <c r="O21" s="312">
        <f ca="1">(('Emissions '!$J10/'Emissions '!$K10)*O10)/1000000</f>
        <v>2221.6152770029139</v>
      </c>
      <c r="P21" s="312">
        <f ca="1">(('Emissions '!$J10/'Emissions '!$K10)*P10)/1000000</f>
        <v>2077.0268259578993</v>
      </c>
      <c r="Q21" s="312">
        <f ca="1">(('Emissions '!$J10/'Emissions '!$K10)*Q10)/1000000</f>
        <v>2039.0746657992884</v>
      </c>
      <c r="R21" s="312">
        <f ca="1">(('Emissions '!$J10/'Emissions '!$K10)*R10)/1000000</f>
        <v>1925.3197170511671</v>
      </c>
      <c r="S21" s="312">
        <f ca="1">(('Emissions '!$J10/'Emissions '!$K10)*S10)/1000000</f>
        <v>1901.3940083202276</v>
      </c>
      <c r="T21" s="312">
        <f ca="1">(('Emissions '!$J10/'Emissions '!$K10)*T10)/1000000</f>
        <v>1848.9141007781784</v>
      </c>
      <c r="U21" s="312">
        <f ca="1">(('Emissions '!$J10/'Emissions '!$K10)*U10)/1000000</f>
        <v>1808.3299969368156</v>
      </c>
      <c r="V21" s="312">
        <f ca="1">(('Emissions '!$J10/'Emissions '!$K10)*V10)/1000000</f>
        <v>1776.8376941042563</v>
      </c>
      <c r="W21" s="312">
        <f ca="1">(('Emissions '!$J10/'Emissions '!$K10)*W10)/1000000</f>
        <v>1736.1780752735917</v>
      </c>
      <c r="X21" s="312">
        <f ca="1">(('Emissions '!$J10/'Emissions '!$K10)*X10)/1000000</f>
        <v>1692.0246421643037</v>
      </c>
      <c r="Y21" s="312">
        <f ca="1">(('Emissions '!$J10/'Emissions '!$K10)*Y10)/1000000</f>
        <v>1677.6600069821388</v>
      </c>
      <c r="Z21" s="312">
        <f ca="1">(('Emissions '!$J10/'Emissions '!$K10)*Z10)/1000000</f>
        <v>1620.925616083116</v>
      </c>
      <c r="AA21" s="312">
        <f ca="1">(('Emissions '!$J10/'Emissions '!$K10)*AA10)/1000000</f>
        <v>1562.4840286594074</v>
      </c>
      <c r="AB21" s="312">
        <f ca="1">(('Emissions '!$J10/'Emissions '!$K10)*AB10)/1000000</f>
        <v>1495.9908799514169</v>
      </c>
      <c r="AC21" s="312">
        <f ca="1">(('Emissions '!$J10/'Emissions '!$K10)*AC10)/1000000</f>
        <v>1435.3970204962388</v>
      </c>
      <c r="AD21" s="312">
        <f ca="1">(('Emissions '!$J10/'Emissions '!$K10)*AD10)/1000000</f>
        <v>1380.4708492465224</v>
      </c>
      <c r="AE21" s="312">
        <f ca="1">(('Emissions '!$J10/'Emissions '!$K10)*AE10)/1000000</f>
        <v>1331.2472387984772</v>
      </c>
      <c r="AF21" s="312">
        <f ca="1">(('Emissions '!$J10/'Emissions '!$K10)*AF10)/1000000</f>
        <v>1290.329654442123</v>
      </c>
    </row>
    <row r="22" spans="1:32">
      <c r="A22" s="147" t="s">
        <v>608</v>
      </c>
      <c r="B22" s="312">
        <f ca="1">SUM(B13:B21)</f>
        <v>136238.01577598078</v>
      </c>
      <c r="C22" s="312">
        <f t="shared" ref="C22:AF22" ca="1" si="0">SUM(C13:C21)</f>
        <v>138209.32097566835</v>
      </c>
      <c r="D22" s="312">
        <f t="shared" ca="1" si="0"/>
        <v>139692.23316751199</v>
      </c>
      <c r="E22" s="312">
        <f t="shared" ca="1" si="0"/>
        <v>141335.69421403311</v>
      </c>
      <c r="F22" s="312">
        <f t="shared" ca="1" si="0"/>
        <v>143338.51874584254</v>
      </c>
      <c r="G22" s="312">
        <f t="shared" ca="1" si="0"/>
        <v>144650.37058850878</v>
      </c>
      <c r="H22" s="312">
        <f t="shared" ca="1" si="0"/>
        <v>146024.38465231331</v>
      </c>
      <c r="I22" s="312">
        <f t="shared" ca="1" si="0"/>
        <v>149365.31275760866</v>
      </c>
      <c r="J22" s="312">
        <f t="shared" ca="1" si="0"/>
        <v>153481.60213005601</v>
      </c>
      <c r="K22" s="312">
        <f t="shared" ca="1" si="0"/>
        <v>158967.23069044133</v>
      </c>
      <c r="L22" s="312">
        <f t="shared" ca="1" si="0"/>
        <v>163812.24416809296</v>
      </c>
      <c r="M22" s="312">
        <f t="shared" ca="1" si="0"/>
        <v>167836.62488844604</v>
      </c>
      <c r="N22" s="312">
        <f t="shared" ca="1" si="0"/>
        <v>166891.70205630525</v>
      </c>
      <c r="O22" s="312">
        <f t="shared" ca="1" si="0"/>
        <v>164332.14702552353</v>
      </c>
      <c r="P22" s="312">
        <f t="shared" ca="1" si="0"/>
        <v>160777.67196262893</v>
      </c>
      <c r="Q22" s="312">
        <f t="shared" ca="1" si="0"/>
        <v>158199.43985829237</v>
      </c>
      <c r="R22" s="312">
        <f t="shared" ca="1" si="0"/>
        <v>157167.45596871135</v>
      </c>
      <c r="S22" s="312">
        <f t="shared" ca="1" si="0"/>
        <v>159041.88226464827</v>
      </c>
      <c r="T22" s="312">
        <f t="shared" ca="1" si="0"/>
        <v>157836.78530932992</v>
      </c>
      <c r="U22" s="312">
        <f t="shared" ca="1" si="0"/>
        <v>154194.53841193111</v>
      </c>
      <c r="V22" s="312">
        <f t="shared" ca="1" si="0"/>
        <v>150674.8489221074</v>
      </c>
      <c r="W22" s="312">
        <f t="shared" ca="1" si="0"/>
        <v>146991.84607322581</v>
      </c>
      <c r="X22" s="312">
        <f t="shared" ca="1" si="0"/>
        <v>142369.33846688329</v>
      </c>
      <c r="Y22" s="312">
        <f t="shared" ca="1" si="0"/>
        <v>137810.72330805514</v>
      </c>
      <c r="Z22" s="312">
        <f t="shared" ca="1" si="0"/>
        <v>133142.30223297409</v>
      </c>
      <c r="AA22" s="312">
        <f t="shared" ca="1" si="0"/>
        <v>127883.58676354986</v>
      </c>
      <c r="AB22" s="312">
        <f t="shared" ca="1" si="0"/>
        <v>123229.37128387862</v>
      </c>
      <c r="AC22" s="312">
        <f t="shared" ca="1" si="0"/>
        <v>119013.22717381416</v>
      </c>
      <c r="AD22" s="312">
        <f t="shared" ca="1" si="0"/>
        <v>114743.97648342469</v>
      </c>
      <c r="AE22" s="312">
        <f t="shared" ca="1" si="0"/>
        <v>110691.30652165269</v>
      </c>
      <c r="AF22" s="312">
        <f t="shared" ca="1" si="0"/>
        <v>107153.23215492872</v>
      </c>
    </row>
    <row r="23" spans="1:32"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>
      <c r="A25" s="147" t="str" cm="1">
        <f t="array" aca="1" ref="A25:AF34" ca="1">'Applicationwise Stock'!A33:AF42</f>
        <v>BET Application wise stock</v>
      </c>
      <c r="B25" s="312">
        <f ca="1"/>
        <v>2025</v>
      </c>
      <c r="C25" s="312">
        <f ca="1"/>
        <v>2026</v>
      </c>
      <c r="D25" s="312">
        <f ca="1"/>
        <v>2027</v>
      </c>
      <c r="E25" s="312">
        <f ca="1"/>
        <v>2028</v>
      </c>
      <c r="F25" s="312">
        <f ca="1"/>
        <v>2029</v>
      </c>
      <c r="G25" s="312">
        <f ca="1"/>
        <v>2030</v>
      </c>
      <c r="H25" s="312">
        <f ca="1"/>
        <v>2031</v>
      </c>
      <c r="I25" s="312">
        <f ca="1"/>
        <v>2032</v>
      </c>
      <c r="J25" s="312">
        <f ca="1"/>
        <v>2033</v>
      </c>
      <c r="K25" s="312">
        <f ca="1"/>
        <v>2034</v>
      </c>
      <c r="L25" s="312">
        <f ca="1"/>
        <v>2035</v>
      </c>
      <c r="M25" s="312">
        <f ca="1"/>
        <v>2036</v>
      </c>
      <c r="N25" s="312">
        <f ca="1"/>
        <v>2037</v>
      </c>
      <c r="O25" s="312">
        <f ca="1"/>
        <v>2038</v>
      </c>
      <c r="P25" s="312">
        <f ca="1"/>
        <v>2039</v>
      </c>
      <c r="Q25" s="312">
        <f ca="1"/>
        <v>2040</v>
      </c>
      <c r="R25" s="312">
        <f ca="1"/>
        <v>2041</v>
      </c>
      <c r="S25" s="312">
        <f ca="1"/>
        <v>2042</v>
      </c>
      <c r="T25" s="312">
        <f ca="1"/>
        <v>2043</v>
      </c>
      <c r="U25" s="312">
        <f ca="1"/>
        <v>2044</v>
      </c>
      <c r="V25" s="312">
        <f ca="1"/>
        <v>2045</v>
      </c>
      <c r="W25" s="312">
        <f ca="1"/>
        <v>2046</v>
      </c>
      <c r="X25" s="312">
        <f ca="1"/>
        <v>2047</v>
      </c>
      <c r="Y25" s="312">
        <f ca="1"/>
        <v>2048</v>
      </c>
      <c r="Z25" s="312">
        <f ca="1"/>
        <v>2049</v>
      </c>
      <c r="AA25" s="312">
        <f ca="1"/>
        <v>2050</v>
      </c>
      <c r="AB25" s="312">
        <f ca="1"/>
        <v>2051</v>
      </c>
      <c r="AC25" s="312">
        <f ca="1"/>
        <v>2052</v>
      </c>
      <c r="AD25" s="312">
        <f ca="1"/>
        <v>2053</v>
      </c>
      <c r="AE25" s="312">
        <f ca="1"/>
        <v>2054</v>
      </c>
      <c r="AF25" s="312">
        <f ca="1"/>
        <v>2055</v>
      </c>
    </row>
    <row r="26" spans="1:32">
      <c r="A26" s="147" t="str">
        <f ca="1"/>
        <v>Market Load Total</v>
      </c>
      <c r="B26" s="312">
        <f ca="1"/>
        <v>43.027534134577323</v>
      </c>
      <c r="C26" s="312">
        <f ca="1"/>
        <v>161.59846388154799</v>
      </c>
      <c r="D26" s="312">
        <f ca="1"/>
        <v>428.69419486867417</v>
      </c>
      <c r="E26" s="312">
        <f ca="1"/>
        <v>965.89083194267732</v>
      </c>
      <c r="F26" s="312">
        <f ca="1"/>
        <v>2059.3609294579051</v>
      </c>
      <c r="G26" s="312">
        <f ca="1"/>
        <v>3904.8444745993161</v>
      </c>
      <c r="H26" s="312">
        <f ca="1"/>
        <v>6857.4458096235348</v>
      </c>
      <c r="I26" s="312">
        <f ca="1"/>
        <v>13395.184275804211</v>
      </c>
      <c r="J26" s="312">
        <f ca="1"/>
        <v>23433.332560239021</v>
      </c>
      <c r="K26" s="312">
        <f ca="1"/>
        <v>38470.067176200508</v>
      </c>
      <c r="L26" s="312">
        <f ca="1"/>
        <v>61468.035963628354</v>
      </c>
      <c r="M26" s="312">
        <f ca="1"/>
        <v>94605.357654280539</v>
      </c>
      <c r="N26" s="312">
        <f ca="1"/>
        <v>144206.40760989263</v>
      </c>
      <c r="O26" s="312">
        <f ca="1"/>
        <v>206153.87755726706</v>
      </c>
      <c r="P26" s="312">
        <f ca="1"/>
        <v>286122.83082467964</v>
      </c>
      <c r="Q26" s="312">
        <f ca="1"/>
        <v>379237.57620966737</v>
      </c>
      <c r="R26" s="312">
        <f ca="1"/>
        <v>488137.35767927096</v>
      </c>
      <c r="S26" s="312">
        <f ca="1"/>
        <v>609708.60071264079</v>
      </c>
      <c r="T26" s="312">
        <f ca="1"/>
        <v>753126.48183290556</v>
      </c>
      <c r="U26" s="312">
        <f ca="1"/>
        <v>906508.92227550759</v>
      </c>
      <c r="V26" s="312">
        <f ca="1"/>
        <v>1069817.4917349124</v>
      </c>
      <c r="W26" s="312">
        <f ca="1"/>
        <v>1244645.8934318689</v>
      </c>
      <c r="X26" s="312">
        <f ca="1"/>
        <v>1425260.6406114986</v>
      </c>
      <c r="Y26" s="312">
        <f ca="1"/>
        <v>1599088.1222146298</v>
      </c>
      <c r="Z26" s="312">
        <f ca="1"/>
        <v>1779013.1900763072</v>
      </c>
      <c r="AA26" s="312">
        <f ca="1"/>
        <v>1987205.181480895</v>
      </c>
      <c r="AB26" s="312">
        <f ca="1"/>
        <v>2185002.6925602108</v>
      </c>
      <c r="AC26" s="312">
        <f ca="1"/>
        <v>2383607.4842952774</v>
      </c>
      <c r="AD26" s="312">
        <f ca="1"/>
        <v>2581999.1617630073</v>
      </c>
      <c r="AE26" s="312">
        <f ca="1"/>
        <v>2780209.6138344938</v>
      </c>
      <c r="AF26" s="312">
        <f ca="1"/>
        <v>2973579.6336900927</v>
      </c>
    </row>
    <row r="27" spans="1:32">
      <c r="A27" s="147" t="str">
        <f ca="1"/>
        <v>Parcel Load, FMCG &amp; eCommerce</v>
      </c>
      <c r="B27" s="312">
        <f ca="1"/>
        <v>60.36931113665937</v>
      </c>
      <c r="C27" s="312">
        <f ca="1"/>
        <v>224.91018679743343</v>
      </c>
      <c r="D27" s="312">
        <f ca="1"/>
        <v>599.6458669564239</v>
      </c>
      <c r="E27" s="312">
        <f ca="1"/>
        <v>1347.5914738387849</v>
      </c>
      <c r="F27" s="312">
        <f ca="1"/>
        <v>2883.7050246099902</v>
      </c>
      <c r="G27" s="312">
        <f ca="1"/>
        <v>5498.7715818312618</v>
      </c>
      <c r="H27" s="312">
        <f ca="1"/>
        <v>9678.0281721735482</v>
      </c>
      <c r="I27" s="312">
        <f ca="1"/>
        <v>19270.460914974061</v>
      </c>
      <c r="J27" s="312">
        <f ca="1"/>
        <v>33201.615399902686</v>
      </c>
      <c r="K27" s="312">
        <f ca="1"/>
        <v>55151.075721211637</v>
      </c>
      <c r="L27" s="312">
        <f ca="1"/>
        <v>90337.468093185424</v>
      </c>
      <c r="M27" s="312">
        <f ca="1"/>
        <v>139023.1238390916</v>
      </c>
      <c r="N27" s="312">
        <f ca="1"/>
        <v>199579.98514955628</v>
      </c>
      <c r="O27" s="312">
        <f ca="1"/>
        <v>282876.62736002106</v>
      </c>
      <c r="P27" s="312">
        <f ca="1"/>
        <v>388437.85236754722</v>
      </c>
      <c r="Q27" s="312">
        <f ca="1"/>
        <v>518219.42155976547</v>
      </c>
      <c r="R27" s="312">
        <f ca="1"/>
        <v>668652.23137209716</v>
      </c>
      <c r="S27" s="312">
        <f ca="1"/>
        <v>839633.07760820072</v>
      </c>
      <c r="T27" s="312">
        <f ca="1"/>
        <v>1035966.6412950543</v>
      </c>
      <c r="U27" s="312">
        <f ca="1"/>
        <v>1250051.0140866032</v>
      </c>
      <c r="V27" s="312">
        <f ca="1"/>
        <v>1474304.6479867955</v>
      </c>
      <c r="W27" s="312">
        <f ca="1"/>
        <v>1715350.553593073</v>
      </c>
      <c r="X27" s="312">
        <f ca="1"/>
        <v>1965319.075305185</v>
      </c>
      <c r="Y27" s="312">
        <f ca="1"/>
        <v>2199969.6099477545</v>
      </c>
      <c r="Z27" s="312">
        <f ca="1"/>
        <v>2444361.8701859913</v>
      </c>
      <c r="AA27" s="312">
        <f ca="1"/>
        <v>2728209.103312864</v>
      </c>
      <c r="AB27" s="312">
        <f ca="1"/>
        <v>3002511.2956951512</v>
      </c>
      <c r="AC27" s="312">
        <f ca="1"/>
        <v>3276870.279447197</v>
      </c>
      <c r="AD27" s="312">
        <f ca="1"/>
        <v>3550712.7273518885</v>
      </c>
      <c r="AE27" s="312">
        <f ca="1"/>
        <v>3822861.5540510425</v>
      </c>
      <c r="AF27" s="312">
        <f ca="1"/>
        <v>4088633.0338026579</v>
      </c>
    </row>
    <row r="28" spans="1:32">
      <c r="A28" s="147" t="str">
        <f ca="1"/>
        <v>Cement Total</v>
      </c>
      <c r="B28" s="312">
        <f ca="1"/>
        <v>12.202104982240702</v>
      </c>
      <c r="C28" s="312">
        <f ca="1"/>
        <v>46.530377827741084</v>
      </c>
      <c r="D28" s="312">
        <f ca="1"/>
        <v>120.79523497142844</v>
      </c>
      <c r="E28" s="312">
        <f ca="1"/>
        <v>276.53211701437527</v>
      </c>
      <c r="F28" s="312">
        <f ca="1"/>
        <v>575.02179525143038</v>
      </c>
      <c r="G28" s="312">
        <f ca="1"/>
        <v>1081.8750715768406</v>
      </c>
      <c r="H28" s="312">
        <f ca="1"/>
        <v>1916.0593453683723</v>
      </c>
      <c r="I28" s="312">
        <f ca="1"/>
        <v>3528.8134181766891</v>
      </c>
      <c r="J28" s="312">
        <f ca="1"/>
        <v>6068.7603153200016</v>
      </c>
      <c r="K28" s="312">
        <f ca="1"/>
        <v>10236.303930574679</v>
      </c>
      <c r="L28" s="312">
        <f ca="1"/>
        <v>15671.713105471725</v>
      </c>
      <c r="M28" s="312">
        <f ca="1"/>
        <v>24383.182913611174</v>
      </c>
      <c r="N28" s="312">
        <f ca="1"/>
        <v>35558.573195028381</v>
      </c>
      <c r="O28" s="312">
        <f ca="1"/>
        <v>50045.517864268761</v>
      </c>
      <c r="P28" s="312">
        <f ca="1"/>
        <v>68626.473754680061</v>
      </c>
      <c r="Q28" s="312">
        <f ca="1"/>
        <v>91789.332073720099</v>
      </c>
      <c r="R28" s="312">
        <f ca="1"/>
        <v>116730.20515757453</v>
      </c>
      <c r="S28" s="312">
        <f ca="1"/>
        <v>163881.53082022219</v>
      </c>
      <c r="T28" s="312">
        <f ca="1"/>
        <v>200695.70637995721</v>
      </c>
      <c r="U28" s="312">
        <f ca="1"/>
        <v>240410.1215489179</v>
      </c>
      <c r="V28" s="312">
        <f ca="1"/>
        <v>281962.58535463311</v>
      </c>
      <c r="W28" s="312">
        <f ca="1"/>
        <v>326087.07690454507</v>
      </c>
      <c r="X28" s="312">
        <f ca="1"/>
        <v>372164.9797835506</v>
      </c>
      <c r="Y28" s="312">
        <f ca="1"/>
        <v>419092.75563959492</v>
      </c>
      <c r="Z28" s="312">
        <f ca="1"/>
        <v>467328.13331324555</v>
      </c>
      <c r="AA28" s="312">
        <f ca="1"/>
        <v>518131.55078646605</v>
      </c>
      <c r="AB28" s="312">
        <f ca="1"/>
        <v>574669.61814664945</v>
      </c>
      <c r="AC28" s="312">
        <f ca="1"/>
        <v>632553.46440109308</v>
      </c>
      <c r="AD28" s="312">
        <f ca="1"/>
        <v>692786.48575279466</v>
      </c>
      <c r="AE28" s="312">
        <f ca="1"/>
        <v>745957.63816506672</v>
      </c>
      <c r="AF28" s="312">
        <f ca="1"/>
        <v>798421.53916114499</v>
      </c>
    </row>
    <row r="29" spans="1:32">
      <c r="A29" s="147" t="str">
        <f ca="1"/>
        <v>Steel &amp; Metal Products Total</v>
      </c>
      <c r="B29" s="312">
        <f ca="1"/>
        <v>13.937976857878077</v>
      </c>
      <c r="C29" s="312">
        <f ca="1"/>
        <v>51.502452058884352</v>
      </c>
      <c r="D29" s="312">
        <f ca="1"/>
        <v>129.87556220229331</v>
      </c>
      <c r="E29" s="312">
        <f ca="1"/>
        <v>289.90347837004555</v>
      </c>
      <c r="F29" s="312">
        <f ca="1"/>
        <v>604.78309208566077</v>
      </c>
      <c r="G29" s="312">
        <f ca="1"/>
        <v>1206.6026770156509</v>
      </c>
      <c r="H29" s="312">
        <f ca="1"/>
        <v>2255.2725688092737</v>
      </c>
      <c r="I29" s="312">
        <f ca="1"/>
        <v>4387.1100855603618</v>
      </c>
      <c r="J29" s="312">
        <f ca="1"/>
        <v>7788.8401565576187</v>
      </c>
      <c r="K29" s="312">
        <f ca="1"/>
        <v>13085.736634448383</v>
      </c>
      <c r="L29" s="312">
        <f ca="1"/>
        <v>21354.267944495707</v>
      </c>
      <c r="M29" s="312">
        <f ca="1"/>
        <v>32648.052166575813</v>
      </c>
      <c r="N29" s="312">
        <f ca="1"/>
        <v>48842.12668008716</v>
      </c>
      <c r="O29" s="312">
        <f ca="1"/>
        <v>67457.708237915082</v>
      </c>
      <c r="P29" s="312">
        <f ca="1"/>
        <v>90487.438607293167</v>
      </c>
      <c r="Q29" s="312">
        <f ca="1"/>
        <v>119020.64054953231</v>
      </c>
      <c r="R29" s="312">
        <f ca="1"/>
        <v>153485.45730535215</v>
      </c>
      <c r="S29" s="312">
        <f ca="1"/>
        <v>188314.77304128799</v>
      </c>
      <c r="T29" s="312">
        <f ca="1"/>
        <v>227364.69208183096</v>
      </c>
      <c r="U29" s="312">
        <f ca="1"/>
        <v>269038.20795871416</v>
      </c>
      <c r="V29" s="312">
        <f ca="1"/>
        <v>311878.99310140172</v>
      </c>
      <c r="W29" s="312">
        <f ca="1"/>
        <v>352230.75201860024</v>
      </c>
      <c r="X29" s="312">
        <f ca="1"/>
        <v>397201.67888070486</v>
      </c>
      <c r="Y29" s="312">
        <f ca="1"/>
        <v>455392.42963860382</v>
      </c>
      <c r="Z29" s="312">
        <f ca="1"/>
        <v>509827.54335481086</v>
      </c>
      <c r="AA29" s="312">
        <f ca="1"/>
        <v>543909.22152862453</v>
      </c>
      <c r="AB29" s="312">
        <f ca="1"/>
        <v>594096.86594297737</v>
      </c>
      <c r="AC29" s="312">
        <f ca="1"/>
        <v>642828.05170644296</v>
      </c>
      <c r="AD29" s="312">
        <f ca="1"/>
        <v>689162.18345195707</v>
      </c>
      <c r="AE29" s="312">
        <f ca="1"/>
        <v>735163.92597096111</v>
      </c>
      <c r="AF29" s="312">
        <f ca="1"/>
        <v>779949.68832849863</v>
      </c>
    </row>
    <row r="30" spans="1:32">
      <c r="A30" s="147" t="str">
        <f ca="1"/>
        <v>Tankers - Petroleum &amp; CNG Total</v>
      </c>
      <c r="B30" s="312">
        <f ca="1"/>
        <v>5.9637606761079374</v>
      </c>
      <c r="C30" s="312">
        <f ca="1"/>
        <v>22.30205035428278</v>
      </c>
      <c r="D30" s="312">
        <f ca="1"/>
        <v>59.192002515859855</v>
      </c>
      <c r="E30" s="312">
        <f ca="1"/>
        <v>140.70382889200766</v>
      </c>
      <c r="F30" s="312">
        <f ca="1"/>
        <v>293.18853376737223</v>
      </c>
      <c r="G30" s="312">
        <f ca="1"/>
        <v>623.46092722281514</v>
      </c>
      <c r="H30" s="312">
        <f ca="1"/>
        <v>1236.3940971572129</v>
      </c>
      <c r="I30" s="312">
        <f ca="1"/>
        <v>2361.4214405802936</v>
      </c>
      <c r="J30" s="312">
        <f ca="1"/>
        <v>4244.5009521743386</v>
      </c>
      <c r="K30" s="312">
        <f ca="1"/>
        <v>6811.0348828287815</v>
      </c>
      <c r="L30" s="312">
        <f ca="1"/>
        <v>10261.90614802394</v>
      </c>
      <c r="M30" s="312">
        <f ca="1"/>
        <v>14531.649957411133</v>
      </c>
      <c r="N30" s="312">
        <f ca="1"/>
        <v>20008.464232219365</v>
      </c>
      <c r="O30" s="312">
        <f ca="1"/>
        <v>26111.2806401376</v>
      </c>
      <c r="P30" s="312">
        <f ca="1"/>
        <v>32355.905497999825</v>
      </c>
      <c r="Q30" s="312">
        <f ca="1"/>
        <v>39799.221119631264</v>
      </c>
      <c r="R30" s="312">
        <f ca="1"/>
        <v>53647.980591660824</v>
      </c>
      <c r="S30" s="312">
        <f ca="1"/>
        <v>60500.577916814756</v>
      </c>
      <c r="T30" s="312">
        <f ca="1"/>
        <v>66822.939925123646</v>
      </c>
      <c r="U30" s="312">
        <f ca="1"/>
        <v>71591.130509205235</v>
      </c>
      <c r="V30" s="312">
        <f ca="1"/>
        <v>74514.980434048048</v>
      </c>
      <c r="W30" s="312">
        <f ca="1"/>
        <v>75555.025466920837</v>
      </c>
      <c r="X30" s="312">
        <f ca="1"/>
        <v>77306.551363338309</v>
      </c>
      <c r="Y30" s="312">
        <f ca="1"/>
        <v>78498.11409595747</v>
      </c>
      <c r="Z30" s="312">
        <f ca="1"/>
        <v>79090.795649734282</v>
      </c>
      <c r="AA30" s="312">
        <f ca="1"/>
        <v>76929.634771740704</v>
      </c>
      <c r="AB30" s="312">
        <f ca="1"/>
        <v>80196.708897811521</v>
      </c>
      <c r="AC30" s="312">
        <f ca="1"/>
        <v>83429.848307293651</v>
      </c>
      <c r="AD30" s="312">
        <f ca="1"/>
        <v>82639.325809179165</v>
      </c>
      <c r="AE30" s="312">
        <f ca="1"/>
        <v>81485.466760956348</v>
      </c>
      <c r="AF30" s="312">
        <f ca="1"/>
        <v>80003.752718470176</v>
      </c>
    </row>
    <row r="31" spans="1:32">
      <c r="A31" s="147" t="str">
        <f ca="1"/>
        <v>Tankers - Milk, Edible Oil &amp; Water Total</v>
      </c>
      <c r="B31" s="312">
        <f ca="1"/>
        <v>2.4374309719509295</v>
      </c>
      <c r="C31" s="312">
        <f ca="1"/>
        <v>9.1063353337343571</v>
      </c>
      <c r="D31" s="312">
        <f ca="1"/>
        <v>23.664606685758066</v>
      </c>
      <c r="E31" s="312">
        <f ca="1"/>
        <v>55.669532554015113</v>
      </c>
      <c r="F31" s="312">
        <f ca="1"/>
        <v>118.01659227327431</v>
      </c>
      <c r="G31" s="312">
        <f ca="1"/>
        <v>253.80168261711864</v>
      </c>
      <c r="H31" s="312">
        <f ca="1"/>
        <v>542.22893485606301</v>
      </c>
      <c r="I31" s="312">
        <f ca="1"/>
        <v>1032.4909793926308</v>
      </c>
      <c r="J31" s="312">
        <f ca="1"/>
        <v>1970.9609211994746</v>
      </c>
      <c r="K31" s="312">
        <f ca="1"/>
        <v>3503.9797818762181</v>
      </c>
      <c r="L31" s="312">
        <f ca="1"/>
        <v>5447.3767200335778</v>
      </c>
      <c r="M31" s="312">
        <f ca="1"/>
        <v>8734.1590047384161</v>
      </c>
      <c r="N31" s="312">
        <f ca="1"/>
        <v>13737.907773527282</v>
      </c>
      <c r="O31" s="312">
        <f ca="1"/>
        <v>22019.833520278946</v>
      </c>
      <c r="P31" s="312">
        <f ca="1"/>
        <v>30299.915622862707</v>
      </c>
      <c r="Q31" s="312">
        <f ca="1"/>
        <v>39370.807279962697</v>
      </c>
      <c r="R31" s="312">
        <f ca="1"/>
        <v>50604.488377443064</v>
      </c>
      <c r="S31" s="312">
        <f ca="1"/>
        <v>61225.010957626015</v>
      </c>
      <c r="T31" s="312">
        <f ca="1"/>
        <v>73069.123860907901</v>
      </c>
      <c r="U31" s="312">
        <f ca="1"/>
        <v>83947.421426584435</v>
      </c>
      <c r="V31" s="312">
        <f ca="1"/>
        <v>96361.863853729825</v>
      </c>
      <c r="W31" s="312">
        <f ca="1"/>
        <v>108448.24728448717</v>
      </c>
      <c r="X31" s="312">
        <f ca="1"/>
        <v>122918.18614842765</v>
      </c>
      <c r="Y31" s="312">
        <f ca="1"/>
        <v>139548.43946989236</v>
      </c>
      <c r="Z31" s="312">
        <f ca="1"/>
        <v>158531.20123735245</v>
      </c>
      <c r="AA31" s="312">
        <f ca="1"/>
        <v>175765.18786232173</v>
      </c>
      <c r="AB31" s="312">
        <f ca="1"/>
        <v>190866.78310825909</v>
      </c>
      <c r="AC31" s="312">
        <f ca="1"/>
        <v>205464.53738207876</v>
      </c>
      <c r="AD31" s="312">
        <f ca="1"/>
        <v>219389.89525996792</v>
      </c>
      <c r="AE31" s="312">
        <f ca="1"/>
        <v>233232.30467076023</v>
      </c>
      <c r="AF31" s="312">
        <f ca="1"/>
        <v>246745.36023576302</v>
      </c>
    </row>
    <row r="32" spans="1:32">
      <c r="A32" s="147" t="str">
        <f ca="1"/>
        <v>Minerals &amp; Tippers Total</v>
      </c>
      <c r="B32" s="312">
        <f ca="1"/>
        <v>4.0238387789887575</v>
      </c>
      <c r="C32" s="312">
        <f ca="1"/>
        <v>15.049954979061564</v>
      </c>
      <c r="D32" s="312">
        <f ca="1"/>
        <v>38.312380282323481</v>
      </c>
      <c r="E32" s="312">
        <f ca="1"/>
        <v>85.414232435421653</v>
      </c>
      <c r="F32" s="312">
        <f ca="1"/>
        <v>180.77845805015278</v>
      </c>
      <c r="G32" s="312">
        <f ca="1"/>
        <v>367.94032233426128</v>
      </c>
      <c r="H32" s="312">
        <f ca="1"/>
        <v>669.42496888466803</v>
      </c>
      <c r="I32" s="312">
        <f ca="1"/>
        <v>1329.5122557131649</v>
      </c>
      <c r="J32" s="312">
        <f ca="1"/>
        <v>2410.7296888203746</v>
      </c>
      <c r="K32" s="312">
        <f ca="1"/>
        <v>4245.0972023237682</v>
      </c>
      <c r="L32" s="312">
        <f ca="1"/>
        <v>6896.213226124727</v>
      </c>
      <c r="M32" s="312">
        <f ca="1"/>
        <v>10579.354596507457</v>
      </c>
      <c r="N32" s="312">
        <f ca="1"/>
        <v>15930.096445525669</v>
      </c>
      <c r="O32" s="312">
        <f ca="1"/>
        <v>22986.842357249367</v>
      </c>
      <c r="P32" s="312">
        <f ca="1"/>
        <v>31854.360689756384</v>
      </c>
      <c r="Q32" s="312">
        <f ca="1"/>
        <v>42885.563716825389</v>
      </c>
      <c r="R32" s="312">
        <f ca="1"/>
        <v>56244.020395311818</v>
      </c>
      <c r="S32" s="312">
        <f ca="1"/>
        <v>70917.816078373653</v>
      </c>
      <c r="T32" s="312">
        <f ca="1"/>
        <v>86905.956122810996</v>
      </c>
      <c r="U32" s="312">
        <f ca="1"/>
        <v>104198.74900699517</v>
      </c>
      <c r="V32" s="312">
        <f ca="1"/>
        <v>122296.38857405675</v>
      </c>
      <c r="W32" s="312">
        <f ca="1"/>
        <v>142095.83264466884</v>
      </c>
      <c r="X32" s="312">
        <f ca="1"/>
        <v>162867.20460922358</v>
      </c>
      <c r="Y32" s="312">
        <f ca="1"/>
        <v>183863.19469339884</v>
      </c>
      <c r="Z32" s="312">
        <f ca="1"/>
        <v>218942.23967095625</v>
      </c>
      <c r="AA32" s="312">
        <f ca="1"/>
        <v>242663.63169715775</v>
      </c>
      <c r="AB32" s="312">
        <f ca="1"/>
        <v>269018.80505878088</v>
      </c>
      <c r="AC32" s="312">
        <f ca="1"/>
        <v>295653.96173300029</v>
      </c>
      <c r="AD32" s="312">
        <f ca="1"/>
        <v>322352.66223777033</v>
      </c>
      <c r="AE32" s="312">
        <f ca="1"/>
        <v>349277.38471961836</v>
      </c>
      <c r="AF32" s="312">
        <f ca="1"/>
        <v>376376.28139805322</v>
      </c>
    </row>
    <row r="33" spans="1:32">
      <c r="A33" s="147" t="str">
        <f ca="1"/>
        <v>Perishables &amp; Fish Total</v>
      </c>
      <c r="B33" s="312">
        <f ca="1"/>
        <v>4.9847260016361883</v>
      </c>
      <c r="C33" s="312">
        <f ca="1"/>
        <v>18.449898272025639</v>
      </c>
      <c r="D33" s="312">
        <f ca="1"/>
        <v>46.700848587985007</v>
      </c>
      <c r="E33" s="312">
        <f ca="1"/>
        <v>103.14169610911124</v>
      </c>
      <c r="F33" s="312">
        <f ca="1"/>
        <v>208.96886249801929</v>
      </c>
      <c r="G33" s="312">
        <f ca="1"/>
        <v>403.81223767870512</v>
      </c>
      <c r="H33" s="312">
        <f ca="1"/>
        <v>714.83111068852691</v>
      </c>
      <c r="I33" s="312">
        <f ca="1"/>
        <v>1408.2985017561498</v>
      </c>
      <c r="J33" s="312">
        <f ca="1"/>
        <v>2647.2953696626555</v>
      </c>
      <c r="K33" s="312">
        <f ca="1"/>
        <v>4543.4171954896801</v>
      </c>
      <c r="L33" s="312">
        <f ca="1"/>
        <v>7446.3463982623543</v>
      </c>
      <c r="M33" s="312">
        <f ca="1"/>
        <v>11655.544582503217</v>
      </c>
      <c r="N33" s="312">
        <f ca="1"/>
        <v>18015.214308867082</v>
      </c>
      <c r="O33" s="312">
        <f ca="1"/>
        <v>25529.018170095274</v>
      </c>
      <c r="P33" s="312">
        <f ca="1"/>
        <v>34416.960969807376</v>
      </c>
      <c r="Q33" s="312">
        <f ca="1"/>
        <v>45238.063808591301</v>
      </c>
      <c r="R33" s="312">
        <f ca="1"/>
        <v>57715.257814242221</v>
      </c>
      <c r="S33" s="312">
        <f ca="1"/>
        <v>72032.572863814086</v>
      </c>
      <c r="T33" s="312">
        <f ca="1"/>
        <v>88062.821561231496</v>
      </c>
      <c r="U33" s="312">
        <f ca="1"/>
        <v>106351.35971829716</v>
      </c>
      <c r="V33" s="312">
        <f ca="1"/>
        <v>125208.00586749421</v>
      </c>
      <c r="W33" s="312">
        <f ca="1"/>
        <v>143726.77795355921</v>
      </c>
      <c r="X33" s="312">
        <f ca="1"/>
        <v>164484.70819674773</v>
      </c>
      <c r="Y33" s="312">
        <f ca="1"/>
        <v>198201.83008580265</v>
      </c>
      <c r="Z33" s="312">
        <f ca="1"/>
        <v>222323.13728222312</v>
      </c>
      <c r="AA33" s="312">
        <f ca="1"/>
        <v>247601.30354358279</v>
      </c>
      <c r="AB33" s="312">
        <f ca="1"/>
        <v>273040.03653904417</v>
      </c>
      <c r="AC33" s="312">
        <f ca="1"/>
        <v>299013.28107031732</v>
      </c>
      <c r="AD33" s="312">
        <f ca="1"/>
        <v>325517.0252654716</v>
      </c>
      <c r="AE33" s="312">
        <f ca="1"/>
        <v>352420.70313225908</v>
      </c>
      <c r="AF33" s="312">
        <f ca="1"/>
        <v>379486.00530830986</v>
      </c>
    </row>
    <row r="34" spans="1:32">
      <c r="A34" s="147" t="str">
        <f ca="1"/>
        <v>LPG Total</v>
      </c>
      <c r="B34" s="312">
        <f ca="1"/>
        <v>2.0533164599607039</v>
      </c>
      <c r="C34" s="312">
        <f ca="1"/>
        <v>7.6923317489977583</v>
      </c>
      <c r="D34" s="312">
        <f ca="1"/>
        <v>20.314712918310008</v>
      </c>
      <c r="E34" s="312">
        <f ca="1"/>
        <v>48.597853633591029</v>
      </c>
      <c r="F34" s="312">
        <f ca="1"/>
        <v>103.98664773729067</v>
      </c>
      <c r="G34" s="312">
        <f ca="1"/>
        <v>220.09061942980668</v>
      </c>
      <c r="H34" s="312">
        <f ca="1"/>
        <v>405.41458674457334</v>
      </c>
      <c r="I34" s="312">
        <f ca="1"/>
        <v>760.60440717021015</v>
      </c>
      <c r="J34" s="312">
        <f ca="1"/>
        <v>1479.0258439996701</v>
      </c>
      <c r="K34" s="312">
        <f ca="1"/>
        <v>2683.3731257474597</v>
      </c>
      <c r="L34" s="312">
        <f ca="1"/>
        <v>4290.6470928071785</v>
      </c>
      <c r="M34" s="312">
        <f ca="1"/>
        <v>7719.7900204999205</v>
      </c>
      <c r="N34" s="312">
        <f ca="1"/>
        <v>11131.448079620113</v>
      </c>
      <c r="O34" s="312">
        <f ca="1"/>
        <v>14794.277310424543</v>
      </c>
      <c r="P34" s="312">
        <f ca="1"/>
        <v>19348.841953664563</v>
      </c>
      <c r="Q34" s="312">
        <f ca="1"/>
        <v>25599.6036335428</v>
      </c>
      <c r="R34" s="312">
        <f ca="1"/>
        <v>31325.828765398139</v>
      </c>
      <c r="S34" s="312">
        <f ca="1"/>
        <v>38578.221634558526</v>
      </c>
      <c r="T34" s="312">
        <f ca="1"/>
        <v>46327.460474558051</v>
      </c>
      <c r="U34" s="312">
        <f ca="1"/>
        <v>55567.83441523798</v>
      </c>
      <c r="V34" s="312">
        <f ca="1"/>
        <v>65567.407195555381</v>
      </c>
      <c r="W34" s="312">
        <f ca="1"/>
        <v>75863.389884739227</v>
      </c>
      <c r="X34" s="312">
        <f ca="1"/>
        <v>87113.727481329581</v>
      </c>
      <c r="Y34" s="312">
        <f ca="1"/>
        <v>100513.92317923805</v>
      </c>
      <c r="Z34" s="312">
        <f ca="1"/>
        <v>112082.54845554862</v>
      </c>
      <c r="AA34" s="312">
        <f ca="1"/>
        <v>124609.12677098684</v>
      </c>
      <c r="AB34" s="312">
        <f ca="1"/>
        <v>136165.90614758627</v>
      </c>
      <c r="AC34" s="312">
        <f ca="1"/>
        <v>147569.9866829277</v>
      </c>
      <c r="AD34" s="312">
        <f ca="1"/>
        <v>159412.56745332092</v>
      </c>
      <c r="AE34" s="312">
        <f ca="1"/>
        <v>171325.75775735162</v>
      </c>
      <c r="AF34" s="312">
        <f ca="1"/>
        <v>183276.88047606763</v>
      </c>
    </row>
    <row r="35" spans="1:32">
      <c r="B35" s="312"/>
      <c r="C35" s="312"/>
      <c r="D35" s="312"/>
      <c r="E35" s="312"/>
      <c r="F35" s="312"/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</row>
    <row r="36" spans="1:32">
      <c r="A36" s="147" t="s">
        <v>609</v>
      </c>
      <c r="B36" s="312"/>
      <c r="C36" s="312"/>
      <c r="D36" s="312"/>
      <c r="E36" s="312"/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</row>
    <row r="37" spans="1:32">
      <c r="A37" s="147" t="s">
        <v>43</v>
      </c>
      <c r="B37" s="312">
        <f ca="1">(('Emissions '!$J2/'Emissions '!$O2)*'Energy Requirementsfinal'!B26)/1000000000</f>
        <v>3.9831203027437291E-3</v>
      </c>
      <c r="C37" s="312">
        <f ca="1">(('Emissions '!$J2/'Emissions '!$O2)*'Energy Requirementsfinal'!C26)/1000000000</f>
        <v>1.4959400656463298E-2</v>
      </c>
      <c r="D37" s="312">
        <f ca="1">(('Emissions '!$J2/'Emissions '!$O2)*'Energy Requirementsfinal'!D26)/1000000000</f>
        <v>3.9684834039271547E-2</v>
      </c>
      <c r="E37" s="312">
        <f ca="1">(('Emissions '!$J2/'Emissions '!$O2)*'Energy Requirementsfinal'!E26)/1000000000</f>
        <v>8.9413894156979257E-2</v>
      </c>
      <c r="F37" s="312">
        <f ca="1">(('Emissions '!$J2/'Emissions '!$O2)*'Energy Requirementsfinal'!F26)/1000000000</f>
        <v>0.19063798318410319</v>
      </c>
      <c r="G37" s="312">
        <f ca="1">(('Emissions '!$J2/'Emissions '!$O2)*'Energy Requirementsfinal'!G26)/1000000000</f>
        <v>0.36147703136290804</v>
      </c>
      <c r="H37" s="312">
        <f ca="1">(('Emissions '!$J2/'Emissions '!$O2)*'Energy Requirementsfinal'!H26)/1000000000</f>
        <v>0.63480355494800722</v>
      </c>
      <c r="I37" s="312">
        <f ca="1">(('Emissions '!$J2/'Emissions '!$O2)*'Energy Requirementsfinal'!I26)/1000000000</f>
        <v>1.2400113443887326</v>
      </c>
      <c r="J37" s="312">
        <f ca="1">(('Emissions '!$J2/'Emissions '!$O2)*'Energy Requirementsfinal'!J26)/1000000000</f>
        <v>2.1692570712906982</v>
      </c>
      <c r="K37" s="312">
        <f ca="1">(('Emissions '!$J2/'Emissions '!$O2)*'Energy Requirementsfinal'!K26)/1000000000</f>
        <v>3.5612290757397043</v>
      </c>
      <c r="L37" s="312">
        <f ca="1">(('Emissions '!$J2/'Emissions '!$O2)*'Energy Requirementsfinal'!L26)/1000000000</f>
        <v>5.6901839006330244</v>
      </c>
      <c r="M37" s="312">
        <f ca="1">(('Emissions '!$J2/'Emissions '!$O2)*'Energy Requirementsfinal'!M26)/1000000000</f>
        <v>8.7577531085676839</v>
      </c>
      <c r="N37" s="312">
        <f ca="1">(('Emissions '!$J2/'Emissions '!$O2)*'Energy Requirementsfinal'!N26)/1000000000</f>
        <v>13.349393161601489</v>
      </c>
      <c r="O37" s="312">
        <f ca="1">(('Emissions '!$J2/'Emissions '!$O2)*'Energy Requirementsfinal'!O26)/1000000000</f>
        <v>19.083958951015578</v>
      </c>
      <c r="P37" s="312">
        <f ca="1">(('Emissions '!$J2/'Emissions '!$O2)*'Energy Requirementsfinal'!P26)/1000000000</f>
        <v>26.486799196341771</v>
      </c>
      <c r="Q37" s="312">
        <f ca="1">(('Emissions '!$J2/'Emissions '!$O2)*'Energy Requirementsfinal'!Q26)/1000000000</f>
        <v>35.106564197694922</v>
      </c>
      <c r="R37" s="312">
        <f ca="1">(('Emissions '!$J2/'Emissions '!$O2)*'Energy Requirementsfinal'!R26)/1000000000</f>
        <v>45.187572539452511</v>
      </c>
      <c r="S37" s="312">
        <f ca="1">(('Emissions '!$J2/'Emissions '!$O2)*'Energy Requirementsfinal'!S26)/1000000000</f>
        <v>56.441596180255893</v>
      </c>
      <c r="T37" s="312">
        <f ca="1">(('Emissions '!$J2/'Emissions '!$O2)*'Energy Requirementsfinal'!T26)/1000000000</f>
        <v>69.717994318246113</v>
      </c>
      <c r="U37" s="312">
        <f ca="1">(('Emissions '!$J2/'Emissions '!$O2)*'Energy Requirementsfinal'!U26)/1000000000</f>
        <v>83.916825947789846</v>
      </c>
      <c r="V37" s="312">
        <f ca="1">(('Emissions '!$J2/'Emissions '!$O2)*'Energy Requirementsfinal'!V26)/1000000000</f>
        <v>99.034533520603318</v>
      </c>
      <c r="W37" s="312">
        <f ca="1">(('Emissions '!$J2/'Emissions '!$O2)*'Energy Requirementsfinal'!W26)/1000000000</f>
        <v>115.21864842055014</v>
      </c>
      <c r="X37" s="312">
        <f ca="1">(('Emissions '!$J2/'Emissions '!$O2)*'Energy Requirementsfinal'!X26)/1000000000</f>
        <v>131.93841358803587</v>
      </c>
      <c r="Y37" s="312">
        <f ca="1">(('Emissions '!$J2/'Emissions '!$O2)*'Energy Requirementsfinal'!Y26)/1000000000</f>
        <v>148.02987188501143</v>
      </c>
      <c r="Z37" s="312">
        <f ca="1">(('Emissions '!$J2/'Emissions '!$O2)*'Energy Requirementsfinal'!Z26)/1000000000</f>
        <v>164.68579245277814</v>
      </c>
      <c r="AA37" s="312">
        <f ca="1">(('Emissions '!$J2/'Emissions '!$O2)*'Energy Requirementsfinal'!AA26)/1000000000</f>
        <v>183.95842251423142</v>
      </c>
      <c r="AB37" s="312">
        <f ca="1">(('Emissions '!$J2/'Emissions '!$O2)*'Energy Requirementsfinal'!AB26)/1000000000</f>
        <v>202.26882068271664</v>
      </c>
      <c r="AC37" s="312">
        <f ca="1">(('Emissions '!$J2/'Emissions '!$O2)*'Energy Requirementsfinal'!AC26)/1000000000</f>
        <v>220.65394997476281</v>
      </c>
      <c r="AD37" s="312">
        <f ca="1">(('Emissions '!$J2/'Emissions '!$O2)*'Energy Requirementsfinal'!AD26)/1000000000</f>
        <v>239.01935097463266</v>
      </c>
      <c r="AE37" s="312">
        <f ca="1">(('Emissions '!$J2/'Emissions '!$O2)*'Energy Requirementsfinal'!AE26)/1000000000</f>
        <v>257.36797568067885</v>
      </c>
      <c r="AF37" s="312">
        <f ca="1">(('Emissions '!$J2/'Emissions '!$O2)*'Energy Requirementsfinal'!AF26)/1000000000</f>
        <v>275.26851466159712</v>
      </c>
    </row>
    <row r="38" spans="1:32">
      <c r="A38" s="147" t="s">
        <v>51</v>
      </c>
      <c r="B38" s="312">
        <f ca="1">(('Emissions '!$J3/'Emissions '!$O3)*'Energy Requirementsfinal'!B27)/1000000000</f>
        <v>6.3608640026919143E-3</v>
      </c>
      <c r="C38" s="312">
        <f ca="1">(('Emissions '!$J3/'Emissions '!$O3)*'Energy Requirementsfinal'!C27)/1000000000</f>
        <v>2.36978538284125E-2</v>
      </c>
      <c r="D38" s="312">
        <f ca="1">(('Emissions '!$J3/'Emissions '!$O3)*'Energy Requirementsfinal'!D27)/1000000000</f>
        <v>6.3182198664676864E-2</v>
      </c>
      <c r="E38" s="312">
        <f ca="1">(('Emissions '!$J3/'Emissions '!$O3)*'Energy Requirementsfinal'!E27)/1000000000</f>
        <v>0.14199012602398906</v>
      </c>
      <c r="F38" s="312">
        <f ca="1">(('Emissions '!$J3/'Emissions '!$O3)*'Energy Requirementsfinal'!F27)/1000000000</f>
        <v>0.30384404161744288</v>
      </c>
      <c r="G38" s="312">
        <f ca="1">(('Emissions '!$J3/'Emissions '!$O3)*'Energy Requirementsfinal'!G27)/1000000000</f>
        <v>0.57938276179295256</v>
      </c>
      <c r="H38" s="312">
        <f ca="1">(('Emissions '!$J3/'Emissions '!$O3)*'Energy Requirementsfinal'!H27)/1000000000</f>
        <v>1.0197337000924325</v>
      </c>
      <c r="I38" s="312">
        <f ca="1">(('Emissions '!$J3/'Emissions '!$O3)*'Energy Requirementsfinal'!I27)/1000000000</f>
        <v>2.0304485646997059</v>
      </c>
      <c r="J38" s="312">
        <f ca="1">(('Emissions '!$J3/'Emissions '!$O3)*'Energy Requirementsfinal'!J27)/1000000000</f>
        <v>3.4983165494531612</v>
      </c>
      <c r="K38" s="312">
        <f ca="1">(('Emissions '!$J3/'Emissions '!$O3)*'Energy Requirementsfinal'!K27)/1000000000</f>
        <v>5.8110401735520565</v>
      </c>
      <c r="L38" s="312">
        <f ca="1">(('Emissions '!$J3/'Emissions '!$O3)*'Energy Requirementsfinal'!L27)/1000000000</f>
        <v>9.5184844429892941</v>
      </c>
      <c r="M38" s="312">
        <f ca="1">(('Emissions '!$J3/'Emissions '!$O3)*'Energy Requirementsfinal'!M27)/1000000000</f>
        <v>14.648290121582335</v>
      </c>
      <c r="N38" s="312">
        <f ca="1">(('Emissions '!$J3/'Emissions '!$O3)*'Energy Requirementsfinal'!N27)/1000000000</f>
        <v>21.028915508441052</v>
      </c>
      <c r="O38" s="312">
        <f ca="1">(('Emissions '!$J3/'Emissions '!$O3)*'Energy Requirementsfinal'!O27)/1000000000</f>
        <v>29.805537321836368</v>
      </c>
      <c r="P38" s="312">
        <f ca="1">(('Emissions '!$J3/'Emissions '!$O3)*'Energy Requirementsfinal'!P27)/1000000000</f>
        <v>40.928085907995225</v>
      </c>
      <c r="Q38" s="312">
        <f ca="1">(('Emissions '!$J3/'Emissions '!$O3)*'Energy Requirementsfinal'!Q27)/1000000000</f>
        <v>54.602631735077736</v>
      </c>
      <c r="R38" s="312">
        <f ca="1">(('Emissions '!$J3/'Emissions '!$O3)*'Energy Requirementsfinal'!R27)/1000000000</f>
        <v>70.453113159206339</v>
      </c>
      <c r="S38" s="312">
        <f ca="1">(('Emissions '!$J3/'Emissions '!$O3)*'Energy Requirementsfinal'!S27)/1000000000</f>
        <v>88.468655982132375</v>
      </c>
      <c r="T38" s="312">
        <f ca="1">(('Emissions '!$J3/'Emissions '!$O3)*'Energy Requirementsfinal'!T27)/1000000000</f>
        <v>109.15550952182038</v>
      </c>
      <c r="U38" s="312">
        <f ca="1">(('Emissions '!$J3/'Emissions '!$O3)*'Energy Requirementsfinal'!U27)/1000000000</f>
        <v>131.71269221595429</v>
      </c>
      <c r="V38" s="312">
        <f ca="1">(('Emissions '!$J3/'Emissions '!$O3)*'Energy Requirementsfinal'!V27)/1000000000</f>
        <v>155.341367787877</v>
      </c>
      <c r="W38" s="312">
        <f ca="1">(('Emissions '!$J3/'Emissions '!$O3)*'Energy Requirementsfinal'!W27)/1000000000</f>
        <v>180.73937540297749</v>
      </c>
      <c r="X38" s="312">
        <f ca="1">(('Emissions '!$J3/'Emissions '!$O3)*'Energy Requirementsfinal'!X27)/1000000000</f>
        <v>207.07752208093657</v>
      </c>
      <c r="Y38" s="312">
        <f ca="1">(('Emissions '!$J3/'Emissions '!$O3)*'Energy Requirementsfinal'!Y27)/1000000000</f>
        <v>231.80167597498294</v>
      </c>
      <c r="Z38" s="312">
        <f ca="1">(('Emissions '!$J3/'Emissions '!$O3)*'Energy Requirementsfinal'!Z27)/1000000000</f>
        <v>257.55227510252399</v>
      </c>
      <c r="AA38" s="312">
        <f ca="1">(('Emissions '!$J3/'Emissions '!$O3)*'Energy Requirementsfinal'!AA27)/1000000000</f>
        <v>287.46008112955059</v>
      </c>
      <c r="AB38" s="312">
        <f ca="1">(('Emissions '!$J3/'Emissions '!$O3)*'Energy Requirementsfinal'!AB27)/1000000000</f>
        <v>316.36216579031844</v>
      </c>
      <c r="AC38" s="312">
        <f ca="1">(('Emissions '!$J3/'Emissions '!$O3)*'Energy Requirementsfinal'!AC27)/1000000000</f>
        <v>345.27023432224127</v>
      </c>
      <c r="AD38" s="312">
        <f ca="1">(('Emissions '!$J3/'Emissions '!$O3)*'Energy Requirementsfinal'!AD27)/1000000000</f>
        <v>374.12387761366239</v>
      </c>
      <c r="AE38" s="312">
        <f ca="1">(('Emissions '!$J3/'Emissions '!$O3)*'Energy Requirementsfinal'!AE27)/1000000000</f>
        <v>402.7990710609879</v>
      </c>
      <c r="AF38" s="312">
        <f ca="1">(('Emissions '!$J3/'Emissions '!$O3)*'Energy Requirementsfinal'!AF27)/1000000000</f>
        <v>430.8023099031094</v>
      </c>
    </row>
    <row r="39" spans="1:32">
      <c r="A39" s="147" t="s">
        <v>58</v>
      </c>
      <c r="B39" s="312">
        <f ca="1">(('Emissions '!$J4/'Emissions '!$O4)*'Energy Requirementsfinal'!B28)/1000000000</f>
        <v>9.2479111444350589E-4</v>
      </c>
      <c r="C39" s="312">
        <f ca="1">(('Emissions '!$J4/'Emissions '!$O4)*'Energy Requirementsfinal'!C28)/1000000000</f>
        <v>3.5265128458919562E-3</v>
      </c>
      <c r="D39" s="312">
        <f ca="1">(('Emissions '!$J4/'Emissions '!$O4)*'Energy Requirementsfinal'!D28)/1000000000</f>
        <v>9.155007282045104E-3</v>
      </c>
      <c r="E39" s="312">
        <f ca="1">(('Emissions '!$J4/'Emissions '!$O4)*'Energy Requirementsfinal'!E28)/1000000000</f>
        <v>2.0958223605300023E-2</v>
      </c>
      <c r="F39" s="312">
        <f ca="1">(('Emissions '!$J4/'Emissions '!$O4)*'Energy Requirementsfinal'!F28)/1000000000</f>
        <v>4.3580599219055778E-2</v>
      </c>
      <c r="G39" s="312">
        <f ca="1">(('Emissions '!$J4/'Emissions '!$O4)*'Energy Requirementsfinal'!G28)/1000000000</f>
        <v>8.1994742266876336E-2</v>
      </c>
      <c r="H39" s="312">
        <f ca="1">(('Emissions '!$J4/'Emissions '!$O4)*'Energy Requirementsfinal'!H28)/1000000000</f>
        <v>0.14521712933318193</v>
      </c>
      <c r="I39" s="312">
        <f ca="1">(('Emissions '!$J4/'Emissions '!$O4)*'Energy Requirementsfinal'!I28)/1000000000</f>
        <v>0.26744691169339119</v>
      </c>
      <c r="J39" s="312">
        <f ca="1">(('Emissions '!$J4/'Emissions '!$O4)*'Energy Requirementsfinal'!J28)/1000000000</f>
        <v>0.45994815021372648</v>
      </c>
      <c r="K39" s="312">
        <f ca="1">(('Emissions '!$J4/'Emissions '!$O4)*'Energy Requirementsfinal'!K28)/1000000000</f>
        <v>0.77580408736987039</v>
      </c>
      <c r="L39" s="312">
        <f ca="1">(('Emissions '!$J4/'Emissions '!$O4)*'Energy Requirementsfinal'!L28)/1000000000</f>
        <v>1.1877508879936467</v>
      </c>
      <c r="M39" s="312">
        <f ca="1">(('Emissions '!$J4/'Emissions '!$O4)*'Energy Requirementsfinal'!M28)/1000000000</f>
        <v>1.847988599768426</v>
      </c>
      <c r="N39" s="312">
        <f ca="1">(('Emissions '!$J4/'Emissions '!$O4)*'Energy Requirementsfinal'!N28)/1000000000</f>
        <v>2.6949655474126777</v>
      </c>
      <c r="O39" s="312">
        <f ca="1">(('Emissions '!$J4/'Emissions '!$O4)*'Energy Requirementsfinal'!O28)/1000000000</f>
        <v>3.7929234591866856</v>
      </c>
      <c r="P39" s="312">
        <f ca="1">(('Emissions '!$J4/'Emissions '!$O4)*'Energy Requirementsfinal'!P28)/1000000000</f>
        <v>5.2011643266704892</v>
      </c>
      <c r="Q39" s="312">
        <f ca="1">(('Emissions '!$J4/'Emissions '!$O4)*'Energy Requirementsfinal'!Q28)/1000000000</f>
        <v>6.9566651676924716</v>
      </c>
      <c r="R39" s="312">
        <f ca="1">(('Emissions '!$J4/'Emissions '!$O4)*'Energy Requirementsfinal'!R28)/1000000000</f>
        <v>8.8469208119424909</v>
      </c>
      <c r="S39" s="312">
        <f ca="1">(('Emissions '!$J4/'Emissions '!$O4)*'Energy Requirementsfinal'!S28)/1000000000</f>
        <v>12.420494967427368</v>
      </c>
      <c r="T39" s="312">
        <f ca="1">(('Emissions '!$J4/'Emissions '!$O4)*'Energy Requirementsfinal'!T28)/1000000000</f>
        <v>15.210621957217812</v>
      </c>
      <c r="U39" s="312">
        <f ca="1">(('Emissions '!$J4/'Emissions '!$O4)*'Energy Requirementsfinal'!U28)/1000000000</f>
        <v>18.22055658054957</v>
      </c>
      <c r="V39" s="312">
        <f ca="1">(('Emissions '!$J4/'Emissions '!$O4)*'Energy Requirementsfinal'!V28)/1000000000</f>
        <v>21.369795942666933</v>
      </c>
      <c r="W39" s="312">
        <f ca="1">(('Emissions '!$J4/'Emissions '!$O4)*'Energy Requirementsfinal'!W28)/1000000000</f>
        <v>24.713967933818157</v>
      </c>
      <c r="X39" s="312">
        <f ca="1">(('Emissions '!$J4/'Emissions '!$O4)*'Energy Requirementsfinal'!X28)/1000000000</f>
        <v>28.206187941490153</v>
      </c>
      <c r="Y39" s="312">
        <f ca="1">(('Emissions '!$J4/'Emissions '!$O4)*'Energy Requirementsfinal'!Y28)/1000000000</f>
        <v>31.762819374790357</v>
      </c>
      <c r="Z39" s="312">
        <f ca="1">(('Emissions '!$J4/'Emissions '!$O4)*'Energy Requirementsfinal'!Z28)/1000000000</f>
        <v>35.418553261635452</v>
      </c>
      <c r="AA39" s="312">
        <f ca="1">(('Emissions '!$J4/'Emissions '!$O4)*'Energy Requirementsfinal'!AA28)/1000000000</f>
        <v>39.268917533290065</v>
      </c>
      <c r="AB39" s="312">
        <f ca="1">(('Emissions '!$J4/'Emissions '!$O4)*'Energy Requirementsfinal'!AB28)/1000000000</f>
        <v>43.553907901640805</v>
      </c>
      <c r="AC39" s="312">
        <f ca="1">(('Emissions '!$J4/'Emissions '!$O4)*'Energy Requirementsfinal'!AC28)/1000000000</f>
        <v>47.940894144082847</v>
      </c>
      <c r="AD39" s="312">
        <f ca="1">(('Emissions '!$J4/'Emissions '!$O4)*'Energy Requirementsfinal'!AD28)/1000000000</f>
        <v>52.505923130738125</v>
      </c>
      <c r="AE39" s="312">
        <f ca="1">(('Emissions '!$J4/'Emissions '!$O4)*'Energy Requirementsfinal'!AE28)/1000000000</f>
        <v>56.535736787247167</v>
      </c>
      <c r="AF39" s="312">
        <f ca="1">(('Emissions '!$J4/'Emissions '!$O4)*'Energy Requirementsfinal'!AF28)/1000000000</f>
        <v>60.511948231160467</v>
      </c>
    </row>
    <row r="40" spans="1:32">
      <c r="A40" s="147" t="s">
        <v>54</v>
      </c>
      <c r="B40" s="312">
        <f ca="1">(('Emissions '!$J5/'Emissions '!$O5)*'Energy Requirementsfinal'!B29)/1000000000</f>
        <v>5.1463299167549823E-4</v>
      </c>
      <c r="C40" s="312">
        <f ca="1">(('Emissions '!$J5/'Emissions '!$O5)*'Energy Requirementsfinal'!C29)/1000000000</f>
        <v>1.9016289990972683E-3</v>
      </c>
      <c r="D40" s="312">
        <f ca="1">(('Emissions '!$J5/'Emissions '!$O5)*'Energy Requirementsfinal'!D29)/1000000000</f>
        <v>4.7954053736231376E-3</v>
      </c>
      <c r="E40" s="312">
        <f ca="1">(('Emissions '!$J5/'Emissions '!$O5)*'Energy Requirementsfinal'!E29)/1000000000</f>
        <v>1.0704128432124758E-2</v>
      </c>
      <c r="F40" s="312">
        <f ca="1">(('Emissions '!$J5/'Emissions '!$O5)*'Energy Requirementsfinal'!F29)/1000000000</f>
        <v>2.2330452630855164E-2</v>
      </c>
      <c r="G40" s="312">
        <f ca="1">(('Emissions '!$J5/'Emissions '!$O5)*'Energy Requirementsfinal'!G29)/1000000000</f>
        <v>4.455148345903942E-2</v>
      </c>
      <c r="H40" s="312">
        <f ca="1">(('Emissions '!$J5/'Emissions '!$O5)*'Energy Requirementsfinal'!H29)/1000000000</f>
        <v>8.3271602540650094E-2</v>
      </c>
      <c r="I40" s="312">
        <f ca="1">(('Emissions '!$J5/'Emissions '!$O5)*'Energy Requirementsfinal'!I29)/1000000000</f>
        <v>0.16198560315915181</v>
      </c>
      <c r="J40" s="312">
        <f ca="1">(('Emissions '!$J5/'Emissions '!$O5)*'Energy Requirementsfinal'!J29)/1000000000</f>
        <v>0.28758794424212747</v>
      </c>
      <c r="K40" s="312">
        <f ca="1">(('Emissions '!$J5/'Emissions '!$O5)*'Energy Requirementsfinal'!K29)/1000000000</f>
        <v>0.48316566034886338</v>
      </c>
      <c r="L40" s="312">
        <f ca="1">(('Emissions '!$J5/'Emissions '!$O5)*'Energy Requirementsfinal'!L29)/1000000000</f>
        <v>0.78846527795061061</v>
      </c>
      <c r="M40" s="312">
        <f ca="1">(('Emissions '!$J5/'Emissions '!$O5)*'Energy Requirementsfinal'!M29)/1000000000</f>
        <v>1.2054665415351069</v>
      </c>
      <c r="N40" s="312">
        <f ca="1">(('Emissions '!$J5/'Emissions '!$O5)*'Energy Requirementsfinal'!N29)/1000000000</f>
        <v>1.8034016004955258</v>
      </c>
      <c r="O40" s="312">
        <f ca="1">(('Emissions '!$J5/'Emissions '!$O5)*'Energy Requirementsfinal'!O29)/1000000000</f>
        <v>2.4907461503230186</v>
      </c>
      <c r="P40" s="312">
        <f ca="1">(('Emissions '!$J5/'Emissions '!$O5)*'Energy Requirementsfinal'!P29)/1000000000</f>
        <v>3.3410746562692863</v>
      </c>
      <c r="Q40" s="312">
        <f ca="1">(('Emissions '!$J5/'Emissions '!$O5)*'Energy Requirementsfinal'!Q29)/1000000000</f>
        <v>4.3946082664442701</v>
      </c>
      <c r="R40" s="312">
        <f ca="1">(('Emissions '!$J5/'Emissions '!$O5)*'Energy Requirementsfinal'!R29)/1000000000</f>
        <v>5.6671553466591558</v>
      </c>
      <c r="S40" s="312">
        <f ca="1">(('Emissions '!$J5/'Emissions '!$O5)*'Energy Requirementsfinal'!S29)/1000000000</f>
        <v>6.9531608507552489</v>
      </c>
      <c r="T40" s="312">
        <f ca="1">(('Emissions '!$J5/'Emissions '!$O5)*'Energy Requirementsfinal'!T29)/1000000000</f>
        <v>8.3950040153291425</v>
      </c>
      <c r="U40" s="312">
        <f ca="1">(('Emissions '!$J5/'Emissions '!$O5)*'Energy Requirementsfinal'!U29)/1000000000</f>
        <v>9.9337184477063687</v>
      </c>
      <c r="V40" s="312">
        <f ca="1">(('Emissions '!$J5/'Emissions '!$O5)*'Energy Requirementsfinal'!V29)/1000000000</f>
        <v>11.515532052974832</v>
      </c>
      <c r="W40" s="312">
        <f ca="1">(('Emissions '!$J5/'Emissions '!$O5)*'Energy Requirementsfinal'!W29)/1000000000</f>
        <v>13.005443151456008</v>
      </c>
      <c r="X40" s="312">
        <f ca="1">(('Emissions '!$J5/'Emissions '!$O5)*'Energy Requirementsfinal'!X29)/1000000000</f>
        <v>14.665908143287563</v>
      </c>
      <c r="Y40" s="312">
        <f ca="1">(('Emissions '!$J5/'Emissions '!$O5)*'Energy Requirementsfinal'!Y29)/1000000000</f>
        <v>16.814489709733063</v>
      </c>
      <c r="Z40" s="312">
        <f ca="1">(('Emissions '!$J5/'Emissions '!$O5)*'Energy Requirementsfinal'!Z29)/1000000000</f>
        <v>18.824401600793014</v>
      </c>
      <c r="AA40" s="312">
        <f ca="1">(('Emissions '!$J5/'Emissions '!$O5)*'Energy Requirementsfinal'!AA29)/1000000000</f>
        <v>20.08280202567229</v>
      </c>
      <c r="AB40" s="312">
        <f ca="1">(('Emissions '!$J5/'Emissions '!$O5)*'Energy Requirementsfinal'!AB29)/1000000000</f>
        <v>21.935884280971472</v>
      </c>
      <c r="AC40" s="312">
        <f ca="1">(('Emissions '!$J5/'Emissions '!$O5)*'Energy Requirementsfinal'!AC29)/1000000000</f>
        <v>23.735189601468662</v>
      </c>
      <c r="AD40" s="312">
        <f ca="1">(('Emissions '!$J5/'Emissions '!$O5)*'Energy Requirementsfinal'!AD29)/1000000000</f>
        <v>25.445988312072263</v>
      </c>
      <c r="AE40" s="312">
        <f ca="1">(('Emissions '!$J5/'Emissions '!$O5)*'Energy Requirementsfinal'!AE29)/1000000000</f>
        <v>27.144514189697027</v>
      </c>
      <c r="AF40" s="312">
        <f ca="1">(('Emissions '!$J5/'Emissions '!$O5)*'Energy Requirementsfinal'!AF29)/1000000000</f>
        <v>28.798142338283025</v>
      </c>
    </row>
    <row r="41" spans="1:32">
      <c r="A41" s="147" t="s">
        <v>55</v>
      </c>
      <c r="B41" s="312">
        <f ca="1">(('Emissions '!$J6/'Emissions '!$O6)*'Energy Requirementsfinal'!B30)/1000000000</f>
        <v>4.2598290543628117E-4</v>
      </c>
      <c r="C41" s="312">
        <f ca="1">(('Emissions '!$J6/'Emissions '!$O6)*'Energy Requirementsfinal'!C30)/1000000000</f>
        <v>1.5930035967344843E-3</v>
      </c>
      <c r="D41" s="312">
        <f ca="1">(('Emissions '!$J6/'Emissions '!$O6)*'Energy Requirementsfinal'!D30)/1000000000</f>
        <v>4.2280001797042749E-3</v>
      </c>
      <c r="E41" s="312">
        <f ca="1">(('Emissions '!$J6/'Emissions '!$O6)*'Energy Requirementsfinal'!E30)/1000000000</f>
        <v>1.0050273492286261E-2</v>
      </c>
      <c r="F41" s="312">
        <f ca="1">(('Emissions '!$J6/'Emissions '!$O6)*'Energy Requirementsfinal'!F30)/1000000000</f>
        <v>2.0942038126240872E-2</v>
      </c>
      <c r="G41" s="312">
        <f ca="1">(('Emissions '!$J6/'Emissions '!$O6)*'Energy Requirementsfinal'!G30)/1000000000</f>
        <v>4.4532923373058225E-2</v>
      </c>
      <c r="H41" s="312">
        <f ca="1">(('Emissions '!$J6/'Emissions '!$O6)*'Energy Requirementsfinal'!H30)/1000000000</f>
        <v>8.8313864082658053E-2</v>
      </c>
      <c r="I41" s="312">
        <f ca="1">(('Emissions '!$J6/'Emissions '!$O6)*'Energy Requirementsfinal'!I30)/1000000000</f>
        <v>0.16867296004144952</v>
      </c>
      <c r="J41" s="312">
        <f ca="1">(('Emissions '!$J6/'Emissions '!$O6)*'Energy Requirementsfinal'!J30)/1000000000</f>
        <v>0.30317863944102413</v>
      </c>
      <c r="K41" s="312">
        <f ca="1">(('Emissions '!$J6/'Emissions '!$O6)*'Energy Requirementsfinal'!K30)/1000000000</f>
        <v>0.4865024916306272</v>
      </c>
      <c r="L41" s="312">
        <f ca="1">(('Emissions '!$J6/'Emissions '!$O6)*'Energy Requirementsfinal'!L30)/1000000000</f>
        <v>0.73299329628742416</v>
      </c>
      <c r="M41" s="312">
        <f ca="1">(('Emissions '!$J6/'Emissions '!$O6)*'Energy Requirementsfinal'!M30)/1000000000</f>
        <v>1.0379749969579379</v>
      </c>
      <c r="N41" s="312">
        <f ca="1">(('Emissions '!$J6/'Emissions '!$O6)*'Energy Requirementsfinal'!N30)/1000000000</f>
        <v>1.4291760165870975</v>
      </c>
      <c r="O41" s="312">
        <f ca="1">(('Emissions '!$J6/'Emissions '!$O6)*'Energy Requirementsfinal'!O30)/1000000000</f>
        <v>1.8650914742955427</v>
      </c>
      <c r="P41" s="312">
        <f ca="1">(('Emissions '!$J6/'Emissions '!$O6)*'Energy Requirementsfinal'!P30)/1000000000</f>
        <v>2.3111361069999869</v>
      </c>
      <c r="Q41" s="312">
        <f ca="1">(('Emissions '!$J6/'Emissions '!$O6)*'Energy Requirementsfinal'!Q30)/1000000000</f>
        <v>2.8428015085450897</v>
      </c>
      <c r="R41" s="312">
        <f ca="1">(('Emissions '!$J6/'Emissions '!$O6)*'Energy Requirementsfinal'!R30)/1000000000</f>
        <v>3.8319986136900583</v>
      </c>
      <c r="S41" s="312">
        <f ca="1">(('Emissions '!$J6/'Emissions '!$O6)*'Energy Requirementsfinal'!S30)/1000000000</f>
        <v>4.3214698512010532</v>
      </c>
      <c r="T41" s="312">
        <f ca="1">(('Emissions '!$J6/'Emissions '!$O6)*'Energy Requirementsfinal'!T30)/1000000000</f>
        <v>4.7730671375088312</v>
      </c>
      <c r="U41" s="312">
        <f ca="1">(('Emissions '!$J6/'Emissions '!$O6)*'Energy Requirementsfinal'!U30)/1000000000</f>
        <v>5.1136521792289447</v>
      </c>
      <c r="V41" s="312">
        <f ca="1">(('Emissions '!$J6/'Emissions '!$O6)*'Energy Requirementsfinal'!V30)/1000000000</f>
        <v>5.3224986024320033</v>
      </c>
      <c r="W41" s="312">
        <f ca="1">(('Emissions '!$J6/'Emissions '!$O6)*'Energy Requirementsfinal'!W30)/1000000000</f>
        <v>5.3967875333514881</v>
      </c>
      <c r="X41" s="312">
        <f ca="1">(('Emissions '!$J6/'Emissions '!$O6)*'Energy Requirementsfinal'!X30)/1000000000</f>
        <v>5.5218965259527355</v>
      </c>
      <c r="Y41" s="312">
        <f ca="1">(('Emissions '!$J6/'Emissions '!$O6)*'Energy Requirementsfinal'!Y30)/1000000000</f>
        <v>5.6070081497112474</v>
      </c>
      <c r="Z41" s="312">
        <f ca="1">(('Emissions '!$J6/'Emissions '!$O6)*'Energy Requirementsfinal'!Z30)/1000000000</f>
        <v>5.6493425464095903</v>
      </c>
      <c r="AA41" s="312">
        <f ca="1">(('Emissions '!$J6/'Emissions '!$O6)*'Energy Requirementsfinal'!AA30)/1000000000</f>
        <v>5.4949739122671932</v>
      </c>
      <c r="AB41" s="312">
        <f ca="1">(('Emissions '!$J6/'Emissions '!$O6)*'Energy Requirementsfinal'!AB30)/1000000000</f>
        <v>5.728336349843679</v>
      </c>
      <c r="AC41" s="312">
        <f ca="1">(('Emissions '!$J6/'Emissions '!$O6)*'Energy Requirementsfinal'!AC30)/1000000000</f>
        <v>5.9592748790924022</v>
      </c>
      <c r="AD41" s="312">
        <f ca="1">(('Emissions '!$J6/'Emissions '!$O6)*'Energy Requirementsfinal'!AD30)/1000000000</f>
        <v>5.9028089863699398</v>
      </c>
      <c r="AE41" s="312">
        <f ca="1">(('Emissions '!$J6/'Emissions '!$O6)*'Energy Requirementsfinal'!AE30)/1000000000</f>
        <v>5.8203904829254531</v>
      </c>
      <c r="AF41" s="312">
        <f ca="1">(('Emissions '!$J6/'Emissions '!$O6)*'Energy Requirementsfinal'!AF30)/1000000000</f>
        <v>5.7145537656050118</v>
      </c>
    </row>
    <row r="42" spans="1:32">
      <c r="A42" s="147" t="s">
        <v>56</v>
      </c>
      <c r="B42" s="312">
        <f ca="1">(('Emissions '!$J7/'Emissions '!$O7)*'Energy Requirementsfinal'!B31)/1000000000</f>
        <v>2.089226547386511E-4</v>
      </c>
      <c r="C42" s="312">
        <f ca="1">(('Emissions '!$J7/'Emissions '!$O7)*'Energy Requirementsfinal'!C31)/1000000000</f>
        <v>7.8054302860580194E-4</v>
      </c>
      <c r="D42" s="312">
        <f ca="1">(('Emissions '!$J7/'Emissions '!$O7)*'Energy Requirementsfinal'!D31)/1000000000</f>
        <v>2.0283948587792628E-3</v>
      </c>
      <c r="E42" s="312">
        <f ca="1">(('Emissions '!$J7/'Emissions '!$O7)*'Energy Requirementsfinal'!E31)/1000000000</f>
        <v>4.771674218915581E-3</v>
      </c>
      <c r="F42" s="312">
        <f ca="1">(('Emissions '!$J7/'Emissions '!$O7)*'Energy Requirementsfinal'!F31)/1000000000</f>
        <v>1.0115707909137798E-2</v>
      </c>
      <c r="G42" s="312">
        <f ca="1">(('Emissions '!$J7/'Emissions '!$O7)*'Energy Requirementsfinal'!G31)/1000000000</f>
        <v>2.1754429938610171E-2</v>
      </c>
      <c r="H42" s="312">
        <f ca="1">(('Emissions '!$J7/'Emissions '!$O7)*'Energy Requirementsfinal'!H31)/1000000000</f>
        <v>4.6476765844805396E-2</v>
      </c>
      <c r="I42" s="312">
        <f ca="1">(('Emissions '!$J7/'Emissions '!$O7)*'Energy Requirementsfinal'!I31)/1000000000</f>
        <v>8.849922680508264E-2</v>
      </c>
      <c r="J42" s="312">
        <f ca="1">(('Emissions '!$J7/'Emissions '!$O7)*'Energy Requirementsfinal'!J31)/1000000000</f>
        <v>0.16893950753138351</v>
      </c>
      <c r="K42" s="312">
        <f ca="1">(('Emissions '!$J7/'Emissions '!$O7)*'Energy Requirementsfinal'!K31)/1000000000</f>
        <v>0.30034112416081871</v>
      </c>
      <c r="L42" s="312">
        <f ca="1">(('Emissions '!$J7/'Emissions '!$O7)*'Energy Requirementsfinal'!L31)/1000000000</f>
        <v>0.46691800457430666</v>
      </c>
      <c r="M42" s="312">
        <f ca="1">(('Emissions '!$J7/'Emissions '!$O7)*'Energy Requirementsfinal'!M31)/1000000000</f>
        <v>0.74864220040614982</v>
      </c>
      <c r="N42" s="312">
        <f ca="1">(('Emissions '!$J7/'Emissions '!$O7)*'Energy Requirementsfinal'!N31)/1000000000</f>
        <v>1.1775349520166243</v>
      </c>
      <c r="O42" s="312">
        <f ca="1">(('Emissions '!$J7/'Emissions '!$O7)*'Energy Requirementsfinal'!O31)/1000000000</f>
        <v>1.8874143017381952</v>
      </c>
      <c r="P42" s="312">
        <f ca="1">(('Emissions '!$J7/'Emissions '!$O7)*'Energy Requirementsfinal'!P31)/1000000000</f>
        <v>2.5971356248168034</v>
      </c>
      <c r="Q42" s="312">
        <f ca="1">(('Emissions '!$J7/'Emissions '!$O7)*'Energy Requirementsfinal'!Q31)/1000000000</f>
        <v>3.3746406239968025</v>
      </c>
      <c r="R42" s="312">
        <f ca="1">(('Emissions '!$J7/'Emissions '!$O7)*'Energy Requirementsfinal'!R31)/1000000000</f>
        <v>4.3375275752094051</v>
      </c>
      <c r="S42" s="312">
        <f ca="1">(('Emissions '!$J7/'Emissions '!$O7)*'Energy Requirementsfinal'!S31)/1000000000</f>
        <v>5.2478580820822298</v>
      </c>
      <c r="T42" s="312">
        <f ca="1">(('Emissions '!$J7/'Emissions '!$O7)*'Energy Requirementsfinal'!T31)/1000000000</f>
        <v>6.2630677595063915</v>
      </c>
      <c r="U42" s="312">
        <f ca="1">(('Emissions '!$J7/'Emissions '!$O7)*'Energy Requirementsfinal'!U31)/1000000000</f>
        <v>7.1954932651358083</v>
      </c>
      <c r="V42" s="312">
        <f ca="1">(('Emissions '!$J7/'Emissions '!$O7)*'Energy Requirementsfinal'!V31)/1000000000</f>
        <v>8.2595883303196995</v>
      </c>
      <c r="W42" s="312">
        <f ca="1">(('Emissions '!$J7/'Emissions '!$O7)*'Energy Requirementsfinal'!W31)/1000000000</f>
        <v>9.2955640529560437</v>
      </c>
      <c r="X42" s="312">
        <f ca="1">(('Emissions '!$J7/'Emissions '!$O7)*'Energy Requirementsfinal'!X31)/1000000000</f>
        <v>10.535844527008082</v>
      </c>
      <c r="Y42" s="312">
        <f ca="1">(('Emissions '!$J7/'Emissions '!$O7)*'Energy Requirementsfinal'!Y31)/1000000000</f>
        <v>11.961294811705059</v>
      </c>
      <c r="Z42" s="312">
        <f ca="1">(('Emissions '!$J7/'Emissions '!$O7)*'Energy Requirementsfinal'!Z31)/1000000000</f>
        <v>13.588388677487352</v>
      </c>
      <c r="AA42" s="312">
        <f ca="1">(('Emissions '!$J7/'Emissions '!$O7)*'Energy Requirementsfinal'!AA31)/1000000000</f>
        <v>15.065587531056149</v>
      </c>
      <c r="AB42" s="312">
        <f ca="1">(('Emissions '!$J7/'Emissions '!$O7)*'Energy Requirementsfinal'!AB31)/1000000000</f>
        <v>16.360009980707922</v>
      </c>
      <c r="AC42" s="312">
        <f ca="1">(('Emissions '!$J7/'Emissions '!$O7)*'Energy Requirementsfinal'!AC31)/1000000000</f>
        <v>17.611246061321037</v>
      </c>
      <c r="AD42" s="312">
        <f ca="1">(('Emissions '!$J7/'Emissions '!$O7)*'Energy Requirementsfinal'!AD31)/1000000000</f>
        <v>18.804848165140108</v>
      </c>
      <c r="AE42" s="312">
        <f ca="1">(('Emissions '!$J7/'Emissions '!$O7)*'Energy Requirementsfinal'!AE31)/1000000000</f>
        <v>19.991340400350875</v>
      </c>
      <c r="AF42" s="312">
        <f ca="1">(('Emissions '!$J7/'Emissions '!$O7)*'Energy Requirementsfinal'!AF31)/1000000000</f>
        <v>21.149602305922542</v>
      </c>
    </row>
    <row r="43" spans="1:32">
      <c r="A43" s="147" t="s">
        <v>549</v>
      </c>
      <c r="B43" s="312">
        <f ca="1">(('Emissions '!$J8/'Emissions '!$O8)*'Energy Requirementsfinal'!B32)/1000000000</f>
        <v>2.0029775255410703E-4</v>
      </c>
      <c r="C43" s="312">
        <f ca="1">(('Emissions '!$J8/'Emissions '!$O8)*'Energy Requirementsfinal'!C32)/1000000000</f>
        <v>7.4915331451328674E-4</v>
      </c>
      <c r="D43" s="312">
        <f ca="1">(('Emissions '!$J8/'Emissions '!$O8)*'Energy Requirementsfinal'!D32)/1000000000</f>
        <v>1.9071051518312131E-3</v>
      </c>
      <c r="E43" s="312">
        <f ca="1">(('Emissions '!$J8/'Emissions '!$O8)*'Energy Requirementsfinal'!E32)/1000000000</f>
        <v>4.2517306812298776E-3</v>
      </c>
      <c r="F43" s="312">
        <f ca="1">(('Emissions '!$J8/'Emissions '!$O8)*'Energy Requirementsfinal'!F32)/1000000000</f>
        <v>8.9987499118298273E-3</v>
      </c>
      <c r="G43" s="312">
        <f ca="1">(('Emissions '!$J8/'Emissions '!$O8)*'Energy Requirementsfinal'!G32)/1000000000</f>
        <v>1.8315251600638779E-2</v>
      </c>
      <c r="H43" s="312">
        <f ca="1">(('Emissions '!$J8/'Emissions '!$O8)*'Energy Requirementsfinal'!H32)/1000000000</f>
        <v>3.3322487340036809E-2</v>
      </c>
      <c r="I43" s="312">
        <f ca="1">(('Emissions '!$J8/'Emissions '!$O8)*'Energy Requirementsfinal'!I32)/1000000000</f>
        <v>6.6180165617721984E-2</v>
      </c>
      <c r="J43" s="312">
        <f ca="1">(('Emissions '!$J8/'Emissions '!$O8)*'Energy Requirementsfinal'!J32)/1000000000</f>
        <v>0.12000076673239198</v>
      </c>
      <c r="K43" s="312">
        <f ca="1">(('Emissions '!$J8/'Emissions '!$O8)*'Energy Requirementsfinal'!K32)/1000000000</f>
        <v>0.21131150518233865</v>
      </c>
      <c r="L43" s="312">
        <f ca="1">(('Emissions '!$J8/'Emissions '!$O8)*'Energy Requirementsfinal'!L32)/1000000000</f>
        <v>0.34327816947820861</v>
      </c>
      <c r="M43" s="312">
        <f ca="1">(('Emissions '!$J8/'Emissions '!$O8)*'Energy Requirementsfinal'!M32)/1000000000</f>
        <v>0.52661676213726005</v>
      </c>
      <c r="N43" s="312">
        <f ca="1">(('Emissions '!$J8/'Emissions '!$O8)*'Energy Requirementsfinal'!N32)/1000000000</f>
        <v>0.79296480084394427</v>
      </c>
      <c r="O43" s="312">
        <f ca="1">(('Emissions '!$J8/'Emissions '!$O8)*'Energy Requirementsfinal'!O32)/1000000000</f>
        <v>1.1442339306719684</v>
      </c>
      <c r="P43" s="312">
        <f ca="1">(('Emissions '!$J8/'Emissions '!$O8)*'Energy Requirementsfinal'!P32)/1000000000</f>
        <v>1.5856392876678731</v>
      </c>
      <c r="Q43" s="312">
        <f ca="1">(('Emissions '!$J8/'Emissions '!$O8)*'Energy Requirementsfinal'!Q32)/1000000000</f>
        <v>2.1347480605708635</v>
      </c>
      <c r="R43" s="312">
        <f ca="1">(('Emissions '!$J8/'Emissions '!$O8)*'Energy Requirementsfinal'!R32)/1000000000</f>
        <v>2.7997023485666324</v>
      </c>
      <c r="S43" s="312">
        <f ca="1">(('Emissions '!$J8/'Emissions '!$O8)*'Energy Requirementsfinal'!S32)/1000000000</f>
        <v>3.5301312892345993</v>
      </c>
      <c r="T43" s="312">
        <f ca="1">(('Emissions '!$J8/'Emissions '!$O8)*'Energy Requirementsfinal'!T32)/1000000000</f>
        <v>4.325985371446591</v>
      </c>
      <c r="U43" s="312">
        <f ca="1">(('Emissions '!$J8/'Emissions '!$O8)*'Energy Requirementsfinal'!U32)/1000000000</f>
        <v>5.1867821727926486</v>
      </c>
      <c r="V43" s="312">
        <f ca="1">(('Emissions '!$J8/'Emissions '!$O8)*'Energy Requirementsfinal'!V32)/1000000000</f>
        <v>6.0876424534641584</v>
      </c>
      <c r="W43" s="312">
        <f ca="1">(('Emissions '!$J8/'Emissions '!$O8)*'Energy Requirementsfinal'!W32)/1000000000</f>
        <v>7.0732147805346264</v>
      </c>
      <c r="X43" s="312">
        <f ca="1">(('Emissions '!$J8/'Emissions '!$O8)*'Energy Requirementsfinal'!X32)/1000000000</f>
        <v>8.1071675183257952</v>
      </c>
      <c r="Y43" s="312">
        <f ca="1">(('Emissions '!$J8/'Emissions '!$O8)*'Energy Requirementsfinal'!Y32)/1000000000</f>
        <v>9.1523012469602971</v>
      </c>
      <c r="Z43" s="312">
        <f ca="1">(('Emissions '!$J8/'Emissions '!$O8)*'Energy Requirementsfinal'!Z32)/1000000000</f>
        <v>10.898458152509821</v>
      </c>
      <c r="AA43" s="312">
        <f ca="1">(('Emissions '!$J8/'Emissions '!$O8)*'Energy Requirementsfinal'!AA32)/1000000000</f>
        <v>12.07925633336963</v>
      </c>
      <c r="AB43" s="312">
        <f ca="1">(('Emissions '!$J8/'Emissions '!$O8)*'Energy Requirementsfinal'!AB32)/1000000000</f>
        <v>13.391158296259313</v>
      </c>
      <c r="AC43" s="312">
        <f ca="1">(('Emissions '!$J8/'Emissions '!$O8)*'Energy Requirementsfinal'!AC32)/1000000000</f>
        <v>14.716997206264901</v>
      </c>
      <c r="AD43" s="312">
        <f ca="1">(('Emissions '!$J8/'Emissions '!$O8)*'Energy Requirementsfinal'!AD32)/1000000000</f>
        <v>16.045999186946787</v>
      </c>
      <c r="AE43" s="312">
        <f ca="1">(('Emissions '!$J8/'Emissions '!$O8)*'Energy Requirementsfinal'!AE32)/1000000000</f>
        <v>17.386252039376558</v>
      </c>
      <c r="AF43" s="312">
        <f ca="1">(('Emissions '!$J8/'Emissions '!$O8)*'Energy Requirementsfinal'!AF32)/1000000000</f>
        <v>18.735174896258648</v>
      </c>
    </row>
    <row r="44" spans="1:32">
      <c r="A44" s="147" t="s">
        <v>52</v>
      </c>
      <c r="B44" s="312">
        <f ca="1">(('Emissions '!$J9/'Emissions '!$O9)*'Energy Requirementsfinal'!B33)/1000000000</f>
        <v>7.0372602376040305E-4</v>
      </c>
      <c r="C44" s="312">
        <f ca="1">(('Emissions '!$J9/'Emissions '!$O9)*'Energy Requirementsfinal'!C33)/1000000000</f>
        <v>2.6046915207565608E-3</v>
      </c>
      <c r="D44" s="312">
        <f ca="1">(('Emissions '!$J9/'Emissions '!$O9)*'Energy Requirementsfinal'!D33)/1000000000</f>
        <v>6.5930609771272953E-3</v>
      </c>
      <c r="E44" s="312">
        <f ca="1">(('Emissions '!$J9/'Emissions '!$O9)*'Energy Requirementsfinal'!E33)/1000000000</f>
        <v>1.4561180627168647E-2</v>
      </c>
      <c r="F44" s="312">
        <f ca="1">(('Emissions '!$J9/'Emissions '!$O9)*'Energy Requirementsfinal'!F33)/1000000000</f>
        <v>2.9501486470308605E-2</v>
      </c>
      <c r="G44" s="312">
        <f ca="1">(('Emissions '!$J9/'Emissions '!$O9)*'Energy Requirementsfinal'!G33)/1000000000</f>
        <v>5.7008786495817199E-2</v>
      </c>
      <c r="H44" s="312">
        <f ca="1">(('Emissions '!$J9/'Emissions '!$O9)*'Energy Requirementsfinal'!H33)/1000000000</f>
        <v>0.1009173332736744</v>
      </c>
      <c r="I44" s="312">
        <f ca="1">(('Emissions '!$J9/'Emissions '!$O9)*'Energy Requirementsfinal'!I33)/1000000000</f>
        <v>0.1988186120126329</v>
      </c>
      <c r="J44" s="312">
        <f ca="1">(('Emissions '!$J9/'Emissions '!$O9)*'Energy Requirementsfinal'!J33)/1000000000</f>
        <v>0.3737358168935514</v>
      </c>
      <c r="K44" s="312">
        <f ca="1">(('Emissions '!$J9/'Emissions '!$O9)*'Energy Requirementsfinal'!K33)/1000000000</f>
        <v>0.64142360406913135</v>
      </c>
      <c r="L44" s="312">
        <f ca="1">(('Emissions '!$J9/'Emissions '!$O9)*'Energy Requirementsfinal'!L33)/1000000000</f>
        <v>1.051248903284097</v>
      </c>
      <c r="M44" s="312">
        <f ca="1">(('Emissions '!$J9/'Emissions '!$O9)*'Energy Requirementsfinal'!M33)/1000000000</f>
        <v>1.6454886469416306</v>
      </c>
      <c r="N44" s="312">
        <f ca="1">(('Emissions '!$J9/'Emissions '!$O9)*'Energy Requirementsfinal'!N33)/1000000000</f>
        <v>2.5433243730165294</v>
      </c>
      <c r="O44" s="312">
        <f ca="1">(('Emissions '!$J9/'Emissions '!$O9)*'Energy Requirementsfinal'!O33)/1000000000</f>
        <v>3.60409668283698</v>
      </c>
      <c r="P44" s="312">
        <f ca="1">(('Emissions '!$J9/'Emissions '!$O9)*'Energy Requirementsfinal'!P33)/1000000000</f>
        <v>4.858865078090453</v>
      </c>
      <c r="Q44" s="312">
        <f ca="1">(('Emissions '!$J9/'Emissions '!$O9)*'Energy Requirementsfinal'!Q33)/1000000000</f>
        <v>6.3865501847423021</v>
      </c>
      <c r="R44" s="312">
        <f ca="1">(('Emissions '!$J9/'Emissions '!$O9)*'Energy Requirementsfinal'!R33)/1000000000</f>
        <v>8.148036397304784</v>
      </c>
      <c r="S44" s="312">
        <f ca="1">(('Emissions '!$J9/'Emissions '!$O9)*'Energy Requirementsfinal'!S33)/1000000000</f>
        <v>10.169304404303166</v>
      </c>
      <c r="T44" s="312">
        <f ca="1">(('Emissions '!$J9/'Emissions '!$O9)*'Energy Requirementsfinal'!T33)/1000000000</f>
        <v>12.432398338056212</v>
      </c>
      <c r="U44" s="312">
        <f ca="1">(('Emissions '!$J9/'Emissions '!$O9)*'Energy Requirementsfinal'!U33)/1000000000</f>
        <v>15.014309607289011</v>
      </c>
      <c r="V44" s="312">
        <f ca="1">(('Emissions '!$J9/'Emissions '!$O9)*'Energy Requirementsfinal'!V33)/1000000000</f>
        <v>17.676424357763889</v>
      </c>
      <c r="W44" s="312">
        <f ca="1">(('Emissions '!$J9/'Emissions '!$O9)*'Energy Requirementsfinal'!W33)/1000000000</f>
        <v>20.290839240502478</v>
      </c>
      <c r="X44" s="312">
        <f ca="1">(('Emissions '!$J9/'Emissions '!$O9)*'Energy Requirementsfinal'!X33)/1000000000</f>
        <v>23.221370568952622</v>
      </c>
      <c r="Y44" s="312">
        <f ca="1">(('Emissions '!$J9/'Emissions '!$O9)*'Energy Requirementsfinal'!Y33)/1000000000</f>
        <v>27.981434835642727</v>
      </c>
      <c r="Z44" s="312">
        <f ca="1">(('Emissions '!$J9/'Emissions '!$O9)*'Energy Requirementsfinal'!Z33)/1000000000</f>
        <v>31.386795851607971</v>
      </c>
      <c r="AA44" s="312">
        <f ca="1">(('Emissions '!$J9/'Emissions '!$O9)*'Energy Requirementsfinal'!AA33)/1000000000</f>
        <v>34.955478147329337</v>
      </c>
      <c r="AB44" s="312">
        <f ca="1">(('Emissions '!$J9/'Emissions '!$O9)*'Energy Requirementsfinal'!AB33)/1000000000</f>
        <v>38.546828687865059</v>
      </c>
      <c r="AC44" s="312">
        <f ca="1">(('Emissions '!$J9/'Emissions '!$O9)*'Energy Requirementsfinal'!AC33)/1000000000</f>
        <v>42.213639680515385</v>
      </c>
      <c r="AD44" s="312">
        <f ca="1">(('Emissions '!$J9/'Emissions '!$O9)*'Energy Requirementsfinal'!AD33)/1000000000</f>
        <v>45.955344743360705</v>
      </c>
      <c r="AE44" s="312">
        <f ca="1">(('Emissions '!$J9/'Emissions '!$O9)*'Energy Requirementsfinal'!AE33)/1000000000</f>
        <v>49.753511030436577</v>
      </c>
      <c r="AF44" s="312">
        <f ca="1">(('Emissions '!$J9/'Emissions '!$O9)*'Energy Requirementsfinal'!AF33)/1000000000</f>
        <v>53.574494867055513</v>
      </c>
    </row>
    <row r="45" spans="1:32">
      <c r="A45" s="147" t="s">
        <v>57</v>
      </c>
      <c r="B45" s="312">
        <f ca="1">(('Emissions '!$J10/'Emissions '!$O10)*'Energy Requirementsfinal'!B34)/1000000000</f>
        <v>9.8559190078113788E-5</v>
      </c>
      <c r="C45" s="312">
        <f ca="1">(('Emissions '!$J10/'Emissions '!$O10)*'Energy Requirementsfinal'!C34)/1000000000</f>
        <v>3.692319239518924E-4</v>
      </c>
      <c r="D45" s="312">
        <f ca="1">(('Emissions '!$J10/'Emissions '!$O10)*'Energy Requirementsfinal'!D34)/1000000000</f>
        <v>9.7510622007888036E-4</v>
      </c>
      <c r="E45" s="312">
        <f ca="1">(('Emissions '!$J10/'Emissions '!$O10)*'Energy Requirementsfinal'!E34)/1000000000</f>
        <v>2.3326969744123694E-3</v>
      </c>
      <c r="F45" s="312">
        <f ca="1">(('Emissions '!$J10/'Emissions '!$O10)*'Energy Requirementsfinal'!F34)/1000000000</f>
        <v>4.9913590913899519E-3</v>
      </c>
      <c r="G45" s="312">
        <f ca="1">(('Emissions '!$J10/'Emissions '!$O10)*'Energy Requirementsfinal'!G34)/1000000000</f>
        <v>1.0564349732630721E-2</v>
      </c>
      <c r="H45" s="312">
        <f ca="1">(('Emissions '!$J10/'Emissions '!$O10)*'Energy Requirementsfinal'!H34)/1000000000</f>
        <v>1.9459900163739521E-2</v>
      </c>
      <c r="I45" s="312">
        <f ca="1">(('Emissions '!$J10/'Emissions '!$O10)*'Energy Requirementsfinal'!I34)/1000000000</f>
        <v>3.6509011544170092E-2</v>
      </c>
      <c r="J45" s="312">
        <f ca="1">(('Emissions '!$J10/'Emissions '!$O10)*'Energy Requirementsfinal'!J34)/1000000000</f>
        <v>7.0993240511984176E-2</v>
      </c>
      <c r="K45" s="312">
        <f ca="1">(('Emissions '!$J10/'Emissions '!$O10)*'Energy Requirementsfinal'!K34)/1000000000</f>
        <v>0.12880191003587807</v>
      </c>
      <c r="L45" s="312">
        <f ca="1">(('Emissions '!$J10/'Emissions '!$O10)*'Energy Requirementsfinal'!L34)/1000000000</f>
        <v>0.20595106045474457</v>
      </c>
      <c r="M45" s="312">
        <f ca="1">(('Emissions '!$J10/'Emissions '!$O10)*'Energy Requirementsfinal'!M34)/1000000000</f>
        <v>0.37054992098399619</v>
      </c>
      <c r="N45" s="312">
        <f ca="1">(('Emissions '!$J10/'Emissions '!$O10)*'Energy Requirementsfinal'!N34)/1000000000</f>
        <v>0.53430950782176545</v>
      </c>
      <c r="O45" s="312">
        <f ca="1">(('Emissions '!$J10/'Emissions '!$O10)*'Energy Requirementsfinal'!O34)/1000000000</f>
        <v>0.710125310900378</v>
      </c>
      <c r="P45" s="312">
        <f ca="1">(('Emissions '!$J10/'Emissions '!$O10)*'Energy Requirementsfinal'!P34)/1000000000</f>
        <v>0.928744413775899</v>
      </c>
      <c r="Q45" s="312">
        <f ca="1">(('Emissions '!$J10/'Emissions '!$O10)*'Energy Requirementsfinal'!Q34)/1000000000</f>
        <v>1.2287809744100544</v>
      </c>
      <c r="R45" s="312">
        <f ca="1">(('Emissions '!$J10/'Emissions '!$O10)*'Energy Requirementsfinal'!R34)/1000000000</f>
        <v>1.5036397807391106</v>
      </c>
      <c r="S45" s="312">
        <f ca="1">(('Emissions '!$J10/'Emissions '!$O10)*'Energy Requirementsfinal'!S34)/1000000000</f>
        <v>1.8517546384588091</v>
      </c>
      <c r="T45" s="312">
        <f ca="1">(('Emissions '!$J10/'Emissions '!$O10)*'Energy Requirementsfinal'!T34)/1000000000</f>
        <v>2.2237181027787867</v>
      </c>
      <c r="U45" s="312">
        <f ca="1">(('Emissions '!$J10/'Emissions '!$O10)*'Energy Requirementsfinal'!U34)/1000000000</f>
        <v>2.6672560519314232</v>
      </c>
      <c r="V45" s="312">
        <f ca="1">(('Emissions '!$J10/'Emissions '!$O10)*'Energy Requirementsfinal'!V34)/1000000000</f>
        <v>3.1472355453866583</v>
      </c>
      <c r="W45" s="312">
        <f ca="1">(('Emissions '!$J10/'Emissions '!$O10)*'Energy Requirementsfinal'!W34)/1000000000</f>
        <v>3.641442714467483</v>
      </c>
      <c r="X45" s="312">
        <f ca="1">(('Emissions '!$J10/'Emissions '!$O10)*'Energy Requirementsfinal'!X34)/1000000000</f>
        <v>4.1814589191038198</v>
      </c>
      <c r="Y45" s="312">
        <f ca="1">(('Emissions '!$J10/'Emissions '!$O10)*'Energy Requirementsfinal'!Y34)/1000000000</f>
        <v>4.8246683126034258</v>
      </c>
      <c r="Z45" s="312">
        <f ca="1">(('Emissions '!$J10/'Emissions '!$O10)*'Energy Requirementsfinal'!Z34)/1000000000</f>
        <v>5.3799623258663338</v>
      </c>
      <c r="AA45" s="312">
        <f ca="1">(('Emissions '!$J10/'Emissions '!$O10)*'Energy Requirementsfinal'!AA34)/1000000000</f>
        <v>5.9812380850073676</v>
      </c>
      <c r="AB45" s="312">
        <f ca="1">(('Emissions '!$J10/'Emissions '!$O10)*'Energy Requirementsfinal'!AB34)/1000000000</f>
        <v>6.5359634950841405</v>
      </c>
      <c r="AC45" s="312">
        <f ca="1">(('Emissions '!$J10/'Emissions '!$O10)*'Energy Requirementsfinal'!AC34)/1000000000</f>
        <v>7.0833593607805296</v>
      </c>
      <c r="AD45" s="312">
        <f ca="1">(('Emissions '!$J10/'Emissions '!$O10)*'Energy Requirementsfinal'!AD34)/1000000000</f>
        <v>7.6518032377594043</v>
      </c>
      <c r="AE45" s="312">
        <f ca="1">(('Emissions '!$J10/'Emissions '!$O10)*'Energy Requirementsfinal'!AE34)/1000000000</f>
        <v>8.2236363723528783</v>
      </c>
      <c r="AF45" s="312">
        <f ca="1">(('Emissions '!$J10/'Emissions '!$O10)*'Energy Requirementsfinal'!AF34)/1000000000</f>
        <v>8.797290262851245</v>
      </c>
    </row>
    <row r="46" spans="1:32">
      <c r="A46" s="147" t="s">
        <v>610</v>
      </c>
      <c r="B46" s="312">
        <f ca="1">SUM(B37:B45)</f>
        <v>1.3420896938122205E-2</v>
      </c>
      <c r="C46" s="312">
        <f t="shared" ref="C46:AF46" ca="1" si="1">SUM(C37:C45)</f>
        <v>5.018201971442704E-2</v>
      </c>
      <c r="D46" s="312">
        <f t="shared" ca="1" si="1"/>
        <v>0.13254911274713757</v>
      </c>
      <c r="E46" s="312">
        <f t="shared" ca="1" si="1"/>
        <v>0.29903392821240576</v>
      </c>
      <c r="F46" s="312">
        <f t="shared" ca="1" si="1"/>
        <v>0.63494241816036412</v>
      </c>
      <c r="G46" s="312">
        <f t="shared" ca="1" si="1"/>
        <v>1.2195817600225316</v>
      </c>
      <c r="H46" s="312">
        <f t="shared" ca="1" si="1"/>
        <v>2.1715163376191859</v>
      </c>
      <c r="I46" s="312">
        <f t="shared" ca="1" si="1"/>
        <v>4.2585723999620386</v>
      </c>
      <c r="J46" s="312">
        <f t="shared" ca="1" si="1"/>
        <v>7.4519576863100481</v>
      </c>
      <c r="K46" s="312">
        <f t="shared" ca="1" si="1"/>
        <v>12.399619632089291</v>
      </c>
      <c r="L46" s="312">
        <f t="shared" ca="1" si="1"/>
        <v>19.985273943645357</v>
      </c>
      <c r="M46" s="312">
        <f t="shared" ca="1" si="1"/>
        <v>30.788770898880525</v>
      </c>
      <c r="N46" s="312">
        <f t="shared" ca="1" si="1"/>
        <v>45.353985468236715</v>
      </c>
      <c r="O46" s="312">
        <f t="shared" ca="1" si="1"/>
        <v>64.384127582804709</v>
      </c>
      <c r="P46" s="312">
        <f t="shared" ca="1" si="1"/>
        <v>88.238644598627801</v>
      </c>
      <c r="Q46" s="312">
        <f t="shared" ca="1" si="1"/>
        <v>117.02799071917451</v>
      </c>
      <c r="R46" s="312">
        <f t="shared" ca="1" si="1"/>
        <v>150.77566657277049</v>
      </c>
      <c r="S46" s="312">
        <f t="shared" ca="1" si="1"/>
        <v>189.40442624585071</v>
      </c>
      <c r="T46" s="312">
        <f t="shared" ca="1" si="1"/>
        <v>232.49736652191024</v>
      </c>
      <c r="U46" s="312">
        <f t="shared" ca="1" si="1"/>
        <v>278.96128646837792</v>
      </c>
      <c r="V46" s="312">
        <f t="shared" ca="1" si="1"/>
        <v>327.75461859348849</v>
      </c>
      <c r="W46" s="312">
        <f t="shared" ca="1" si="1"/>
        <v>379.37528323061383</v>
      </c>
      <c r="X46" s="312">
        <f t="shared" ca="1" si="1"/>
        <v>433.45576981309324</v>
      </c>
      <c r="Y46" s="312">
        <f t="shared" ca="1" si="1"/>
        <v>487.93556430114052</v>
      </c>
      <c r="Z46" s="312">
        <f t="shared" ca="1" si="1"/>
        <v>543.38396997161158</v>
      </c>
      <c r="AA46" s="312">
        <f t="shared" ca="1" si="1"/>
        <v>604.34675721177393</v>
      </c>
      <c r="AB46" s="312">
        <f t="shared" ca="1" si="1"/>
        <v>664.68307546540746</v>
      </c>
      <c r="AC46" s="312">
        <f t="shared" ca="1" si="1"/>
        <v>725.18478523052977</v>
      </c>
      <c r="AD46" s="312">
        <f t="shared" ca="1" si="1"/>
        <v>785.45594435068233</v>
      </c>
      <c r="AE46" s="312">
        <f t="shared" ca="1" si="1"/>
        <v>845.0224280440533</v>
      </c>
      <c r="AF46" s="312">
        <f t="shared" ca="1" si="1"/>
        <v>903.35203123184283</v>
      </c>
    </row>
    <row r="47" spans="1:32"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</row>
    <row r="48" spans="1:32">
      <c r="A48" s="147" t="str" cm="1">
        <f t="array" ref="A48:AF57">'Applicationwise Stock'!A66:AF75</f>
        <v>CNG Application Wise Stock</v>
      </c>
      <c r="B48" s="312">
        <v>0</v>
      </c>
      <c r="C48" s="312">
        <v>0</v>
      </c>
      <c r="D48" s="312">
        <v>0</v>
      </c>
      <c r="E48" s="312">
        <v>0</v>
      </c>
      <c r="F48" s="312">
        <v>0</v>
      </c>
      <c r="G48" s="312">
        <v>0</v>
      </c>
      <c r="H48" s="312">
        <v>0</v>
      </c>
      <c r="I48" s="312">
        <v>0</v>
      </c>
      <c r="J48" s="312">
        <v>0</v>
      </c>
      <c r="K48" s="312">
        <v>0</v>
      </c>
      <c r="L48" s="312">
        <v>0</v>
      </c>
      <c r="M48" s="312">
        <v>0</v>
      </c>
      <c r="N48" s="312">
        <v>0</v>
      </c>
      <c r="O48" s="312">
        <v>0</v>
      </c>
      <c r="P48" s="312">
        <v>0</v>
      </c>
      <c r="Q48" s="312">
        <v>0</v>
      </c>
      <c r="R48" s="312">
        <v>0</v>
      </c>
      <c r="S48" s="312">
        <v>0</v>
      </c>
      <c r="T48" s="312">
        <v>0</v>
      </c>
      <c r="U48" s="312">
        <v>0</v>
      </c>
      <c r="V48" s="312">
        <v>0</v>
      </c>
      <c r="W48" s="312">
        <v>0</v>
      </c>
      <c r="X48" s="312">
        <v>0</v>
      </c>
      <c r="Y48" s="312">
        <v>0</v>
      </c>
      <c r="Z48" s="312">
        <v>0</v>
      </c>
      <c r="AA48" s="312">
        <v>0</v>
      </c>
      <c r="AB48" s="312">
        <v>0</v>
      </c>
      <c r="AC48" s="312">
        <v>0</v>
      </c>
      <c r="AD48" s="312">
        <v>0</v>
      </c>
      <c r="AE48" s="312">
        <v>0</v>
      </c>
      <c r="AF48" s="312">
        <v>0</v>
      </c>
    </row>
    <row r="49" spans="1:32">
      <c r="A49" s="147" t="str">
        <v>Market Load Total</v>
      </c>
      <c r="B49" s="312">
        <v>3429.2078379067507</v>
      </c>
      <c r="C49" s="312">
        <v>7323.4442434867769</v>
      </c>
      <c r="D49" s="312">
        <v>11356.17540855607</v>
      </c>
      <c r="E49" s="312">
        <v>15363.874081289563</v>
      </c>
      <c r="F49" s="312">
        <v>19879.283327951005</v>
      </c>
      <c r="G49" s="312">
        <v>24013.595837424025</v>
      </c>
      <c r="H49" s="312">
        <v>28047.948192860047</v>
      </c>
      <c r="I49" s="312">
        <v>32967.519227920689</v>
      </c>
      <c r="J49" s="312">
        <v>38171.266856850685</v>
      </c>
      <c r="K49" s="312">
        <v>43011.466559288761</v>
      </c>
      <c r="L49" s="312">
        <v>48421.137241797842</v>
      </c>
      <c r="M49" s="312">
        <v>54358.377168363753</v>
      </c>
      <c r="N49" s="312">
        <v>62694.07498365864</v>
      </c>
      <c r="O49" s="312">
        <v>70179.881981252183</v>
      </c>
      <c r="P49" s="312">
        <v>78615.902196404975</v>
      </c>
      <c r="Q49" s="312">
        <v>86472.777664390509</v>
      </c>
      <c r="R49" s="312">
        <v>91240.297118113711</v>
      </c>
      <c r="S49" s="312">
        <v>95663.298355691732</v>
      </c>
      <c r="T49" s="312">
        <v>101777.96955282589</v>
      </c>
      <c r="U49" s="312">
        <v>108007.3755267777</v>
      </c>
      <c r="V49" s="312">
        <v>114441.55708964015</v>
      </c>
      <c r="W49" s="312">
        <v>120703.29618629988</v>
      </c>
      <c r="X49" s="312">
        <v>126213.22386371747</v>
      </c>
      <c r="Y49" s="312">
        <v>129887.79666850614</v>
      </c>
      <c r="Z49" s="312">
        <v>132916.59815459236</v>
      </c>
      <c r="AA49" s="312">
        <v>136828.23810053922</v>
      </c>
      <c r="AB49" s="312">
        <v>138928.31428493198</v>
      </c>
      <c r="AC49" s="312">
        <v>138682.47103171432</v>
      </c>
      <c r="AD49" s="312">
        <v>135358.2332178255</v>
      </c>
      <c r="AE49" s="312">
        <v>129349.76071352974</v>
      </c>
      <c r="AF49" s="312">
        <v>121864.55770740139</v>
      </c>
    </row>
    <row r="50" spans="1:32">
      <c r="A50" s="147" t="str">
        <v>Parcel Load, FMCG &amp; eCommerce</v>
      </c>
      <c r="B50" s="312">
        <v>4811.3125486431554</v>
      </c>
      <c r="C50" s="312">
        <v>10192.653898062668</v>
      </c>
      <c r="D50" s="312">
        <v>15884.711595543999</v>
      </c>
      <c r="E50" s="312">
        <v>21435.368296680594</v>
      </c>
      <c r="F50" s="312">
        <v>27836.785868103314</v>
      </c>
      <c r="G50" s="312">
        <v>33815.758662695043</v>
      </c>
      <c r="H50" s="312">
        <v>39584.53924655453</v>
      </c>
      <c r="I50" s="312">
        <v>47427.439418869792</v>
      </c>
      <c r="J50" s="312">
        <v>54083.119345073712</v>
      </c>
      <c r="K50" s="312">
        <v>61661.671611512371</v>
      </c>
      <c r="L50" s="312">
        <v>71162.887703211745</v>
      </c>
      <c r="M50" s="312">
        <v>79879.951708290522</v>
      </c>
      <c r="N50" s="312">
        <v>86767.868096766848</v>
      </c>
      <c r="O50" s="312">
        <v>96298.204809978473</v>
      </c>
      <c r="P50" s="312">
        <v>106728.26115655316</v>
      </c>
      <c r="Q50" s="312">
        <v>118163.06092287574</v>
      </c>
      <c r="R50" s="312">
        <v>124981.27278995307</v>
      </c>
      <c r="S50" s="312">
        <v>131738.45590936189</v>
      </c>
      <c r="T50" s="312">
        <v>140001.16025513061</v>
      </c>
      <c r="U50" s="312">
        <v>148939.21724142408</v>
      </c>
      <c r="V50" s="312">
        <v>157710.75051922019</v>
      </c>
      <c r="W50" s="312">
        <v>166351.30282941947</v>
      </c>
      <c r="X50" s="312">
        <v>174037.82111649675</v>
      </c>
      <c r="Y50" s="312">
        <v>178695.09591381569</v>
      </c>
      <c r="Z50" s="312">
        <v>182627.23753609916</v>
      </c>
      <c r="AA50" s="312">
        <v>187849.77427341719</v>
      </c>
      <c r="AB50" s="312">
        <v>190907.69743795157</v>
      </c>
      <c r="AC50" s="312">
        <v>190654.06976538326</v>
      </c>
      <c r="AD50" s="312">
        <v>186141.889027659</v>
      </c>
      <c r="AE50" s="312">
        <v>177859.33290672075</v>
      </c>
      <c r="AF50" s="312">
        <v>167562.17006837367</v>
      </c>
    </row>
    <row r="51" spans="1:32">
      <c r="A51" s="147" t="str">
        <v>Cement Total</v>
      </c>
      <c r="B51" s="312">
        <v>972.48319908797555</v>
      </c>
      <c r="C51" s="312">
        <v>2108.6996711776601</v>
      </c>
      <c r="D51" s="312">
        <v>3199.8844240788367</v>
      </c>
      <c r="E51" s="312">
        <v>4398.6385259462058</v>
      </c>
      <c r="F51" s="312">
        <v>5550.7614153674631</v>
      </c>
      <c r="G51" s="312">
        <v>6653.1998609486918</v>
      </c>
      <c r="H51" s="312">
        <v>7836.9606913871903</v>
      </c>
      <c r="I51" s="312">
        <v>8684.9289879216685</v>
      </c>
      <c r="J51" s="312">
        <v>9885.587928684361</v>
      </c>
      <c r="K51" s="312">
        <v>11444.701725735666</v>
      </c>
      <c r="L51" s="312">
        <v>12345.313449467423</v>
      </c>
      <c r="M51" s="312">
        <v>14010.097168353215</v>
      </c>
      <c r="N51" s="312">
        <v>15459.173355401521</v>
      </c>
      <c r="O51" s="312">
        <v>17036.732847430365</v>
      </c>
      <c r="P51" s="312">
        <v>18856.00017737809</v>
      </c>
      <c r="Q51" s="312">
        <v>20929.567643859897</v>
      </c>
      <c r="R51" s="312">
        <v>21818.65090570131</v>
      </c>
      <c r="S51" s="312">
        <v>25713.017266802963</v>
      </c>
      <c r="T51" s="312">
        <v>27122.139489252655</v>
      </c>
      <c r="U51" s="312">
        <v>28644.02725721943</v>
      </c>
      <c r="V51" s="312">
        <v>30162.375880278138</v>
      </c>
      <c r="W51" s="312">
        <v>31623.279547893824</v>
      </c>
      <c r="X51" s="312">
        <v>32956.878601168748</v>
      </c>
      <c r="Y51" s="312">
        <v>34041.297583006723</v>
      </c>
      <c r="Z51" s="312">
        <v>34915.798291112216</v>
      </c>
      <c r="AA51" s="312">
        <v>35675.74594666675</v>
      </c>
      <c r="AB51" s="312">
        <v>36539.031092145677</v>
      </c>
      <c r="AC51" s="312">
        <v>36803.071848363099</v>
      </c>
      <c r="AD51" s="312">
        <v>36318.507030286848</v>
      </c>
      <c r="AE51" s="312">
        <v>34705.815532377055</v>
      </c>
      <c r="AF51" s="312">
        <v>32721.265182056381</v>
      </c>
    </row>
    <row r="52" spans="1:32">
      <c r="A52" s="147" t="str">
        <v>Steel &amp; Metal Products Total</v>
      </c>
      <c r="B52" s="312">
        <v>1110.8286925322295</v>
      </c>
      <c r="C52" s="312">
        <v>2334.0279789575266</v>
      </c>
      <c r="D52" s="312">
        <v>3440.4236943443893</v>
      </c>
      <c r="E52" s="312">
        <v>4611.3291379388156</v>
      </c>
      <c r="F52" s="312">
        <v>5838.0511485618554</v>
      </c>
      <c r="G52" s="312">
        <v>7420.2363783466417</v>
      </c>
      <c r="H52" s="312">
        <v>9224.3919860029582</v>
      </c>
      <c r="I52" s="312">
        <v>10797.323360602493</v>
      </c>
      <c r="J52" s="312">
        <v>12687.478204691297</v>
      </c>
      <c r="K52" s="312">
        <v>14630.510549366423</v>
      </c>
      <c r="L52" s="312">
        <v>16821.717541949518</v>
      </c>
      <c r="M52" s="312">
        <v>18758.928431606066</v>
      </c>
      <c r="N52" s="312">
        <v>21234.229485324729</v>
      </c>
      <c r="O52" s="312">
        <v>22964.273381409123</v>
      </c>
      <c r="P52" s="312">
        <v>24862.579483959722</v>
      </c>
      <c r="Q52" s="312">
        <v>27138.780630806825</v>
      </c>
      <c r="R52" s="312">
        <v>28688.766609523067</v>
      </c>
      <c r="S52" s="312">
        <v>29546.593728835378</v>
      </c>
      <c r="T52" s="312">
        <v>30726.202392689735</v>
      </c>
      <c r="U52" s="312">
        <v>32054.963877362443</v>
      </c>
      <c r="V52" s="312">
        <v>33362.622942528564</v>
      </c>
      <c r="W52" s="312">
        <v>34158.64143463027</v>
      </c>
      <c r="X52" s="312">
        <v>35173.990628202555</v>
      </c>
      <c r="Y52" s="312">
        <v>36989.780915486568</v>
      </c>
      <c r="Z52" s="312">
        <v>38091.085038738689</v>
      </c>
      <c r="AA52" s="312">
        <v>37450.657416732924</v>
      </c>
      <c r="AB52" s="312">
        <v>37774.267459006638</v>
      </c>
      <c r="AC52" s="312">
        <v>37400.865388501392</v>
      </c>
      <c r="AD52" s="312">
        <v>36128.507295448158</v>
      </c>
      <c r="AE52" s="312">
        <v>34203.636098649869</v>
      </c>
      <c r="AF52" s="312">
        <v>31964.243609049416</v>
      </c>
    </row>
    <row r="53" spans="1:32">
      <c r="A53" s="147" t="str">
        <v>Tankers - Petroleum &amp; CNG Total</v>
      </c>
      <c r="B53" s="312">
        <v>475.2997183139716</v>
      </c>
      <c r="C53" s="312">
        <v>1010.7015769948414</v>
      </c>
      <c r="D53" s="312">
        <v>1568.0052853519894</v>
      </c>
      <c r="E53" s="312">
        <v>2238.0954848740212</v>
      </c>
      <c r="F53" s="312">
        <v>2830.1876800208856</v>
      </c>
      <c r="G53" s="312">
        <v>3834.0934764861731</v>
      </c>
      <c r="H53" s="312">
        <v>5057.0312250017296</v>
      </c>
      <c r="I53" s="312">
        <v>5811.8055821132839</v>
      </c>
      <c r="J53" s="312">
        <v>6913.9964664911031</v>
      </c>
      <c r="K53" s="312">
        <v>7615.0789587956433</v>
      </c>
      <c r="L53" s="312">
        <v>8083.7651336368726</v>
      </c>
      <c r="M53" s="312">
        <v>8349.6001584837377</v>
      </c>
      <c r="N53" s="312">
        <v>8698.7268989880831</v>
      </c>
      <c r="O53" s="312">
        <v>8888.9261527238014</v>
      </c>
      <c r="P53" s="312">
        <v>8890.1982927238296</v>
      </c>
      <c r="Q53" s="312">
        <v>9074.9161343418018</v>
      </c>
      <c r="R53" s="312">
        <v>10027.623602178961</v>
      </c>
      <c r="S53" s="312">
        <v>9492.5425509550823</v>
      </c>
      <c r="T53" s="312">
        <v>9030.4926319646984</v>
      </c>
      <c r="U53" s="312">
        <v>8529.8334382463472</v>
      </c>
      <c r="V53" s="312">
        <v>7971.0889504595671</v>
      </c>
      <c r="W53" s="312">
        <v>7327.1768825358567</v>
      </c>
      <c r="X53" s="312">
        <v>6845.8419431036618</v>
      </c>
      <c r="Y53" s="312">
        <v>6376.1008170307814</v>
      </c>
      <c r="Z53" s="312">
        <v>5909.1633281548638</v>
      </c>
      <c r="AA53" s="312">
        <v>5296.9600128010024</v>
      </c>
      <c r="AB53" s="312">
        <v>5099.1212122112011</v>
      </c>
      <c r="AC53" s="312">
        <v>4854.0951466584957</v>
      </c>
      <c r="AD53" s="312">
        <v>4332.2683064718431</v>
      </c>
      <c r="AE53" s="312">
        <v>3791.1262426802905</v>
      </c>
      <c r="AF53" s="312">
        <v>3278.7492319046423</v>
      </c>
    </row>
    <row r="54" spans="1:32">
      <c r="A54" s="147" t="str">
        <v>Tankers - Milk, Edible Oil &amp; Water Total</v>
      </c>
      <c r="B54" s="312">
        <v>194.25834088535098</v>
      </c>
      <c r="C54" s="312">
        <v>412.68795183585922</v>
      </c>
      <c r="D54" s="312">
        <v>626.87908470578373</v>
      </c>
      <c r="E54" s="312">
        <v>885.50347517419834</v>
      </c>
      <c r="F54" s="312">
        <v>1139.2297686337402</v>
      </c>
      <c r="G54" s="312">
        <v>1560.8025028579511</v>
      </c>
      <c r="H54" s="312">
        <v>2217.795006439499</v>
      </c>
      <c r="I54" s="312">
        <v>2541.1122023356879</v>
      </c>
      <c r="J54" s="312">
        <v>3210.5580840509356</v>
      </c>
      <c r="K54" s="312">
        <v>3917.6253195063405</v>
      </c>
      <c r="L54" s="312">
        <v>4291.1437080012838</v>
      </c>
      <c r="M54" s="312">
        <v>5018.4759214485102</v>
      </c>
      <c r="N54" s="312">
        <v>5972.5877257968787</v>
      </c>
      <c r="O54" s="312">
        <v>7496.0962947239141</v>
      </c>
      <c r="P54" s="312">
        <v>8325.2888149491646</v>
      </c>
      <c r="Q54" s="312">
        <v>8977.2303114434762</v>
      </c>
      <c r="R54" s="312">
        <v>9458.7486133395523</v>
      </c>
      <c r="S54" s="312">
        <v>9606.2061175192521</v>
      </c>
      <c r="T54" s="312">
        <v>9874.60571757871</v>
      </c>
      <c r="U54" s="312">
        <v>10002.04239332366</v>
      </c>
      <c r="V54" s="312">
        <v>10308.115009034931</v>
      </c>
      <c r="W54" s="312">
        <v>10517.09645445521</v>
      </c>
      <c r="X54" s="312">
        <v>10884.956830504671</v>
      </c>
      <c r="Y54" s="312">
        <v>11334.984657487119</v>
      </c>
      <c r="Z54" s="312">
        <v>11844.447296608394</v>
      </c>
      <c r="AA54" s="312">
        <v>12102.243491882209</v>
      </c>
      <c r="AB54" s="312">
        <v>12135.820482284122</v>
      </c>
      <c r="AC54" s="312">
        <v>11954.287751348951</v>
      </c>
      <c r="AD54" s="312">
        <v>11501.254163055673</v>
      </c>
      <c r="AE54" s="312">
        <v>10851.175627084871</v>
      </c>
      <c r="AF54" s="312">
        <v>10112.227650069566</v>
      </c>
    </row>
    <row r="55" spans="1:32">
      <c r="A55" s="147" t="str">
        <v>Minerals &amp; Tippers Total</v>
      </c>
      <c r="B55" s="312">
        <v>320.69184899658728</v>
      </c>
      <c r="C55" s="312">
        <v>682.04550655217383</v>
      </c>
      <c r="D55" s="312">
        <v>1014.9008687618293</v>
      </c>
      <c r="E55" s="312">
        <v>1358.6354363136741</v>
      </c>
      <c r="F55" s="312">
        <v>1745.0783569614919</v>
      </c>
      <c r="G55" s="312">
        <v>2262.7201288812166</v>
      </c>
      <c r="H55" s="312">
        <v>2738.0452383501811</v>
      </c>
      <c r="I55" s="312">
        <v>3272.1252616995816</v>
      </c>
      <c r="J55" s="312">
        <v>3926.9107812617717</v>
      </c>
      <c r="K55" s="312">
        <v>4746.2318046493292</v>
      </c>
      <c r="L55" s="312">
        <v>5432.4574038525379</v>
      </c>
      <c r="M55" s="312">
        <v>6078.6890046580265</v>
      </c>
      <c r="N55" s="312">
        <v>6925.6469085232757</v>
      </c>
      <c r="O55" s="312">
        <v>7825.2900351354192</v>
      </c>
      <c r="P55" s="312">
        <v>8752.3924508120344</v>
      </c>
      <c r="Q55" s="312">
        <v>9778.6560428991579</v>
      </c>
      <c r="R55" s="312">
        <v>10512.862929366856</v>
      </c>
      <c r="S55" s="312">
        <v>11127.007541487805</v>
      </c>
      <c r="T55" s="312">
        <v>11744.523621981898</v>
      </c>
      <c r="U55" s="312">
        <v>12414.917423171903</v>
      </c>
      <c r="V55" s="312">
        <v>13082.408207925166</v>
      </c>
      <c r="W55" s="312">
        <v>13780.172710212875</v>
      </c>
      <c r="X55" s="312">
        <v>14422.621638230605</v>
      </c>
      <c r="Y55" s="312">
        <v>14934.502305028538</v>
      </c>
      <c r="Z55" s="312">
        <v>16357.977474108951</v>
      </c>
      <c r="AA55" s="312">
        <v>16708.509763172373</v>
      </c>
      <c r="AB55" s="312">
        <v>17104.935030524342</v>
      </c>
      <c r="AC55" s="312">
        <v>17201.666907658157</v>
      </c>
      <c r="AD55" s="312">
        <v>16898.954685862125</v>
      </c>
      <c r="AE55" s="312">
        <v>16250.194198062223</v>
      </c>
      <c r="AF55" s="312">
        <v>15424.819481700306</v>
      </c>
    </row>
    <row r="56" spans="1:32">
      <c r="A56" s="147" t="str">
        <v>Perishables &amp; Fish Total</v>
      </c>
      <c r="B56" s="312">
        <v>397.27262596932712</v>
      </c>
      <c r="C56" s="312">
        <v>836.1267678399696</v>
      </c>
      <c r="D56" s="312">
        <v>1237.11268928202</v>
      </c>
      <c r="E56" s="312">
        <v>1640.6160811815876</v>
      </c>
      <c r="F56" s="312">
        <v>2017.2040582566926</v>
      </c>
      <c r="G56" s="312">
        <v>2483.3214057308292</v>
      </c>
      <c r="H56" s="312">
        <v>2923.7629455415422</v>
      </c>
      <c r="I56" s="312">
        <v>3466.0298043947846</v>
      </c>
      <c r="J56" s="312">
        <v>4312.2598010561278</v>
      </c>
      <c r="K56" s="312">
        <v>5079.76853468033</v>
      </c>
      <c r="L56" s="312">
        <v>5865.8220528402462</v>
      </c>
      <c r="M56" s="312">
        <v>6697.0465968078479</v>
      </c>
      <c r="N56" s="312">
        <v>7832.1568052799357</v>
      </c>
      <c r="O56" s="312">
        <v>8690.7095976248984</v>
      </c>
      <c r="P56" s="312">
        <v>9456.4996078826753</v>
      </c>
      <c r="Q56" s="312">
        <v>10315.067069000286</v>
      </c>
      <c r="R56" s="312">
        <v>10787.859581687608</v>
      </c>
      <c r="S56" s="312">
        <v>11301.912915686193</v>
      </c>
      <c r="T56" s="312">
        <v>11900.863119009971</v>
      </c>
      <c r="U56" s="312">
        <v>12671.39347955196</v>
      </c>
      <c r="V56" s="312">
        <v>13393.872564494755</v>
      </c>
      <c r="W56" s="312">
        <v>13938.338559408625</v>
      </c>
      <c r="X56" s="312">
        <v>14565.858837501724</v>
      </c>
      <c r="Y56" s="312">
        <v>16099.17467828904</v>
      </c>
      <c r="Z56" s="312">
        <v>16610.576730654826</v>
      </c>
      <c r="AA56" s="312">
        <v>17048.491233309993</v>
      </c>
      <c r="AB56" s="312">
        <v>17360.615681538955</v>
      </c>
      <c r="AC56" s="312">
        <v>17397.118008459463</v>
      </c>
      <c r="AD56" s="312">
        <v>17064.842651680439</v>
      </c>
      <c r="AE56" s="312">
        <v>16396.437662043609</v>
      </c>
      <c r="AF56" s="312">
        <v>15552.263564455634</v>
      </c>
    </row>
    <row r="57" spans="1:32">
      <c r="A57" s="147" t="str">
        <v>LPG Total</v>
      </c>
      <c r="B57" s="312">
        <v>163.64518766465343</v>
      </c>
      <c r="C57" s="312">
        <v>348.6070431181908</v>
      </c>
      <c r="D57" s="312">
        <v>538.13988161295288</v>
      </c>
      <c r="E57" s="312">
        <v>773.01831548158282</v>
      </c>
      <c r="F57" s="312">
        <v>1003.7968590758829</v>
      </c>
      <c r="G57" s="312">
        <v>1353.489804005063</v>
      </c>
      <c r="H57" s="312">
        <v>1658.2044745703672</v>
      </c>
      <c r="I57" s="312">
        <v>1871.9593476230598</v>
      </c>
      <c r="J57" s="312">
        <v>2409.2301013678084</v>
      </c>
      <c r="K57" s="312">
        <v>3000.1458779771242</v>
      </c>
      <c r="L57" s="312">
        <v>3379.9357418849554</v>
      </c>
      <c r="M57" s="312">
        <v>4435.6394605936821</v>
      </c>
      <c r="N57" s="312">
        <v>4839.4232416377845</v>
      </c>
      <c r="O57" s="312">
        <v>5036.3381370553898</v>
      </c>
      <c r="P57" s="312">
        <v>5316.3414546777412</v>
      </c>
      <c r="Q57" s="312">
        <v>5837.1558415298186</v>
      </c>
      <c r="R57" s="312">
        <v>5855.2738876913327</v>
      </c>
      <c r="S57" s="312">
        <v>6052.9241705713403</v>
      </c>
      <c r="T57" s="312">
        <v>6260.7211077799357</v>
      </c>
      <c r="U57" s="312">
        <v>6620.713609559326</v>
      </c>
      <c r="V57" s="312">
        <v>7013.940444758724</v>
      </c>
      <c r="W57" s="312">
        <v>7357.0814536702374</v>
      </c>
      <c r="X57" s="312">
        <v>7714.3113862224081</v>
      </c>
      <c r="Y57" s="312">
        <v>8164.3605720600826</v>
      </c>
      <c r="Z57" s="312">
        <v>8374.0981440220676</v>
      </c>
      <c r="AA57" s="312">
        <v>8579.9128475575508</v>
      </c>
      <c r="AB57" s="312">
        <v>8657.7924450970095</v>
      </c>
      <c r="AC57" s="312">
        <v>8585.8810807334958</v>
      </c>
      <c r="AD57" s="312">
        <v>8357.0141318192673</v>
      </c>
      <c r="AE57" s="312">
        <v>7970.962210799994</v>
      </c>
      <c r="AF57" s="312">
        <v>7511.1342989296272</v>
      </c>
    </row>
    <row r="58" spans="1:32"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</row>
    <row r="59" spans="1:32">
      <c r="A59" s="147" t="s">
        <v>611</v>
      </c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</row>
    <row r="60" spans="1:32">
      <c r="A60" s="147" t="s">
        <v>43</v>
      </c>
      <c r="B60" s="312">
        <f>(('Emissions '!$J2/'Emissions '!$L2)*'Energy Requirementsfinal'!B49)/1000000000</f>
        <v>8.3538596953517855E-2</v>
      </c>
      <c r="C60" s="312">
        <f>(('Emissions '!$J2/'Emissions '!$L2)*'Energy Requirementsfinal'!C49)/1000000000</f>
        <v>0.17840570939020423</v>
      </c>
      <c r="D60" s="312">
        <f>(('Emissions '!$J2/'Emissions '!$L2)*'Energy Requirementsfinal'!D49)/1000000000</f>
        <v>0.27664667912572688</v>
      </c>
      <c r="E60" s="312">
        <f>(('Emissions '!$J2/'Emissions '!$L2)*'Energy Requirementsfinal'!E49)/1000000000</f>
        <v>0.37427783476224208</v>
      </c>
      <c r="F60" s="312">
        <f>(('Emissions '!$J2/'Emissions '!$L2)*'Energy Requirementsfinal'!F49)/1000000000</f>
        <v>0.48427727806437043</v>
      </c>
      <c r="G60" s="312">
        <f>(('Emissions '!$J2/'Emissions '!$L2)*'Energy Requirementsfinal'!G49)/1000000000</f>
        <v>0.58499286100190862</v>
      </c>
      <c r="H60" s="312">
        <f>(('Emissions '!$J2/'Emissions '!$L2)*'Energy Requirementsfinal'!H49)/1000000000</f>
        <v>0.683273324397493</v>
      </c>
      <c r="I60" s="312">
        <f>(('Emissions '!$J2/'Emissions '!$L2)*'Energy Requirementsfinal'!I49)/1000000000</f>
        <v>0.8031185135222787</v>
      </c>
      <c r="J60" s="312">
        <f>(('Emissions '!$J2/'Emissions '!$L2)*'Energy Requirementsfinal'!J49)/1000000000</f>
        <v>0.92988650087365599</v>
      </c>
      <c r="K60" s="312">
        <f>(('Emissions '!$J2/'Emissions '!$L2)*'Energy Requirementsfinal'!K49)/1000000000</f>
        <v>1.0477981327225234</v>
      </c>
      <c r="L60" s="312">
        <f>(('Emissions '!$J2/'Emissions '!$L2)*'Energy Requirementsfinal'!L49)/1000000000</f>
        <v>1.1795825914543234</v>
      </c>
      <c r="M60" s="312">
        <f>(('Emissions '!$J2/'Emissions '!$L2)*'Energy Requirementsfinal'!M49)/1000000000</f>
        <v>1.3242191129736736</v>
      </c>
      <c r="N60" s="312">
        <f>(('Emissions '!$J2/'Emissions '!$L2)*'Energy Requirementsfinal'!N49)/1000000000</f>
        <v>1.5272842326846168</v>
      </c>
      <c r="O60" s="312">
        <f>(('Emissions '!$J2/'Emissions '!$L2)*'Energy Requirementsfinal'!O49)/1000000000</f>
        <v>1.7096452452575723</v>
      </c>
      <c r="P60" s="312">
        <f>(('Emissions '!$J2/'Emissions '!$L2)*'Energy Requirementsfinal'!P49)/1000000000</f>
        <v>1.915154309145505</v>
      </c>
      <c r="Q60" s="312">
        <f>(('Emissions '!$J2/'Emissions '!$L2)*'Energy Requirementsfinal'!Q49)/1000000000</f>
        <v>2.1065548844558295</v>
      </c>
      <c r="R60" s="312">
        <f>(('Emissions '!$J2/'Emissions '!$L2)*'Energy Requirementsfinal'!R49)/1000000000</f>
        <v>2.2226959598698381</v>
      </c>
      <c r="S60" s="312">
        <f>(('Emissions '!$J2/'Emissions '!$L2)*'Energy Requirementsfinal'!S49)/1000000000</f>
        <v>2.3304442606950473</v>
      </c>
      <c r="T60" s="312">
        <f>(('Emissions '!$J2/'Emissions '!$L2)*'Energy Requirementsfinal'!T49)/1000000000</f>
        <v>2.4794031680538038</v>
      </c>
      <c r="U60" s="312">
        <f>(('Emissions '!$J2/'Emissions '!$L2)*'Energy Requirementsfinal'!U49)/1000000000</f>
        <v>2.6311571180959388</v>
      </c>
      <c r="V60" s="312">
        <f>(('Emissions '!$J2/'Emissions '!$L2)*'Energy Requirementsfinal'!V49)/1000000000</f>
        <v>2.7878995862438658</v>
      </c>
      <c r="W60" s="312">
        <f>(('Emissions '!$J2/'Emissions '!$L2)*'Energy Requirementsfinal'!W49)/1000000000</f>
        <v>2.9404412003279075</v>
      </c>
      <c r="X60" s="312">
        <f>(('Emissions '!$J2/'Emissions '!$L2)*'Energy Requirementsfinal'!X49)/1000000000</f>
        <v>3.0746680099131178</v>
      </c>
      <c r="Y60" s="312">
        <f>(('Emissions '!$J2/'Emissions '!$L2)*'Energy Requirementsfinal'!Y49)/1000000000</f>
        <v>3.1641839188418044</v>
      </c>
      <c r="Z60" s="312">
        <f>(('Emissions '!$J2/'Emissions '!$L2)*'Energy Requirementsfinal'!Z49)/1000000000</f>
        <v>3.2379682557960852</v>
      </c>
      <c r="AA60" s="312">
        <f>(('Emissions '!$J2/'Emissions '!$L2)*'Energy Requirementsfinal'!AA49)/1000000000</f>
        <v>3.3332593341785501</v>
      </c>
      <c r="AB60" s="312">
        <f>(('Emissions '!$J2/'Emissions '!$L2)*'Energy Requirementsfinal'!AB49)/1000000000</f>
        <v>3.3844190848359381</v>
      </c>
      <c r="AC60" s="312">
        <f>(('Emissions '!$J2/'Emissions '!$L2)*'Energy Requirementsfinal'!AC49)/1000000000</f>
        <v>3.3784301213740942</v>
      </c>
      <c r="AD60" s="312">
        <f>(('Emissions '!$J2/'Emissions '!$L2)*'Energy Requirementsfinal'!AD49)/1000000000</f>
        <v>3.2974486889154493</v>
      </c>
      <c r="AE60" s="312">
        <f>(('Emissions '!$J2/'Emissions '!$L2)*'Energy Requirementsfinal'!AE49)/1000000000</f>
        <v>3.151076877532605</v>
      </c>
      <c r="AF60" s="312">
        <f>(('Emissions '!$J2/'Emissions '!$L2)*'Energy Requirementsfinal'!AF49)/1000000000</f>
        <v>2.9687305787366962</v>
      </c>
    </row>
    <row r="61" spans="1:32">
      <c r="A61" s="147" t="s">
        <v>51</v>
      </c>
      <c r="B61" s="312">
        <f>(('Emissions '!$J3/'Emissions '!$L3)*'Energy Requirementsfinal'!B50)/1000000000</f>
        <v>0.1018866186771492</v>
      </c>
      <c r="C61" s="312">
        <f>(('Emissions '!$J3/'Emissions '!$L3)*'Energy Requirementsfinal'!C50)/1000000000</f>
        <v>0.21584443548838594</v>
      </c>
      <c r="D61" s="312">
        <f>(('Emissions '!$J3/'Emissions '!$L3)*'Energy Requirementsfinal'!D50)/1000000000</f>
        <v>0.33638212790563771</v>
      </c>
      <c r="E61" s="312">
        <f>(('Emissions '!$J3/'Emissions '!$L3)*'Energy Requirementsfinal'!E50)/1000000000</f>
        <v>0.45392544628264792</v>
      </c>
      <c r="F61" s="312">
        <f>(('Emissions '!$J3/'Emissions '!$L3)*'Energy Requirementsfinal'!F50)/1000000000</f>
        <v>0.5894848772068938</v>
      </c>
      <c r="G61" s="312">
        <f>(('Emissions '!$J3/'Emissions '!$L3)*'Energy Requirementsfinal'!G50)/1000000000</f>
        <v>0.71609841873942459</v>
      </c>
      <c r="H61" s="312">
        <f>(('Emissions '!$J3/'Emissions '!$L3)*'Energy Requirementsfinal'!H50)/1000000000</f>
        <v>0.83826083110350791</v>
      </c>
      <c r="I61" s="312">
        <f>(('Emissions '!$J3/'Emissions '!$L3)*'Energy Requirementsfinal'!I50)/1000000000</f>
        <v>1.0043457759290075</v>
      </c>
      <c r="J61" s="312">
        <f>(('Emissions '!$J3/'Emissions '!$L3)*'Energy Requirementsfinal'!J50)/1000000000</f>
        <v>1.1452895861309729</v>
      </c>
      <c r="K61" s="312">
        <f>(('Emissions '!$J3/'Emissions '!$L3)*'Energy Requirementsfinal'!K50)/1000000000</f>
        <v>1.3057765753026152</v>
      </c>
      <c r="L61" s="312">
        <f>(('Emissions '!$J3/'Emissions '!$L3)*'Energy Requirementsfinal'!L50)/1000000000</f>
        <v>1.5069787984209548</v>
      </c>
      <c r="M61" s="312">
        <f>(('Emissions '!$J3/'Emissions '!$L3)*'Energy Requirementsfinal'!M50)/1000000000</f>
        <v>1.6915754479402703</v>
      </c>
      <c r="N61" s="312">
        <f>(('Emissions '!$J3/'Emissions '!$L3)*'Energy Requirementsfinal'!N50)/1000000000</f>
        <v>1.8374372067550631</v>
      </c>
      <c r="O61" s="312">
        <f>(('Emissions '!$J3/'Emissions '!$L3)*'Energy Requirementsfinal'!O50)/1000000000</f>
        <v>2.0392561018583679</v>
      </c>
      <c r="P61" s="312">
        <f>(('Emissions '!$J3/'Emissions '!$L3)*'Energy Requirementsfinal'!P50)/1000000000</f>
        <v>2.2601278833152438</v>
      </c>
      <c r="Q61" s="312">
        <f>(('Emissions '!$J3/'Emissions '!$L3)*'Energy Requirementsfinal'!Q50)/1000000000</f>
        <v>2.5022765842491337</v>
      </c>
      <c r="R61" s="312">
        <f>(('Emissions '!$J3/'Emissions '!$L3)*'Energy Requirementsfinal'!R50)/1000000000</f>
        <v>2.6466622473166539</v>
      </c>
      <c r="S61" s="312">
        <f>(('Emissions '!$J3/'Emissions '!$L3)*'Energy Requirementsfinal'!S50)/1000000000</f>
        <v>2.7897555369041349</v>
      </c>
      <c r="T61" s="312">
        <f>(('Emissions '!$J3/'Emissions '!$L3)*'Energy Requirementsfinal'!T50)/1000000000</f>
        <v>2.9647304524615898</v>
      </c>
      <c r="U61" s="312">
        <f>(('Emissions '!$J3/'Emissions '!$L3)*'Energy Requirementsfinal'!U50)/1000000000</f>
        <v>3.1540069533478046</v>
      </c>
      <c r="V61" s="312">
        <f>(('Emissions '!$J3/'Emissions '!$L3)*'Energy Requirementsfinal'!V50)/1000000000</f>
        <v>3.3397570698187811</v>
      </c>
      <c r="W61" s="312">
        <f>(('Emissions '!$J3/'Emissions '!$L3)*'Energy Requirementsfinal'!W50)/1000000000</f>
        <v>3.5227334716818248</v>
      </c>
      <c r="X61" s="312">
        <f>(('Emissions '!$J3/'Emissions '!$L3)*'Energy Requirementsfinal'!X50)/1000000000</f>
        <v>3.6855068001140494</v>
      </c>
      <c r="Y61" s="312">
        <f>(('Emissions '!$J3/'Emissions '!$L3)*'Energy Requirementsfinal'!Y50)/1000000000</f>
        <v>3.7841314428808035</v>
      </c>
      <c r="Z61" s="312">
        <f>(('Emissions '!$J3/'Emissions '!$L3)*'Energy Requirementsfinal'!Z50)/1000000000</f>
        <v>3.867400324293865</v>
      </c>
      <c r="AA61" s="312">
        <f>(('Emissions '!$J3/'Emissions '!$L3)*'Energy Requirementsfinal'!AA50)/1000000000</f>
        <v>3.9779952199076587</v>
      </c>
      <c r="AB61" s="312">
        <f>(('Emissions '!$J3/'Emissions '!$L3)*'Energy Requirementsfinal'!AB50)/1000000000</f>
        <v>4.0427512398625041</v>
      </c>
      <c r="AC61" s="312">
        <f>(('Emissions '!$J3/'Emissions '!$L3)*'Energy Requirementsfinal'!AC50)/1000000000</f>
        <v>4.0373803009139992</v>
      </c>
      <c r="AD61" s="312">
        <f>(('Emissions '!$J3/'Emissions '!$L3)*'Energy Requirementsfinal'!AD50)/1000000000</f>
        <v>3.9418282382327794</v>
      </c>
      <c r="AE61" s="312">
        <f>(('Emissions '!$J3/'Emissions '!$L3)*'Energy Requirementsfinal'!AE50)/1000000000</f>
        <v>3.7664329321423224</v>
      </c>
      <c r="AF61" s="312">
        <f>(('Emissions '!$J3/'Emissions '!$L3)*'Energy Requirementsfinal'!AF50)/1000000000</f>
        <v>3.5483753661537958</v>
      </c>
    </row>
    <row r="62" spans="1:32">
      <c r="A62" s="147" t="s">
        <v>58</v>
      </c>
      <c r="B62" s="312">
        <f>(('Emissions '!$J4/'Emissions '!$L4)*'Energy Requirementsfinal'!B51)/1000000000</f>
        <v>3.5602774746271638E-2</v>
      </c>
      <c r="C62" s="312">
        <f>(('Emissions '!$J4/'Emissions '!$L4)*'Energy Requirementsfinal'!C51)/1000000000</f>
        <v>7.7199852368538047E-2</v>
      </c>
      <c r="D62" s="312">
        <f>(('Emissions '!$J4/'Emissions '!$L4)*'Energy Requirementsfinal'!D51)/1000000000</f>
        <v>0.11714831111881842</v>
      </c>
      <c r="E62" s="312">
        <f>(('Emissions '!$J4/'Emissions '!$L4)*'Energy Requirementsfinal'!E51)/1000000000</f>
        <v>0.16103490196684414</v>
      </c>
      <c r="F62" s="312">
        <f>(('Emissions '!$J4/'Emissions '!$L4)*'Energy Requirementsfinal'!F51)/1000000000</f>
        <v>0.20321431622362235</v>
      </c>
      <c r="G62" s="312">
        <f>(('Emissions '!$J4/'Emissions '!$L4)*'Energy Requirementsfinal'!G51)/1000000000</f>
        <v>0.24357477457032495</v>
      </c>
      <c r="H62" s="312">
        <f>(('Emissions '!$J4/'Emissions '!$L4)*'Energy Requirementsfinal'!H51)/1000000000</f>
        <v>0.28691245921010727</v>
      </c>
      <c r="I62" s="312">
        <f>(('Emissions '!$J4/'Emissions '!$L4)*'Energy Requirementsfinal'!I51)/1000000000</f>
        <v>0.31795672226967459</v>
      </c>
      <c r="J62" s="312">
        <f>(('Emissions '!$J4/'Emissions '!$L4)*'Energy Requirementsfinal'!J51)/1000000000</f>
        <v>0.36191304959251214</v>
      </c>
      <c r="K62" s="312">
        <f>(('Emissions '!$J4/'Emissions '!$L4)*'Energy Requirementsfinal'!K51)/1000000000</f>
        <v>0.41899246995913619</v>
      </c>
      <c r="L62" s="312">
        <f>(('Emissions '!$J4/'Emissions '!$L4)*'Energy Requirementsfinal'!L51)/1000000000</f>
        <v>0.4519640178110107</v>
      </c>
      <c r="M62" s="312">
        <f>(('Emissions '!$J4/'Emissions '!$L4)*'Energy Requirementsfinal'!M51)/1000000000</f>
        <v>0.51291203192615153</v>
      </c>
      <c r="N62" s="312">
        <f>(('Emissions '!$J4/'Emissions '!$L4)*'Energy Requirementsfinal'!N51)/1000000000</f>
        <v>0.56596295674012342</v>
      </c>
      <c r="O62" s="312">
        <f>(('Emissions '!$J4/'Emissions '!$L4)*'Energy Requirementsfinal'!O51)/1000000000</f>
        <v>0.62371767712626414</v>
      </c>
      <c r="P62" s="312">
        <f>(('Emissions '!$J4/'Emissions '!$L4)*'Energy Requirementsfinal'!P51)/1000000000</f>
        <v>0.69032136242604514</v>
      </c>
      <c r="Q62" s="312">
        <f>(('Emissions '!$J4/'Emissions '!$L4)*'Energy Requirementsfinal'!Q51)/1000000000</f>
        <v>0.76623501882605716</v>
      </c>
      <c r="R62" s="312">
        <f>(('Emissions '!$J4/'Emissions '!$L4)*'Energy Requirementsfinal'!R51)/1000000000</f>
        <v>0.79878450773414955</v>
      </c>
      <c r="S62" s="312">
        <f>(('Emissions '!$J4/'Emissions '!$L4)*'Energy Requirementsfinal'!S51)/1000000000</f>
        <v>0.94135792027617604</v>
      </c>
      <c r="T62" s="312">
        <f>(('Emissions '!$J4/'Emissions '!$L4)*'Energy Requirementsfinal'!T51)/1000000000</f>
        <v>0.99294612367433444</v>
      </c>
      <c r="U62" s="312">
        <f>(('Emissions '!$J4/'Emissions '!$L4)*'Energy Requirementsfinal'!U51)/1000000000</f>
        <v>1.0486626928066773</v>
      </c>
      <c r="V62" s="312">
        <f>(('Emissions '!$J4/'Emissions '!$L4)*'Energy Requirementsfinal'!V51)/1000000000</f>
        <v>1.1042496932440808</v>
      </c>
      <c r="W62" s="312">
        <f>(('Emissions '!$J4/'Emissions '!$L4)*'Energy Requirementsfinal'!W51)/1000000000</f>
        <v>1.1577336241262821</v>
      </c>
      <c r="X62" s="312">
        <f>(('Emissions '!$J4/'Emissions '!$L4)*'Energy Requirementsfinal'!X51)/1000000000</f>
        <v>1.2065569115004151</v>
      </c>
      <c r="Y62" s="312">
        <f>(('Emissions '!$J4/'Emissions '!$L4)*'Energy Requirementsfinal'!Y51)/1000000000</f>
        <v>1.2462576742253306</v>
      </c>
      <c r="Z62" s="312">
        <f>(('Emissions '!$J4/'Emissions '!$L4)*'Energy Requirementsfinal'!Z51)/1000000000</f>
        <v>1.2782732933695318</v>
      </c>
      <c r="AA62" s="312">
        <f>(('Emissions '!$J4/'Emissions '!$L4)*'Energy Requirementsfinal'!AA51)/1000000000</f>
        <v>1.3060951058440706</v>
      </c>
      <c r="AB62" s="312">
        <f>(('Emissions '!$J4/'Emissions '!$L4)*'Energy Requirementsfinal'!AB51)/1000000000</f>
        <v>1.3377001213395703</v>
      </c>
      <c r="AC62" s="312">
        <f>(('Emissions '!$J4/'Emissions '!$L4)*'Energy Requirementsfinal'!AC51)/1000000000</f>
        <v>1.3473666981773609</v>
      </c>
      <c r="AD62" s="312">
        <f>(('Emissions '!$J4/'Emissions '!$L4)*'Energy Requirementsfinal'!AD51)/1000000000</f>
        <v>1.3296266980579592</v>
      </c>
      <c r="AE62" s="312">
        <f>(('Emissions '!$J4/'Emissions '!$L4)*'Energy Requirementsfinal'!AE51)/1000000000</f>
        <v>1.2705857889819396</v>
      </c>
      <c r="AF62" s="312">
        <f>(('Emissions '!$J4/'Emissions '!$L4)*'Energy Requirementsfinal'!AF51)/1000000000</f>
        <v>1.1979310642922334</v>
      </c>
    </row>
    <row r="63" spans="1:32">
      <c r="A63" s="147" t="s">
        <v>54</v>
      </c>
      <c r="B63" s="312">
        <f>(('Emissions '!$J5/'Emissions '!$L5)*'Energy Requirementsfinal'!B52)/1000000000</f>
        <v>4.1015213262728473E-2</v>
      </c>
      <c r="C63" s="312">
        <f>(('Emissions '!$J5/'Emissions '!$L5)*'Energy Requirementsfinal'!C52)/1000000000</f>
        <v>8.6179494607662513E-2</v>
      </c>
      <c r="D63" s="312">
        <f>(('Emissions '!$J5/'Emissions '!$L5)*'Energy Requirementsfinal'!D52)/1000000000</f>
        <v>0.12703102871425437</v>
      </c>
      <c r="E63" s="312">
        <f>(('Emissions '!$J5/'Emissions '!$L5)*'Energy Requirementsfinal'!E52)/1000000000</f>
        <v>0.17026446047774088</v>
      </c>
      <c r="F63" s="312">
        <f>(('Emissions '!$J5/'Emissions '!$L5)*'Energy Requirementsfinal'!F52)/1000000000</f>
        <v>0.21555881163920698</v>
      </c>
      <c r="G63" s="312">
        <f>(('Emissions '!$J5/'Emissions '!$L5)*'Energy Requirementsfinal'!G52)/1000000000</f>
        <v>0.27397795858510682</v>
      </c>
      <c r="H63" s="312">
        <f>(('Emissions '!$J5/'Emissions '!$L5)*'Energy Requirementsfinal'!H52)/1000000000</f>
        <v>0.34059293486780157</v>
      </c>
      <c r="I63" s="312">
        <f>(('Emissions '!$J5/'Emissions '!$L5)*'Energy Requirementsfinal'!I52)/1000000000</f>
        <v>0.3986704010068613</v>
      </c>
      <c r="J63" s="312">
        <f>(('Emissions '!$J5/'Emissions '!$L5)*'Energy Requirementsfinal'!J52)/1000000000</f>
        <v>0.46846073371167862</v>
      </c>
      <c r="K63" s="312">
        <f>(('Emissions '!$J5/'Emissions '!$L5)*'Energy Requirementsfinal'!K52)/1000000000</f>
        <v>0.54020346643814476</v>
      </c>
      <c r="L63" s="312">
        <f>(('Emissions '!$J5/'Emissions '!$L5)*'Energy Requirementsfinal'!L52)/1000000000</f>
        <v>0.62110957077967455</v>
      </c>
      <c r="M63" s="312">
        <f>(('Emissions '!$J5/'Emissions '!$L5)*'Energy Requirementsfinal'!M52)/1000000000</f>
        <v>0.69263735747468547</v>
      </c>
      <c r="N63" s="312">
        <f>(('Emissions '!$J5/'Emissions '!$L5)*'Energy Requirementsfinal'!N52)/1000000000</f>
        <v>0.78403308868891308</v>
      </c>
      <c r="O63" s="312">
        <f>(('Emissions '!$J5/'Emissions '!$L5)*'Energy Requirementsfinal'!O52)/1000000000</f>
        <v>0.84791163254433677</v>
      </c>
      <c r="P63" s="312">
        <f>(('Emissions '!$J5/'Emissions '!$L5)*'Energy Requirementsfinal'!P52)/1000000000</f>
        <v>0.91800293479235895</v>
      </c>
      <c r="Q63" s="312">
        <f>(('Emissions '!$J5/'Emissions '!$L5)*'Energy Requirementsfinal'!Q52)/1000000000</f>
        <v>1.0020472848297906</v>
      </c>
      <c r="R63" s="312">
        <f>(('Emissions '!$J5/'Emissions '!$L5)*'Energy Requirementsfinal'!R52)/1000000000</f>
        <v>1.0592775363516209</v>
      </c>
      <c r="S63" s="312">
        <f>(('Emissions '!$J5/'Emissions '!$L5)*'Energy Requirementsfinal'!S52)/1000000000</f>
        <v>1.0909511530646909</v>
      </c>
      <c r="T63" s="312">
        <f>(('Emissions '!$J5/'Emissions '!$L5)*'Energy Requirementsfinal'!T52)/1000000000</f>
        <v>1.1345059344993134</v>
      </c>
      <c r="U63" s="312">
        <f>(('Emissions '!$J5/'Emissions '!$L5)*'Energy Requirementsfinal'!U52)/1000000000</f>
        <v>1.1835678970103056</v>
      </c>
      <c r="V63" s="312">
        <f>(('Emissions '!$J5/'Emissions '!$L5)*'Energy Requirementsfinal'!V52)/1000000000</f>
        <v>1.231850693262593</v>
      </c>
      <c r="W63" s="312">
        <f>(('Emissions '!$J5/'Emissions '!$L5)*'Energy Requirementsfinal'!W52)/1000000000</f>
        <v>1.261242145278656</v>
      </c>
      <c r="X63" s="312">
        <f>(('Emissions '!$J5/'Emissions '!$L5)*'Energy Requirementsfinal'!X52)/1000000000</f>
        <v>1.2987319616567097</v>
      </c>
      <c r="Y63" s="312">
        <f>(('Emissions '!$J5/'Emissions '!$L5)*'Energy Requirementsfinal'!Y52)/1000000000</f>
        <v>1.3657765261102734</v>
      </c>
      <c r="Z63" s="312">
        <f>(('Emissions '!$J5/'Emissions '!$L5)*'Energy Requirementsfinal'!Z52)/1000000000</f>
        <v>1.4064400629688132</v>
      </c>
      <c r="AA63" s="312">
        <f>(('Emissions '!$J5/'Emissions '!$L5)*'Energy Requirementsfinal'!AA52)/1000000000</f>
        <v>1.382793504617831</v>
      </c>
      <c r="AB63" s="312">
        <f>(('Emissions '!$J5/'Emissions '!$L5)*'Energy Requirementsfinal'!AB52)/1000000000</f>
        <v>1.3947421831017834</v>
      </c>
      <c r="AC63" s="312">
        <f>(('Emissions '!$J5/'Emissions '!$L5)*'Energy Requirementsfinal'!AC52)/1000000000</f>
        <v>1.3809550297292821</v>
      </c>
      <c r="AD63" s="312">
        <f>(('Emissions '!$J5/'Emissions '!$L5)*'Energy Requirementsfinal'!AD52)/1000000000</f>
        <v>1.3339756539857781</v>
      </c>
      <c r="AE63" s="312">
        <f>(('Emissions '!$J5/'Emissions '!$L5)*'Energy Requirementsfinal'!AE52)/1000000000</f>
        <v>1.2629034867193796</v>
      </c>
      <c r="AF63" s="312">
        <f>(('Emissions '!$J5/'Emissions '!$L5)*'Energy Requirementsfinal'!AF52)/1000000000</f>
        <v>1.1802182255649014</v>
      </c>
    </row>
    <row r="64" spans="1:32">
      <c r="A64" s="147" t="s">
        <v>55</v>
      </c>
      <c r="B64" s="312">
        <f>(('Emissions '!$J6/'Emissions '!$L6)*'Energy Requirementsfinal'!B53)/1000000000</f>
        <v>7.2749956884791567E-3</v>
      </c>
      <c r="C64" s="312">
        <f>(('Emissions '!$J6/'Emissions '!$L6)*'Energy Requirementsfinal'!C53)/1000000000</f>
        <v>1.5469922096859816E-2</v>
      </c>
      <c r="D64" s="312">
        <f>(('Emissions '!$J6/'Emissions '!$L6)*'Energy Requirementsfinal'!D53)/1000000000</f>
        <v>2.4000080898244736E-2</v>
      </c>
      <c r="E64" s="312">
        <f>(('Emissions '!$J6/'Emissions '!$L6)*'Energy Requirementsfinal'!E53)/1000000000</f>
        <v>3.4256563543990121E-2</v>
      </c>
      <c r="F64" s="312">
        <f>(('Emissions '!$J6/'Emissions '!$L6)*'Energy Requirementsfinal'!F53)/1000000000</f>
        <v>4.3319199183993143E-2</v>
      </c>
      <c r="G64" s="312">
        <f>(('Emissions '!$J6/'Emissions '!$L6)*'Energy Requirementsfinal'!G53)/1000000000</f>
        <v>5.8685104231931219E-2</v>
      </c>
      <c r="H64" s="312">
        <f>(('Emissions '!$J6/'Emissions '!$L6)*'Energy Requirementsfinal'!H53)/1000000000</f>
        <v>7.7403539158189733E-2</v>
      </c>
      <c r="I64" s="312">
        <f>(('Emissions '!$J6/'Emissions '!$L6)*'Energy Requirementsfinal'!I53)/1000000000</f>
        <v>8.8956207889489033E-2</v>
      </c>
      <c r="J64" s="312">
        <f>(('Emissions '!$J6/'Emissions '!$L6)*'Energy Requirementsfinal'!J53)/1000000000</f>
        <v>0.10582647652792504</v>
      </c>
      <c r="K64" s="312">
        <f>(('Emissions '!$J6/'Emissions '!$L6)*'Energy Requirementsfinal'!K53)/1000000000</f>
        <v>0.11655733100197413</v>
      </c>
      <c r="L64" s="312">
        <f>(('Emissions '!$J6/'Emissions '!$L6)*'Energy Requirementsfinal'!L53)/1000000000</f>
        <v>0.12373109898423786</v>
      </c>
      <c r="M64" s="312">
        <f>(('Emissions '!$J6/'Emissions '!$L6)*'Energy Requirementsfinal'!M53)/1000000000</f>
        <v>0.1278000024257715</v>
      </c>
      <c r="N64" s="312">
        <f>(('Emissions '!$J6/'Emissions '!$L6)*'Energy Requirementsfinal'!N53)/1000000000</f>
        <v>0.13314377906614414</v>
      </c>
      <c r="O64" s="312">
        <f>(('Emissions '!$J6/'Emissions '!$L6)*'Energy Requirementsfinal'!O53)/1000000000</f>
        <v>0.13605499213352756</v>
      </c>
      <c r="P64" s="312">
        <f>(('Emissions '!$J6/'Emissions '!$L6)*'Energy Requirementsfinal'!P53)/1000000000</f>
        <v>0.13607446366414025</v>
      </c>
      <c r="Q64" s="312">
        <f>(('Emissions '!$J6/'Emissions '!$L6)*'Energy Requirementsfinal'!Q53)/1000000000</f>
        <v>0.13890177756645614</v>
      </c>
      <c r="R64" s="312">
        <f>(('Emissions '!$J6/'Emissions '!$L6)*'Energy Requirementsfinal'!R53)/1000000000</f>
        <v>0.15348403472722899</v>
      </c>
      <c r="S64" s="312">
        <f>(('Emissions '!$J6/'Emissions '!$L6)*'Energy Requirementsfinal'!S53)/1000000000</f>
        <v>0.14529401863706759</v>
      </c>
      <c r="T64" s="312">
        <f>(('Emissions '!$J6/'Emissions '!$L6)*'Energy Requirementsfinal'!T53)/1000000000</f>
        <v>0.13822182599945965</v>
      </c>
      <c r="U64" s="312">
        <f>(('Emissions '!$J6/'Emissions '!$L6)*'Energy Requirementsfinal'!U53)/1000000000</f>
        <v>0.13055867507519919</v>
      </c>
      <c r="V64" s="312">
        <f>(('Emissions '!$J6/'Emissions '!$L6)*'Energy Requirementsfinal'!V53)/1000000000</f>
        <v>0.12200646352744235</v>
      </c>
      <c r="W64" s="312">
        <f>(('Emissions '!$J6/'Emissions '!$L6)*'Energy Requirementsfinal'!W53)/1000000000</f>
        <v>0.11215066656942638</v>
      </c>
      <c r="X64" s="312">
        <f>(('Emissions '!$J6/'Emissions '!$L6)*'Energy Requirementsfinal'!X53)/1000000000</f>
        <v>0.10478329504750503</v>
      </c>
      <c r="Y64" s="312">
        <f>(('Emissions '!$J6/'Emissions '!$L6)*'Energy Requirementsfinal'!Y53)/1000000000</f>
        <v>9.7593379852511958E-2</v>
      </c>
      <c r="Z64" s="312">
        <f>(('Emissions '!$J6/'Emissions '!$L6)*'Energy Requirementsfinal'!Z53)/1000000000</f>
        <v>9.0446377471758113E-2</v>
      </c>
      <c r="AA64" s="312">
        <f>(('Emissions '!$J6/'Emissions '!$L6)*'Energy Requirementsfinal'!AA53)/1000000000</f>
        <v>8.1075918563280641E-2</v>
      </c>
      <c r="AB64" s="312">
        <f>(('Emissions '!$J6/'Emissions '!$L6)*'Energy Requirementsfinal'!AB53)/1000000000</f>
        <v>7.8047773656293881E-2</v>
      </c>
      <c r="AC64" s="312">
        <f>(('Emissions '!$J6/'Emissions '!$L6)*'Energy Requirementsfinal'!AC53)/1000000000</f>
        <v>7.4297374693752485E-2</v>
      </c>
      <c r="AD64" s="312">
        <f>(('Emissions '!$J6/'Emissions '!$L6)*'Energy Requirementsfinal'!AD53)/1000000000</f>
        <v>6.6310229180691474E-2</v>
      </c>
      <c r="AE64" s="312">
        <f>(('Emissions '!$J6/'Emissions '!$L6)*'Energy Requirementsfinal'!AE53)/1000000000</f>
        <v>5.8027442490004445E-2</v>
      </c>
      <c r="AF64" s="312">
        <f>(('Emissions '!$J6/'Emissions '!$L6)*'Energy Requirementsfinal'!AF53)/1000000000</f>
        <v>5.0184937223030239E-2</v>
      </c>
    </row>
    <row r="65" spans="1:32">
      <c r="A65" s="147" t="s">
        <v>56</v>
      </c>
      <c r="B65" s="312">
        <f>(('Emissions '!$J7/'Emissions '!$L7)*'Energy Requirementsfinal'!B54)/1000000000</f>
        <v>3.5680103427921609E-3</v>
      </c>
      <c r="C65" s="312">
        <f>(('Emissions '!$J7/'Emissions '!$L7)*'Energy Requirementsfinal'!C54)/1000000000</f>
        <v>7.5799827888219044E-3</v>
      </c>
      <c r="D65" s="312">
        <f>(('Emissions '!$J7/'Emissions '!$L7)*'Energy Requirementsfinal'!D54)/1000000000</f>
        <v>1.151410563745317E-2</v>
      </c>
      <c r="E65" s="312">
        <f>(('Emissions '!$J7/'Emissions '!$L7)*'Energy Requirementsfinal'!E54)/1000000000</f>
        <v>1.6264349544015889E-2</v>
      </c>
      <c r="F65" s="312">
        <f>(('Emissions '!$J7/'Emissions '!$L7)*'Energy Requirementsfinal'!F54)/1000000000</f>
        <v>2.092462840347686E-2</v>
      </c>
      <c r="G65" s="312">
        <f>(('Emissions '!$J7/'Emissions '!$L7)*'Energy Requirementsfinal'!G54)/1000000000</f>
        <v>2.8667801072901143E-2</v>
      </c>
      <c r="H65" s="312">
        <f>(('Emissions '!$J7/'Emissions '!$L7)*'Energy Requirementsfinal'!H54)/1000000000</f>
        <v>4.0735010322358149E-2</v>
      </c>
      <c r="I65" s="312">
        <f>(('Emissions '!$J7/'Emissions '!$L7)*'Energy Requirementsfinal'!I54)/1000000000</f>
        <v>4.6673489430655496E-2</v>
      </c>
      <c r="J65" s="312">
        <f>(('Emissions '!$J7/'Emissions '!$L7)*'Energy Requirementsfinal'!J54)/1000000000</f>
        <v>5.8969434196853923E-2</v>
      </c>
      <c r="K65" s="312">
        <f>(('Emissions '!$J7/'Emissions '!$L7)*'Energy Requirementsfinal'!K54)/1000000000</f>
        <v>7.1956383419504208E-2</v>
      </c>
      <c r="L65" s="312">
        <f>(('Emissions '!$J7/'Emissions '!$L7)*'Energy Requirementsfinal'!L54)/1000000000</f>
        <v>7.8816925249003175E-2</v>
      </c>
      <c r="M65" s="312">
        <f>(('Emissions '!$J7/'Emissions '!$L7)*'Energy Requirementsfinal'!M54)/1000000000</f>
        <v>9.2176088353135899E-2</v>
      </c>
      <c r="N65" s="312">
        <f>(('Emissions '!$J7/'Emissions '!$L7)*'Energy Requirementsfinal'!N54)/1000000000</f>
        <v>0.10970059088198349</v>
      </c>
      <c r="O65" s="312">
        <f>(('Emissions '!$J7/'Emissions '!$L7)*'Energy Requirementsfinal'!O54)/1000000000</f>
        <v>0.13768340133166374</v>
      </c>
      <c r="P65" s="312">
        <f>(('Emissions '!$J7/'Emissions '!$L7)*'Energy Requirementsfinal'!P54)/1000000000</f>
        <v>0.15291346802967853</v>
      </c>
      <c r="Q65" s="312">
        <f>(('Emissions '!$J7/'Emissions '!$L7)*'Energy Requirementsfinal'!Q54)/1000000000</f>
        <v>0.16488790367957404</v>
      </c>
      <c r="R65" s="312">
        <f>(('Emissions '!$J7/'Emissions '!$L7)*'Energy Requirementsfinal'!R54)/1000000000</f>
        <v>0.17373211738786934</v>
      </c>
      <c r="S65" s="312">
        <f>(('Emissions '!$J7/'Emissions '!$L7)*'Energy Requirementsfinal'!S54)/1000000000</f>
        <v>0.17644052052586381</v>
      </c>
      <c r="T65" s="312">
        <f>(('Emissions '!$J7/'Emissions '!$L7)*'Energy Requirementsfinal'!T54)/1000000000</f>
        <v>0.18137030909838447</v>
      </c>
      <c r="U65" s="312">
        <f>(('Emissions '!$J7/'Emissions '!$L7)*'Energy Requirementsfinal'!U54)/1000000000</f>
        <v>0.18371098273451619</v>
      </c>
      <c r="V65" s="312">
        <f>(('Emissions '!$J7/'Emissions '!$L7)*'Energy Requirementsfinal'!V54)/1000000000</f>
        <v>0.18933272465574363</v>
      </c>
      <c r="W65" s="312">
        <f>(('Emissions '!$J7/'Emissions '!$L7)*'Energy Requirementsfinal'!W54)/1000000000</f>
        <v>0.19317115936754467</v>
      </c>
      <c r="X65" s="312">
        <f>(('Emissions '!$J7/'Emissions '!$L7)*'Energy Requirementsfinal'!X54)/1000000000</f>
        <v>0.19992777851947355</v>
      </c>
      <c r="Y65" s="312">
        <f>(('Emissions '!$J7/'Emissions '!$L7)*'Energy Requirementsfinal'!Y54)/1000000000</f>
        <v>0.2081935957497634</v>
      </c>
      <c r="Z65" s="312">
        <f>(('Emissions '!$J7/'Emissions '!$L7)*'Energy Requirementsfinal'!Z54)/1000000000</f>
        <v>0.21755107279484806</v>
      </c>
      <c r="AA65" s="312">
        <f>(('Emissions '!$J7/'Emissions '!$L7)*'Energy Requirementsfinal'!AA54)/1000000000</f>
        <v>0.22228610495293852</v>
      </c>
      <c r="AB65" s="312">
        <f>(('Emissions '!$J7/'Emissions '!$L7)*'Energy Requirementsfinal'!AB54)/1000000000</f>
        <v>0.22290282518481039</v>
      </c>
      <c r="AC65" s="312">
        <f>(('Emissions '!$J7/'Emissions '!$L7)*'Energy Requirementsfinal'!AC54)/1000000000</f>
        <v>0.21956855053498076</v>
      </c>
      <c r="AD65" s="312">
        <f>(('Emissions '!$J7/'Emissions '!$L7)*'Energy Requirementsfinal'!AD54)/1000000000</f>
        <v>0.21124752544387973</v>
      </c>
      <c r="AE65" s="312">
        <f>(('Emissions '!$J7/'Emissions '!$L7)*'Energy Requirementsfinal'!AE54)/1000000000</f>
        <v>0.19930730743625275</v>
      </c>
      <c r="AF65" s="312">
        <f>(('Emissions '!$J7/'Emissions '!$L7)*'Energy Requirementsfinal'!AF54)/1000000000</f>
        <v>0.18573479357270631</v>
      </c>
    </row>
    <row r="66" spans="1:32">
      <c r="A66" s="147" t="s">
        <v>549</v>
      </c>
      <c r="B66" s="312">
        <f>(('Emissions '!$J8/'Emissions '!$L8)*'Energy Requirementsfinal'!B55)/1000000000</f>
        <v>5.9862478479362959E-3</v>
      </c>
      <c r="C66" s="312">
        <f>(('Emissions '!$J8/'Emissions '!$L8)*'Energy Requirementsfinal'!C55)/1000000000</f>
        <v>1.2731516122307246E-2</v>
      </c>
      <c r="D66" s="312">
        <f>(('Emissions '!$J8/'Emissions '!$L8)*'Energy Requirementsfinal'!D55)/1000000000</f>
        <v>1.894481621688748E-2</v>
      </c>
      <c r="E66" s="312">
        <f>(('Emissions '!$J8/'Emissions '!$L8)*'Energy Requirementsfinal'!E55)/1000000000</f>
        <v>2.5361194811188582E-2</v>
      </c>
      <c r="F66" s="312">
        <f>(('Emissions '!$J8/'Emissions '!$L8)*'Energy Requirementsfinal'!F55)/1000000000</f>
        <v>3.2574795996614517E-2</v>
      </c>
      <c r="G66" s="312">
        <f>(('Emissions '!$J8/'Emissions '!$L8)*'Energy Requirementsfinal'!G55)/1000000000</f>
        <v>4.2237442405782713E-2</v>
      </c>
      <c r="H66" s="312">
        <f>(('Emissions '!$J8/'Emissions '!$L8)*'Energy Requirementsfinal'!H55)/1000000000</f>
        <v>5.1110177782536716E-2</v>
      </c>
      <c r="I66" s="312">
        <f>(('Emissions '!$J8/'Emissions '!$L8)*'Energy Requirementsfinal'!I55)/1000000000</f>
        <v>6.1079671551725528E-2</v>
      </c>
      <c r="J66" s="312">
        <f>(('Emissions '!$J8/'Emissions '!$L8)*'Energy Requirementsfinal'!J55)/1000000000</f>
        <v>7.3302334583553078E-2</v>
      </c>
      <c r="K66" s="312">
        <f>(('Emissions '!$J8/'Emissions '!$L8)*'Energy Requirementsfinal'!K55)/1000000000</f>
        <v>8.859632702012081E-2</v>
      </c>
      <c r="L66" s="312">
        <f>(('Emissions '!$J8/'Emissions '!$L8)*'Energy Requirementsfinal'!L55)/1000000000</f>
        <v>0.10140587153858072</v>
      </c>
      <c r="M66" s="312">
        <f>(('Emissions '!$J8/'Emissions '!$L8)*'Energy Requirementsfinal'!M55)/1000000000</f>
        <v>0.11346886142028317</v>
      </c>
      <c r="N66" s="312">
        <f>(('Emissions '!$J8/'Emissions '!$L8)*'Energy Requirementsfinal'!N55)/1000000000</f>
        <v>0.1292787422924345</v>
      </c>
      <c r="O66" s="312">
        <f>(('Emissions '!$J8/'Emissions '!$L8)*'Energy Requirementsfinal'!O55)/1000000000</f>
        <v>0.14607208065586116</v>
      </c>
      <c r="P66" s="312">
        <f>(('Emissions '!$J8/'Emissions '!$L8)*'Energy Requirementsfinal'!P55)/1000000000</f>
        <v>0.16337799241515796</v>
      </c>
      <c r="Q66" s="312">
        <f>(('Emissions '!$J8/'Emissions '!$L8)*'Energy Requirementsfinal'!Q55)/1000000000</f>
        <v>0.18253491280078429</v>
      </c>
      <c r="R66" s="312">
        <f>(('Emissions '!$J8/'Emissions '!$L8)*'Energy Requirementsfinal'!R55)/1000000000</f>
        <v>0.19624010801484798</v>
      </c>
      <c r="S66" s="312">
        <f>(('Emissions '!$J8/'Emissions '!$L8)*'Energy Requirementsfinal'!S55)/1000000000</f>
        <v>0.20770414077443905</v>
      </c>
      <c r="T66" s="312">
        <f>(('Emissions '!$J8/'Emissions '!$L8)*'Energy Requirementsfinal'!T55)/1000000000</f>
        <v>0.21923110761032877</v>
      </c>
      <c r="U66" s="312">
        <f>(('Emissions '!$J8/'Emissions '!$L8)*'Energy Requirementsfinal'!U55)/1000000000</f>
        <v>0.23174512523254218</v>
      </c>
      <c r="V66" s="312">
        <f>(('Emissions '!$J8/'Emissions '!$L8)*'Energy Requirementsfinal'!V55)/1000000000</f>
        <v>0.24420495321460309</v>
      </c>
      <c r="W66" s="312">
        <f>(('Emissions '!$J8/'Emissions '!$L8)*'Energy Requirementsfinal'!W55)/1000000000</f>
        <v>0.25722989059064039</v>
      </c>
      <c r="X66" s="312">
        <f>(('Emissions '!$J8/'Emissions '!$L8)*'Energy Requirementsfinal'!X55)/1000000000</f>
        <v>0.26922227058030462</v>
      </c>
      <c r="Y66" s="312">
        <f>(('Emissions '!$J8/'Emissions '!$L8)*'Energy Requirementsfinal'!Y55)/1000000000</f>
        <v>0.27877737636053268</v>
      </c>
      <c r="Z66" s="312">
        <f>(('Emissions '!$J8/'Emissions '!$L8)*'Energy Requirementsfinal'!Z55)/1000000000</f>
        <v>0.30534891285003374</v>
      </c>
      <c r="AA66" s="312">
        <f>(('Emissions '!$J8/'Emissions '!$L8)*'Energy Requirementsfinal'!AA55)/1000000000</f>
        <v>0.31189218224588428</v>
      </c>
      <c r="AB66" s="312">
        <f>(('Emissions '!$J8/'Emissions '!$L8)*'Energy Requirementsfinal'!AB55)/1000000000</f>
        <v>0.31929212056978773</v>
      </c>
      <c r="AC66" s="312">
        <f>(('Emissions '!$J8/'Emissions '!$L8)*'Energy Requirementsfinal'!AC55)/1000000000</f>
        <v>0.3210977822762856</v>
      </c>
      <c r="AD66" s="312">
        <f>(('Emissions '!$J8/'Emissions '!$L8)*'Energy Requirementsfinal'!AD55)/1000000000</f>
        <v>0.31544715413609303</v>
      </c>
      <c r="AE66" s="312">
        <f>(('Emissions '!$J8/'Emissions '!$L8)*'Energy Requirementsfinal'!AE55)/1000000000</f>
        <v>0.30333695836382818</v>
      </c>
      <c r="AF66" s="312">
        <f>(('Emissions '!$J8/'Emissions '!$L8)*'Energy Requirementsfinal'!AF55)/1000000000</f>
        <v>0.28792996365840573</v>
      </c>
    </row>
    <row r="67" spans="1:32">
      <c r="A67" s="147" t="s">
        <v>52</v>
      </c>
      <c r="B67" s="312">
        <f>(('Emissions '!$J9/'Emissions '!$L9)*'Energy Requirementsfinal'!B56)/1000000000</f>
        <v>7.5670976375109937E-3</v>
      </c>
      <c r="C67" s="312">
        <f>(('Emissions '!$J9/'Emissions '!$L9)*'Energy Requirementsfinal'!C56)/1000000000</f>
        <v>1.5926224149332757E-2</v>
      </c>
      <c r="D67" s="312">
        <f>(('Emissions '!$J9/'Emissions '!$L9)*'Energy Requirementsfinal'!D56)/1000000000</f>
        <v>2.356405122441943E-2</v>
      </c>
      <c r="E67" s="312">
        <f>(('Emissions '!$J9/'Emissions '!$L9)*'Energy Requirementsfinal'!E56)/1000000000</f>
        <v>3.1249830117744529E-2</v>
      </c>
      <c r="F67" s="312">
        <f>(('Emissions '!$J9/'Emissions '!$L9)*'Energy Requirementsfinal'!F56)/1000000000</f>
        <v>3.8422934442984627E-2</v>
      </c>
      <c r="G67" s="312">
        <f>(('Emissions '!$J9/'Emissions '!$L9)*'Energy Requirementsfinal'!G56)/1000000000</f>
        <v>4.7301360109158655E-2</v>
      </c>
      <c r="H67" s="312">
        <f>(('Emissions '!$J9/'Emissions '!$L9)*'Energy Requirementsfinal'!H56)/1000000000</f>
        <v>5.5690722772219863E-2</v>
      </c>
      <c r="I67" s="312">
        <f>(('Emissions '!$J9/'Emissions '!$L9)*'Energy Requirementsfinal'!I56)/1000000000</f>
        <v>6.6019615321805419E-2</v>
      </c>
      <c r="J67" s="312">
        <f>(('Emissions '!$J9/'Emissions '!$L9)*'Energy Requirementsfinal'!J56)/1000000000</f>
        <v>8.2138281924878626E-2</v>
      </c>
      <c r="K67" s="312">
        <f>(('Emissions '!$J9/'Emissions '!$L9)*'Energy Requirementsfinal'!K56)/1000000000</f>
        <v>9.6757495898672968E-2</v>
      </c>
      <c r="L67" s="312">
        <f>(('Emissions '!$J9/'Emissions '!$L9)*'Energy Requirementsfinal'!L56)/1000000000</f>
        <v>0.11172994386362375</v>
      </c>
      <c r="M67" s="312">
        <f>(('Emissions '!$J9/'Emissions '!$L9)*'Energy Requirementsfinal'!M56)/1000000000</f>
        <v>0.1275627923201495</v>
      </c>
      <c r="N67" s="312">
        <f>(('Emissions '!$J9/'Emissions '!$L9)*'Energy Requirementsfinal'!N56)/1000000000</f>
        <v>0.14918393914818928</v>
      </c>
      <c r="O67" s="312">
        <f>(('Emissions '!$J9/'Emissions '!$L9)*'Energy Requirementsfinal'!O56)/1000000000</f>
        <v>0.16553732566904569</v>
      </c>
      <c r="P67" s="312">
        <f>(('Emissions '!$J9/'Emissions '!$L9)*'Energy Requirementsfinal'!P56)/1000000000</f>
        <v>0.18012380205490813</v>
      </c>
      <c r="Q67" s="312">
        <f>(('Emissions '!$J9/'Emissions '!$L9)*'Energy Requirementsfinal'!Q56)/1000000000</f>
        <v>0.19647746798095786</v>
      </c>
      <c r="R67" s="312">
        <f>(('Emissions '!$J9/'Emissions '!$L9)*'Energy Requirementsfinal'!R56)/1000000000</f>
        <v>0.20548303965119255</v>
      </c>
      <c r="S67" s="312">
        <f>(('Emissions '!$J9/'Emissions '!$L9)*'Energy Requirementsfinal'!S56)/1000000000</f>
        <v>0.21527453172735608</v>
      </c>
      <c r="T67" s="312">
        <f>(('Emissions '!$J9/'Emissions '!$L9)*'Energy Requirementsfinal'!T56)/1000000000</f>
        <v>0.22668310702876138</v>
      </c>
      <c r="U67" s="312">
        <f>(('Emissions '!$J9/'Emissions '!$L9)*'Energy Requirementsfinal'!U56)/1000000000</f>
        <v>0.24135987580098975</v>
      </c>
      <c r="V67" s="312">
        <f>(('Emissions '!$J9/'Emissions '!$L9)*'Energy Requirementsfinal'!V56)/1000000000</f>
        <v>0.25512138218085251</v>
      </c>
      <c r="W67" s="312">
        <f>(('Emissions '!$J9/'Emissions '!$L9)*'Energy Requirementsfinal'!W56)/1000000000</f>
        <v>0.26549216303635476</v>
      </c>
      <c r="X67" s="312">
        <f>(('Emissions '!$J9/'Emissions '!$L9)*'Energy Requirementsfinal'!X56)/1000000000</f>
        <v>0.27744493023812811</v>
      </c>
      <c r="Y67" s="312">
        <f>(('Emissions '!$J9/'Emissions '!$L9)*'Energy Requirementsfinal'!Y56)/1000000000</f>
        <v>0.30665094625312461</v>
      </c>
      <c r="Z67" s="312">
        <f>(('Emissions '!$J9/'Emissions '!$L9)*'Energy Requirementsfinal'!Z56)/1000000000</f>
        <v>0.31639193772675861</v>
      </c>
      <c r="AA67" s="312">
        <f>(('Emissions '!$J9/'Emissions '!$L9)*'Energy Requirementsfinal'!AA56)/1000000000</f>
        <v>0.32473316634876181</v>
      </c>
      <c r="AB67" s="312">
        <f>(('Emissions '!$J9/'Emissions '!$L9)*'Energy Requirementsfinal'!AB56)/1000000000</f>
        <v>0.33067839393407533</v>
      </c>
      <c r="AC67" s="312">
        <f>(('Emissions '!$J9/'Emissions '!$L9)*'Energy Requirementsfinal'!AC56)/1000000000</f>
        <v>0.33137367635160886</v>
      </c>
      <c r="AD67" s="312">
        <f>(('Emissions '!$J9/'Emissions '!$L9)*'Energy Requirementsfinal'!AD56)/1000000000</f>
        <v>0.32504462193677031</v>
      </c>
      <c r="AE67" s="312">
        <f>(('Emissions '!$J9/'Emissions '!$L9)*'Energy Requirementsfinal'!AE56)/1000000000</f>
        <v>0.31231309832464021</v>
      </c>
      <c r="AF67" s="312">
        <f>(('Emissions '!$J9/'Emissions '!$L9)*'Energy Requirementsfinal'!AF56)/1000000000</f>
        <v>0.29623359170391683</v>
      </c>
    </row>
    <row r="68" spans="1:32">
      <c r="A68" s="147" t="s">
        <v>57</v>
      </c>
      <c r="B68" s="312">
        <f>(('Emissions '!$J10/'Emissions '!$L10)*'Energy Requirementsfinal'!B57)/1000000000</f>
        <v>2.5838713841787385E-3</v>
      </c>
      <c r="C68" s="312">
        <f>(('Emissions '!$J10/'Emissions '!$L10)*'Energy Requirementsfinal'!C57)/1000000000</f>
        <v>5.5043217334451184E-3</v>
      </c>
      <c r="D68" s="312">
        <f>(('Emissions '!$J10/'Emissions '!$L10)*'Energy Requirementsfinal'!D57)/1000000000</f>
        <v>8.496945499151887E-3</v>
      </c>
      <c r="E68" s="312">
        <f>(('Emissions '!$J10/'Emissions '!$L10)*'Energy Requirementsfinal'!E57)/1000000000</f>
        <v>1.2205552349709204E-2</v>
      </c>
      <c r="F68" s="312">
        <f>(('Emissions '!$J10/'Emissions '!$L10)*'Energy Requirementsfinal'!F57)/1000000000</f>
        <v>1.5849424090671835E-2</v>
      </c>
      <c r="G68" s="312">
        <f>(('Emissions '!$J10/'Emissions '!$L10)*'Energy Requirementsfinal'!G57)/1000000000</f>
        <v>2.1370891642185204E-2</v>
      </c>
      <c r="H68" s="312">
        <f>(('Emissions '!$J10/'Emissions '!$L10)*'Energy Requirementsfinal'!H57)/1000000000</f>
        <v>2.6182175914268954E-2</v>
      </c>
      <c r="I68" s="312">
        <f>(('Emissions '!$J10/'Emissions '!$L10)*'Energy Requirementsfinal'!I57)/1000000000</f>
        <v>2.9557252857206208E-2</v>
      </c>
      <c r="J68" s="312">
        <f>(('Emissions '!$J10/'Emissions '!$L10)*'Energy Requirementsfinal'!J57)/1000000000</f>
        <v>3.804047528475487E-2</v>
      </c>
      <c r="K68" s="312">
        <f>(('Emissions '!$J10/'Emissions '!$L10)*'Energy Requirementsfinal'!K57)/1000000000</f>
        <v>4.7370724389112488E-2</v>
      </c>
      <c r="L68" s="312">
        <f>(('Emissions '!$J10/'Emissions '!$L10)*'Energy Requirementsfinal'!L57)/1000000000</f>
        <v>5.3367406450815086E-2</v>
      </c>
      <c r="M68" s="312">
        <f>(('Emissions '!$J10/'Emissions '!$L10)*'Energy Requirementsfinal'!M57)/1000000000</f>
        <v>7.0036412535689707E-2</v>
      </c>
      <c r="N68" s="312">
        <f>(('Emissions '!$J10/'Emissions '!$L10)*'Energy Requirementsfinal'!N57)/1000000000</f>
        <v>7.6411945920596594E-2</v>
      </c>
      <c r="O68" s="312">
        <f>(('Emissions '!$J10/'Emissions '!$L10)*'Energy Requirementsfinal'!O57)/1000000000</f>
        <v>7.9521128479821956E-2</v>
      </c>
      <c r="P68" s="312">
        <f>(('Emissions '!$J10/'Emissions '!$L10)*'Energy Requirementsfinal'!P57)/1000000000</f>
        <v>8.39422334949117E-2</v>
      </c>
      <c r="Q68" s="312">
        <f>(('Emissions '!$J10/'Emissions '!$L10)*'Energy Requirementsfinal'!Q57)/1000000000</f>
        <v>9.2165618550470826E-2</v>
      </c>
      <c r="R68" s="312">
        <f>(('Emissions '!$J10/'Emissions '!$L10)*'Energy Requirementsfinal'!R57)/1000000000</f>
        <v>9.2451692963547369E-2</v>
      </c>
      <c r="S68" s="312">
        <f>(('Emissions '!$J10/'Emissions '!$L10)*'Energy Requirementsfinal'!S57)/1000000000</f>
        <v>9.5572486903758011E-2</v>
      </c>
      <c r="T68" s="312">
        <f>(('Emissions '!$J10/'Emissions '!$L10)*'Energy Requirementsfinal'!T57)/1000000000</f>
        <v>9.885349117547268E-2</v>
      </c>
      <c r="U68" s="312">
        <f>(('Emissions '!$J10/'Emissions '!$L10)*'Energy Requirementsfinal'!U57)/1000000000</f>
        <v>0.10453758330883146</v>
      </c>
      <c r="V68" s="312">
        <f>(('Emissions '!$J10/'Emissions '!$L10)*'Energy Requirementsfinal'!V57)/1000000000</f>
        <v>0.11074642807513775</v>
      </c>
      <c r="W68" s="312">
        <f>(('Emissions '!$J10/'Emissions '!$L10)*'Energy Requirementsfinal'!W57)/1000000000</f>
        <v>0.11616444400531954</v>
      </c>
      <c r="X68" s="312">
        <f>(('Emissions '!$J10/'Emissions '!$L10)*'Energy Requirementsfinal'!X57)/1000000000</f>
        <v>0.12180491662456433</v>
      </c>
      <c r="Y68" s="312">
        <f>(('Emissions '!$J10/'Emissions '!$L10)*'Energy Requirementsfinal'!Y57)/1000000000</f>
        <v>0.12891095640094868</v>
      </c>
      <c r="Z68" s="312">
        <f>(('Emissions '!$J10/'Emissions '!$L10)*'Energy Requirementsfinal'!Z57)/1000000000</f>
        <v>0.13222260227403265</v>
      </c>
      <c r="AA68" s="312">
        <f>(('Emissions '!$J10/'Emissions '!$L10)*'Energy Requirementsfinal'!AA57)/1000000000</f>
        <v>0.13547230811932975</v>
      </c>
      <c r="AB68" s="312">
        <f>(('Emissions '!$J10/'Emissions '!$L10)*'Energy Requirementsfinal'!AB57)/1000000000</f>
        <v>0.13670198597521593</v>
      </c>
      <c r="AC68" s="312">
        <f>(('Emissions '!$J10/'Emissions '!$L10)*'Energy Requirementsfinal'!AC57)/1000000000</f>
        <v>0.13556654338000257</v>
      </c>
      <c r="AD68" s="312">
        <f>(('Emissions '!$J10/'Emissions '!$L10)*'Energy Requirementsfinal'!AD57)/1000000000</f>
        <v>0.1319528547129358</v>
      </c>
      <c r="AE68" s="312">
        <f>(('Emissions '!$J10/'Emissions '!$L10)*'Energy Requirementsfinal'!AE57)/1000000000</f>
        <v>0.12585729806526305</v>
      </c>
      <c r="AF68" s="312">
        <f>(('Emissions '!$J10/'Emissions '!$L10)*'Energy Requirementsfinal'!AF57)/1000000000</f>
        <v>0.11859685735152044</v>
      </c>
    </row>
    <row r="69" spans="1:32">
      <c r="A69" s="147" t="s">
        <v>612</v>
      </c>
      <c r="B69" s="312">
        <f>SUM(B60:B68)</f>
        <v>0.28902342654056451</v>
      </c>
      <c r="C69" s="312">
        <f t="shared" ref="C69:AF69" si="2">SUM(C60:C68)</f>
        <v>0.61484145874555762</v>
      </c>
      <c r="D69" s="312">
        <f t="shared" si="2"/>
        <v>0.94372814634059399</v>
      </c>
      <c r="E69" s="312">
        <f t="shared" si="2"/>
        <v>1.2788401338561233</v>
      </c>
      <c r="F69" s="312">
        <f t="shared" si="2"/>
        <v>1.6436262652518348</v>
      </c>
      <c r="G69" s="312">
        <f t="shared" si="2"/>
        <v>2.0169066123587238</v>
      </c>
      <c r="H69" s="312">
        <f t="shared" si="2"/>
        <v>2.4001611755284826</v>
      </c>
      <c r="I69" s="312">
        <f t="shared" si="2"/>
        <v>2.8163776497787039</v>
      </c>
      <c r="J69" s="312">
        <f t="shared" si="2"/>
        <v>3.263826872826785</v>
      </c>
      <c r="K69" s="312">
        <f t="shared" si="2"/>
        <v>3.7340089061518045</v>
      </c>
      <c r="L69" s="312">
        <f t="shared" si="2"/>
        <v>4.2286862245522245</v>
      </c>
      <c r="M69" s="312">
        <f t="shared" si="2"/>
        <v>4.7523881073698098</v>
      </c>
      <c r="N69" s="312">
        <f t="shared" si="2"/>
        <v>5.3124364821780645</v>
      </c>
      <c r="O69" s="312">
        <f t="shared" si="2"/>
        <v>5.8853995850564624</v>
      </c>
      <c r="P69" s="312">
        <f t="shared" si="2"/>
        <v>6.5000384493379499</v>
      </c>
      <c r="Q69" s="312">
        <f t="shared" si="2"/>
        <v>7.1520814529390551</v>
      </c>
      <c r="R69" s="312">
        <f t="shared" si="2"/>
        <v>7.5488112440169486</v>
      </c>
      <c r="S69" s="312">
        <f t="shared" si="2"/>
        <v>7.9927945695085345</v>
      </c>
      <c r="T69" s="312">
        <f t="shared" si="2"/>
        <v>8.4359455196014466</v>
      </c>
      <c r="U69" s="312">
        <f t="shared" si="2"/>
        <v>8.909306903412805</v>
      </c>
      <c r="V69" s="312">
        <f t="shared" si="2"/>
        <v>9.3851689942231005</v>
      </c>
      <c r="W69" s="312">
        <f t="shared" si="2"/>
        <v>9.8263587649839543</v>
      </c>
      <c r="X69" s="312">
        <f t="shared" si="2"/>
        <v>10.238646874194266</v>
      </c>
      <c r="Y69" s="312">
        <f t="shared" si="2"/>
        <v>10.580475816675095</v>
      </c>
      <c r="Z69" s="312">
        <f t="shared" si="2"/>
        <v>10.852042839545724</v>
      </c>
      <c r="AA69" s="312">
        <f t="shared" si="2"/>
        <v>11.075602844778308</v>
      </c>
      <c r="AB69" s="312">
        <f t="shared" si="2"/>
        <v>11.247235728459982</v>
      </c>
      <c r="AC69" s="312">
        <f t="shared" si="2"/>
        <v>11.226036077431367</v>
      </c>
      <c r="AD69" s="312">
        <f t="shared" si="2"/>
        <v>10.952881664602337</v>
      </c>
      <c r="AE69" s="312">
        <f t="shared" si="2"/>
        <v>10.449841190056237</v>
      </c>
      <c r="AF69" s="312">
        <f t="shared" si="2"/>
        <v>9.8339353782572054</v>
      </c>
    </row>
    <row r="70" spans="1:32"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</row>
    <row r="71" spans="1:32">
      <c r="A71" s="147" t="str" cm="1">
        <f t="array" ref="A71:AF80">'Applicationwise Stock'!A77:AF86</f>
        <v>LNG Application wise Stock</v>
      </c>
      <c r="B71" s="312">
        <v>0</v>
      </c>
      <c r="C71" s="312">
        <v>0</v>
      </c>
      <c r="D71" s="312">
        <v>0</v>
      </c>
      <c r="E71" s="312">
        <v>0</v>
      </c>
      <c r="F71" s="312">
        <v>0</v>
      </c>
      <c r="G71" s="312">
        <v>0</v>
      </c>
      <c r="H71" s="312">
        <v>0</v>
      </c>
      <c r="I71" s="312">
        <v>0</v>
      </c>
      <c r="J71" s="312">
        <v>0</v>
      </c>
      <c r="K71" s="312">
        <v>0</v>
      </c>
      <c r="L71" s="312">
        <v>0</v>
      </c>
      <c r="M71" s="312">
        <v>0</v>
      </c>
      <c r="N71" s="312">
        <v>0</v>
      </c>
      <c r="O71" s="312">
        <v>0</v>
      </c>
      <c r="P71" s="312">
        <v>0</v>
      </c>
      <c r="Q71" s="312">
        <v>0</v>
      </c>
      <c r="R71" s="312">
        <v>0</v>
      </c>
      <c r="S71" s="312">
        <v>0</v>
      </c>
      <c r="T71" s="312">
        <v>0</v>
      </c>
      <c r="U71" s="312">
        <v>0</v>
      </c>
      <c r="V71" s="312">
        <v>0</v>
      </c>
      <c r="W71" s="312">
        <v>0</v>
      </c>
      <c r="X71" s="312">
        <v>0</v>
      </c>
      <c r="Y71" s="312">
        <v>0</v>
      </c>
      <c r="Z71" s="312">
        <v>0</v>
      </c>
      <c r="AA71" s="312">
        <v>0</v>
      </c>
      <c r="AB71" s="312">
        <v>0</v>
      </c>
      <c r="AC71" s="312">
        <v>0</v>
      </c>
      <c r="AD71" s="312">
        <v>0</v>
      </c>
      <c r="AE71" s="312">
        <v>0</v>
      </c>
      <c r="AF71" s="312">
        <v>0</v>
      </c>
    </row>
    <row r="72" spans="1:32">
      <c r="A72" s="147" t="str">
        <v>Market Load Total</v>
      </c>
      <c r="B72" s="312">
        <v>106.26934605049972</v>
      </c>
      <c r="C72" s="312">
        <v>226.95367551248412</v>
      </c>
      <c r="D72" s="312">
        <v>351.99144617032982</v>
      </c>
      <c r="E72" s="312">
        <v>476.52404159452504</v>
      </c>
      <c r="F72" s="312">
        <v>617.62426207356987</v>
      </c>
      <c r="G72" s="312">
        <v>748.59397125754572</v>
      </c>
      <c r="H72" s="312">
        <v>879.49830596276718</v>
      </c>
      <c r="I72" s="312">
        <v>1044.0868212412279</v>
      </c>
      <c r="J72" s="312">
        <v>1227.249300740978</v>
      </c>
      <c r="K72" s="312">
        <v>1412.2435894376322</v>
      </c>
      <c r="L72" s="312">
        <v>1635.777023070528</v>
      </c>
      <c r="M72" s="312">
        <v>1904.6219776674061</v>
      </c>
      <c r="N72" s="312">
        <v>2297.0772634941536</v>
      </c>
      <c r="O72" s="312">
        <v>2710.2694936196854</v>
      </c>
      <c r="P72" s="312">
        <v>3223.4179500073737</v>
      </c>
      <c r="Q72" s="312">
        <v>3785.4259290790546</v>
      </c>
      <c r="R72" s="312">
        <v>4334.0929868736212</v>
      </c>
      <c r="S72" s="312">
        <v>4950.1649061606013</v>
      </c>
      <c r="T72" s="312">
        <v>5727.8249334168131</v>
      </c>
      <c r="U72" s="312">
        <v>6574.1500562124293</v>
      </c>
      <c r="V72" s="312">
        <v>7478.5613307093117</v>
      </c>
      <c r="W72" s="312">
        <v>8399.13695036237</v>
      </c>
      <c r="X72" s="312">
        <v>9294.0409486377903</v>
      </c>
      <c r="Y72" s="312">
        <v>10085.26123765832</v>
      </c>
      <c r="Z72" s="312">
        <v>10853.203575316153</v>
      </c>
      <c r="AA72" s="312">
        <v>11728.568642348784</v>
      </c>
      <c r="AB72" s="312">
        <v>12433.714492209849</v>
      </c>
      <c r="AC72" s="312">
        <v>12863.357164548526</v>
      </c>
      <c r="AD72" s="312">
        <v>12922.142182213767</v>
      </c>
      <c r="AE72" s="312">
        <v>12646.462706993285</v>
      </c>
      <c r="AF72" s="312">
        <v>12172.377253571687</v>
      </c>
    </row>
    <row r="73" spans="1:32">
      <c r="A73" s="147" t="str">
        <v>Parcel Load, FMCG &amp; eCommerce</v>
      </c>
      <c r="B73" s="312">
        <v>149.10004361268895</v>
      </c>
      <c r="C73" s="312">
        <v>315.87053693339806</v>
      </c>
      <c r="D73" s="312">
        <v>492.35613270833289</v>
      </c>
      <c r="E73" s="312">
        <v>664.8367644616909</v>
      </c>
      <c r="F73" s="312">
        <v>864.85383032464517</v>
      </c>
      <c r="G73" s="312">
        <v>1054.1642009707921</v>
      </c>
      <c r="H73" s="312">
        <v>1241.2506957825831</v>
      </c>
      <c r="I73" s="312">
        <v>1502.0349004762486</v>
      </c>
      <c r="J73" s="312">
        <v>1738.8333126863558</v>
      </c>
      <c r="K73" s="312">
        <v>2024.6066319856905</v>
      </c>
      <c r="L73" s="312">
        <v>2404.0454898646635</v>
      </c>
      <c r="M73" s="312">
        <v>2798.8530843626145</v>
      </c>
      <c r="N73" s="312">
        <v>3179.128124290758</v>
      </c>
      <c r="O73" s="312">
        <v>3718.9302606200872</v>
      </c>
      <c r="P73" s="312">
        <v>4376.0840132015983</v>
      </c>
      <c r="Q73" s="312">
        <v>5172.697428696094</v>
      </c>
      <c r="R73" s="312">
        <v>5936.8554794188194</v>
      </c>
      <c r="S73" s="312">
        <v>6816.899400746086</v>
      </c>
      <c r="T73" s="312">
        <v>7878.9362760907543</v>
      </c>
      <c r="U73" s="312">
        <v>9065.5731483558557</v>
      </c>
      <c r="V73" s="312">
        <v>10306.129611172108</v>
      </c>
      <c r="W73" s="312">
        <v>11575.552768492531</v>
      </c>
      <c r="X73" s="312">
        <v>12815.730289997024</v>
      </c>
      <c r="Y73" s="312">
        <v>13874.950306368673</v>
      </c>
      <c r="Z73" s="312">
        <v>14912.287967764403</v>
      </c>
      <c r="AA73" s="312">
        <v>16102.004985232763</v>
      </c>
      <c r="AB73" s="312">
        <v>17085.730986704413</v>
      </c>
      <c r="AC73" s="312">
        <v>17683.932050114996</v>
      </c>
      <c r="AD73" s="312">
        <v>17770.267082390539</v>
      </c>
      <c r="AE73" s="312">
        <v>17389.219804411096</v>
      </c>
      <c r="AF73" s="312">
        <v>16736.859230200171</v>
      </c>
    </row>
    <row r="74" spans="1:32">
      <c r="A74" s="147" t="str">
        <v>Cement Total</v>
      </c>
      <c r="B74" s="312">
        <v>30.136742506473684</v>
      </c>
      <c r="C74" s="312">
        <v>65.348642662414875</v>
      </c>
      <c r="D74" s="312">
        <v>99.182330801337542</v>
      </c>
      <c r="E74" s="312">
        <v>136.42763516591762</v>
      </c>
      <c r="F74" s="312">
        <v>172.45515678588265</v>
      </c>
      <c r="G74" s="312">
        <v>207.4052274052099</v>
      </c>
      <c r="H74" s="312">
        <v>245.74323956168834</v>
      </c>
      <c r="I74" s="312">
        <v>275.05314661423648</v>
      </c>
      <c r="J74" s="312">
        <v>317.83280650309263</v>
      </c>
      <c r="K74" s="312">
        <v>375.77669254585089</v>
      </c>
      <c r="L74" s="312">
        <v>417.05299035831928</v>
      </c>
      <c r="M74" s="312">
        <v>490.88917598576359</v>
      </c>
      <c r="N74" s="312">
        <v>566.41581579062233</v>
      </c>
      <c r="O74" s="312">
        <v>657.93979704431388</v>
      </c>
      <c r="P74" s="312">
        <v>773.1358127170638</v>
      </c>
      <c r="Q74" s="312">
        <v>916.21120754291542</v>
      </c>
      <c r="R74" s="312">
        <v>1036.4286928069446</v>
      </c>
      <c r="S74" s="312">
        <v>1330.538230370943</v>
      </c>
      <c r="T74" s="312">
        <v>1526.370269486642</v>
      </c>
      <c r="U74" s="312">
        <v>1743.4932798317345</v>
      </c>
      <c r="V74" s="312">
        <v>1971.0600208268854</v>
      </c>
      <c r="W74" s="312">
        <v>2200.50540568834</v>
      </c>
      <c r="X74" s="312">
        <v>2426.8659802976454</v>
      </c>
      <c r="Y74" s="312">
        <v>2643.1688564991509</v>
      </c>
      <c r="Z74" s="312">
        <v>2851.0229129350005</v>
      </c>
      <c r="AA74" s="312">
        <v>3058.0342260566495</v>
      </c>
      <c r="AB74" s="312">
        <v>3270.1460660492053</v>
      </c>
      <c r="AC74" s="312">
        <v>3413.6329877607573</v>
      </c>
      <c r="AD74" s="312">
        <v>3467.1914706204398</v>
      </c>
      <c r="AE74" s="312">
        <v>3393.1705743007687</v>
      </c>
      <c r="AF74" s="312">
        <v>3268.3463633984861</v>
      </c>
    </row>
    <row r="75" spans="1:32">
      <c r="A75" s="147" t="str">
        <v>Steel &amp; Metal Products Total</v>
      </c>
      <c r="B75" s="312">
        <v>34.423996534893512</v>
      </c>
      <c r="C75" s="312">
        <v>72.331571179025119</v>
      </c>
      <c r="D75" s="312">
        <v>106.63798929158386</v>
      </c>
      <c r="E75" s="312">
        <v>143.02442120436609</v>
      </c>
      <c r="F75" s="312">
        <v>181.38088647836184</v>
      </c>
      <c r="G75" s="312">
        <v>231.3166364480667</v>
      </c>
      <c r="H75" s="312">
        <v>289.24886303417196</v>
      </c>
      <c r="I75" s="312">
        <v>341.95302799543214</v>
      </c>
      <c r="J75" s="312">
        <v>407.91674044424036</v>
      </c>
      <c r="K75" s="312">
        <v>480.37991694752492</v>
      </c>
      <c r="L75" s="312">
        <v>568.27618290531893</v>
      </c>
      <c r="M75" s="312">
        <v>657.27987532933093</v>
      </c>
      <c r="N75" s="312">
        <v>778.01077328711449</v>
      </c>
      <c r="O75" s="312">
        <v>886.85486255736828</v>
      </c>
      <c r="P75" s="312">
        <v>1019.4182443122261</v>
      </c>
      <c r="Q75" s="312">
        <v>1188.0252567132413</v>
      </c>
      <c r="R75" s="312">
        <v>1362.7726573865261</v>
      </c>
      <c r="S75" s="312">
        <v>1528.9093506816521</v>
      </c>
      <c r="T75" s="312">
        <v>1729.1984596206073</v>
      </c>
      <c r="U75" s="312">
        <v>1951.1088159345513</v>
      </c>
      <c r="V75" s="312">
        <v>2180.1907294357834</v>
      </c>
      <c r="W75" s="312">
        <v>2376.9285223575066</v>
      </c>
      <c r="X75" s="312">
        <v>2590.1288249993972</v>
      </c>
      <c r="Y75" s="312">
        <v>2872.1066430013893</v>
      </c>
      <c r="Z75" s="312">
        <v>3110.2985335908311</v>
      </c>
      <c r="AA75" s="312">
        <v>3210.1751240156445</v>
      </c>
      <c r="AB75" s="312">
        <v>3380.6964343812101</v>
      </c>
      <c r="AC75" s="312">
        <v>3469.0807437767303</v>
      </c>
      <c r="AD75" s="312">
        <v>3449.0529094867602</v>
      </c>
      <c r="AE75" s="312">
        <v>3344.0727371975759</v>
      </c>
      <c r="AF75" s="312">
        <v>3192.731661724044</v>
      </c>
    </row>
    <row r="76" spans="1:32">
      <c r="A76" s="147" t="str">
        <v>Tankers - Petroleum &amp; CNG Total</v>
      </c>
      <c r="B76" s="312">
        <v>14.729288112803498</v>
      </c>
      <c r="C76" s="312">
        <v>31.321660972464997</v>
      </c>
      <c r="D76" s="312">
        <v>48.601261264239682</v>
      </c>
      <c r="E76" s="312">
        <v>69.41649614438326</v>
      </c>
      <c r="F76" s="312">
        <v>87.930361903181193</v>
      </c>
      <c r="G76" s="312">
        <v>119.52309354946328</v>
      </c>
      <c r="H76" s="312">
        <v>158.57311076758344</v>
      </c>
      <c r="I76" s="312">
        <v>184.06085013401847</v>
      </c>
      <c r="J76" s="312">
        <v>222.29278794041235</v>
      </c>
      <c r="K76" s="312">
        <v>250.03440484402722</v>
      </c>
      <c r="L76" s="312">
        <v>273.08811851051195</v>
      </c>
      <c r="M76" s="312">
        <v>292.55531152682636</v>
      </c>
      <c r="N76" s="312">
        <v>318.71668552760036</v>
      </c>
      <c r="O76" s="312">
        <v>343.28050578941242</v>
      </c>
      <c r="P76" s="312">
        <v>364.51689741215421</v>
      </c>
      <c r="Q76" s="312">
        <v>397.26285852040627</v>
      </c>
      <c r="R76" s="312">
        <v>476.331779947526</v>
      </c>
      <c r="S76" s="312">
        <v>491.19831548415669</v>
      </c>
      <c r="T76" s="312">
        <v>508.21490235720722</v>
      </c>
      <c r="U76" s="312">
        <v>519.19051549981555</v>
      </c>
      <c r="V76" s="312">
        <v>520.89712080601885</v>
      </c>
      <c r="W76" s="312">
        <v>509.86148713752397</v>
      </c>
      <c r="X76" s="312">
        <v>504.11148213604866</v>
      </c>
      <c r="Y76" s="312">
        <v>495.07839894703534</v>
      </c>
      <c r="Z76" s="312">
        <v>482.50823035408553</v>
      </c>
      <c r="AA76" s="312">
        <v>454.04194315696896</v>
      </c>
      <c r="AB76" s="312">
        <v>456.35778163819168</v>
      </c>
      <c r="AC76" s="312">
        <v>450.23685486459806</v>
      </c>
      <c r="AD76" s="312">
        <v>413.58538521730077</v>
      </c>
      <c r="AE76" s="312">
        <v>370.65655460887899</v>
      </c>
      <c r="AF76" s="312">
        <v>327.4961426145461</v>
      </c>
    </row>
    <row r="77" spans="1:32">
      <c r="A77" s="147" t="str">
        <v>Tankers - Milk, Edible Oil &amp; Water Total</v>
      </c>
      <c r="B77" s="312">
        <v>6.0199637428049817</v>
      </c>
      <c r="C77" s="312">
        <v>12.789207426842394</v>
      </c>
      <c r="D77" s="312">
        <v>19.430492015231891</v>
      </c>
      <c r="E77" s="312">
        <v>27.464667609446376</v>
      </c>
      <c r="F77" s="312">
        <v>35.394432162217207</v>
      </c>
      <c r="G77" s="312">
        <v>48.656075994343354</v>
      </c>
      <c r="H77" s="312">
        <v>69.543302694517934</v>
      </c>
      <c r="I77" s="312">
        <v>80.477446404489513</v>
      </c>
      <c r="J77" s="312">
        <v>103.22306509805179</v>
      </c>
      <c r="K77" s="312">
        <v>128.63177394021119</v>
      </c>
      <c r="L77" s="312">
        <v>144.96467204374036</v>
      </c>
      <c r="M77" s="312">
        <v>175.83857414986247</v>
      </c>
      <c r="N77" s="312">
        <v>218.83240916670806</v>
      </c>
      <c r="O77" s="312">
        <v>289.49095574502542</v>
      </c>
      <c r="P77" s="312">
        <v>341.35441628665728</v>
      </c>
      <c r="Q77" s="312">
        <v>392.98657115124246</v>
      </c>
      <c r="R77" s="312">
        <v>449.30910271594115</v>
      </c>
      <c r="S77" s="312">
        <v>497.07991697591137</v>
      </c>
      <c r="T77" s="312">
        <v>555.71960302716764</v>
      </c>
      <c r="U77" s="312">
        <v>608.80034573199646</v>
      </c>
      <c r="V77" s="312">
        <v>673.61780335345929</v>
      </c>
      <c r="W77" s="312">
        <v>731.83198994665088</v>
      </c>
      <c r="X77" s="312">
        <v>801.54227433490826</v>
      </c>
      <c r="Y77" s="312">
        <v>880.11564078925403</v>
      </c>
      <c r="Z77" s="312">
        <v>967.14932169479755</v>
      </c>
      <c r="AA77" s="312">
        <v>1037.3735384699071</v>
      </c>
      <c r="AB77" s="312">
        <v>1086.1236442843597</v>
      </c>
      <c r="AC77" s="312">
        <v>1108.8082859312776</v>
      </c>
      <c r="AD77" s="312">
        <v>1097.9815415410678</v>
      </c>
      <c r="AE77" s="312">
        <v>1060.9141225926473</v>
      </c>
      <c r="AF77" s="312">
        <v>1010.0545404364902</v>
      </c>
    </row>
    <row r="78" spans="1:32">
      <c r="A78" s="147" t="str">
        <v>Minerals &amp; Tippers Total</v>
      </c>
      <c r="B78" s="312">
        <v>9.9380716152205579</v>
      </c>
      <c r="C78" s="312">
        <v>21.136603138128255</v>
      </c>
      <c r="D78" s="312">
        <v>31.457459194038883</v>
      </c>
      <c r="E78" s="312">
        <v>42.139270716503532</v>
      </c>
      <c r="F78" s="312">
        <v>54.217383730502434</v>
      </c>
      <c r="G78" s="312">
        <v>70.537484622930947</v>
      </c>
      <c r="H78" s="312">
        <v>85.856766855816517</v>
      </c>
      <c r="I78" s="312">
        <v>103.62875166832848</v>
      </c>
      <c r="J78" s="312">
        <v>126.25461262391366</v>
      </c>
      <c r="K78" s="312">
        <v>155.838337455003</v>
      </c>
      <c r="L78" s="312">
        <v>183.52086518861387</v>
      </c>
      <c r="M78" s="312">
        <v>212.98657680338152</v>
      </c>
      <c r="N78" s="312">
        <v>253.75198617579161</v>
      </c>
      <c r="O78" s="312">
        <v>302.20405424191665</v>
      </c>
      <c r="P78" s="312">
        <v>358.86656698250897</v>
      </c>
      <c r="Q78" s="312">
        <v>428.06972478668746</v>
      </c>
      <c r="R78" s="312">
        <v>499.38159928555194</v>
      </c>
      <c r="S78" s="312">
        <v>575.77486025684505</v>
      </c>
      <c r="T78" s="312">
        <v>660.95418810821491</v>
      </c>
      <c r="U78" s="312">
        <v>755.66626517263376</v>
      </c>
      <c r="V78" s="312">
        <v>854.91315064604282</v>
      </c>
      <c r="W78" s="312">
        <v>958.89309944015508</v>
      </c>
      <c r="X78" s="312">
        <v>1062.0474779818887</v>
      </c>
      <c r="Y78" s="312">
        <v>1159.6036045251012</v>
      </c>
      <c r="Z78" s="312">
        <v>1335.6981902324317</v>
      </c>
      <c r="AA78" s="312">
        <v>1432.2109704045783</v>
      </c>
      <c r="AB78" s="312">
        <v>1530.8461753962652</v>
      </c>
      <c r="AC78" s="312">
        <v>1595.5238150335588</v>
      </c>
      <c r="AD78" s="312">
        <v>1613.2797391798433</v>
      </c>
      <c r="AE78" s="312">
        <v>1588.7735220657185</v>
      </c>
      <c r="AF78" s="312">
        <v>1540.6999814523999</v>
      </c>
    </row>
    <row r="79" spans="1:32">
      <c r="A79" s="147" t="str">
        <v>Perishables &amp; Fish Total</v>
      </c>
      <c r="B79" s="312">
        <v>12.311269587933674</v>
      </c>
      <c r="C79" s="312">
        <v>25.911584337441024</v>
      </c>
      <c r="D79" s="312">
        <v>38.345047422212339</v>
      </c>
      <c r="E79" s="312">
        <v>50.885147949871893</v>
      </c>
      <c r="F79" s="312">
        <v>62.671986076120518</v>
      </c>
      <c r="G79" s="312">
        <v>77.414454945050409</v>
      </c>
      <c r="H79" s="312">
        <v>91.680309017936992</v>
      </c>
      <c r="I79" s="312">
        <v>109.76974081001093</v>
      </c>
      <c r="J79" s="312">
        <v>138.64401842638227</v>
      </c>
      <c r="K79" s="312">
        <v>166.78972196961791</v>
      </c>
      <c r="L79" s="312">
        <v>198.16091653406627</v>
      </c>
      <c r="M79" s="312">
        <v>234.65273980192453</v>
      </c>
      <c r="N79" s="312">
        <v>286.96602232697364</v>
      </c>
      <c r="O79" s="312">
        <v>335.62560146001414</v>
      </c>
      <c r="P79" s="312">
        <v>387.73644680860292</v>
      </c>
      <c r="Q79" s="312">
        <v>451.55161425169177</v>
      </c>
      <c r="R79" s="312">
        <v>512.44447939316706</v>
      </c>
      <c r="S79" s="312">
        <v>584.82546231779975</v>
      </c>
      <c r="T79" s="312">
        <v>669.75260758042157</v>
      </c>
      <c r="U79" s="312">
        <v>771.27734795512447</v>
      </c>
      <c r="V79" s="312">
        <v>875.2668172001521</v>
      </c>
      <c r="W79" s="312">
        <v>969.89906754739752</v>
      </c>
      <c r="X79" s="312">
        <v>1072.5951238991775</v>
      </c>
      <c r="Y79" s="312">
        <v>1250.035696237253</v>
      </c>
      <c r="Z79" s="312">
        <v>1356.3239901124234</v>
      </c>
      <c r="AA79" s="312">
        <v>1461.3533175179412</v>
      </c>
      <c r="AB79" s="312">
        <v>1553.7289133914733</v>
      </c>
      <c r="AC79" s="312">
        <v>1613.6526910126754</v>
      </c>
      <c r="AD79" s="312">
        <v>1629.1164402778315</v>
      </c>
      <c r="AE79" s="312">
        <v>1603.0716738611293</v>
      </c>
      <c r="AF79" s="312">
        <v>1553.4296666309071</v>
      </c>
    </row>
    <row r="80" spans="1:32">
      <c r="A80" s="147" t="str">
        <v>LPG Total</v>
      </c>
      <c r="B80" s="312">
        <v>5.0712782366814704</v>
      </c>
      <c r="C80" s="312">
        <v>10.803338854607516</v>
      </c>
      <c r="D80" s="312">
        <v>16.679967361912919</v>
      </c>
      <c r="E80" s="312">
        <v>23.975841638045832</v>
      </c>
      <c r="F80" s="312">
        <v>31.186702464610971</v>
      </c>
      <c r="G80" s="312">
        <v>42.193360556926756</v>
      </c>
      <c r="H80" s="312">
        <v>51.996246438296296</v>
      </c>
      <c r="I80" s="312">
        <v>59.285264118304596</v>
      </c>
      <c r="J80" s="312">
        <v>77.459466260735539</v>
      </c>
      <c r="K80" s="312">
        <v>98.507145244874735</v>
      </c>
      <c r="L80" s="312">
        <v>114.18197797423247</v>
      </c>
      <c r="M80" s="312">
        <v>155.41700914817477</v>
      </c>
      <c r="N80" s="312">
        <v>177.31387056414627</v>
      </c>
      <c r="O80" s="312">
        <v>194.49781371905172</v>
      </c>
      <c r="P80" s="312">
        <v>217.98122255932327</v>
      </c>
      <c r="Q80" s="312">
        <v>255.52690304872013</v>
      </c>
      <c r="R80" s="312">
        <v>278.13698874758654</v>
      </c>
      <c r="S80" s="312">
        <v>313.21283421993564</v>
      </c>
      <c r="T80" s="312">
        <v>352.33867034160318</v>
      </c>
      <c r="U80" s="312">
        <v>402.98696765999813</v>
      </c>
      <c r="V80" s="312">
        <v>458.34909206088639</v>
      </c>
      <c r="W80" s="312">
        <v>511.94239624552245</v>
      </c>
      <c r="X80" s="312">
        <v>568.06350174139391</v>
      </c>
      <c r="Y80" s="312">
        <v>633.92952470975558</v>
      </c>
      <c r="Z80" s="312">
        <v>683.78060512082482</v>
      </c>
      <c r="AA80" s="312">
        <v>735.44831224098311</v>
      </c>
      <c r="AB80" s="312">
        <v>774.84938868809888</v>
      </c>
      <c r="AC80" s="312">
        <v>796.37501475264571</v>
      </c>
      <c r="AD80" s="312">
        <v>797.81275407425233</v>
      </c>
      <c r="AE80" s="312">
        <v>779.31706855636196</v>
      </c>
      <c r="AF80" s="312">
        <v>750.24569906809131</v>
      </c>
    </row>
    <row r="81" spans="1:32"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  <c r="Z81" s="312"/>
      <c r="AA81" s="312"/>
      <c r="AB81" s="312"/>
      <c r="AC81" s="312"/>
      <c r="AD81" s="312"/>
      <c r="AE81" s="312"/>
      <c r="AF81" s="312"/>
    </row>
    <row r="82" spans="1:32">
      <c r="A82" s="147" t="s">
        <v>613</v>
      </c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  <c r="Z82" s="312"/>
      <c r="AA82" s="312"/>
      <c r="AB82" s="312"/>
      <c r="AC82" s="312"/>
      <c r="AD82" s="312"/>
      <c r="AE82" s="312"/>
      <c r="AF82" s="312"/>
    </row>
    <row r="83" spans="1:32">
      <c r="A83" s="147" t="s">
        <v>43</v>
      </c>
      <c r="B83" s="312">
        <f>(('Emissions '!$J2/'Emissions '!$L2)*'Energy Requirementsfinal'!B72)/1000000000</f>
        <v>2.5888171519069109E-3</v>
      </c>
      <c r="C83" s="312">
        <f>(('Emissions '!$J2/'Emissions '!$L2)*'Energy Requirementsfinal'!C72)/1000000000</f>
        <v>5.5287963057176594E-3</v>
      </c>
      <c r="D83" s="312">
        <f>(('Emissions '!$J2/'Emissions '!$L2)*'Energy Requirementsfinal'!D72)/1000000000</f>
        <v>8.5748292149764576E-3</v>
      </c>
      <c r="E83" s="312">
        <f>(('Emissions '!$J2/'Emissions '!$L2)*'Energy Requirementsfinal'!E72)/1000000000</f>
        <v>1.1608555599746327E-2</v>
      </c>
      <c r="F83" s="312">
        <f>(('Emissions '!$J2/'Emissions '!$L2)*'Energy Requirementsfinal'!F72)/1000000000</f>
        <v>1.5045884279085465E-2</v>
      </c>
      <c r="G83" s="312">
        <f>(('Emissions '!$J2/'Emissions '!$L2)*'Energy Requirementsfinal'!G72)/1000000000</f>
        <v>1.8236424562965779E-2</v>
      </c>
      <c r="H83" s="312">
        <f>(('Emissions '!$J2/'Emissions '!$L2)*'Energy Requirementsfinal'!H72)/1000000000</f>
        <v>2.1425372265559146E-2</v>
      </c>
      <c r="I83" s="312">
        <f>(('Emissions '!$J2/'Emissions '!$L2)*'Energy Requirementsfinal'!I72)/1000000000</f>
        <v>2.5434896998658488E-2</v>
      </c>
      <c r="J83" s="312">
        <f>(('Emissions '!$J2/'Emissions '!$L2)*'Energy Requirementsfinal'!J72)/1000000000</f>
        <v>2.9896900258652406E-2</v>
      </c>
      <c r="K83" s="312">
        <f>(('Emissions '!$J2/'Emissions '!$L2)*'Energy Requirementsfinal'!K72)/1000000000</f>
        <v>3.4403528043443078E-2</v>
      </c>
      <c r="L83" s="312">
        <f>(('Emissions '!$J2/'Emissions '!$L2)*'Energy Requirementsfinal'!L72)/1000000000</f>
        <v>3.9849004171041445E-2</v>
      </c>
      <c r="M83" s="312">
        <f>(('Emissions '!$J2/'Emissions '!$L2)*'Energy Requirementsfinal'!M72)/1000000000</f>
        <v>4.6398309831897723E-2</v>
      </c>
      <c r="N83" s="312">
        <f>(('Emissions '!$J2/'Emissions '!$L2)*'Energy Requirementsfinal'!N72)/1000000000</f>
        <v>5.5958874689632024E-2</v>
      </c>
      <c r="O83" s="312">
        <f>(('Emissions '!$J2/'Emissions '!$L2)*'Energy Requirementsfinal'!O72)/1000000000</f>
        <v>6.6024610220509636E-2</v>
      </c>
      <c r="P83" s="312">
        <f>(('Emissions '!$J2/'Emissions '!$L2)*'Energy Requirementsfinal'!P72)/1000000000</f>
        <v>7.85253696092022E-2</v>
      </c>
      <c r="Q83" s="312">
        <f>(('Emissions '!$J2/'Emissions '!$L2)*'Energy Requirementsfinal'!Q72)/1000000000</f>
        <v>9.2216391054256691E-2</v>
      </c>
      <c r="R83" s="312">
        <f>(('Emissions '!$J2/'Emissions '!$L2)*'Energy Requirementsfinal'!R72)/1000000000</f>
        <v>0.10558241562007922</v>
      </c>
      <c r="S83" s="312">
        <f>(('Emissions '!$J2/'Emissions '!$L2)*'Energy Requirementsfinal'!S72)/1000000000</f>
        <v>0.12059048342827332</v>
      </c>
      <c r="T83" s="312">
        <f>(('Emissions '!$J2/'Emissions '!$L2)*'Energy Requirementsfinal'!T72)/1000000000</f>
        <v>0.13953498334037953</v>
      </c>
      <c r="U83" s="312">
        <f>(('Emissions '!$J2/'Emissions '!$L2)*'Energy Requirementsfinal'!U72)/1000000000</f>
        <v>0.16015222693329531</v>
      </c>
      <c r="V83" s="312">
        <f>(('Emissions '!$J2/'Emissions '!$L2)*'Energy Requirementsfinal'!V72)/1000000000</f>
        <v>0.18218450159021185</v>
      </c>
      <c r="W83" s="312">
        <f>(('Emissions '!$J2/'Emissions '!$L2)*'Energy Requirementsfinal'!W72)/1000000000</f>
        <v>0.20461055427950439</v>
      </c>
      <c r="X83" s="312">
        <f>(('Emissions '!$J2/'Emissions '!$L2)*'Energy Requirementsfinal'!X72)/1000000000</f>
        <v>0.22641122310967254</v>
      </c>
      <c r="Y83" s="312">
        <f>(('Emissions '!$J2/'Emissions '!$L2)*'Energy Requirementsfinal'!Y72)/1000000000</f>
        <v>0.24568606323318021</v>
      </c>
      <c r="Z83" s="312">
        <f>(('Emissions '!$J2/'Emissions '!$L2)*'Energy Requirementsfinal'!Z72)/1000000000</f>
        <v>0.26439383145882966</v>
      </c>
      <c r="AA83" s="312">
        <f>(('Emissions '!$J2/'Emissions '!$L2)*'Energy Requirementsfinal'!AA72)/1000000000</f>
        <v>0.28571851429481254</v>
      </c>
      <c r="AB83" s="312">
        <f>(('Emissions '!$J2/'Emissions '!$L2)*'Energy Requirementsfinal'!AB72)/1000000000</f>
        <v>0.30289650341924751</v>
      </c>
      <c r="AC83" s="312">
        <f>(('Emissions '!$J2/'Emissions '!$L2)*'Energy Requirementsfinal'!AC72)/1000000000</f>
        <v>0.3133629865649416</v>
      </c>
      <c r="AD83" s="312">
        <f>(('Emissions '!$J2/'Emissions '!$L2)*'Energy Requirementsfinal'!AD72)/1000000000</f>
        <v>0.31479504263438057</v>
      </c>
      <c r="AE83" s="312">
        <f>(('Emissions '!$J2/'Emissions '!$L2)*'Energy Requirementsfinal'!AE72)/1000000000</f>
        <v>0.30807924188464852</v>
      </c>
      <c r="AF83" s="312">
        <f>(('Emissions '!$J2/'Emissions '!$L2)*'Energy Requirementsfinal'!AF72)/1000000000</f>
        <v>0.29653009249302464</v>
      </c>
    </row>
    <row r="84" spans="1:32">
      <c r="A84" s="147" t="s">
        <v>51</v>
      </c>
      <c r="B84" s="312">
        <f>(('Emissions '!$J3/'Emissions '!$L3)*'Energy Requirementsfinal'!B73)/1000000000</f>
        <v>3.1574126882687077E-3</v>
      </c>
      <c r="C84" s="312">
        <f>(('Emissions '!$J3/'Emissions '!$L3)*'Energy Requirementsfinal'!C73)/1000000000</f>
        <v>6.6890231350601945E-3</v>
      </c>
      <c r="D84" s="312">
        <f>(('Emissions '!$J3/'Emissions '!$L3)*'Energy Requirementsfinal'!D73)/1000000000</f>
        <v>1.0426365163235286E-2</v>
      </c>
      <c r="E84" s="312">
        <f>(('Emissions '!$J3/'Emissions '!$L3)*'Energy Requirementsfinal'!E73)/1000000000</f>
        <v>1.4078896188600516E-2</v>
      </c>
      <c r="F84" s="312">
        <f>(('Emissions '!$J3/'Emissions '!$L3)*'Energy Requirementsfinal'!F73)/1000000000</f>
        <v>1.8314551700992488E-2</v>
      </c>
      <c r="G84" s="312">
        <f>(('Emissions '!$J3/'Emissions '!$L3)*'Energy Requirementsfinal'!G73)/1000000000</f>
        <v>2.2323477197028541E-2</v>
      </c>
      <c r="H84" s="312">
        <f>(('Emissions '!$J3/'Emissions '!$L3)*'Energy Requirementsfinal'!H73)/1000000000</f>
        <v>2.628530885186647E-2</v>
      </c>
      <c r="I84" s="312">
        <f>(('Emissions '!$J3/'Emissions '!$L3)*'Energy Requirementsfinal'!I73)/1000000000</f>
        <v>3.1807797892438212E-2</v>
      </c>
      <c r="J84" s="312">
        <f>(('Emissions '!$J3/'Emissions '!$L3)*'Energy Requirementsfinal'!J73)/1000000000</f>
        <v>3.6822352503946366E-2</v>
      </c>
      <c r="K84" s="312">
        <f>(('Emissions '!$J3/'Emissions '!$L3)*'Energy Requirementsfinal'!K73)/1000000000</f>
        <v>4.2874022794991098E-2</v>
      </c>
      <c r="L84" s="312">
        <f>(('Emissions '!$J3/'Emissions '!$L3)*'Energy Requirementsfinal'!L73)/1000000000</f>
        <v>5.0909198608898767E-2</v>
      </c>
      <c r="M84" s="312">
        <f>(('Emissions '!$J3/'Emissions '!$L3)*'Energy Requirementsfinal'!M73)/1000000000</f>
        <v>5.9269830021796553E-2</v>
      </c>
      <c r="N84" s="312">
        <f>(('Emissions '!$J3/'Emissions '!$L3)*'Energy Requirementsfinal'!N73)/1000000000</f>
        <v>6.7322713220274874E-2</v>
      </c>
      <c r="O84" s="312">
        <f>(('Emissions '!$J3/'Emissions '!$L3)*'Energy Requirementsfinal'!O73)/1000000000</f>
        <v>7.875381728371951E-2</v>
      </c>
      <c r="P84" s="312">
        <f>(('Emissions '!$J3/'Emissions '!$L3)*'Energy Requirementsfinal'!P73)/1000000000</f>
        <v>9.2670014397210329E-2</v>
      </c>
      <c r="Q84" s="312">
        <f>(('Emissions '!$J3/'Emissions '!$L3)*'Energy Requirementsfinal'!Q73)/1000000000</f>
        <v>0.10953947496062319</v>
      </c>
      <c r="R84" s="312">
        <f>(('Emissions '!$J3/'Emissions '!$L3)*'Energy Requirementsfinal'!R73)/1000000000</f>
        <v>0.12572164544651621</v>
      </c>
      <c r="S84" s="312">
        <f>(('Emissions '!$J3/'Emissions '!$L3)*'Energy Requirementsfinal'!S73)/1000000000</f>
        <v>0.1443578696628583</v>
      </c>
      <c r="T84" s="312">
        <f>(('Emissions '!$J3/'Emissions '!$L3)*'Energy Requirementsfinal'!T73)/1000000000</f>
        <v>0.16684806231721602</v>
      </c>
      <c r="U84" s="312">
        <f>(('Emissions '!$J3/'Emissions '!$L3)*'Energy Requirementsfinal'!U73)/1000000000</f>
        <v>0.19197684314165345</v>
      </c>
      <c r="V84" s="312">
        <f>(('Emissions '!$J3/'Emissions '!$L3)*'Energy Requirementsfinal'!V73)/1000000000</f>
        <v>0.21824745058952702</v>
      </c>
      <c r="W84" s="312">
        <f>(('Emissions '!$J3/'Emissions '!$L3)*'Energy Requirementsfinal'!W73)/1000000000</f>
        <v>0.24512935274454775</v>
      </c>
      <c r="X84" s="312">
        <f>(('Emissions '!$J3/'Emissions '!$L3)*'Energy Requirementsfinal'!X73)/1000000000</f>
        <v>0.27139193555287822</v>
      </c>
      <c r="Y84" s="312">
        <f>(('Emissions '!$J3/'Emissions '!$L3)*'Energy Requirementsfinal'!Y73)/1000000000</f>
        <v>0.29382247707604253</v>
      </c>
      <c r="Z84" s="312">
        <f>(('Emissions '!$J3/'Emissions '!$L3)*'Energy Requirementsfinal'!Z73)/1000000000</f>
        <v>0.31578962755265805</v>
      </c>
      <c r="AA84" s="312">
        <f>(('Emissions '!$J3/'Emissions '!$L3)*'Energy Requirementsfinal'!AA73)/1000000000</f>
        <v>0.34098363498139972</v>
      </c>
      <c r="AB84" s="312">
        <f>(('Emissions '!$J3/'Emissions '!$L3)*'Energy Requirementsfinal'!AB73)/1000000000</f>
        <v>0.36181547971844641</v>
      </c>
      <c r="AC84" s="312">
        <f>(('Emissions '!$J3/'Emissions '!$L3)*'Energy Requirementsfinal'!AC73)/1000000000</f>
        <v>0.37448326694361173</v>
      </c>
      <c r="AD84" s="312">
        <f>(('Emissions '!$J3/'Emissions '!$L3)*'Energy Requirementsfinal'!AD73)/1000000000</f>
        <v>0.37631153821532909</v>
      </c>
      <c r="AE84" s="312">
        <f>(('Emissions '!$J3/'Emissions '!$L3)*'Energy Requirementsfinal'!AE73)/1000000000</f>
        <v>0.36824230174047029</v>
      </c>
      <c r="AF84" s="312">
        <f>(('Emissions '!$J3/'Emissions '!$L3)*'Energy Requirementsfinal'!AF73)/1000000000</f>
        <v>0.35442760722776834</v>
      </c>
    </row>
    <row r="85" spans="1:32">
      <c r="A85" s="147" t="s">
        <v>58</v>
      </c>
      <c r="B85" s="312">
        <f>(('Emissions '!$J4/'Emissions '!$L4)*'Energy Requirementsfinal'!B74)/1000000000</f>
        <v>1.1033112510844601E-3</v>
      </c>
      <c r="C85" s="312">
        <f>(('Emissions '!$J4/'Emissions '!$L4)*'Energy Requirementsfinal'!C74)/1000000000</f>
        <v>2.3924248839121377E-3</v>
      </c>
      <c r="D85" s="312">
        <f>(('Emissions '!$J4/'Emissions '!$L4)*'Energy Requirementsfinal'!D74)/1000000000</f>
        <v>3.6310819412015095E-3</v>
      </c>
      <c r="E85" s="312">
        <f>(('Emissions '!$J4/'Emissions '!$L4)*'Energy Requirementsfinal'!E74)/1000000000</f>
        <v>4.9946388467522378E-3</v>
      </c>
      <c r="F85" s="312">
        <f>(('Emissions '!$J4/'Emissions '!$L4)*'Energy Requirementsfinal'!F74)/1000000000</f>
        <v>6.313612519618754E-3</v>
      </c>
      <c r="G85" s="312">
        <f>(('Emissions '!$J4/'Emissions '!$L4)*'Energy Requirementsfinal'!G74)/1000000000</f>
        <v>7.5931405287331076E-3</v>
      </c>
      <c r="H85" s="312">
        <f>(('Emissions '!$J4/'Emissions '!$L4)*'Energy Requirementsfinal'!H74)/1000000000</f>
        <v>8.996701651749945E-3</v>
      </c>
      <c r="I85" s="312">
        <f>(('Emissions '!$J4/'Emissions '!$L4)*'Energy Requirementsfinal'!I74)/1000000000</f>
        <v>1.0069742316724589E-2</v>
      </c>
      <c r="J85" s="312">
        <f>(('Emissions '!$J4/'Emissions '!$L4)*'Energy Requirementsfinal'!J74)/1000000000</f>
        <v>1.1635912916045424E-2</v>
      </c>
      <c r="K85" s="312">
        <f>(('Emissions '!$J4/'Emissions '!$L4)*'Energy Requirementsfinal'!K74)/1000000000</f>
        <v>1.3757248405068439E-2</v>
      </c>
      <c r="L85" s="312">
        <f>(('Emissions '!$J4/'Emissions '!$L4)*'Energy Requirementsfinal'!L74)/1000000000</f>
        <v>1.5268380663965585E-2</v>
      </c>
      <c r="M85" s="312">
        <f>(('Emissions '!$J4/'Emissions '!$L4)*'Energy Requirementsfinal'!M74)/1000000000</f>
        <v>1.7971535934394055E-2</v>
      </c>
      <c r="N85" s="312">
        <f>(('Emissions '!$J4/'Emissions '!$L4)*'Energy Requirementsfinal'!N74)/1000000000</f>
        <v>2.0736579018775327E-2</v>
      </c>
      <c r="O85" s="312">
        <f>(('Emissions '!$J4/'Emissions '!$L4)*'Energy Requirementsfinal'!O74)/1000000000</f>
        <v>2.4087287485012165E-2</v>
      </c>
      <c r="P85" s="312">
        <f>(('Emissions '!$J4/'Emissions '!$L4)*'Energy Requirementsfinal'!P74)/1000000000</f>
        <v>2.8304633143539957E-2</v>
      </c>
      <c r="Q85" s="312">
        <f>(('Emissions '!$J4/'Emissions '!$L4)*'Energy Requirementsfinal'!Q74)/1000000000</f>
        <v>3.3542647598181305E-2</v>
      </c>
      <c r="R85" s="312">
        <f>(('Emissions '!$J4/'Emissions '!$L4)*'Energy Requirementsfinal'!R74)/1000000000</f>
        <v>3.7943830109542373E-2</v>
      </c>
      <c r="S85" s="312">
        <f>(('Emissions '!$J4/'Emissions '!$L4)*'Energy Requirementsfinal'!S74)/1000000000</f>
        <v>4.8711230128834514E-2</v>
      </c>
      <c r="T85" s="312">
        <f>(('Emissions '!$J4/'Emissions '!$L4)*'Energy Requirementsfinal'!T74)/1000000000</f>
        <v>5.5880674272731287E-2</v>
      </c>
      <c r="U85" s="312">
        <f>(('Emissions '!$J4/'Emissions '!$L4)*'Energy Requirementsfinal'!U74)/1000000000</f>
        <v>6.3829584481975357E-2</v>
      </c>
      <c r="V85" s="312">
        <f>(('Emissions '!$J4/'Emissions '!$L4)*'Energy Requirementsfinal'!V74)/1000000000</f>
        <v>7.2160841440441895E-2</v>
      </c>
      <c r="W85" s="312">
        <f>(('Emissions '!$J4/'Emissions '!$L4)*'Energy Requirementsfinal'!W74)/1000000000</f>
        <v>8.0560875869268037E-2</v>
      </c>
      <c r="X85" s="312">
        <f>(('Emissions '!$J4/'Emissions '!$L4)*'Energy Requirementsfinal'!X74)/1000000000</f>
        <v>8.8847974871913787E-2</v>
      </c>
      <c r="Y85" s="312">
        <f>(('Emissions '!$J4/'Emissions '!$L4)*'Energy Requirementsfinal'!Y74)/1000000000</f>
        <v>9.676685983115535E-2</v>
      </c>
      <c r="Z85" s="312">
        <f>(('Emissions '!$J4/'Emissions '!$L4)*'Energy Requirementsfinal'!Z74)/1000000000</f>
        <v>0.1043764320667729</v>
      </c>
      <c r="AA85" s="312">
        <f>(('Emissions '!$J4/'Emissions '!$L4)*'Energy Requirementsfinal'!AA74)/1000000000</f>
        <v>0.11195515132681969</v>
      </c>
      <c r="AB85" s="312">
        <f>(('Emissions '!$J4/'Emissions '!$L4)*'Energy Requirementsfinal'!AB74)/1000000000</f>
        <v>0.11972060174010647</v>
      </c>
      <c r="AC85" s="312">
        <f>(('Emissions '!$J4/'Emissions '!$L4)*'Energy Requirementsfinal'!AC74)/1000000000</f>
        <v>0.12497368226378364</v>
      </c>
      <c r="AD85" s="312">
        <f>(('Emissions '!$J4/'Emissions '!$L4)*'Energy Requirementsfinal'!AD74)/1000000000</f>
        <v>0.12693446739898559</v>
      </c>
      <c r="AE85" s="312">
        <f>(('Emissions '!$J4/'Emissions '!$L4)*'Energy Requirementsfinal'!AE74)/1000000000</f>
        <v>0.12422454983880779</v>
      </c>
      <c r="AF85" s="312">
        <f>(('Emissions '!$J4/'Emissions '!$L4)*'Energy Requirementsfinal'!AF74)/1000000000</f>
        <v>0.11965471432102931</v>
      </c>
    </row>
    <row r="86" spans="1:32">
      <c r="A86" s="147" t="s">
        <v>54</v>
      </c>
      <c r="B86" s="312">
        <f>(('Emissions '!$J5/'Emissions '!$L5)*'Energy Requirementsfinal'!B75)/1000000000</f>
        <v>1.2710398720576065E-3</v>
      </c>
      <c r="C86" s="312">
        <f>(('Emissions '!$J5/'Emissions '!$L5)*'Energy Requirementsfinal'!C75)/1000000000</f>
        <v>2.6707041666101578E-3</v>
      </c>
      <c r="D86" s="312">
        <f>(('Emissions '!$J5/'Emissions '!$L5)*'Energy Requirementsfinal'!D75)/1000000000</f>
        <v>3.9374026815354041E-3</v>
      </c>
      <c r="E86" s="312">
        <f>(('Emissions '!$J5/'Emissions '!$L5)*'Energy Requirementsfinal'!E75)/1000000000</f>
        <v>5.280901706007363E-3</v>
      </c>
      <c r="F86" s="312">
        <f>(('Emissions '!$J5/'Emissions '!$L5)*'Energy Requirementsfinal'!F75)/1000000000</f>
        <v>6.6971404238164367E-3</v>
      </c>
      <c r="G86" s="312">
        <f>(('Emissions '!$J5/'Emissions '!$L5)*'Energy Requirementsfinal'!G75)/1000000000</f>
        <v>8.5409219611593864E-3</v>
      </c>
      <c r="H86" s="312">
        <f>(('Emissions '!$J5/'Emissions '!$L5)*'Energy Requirementsfinal'!H75)/1000000000</f>
        <v>1.0679958019723271E-2</v>
      </c>
      <c r="I86" s="312">
        <f>(('Emissions '!$J5/'Emissions '!$L5)*'Energy Requirementsfinal'!I75)/1000000000</f>
        <v>1.2625957956754415E-2</v>
      </c>
      <c r="J86" s="312">
        <f>(('Emissions '!$J5/'Emissions '!$L5)*'Energy Requirementsfinal'!J75)/1000000000</f>
        <v>1.5061541185633491E-2</v>
      </c>
      <c r="K86" s="312">
        <f>(('Emissions '!$J5/'Emissions '!$L5)*'Energy Requirementsfinal'!K75)/1000000000</f>
        <v>1.7737104625754768E-2</v>
      </c>
      <c r="L86" s="312">
        <f>(('Emissions '!$J5/'Emissions '!$L5)*'Energy Requirementsfinal'!L75)/1000000000</f>
        <v>2.0982505214965624E-2</v>
      </c>
      <c r="M86" s="312">
        <f>(('Emissions '!$J5/'Emissions '!$L5)*'Energy Requirementsfinal'!M75)/1000000000</f>
        <v>2.4268795396775292E-2</v>
      </c>
      <c r="N86" s="312">
        <f>(('Emissions '!$J5/'Emissions '!$L5)*'Energy Requirementsfinal'!N75)/1000000000</f>
        <v>2.8726551629062687E-2</v>
      </c>
      <c r="O86" s="312">
        <f>(('Emissions '!$J5/'Emissions '!$L5)*'Energy Requirementsfinal'!O75)/1000000000</f>
        <v>3.274541030981052E-2</v>
      </c>
      <c r="P86" s="312">
        <f>(('Emissions '!$J5/'Emissions '!$L5)*'Energy Requirementsfinal'!P75)/1000000000</f>
        <v>3.7640058251528344E-2</v>
      </c>
      <c r="Q86" s="312">
        <f>(('Emissions '!$J5/'Emissions '!$L5)*'Energy Requirementsfinal'!Q75)/1000000000</f>
        <v>4.3865547940181215E-2</v>
      </c>
      <c r="R86" s="312">
        <f>(('Emissions '!$J5/'Emissions '!$L5)*'Energy Requirementsfinal'!R75)/1000000000</f>
        <v>5.0317759657348658E-2</v>
      </c>
      <c r="S86" s="312">
        <f>(('Emissions '!$J5/'Emissions '!$L5)*'Energy Requirementsfinal'!S75)/1000000000</f>
        <v>5.6452037563630229E-2</v>
      </c>
      <c r="T86" s="312">
        <f>(('Emissions '!$J5/'Emissions '!$L5)*'Energy Requirementsfinal'!T75)/1000000000</f>
        <v>6.3847327739837798E-2</v>
      </c>
      <c r="U86" s="312">
        <f>(('Emissions '!$J5/'Emissions '!$L5)*'Energy Requirementsfinal'!U75)/1000000000</f>
        <v>7.2040940896044972E-2</v>
      </c>
      <c r="V86" s="312">
        <f>(('Emissions '!$J5/'Emissions '!$L5)*'Energy Requirementsfinal'!V75)/1000000000</f>
        <v>8.0499350009936618E-2</v>
      </c>
      <c r="W86" s="312">
        <f>(('Emissions '!$J5/'Emissions '!$L5)*'Energy Requirementsfinal'!W75)/1000000000</f>
        <v>8.7763514671661783E-2</v>
      </c>
      <c r="X86" s="312">
        <f>(('Emissions '!$J5/'Emissions '!$L5)*'Energy Requirementsfinal'!X75)/1000000000</f>
        <v>9.5635525846131594E-2</v>
      </c>
      <c r="Y86" s="312">
        <f>(('Emissions '!$J5/'Emissions '!$L5)*'Energy Requirementsfinal'!Y75)/1000000000</f>
        <v>0.10604701451082052</v>
      </c>
      <c r="Z86" s="312">
        <f>(('Emissions '!$J5/'Emissions '!$L5)*'Energy Requirementsfinal'!Z75)/1000000000</f>
        <v>0.11484179200950762</v>
      </c>
      <c r="AA86" s="312">
        <f>(('Emissions '!$J5/'Emissions '!$L5)*'Energy Requirementsfinal'!AA75)/1000000000</f>
        <v>0.11852954304057764</v>
      </c>
      <c r="AB86" s="312">
        <f>(('Emissions '!$J5/'Emissions '!$L5)*'Energy Requirementsfinal'!AB75)/1000000000</f>
        <v>0.12482571450022929</v>
      </c>
      <c r="AC86" s="312">
        <f>(('Emissions '!$J5/'Emissions '!$L5)*'Energy Requirementsfinal'!AC75)/1000000000</f>
        <v>0.12808913515483311</v>
      </c>
      <c r="AD86" s="312">
        <f>(('Emissions '!$J5/'Emissions '!$L5)*'Energy Requirementsfinal'!AD75)/1000000000</f>
        <v>0.1273496458887419</v>
      </c>
      <c r="AE86" s="312">
        <f>(('Emissions '!$J5/'Emissions '!$L5)*'Energy Requirementsfinal'!AE75)/1000000000</f>
        <v>0.12347345491191049</v>
      </c>
      <c r="AF86" s="312">
        <f>(('Emissions '!$J5/'Emissions '!$L5)*'Energy Requirementsfinal'!AF75)/1000000000</f>
        <v>0.11788547674058009</v>
      </c>
    </row>
    <row r="87" spans="1:32">
      <c r="A87" s="147" t="s">
        <v>55</v>
      </c>
      <c r="B87" s="312">
        <f>(('Emissions '!$J6/'Emissions '!$L6)*'Energy Requirementsfinal'!B76)/1000000000</f>
        <v>2.2544828744086988E-4</v>
      </c>
      <c r="C87" s="312">
        <f>(('Emissions '!$J6/'Emissions '!$L6)*'Energy Requirementsfinal'!C76)/1000000000</f>
        <v>4.7941317814997441E-4</v>
      </c>
      <c r="D87" s="312">
        <f>(('Emissions '!$J6/'Emissions '!$L6)*'Energy Requirementsfinal'!D76)/1000000000</f>
        <v>7.4389685608530125E-4</v>
      </c>
      <c r="E87" s="312">
        <f>(('Emissions '!$J6/'Emissions '!$L6)*'Energy Requirementsfinal'!E76)/1000000000</f>
        <v>1.06249738996505E-3</v>
      </c>
      <c r="F87" s="312">
        <f>(('Emissions '!$J6/'Emissions '!$L6)*'Energy Requirementsfinal'!F76)/1000000000</f>
        <v>1.3458728862731815E-3</v>
      </c>
      <c r="G87" s="312">
        <f>(('Emissions '!$J6/'Emissions '!$L6)*'Energy Requirementsfinal'!G76)/1000000000</f>
        <v>1.8294351053489276E-3</v>
      </c>
      <c r="H87" s="312">
        <f>(('Emissions '!$J6/'Emissions '!$L6)*'Energy Requirementsfinal'!H76)/1000000000</f>
        <v>2.427139450524236E-3</v>
      </c>
      <c r="I87" s="312">
        <f>(('Emissions '!$J6/'Emissions '!$L6)*'Energy Requirementsfinal'!I76)/1000000000</f>
        <v>2.8172579102145683E-3</v>
      </c>
      <c r="J87" s="312">
        <f>(('Emissions '!$J6/'Emissions '!$L6)*'Energy Requirementsfinal'!J76)/1000000000</f>
        <v>3.4024406317410055E-3</v>
      </c>
      <c r="K87" s="312">
        <f>(('Emissions '!$J6/'Emissions '!$L6)*'Energy Requirementsfinal'!K76)/1000000000</f>
        <v>3.8270572170004164E-3</v>
      </c>
      <c r="L87" s="312">
        <f>(('Emissions '!$J6/'Emissions '!$L6)*'Energy Requirementsfinal'!L76)/1000000000</f>
        <v>4.1799201812833461E-3</v>
      </c>
      <c r="M87" s="312">
        <f>(('Emissions '!$J6/'Emissions '!$L6)*'Energy Requirementsfinal'!M76)/1000000000</f>
        <v>4.477887421328975E-3</v>
      </c>
      <c r="N87" s="312">
        <f>(('Emissions '!$J6/'Emissions '!$L6)*'Energy Requirementsfinal'!N76)/1000000000</f>
        <v>4.8783166152183734E-3</v>
      </c>
      <c r="O87" s="312">
        <f>(('Emissions '!$J6/'Emissions '!$L6)*'Energy Requirementsfinal'!O76)/1000000000</f>
        <v>5.2542934559603937E-3</v>
      </c>
      <c r="P87" s="312">
        <f>(('Emissions '!$J6/'Emissions '!$L6)*'Energy Requirementsfinal'!P76)/1000000000</f>
        <v>5.5793402665125641E-3</v>
      </c>
      <c r="Q87" s="312">
        <f>(('Emissions '!$J6/'Emissions '!$L6)*'Energy Requirementsfinal'!Q76)/1000000000</f>
        <v>6.0805539569449936E-3</v>
      </c>
      <c r="R87" s="312">
        <f>(('Emissions '!$J6/'Emissions '!$L6)*'Energy Requirementsfinal'!R76)/1000000000</f>
        <v>7.2907925502172346E-3</v>
      </c>
      <c r="S87" s="312">
        <f>(('Emissions '!$J6/'Emissions '!$L6)*'Energy Requirementsfinal'!S76)/1000000000</f>
        <v>7.5183415635330098E-3</v>
      </c>
      <c r="T87" s="312">
        <f>(('Emissions '!$J6/'Emissions '!$L6)*'Energy Requirementsfinal'!T76)/1000000000</f>
        <v>7.7787995258756203E-3</v>
      </c>
      <c r="U87" s="312">
        <f>(('Emissions '!$J6/'Emissions '!$L6)*'Energy Requirementsfinal'!U76)/1000000000</f>
        <v>7.9467936045890131E-3</v>
      </c>
      <c r="V87" s="312">
        <f>(('Emissions '!$J6/'Emissions '!$L6)*'Energy Requirementsfinal'!V76)/1000000000</f>
        <v>7.9729151143778394E-3</v>
      </c>
      <c r="W87" s="312">
        <f>(('Emissions '!$J6/'Emissions '!$L6)*'Energy Requirementsfinal'!W76)/1000000000</f>
        <v>7.8040023541457743E-3</v>
      </c>
      <c r="X87" s="312">
        <f>(('Emissions '!$J6/'Emissions '!$L6)*'Energy Requirementsfinal'!X76)/1000000000</f>
        <v>7.7159920735109487E-3</v>
      </c>
      <c r="Y87" s="312">
        <f>(('Emissions '!$J6/'Emissions '!$L6)*'Energy Requirementsfinal'!Y76)/1000000000</f>
        <v>7.5777305961280917E-3</v>
      </c>
      <c r="Z87" s="312">
        <f>(('Emissions '!$J6/'Emissions '!$L6)*'Energy Requirementsfinal'!Z76)/1000000000</f>
        <v>7.3853300564400842E-3</v>
      </c>
      <c r="AA87" s="312">
        <f>(('Emissions '!$J6/'Emissions '!$L6)*'Energy Requirementsfinal'!AA76)/1000000000</f>
        <v>6.9496215789331978E-3</v>
      </c>
      <c r="AB87" s="312">
        <f>(('Emissions '!$J6/'Emissions '!$L6)*'Energy Requirementsfinal'!AB76)/1000000000</f>
        <v>6.9850680862988523E-3</v>
      </c>
      <c r="AC87" s="312">
        <f>(('Emissions '!$J6/'Emissions '!$L6)*'Energy Requirementsfinal'!AC76)/1000000000</f>
        <v>6.891380431600991E-3</v>
      </c>
      <c r="AD87" s="312">
        <f>(('Emissions '!$J6/'Emissions '!$L6)*'Energy Requirementsfinal'!AD76)/1000000000</f>
        <v>6.3303885492443993E-3</v>
      </c>
      <c r="AE87" s="312">
        <f>(('Emissions '!$J6/'Emissions '!$L6)*'Energy Requirementsfinal'!AE76)/1000000000</f>
        <v>5.6733146113603925E-3</v>
      </c>
      <c r="AF87" s="312">
        <f>(('Emissions '!$J6/'Emissions '!$L6)*'Energy Requirementsfinal'!AF76)/1000000000</f>
        <v>5.0126960604267258E-3</v>
      </c>
    </row>
    <row r="88" spans="1:32">
      <c r="A88" s="147" t="s">
        <v>56</v>
      </c>
      <c r="B88" s="312">
        <f>(('Emissions '!$J7/'Emissions '!$L7)*'Energy Requirementsfinal'!B77)/1000000000</f>
        <v>1.1057076262294864E-4</v>
      </c>
      <c r="C88" s="312">
        <f>(('Emissions '!$J7/'Emissions '!$L7)*'Energy Requirementsfinal'!C77)/1000000000</f>
        <v>2.3490380988077866E-4</v>
      </c>
      <c r="D88" s="312">
        <f>(('Emissions '!$J7/'Emissions '!$L7)*'Energy Requirementsfinal'!D77)/1000000000</f>
        <v>3.568865880348715E-4</v>
      </c>
      <c r="E88" s="312">
        <f>(('Emissions '!$J7/'Emissions '!$L7)*'Energy Requirementsfinal'!E77)/1000000000</f>
        <v>5.0445307854085186E-4</v>
      </c>
      <c r="F88" s="312">
        <f>(('Emissions '!$J7/'Emissions '!$L7)*'Energy Requirementsfinal'!F77)/1000000000</f>
        <v>6.5010181522439769E-4</v>
      </c>
      <c r="G88" s="312">
        <f>(('Emissions '!$J7/'Emissions '!$L7)*'Energy Requirementsfinal'!G77)/1000000000</f>
        <v>8.93683028467531E-4</v>
      </c>
      <c r="H88" s="312">
        <f>(('Emissions '!$J7/'Emissions '!$L7)*'Energy Requirementsfinal'!H77)/1000000000</f>
        <v>1.2773259678584927E-3</v>
      </c>
      <c r="I88" s="312">
        <f>(('Emissions '!$J7/'Emissions '!$L7)*'Energy Requirementsfinal'!I77)/1000000000</f>
        <v>1.4781571788579707E-3</v>
      </c>
      <c r="J88" s="312">
        <f>(('Emissions '!$J7/'Emissions '!$L7)*'Energy Requirementsfinal'!J77)/1000000000</f>
        <v>1.8959338487397268E-3</v>
      </c>
      <c r="K88" s="312">
        <f>(('Emissions '!$J7/'Emissions '!$L7)*'Energy Requirementsfinal'!K77)/1000000000</f>
        <v>2.3626244193100015E-3</v>
      </c>
      <c r="L88" s="312">
        <f>(('Emissions '!$J7/'Emissions '!$L7)*'Energy Requirementsfinal'!L77)/1000000000</f>
        <v>2.6626164252931904E-3</v>
      </c>
      <c r="M88" s="312">
        <f>(('Emissions '!$J7/'Emissions '!$L7)*'Energy Requirementsfinal'!M77)/1000000000</f>
        <v>3.2296880966301272E-3</v>
      </c>
      <c r="N88" s="312">
        <f>(('Emissions '!$J7/'Emissions '!$L7)*'Energy Requirementsfinal'!N77)/1000000000</f>
        <v>4.0193707806130052E-3</v>
      </c>
      <c r="O88" s="312">
        <f>(('Emissions '!$J7/'Emissions '!$L7)*'Energy Requirementsfinal'!O77)/1000000000</f>
        <v>5.3171808198065901E-3</v>
      </c>
      <c r="P88" s="312">
        <f>(('Emissions '!$J7/'Emissions '!$L7)*'Energy Requirementsfinal'!P77)/1000000000</f>
        <v>6.2697749930202351E-3</v>
      </c>
      <c r="Q88" s="312">
        <f>(('Emissions '!$J7/'Emissions '!$L7)*'Energy Requirementsfinal'!Q77)/1000000000</f>
        <v>7.2181206946146572E-3</v>
      </c>
      <c r="R88" s="312">
        <f>(('Emissions '!$J7/'Emissions '!$L7)*'Energy Requirementsfinal'!R77)/1000000000</f>
        <v>8.2526161723336135E-3</v>
      </c>
      <c r="S88" s="312">
        <f>(('Emissions '!$J7/'Emissions '!$L7)*'Energy Requirementsfinal'!S77)/1000000000</f>
        <v>9.1300392913942919E-3</v>
      </c>
      <c r="T88" s="312">
        <f>(('Emissions '!$J7/'Emissions '!$L7)*'Energy Requirementsfinal'!T77)/1000000000</f>
        <v>1.020709474947859E-2</v>
      </c>
      <c r="U88" s="312">
        <f>(('Emissions '!$J7/'Emissions '!$L7)*'Energy Requirementsfinal'!U77)/1000000000</f>
        <v>1.1182047166506058E-2</v>
      </c>
      <c r="V88" s="312">
        <f>(('Emissions '!$J7/'Emissions '!$L7)*'Energy Requirementsfinal'!V77)/1000000000</f>
        <v>1.2372571898328844E-2</v>
      </c>
      <c r="W88" s="312">
        <f>(('Emissions '!$J7/'Emissions '!$L7)*'Energy Requirementsfinal'!W77)/1000000000</f>
        <v>1.3441812060244609E-2</v>
      </c>
      <c r="X88" s="312">
        <f>(('Emissions '!$J7/'Emissions '!$L7)*'Energy Requirementsfinal'!X77)/1000000000</f>
        <v>1.4722205038804437E-2</v>
      </c>
      <c r="Y88" s="312">
        <f>(('Emissions '!$J7/'Emissions '!$L7)*'Energy Requirementsfinal'!Y77)/1000000000</f>
        <v>1.616538932061895E-2</v>
      </c>
      <c r="Z88" s="312">
        <f>(('Emissions '!$J7/'Emissions '!$L7)*'Energy Requirementsfinal'!Z77)/1000000000</f>
        <v>1.7763967133169752E-2</v>
      </c>
      <c r="AA88" s="312">
        <f>(('Emissions '!$J7/'Emissions '!$L7)*'Energy Requirementsfinal'!AA77)/1000000000</f>
        <v>1.9053799686181965E-2</v>
      </c>
      <c r="AB88" s="312">
        <f>(('Emissions '!$J7/'Emissions '!$L7)*'Energy Requirementsfinal'!AB77)/1000000000</f>
        <v>1.9949209792978033E-2</v>
      </c>
      <c r="AC88" s="312">
        <f>(('Emissions '!$J7/'Emissions '!$L7)*'Energy Requirementsfinal'!AC77)/1000000000</f>
        <v>2.0365866476288772E-2</v>
      </c>
      <c r="AD88" s="312">
        <f>(('Emissions '!$J7/'Emissions '!$L7)*'Energy Requirementsfinal'!AD77)/1000000000</f>
        <v>2.0167007905856349E-2</v>
      </c>
      <c r="AE88" s="312">
        <f>(('Emissions '!$J7/'Emissions '!$L7)*'Energy Requirementsfinal'!AE77)/1000000000</f>
        <v>1.9486177761905768E-2</v>
      </c>
      <c r="AF88" s="312">
        <f>(('Emissions '!$J7/'Emissions '!$L7)*'Energy Requirementsfinal'!AF77)/1000000000</f>
        <v>1.8552022171282476E-2</v>
      </c>
    </row>
    <row r="89" spans="1:32">
      <c r="A89" s="147" t="s">
        <v>549</v>
      </c>
      <c r="B89" s="312">
        <f>(('Emissions '!$J8/'Emissions '!$L8)*'Energy Requirementsfinal'!B78)/1000000000</f>
        <v>1.8551067015078375E-4</v>
      </c>
      <c r="C89" s="312">
        <f>(('Emissions '!$J8/'Emissions '!$L8)*'Energy Requirementsfinal'!C78)/1000000000</f>
        <v>3.9454992524506075E-4</v>
      </c>
      <c r="D89" s="312">
        <f>(('Emissions '!$J8/'Emissions '!$L8)*'Energy Requirementsfinal'!D78)/1000000000</f>
        <v>5.8720590495539246E-4</v>
      </c>
      <c r="E89" s="312">
        <f>(('Emissions '!$J8/'Emissions '!$L8)*'Energy Requirementsfinal'!E78)/1000000000</f>
        <v>7.8659972004139936E-4</v>
      </c>
      <c r="F89" s="312">
        <f>(('Emissions '!$J8/'Emissions '!$L8)*'Energy Requirementsfinal'!F78)/1000000000</f>
        <v>1.0120578296360454E-3</v>
      </c>
      <c r="G89" s="312">
        <f>(('Emissions '!$J8/'Emissions '!$L8)*'Energy Requirementsfinal'!G78)/1000000000</f>
        <v>1.3166997129613778E-3</v>
      </c>
      <c r="H89" s="312">
        <f>(('Emissions '!$J8/'Emissions '!$L8)*'Energy Requirementsfinal'!H78)/1000000000</f>
        <v>1.6026596479752418E-3</v>
      </c>
      <c r="I89" s="312">
        <f>(('Emissions '!$J8/'Emissions '!$L8)*'Energy Requirementsfinal'!I78)/1000000000</f>
        <v>1.9344033644754649E-3</v>
      </c>
      <c r="J89" s="312">
        <f>(('Emissions '!$J8/'Emissions '!$L8)*'Energy Requirementsfinal'!J78)/1000000000</f>
        <v>2.3567527689797216E-3</v>
      </c>
      <c r="K89" s="312">
        <f>(('Emissions '!$J8/'Emissions '!$L8)*'Energy Requirementsfinal'!K78)/1000000000</f>
        <v>2.9089822991600562E-3</v>
      </c>
      <c r="L89" s="312">
        <f>(('Emissions '!$J8/'Emissions '!$L8)*'Energy Requirementsfinal'!L78)/1000000000</f>
        <v>3.425722816854126E-3</v>
      </c>
      <c r="M89" s="312">
        <f>(('Emissions '!$J8/'Emissions '!$L8)*'Energy Requirementsfinal'!M78)/1000000000</f>
        <v>3.9757494336631217E-3</v>
      </c>
      <c r="N89" s="312">
        <f>(('Emissions '!$J8/'Emissions '!$L8)*'Energy Requirementsfinal'!N78)/1000000000</f>
        <v>4.7367037419481098E-3</v>
      </c>
      <c r="O89" s="312">
        <f>(('Emissions '!$J8/'Emissions '!$L8)*'Energy Requirementsfinal'!O78)/1000000000</f>
        <v>5.6411423458491107E-3</v>
      </c>
      <c r="P89" s="312">
        <f>(('Emissions '!$J8/'Emissions '!$L8)*'Energy Requirementsfinal'!P78)/1000000000</f>
        <v>6.698842583673501E-3</v>
      </c>
      <c r="Q89" s="312">
        <f>(('Emissions '!$J8/'Emissions '!$L8)*'Energy Requirementsfinal'!Q78)/1000000000</f>
        <v>7.9906348626848332E-3</v>
      </c>
      <c r="R89" s="312">
        <f>(('Emissions '!$J8/'Emissions '!$L8)*'Energy Requirementsfinal'!R78)/1000000000</f>
        <v>9.3217898533303027E-3</v>
      </c>
      <c r="S89" s="312">
        <f>(('Emissions '!$J8/'Emissions '!$L8)*'Energy Requirementsfinal'!S78)/1000000000</f>
        <v>1.0747797391461108E-2</v>
      </c>
      <c r="T89" s="312">
        <f>(('Emissions '!$J8/'Emissions '!$L8)*'Energy Requirementsfinal'!T78)/1000000000</f>
        <v>1.2337811511353346E-2</v>
      </c>
      <c r="U89" s="312">
        <f>(('Emissions '!$J8/'Emissions '!$L8)*'Energy Requirementsfinal'!U78)/1000000000</f>
        <v>1.4105770283222498E-2</v>
      </c>
      <c r="V89" s="312">
        <f>(('Emissions '!$J8/'Emissions '!$L8)*'Energy Requirementsfinal'!V78)/1000000000</f>
        <v>1.5958378812059467E-2</v>
      </c>
      <c r="W89" s="312">
        <f>(('Emissions '!$J8/'Emissions '!$L8)*'Energy Requirementsfinal'!W78)/1000000000</f>
        <v>1.7899337856216231E-2</v>
      </c>
      <c r="X89" s="312">
        <f>(('Emissions '!$J8/'Emissions '!$L8)*'Energy Requirementsfinal'!X78)/1000000000</f>
        <v>1.9824886255661922E-2</v>
      </c>
      <c r="Y89" s="312">
        <f>(('Emissions '!$J8/'Emissions '!$L8)*'Energy Requirementsfinal'!Y78)/1000000000</f>
        <v>2.1645933951135225E-2</v>
      </c>
      <c r="Z89" s="312">
        <f>(('Emissions '!$J8/'Emissions '!$L8)*'Energy Requirementsfinal'!Z78)/1000000000</f>
        <v>2.4933032884338725E-2</v>
      </c>
      <c r="AA89" s="312">
        <f>(('Emissions '!$J8/'Emissions '!$L8)*'Energy Requirementsfinal'!AA78)/1000000000</f>
        <v>2.6734604780885466E-2</v>
      </c>
      <c r="AB89" s="312">
        <f>(('Emissions '!$J8/'Emissions '!$L8)*'Energy Requirementsfinal'!AB78)/1000000000</f>
        <v>2.8575795274063617E-2</v>
      </c>
      <c r="AC89" s="312">
        <f>(('Emissions '!$J8/'Emissions '!$L8)*'Energy Requirementsfinal'!AC78)/1000000000</f>
        <v>2.9783111213959764E-2</v>
      </c>
      <c r="AD89" s="312">
        <f>(('Emissions '!$J8/'Emissions '!$L8)*'Energy Requirementsfinal'!AD78)/1000000000</f>
        <v>3.0114555131357079E-2</v>
      </c>
      <c r="AE89" s="312">
        <f>(('Emissions '!$J8/'Emissions '!$L8)*'Energy Requirementsfinal'!AE78)/1000000000</f>
        <v>2.9657105745226744E-2</v>
      </c>
      <c r="AF89" s="312">
        <f>(('Emissions '!$J8/'Emissions '!$L8)*'Energy Requirementsfinal'!AF78)/1000000000</f>
        <v>2.8759732987111469E-2</v>
      </c>
    </row>
    <row r="90" spans="1:32">
      <c r="A90" s="147" t="s">
        <v>52</v>
      </c>
      <c r="B90" s="312">
        <f>(('Emissions '!$J9/'Emissions '!$L9)*'Energy Requirementsfinal'!B79)/1000000000</f>
        <v>2.345003731034986E-4</v>
      </c>
      <c r="C90" s="312">
        <f>(('Emissions '!$J9/'Emissions '!$L9)*'Energy Requirementsfinal'!C79)/1000000000</f>
        <v>4.9355398737982903E-4</v>
      </c>
      <c r="D90" s="312">
        <f>(('Emissions '!$J9/'Emissions '!$L9)*'Energy Requirementsfinal'!D79)/1000000000</f>
        <v>7.3038185566118741E-4</v>
      </c>
      <c r="E90" s="312">
        <f>(('Emissions '!$J9/'Emissions '!$L9)*'Energy Requirementsfinal'!E79)/1000000000</f>
        <v>9.6924091333089324E-4</v>
      </c>
      <c r="F90" s="312">
        <f>(('Emissions '!$J9/'Emissions '!$L9)*'Energy Requirementsfinal'!F79)/1000000000</f>
        <v>1.1937521157356292E-3</v>
      </c>
      <c r="G90" s="312">
        <f>(('Emissions '!$J9/'Emissions '!$L9)*'Energy Requirementsfinal'!G79)/1000000000</f>
        <v>1.4745610465723888E-3</v>
      </c>
      <c r="H90" s="312">
        <f>(('Emissions '!$J9/'Emissions '!$L9)*'Energy Requirementsfinal'!H79)/1000000000</f>
        <v>1.7462916003416571E-3</v>
      </c>
      <c r="I90" s="312">
        <f>(('Emissions '!$J9/'Emissions '!$L9)*'Energy Requirementsfinal'!I79)/1000000000</f>
        <v>2.0908522059049704E-3</v>
      </c>
      <c r="J90" s="312">
        <f>(('Emissions '!$J9/'Emissions '!$L9)*'Energy Requirementsfinal'!J79)/1000000000</f>
        <v>2.6408384462168052E-3</v>
      </c>
      <c r="K90" s="312">
        <f>(('Emissions '!$J9/'Emissions '!$L9)*'Energy Requirementsfinal'!K79)/1000000000</f>
        <v>3.1769470851355794E-3</v>
      </c>
      <c r="L90" s="312">
        <f>(('Emissions '!$J9/'Emissions '!$L9)*'Energy Requirementsfinal'!L79)/1000000000</f>
        <v>3.7744936482679296E-3</v>
      </c>
      <c r="M90" s="312">
        <f>(('Emissions '!$J9/'Emissions '!$L9)*'Energy Requirementsfinal'!M79)/1000000000</f>
        <v>4.4695759962271337E-3</v>
      </c>
      <c r="N90" s="312">
        <f>(('Emissions '!$J9/'Emissions '!$L9)*'Energy Requirementsfinal'!N79)/1000000000</f>
        <v>5.4660194728947363E-3</v>
      </c>
      <c r="O90" s="312">
        <f>(('Emissions '!$J9/'Emissions '!$L9)*'Energy Requirementsfinal'!O79)/1000000000</f>
        <v>6.392868599238365E-3</v>
      </c>
      <c r="P90" s="312">
        <f>(('Emissions '!$J9/'Emissions '!$L9)*'Energy Requirementsfinal'!P79)/1000000000</f>
        <v>7.385456129687675E-3</v>
      </c>
      <c r="Q90" s="312">
        <f>(('Emissions '!$J9/'Emissions '!$L9)*'Energy Requirementsfinal'!Q79)/1000000000</f>
        <v>8.6009831286036533E-3</v>
      </c>
      <c r="R90" s="312">
        <f>(('Emissions '!$J9/'Emissions '!$L9)*'Energy Requirementsfinal'!R79)/1000000000</f>
        <v>9.7608472265365166E-3</v>
      </c>
      <c r="S90" s="312">
        <f>(('Emissions '!$J9/'Emissions '!$L9)*'Energy Requirementsfinal'!S79)/1000000000</f>
        <v>1.1139532615577138E-2</v>
      </c>
      <c r="T90" s="312">
        <f>(('Emissions '!$J9/'Emissions '!$L9)*'Energy Requirementsfinal'!T79)/1000000000</f>
        <v>1.2757192525341363E-2</v>
      </c>
      <c r="U90" s="312">
        <f>(('Emissions '!$J9/'Emissions '!$L9)*'Energy Requirementsfinal'!U79)/1000000000</f>
        <v>1.4690997103907134E-2</v>
      </c>
      <c r="V90" s="312">
        <f>(('Emissions '!$J9/'Emissions '!$L9)*'Energy Requirementsfinal'!V79)/1000000000</f>
        <v>1.6671748899050518E-2</v>
      </c>
      <c r="W90" s="312">
        <f>(('Emissions '!$J9/'Emissions '!$L9)*'Energy Requirementsfinal'!W79)/1000000000</f>
        <v>1.8474267953283764E-2</v>
      </c>
      <c r="X90" s="312">
        <f>(('Emissions '!$J9/'Emissions '!$L9)*'Energy Requirementsfinal'!X79)/1000000000</f>
        <v>2.0430383312365286E-2</v>
      </c>
      <c r="Y90" s="312">
        <f>(('Emissions '!$J9/'Emissions '!$L9)*'Energy Requirementsfinal'!Y79)/1000000000</f>
        <v>2.3810203737852441E-2</v>
      </c>
      <c r="Z90" s="312">
        <f>(('Emissions '!$J9/'Emissions '!$L9)*'Energy Requirementsfinal'!Z79)/1000000000</f>
        <v>2.5834742668808069E-2</v>
      </c>
      <c r="AA90" s="312">
        <f>(('Emissions '!$J9/'Emissions '!$L9)*'Energy Requirementsfinal'!AA79)/1000000000</f>
        <v>2.7835301286056022E-2</v>
      </c>
      <c r="AB90" s="312">
        <f>(('Emissions '!$J9/'Emissions '!$L9)*'Energy Requirementsfinal'!AB79)/1000000000</f>
        <v>2.9594836445551876E-2</v>
      </c>
      <c r="AC90" s="312">
        <f>(('Emissions '!$J9/'Emissions '!$L9)*'Energy Requirementsfinal'!AC79)/1000000000</f>
        <v>3.0736241733574775E-2</v>
      </c>
      <c r="AD90" s="312">
        <f>(('Emissions '!$J9/'Emissions '!$L9)*'Energy Requirementsfinal'!AD79)/1000000000</f>
        <v>3.1030789338625363E-2</v>
      </c>
      <c r="AE90" s="312">
        <f>(('Emissions '!$J9/'Emissions '!$L9)*'Energy Requirementsfinal'!AE79)/1000000000</f>
        <v>3.0534698549735801E-2</v>
      </c>
      <c r="AF90" s="312">
        <f>(('Emissions '!$J9/'Emissions '!$L9)*'Energy Requirementsfinal'!AF79)/1000000000</f>
        <v>2.9589136507255375E-2</v>
      </c>
    </row>
    <row r="91" spans="1:32">
      <c r="A91" s="147" t="s">
        <v>57</v>
      </c>
      <c r="B91" s="312">
        <f>(('Emissions '!$J10/'Emissions '!$L10)*'Energy Requirementsfinal'!B80)/1000000000</f>
        <v>8.0072814263391646E-5</v>
      </c>
      <c r="C91" s="312">
        <f>(('Emissions '!$J10/'Emissions '!$L10)*'Energy Requirementsfinal'!C80)/1000000000</f>
        <v>1.7057903454643447E-4</v>
      </c>
      <c r="D91" s="312">
        <f>(('Emissions '!$J10/'Emissions '!$L10)*'Energy Requirementsfinal'!D80)/1000000000</f>
        <v>2.6336790571441447E-4</v>
      </c>
      <c r="E91" s="312">
        <f>(('Emissions '!$J10/'Emissions '!$L10)*'Energy Requirementsfinal'!E80)/1000000000</f>
        <v>3.7856592060072367E-4</v>
      </c>
      <c r="F91" s="312">
        <f>(('Emissions '!$J10/'Emissions '!$L10)*'Energy Requirementsfinal'!F80)/1000000000</f>
        <v>4.9242161786227853E-4</v>
      </c>
      <c r="G91" s="312">
        <f>(('Emissions '!$J10/'Emissions '!$L10)*'Energy Requirementsfinal'!G80)/1000000000</f>
        <v>6.6621095616200144E-4</v>
      </c>
      <c r="H91" s="312">
        <f>(('Emissions '!$J10/'Emissions '!$L10)*'Energy Requirementsfinal'!H80)/1000000000</f>
        <v>8.2099336481520474E-4</v>
      </c>
      <c r="I91" s="312">
        <f>(('Emissions '!$J10/'Emissions '!$L10)*'Energy Requirementsfinal'!I80)/1000000000</f>
        <v>9.3608311765744107E-4</v>
      </c>
      <c r="J91" s="312">
        <f>(('Emissions '!$J10/'Emissions '!$L10)*'Energy Requirementsfinal'!J80)/1000000000</f>
        <v>1.223044204116877E-3</v>
      </c>
      <c r="K91" s="312">
        <f>(('Emissions '!$J10/'Emissions '!$L10)*'Energy Requirementsfinal'!K80)/1000000000</f>
        <v>1.5553759775506538E-3</v>
      </c>
      <c r="L91" s="312">
        <f>(('Emissions '!$J10/'Emissions '!$L10)*'Energy Requirementsfinal'!L80)/1000000000</f>
        <v>1.8028733364352496E-3</v>
      </c>
      <c r="M91" s="312">
        <f>(('Emissions '!$J10/'Emissions '!$L10)*'Energy Requirementsfinal'!M80)/1000000000</f>
        <v>2.4539527760238122E-3</v>
      </c>
      <c r="N91" s="312">
        <f>(('Emissions '!$J10/'Emissions '!$L10)*'Energy Requirementsfinal'!N80)/1000000000</f>
        <v>2.7996926931180993E-3</v>
      </c>
      <c r="O91" s="312">
        <f>(('Emissions '!$J10/'Emissions '!$L10)*'Energy Requirementsfinal'!O80)/1000000000</f>
        <v>3.0710181113534482E-3</v>
      </c>
      <c r="P91" s="312">
        <f>(('Emissions '!$J10/'Emissions '!$L10)*'Energy Requirementsfinal'!P80)/1000000000</f>
        <v>3.4418087772524731E-3</v>
      </c>
      <c r="Q91" s="312">
        <f>(('Emissions '!$J10/'Emissions '!$L10)*'Energy Requirementsfinal'!Q80)/1000000000</f>
        <v>4.0346353112955813E-3</v>
      </c>
      <c r="R91" s="312">
        <f>(('Emissions '!$J10/'Emissions '!$L10)*'Energy Requirementsfinal'!R80)/1000000000</f>
        <v>4.3916366644355768E-3</v>
      </c>
      <c r="S91" s="312">
        <f>(('Emissions '!$J10/'Emissions '!$L10)*'Energy Requirementsfinal'!S80)/1000000000</f>
        <v>4.9454658034726682E-3</v>
      </c>
      <c r="T91" s="312">
        <f>(('Emissions '!$J10/'Emissions '!$L10)*'Energy Requirementsfinal'!T80)/1000000000</f>
        <v>5.5632421632884716E-3</v>
      </c>
      <c r="U91" s="312">
        <f>(('Emissions '!$J10/'Emissions '!$L10)*'Energy Requirementsfinal'!U80)/1000000000</f>
        <v>6.3629521209473388E-3</v>
      </c>
      <c r="V91" s="312">
        <f>(('Emissions '!$J10/'Emissions '!$L10)*'Energy Requirementsfinal'!V80)/1000000000</f>
        <v>7.2370909272771533E-3</v>
      </c>
      <c r="W91" s="312">
        <f>(('Emissions '!$J10/'Emissions '!$L10)*'Energy Requirementsfinal'!W80)/1000000000</f>
        <v>8.083300993350355E-3</v>
      </c>
      <c r="X91" s="312">
        <f>(('Emissions '!$J10/'Emissions '!$L10)*'Energy Requirementsfinal'!X80)/1000000000</f>
        <v>8.9694237117062189E-3</v>
      </c>
      <c r="Y91" s="312">
        <f>(('Emissions '!$J10/'Emissions '!$L10)*'Energy Requirementsfinal'!Y80)/1000000000</f>
        <v>1.0009413548048771E-2</v>
      </c>
      <c r="Z91" s="312">
        <f>(('Emissions '!$J10/'Emissions '!$L10)*'Energy Requirementsfinal'!Z80)/1000000000</f>
        <v>1.0796535870328814E-2</v>
      </c>
      <c r="AA91" s="312">
        <f>(('Emissions '!$J10/'Emissions '!$L10)*'Energy Requirementsfinal'!AA80)/1000000000</f>
        <v>1.1612341772226049E-2</v>
      </c>
      <c r="AB91" s="312">
        <f>(('Emissions '!$J10/'Emissions '!$L10)*'Energy Requirementsfinal'!AB80)/1000000000</f>
        <v>1.2234464031917351E-2</v>
      </c>
      <c r="AC91" s="312">
        <f>(('Emissions '!$J10/'Emissions '!$L10)*'Energy Requirementsfinal'!AC80)/1000000000</f>
        <v>1.257434233819967E-2</v>
      </c>
      <c r="AD91" s="312">
        <f>(('Emissions '!$J10/'Emissions '!$L10)*'Energy Requirementsfinal'!AD80)/1000000000</f>
        <v>1.2597043485382931E-2</v>
      </c>
      <c r="AE91" s="312">
        <f>(('Emissions '!$J10/'Emissions '!$L10)*'Energy Requirementsfinal'!AE80)/1000000000</f>
        <v>1.2305006345626767E-2</v>
      </c>
      <c r="AF91" s="312">
        <f>(('Emissions '!$J10/'Emissions '!$L10)*'Energy Requirementsfinal'!AF80)/1000000000</f>
        <v>1.1845984722127757E-2</v>
      </c>
    </row>
    <row r="92" spans="1:32" ht="28.8">
      <c r="A92" s="442" t="s">
        <v>614</v>
      </c>
      <c r="B92" s="312">
        <f>SUM(B83:B91)</f>
        <v>8.9566838708991757E-3</v>
      </c>
      <c r="C92" s="312">
        <f t="shared" ref="C92:AF92" si="3">SUM(C83:C91)</f>
        <v>1.905394842650223E-2</v>
      </c>
      <c r="D92" s="312">
        <f t="shared" si="3"/>
        <v>2.9251418111399825E-2</v>
      </c>
      <c r="E92" s="312">
        <f t="shared" si="3"/>
        <v>3.9664349363585358E-2</v>
      </c>
      <c r="F92" s="312">
        <f t="shared" si="3"/>
        <v>5.1065395188244683E-2</v>
      </c>
      <c r="G92" s="312">
        <f t="shared" si="3"/>
        <v>6.2874554099399044E-2</v>
      </c>
      <c r="H92" s="312">
        <f t="shared" si="3"/>
        <v>7.5261750820413656E-2</v>
      </c>
      <c r="I92" s="312">
        <f t="shared" si="3"/>
        <v>8.919514894168612E-2</v>
      </c>
      <c r="J92" s="312">
        <f t="shared" si="3"/>
        <v>0.1049357167640718</v>
      </c>
      <c r="K92" s="312">
        <f t="shared" si="3"/>
        <v>0.12260289086741409</v>
      </c>
      <c r="L92" s="312">
        <f t="shared" si="3"/>
        <v>0.14285471506700528</v>
      </c>
      <c r="M92" s="312">
        <f t="shared" si="3"/>
        <v>0.16651532490873683</v>
      </c>
      <c r="N92" s="312">
        <f t="shared" si="3"/>
        <v>0.19464482186153725</v>
      </c>
      <c r="O92" s="312">
        <f t="shared" si="3"/>
        <v>0.22728762863125973</v>
      </c>
      <c r="P92" s="312">
        <f t="shared" si="3"/>
        <v>0.26651529815162728</v>
      </c>
      <c r="Q92" s="312">
        <f t="shared" si="3"/>
        <v>0.31308898950738606</v>
      </c>
      <c r="R92" s="312">
        <f t="shared" si="3"/>
        <v>0.35858333330033976</v>
      </c>
      <c r="S92" s="312">
        <f t="shared" si="3"/>
        <v>0.41359279744903449</v>
      </c>
      <c r="T92" s="312">
        <f t="shared" si="3"/>
        <v>0.47475518814550199</v>
      </c>
      <c r="U92" s="312">
        <f t="shared" si="3"/>
        <v>0.54228815573214095</v>
      </c>
      <c r="V92" s="312">
        <f t="shared" si="3"/>
        <v>0.61330484928121121</v>
      </c>
      <c r="W92" s="312">
        <f t="shared" si="3"/>
        <v>0.68376701878222268</v>
      </c>
      <c r="X92" s="312">
        <f t="shared" si="3"/>
        <v>0.75394954977264472</v>
      </c>
      <c r="Y92" s="312">
        <f t="shared" si="3"/>
        <v>0.82153108580498213</v>
      </c>
      <c r="Z92" s="312">
        <f t="shared" si="3"/>
        <v>0.88611529170085357</v>
      </c>
      <c r="AA92" s="312">
        <f t="shared" si="3"/>
        <v>0.94937251274789225</v>
      </c>
      <c r="AB92" s="312">
        <f t="shared" si="3"/>
        <v>1.0065976730088393</v>
      </c>
      <c r="AC92" s="312">
        <f t="shared" si="3"/>
        <v>1.0412600131207939</v>
      </c>
      <c r="AD92" s="312">
        <f t="shared" si="3"/>
        <v>1.0456304785479031</v>
      </c>
      <c r="AE92" s="312">
        <f t="shared" si="3"/>
        <v>1.0216758513896926</v>
      </c>
      <c r="AF92" s="312">
        <f t="shared" si="3"/>
        <v>0.98225746323060614</v>
      </c>
    </row>
    <row r="93" spans="1:32"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  <c r="Z93" s="312"/>
      <c r="AA93" s="312"/>
      <c r="AB93" s="312"/>
      <c r="AC93" s="312"/>
      <c r="AD93" s="312"/>
      <c r="AE93" s="312"/>
      <c r="AF93" s="312"/>
    </row>
    <row r="94" spans="1:32">
      <c r="A94" s="147" t="str" cm="1">
        <f t="array" ref="A94:AF103">'Applicationwise Stock'!A44:AF53</f>
        <v>H2 ICE Application Wise Stock</v>
      </c>
      <c r="B94" s="312">
        <v>0</v>
      </c>
      <c r="C94" s="312">
        <v>0</v>
      </c>
      <c r="D94" s="312">
        <v>0</v>
      </c>
      <c r="E94" s="312">
        <v>0</v>
      </c>
      <c r="F94" s="312">
        <v>0</v>
      </c>
      <c r="G94" s="312">
        <v>0</v>
      </c>
      <c r="H94" s="312">
        <v>0</v>
      </c>
      <c r="I94" s="312">
        <v>0</v>
      </c>
      <c r="J94" s="312">
        <v>0</v>
      </c>
      <c r="K94" s="312">
        <v>0</v>
      </c>
      <c r="L94" s="312">
        <v>0</v>
      </c>
      <c r="M94" s="312">
        <v>0</v>
      </c>
      <c r="N94" s="312">
        <v>0</v>
      </c>
      <c r="O94" s="312">
        <v>0</v>
      </c>
      <c r="P94" s="312">
        <v>0</v>
      </c>
      <c r="Q94" s="312">
        <v>0</v>
      </c>
      <c r="R94" s="312">
        <v>0</v>
      </c>
      <c r="S94" s="312">
        <v>0</v>
      </c>
      <c r="T94" s="312">
        <v>0</v>
      </c>
      <c r="U94" s="312">
        <v>0</v>
      </c>
      <c r="V94" s="312">
        <v>0</v>
      </c>
      <c r="W94" s="312">
        <v>0</v>
      </c>
      <c r="X94" s="312">
        <v>0</v>
      </c>
      <c r="Y94" s="312">
        <v>0</v>
      </c>
      <c r="Z94" s="312">
        <v>0</v>
      </c>
      <c r="AA94" s="312">
        <v>0</v>
      </c>
      <c r="AB94" s="312">
        <v>0</v>
      </c>
      <c r="AC94" s="312">
        <v>0</v>
      </c>
      <c r="AD94" s="312">
        <v>0</v>
      </c>
      <c r="AE94" s="312">
        <v>0</v>
      </c>
      <c r="AF94" s="312">
        <v>0</v>
      </c>
    </row>
    <row r="95" spans="1:32">
      <c r="A95" s="147" t="str">
        <v>Market Load Total</v>
      </c>
      <c r="B95" s="312">
        <v>0</v>
      </c>
      <c r="C95" s="312">
        <v>0</v>
      </c>
      <c r="D95" s="312">
        <v>0</v>
      </c>
      <c r="E95" s="312">
        <v>9.0818856092061857</v>
      </c>
      <c r="F95" s="312">
        <v>26.759596506329906</v>
      </c>
      <c r="G95" s="312">
        <v>56.199636972903242</v>
      </c>
      <c r="H95" s="312">
        <v>103.20748792473474</v>
      </c>
      <c r="I95" s="312">
        <v>184.64502634753444</v>
      </c>
      <c r="J95" s="312">
        <v>312.88851522760285</v>
      </c>
      <c r="K95" s="312">
        <v>496.41352295589434</v>
      </c>
      <c r="L95" s="312">
        <v>767.09441459978166</v>
      </c>
      <c r="M95" s="312">
        <v>1152.4463460329512</v>
      </c>
      <c r="N95" s="312">
        <v>1737.3518996933074</v>
      </c>
      <c r="O95" s="312">
        <v>2489.8829386603197</v>
      </c>
      <c r="P95" s="312">
        <v>3508.3750810895704</v>
      </c>
      <c r="Q95" s="312">
        <v>4774.2632930296713</v>
      </c>
      <c r="R95" s="312">
        <v>6372.5240537271839</v>
      </c>
      <c r="S95" s="312">
        <v>8325.796754427156</v>
      </c>
      <c r="T95" s="312">
        <v>10838.350447407442</v>
      </c>
      <c r="U95" s="312">
        <v>13832.204174659875</v>
      </c>
      <c r="V95" s="312">
        <v>17415.025611280889</v>
      </c>
      <c r="W95" s="312">
        <v>21651.121640314155</v>
      </c>
      <c r="X95" s="312">
        <v>26491.774330115029</v>
      </c>
      <c r="Y95" s="312">
        <v>31717.572218350833</v>
      </c>
      <c r="Z95" s="312">
        <v>37593.948213589087</v>
      </c>
      <c r="AA95" s="312">
        <v>44759.990676243608</v>
      </c>
      <c r="AB95" s="312">
        <v>52434.447588830684</v>
      </c>
      <c r="AC95" s="312">
        <v>64498.174712625223</v>
      </c>
      <c r="AD95" s="312">
        <v>78911.708692638815</v>
      </c>
      <c r="AE95" s="312">
        <v>95850.543082306234</v>
      </c>
      <c r="AF95" s="312">
        <v>115323.22250378451</v>
      </c>
    </row>
    <row r="96" spans="1:32">
      <c r="A96" s="147" t="str">
        <v>Parcel Load, FMCG &amp; eCommerce</v>
      </c>
      <c r="B96" s="312">
        <v>0</v>
      </c>
      <c r="C96" s="312">
        <v>0</v>
      </c>
      <c r="D96" s="312">
        <v>0</v>
      </c>
      <c r="E96" s="312">
        <v>12.670864251532459</v>
      </c>
      <c r="F96" s="312">
        <v>37.471227990205897</v>
      </c>
      <c r="G96" s="312">
        <v>79.139891154703136</v>
      </c>
      <c r="H96" s="312">
        <v>145.65845701807731</v>
      </c>
      <c r="I96" s="312">
        <v>265.63238624508534</v>
      </c>
      <c r="J96" s="312">
        <v>443.31740348618609</v>
      </c>
      <c r="K96" s="312">
        <v>711.66342570129927</v>
      </c>
      <c r="L96" s="312">
        <v>1127.3723996057547</v>
      </c>
      <c r="M96" s="312">
        <v>1693.5266147180871</v>
      </c>
      <c r="N96" s="312">
        <v>2404.4747531492981</v>
      </c>
      <c r="O96" s="312">
        <v>3416.5240865471237</v>
      </c>
      <c r="P96" s="312">
        <v>4762.9393217953038</v>
      </c>
      <c r="Q96" s="312">
        <v>6523.9209331936136</v>
      </c>
      <c r="R96" s="312">
        <v>8729.1053654547795</v>
      </c>
      <c r="S96" s="312">
        <v>11465.500641272336</v>
      </c>
      <c r="T96" s="312">
        <v>14908.743459469273</v>
      </c>
      <c r="U96" s="312">
        <v>19074.231296238064</v>
      </c>
      <c r="V96" s="312">
        <v>23999.470378712467</v>
      </c>
      <c r="W96" s="312">
        <v>29839.220687274803</v>
      </c>
      <c r="X96" s="312">
        <v>36530.012789321998</v>
      </c>
      <c r="Y96" s="312">
        <v>43635.928509716898</v>
      </c>
      <c r="Z96" s="312">
        <v>51654.037235723001</v>
      </c>
      <c r="AA96" s="312">
        <v>61450.43056707667</v>
      </c>
      <c r="AB96" s="312">
        <v>72052.55247742041</v>
      </c>
      <c r="AC96" s="312">
        <v>88669.025075192447</v>
      </c>
      <c r="AD96" s="312">
        <v>108517.77666756471</v>
      </c>
      <c r="AE96" s="312">
        <v>131797.02503757863</v>
      </c>
      <c r="AF96" s="312">
        <v>158567.91987387172</v>
      </c>
    </row>
    <row r="97" spans="1:32">
      <c r="A97" s="147" t="str">
        <v>Cement Total</v>
      </c>
      <c r="B97" s="312">
        <v>0</v>
      </c>
      <c r="C97" s="312">
        <v>0</v>
      </c>
      <c r="D97" s="312">
        <v>0</v>
      </c>
      <c r="E97" s="312">
        <v>2.600121018795654</v>
      </c>
      <c r="F97" s="312">
        <v>7.4719059700351842</v>
      </c>
      <c r="G97" s="312">
        <v>15.570655033294523</v>
      </c>
      <c r="H97" s="312">
        <v>28.837511405873983</v>
      </c>
      <c r="I97" s="312">
        <v>48.642693759108354</v>
      </c>
      <c r="J97" s="312">
        <v>81.031812246567867</v>
      </c>
      <c r="K97" s="312">
        <v>132.0881420079109</v>
      </c>
      <c r="L97" s="312">
        <v>195.57617877250848</v>
      </c>
      <c r="M97" s="312">
        <v>297.02662460335677</v>
      </c>
      <c r="N97" s="312">
        <v>428.39812540013713</v>
      </c>
      <c r="O97" s="312">
        <v>604.43918185360633</v>
      </c>
      <c r="P97" s="312">
        <v>841.4826937438487</v>
      </c>
      <c r="Q97" s="312">
        <v>1155.5459329509918</v>
      </c>
      <c r="R97" s="312">
        <v>1523.8867266780826</v>
      </c>
      <c r="S97" s="312">
        <v>2237.8629985189114</v>
      </c>
      <c r="T97" s="312">
        <v>2888.2404901525833</v>
      </c>
      <c r="U97" s="312">
        <v>3668.3609010400551</v>
      </c>
      <c r="V97" s="312">
        <v>4589.9283600334347</v>
      </c>
      <c r="W97" s="312">
        <v>5672.417355532175</v>
      </c>
      <c r="X97" s="312">
        <v>6917.5492377082492</v>
      </c>
      <c r="Y97" s="312">
        <v>8312.6155203861726</v>
      </c>
      <c r="Z97" s="312">
        <v>9875.5364718672135</v>
      </c>
      <c r="AA97" s="312">
        <v>11670.442286682828</v>
      </c>
      <c r="AB97" s="312">
        <v>13790.593520183265</v>
      </c>
      <c r="AC97" s="312">
        <v>17116.30129156114</v>
      </c>
      <c r="AD97" s="312">
        <v>21173.115065069636</v>
      </c>
      <c r="AE97" s="312">
        <v>25717.645309449159</v>
      </c>
      <c r="AF97" s="312">
        <v>30964.882786149414</v>
      </c>
    </row>
    <row r="98" spans="1:32">
      <c r="A98" s="147" t="str">
        <v>Steel &amp; Metal Products Total</v>
      </c>
      <c r="B98" s="312">
        <v>0</v>
      </c>
      <c r="C98" s="312">
        <v>0</v>
      </c>
      <c r="D98" s="312">
        <v>0</v>
      </c>
      <c r="E98" s="312">
        <v>2.7258465876234617</v>
      </c>
      <c r="F98" s="312">
        <v>7.8586280270564162</v>
      </c>
      <c r="G98" s="312">
        <v>17.365770355238283</v>
      </c>
      <c r="H98" s="312">
        <v>33.942815280540565</v>
      </c>
      <c r="I98" s="312">
        <v>60.473827060448812</v>
      </c>
      <c r="J98" s="312">
        <v>103.99880706961575</v>
      </c>
      <c r="K98" s="312">
        <v>168.85690876043591</v>
      </c>
      <c r="L98" s="312">
        <v>266.49199720294575</v>
      </c>
      <c r="M98" s="312">
        <v>397.70610626470244</v>
      </c>
      <c r="N98" s="312">
        <v>588.43405767559966</v>
      </c>
      <c r="O98" s="312">
        <v>814.73993510528419</v>
      </c>
      <c r="P98" s="312">
        <v>1109.5370259214797</v>
      </c>
      <c r="Q98" s="312">
        <v>1498.3638514089462</v>
      </c>
      <c r="R98" s="312">
        <v>2003.7183247472813</v>
      </c>
      <c r="S98" s="312">
        <v>2571.5079701439026</v>
      </c>
      <c r="T98" s="312">
        <v>3272.0376611275592</v>
      </c>
      <c r="U98" s="312">
        <v>4105.1900668866519</v>
      </c>
      <c r="V98" s="312">
        <v>5076.9226475007345</v>
      </c>
      <c r="W98" s="312">
        <v>6127.1972194326745</v>
      </c>
      <c r="X98" s="312">
        <v>7382.9143530798738</v>
      </c>
      <c r="Y98" s="312">
        <v>9032.61182050979</v>
      </c>
      <c r="Z98" s="312">
        <v>10773.630217952459</v>
      </c>
      <c r="AA98" s="312">
        <v>12251.060892565518</v>
      </c>
      <c r="AB98" s="312">
        <v>14256.797525258518</v>
      </c>
      <c r="AC98" s="312">
        <v>17394.321952046063</v>
      </c>
      <c r="AD98" s="312">
        <v>21062.34822532269</v>
      </c>
      <c r="AE98" s="312">
        <v>25345.521146389299</v>
      </c>
      <c r="AF98" s="312">
        <v>30248.495930557969</v>
      </c>
    </row>
    <row r="99" spans="1:32">
      <c r="A99" s="147" t="str">
        <v>Tankers - Petroleum &amp; CNG Total</v>
      </c>
      <c r="B99" s="312">
        <v>0</v>
      </c>
      <c r="C99" s="312">
        <v>0</v>
      </c>
      <c r="D99" s="312">
        <v>0</v>
      </c>
      <c r="E99" s="312">
        <v>1.3229818904113699</v>
      </c>
      <c r="F99" s="312">
        <v>3.8097289074832532</v>
      </c>
      <c r="G99" s="312">
        <v>8.973027736349783</v>
      </c>
      <c r="H99" s="312">
        <v>18.608259167500691</v>
      </c>
      <c r="I99" s="312">
        <v>32.550856721036283</v>
      </c>
      <c r="J99" s="312">
        <v>56.673782843050688</v>
      </c>
      <c r="K99" s="312">
        <v>87.888846298980013</v>
      </c>
      <c r="L99" s="312">
        <v>128.06413554443529</v>
      </c>
      <c r="M99" s="312">
        <v>177.01901150722637</v>
      </c>
      <c r="N99" s="312">
        <v>241.05546986392881</v>
      </c>
      <c r="O99" s="312">
        <v>315.36652593104884</v>
      </c>
      <c r="P99" s="312">
        <v>396.74098095593212</v>
      </c>
      <c r="Q99" s="312">
        <v>501.03674425335879</v>
      </c>
      <c r="R99" s="312">
        <v>700.3623905771093</v>
      </c>
      <c r="S99" s="312">
        <v>826.15779844999702</v>
      </c>
      <c r="T99" s="312">
        <v>961.65844423889507</v>
      </c>
      <c r="U99" s="312">
        <v>1092.3920437675365</v>
      </c>
      <c r="V99" s="312">
        <v>1212.9922184938348</v>
      </c>
      <c r="W99" s="312">
        <v>1314.3104039099796</v>
      </c>
      <c r="X99" s="312">
        <v>1436.9215388410144</v>
      </c>
      <c r="Y99" s="312">
        <v>1556.99336906756</v>
      </c>
      <c r="Z99" s="312">
        <v>1671.3396462789196</v>
      </c>
      <c r="AA99" s="312">
        <v>1732.7701070826968</v>
      </c>
      <c r="AB99" s="312">
        <v>1924.5148501724937</v>
      </c>
      <c r="AC99" s="312">
        <v>2257.5331583851694</v>
      </c>
      <c r="AD99" s="312">
        <v>2525.6438891937078</v>
      </c>
      <c r="AE99" s="312">
        <v>2809.294019950049</v>
      </c>
      <c r="AF99" s="312">
        <v>3102.7555042944773</v>
      </c>
    </row>
    <row r="100" spans="1:32">
      <c r="A100" s="147" t="str">
        <v>Tankers - Milk, Edible Oil &amp; Water Total</v>
      </c>
      <c r="B100" s="312">
        <v>0</v>
      </c>
      <c r="C100" s="312">
        <v>0</v>
      </c>
      <c r="D100" s="312">
        <v>0</v>
      </c>
      <c r="E100" s="312">
        <v>0.52343837404137405</v>
      </c>
      <c r="F100" s="312">
        <v>1.5335225336707667</v>
      </c>
      <c r="G100" s="312">
        <v>3.6527863065936033</v>
      </c>
      <c r="H100" s="312">
        <v>8.1607770298473792</v>
      </c>
      <c r="I100" s="312">
        <v>14.232303204511023</v>
      </c>
      <c r="J100" s="312">
        <v>26.316830293789064</v>
      </c>
      <c r="K100" s="312">
        <v>45.214970379970971</v>
      </c>
      <c r="L100" s="312">
        <v>67.980897561640219</v>
      </c>
      <c r="M100" s="312">
        <v>106.39619023972003</v>
      </c>
      <c r="N100" s="312">
        <v>165.50984497662327</v>
      </c>
      <c r="O100" s="312">
        <v>265.95089281817138</v>
      </c>
      <c r="P100" s="312">
        <v>371.53088631191764</v>
      </c>
      <c r="Q100" s="312">
        <v>495.64339560526832</v>
      </c>
      <c r="R100" s="312">
        <v>660.63028026569714</v>
      </c>
      <c r="S100" s="312">
        <v>836.0501999233179</v>
      </c>
      <c r="T100" s="312">
        <v>1051.5481667330996</v>
      </c>
      <c r="U100" s="312">
        <v>1280.9337498785544</v>
      </c>
      <c r="V100" s="312">
        <v>1568.6267423446566</v>
      </c>
      <c r="W100" s="312">
        <v>1886.5013784451378</v>
      </c>
      <c r="X100" s="312">
        <v>2284.7195493408931</v>
      </c>
      <c r="Y100" s="312">
        <v>2767.913566085756</v>
      </c>
      <c r="Z100" s="312">
        <v>3350.0672186131824</v>
      </c>
      <c r="AA100" s="312">
        <v>3958.9511154871971</v>
      </c>
      <c r="AB100" s="312">
        <v>4580.3121293238128</v>
      </c>
      <c r="AC100" s="312">
        <v>5559.6769672151213</v>
      </c>
      <c r="AD100" s="312">
        <v>6705.0492351988523</v>
      </c>
      <c r="AE100" s="312">
        <v>8040.919992430865</v>
      </c>
      <c r="AF100" s="312">
        <v>9569.4326655490531</v>
      </c>
    </row>
    <row r="101" spans="1:32">
      <c r="A101" s="147" t="str">
        <v>Minerals &amp; Tippers Total</v>
      </c>
      <c r="B101" s="312">
        <v>0</v>
      </c>
      <c r="C101" s="312">
        <v>0</v>
      </c>
      <c r="D101" s="312">
        <v>0</v>
      </c>
      <c r="E101" s="312">
        <v>0.80311590370565289</v>
      </c>
      <c r="F101" s="312">
        <v>2.349058159383449</v>
      </c>
      <c r="G101" s="312">
        <v>5.2955022094702793</v>
      </c>
      <c r="H101" s="312">
        <v>10.075131661371925</v>
      </c>
      <c r="I101" s="312">
        <v>18.326573224450016</v>
      </c>
      <c r="J101" s="312">
        <v>32.188747845023293</v>
      </c>
      <c r="K101" s="312">
        <v>54.778268201191175</v>
      </c>
      <c r="L101" s="312">
        <v>86.0617484309996</v>
      </c>
      <c r="M101" s="312">
        <v>128.87365843154527</v>
      </c>
      <c r="N101" s="312">
        <v>191.92062114744078</v>
      </c>
      <c r="O101" s="312">
        <v>277.63022106188862</v>
      </c>
      <c r="P101" s="312">
        <v>390.59114907352165</v>
      </c>
      <c r="Q101" s="312">
        <v>539.89104850972626</v>
      </c>
      <c r="R101" s="312">
        <v>734.2531097219221</v>
      </c>
      <c r="S101" s="312">
        <v>968.40904367472854</v>
      </c>
      <c r="T101" s="312">
        <v>1250.6759902183614</v>
      </c>
      <c r="U101" s="312">
        <v>1589.9439438400295</v>
      </c>
      <c r="V101" s="312">
        <v>1990.8019411147322</v>
      </c>
      <c r="W101" s="312">
        <v>2471.814813680463</v>
      </c>
      <c r="X101" s="312">
        <v>3027.2647032707314</v>
      </c>
      <c r="Y101" s="312">
        <v>3646.8872946839679</v>
      </c>
      <c r="Z101" s="312">
        <v>4626.6678998619964</v>
      </c>
      <c r="AA101" s="312">
        <v>5465.7777633882533</v>
      </c>
      <c r="AB101" s="312">
        <v>6455.7597490813159</v>
      </c>
      <c r="AC101" s="312">
        <v>8000.1178902040265</v>
      </c>
      <c r="AD101" s="312">
        <v>9851.8232521170485</v>
      </c>
      <c r="AE101" s="312">
        <v>12041.691693012037</v>
      </c>
      <c r="AF101" s="312">
        <v>14596.860011094082</v>
      </c>
    </row>
    <row r="102" spans="1:32">
      <c r="A102" s="147" t="str">
        <v>Perishables &amp; Fish Total</v>
      </c>
      <c r="B102" s="312">
        <v>0</v>
      </c>
      <c r="C102" s="312">
        <v>0</v>
      </c>
      <c r="D102" s="312">
        <v>0</v>
      </c>
      <c r="E102" s="312">
        <v>0.96980016232108368</v>
      </c>
      <c r="F102" s="312">
        <v>2.7153678419575136</v>
      </c>
      <c r="G102" s="312">
        <v>5.8117810607777498</v>
      </c>
      <c r="H102" s="312">
        <v>10.758513486329843</v>
      </c>
      <c r="I102" s="312">
        <v>19.412596990670792</v>
      </c>
      <c r="J102" s="312">
        <v>35.347440038814838</v>
      </c>
      <c r="K102" s="312">
        <v>58.62775663845818</v>
      </c>
      <c r="L102" s="312">
        <v>92.927171687446915</v>
      </c>
      <c r="M102" s="312">
        <v>141.98339394494354</v>
      </c>
      <c r="N102" s="312">
        <v>217.04144303741165</v>
      </c>
      <c r="O102" s="312">
        <v>308.33408294642499</v>
      </c>
      <c r="P102" s="312">
        <v>422.01318882970241</v>
      </c>
      <c r="Q102" s="312">
        <v>569.50692926505917</v>
      </c>
      <c r="R102" s="312">
        <v>753.45978524753843</v>
      </c>
      <c r="S102" s="312">
        <v>983.63146044127484</v>
      </c>
      <c r="T102" s="312">
        <v>1267.3246054835952</v>
      </c>
      <c r="U102" s="312">
        <v>1622.7901190244359</v>
      </c>
      <c r="V102" s="312">
        <v>2038.198707504514</v>
      </c>
      <c r="W102" s="312">
        <v>2500.185770799937</v>
      </c>
      <c r="X102" s="312">
        <v>3057.3297586001599</v>
      </c>
      <c r="Y102" s="312">
        <v>3931.2910728455618</v>
      </c>
      <c r="Z102" s="312">
        <v>4698.1127269281542</v>
      </c>
      <c r="AA102" s="312">
        <v>5576.994334212427</v>
      </c>
      <c r="AB102" s="312">
        <v>6552.258967142855</v>
      </c>
      <c r="AC102" s="312">
        <v>8091.0179091716354</v>
      </c>
      <c r="AD102" s="312">
        <v>9948.5333119565803</v>
      </c>
      <c r="AE102" s="312">
        <v>12150.060779800669</v>
      </c>
      <c r="AF102" s="312">
        <v>14717.463265960618</v>
      </c>
    </row>
    <row r="103" spans="1:32">
      <c r="A103" s="147" t="str">
        <v>LPG Total</v>
      </c>
      <c r="B103" s="312">
        <v>0</v>
      </c>
      <c r="C103" s="312">
        <v>0</v>
      </c>
      <c r="D103" s="312">
        <v>0</v>
      </c>
      <c r="E103" s="312">
        <v>0.4569462023627659</v>
      </c>
      <c r="F103" s="312">
        <v>1.351215659038578</v>
      </c>
      <c r="G103" s="312">
        <v>3.1676070567101782</v>
      </c>
      <c r="H103" s="312">
        <v>6.1016626638496092</v>
      </c>
      <c r="I103" s="312">
        <v>10.484500840774176</v>
      </c>
      <c r="J103" s="312">
        <v>19.748373353328478</v>
      </c>
      <c r="K103" s="312">
        <v>34.625952189174924</v>
      </c>
      <c r="L103" s="312">
        <v>53.545413779915023</v>
      </c>
      <c r="M103" s="312">
        <v>94.039534566087397</v>
      </c>
      <c r="N103" s="312">
        <v>134.10806626417022</v>
      </c>
      <c r="O103" s="312">
        <v>178.68215287293324</v>
      </c>
      <c r="P103" s="312">
        <v>237.25123494172394</v>
      </c>
      <c r="Q103" s="312">
        <v>322.27620787282319</v>
      </c>
      <c r="R103" s="312">
        <v>408.95168986759103</v>
      </c>
      <c r="S103" s="312">
        <v>526.79990425124356</v>
      </c>
      <c r="T103" s="312">
        <v>666.70508085131905</v>
      </c>
      <c r="U103" s="312">
        <v>847.89637728646824</v>
      </c>
      <c r="V103" s="312">
        <v>1067.3391343827627</v>
      </c>
      <c r="W103" s="312">
        <v>1319.6745284010999</v>
      </c>
      <c r="X103" s="312">
        <v>1619.2106508325228</v>
      </c>
      <c r="Y103" s="312">
        <v>1993.6722517655905</v>
      </c>
      <c r="Z103" s="312">
        <v>2368.5184268387852</v>
      </c>
      <c r="AA103" s="312">
        <v>2806.7073316947526</v>
      </c>
      <c r="AB103" s="312">
        <v>3267.6317029684865</v>
      </c>
      <c r="AC103" s="312">
        <v>3993.1049244163951</v>
      </c>
      <c r="AD103" s="312">
        <v>4872.0070366842074</v>
      </c>
      <c r="AE103" s="312">
        <v>5906.6290697343711</v>
      </c>
      <c r="AF103" s="312">
        <v>7107.9584442512614</v>
      </c>
    </row>
    <row r="104" spans="1:32"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  <c r="Z104" s="312"/>
      <c r="AA104" s="312"/>
      <c r="AB104" s="312"/>
      <c r="AC104" s="312"/>
      <c r="AD104" s="312"/>
      <c r="AE104" s="312"/>
      <c r="AF104" s="312"/>
    </row>
    <row r="105" spans="1:32">
      <c r="A105" s="147" t="s">
        <v>615</v>
      </c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312"/>
      <c r="AB105" s="312"/>
      <c r="AC105" s="312"/>
      <c r="AD105" s="312"/>
      <c r="AE105" s="312"/>
      <c r="AF105" s="312"/>
    </row>
    <row r="106" spans="1:32">
      <c r="A106" s="147" t="s">
        <v>43</v>
      </c>
      <c r="B106" s="312">
        <f>(('Emissions '!$J2/'Emissions '!$M2)*B95)/1000000000</f>
        <v>0</v>
      </c>
      <c r="C106" s="312">
        <f>(('Emissions '!$J2/'Emissions '!$M2)*C95)/1000000000</f>
        <v>0</v>
      </c>
      <c r="D106" s="312">
        <f>(('Emissions '!$J2/'Emissions '!$M2)*D95)/1000000000</f>
        <v>0</v>
      </c>
      <c r="E106" s="312">
        <f>(('Emissions '!$J2/'Emissions '!$M2)*E95)/1000000000</f>
        <v>2.2722246620716631E-4</v>
      </c>
      <c r="F106" s="312">
        <f>(('Emissions '!$J2/'Emissions '!$M2)*F95)/1000000000</f>
        <v>6.695065071853967E-4</v>
      </c>
      <c r="G106" s="312">
        <f>(('Emissions '!$J2/'Emissions '!$M2)*G95)/1000000000</f>
        <v>1.4060758593992778E-3</v>
      </c>
      <c r="H106" s="312">
        <f>(('Emissions '!$J2/'Emissions '!$M2)*H95)/1000000000</f>
        <v>2.5821796206651777E-3</v>
      </c>
      <c r="I106" s="312">
        <f>(('Emissions '!$J2/'Emissions '!$M2)*I95)/1000000000</f>
        <v>4.6196902344865752E-3</v>
      </c>
      <c r="J106" s="312">
        <f>(('Emissions '!$J2/'Emissions '!$M2)*J95)/1000000000</f>
        <v>7.8282531995168582E-3</v>
      </c>
      <c r="K106" s="312">
        <f>(('Emissions '!$J2/'Emissions '!$M2)*K95)/1000000000</f>
        <v>1.2419921346541293E-2</v>
      </c>
      <c r="L106" s="312">
        <f>(('Emissions '!$J2/'Emissions '!$M2)*L95)/1000000000</f>
        <v>1.919216913747716E-2</v>
      </c>
      <c r="M106" s="312">
        <f>(('Emissions '!$J2/'Emissions '!$M2)*M95)/1000000000</f>
        <v>2.8833406649781939E-2</v>
      </c>
      <c r="N106" s="312">
        <f>(('Emissions '!$J2/'Emissions '!$M2)*N95)/1000000000</f>
        <v>4.3467337104295865E-2</v>
      </c>
      <c r="O106" s="312">
        <f>(('Emissions '!$J2/'Emissions '!$M2)*O95)/1000000000</f>
        <v>6.2295140704706056E-2</v>
      </c>
      <c r="P106" s="312">
        <f>(('Emissions '!$J2/'Emissions '!$M2)*P95)/1000000000</f>
        <v>8.7777106275908928E-2</v>
      </c>
      <c r="Q106" s="312">
        <f>(('Emissions '!$J2/'Emissions '!$M2)*Q95)/1000000000</f>
        <v>0.11944874957078094</v>
      </c>
      <c r="R106" s="312">
        <f>(('Emissions '!$J2/'Emissions '!$M2)*R95)/1000000000</f>
        <v>0.15943612304305849</v>
      </c>
      <c r="S106" s="312">
        <f>(('Emissions '!$J2/'Emissions '!$M2)*S95)/1000000000</f>
        <v>0.20830564852775277</v>
      </c>
      <c r="T106" s="312">
        <f>(('Emissions '!$J2/'Emissions '!$M2)*T95)/1000000000</f>
        <v>0.27116799574980777</v>
      </c>
      <c r="U106" s="312">
        <f>(('Emissions '!$J2/'Emissions '!$M2)*U95)/1000000000</f>
        <v>0.3460721353351196</v>
      </c>
      <c r="V106" s="312">
        <f>(('Emissions '!$J2/'Emissions '!$M2)*V95)/1000000000</f>
        <v>0.43571183768764532</v>
      </c>
      <c r="W106" s="312">
        <f>(('Emissions '!$J2/'Emissions '!$M2)*W95)/1000000000</f>
        <v>0.54169601632909536</v>
      </c>
      <c r="X106" s="312">
        <f>(('Emissions '!$J2/'Emissions '!$M2)*X95)/1000000000</f>
        <v>0.66280578246774269</v>
      </c>
      <c r="Y106" s="312">
        <f>(('Emissions '!$J2/'Emissions '!$M2)*Y95)/1000000000</f>
        <v>0.7935516138027543</v>
      </c>
      <c r="Z106" s="312">
        <f>(('Emissions '!$J2/'Emissions '!$M2)*Z95)/1000000000</f>
        <v>0.94057445723574218</v>
      </c>
      <c r="AA106" s="312">
        <f>(('Emissions '!$J2/'Emissions '!$M2)*AA95)/1000000000</f>
        <v>1.1198638593901873</v>
      </c>
      <c r="AB106" s="312">
        <f>(('Emissions '!$J2/'Emissions '!$M2)*AB95)/1000000000</f>
        <v>1.3118734377437171</v>
      </c>
      <c r="AC106" s="312">
        <f>(('Emissions '!$J2/'Emissions '!$M2)*AC95)/1000000000</f>
        <v>1.6136995063235959</v>
      </c>
      <c r="AD106" s="312">
        <f>(('Emissions '!$J2/'Emissions '!$M2)*AD95)/1000000000</f>
        <v>1.9743161093756736</v>
      </c>
      <c r="AE106" s="312">
        <f>(('Emissions '!$J2/'Emissions '!$M2)*AE95)/1000000000</f>
        <v>2.3981139736422556</v>
      </c>
      <c r="AF106" s="312">
        <f>(('Emissions '!$J2/'Emissions '!$M2)*AF95)/1000000000</f>
        <v>2.885306879631365</v>
      </c>
    </row>
    <row r="107" spans="1:32">
      <c r="A107" s="147" t="s">
        <v>51</v>
      </c>
      <c r="B107" s="312">
        <f>(('Emissions '!$J3/'Emissions '!$M3)*B96)/1000000000</f>
        <v>0</v>
      </c>
      <c r="C107" s="312">
        <f>(('Emissions '!$J3/'Emissions '!$M3)*C96)/1000000000</f>
        <v>0</v>
      </c>
      <c r="D107" s="312">
        <f>(('Emissions '!$J3/'Emissions '!$M3)*D96)/1000000000</f>
        <v>0</v>
      </c>
      <c r="E107" s="312">
        <f>(('Emissions '!$J3/'Emissions '!$M3)*E96)/1000000000</f>
        <v>2.7785854602345282E-4</v>
      </c>
      <c r="F107" s="312">
        <f>(('Emissions '!$J3/'Emissions '!$M3)*F96)/1000000000</f>
        <v>8.2170408587659612E-4</v>
      </c>
      <c r="G107" s="312">
        <f>(('Emissions '!$J3/'Emissions '!$M3)*G96)/1000000000</f>
        <v>1.7354534507021192E-3</v>
      </c>
      <c r="H107" s="312">
        <f>(('Emissions '!$J3/'Emissions '!$M3)*H96)/1000000000</f>
        <v>3.1941346919700194E-3</v>
      </c>
      <c r="I107" s="312">
        <f>(('Emissions '!$J3/'Emissions '!$M3)*I96)/1000000000</f>
        <v>5.8250350689277586E-3</v>
      </c>
      <c r="J107" s="312">
        <f>(('Emissions '!$J3/'Emissions '!$M3)*J96)/1000000000</f>
        <v>9.7214780866006281E-3</v>
      </c>
      <c r="K107" s="312">
        <f>(('Emissions '!$J3/'Emissions '!$M3)*K96)/1000000000</f>
        <v>1.5606020299642701E-2</v>
      </c>
      <c r="L107" s="312">
        <f>(('Emissions '!$J3/'Emissions '!$M3)*L96)/1000000000</f>
        <v>2.4722074955821623E-2</v>
      </c>
      <c r="M107" s="312">
        <f>(('Emissions '!$J3/'Emissions '!$M3)*M96)/1000000000</f>
        <v>3.713723337858952E-2</v>
      </c>
      <c r="N107" s="312">
        <f>(('Emissions '!$J3/'Emissions '!$M3)*N96)/1000000000</f>
        <v>5.2727568190888155E-2</v>
      </c>
      <c r="O107" s="312">
        <f>(('Emissions '!$J3/'Emissions '!$M3)*O96)/1000000000</f>
        <v>7.4920731237987662E-2</v>
      </c>
      <c r="P107" s="312">
        <f>(('Emissions '!$J3/'Emissions '!$M3)*P96)/1000000000</f>
        <v>0.10444618208200868</v>
      </c>
      <c r="Q107" s="312">
        <f>(('Emissions '!$J3/'Emissions '!$M3)*Q96)/1000000000</f>
        <v>0.14306263163145383</v>
      </c>
      <c r="R107" s="312">
        <f>(('Emissions '!$J3/'Emissions '!$M3)*R96)/1000000000</f>
        <v>0.19141997552672407</v>
      </c>
      <c r="S107" s="312">
        <f>(('Emissions '!$J3/'Emissions '!$M3)*S96)/1000000000</f>
        <v>0.25142620695581969</v>
      </c>
      <c r="T107" s="312">
        <f>(('Emissions '!$J3/'Emissions '!$M3)*T96)/1000000000</f>
        <v>0.32693285149699108</v>
      </c>
      <c r="U107" s="312">
        <f>(('Emissions '!$J3/'Emissions '!$M3)*U96)/1000000000</f>
        <v>0.41827755938958583</v>
      </c>
      <c r="V107" s="312">
        <f>(('Emissions '!$J3/'Emissions '!$M3)*V96)/1000000000</f>
        <v>0.52628280221339008</v>
      </c>
      <c r="W107" s="312">
        <f>(('Emissions '!$J3/'Emissions '!$M3)*W96)/1000000000</f>
        <v>0.65434230136561988</v>
      </c>
      <c r="X107" s="312">
        <f>(('Emissions '!$J3/'Emissions '!$M3)*X96)/1000000000</f>
        <v>0.80106423984706088</v>
      </c>
      <c r="Y107" s="312">
        <f>(('Emissions '!$J3/'Emissions '!$M3)*Y96)/1000000000</f>
        <v>0.95688939676130436</v>
      </c>
      <c r="Z107" s="312">
        <f>(('Emissions '!$J3/'Emissions '!$M3)*Z96)/1000000000</f>
        <v>1.1327179739001183</v>
      </c>
      <c r="AA107" s="312">
        <f>(('Emissions '!$J3/'Emissions '!$M3)*AA96)/1000000000</f>
        <v>1.3475424368008688</v>
      </c>
      <c r="AB107" s="312">
        <f>(('Emissions '!$J3/'Emissions '!$M3)*AB96)/1000000000</f>
        <v>1.5800356685403862</v>
      </c>
      <c r="AC107" s="312">
        <f>(('Emissions '!$J3/'Emissions '!$M3)*AC96)/1000000000</f>
        <v>1.944417199618433</v>
      </c>
      <c r="AD107" s="312">
        <f>(('Emissions '!$J3/'Emissions '!$M3)*AD96)/1000000000</f>
        <v>2.3796791634714696</v>
      </c>
      <c r="AE107" s="312">
        <f>(('Emissions '!$J3/'Emissions '!$M3)*AE96)/1000000000</f>
        <v>2.8901682647834495</v>
      </c>
      <c r="AF107" s="312">
        <f>(('Emissions '!$J3/'Emissions '!$M3)*AF96)/1000000000</f>
        <v>3.4772254510412473</v>
      </c>
    </row>
    <row r="108" spans="1:32">
      <c r="A108" s="147" t="s">
        <v>58</v>
      </c>
      <c r="B108" s="312">
        <f>(('Emissions '!$J4/'Emissions '!$M4)*B97)/1000000000</f>
        <v>0</v>
      </c>
      <c r="C108" s="312">
        <f>(('Emissions '!$J4/'Emissions '!$M4)*C97)/1000000000</f>
        <v>0</v>
      </c>
      <c r="D108" s="312">
        <f>(('Emissions '!$J4/'Emissions '!$M4)*D97)/1000000000</f>
        <v>0</v>
      </c>
      <c r="E108" s="312">
        <f>(('Emissions '!$J4/'Emissions '!$M4)*E97)/1000000000</f>
        <v>9.8530901764887934E-5</v>
      </c>
      <c r="F108" s="312">
        <f>(('Emissions '!$J4/'Emissions '!$M4)*F97)/1000000000</f>
        <v>2.8314591044343852E-4</v>
      </c>
      <c r="G108" s="312">
        <f>(('Emissions '!$J4/'Emissions '!$M4)*G97)/1000000000</f>
        <v>5.9004587494589761E-4</v>
      </c>
      <c r="H108" s="312">
        <f>(('Emissions '!$J4/'Emissions '!$M4)*H97)/1000000000</f>
        <v>1.0927899059068034E-3</v>
      </c>
      <c r="I108" s="312">
        <f>(('Emissions '!$J4/'Emissions '!$M4)*I97)/1000000000</f>
        <v>1.843302079292527E-3</v>
      </c>
      <c r="J108" s="312">
        <f>(('Emissions '!$J4/'Emissions '!$M4)*J97)/1000000000</f>
        <v>3.0706792009225718E-3</v>
      </c>
      <c r="K108" s="312">
        <f>(('Emissions '!$J4/'Emissions '!$M4)*K97)/1000000000</f>
        <v>5.0054453813524122E-3</v>
      </c>
      <c r="L108" s="312">
        <f>(('Emissions '!$J4/'Emissions '!$M4)*L97)/1000000000</f>
        <v>7.4113078271687421E-3</v>
      </c>
      <c r="M108" s="312">
        <f>(('Emissions '!$J4/'Emissions '!$M4)*M97)/1000000000</f>
        <v>1.1255745774442993E-2</v>
      </c>
      <c r="N108" s="312">
        <f>(('Emissions '!$J4/'Emissions '!$M4)*N97)/1000000000</f>
        <v>1.6234034225689406E-2</v>
      </c>
      <c r="O108" s="312">
        <f>(('Emissions '!$J4/'Emissions '!$M4)*O97)/1000000000</f>
        <v>2.2905063733399816E-2</v>
      </c>
      <c r="P108" s="312">
        <f>(('Emissions '!$J4/'Emissions '!$M4)*P97)/1000000000</f>
        <v>3.1887765236609002E-2</v>
      </c>
      <c r="Q108" s="312">
        <f>(('Emissions '!$J4/'Emissions '!$M4)*Q97)/1000000000</f>
        <v>4.3789109038142843E-2</v>
      </c>
      <c r="R108" s="312">
        <f>(('Emissions '!$J4/'Emissions '!$M4)*R97)/1000000000</f>
        <v>5.7747286484643126E-2</v>
      </c>
      <c r="S108" s="312">
        <f>(('Emissions '!$J4/'Emissions '!$M4)*S97)/1000000000</f>
        <v>8.4803229417558745E-2</v>
      </c>
      <c r="T108" s="312">
        <f>(('Emissions '!$J4/'Emissions '!$M4)*T97)/1000000000</f>
        <v>0.10944911331104526</v>
      </c>
      <c r="U108" s="312">
        <f>(('Emissions '!$J4/'Emissions '!$M4)*U97)/1000000000</f>
        <v>0.13901157098678102</v>
      </c>
      <c r="V108" s="312">
        <f>(('Emissions '!$J4/'Emissions '!$M4)*V97)/1000000000</f>
        <v>0.17393412732758279</v>
      </c>
      <c r="W108" s="312">
        <f>(('Emissions '!$J4/'Emissions '!$M4)*W97)/1000000000</f>
        <v>0.21495476294648239</v>
      </c>
      <c r="X108" s="312">
        <f>(('Emissions '!$J4/'Emissions '!$M4)*X97)/1000000000</f>
        <v>0.26213870795525995</v>
      </c>
      <c r="Y108" s="312">
        <f>(('Emissions '!$J4/'Emissions '!$M4)*Y97)/1000000000</f>
        <v>0.31500437761463385</v>
      </c>
      <c r="Z108" s="312">
        <f>(('Emissions '!$J4/'Emissions '!$M4)*Z97)/1000000000</f>
        <v>0.37423085577602072</v>
      </c>
      <c r="AA108" s="312">
        <f>(('Emissions '!$J4/'Emissions '!$M4)*AA97)/1000000000</f>
        <v>0.44224833928482293</v>
      </c>
      <c r="AB108" s="312">
        <f>(('Emissions '!$J4/'Emissions '!$M4)*AB97)/1000000000</f>
        <v>0.52259091234378685</v>
      </c>
      <c r="AC108" s="312">
        <f>(('Emissions '!$J4/'Emissions '!$M4)*AC97)/1000000000</f>
        <v>0.6486177331538957</v>
      </c>
      <c r="AD108" s="312">
        <f>(('Emissions '!$J4/'Emissions '!$M4)*AD97)/1000000000</f>
        <v>0.8023496235184282</v>
      </c>
      <c r="AE108" s="312">
        <f>(('Emissions '!$J4/'Emissions '!$M4)*AE97)/1000000000</f>
        <v>0.97456340120017859</v>
      </c>
      <c r="AF108" s="312">
        <f>(('Emissions '!$J4/'Emissions '!$M4)*AF97)/1000000000</f>
        <v>1.1734060845277672</v>
      </c>
    </row>
    <row r="109" spans="1:32">
      <c r="A109" s="147" t="s">
        <v>54</v>
      </c>
      <c r="B109" s="312">
        <f>(('Emissions '!$J5/'Emissions '!$M5)*B98)/1000000000</f>
        <v>0</v>
      </c>
      <c r="C109" s="312">
        <f>(('Emissions '!$J5/'Emissions '!$M5)*C98)/1000000000</f>
        <v>0</v>
      </c>
      <c r="D109" s="312">
        <f>(('Emissions '!$J5/'Emissions '!$M5)*D98)/1000000000</f>
        <v>0</v>
      </c>
      <c r="E109" s="312">
        <f>(('Emissions '!$J5/'Emissions '!$M5)*E98)/1000000000</f>
        <v>1.0064664323532781E-4</v>
      </c>
      <c r="F109" s="312">
        <f>(('Emissions '!$J5/'Emissions '!$M5)*F98)/1000000000</f>
        <v>2.9016472715285229E-4</v>
      </c>
      <c r="G109" s="312">
        <f>(('Emissions '!$J5/'Emissions '!$M5)*G98)/1000000000</f>
        <v>6.4119767465495195E-4</v>
      </c>
      <c r="H109" s="312">
        <f>(('Emissions '!$J5/'Emissions '!$M5)*H98)/1000000000</f>
        <v>1.2532731795891902E-3</v>
      </c>
      <c r="I109" s="312">
        <f>(('Emissions '!$J5/'Emissions '!$M5)*I98)/1000000000</f>
        <v>2.2328797683858026E-3</v>
      </c>
      <c r="J109" s="312">
        <f>(('Emissions '!$J5/'Emissions '!$M5)*J98)/1000000000</f>
        <v>3.839955953339658E-3</v>
      </c>
      <c r="K109" s="312">
        <f>(('Emissions '!$J5/'Emissions '!$M5)*K98)/1000000000</f>
        <v>6.234716631154557E-3</v>
      </c>
      <c r="L109" s="312">
        <f>(('Emissions '!$J5/'Emissions '!$M5)*L98)/1000000000</f>
        <v>9.8397045121087663E-3</v>
      </c>
      <c r="M109" s="312">
        <f>(('Emissions '!$J5/'Emissions '!$M5)*M98)/1000000000</f>
        <v>1.4684533154389013E-2</v>
      </c>
      <c r="N109" s="312">
        <f>(('Emissions '!$J5/'Emissions '!$M5)*N98)/1000000000</f>
        <v>2.172679597571445E-2</v>
      </c>
      <c r="O109" s="312">
        <f>(('Emissions '!$J5/'Emissions '!$M5)*O98)/1000000000</f>
        <v>3.0082705296195108E-2</v>
      </c>
      <c r="P109" s="312">
        <f>(('Emissions '!$J5/'Emissions '!$M5)*P98)/1000000000</f>
        <v>4.0967520957100788E-2</v>
      </c>
      <c r="Q109" s="312">
        <f>(('Emissions '!$J5/'Emissions '!$M5)*Q98)/1000000000</f>
        <v>5.5324203744330315E-2</v>
      </c>
      <c r="R109" s="312">
        <f>(('Emissions '!$J5/'Emissions '!$M5)*R98)/1000000000</f>
        <v>7.3983445836822689E-2</v>
      </c>
      <c r="S109" s="312">
        <f>(('Emissions '!$J5/'Emissions '!$M5)*S98)/1000000000</f>
        <v>9.4947986589928715E-2</v>
      </c>
      <c r="T109" s="312">
        <f>(('Emissions '!$J5/'Emissions '!$M5)*T98)/1000000000</f>
        <v>0.12081369825701757</v>
      </c>
      <c r="U109" s="312">
        <f>(('Emissions '!$J5/'Emissions '!$M5)*U98)/1000000000</f>
        <v>0.15157624862350713</v>
      </c>
      <c r="V109" s="312">
        <f>(('Emissions '!$J5/'Emissions '!$M5)*V98)/1000000000</f>
        <v>0.18745560544618098</v>
      </c>
      <c r="W109" s="312">
        <f>(('Emissions '!$J5/'Emissions '!$M5)*W98)/1000000000</f>
        <v>0.22623497425597566</v>
      </c>
      <c r="X109" s="312">
        <f>(('Emissions '!$J5/'Emissions '!$M5)*X98)/1000000000</f>
        <v>0.2725999145752569</v>
      </c>
      <c r="Y109" s="312">
        <f>(('Emissions '!$J5/'Emissions '!$M5)*Y98)/1000000000</f>
        <v>0.33351182106497684</v>
      </c>
      <c r="Z109" s="312">
        <f>(('Emissions '!$J5/'Emissions '!$M5)*Z98)/1000000000</f>
        <v>0.39779557727824461</v>
      </c>
      <c r="AA109" s="312">
        <f>(('Emissions '!$J5/'Emissions '!$M5)*AA98)/1000000000</f>
        <v>0.45234686372549604</v>
      </c>
      <c r="AB109" s="312">
        <f>(('Emissions '!$J5/'Emissions '!$M5)*AB98)/1000000000</f>
        <v>0.52640483170185293</v>
      </c>
      <c r="AC109" s="312">
        <f>(('Emissions '!$J5/'Emissions '!$M5)*AC98)/1000000000</f>
        <v>0.64225188746016226</v>
      </c>
      <c r="AD109" s="312">
        <f>(('Emissions '!$J5/'Emissions '!$M5)*AD98)/1000000000</f>
        <v>0.77768670370422244</v>
      </c>
      <c r="AE109" s="312">
        <f>(('Emissions '!$J5/'Emissions '!$M5)*AE98)/1000000000</f>
        <v>0.93583462694360486</v>
      </c>
      <c r="AF109" s="312">
        <f>(('Emissions '!$J5/'Emissions '!$M5)*AF98)/1000000000</f>
        <v>1.1168675420513712</v>
      </c>
    </row>
    <row r="110" spans="1:32">
      <c r="A110" s="147" t="s">
        <v>55</v>
      </c>
      <c r="B110" s="312">
        <f>(('Emissions '!$J6/'Emissions '!$M6)*B99)/1000000000</f>
        <v>0</v>
      </c>
      <c r="C110" s="312">
        <f>(('Emissions '!$J6/'Emissions '!$M6)*C99)/1000000000</f>
        <v>0</v>
      </c>
      <c r="D110" s="312">
        <f>(('Emissions '!$J6/'Emissions '!$M6)*D99)/1000000000</f>
        <v>0</v>
      </c>
      <c r="E110" s="312">
        <f>(('Emissions '!$J6/'Emissions '!$M6)*E99)/1000000000</f>
        <v>2.0671592037677654E-5</v>
      </c>
      <c r="F110" s="312">
        <f>(('Emissions '!$J6/'Emissions '!$M6)*F99)/1000000000</f>
        <v>5.9527014179425823E-5</v>
      </c>
      <c r="G110" s="312">
        <f>(('Emissions '!$J6/'Emissions '!$M6)*G99)/1000000000</f>
        <v>1.4020355838046533E-4</v>
      </c>
      <c r="H110" s="312">
        <f>(('Emissions '!$J6/'Emissions '!$M6)*H99)/1000000000</f>
        <v>2.9075404949219826E-4</v>
      </c>
      <c r="I110" s="312">
        <f>(('Emissions '!$J6/'Emissions '!$M6)*I99)/1000000000</f>
        <v>5.086071362661918E-4</v>
      </c>
      <c r="J110" s="312">
        <f>(('Emissions '!$J6/'Emissions '!$M6)*J99)/1000000000</f>
        <v>8.8552785692266693E-4</v>
      </c>
      <c r="K110" s="312">
        <f>(('Emissions '!$J6/'Emissions '!$M6)*K99)/1000000000</f>
        <v>1.3732632234215625E-3</v>
      </c>
      <c r="L110" s="312">
        <f>(('Emissions '!$J6/'Emissions '!$M6)*L99)/1000000000</f>
        <v>2.0010021178818011E-3</v>
      </c>
      <c r="M110" s="312">
        <f>(('Emissions '!$J6/'Emissions '!$M6)*M99)/1000000000</f>
        <v>2.7659220548004117E-3</v>
      </c>
      <c r="N110" s="312">
        <f>(('Emissions '!$J6/'Emissions '!$M6)*N99)/1000000000</f>
        <v>3.7664917166238868E-3</v>
      </c>
      <c r="O110" s="312">
        <f>(('Emissions '!$J6/'Emissions '!$M6)*O99)/1000000000</f>
        <v>4.9276019676726375E-3</v>
      </c>
      <c r="P110" s="312">
        <f>(('Emissions '!$J6/'Emissions '!$M6)*P99)/1000000000</f>
        <v>6.1990778274364387E-3</v>
      </c>
      <c r="Q110" s="312">
        <f>(('Emissions '!$J6/'Emissions '!$M6)*Q99)/1000000000</f>
        <v>7.8286991289587306E-3</v>
      </c>
      <c r="R110" s="312">
        <f>(('Emissions '!$J6/'Emissions '!$M6)*R99)/1000000000</f>
        <v>1.0943162352767332E-2</v>
      </c>
      <c r="S110" s="312">
        <f>(('Emissions '!$J6/'Emissions '!$M6)*S99)/1000000000</f>
        <v>1.2908715600781202E-2</v>
      </c>
      <c r="T110" s="312">
        <f>(('Emissions '!$J6/'Emissions '!$M6)*T99)/1000000000</f>
        <v>1.5025913191232733E-2</v>
      </c>
      <c r="U110" s="312">
        <f>(('Emissions '!$J6/'Emissions '!$M6)*U99)/1000000000</f>
        <v>1.7068625683867755E-2</v>
      </c>
      <c r="V110" s="312">
        <f>(('Emissions '!$J6/'Emissions '!$M6)*V99)/1000000000</f>
        <v>1.8953003413966166E-2</v>
      </c>
      <c r="W110" s="312">
        <f>(('Emissions '!$J6/'Emissions '!$M6)*W99)/1000000000</f>
        <v>2.0536100061093431E-2</v>
      </c>
      <c r="X110" s="312">
        <f>(('Emissions '!$J6/'Emissions '!$M6)*X99)/1000000000</f>
        <v>2.2451899044390846E-2</v>
      </c>
      <c r="Y110" s="312">
        <f>(('Emissions '!$J6/'Emissions '!$M6)*Y99)/1000000000</f>
        <v>2.4328021391680624E-2</v>
      </c>
      <c r="Z110" s="312">
        <f>(('Emissions '!$J6/'Emissions '!$M6)*Z99)/1000000000</f>
        <v>2.6114681973108116E-2</v>
      </c>
      <c r="AA110" s="312">
        <f>(('Emissions '!$J6/'Emissions '!$M6)*AA99)/1000000000</f>
        <v>2.7074532923167135E-2</v>
      </c>
      <c r="AB110" s="312">
        <f>(('Emissions '!$J6/'Emissions '!$M6)*AB99)/1000000000</f>
        <v>3.0070544533945209E-2</v>
      </c>
      <c r="AC110" s="312">
        <f>(('Emissions '!$J6/'Emissions '!$M6)*AC99)/1000000000</f>
        <v>3.5273955599768266E-2</v>
      </c>
      <c r="AD110" s="312">
        <f>(('Emissions '!$J6/'Emissions '!$M6)*AD99)/1000000000</f>
        <v>3.9463185768651682E-2</v>
      </c>
      <c r="AE110" s="312">
        <f>(('Emissions '!$J6/'Emissions '!$M6)*AE99)/1000000000</f>
        <v>4.3895219061719504E-2</v>
      </c>
      <c r="AF110" s="312">
        <f>(('Emissions '!$J6/'Emissions '!$M6)*AF99)/1000000000</f>
        <v>4.8480554754601203E-2</v>
      </c>
    </row>
    <row r="111" spans="1:32">
      <c r="A111" s="147" t="s">
        <v>56</v>
      </c>
      <c r="B111" s="312">
        <f>(('Emissions '!$J7/'Emissions '!$M7)*B100)/1000000000</f>
        <v>0</v>
      </c>
      <c r="C111" s="312">
        <f>(('Emissions '!$J7/'Emissions '!$M7)*C100)/1000000000</f>
        <v>0</v>
      </c>
      <c r="D111" s="312">
        <f>(('Emissions '!$J7/'Emissions '!$M7)*D100)/1000000000</f>
        <v>0</v>
      </c>
      <c r="E111" s="312">
        <f>(('Emissions '!$J7/'Emissions '!$M7)*E100)/1000000000</f>
        <v>9.8144695132757631E-6</v>
      </c>
      <c r="F111" s="312">
        <f>(('Emissions '!$J7/'Emissions '!$M7)*F100)/1000000000</f>
        <v>2.875354750632687E-5</v>
      </c>
      <c r="G111" s="312">
        <f>(('Emissions '!$J7/'Emissions '!$M7)*G100)/1000000000</f>
        <v>6.8489743248630056E-5</v>
      </c>
      <c r="H111" s="312">
        <f>(('Emissions '!$J7/'Emissions '!$M7)*H100)/1000000000</f>
        <v>1.5301456930963831E-4</v>
      </c>
      <c r="I111" s="312">
        <f>(('Emissions '!$J7/'Emissions '!$M7)*I100)/1000000000</f>
        <v>2.668556850845816E-4</v>
      </c>
      <c r="J111" s="312">
        <f>(('Emissions '!$J7/'Emissions '!$M7)*J100)/1000000000</f>
        <v>4.9344056800854487E-4</v>
      </c>
      <c r="K111" s="312">
        <f>(('Emissions '!$J7/'Emissions '!$M7)*K100)/1000000000</f>
        <v>8.4778069462445552E-4</v>
      </c>
      <c r="L111" s="312">
        <f>(('Emissions '!$J7/'Emissions '!$M7)*L100)/1000000000</f>
        <v>1.2746418292807538E-3</v>
      </c>
      <c r="M111" s="312">
        <f>(('Emissions '!$J7/'Emissions '!$M7)*M100)/1000000000</f>
        <v>1.9949285669947502E-3</v>
      </c>
      <c r="N111" s="312">
        <f>(('Emissions '!$J7/'Emissions '!$M7)*N100)/1000000000</f>
        <v>3.1033095933116856E-3</v>
      </c>
      <c r="O111" s="312">
        <f>(('Emissions '!$J7/'Emissions '!$M7)*O100)/1000000000</f>
        <v>4.9865792403407123E-3</v>
      </c>
      <c r="P111" s="312">
        <f>(('Emissions '!$J7/'Emissions '!$M7)*P100)/1000000000</f>
        <v>6.9662041183484544E-3</v>
      </c>
      <c r="Q111" s="312">
        <f>(('Emissions '!$J7/'Emissions '!$M7)*Q100)/1000000000</f>
        <v>9.2933136675987776E-3</v>
      </c>
      <c r="R111" s="312">
        <f>(('Emissions '!$J7/'Emissions '!$M7)*R100)/1000000000</f>
        <v>1.238681775498182E-2</v>
      </c>
      <c r="S111" s="312">
        <f>(('Emissions '!$J7/'Emissions '!$M7)*S100)/1000000000</f>
        <v>1.5675941248562208E-2</v>
      </c>
      <c r="T111" s="312">
        <f>(('Emissions '!$J7/'Emissions '!$M7)*T100)/1000000000</f>
        <v>1.9716528126245615E-2</v>
      </c>
      <c r="U111" s="312">
        <f>(('Emissions '!$J7/'Emissions '!$M7)*U100)/1000000000</f>
        <v>2.4017507810222889E-2</v>
      </c>
      <c r="V111" s="312">
        <f>(('Emissions '!$J7/'Emissions '!$M7)*V100)/1000000000</f>
        <v>2.9411751418962302E-2</v>
      </c>
      <c r="W111" s="312">
        <f>(('Emissions '!$J7/'Emissions '!$M7)*W100)/1000000000</f>
        <v>3.5371900845846328E-2</v>
      </c>
      <c r="X111" s="312">
        <f>(('Emissions '!$J7/'Emissions '!$M7)*X100)/1000000000</f>
        <v>4.2838491550141737E-2</v>
      </c>
      <c r="Y111" s="312">
        <f>(('Emissions '!$J7/'Emissions '!$M7)*Y100)/1000000000</f>
        <v>5.1898379364107912E-2</v>
      </c>
      <c r="Z111" s="312">
        <f>(('Emissions '!$J7/'Emissions '!$M7)*Z100)/1000000000</f>
        <v>6.2813760348997161E-2</v>
      </c>
      <c r="AA111" s="312">
        <f>(('Emissions '!$J7/'Emissions '!$M7)*AA100)/1000000000</f>
        <v>7.423033341538493E-2</v>
      </c>
      <c r="AB111" s="312">
        <f>(('Emissions '!$J7/'Emissions '!$M7)*AB100)/1000000000</f>
        <v>8.5880852424821463E-2</v>
      </c>
      <c r="AC111" s="312">
        <f>(('Emissions '!$J7/'Emissions '!$M7)*AC100)/1000000000</f>
        <v>0.1042439431352835</v>
      </c>
      <c r="AD111" s="312">
        <f>(('Emissions '!$J7/'Emissions '!$M7)*AD100)/1000000000</f>
        <v>0.12571967315997845</v>
      </c>
      <c r="AE111" s="312">
        <f>(('Emissions '!$J7/'Emissions '!$M7)*AE100)/1000000000</f>
        <v>0.15076724985807868</v>
      </c>
      <c r="AF111" s="312">
        <f>(('Emissions '!$J7/'Emissions '!$M7)*AF100)/1000000000</f>
        <v>0.17942686247904471</v>
      </c>
    </row>
    <row r="112" spans="1:32">
      <c r="A112" s="147" t="s">
        <v>549</v>
      </c>
      <c r="B112" s="312">
        <f>(('Emissions '!$J8/'Emissions '!$M8)*B101)/1000000000</f>
        <v>0</v>
      </c>
      <c r="C112" s="312">
        <f>(('Emissions '!$J8/'Emissions '!$M8)*C101)/1000000000</f>
        <v>0</v>
      </c>
      <c r="D112" s="312">
        <f>(('Emissions '!$J8/'Emissions '!$M8)*D101)/1000000000</f>
        <v>0</v>
      </c>
      <c r="E112" s="312">
        <f>(('Emissions '!$J8/'Emissions '!$M8)*E101)/1000000000</f>
        <v>1.5419825351148536E-5</v>
      </c>
      <c r="F112" s="312">
        <f>(('Emissions '!$J8/'Emissions '!$M8)*F101)/1000000000</f>
        <v>4.5101916660162219E-5</v>
      </c>
      <c r="G112" s="312">
        <f>(('Emissions '!$J8/'Emissions '!$M8)*G101)/1000000000</f>
        <v>1.0167364242182937E-4</v>
      </c>
      <c r="H112" s="312">
        <f>(('Emissions '!$J8/'Emissions '!$M8)*H101)/1000000000</f>
        <v>1.9344252789834095E-4</v>
      </c>
      <c r="I112" s="312">
        <f>(('Emissions '!$J8/'Emissions '!$M8)*I101)/1000000000</f>
        <v>3.5187020590944027E-4</v>
      </c>
      <c r="J112" s="312">
        <f>(('Emissions '!$J8/'Emissions '!$M8)*J101)/1000000000</f>
        <v>6.1802395862444728E-4</v>
      </c>
      <c r="K112" s="312">
        <f>(('Emissions '!$J8/'Emissions '!$M8)*K101)/1000000000</f>
        <v>1.0517427494628707E-3</v>
      </c>
      <c r="L112" s="312">
        <f>(('Emissions '!$J8/'Emissions '!$M8)*L101)/1000000000</f>
        <v>1.6523855698751923E-3</v>
      </c>
      <c r="M112" s="312">
        <f>(('Emissions '!$J8/'Emissions '!$M8)*M101)/1000000000</f>
        <v>2.4743742418856692E-3</v>
      </c>
      <c r="N112" s="312">
        <f>(('Emissions '!$J8/'Emissions '!$M8)*N101)/1000000000</f>
        <v>3.6848759260308629E-3</v>
      </c>
      <c r="O112" s="312">
        <f>(('Emissions '!$J8/'Emissions '!$M8)*O101)/1000000000</f>
        <v>5.3305002443882615E-3</v>
      </c>
      <c r="P112" s="312">
        <f>(('Emissions '!$J8/'Emissions '!$M8)*P101)/1000000000</f>
        <v>7.4993500622116162E-3</v>
      </c>
      <c r="Q112" s="312">
        <f>(('Emissions '!$J8/'Emissions '!$M8)*Q101)/1000000000</f>
        <v>1.0365908131386744E-2</v>
      </c>
      <c r="R112" s="312">
        <f>(('Emissions '!$J8/'Emissions '!$M8)*R101)/1000000000</f>
        <v>1.4097659706660904E-2</v>
      </c>
      <c r="S112" s="312">
        <f>(('Emissions '!$J8/'Emissions '!$M8)*S101)/1000000000</f>
        <v>1.8593453638554788E-2</v>
      </c>
      <c r="T112" s="312">
        <f>(('Emissions '!$J8/'Emissions '!$M8)*T101)/1000000000</f>
        <v>2.4012979012192539E-2</v>
      </c>
      <c r="U112" s="312">
        <f>(('Emissions '!$J8/'Emissions '!$M8)*U101)/1000000000</f>
        <v>3.0526923721728567E-2</v>
      </c>
      <c r="V112" s="312">
        <f>(('Emissions '!$J8/'Emissions '!$M8)*V101)/1000000000</f>
        <v>3.822339726940286E-2</v>
      </c>
      <c r="W112" s="312">
        <f>(('Emissions '!$J8/'Emissions '!$M8)*W101)/1000000000</f>
        <v>4.7458844422664889E-2</v>
      </c>
      <c r="X112" s="312">
        <f>(('Emissions '!$J8/'Emissions '!$M8)*X101)/1000000000</f>
        <v>5.8123482302798041E-2</v>
      </c>
      <c r="Y112" s="312">
        <f>(('Emissions '!$J8/'Emissions '!$M8)*Y101)/1000000000</f>
        <v>7.0020236057932186E-2</v>
      </c>
      <c r="Z112" s="312">
        <f>(('Emissions '!$J8/'Emissions '!$M8)*Z101)/1000000000</f>
        <v>8.8832023677350325E-2</v>
      </c>
      <c r="AA112" s="312">
        <f>(('Emissions '!$J8/'Emissions '!$M8)*AA101)/1000000000</f>
        <v>0.10494293305705446</v>
      </c>
      <c r="AB112" s="312">
        <f>(('Emissions '!$J8/'Emissions '!$M8)*AB101)/1000000000</f>
        <v>0.12395058718236127</v>
      </c>
      <c r="AC112" s="312">
        <f>(('Emissions '!$J8/'Emissions '!$M8)*AC101)/1000000000</f>
        <v>0.1536022634919173</v>
      </c>
      <c r="AD112" s="312">
        <f>(('Emissions '!$J8/'Emissions '!$M8)*AD101)/1000000000</f>
        <v>0.18915500644064734</v>
      </c>
      <c r="AE112" s="312">
        <f>(('Emissions '!$J8/'Emissions '!$M8)*AE101)/1000000000</f>
        <v>0.23120048050583111</v>
      </c>
      <c r="AF112" s="312">
        <f>(('Emissions '!$J8/'Emissions '!$M8)*AF101)/1000000000</f>
        <v>0.28025971221300638</v>
      </c>
    </row>
    <row r="113" spans="1:32">
      <c r="A113" s="147" t="s">
        <v>52</v>
      </c>
      <c r="B113" s="312">
        <f>(('Emissions '!$J9/'Emissions '!$M9)*B102)/1000000000</f>
        <v>0</v>
      </c>
      <c r="C113" s="312">
        <f>(('Emissions '!$J9/'Emissions '!$M9)*C102)/1000000000</f>
        <v>0</v>
      </c>
      <c r="D113" s="312">
        <f>(('Emissions '!$J9/'Emissions '!$M9)*D102)/1000000000</f>
        <v>0</v>
      </c>
      <c r="E113" s="312">
        <f>(('Emissions '!$J9/'Emissions '!$M9)*E102)/1000000000</f>
        <v>1.8922929996508947E-5</v>
      </c>
      <c r="F113" s="312">
        <f>(('Emissions '!$J9/'Emissions '!$M9)*F102)/1000000000</f>
        <v>5.2982787160146603E-5</v>
      </c>
      <c r="G113" s="312">
        <f>(('Emissions '!$J9/'Emissions '!$M9)*G102)/1000000000</f>
        <v>1.1340060606395609E-4</v>
      </c>
      <c r="H113" s="312">
        <f>(('Emissions '!$J9/'Emissions '!$M9)*H102)/1000000000</f>
        <v>2.0992221436741157E-4</v>
      </c>
      <c r="I113" s="312">
        <f>(('Emissions '!$J9/'Emissions '!$M9)*I102)/1000000000</f>
        <v>3.7878238030577155E-4</v>
      </c>
      <c r="J113" s="312">
        <f>(('Emissions '!$J9/'Emissions '!$M9)*J102)/1000000000</f>
        <v>6.8970614709882617E-4</v>
      </c>
      <c r="K113" s="312">
        <f>(('Emissions '!$J9/'Emissions '!$M9)*K102)/1000000000</f>
        <v>1.143956227091867E-3</v>
      </c>
      <c r="L113" s="312">
        <f>(('Emissions '!$J9/'Emissions '!$M9)*L102)/1000000000</f>
        <v>1.8132131060965252E-3</v>
      </c>
      <c r="M113" s="312">
        <f>(('Emissions '!$J9/'Emissions '!$M9)*M102)/1000000000</f>
        <v>2.7704076867306054E-3</v>
      </c>
      <c r="N113" s="312">
        <f>(('Emissions '!$J9/'Emissions '!$M9)*N102)/1000000000</f>
        <v>4.2349549860958369E-3</v>
      </c>
      <c r="O113" s="312">
        <f>(('Emissions '!$J9/'Emissions '!$M9)*O102)/1000000000</f>
        <v>6.0162747891985367E-3</v>
      </c>
      <c r="P113" s="312">
        <f>(('Emissions '!$J9/'Emissions '!$M9)*P102)/1000000000</f>
        <v>8.2344036844819984E-3</v>
      </c>
      <c r="Q113" s="312">
        <f>(('Emissions '!$J9/'Emissions '!$M9)*Q102)/1000000000</f>
        <v>1.1112330327123105E-2</v>
      </c>
      <c r="R113" s="312">
        <f>(('Emissions '!$J9/'Emissions '!$M9)*R102)/1000000000</f>
        <v>1.4701654346293433E-2</v>
      </c>
      <c r="S113" s="312">
        <f>(('Emissions '!$J9/'Emissions '!$M9)*S102)/1000000000</f>
        <v>1.9192808984219999E-2</v>
      </c>
      <c r="T113" s="312">
        <f>(('Emissions '!$J9/'Emissions '!$M9)*T102)/1000000000</f>
        <v>2.472828498504576E-2</v>
      </c>
      <c r="U113" s="312">
        <f>(('Emissions '!$J9/'Emissions '!$M9)*U102)/1000000000</f>
        <v>3.166419744437924E-2</v>
      </c>
      <c r="V113" s="312">
        <f>(('Emissions '!$J9/'Emissions '!$M9)*V102)/1000000000</f>
        <v>3.9769730878136858E-2</v>
      </c>
      <c r="W113" s="312">
        <f>(('Emissions '!$J9/'Emissions '!$M9)*W102)/1000000000</f>
        <v>4.8784112600974379E-2</v>
      </c>
      <c r="X113" s="312">
        <f>(('Emissions '!$J9/'Emissions '!$M9)*X102)/1000000000</f>
        <v>5.9655214801954334E-2</v>
      </c>
      <c r="Y113" s="312">
        <f>(('Emissions '!$J9/'Emissions '!$M9)*Y102)/1000000000</f>
        <v>7.6708118494547547E-2</v>
      </c>
      <c r="Z113" s="312">
        <f>(('Emissions '!$J9/'Emissions '!$M9)*Z102)/1000000000</f>
        <v>9.1670492232744469E-2</v>
      </c>
      <c r="AA113" s="312">
        <f>(('Emissions '!$J9/'Emissions '!$M9)*AA102)/1000000000</f>
        <v>0.10881940164316932</v>
      </c>
      <c r="AB113" s="312">
        <f>(('Emissions '!$J9/'Emissions '!$M9)*AB102)/1000000000</f>
        <v>0.12784895545644595</v>
      </c>
      <c r="AC113" s="312">
        <f>(('Emissions '!$J9/'Emissions '!$M9)*AC102)/1000000000</f>
        <v>0.15787352017895875</v>
      </c>
      <c r="AD113" s="312">
        <f>(('Emissions '!$J9/'Emissions '!$M9)*AD102)/1000000000</f>
        <v>0.19411772316012837</v>
      </c>
      <c r="AE113" s="312">
        <f>(('Emissions '!$J9/'Emissions '!$M9)*AE102)/1000000000</f>
        <v>0.23707435667903745</v>
      </c>
      <c r="AF113" s="312">
        <f>(('Emissions '!$J9/'Emissions '!$M9)*AF102)/1000000000</f>
        <v>0.28717001494557304</v>
      </c>
    </row>
    <row r="114" spans="1:32">
      <c r="A114" s="147" t="s">
        <v>57</v>
      </c>
      <c r="B114" s="312">
        <f>(('Emissions '!$J10/'Emissions '!$M10)*B103)/1000000000</f>
        <v>0</v>
      </c>
      <c r="C114" s="312">
        <f>(('Emissions '!$J10/'Emissions '!$M10)*C103)/1000000000</f>
        <v>0</v>
      </c>
      <c r="D114" s="312">
        <f>(('Emissions '!$J10/'Emissions '!$M10)*D103)/1000000000</f>
        <v>0</v>
      </c>
      <c r="E114" s="312">
        <f>(('Emissions '!$J10/'Emissions '!$M10)*E103)/1000000000</f>
        <v>7.4099384166935002E-6</v>
      </c>
      <c r="F114" s="312">
        <f>(('Emissions '!$J10/'Emissions '!$M10)*F103)/1000000000</f>
        <v>2.1911605281706667E-5</v>
      </c>
      <c r="G114" s="312">
        <f>(('Emissions '!$J10/'Emissions '!$M10)*G103)/1000000000</f>
        <v>5.1366600919624508E-5</v>
      </c>
      <c r="H114" s="312">
        <f>(('Emissions '!$J10/'Emissions '!$M10)*H103)/1000000000</f>
        <v>9.8945881035399051E-5</v>
      </c>
      <c r="I114" s="312">
        <f>(('Emissions '!$J10/'Emissions '!$M10)*I103)/1000000000</f>
        <v>1.7001893255309472E-4</v>
      </c>
      <c r="J114" s="312">
        <f>(('Emissions '!$J10/'Emissions '!$M10)*J103)/1000000000</f>
        <v>3.2024389221613745E-4</v>
      </c>
      <c r="K114" s="312">
        <f>(('Emissions '!$J10/'Emissions '!$M10)*K103)/1000000000</f>
        <v>5.6150192739202575E-4</v>
      </c>
      <c r="L114" s="312">
        <f>(('Emissions '!$J10/'Emissions '!$M10)*L103)/1000000000</f>
        <v>8.6830400724186517E-4</v>
      </c>
      <c r="M114" s="312">
        <f>(('Emissions '!$J10/'Emissions '!$M10)*M103)/1000000000</f>
        <v>1.5249654253960117E-3</v>
      </c>
      <c r="N114" s="312">
        <f>(('Emissions '!$J10/'Emissions '!$M10)*N103)/1000000000</f>
        <v>2.1747253988784357E-3</v>
      </c>
      <c r="O114" s="312">
        <f>(('Emissions '!$J10/'Emissions '!$M10)*O103)/1000000000</f>
        <v>2.897548424966485E-3</v>
      </c>
      <c r="P114" s="312">
        <f>(('Emissions '!$J10/'Emissions '!$M10)*P103)/1000000000</f>
        <v>3.8473173233793067E-3</v>
      </c>
      <c r="Q114" s="312">
        <f>(('Emissions '!$J10/'Emissions '!$M10)*Q103)/1000000000</f>
        <v>5.2261006682079439E-3</v>
      </c>
      <c r="R114" s="312">
        <f>(('Emissions '!$J10/'Emissions '!$M10)*R103)/1000000000</f>
        <v>6.6316490248798541E-3</v>
      </c>
      <c r="S114" s="312">
        <f>(('Emissions '!$J10/'Emissions '!$M10)*S103)/1000000000</f>
        <v>8.5427011500201662E-3</v>
      </c>
      <c r="T114" s="312">
        <f>(('Emissions '!$J10/'Emissions '!$M10)*T103)/1000000000</f>
        <v>1.0811433743534903E-2</v>
      </c>
      <c r="U114" s="312">
        <f>(('Emissions '!$J10/'Emissions '!$M10)*U103)/1000000000</f>
        <v>1.3749670983023807E-2</v>
      </c>
      <c r="V114" s="312">
        <f>(('Emissions '!$J10/'Emissions '!$M10)*V103)/1000000000</f>
        <v>1.7308202179179933E-2</v>
      </c>
      <c r="W114" s="312">
        <f>(('Emissions '!$J10/'Emissions '!$M10)*W103)/1000000000</f>
        <v>2.1400127487585404E-2</v>
      </c>
      <c r="X114" s="312">
        <f>(('Emissions '!$J10/'Emissions '!$M10)*X103)/1000000000</f>
        <v>2.6257470013500366E-2</v>
      </c>
      <c r="Y114" s="312">
        <f>(('Emissions '!$J10/'Emissions '!$M10)*Y103)/1000000000</f>
        <v>3.2329820298901468E-2</v>
      </c>
      <c r="Z114" s="312">
        <f>(('Emissions '!$J10/'Emissions '!$M10)*Z103)/1000000000</f>
        <v>3.8408406921710027E-2</v>
      </c>
      <c r="AA114" s="312">
        <f>(('Emissions '!$J10/'Emissions '!$M10)*AA103)/1000000000</f>
        <v>4.5514172946401386E-2</v>
      </c>
      <c r="AB114" s="312">
        <f>(('Emissions '!$J10/'Emissions '!$M10)*AB103)/1000000000</f>
        <v>5.2988622210299777E-2</v>
      </c>
      <c r="AC114" s="312">
        <f>(('Emissions '!$J10/'Emissions '!$M10)*AC103)/1000000000</f>
        <v>6.4753052828373972E-2</v>
      </c>
      <c r="AD114" s="312">
        <f>(('Emissions '!$J10/'Emissions '!$M10)*AD103)/1000000000</f>
        <v>7.9005519513797959E-2</v>
      </c>
      <c r="AE114" s="312">
        <f>(('Emissions '!$J10/'Emissions '!$M10)*AE103)/1000000000</f>
        <v>9.5783174103800606E-2</v>
      </c>
      <c r="AF114" s="312">
        <f>(('Emissions '!$J10/'Emissions '!$M10)*AF103)/1000000000</f>
        <v>0.11526419098785828</v>
      </c>
    </row>
    <row r="115" spans="1:32">
      <c r="A115" s="147" t="s">
        <v>38</v>
      </c>
      <c r="B115" s="312">
        <f>SUM(B106:B114)</f>
        <v>0</v>
      </c>
      <c r="C115" s="312">
        <f t="shared" ref="C115:AF115" si="4">SUM(C106:C114)</f>
        <v>0</v>
      </c>
      <c r="D115" s="312">
        <f t="shared" si="4"/>
        <v>0</v>
      </c>
      <c r="E115" s="312">
        <f t="shared" si="4"/>
        <v>7.7649731254613927E-4</v>
      </c>
      <c r="F115" s="312">
        <f t="shared" si="4"/>
        <v>2.272798101446052E-3</v>
      </c>
      <c r="G115" s="312">
        <f t="shared" si="4"/>
        <v>4.847907010736752E-3</v>
      </c>
      <c r="H115" s="312">
        <f t="shared" si="4"/>
        <v>9.0684566402341772E-3</v>
      </c>
      <c r="I115" s="312">
        <f t="shared" si="4"/>
        <v>1.6197041491211744E-2</v>
      </c>
      <c r="J115" s="312">
        <f t="shared" si="4"/>
        <v>2.7467308863250335E-2</v>
      </c>
      <c r="K115" s="312">
        <f t="shared" si="4"/>
        <v>4.4244348480683739E-2</v>
      </c>
      <c r="L115" s="312">
        <f t="shared" si="4"/>
        <v>6.877480306295243E-2</v>
      </c>
      <c r="M115" s="312">
        <f t="shared" si="4"/>
        <v>0.10344151693301092</v>
      </c>
      <c r="N115" s="312">
        <f t="shared" si="4"/>
        <v>0.15112009311752858</v>
      </c>
      <c r="O115" s="312">
        <f t="shared" si="4"/>
        <v>0.21436214563885525</v>
      </c>
      <c r="P115" s="312">
        <f t="shared" si="4"/>
        <v>0.29782492756748519</v>
      </c>
      <c r="Q115" s="312">
        <f t="shared" si="4"/>
        <v>0.40545104590798331</v>
      </c>
      <c r="R115" s="312">
        <f t="shared" si="4"/>
        <v>0.54134777407683177</v>
      </c>
      <c r="S115" s="312">
        <f t="shared" si="4"/>
        <v>0.71439669211319845</v>
      </c>
      <c r="T115" s="312">
        <f t="shared" si="4"/>
        <v>0.92265879787311311</v>
      </c>
      <c r="U115" s="312">
        <f t="shared" si="4"/>
        <v>1.1719644399782156</v>
      </c>
      <c r="V115" s="312">
        <f t="shared" si="4"/>
        <v>1.4670504578344472</v>
      </c>
      <c r="W115" s="312">
        <f t="shared" si="4"/>
        <v>1.8107791403153379</v>
      </c>
      <c r="X115" s="312">
        <f t="shared" si="4"/>
        <v>2.2079352025581054</v>
      </c>
      <c r="Y115" s="312">
        <f t="shared" si="4"/>
        <v>2.6542417848508393</v>
      </c>
      <c r="Z115" s="312">
        <f t="shared" si="4"/>
        <v>3.1531582293440361</v>
      </c>
      <c r="AA115" s="312">
        <f t="shared" si="4"/>
        <v>3.7225828731865529</v>
      </c>
      <c r="AB115" s="312">
        <f t="shared" si="4"/>
        <v>4.3616444121376174</v>
      </c>
      <c r="AC115" s="312">
        <f t="shared" si="4"/>
        <v>5.364733061790389</v>
      </c>
      <c r="AD115" s="312">
        <f t="shared" si="4"/>
        <v>6.5614927081129979</v>
      </c>
      <c r="AE115" s="312">
        <f t="shared" si="4"/>
        <v>7.9574007467779548</v>
      </c>
      <c r="AF115" s="312">
        <f t="shared" si="4"/>
        <v>9.5634072926318332</v>
      </c>
    </row>
    <row r="116" spans="1:32"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</row>
    <row r="117" spans="1:32">
      <c r="A117" s="147" t="str" cm="1">
        <f t="array" ref="A117:AF126">'Applicationwise Stock'!A55:AF64</f>
        <v>H2 FCET Application wise Stock</v>
      </c>
      <c r="B117" s="312">
        <v>0</v>
      </c>
      <c r="C117" s="312">
        <v>0</v>
      </c>
      <c r="D117" s="312">
        <v>0</v>
      </c>
      <c r="E117" s="312">
        <v>0</v>
      </c>
      <c r="F117" s="312">
        <v>0</v>
      </c>
      <c r="G117" s="312">
        <v>0</v>
      </c>
      <c r="H117" s="312">
        <v>0</v>
      </c>
      <c r="I117" s="312">
        <v>0</v>
      </c>
      <c r="J117" s="312">
        <v>0</v>
      </c>
      <c r="K117" s="312">
        <v>0</v>
      </c>
      <c r="L117" s="312">
        <v>0</v>
      </c>
      <c r="M117" s="312">
        <v>0</v>
      </c>
      <c r="N117" s="312">
        <v>0</v>
      </c>
      <c r="O117" s="312">
        <v>0</v>
      </c>
      <c r="P117" s="312">
        <v>0</v>
      </c>
      <c r="Q117" s="312">
        <v>0</v>
      </c>
      <c r="R117" s="312">
        <v>0</v>
      </c>
      <c r="S117" s="312">
        <v>0</v>
      </c>
      <c r="T117" s="312">
        <v>0</v>
      </c>
      <c r="U117" s="312">
        <v>0</v>
      </c>
      <c r="V117" s="312">
        <v>0</v>
      </c>
      <c r="W117" s="312">
        <v>0</v>
      </c>
      <c r="X117" s="312">
        <v>0</v>
      </c>
      <c r="Y117" s="312">
        <v>0</v>
      </c>
      <c r="Z117" s="312">
        <v>0</v>
      </c>
      <c r="AA117" s="312">
        <v>0</v>
      </c>
      <c r="AB117" s="312">
        <v>0</v>
      </c>
      <c r="AC117" s="312">
        <v>0</v>
      </c>
      <c r="AD117" s="312">
        <v>0</v>
      </c>
      <c r="AE117" s="312">
        <v>0</v>
      </c>
      <c r="AF117" s="312">
        <v>0</v>
      </c>
    </row>
    <row r="118" spans="1:32">
      <c r="A118" s="147" t="str">
        <v>Market Load Total</v>
      </c>
      <c r="B118" s="312">
        <v>0</v>
      </c>
      <c r="C118" s="312">
        <v>0</v>
      </c>
      <c r="D118" s="312">
        <v>0</v>
      </c>
      <c r="E118" s="312">
        <v>0</v>
      </c>
      <c r="F118" s="312">
        <v>0</v>
      </c>
      <c r="G118" s="312">
        <v>10.076544588723639</v>
      </c>
      <c r="H118" s="312">
        <v>28.94186561507642</v>
      </c>
      <c r="I118" s="312">
        <v>66.134013354097775</v>
      </c>
      <c r="J118" s="312">
        <v>132.34003841198279</v>
      </c>
      <c r="K118" s="312">
        <v>238.22325083203012</v>
      </c>
      <c r="L118" s="312">
        <v>408.63113257488612</v>
      </c>
      <c r="M118" s="312">
        <v>670.3384961851076</v>
      </c>
      <c r="N118" s="312">
        <v>1089.2965628689535</v>
      </c>
      <c r="O118" s="312">
        <v>1665.4500233142594</v>
      </c>
      <c r="P118" s="312">
        <v>2482.4712046964964</v>
      </c>
      <c r="Q118" s="312">
        <v>3547.3375201696463</v>
      </c>
      <c r="R118" s="312">
        <v>4940.3889328056839</v>
      </c>
      <c r="S118" s="312">
        <v>6696.6594171590459</v>
      </c>
      <c r="T118" s="312">
        <v>8998.4971475470684</v>
      </c>
      <c r="U118" s="312">
        <v>11809.648654238321</v>
      </c>
      <c r="V118" s="312">
        <v>15235.471633909294</v>
      </c>
      <c r="W118" s="312">
        <v>19338.611921073378</v>
      </c>
      <c r="X118" s="312">
        <v>24091.933220599945</v>
      </c>
      <c r="Y118" s="312">
        <v>29293.659678818643</v>
      </c>
      <c r="Z118" s="312">
        <v>35191.366583763091</v>
      </c>
      <c r="AA118" s="312">
        <v>42402.866979105936</v>
      </c>
      <c r="AB118" s="312">
        <v>50187.825607256367</v>
      </c>
      <c r="AC118" s="312">
        <v>59127.096549726717</v>
      </c>
      <c r="AD118" s="312">
        <v>71019.07548119899</v>
      </c>
      <c r="AE118" s="312">
        <v>86082.934190970613</v>
      </c>
      <c r="AF118" s="312">
        <v>104389.47149114897</v>
      </c>
    </row>
    <row r="119" spans="1:32">
      <c r="A119" s="147" t="str">
        <v>Parcel Load, FMCG &amp; eCommerce</v>
      </c>
      <c r="B119" s="312">
        <v>0</v>
      </c>
      <c r="C119" s="312">
        <v>0</v>
      </c>
      <c r="D119" s="312">
        <v>0</v>
      </c>
      <c r="E119" s="312">
        <v>0</v>
      </c>
      <c r="F119" s="312">
        <v>0</v>
      </c>
      <c r="G119" s="312">
        <v>14.189711623076796</v>
      </c>
      <c r="H119" s="312">
        <v>40.846139882707682</v>
      </c>
      <c r="I119" s="312">
        <v>95.141126336912592</v>
      </c>
      <c r="J119" s="312">
        <v>187.50653779473279</v>
      </c>
      <c r="K119" s="312">
        <v>341.51925144852544</v>
      </c>
      <c r="L119" s="312">
        <v>600.55118602958191</v>
      </c>
      <c r="M119" s="312">
        <v>985.06632266862982</v>
      </c>
      <c r="N119" s="312">
        <v>1507.5737302115176</v>
      </c>
      <c r="O119" s="312">
        <v>2285.2681269647014</v>
      </c>
      <c r="P119" s="312">
        <v>3370.181192941734</v>
      </c>
      <c r="Q119" s="312">
        <v>4847.3550963822081</v>
      </c>
      <c r="R119" s="312">
        <v>6767.3617513556992</v>
      </c>
      <c r="S119" s="312">
        <v>9222.0066266921785</v>
      </c>
      <c r="T119" s="312">
        <v>12377.924680008457</v>
      </c>
      <c r="U119" s="312">
        <v>16285.182543134872</v>
      </c>
      <c r="V119" s="312">
        <v>20995.849121626801</v>
      </c>
      <c r="W119" s="312">
        <v>26652.157725815585</v>
      </c>
      <c r="X119" s="312">
        <v>33220.826121395774</v>
      </c>
      <c r="Y119" s="312">
        <v>40301.194263328456</v>
      </c>
      <c r="Z119" s="312">
        <v>48352.893119020824</v>
      </c>
      <c r="AA119" s="312">
        <v>58214.36496695922</v>
      </c>
      <c r="AB119" s="312">
        <v>68965.367322087695</v>
      </c>
      <c r="AC119" s="312">
        <v>81285.122097645974</v>
      </c>
      <c r="AD119" s="312">
        <v>97663.988017593074</v>
      </c>
      <c r="AE119" s="312">
        <v>118366.30516671462</v>
      </c>
      <c r="AF119" s="312">
        <v>143534.15549536105</v>
      </c>
    </row>
    <row r="120" spans="1:32">
      <c r="A120" s="147" t="str">
        <v>Cement Total</v>
      </c>
      <c r="B120" s="312">
        <v>0</v>
      </c>
      <c r="C120" s="312">
        <v>0</v>
      </c>
      <c r="D120" s="312">
        <v>0</v>
      </c>
      <c r="E120" s="312">
        <v>0</v>
      </c>
      <c r="F120" s="312">
        <v>0</v>
      </c>
      <c r="G120" s="312">
        <v>2.7918045056816871</v>
      </c>
      <c r="H120" s="312">
        <v>8.0867328191408774</v>
      </c>
      <c r="I120" s="312">
        <v>17.422275716158847</v>
      </c>
      <c r="J120" s="312">
        <v>34.273399704372807</v>
      </c>
      <c r="K120" s="312">
        <v>63.387609584284284</v>
      </c>
      <c r="L120" s="312">
        <v>104.18341460376121</v>
      </c>
      <c r="M120" s="312">
        <v>172.77019580906341</v>
      </c>
      <c r="N120" s="312">
        <v>268.5999339686162</v>
      </c>
      <c r="O120" s="312">
        <v>404.30143677829892</v>
      </c>
      <c r="P120" s="312">
        <v>595.41996171652011</v>
      </c>
      <c r="Q120" s="312">
        <v>858.58512458270002</v>
      </c>
      <c r="R120" s="312">
        <v>1181.4146256421786</v>
      </c>
      <c r="S120" s="312">
        <v>1799.9726350964174</v>
      </c>
      <c r="T120" s="312">
        <v>2397.9501251765478</v>
      </c>
      <c r="U120" s="312">
        <v>3131.9703520276744</v>
      </c>
      <c r="V120" s="312">
        <v>4015.482083797051</v>
      </c>
      <c r="W120" s="312">
        <v>5066.5586621962357</v>
      </c>
      <c r="X120" s="312">
        <v>6290.9011759030627</v>
      </c>
      <c r="Y120" s="312">
        <v>7677.3508520356636</v>
      </c>
      <c r="Z120" s="312">
        <v>9244.4034401041845</v>
      </c>
      <c r="AA120" s="312">
        <v>11055.860477026243</v>
      </c>
      <c r="AB120" s="312">
        <v>13199.717636749723</v>
      </c>
      <c r="AC120" s="312">
        <v>15690.943248386933</v>
      </c>
      <c r="AD120" s="312">
        <v>19055.411191705221</v>
      </c>
      <c r="AE120" s="312">
        <v>23096.899584794395</v>
      </c>
      <c r="AF120" s="312">
        <v>28029.113986347696</v>
      </c>
    </row>
    <row r="121" spans="1:32">
      <c r="A121" s="147" t="str">
        <v>Steel &amp; Metal Products Total</v>
      </c>
      <c r="B121" s="312">
        <v>0</v>
      </c>
      <c r="C121" s="312">
        <v>0</v>
      </c>
      <c r="D121" s="312">
        <v>0</v>
      </c>
      <c r="E121" s="312">
        <v>0</v>
      </c>
      <c r="F121" s="312">
        <v>0</v>
      </c>
      <c r="G121" s="312">
        <v>3.1136670755802918</v>
      </c>
      <c r="H121" s="312">
        <v>9.5183829991402469</v>
      </c>
      <c r="I121" s="312">
        <v>21.6598137816157</v>
      </c>
      <c r="J121" s="312">
        <v>43.98757209858482</v>
      </c>
      <c r="K121" s="312">
        <v>81.032526049723558</v>
      </c>
      <c r="L121" s="312">
        <v>141.96026534230236</v>
      </c>
      <c r="M121" s="312">
        <v>231.33199572788837</v>
      </c>
      <c r="N121" s="312">
        <v>368.94033765652978</v>
      </c>
      <c r="O121" s="312">
        <v>544.96885088350291</v>
      </c>
      <c r="P121" s="312">
        <v>785.09100473352214</v>
      </c>
      <c r="Q121" s="312">
        <v>1113.3031386704081</v>
      </c>
      <c r="R121" s="312">
        <v>1553.4108231810544</v>
      </c>
      <c r="S121" s="312">
        <v>2068.3321455579462</v>
      </c>
      <c r="T121" s="312">
        <v>2716.5961926767054</v>
      </c>
      <c r="U121" s="312">
        <v>3504.9260216687467</v>
      </c>
      <c r="V121" s="312">
        <v>4441.5272598533957</v>
      </c>
      <c r="W121" s="312">
        <v>5472.7644673086361</v>
      </c>
      <c r="X121" s="312">
        <v>6714.1097214320434</v>
      </c>
      <c r="Y121" s="312">
        <v>8342.323771168074</v>
      </c>
      <c r="Z121" s="312">
        <v>10085.101152020663</v>
      </c>
      <c r="AA121" s="312">
        <v>11605.902895241146</v>
      </c>
      <c r="AB121" s="312">
        <v>13645.946525963869</v>
      </c>
      <c r="AC121" s="312">
        <v>15945.811769993221</v>
      </c>
      <c r="AD121" s="312">
        <v>18955.723088594408</v>
      </c>
      <c r="AE121" s="312">
        <v>22762.696576554314</v>
      </c>
      <c r="AF121" s="312">
        <v>27380.647496990423</v>
      </c>
    </row>
    <row r="122" spans="1:32">
      <c r="A122" s="147" t="str">
        <v>Tankers - Petroleum &amp; CNG Total</v>
      </c>
      <c r="B122" s="312">
        <v>0</v>
      </c>
      <c r="C122" s="312">
        <v>0</v>
      </c>
      <c r="D122" s="312">
        <v>0</v>
      </c>
      <c r="E122" s="312">
        <v>0</v>
      </c>
      <c r="F122" s="312">
        <v>0</v>
      </c>
      <c r="G122" s="312">
        <v>1.6088558387801917</v>
      </c>
      <c r="H122" s="312">
        <v>5.218204095317855</v>
      </c>
      <c r="I122" s="312">
        <v>11.658688217382801</v>
      </c>
      <c r="J122" s="312">
        <v>23.970872158557373</v>
      </c>
      <c r="K122" s="312">
        <v>42.176866078404345</v>
      </c>
      <c r="L122" s="312">
        <v>68.219754640045352</v>
      </c>
      <c r="M122" s="312">
        <v>102.96588503091624</v>
      </c>
      <c r="N122" s="312">
        <v>151.13857752703487</v>
      </c>
      <c r="O122" s="312">
        <v>210.94453068825817</v>
      </c>
      <c r="P122" s="312">
        <v>280.72769820274459</v>
      </c>
      <c r="Q122" s="312">
        <v>372.27658651932188</v>
      </c>
      <c r="R122" s="312">
        <v>542.96579725528852</v>
      </c>
      <c r="S122" s="312">
        <v>664.50065552077149</v>
      </c>
      <c r="T122" s="312">
        <v>798.41308042112462</v>
      </c>
      <c r="U122" s="312">
        <v>932.66163994410226</v>
      </c>
      <c r="V122" s="312">
        <v>1061.1818179035265</v>
      </c>
      <c r="W122" s="312">
        <v>1173.931737454111</v>
      </c>
      <c r="X122" s="312">
        <v>1306.7534596067624</v>
      </c>
      <c r="Y122" s="312">
        <v>1438.0052029724325</v>
      </c>
      <c r="Z122" s="312">
        <v>1564.5264456931372</v>
      </c>
      <c r="AA122" s="312">
        <v>1641.5200103023105</v>
      </c>
      <c r="AB122" s="312">
        <v>1842.0565128563831</v>
      </c>
      <c r="AC122" s="312">
        <v>2069.53734140202</v>
      </c>
      <c r="AD122" s="312">
        <v>2273.0326966295829</v>
      </c>
      <c r="AE122" s="312">
        <v>2523.0141057707683</v>
      </c>
      <c r="AF122" s="312">
        <v>2808.5844310232033</v>
      </c>
    </row>
    <row r="123" spans="1:32">
      <c r="A123" s="147" t="str">
        <v>Tankers - Milk, Edible Oil &amp; Water Total</v>
      </c>
      <c r="B123" s="312">
        <v>0</v>
      </c>
      <c r="C123" s="312">
        <v>0</v>
      </c>
      <c r="D123" s="312">
        <v>0</v>
      </c>
      <c r="E123" s="312">
        <v>0</v>
      </c>
      <c r="F123" s="312">
        <v>0</v>
      </c>
      <c r="G123" s="312">
        <v>0.65494131410877909</v>
      </c>
      <c r="H123" s="312">
        <v>2.2884784511438574</v>
      </c>
      <c r="I123" s="312">
        <v>5.0975612438924971</v>
      </c>
      <c r="J123" s="312">
        <v>11.131026427825974</v>
      </c>
      <c r="K123" s="312">
        <v>21.698154325154533</v>
      </c>
      <c r="L123" s="312">
        <v>36.213418629261731</v>
      </c>
      <c r="M123" s="312">
        <v>61.887013144366627</v>
      </c>
      <c r="N123" s="312">
        <v>103.7724742384288</v>
      </c>
      <c r="O123" s="312">
        <v>177.89106217290228</v>
      </c>
      <c r="P123" s="312">
        <v>262.88943046484832</v>
      </c>
      <c r="Q123" s="312">
        <v>368.26926081387535</v>
      </c>
      <c r="R123" s="312">
        <v>512.16291971342855</v>
      </c>
      <c r="S123" s="312">
        <v>672.45737671378015</v>
      </c>
      <c r="T123" s="312">
        <v>873.04366331128938</v>
      </c>
      <c r="U123" s="312">
        <v>1093.6346329484172</v>
      </c>
      <c r="V123" s="312">
        <v>1372.3073839008719</v>
      </c>
      <c r="W123" s="312">
        <v>1685.0082250884786</v>
      </c>
      <c r="X123" s="312">
        <v>2077.751007713684</v>
      </c>
      <c r="Y123" s="312">
        <v>2556.3847531303054</v>
      </c>
      <c r="Z123" s="312">
        <v>3135.9686644418252</v>
      </c>
      <c r="AA123" s="312">
        <v>3750.467213923801</v>
      </c>
      <c r="AB123" s="312">
        <v>4384.0627096121361</v>
      </c>
      <c r="AC123" s="312">
        <v>5096.6955001514689</v>
      </c>
      <c r="AD123" s="312">
        <v>6034.4200579218141</v>
      </c>
      <c r="AE123" s="312">
        <v>7221.5134550558623</v>
      </c>
      <c r="AF123" s="312">
        <v>8662.1583817953106</v>
      </c>
    </row>
    <row r="124" spans="1:32">
      <c r="A124" s="147" t="str">
        <v>Minerals &amp; Tippers Total</v>
      </c>
      <c r="B124" s="312">
        <v>0</v>
      </c>
      <c r="C124" s="312">
        <v>0</v>
      </c>
      <c r="D124" s="312">
        <v>0</v>
      </c>
      <c r="E124" s="312">
        <v>0</v>
      </c>
      <c r="F124" s="312">
        <v>0</v>
      </c>
      <c r="G124" s="312">
        <v>0.94947880462536804</v>
      </c>
      <c r="H124" s="312">
        <v>2.8253096016664561</v>
      </c>
      <c r="I124" s="312">
        <v>6.5639993794331177</v>
      </c>
      <c r="J124" s="312">
        <v>13.614626037473071</v>
      </c>
      <c r="K124" s="312">
        <v>26.287473089237363</v>
      </c>
      <c r="L124" s="312">
        <v>45.845086424051644</v>
      </c>
      <c r="M124" s="312">
        <v>74.961385133677368</v>
      </c>
      <c r="N124" s="312">
        <v>120.33168006808906</v>
      </c>
      <c r="O124" s="312">
        <v>185.70321156907411</v>
      </c>
      <c r="P124" s="312">
        <v>276.37617357697195</v>
      </c>
      <c r="Q124" s="312">
        <v>401.14582201161818</v>
      </c>
      <c r="R124" s="312">
        <v>569.24005410802317</v>
      </c>
      <c r="S124" s="312">
        <v>778.91710946918909</v>
      </c>
      <c r="T124" s="312">
        <v>1038.3687430200748</v>
      </c>
      <c r="U124" s="312">
        <v>1357.4611189649013</v>
      </c>
      <c r="V124" s="312">
        <v>1741.6458166411051</v>
      </c>
      <c r="W124" s="312">
        <v>2207.8055916290709</v>
      </c>
      <c r="X124" s="312">
        <v>2753.0303619327674</v>
      </c>
      <c r="Y124" s="312">
        <v>3368.1857666164856</v>
      </c>
      <c r="Z124" s="312">
        <v>4330.9834125514581</v>
      </c>
      <c r="AA124" s="312">
        <v>5177.9422635428846</v>
      </c>
      <c r="AB124" s="312">
        <v>6179.1543412436968</v>
      </c>
      <c r="AC124" s="312">
        <v>7333.9089828645529</v>
      </c>
      <c r="AD124" s="312">
        <v>8866.4583591103965</v>
      </c>
      <c r="AE124" s="312">
        <v>10814.588214355808</v>
      </c>
      <c r="AF124" s="312">
        <v>13212.937246341635</v>
      </c>
    </row>
    <row r="125" spans="1:32">
      <c r="A125" s="147" t="str">
        <v>Perishables &amp; Fish Total</v>
      </c>
      <c r="B125" s="312">
        <v>0</v>
      </c>
      <c r="C125" s="312">
        <v>0</v>
      </c>
      <c r="D125" s="312">
        <v>0</v>
      </c>
      <c r="E125" s="312">
        <v>0</v>
      </c>
      <c r="F125" s="312">
        <v>0</v>
      </c>
      <c r="G125" s="312">
        <v>1.0420471403945664</v>
      </c>
      <c r="H125" s="312">
        <v>3.0169463262822256</v>
      </c>
      <c r="I125" s="312">
        <v>6.9529787723734335</v>
      </c>
      <c r="J125" s="312">
        <v>14.950633675701416</v>
      </c>
      <c r="K125" s="312">
        <v>28.134799173558264</v>
      </c>
      <c r="L125" s="312">
        <v>49.5022968371293</v>
      </c>
      <c r="M125" s="312">
        <v>82.586868454169078</v>
      </c>
      <c r="N125" s="312">
        <v>136.08210169885885</v>
      </c>
      <c r="O125" s="312">
        <v>206.24062186152443</v>
      </c>
      <c r="P125" s="312">
        <v>298.60991628823359</v>
      </c>
      <c r="Q125" s="312">
        <v>423.15079294601225</v>
      </c>
      <c r="R125" s="312">
        <v>584.13029954338515</v>
      </c>
      <c r="S125" s="312">
        <v>791.16090349856017</v>
      </c>
      <c r="T125" s="312">
        <v>1052.1911893140725</v>
      </c>
      <c r="U125" s="312">
        <v>1385.504501181166</v>
      </c>
      <c r="V125" s="312">
        <v>1783.1107048352851</v>
      </c>
      <c r="W125" s="312">
        <v>2233.1463078597412</v>
      </c>
      <c r="X125" s="312">
        <v>2780.371879199387</v>
      </c>
      <c r="Y125" s="312">
        <v>3630.8549088661493</v>
      </c>
      <c r="Z125" s="312">
        <v>4397.8622911814464</v>
      </c>
      <c r="AA125" s="312">
        <v>5283.3020142327505</v>
      </c>
      <c r="AB125" s="312">
        <v>6271.5189250243184</v>
      </c>
      <c r="AC125" s="312">
        <v>7417.2393130919863</v>
      </c>
      <c r="AD125" s="312">
        <v>8953.4956207959458</v>
      </c>
      <c r="AE125" s="312">
        <v>10911.913995372521</v>
      </c>
      <c r="AF125" s="312">
        <v>13322.106152328604</v>
      </c>
    </row>
    <row r="126" spans="1:32">
      <c r="A126" s="147" t="str">
        <v>LPG Total</v>
      </c>
      <c r="B126" s="312">
        <v>0</v>
      </c>
      <c r="C126" s="312">
        <v>0</v>
      </c>
      <c r="D126" s="312">
        <v>0</v>
      </c>
      <c r="E126" s="312">
        <v>0</v>
      </c>
      <c r="F126" s="312">
        <v>0</v>
      </c>
      <c r="G126" s="312">
        <v>0.56794910902868168</v>
      </c>
      <c r="H126" s="312">
        <v>1.7110531841880257</v>
      </c>
      <c r="I126" s="312">
        <v>3.7552168738612073</v>
      </c>
      <c r="J126" s="312">
        <v>8.3528169330617441</v>
      </c>
      <c r="K126" s="312">
        <v>16.616603924370906</v>
      </c>
      <c r="L126" s="312">
        <v>28.523637587028023</v>
      </c>
      <c r="M126" s="312">
        <v>54.69957052662307</v>
      </c>
      <c r="N126" s="312">
        <v>84.08397611350378</v>
      </c>
      <c r="O126" s="312">
        <v>119.51814723795199</v>
      </c>
      <c r="P126" s="312">
        <v>167.87525432959151</v>
      </c>
      <c r="Q126" s="312">
        <v>239.45526542583855</v>
      </c>
      <c r="R126" s="312">
        <v>317.04555143928286</v>
      </c>
      <c r="S126" s="312">
        <v>423.71915191020042</v>
      </c>
      <c r="T126" s="312">
        <v>553.52922913936493</v>
      </c>
      <c r="U126" s="312">
        <v>723.91631763929684</v>
      </c>
      <c r="V126" s="312">
        <v>933.75774854538622</v>
      </c>
      <c r="W126" s="312">
        <v>1178.7229313494404</v>
      </c>
      <c r="X126" s="312">
        <v>1472.5293362323432</v>
      </c>
      <c r="Y126" s="312">
        <v>1841.3123189969638</v>
      </c>
      <c r="Z126" s="312">
        <v>2217.1494131375252</v>
      </c>
      <c r="AA126" s="312">
        <v>2658.9021989743146</v>
      </c>
      <c r="AB126" s="312">
        <v>3127.6257803516551</v>
      </c>
      <c r="AC126" s="312">
        <v>3660.5795660282733</v>
      </c>
      <c r="AD126" s="312">
        <v>4384.7160480442744</v>
      </c>
      <c r="AE126" s="312">
        <v>5304.7165425427647</v>
      </c>
      <c r="AF126" s="312">
        <v>6434.0555984037728</v>
      </c>
    </row>
    <row r="127" spans="1:32"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312"/>
      <c r="AE127" s="312"/>
      <c r="AF127" s="312"/>
    </row>
    <row r="128" spans="1:32">
      <c r="A128" s="147" t="s">
        <v>616</v>
      </c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312"/>
      <c r="AE128" s="312"/>
      <c r="AF128" s="312"/>
    </row>
    <row r="129" spans="1:32">
      <c r="A129" s="147" t="s">
        <v>43</v>
      </c>
      <c r="B129" s="312">
        <f>(('Emissions '!$J2/'Emissions '!$N2)*B118)/1000000000</f>
        <v>0</v>
      </c>
      <c r="C129" s="312">
        <f>(('Emissions '!$J2/'Emissions '!$N2)*C118)/1000000000</f>
        <v>0</v>
      </c>
      <c r="D129" s="312">
        <f>(('Emissions '!$J2/'Emissions '!$N2)*D118)/1000000000</f>
        <v>0</v>
      </c>
      <c r="E129" s="312">
        <f>(('Emissions '!$J2/'Emissions '!$N2)*E118)/1000000000</f>
        <v>0</v>
      </c>
      <c r="F129" s="312">
        <f>(('Emissions '!$J2/'Emissions '!$N2)*F118)/1000000000</f>
        <v>0</v>
      </c>
      <c r="G129" s="312">
        <f>(('Emissions '!$J2/'Emissions '!$N2)*G118)/1000000000</f>
        <v>8.637038218905978E-5</v>
      </c>
      <c r="H129" s="312">
        <f>(('Emissions '!$J2/'Emissions '!$N2)*H118)/1000000000</f>
        <v>2.480731338435122E-4</v>
      </c>
      <c r="I129" s="312">
        <f>(('Emissions '!$J2/'Emissions '!$N2)*I118)/1000000000</f>
        <v>5.6686297160655238E-4</v>
      </c>
      <c r="J129" s="312">
        <f>(('Emissions '!$J2/'Emissions '!$N2)*J118)/1000000000</f>
        <v>1.1343431863884241E-3</v>
      </c>
      <c r="K129" s="312">
        <f>(('Emissions '!$J2/'Emissions '!$N2)*K118)/1000000000</f>
        <v>2.0419135785602585E-3</v>
      </c>
      <c r="L129" s="312">
        <f>(('Emissions '!$J2/'Emissions '!$N2)*L118)/1000000000</f>
        <v>3.5025525649275955E-3</v>
      </c>
      <c r="M129" s="312">
        <f>(('Emissions '!$J2/'Emissions '!$N2)*M118)/1000000000</f>
        <v>5.7457585387294943E-3</v>
      </c>
      <c r="N129" s="312">
        <f>(('Emissions '!$J2/'Emissions '!$N2)*N118)/1000000000</f>
        <v>9.336827681733887E-3</v>
      </c>
      <c r="O129" s="312">
        <f>(('Emissions '!$J2/'Emissions '!$N2)*O118)/1000000000</f>
        <v>1.4275285914122226E-2</v>
      </c>
      <c r="P129" s="312">
        <f>(('Emissions '!$J2/'Emissions '!$N2)*P118)/1000000000</f>
        <v>2.127832461168426E-2</v>
      </c>
      <c r="Q129" s="312">
        <f>(('Emissions '!$J2/'Emissions '!$N2)*Q118)/1000000000</f>
        <v>3.0405750172882686E-2</v>
      </c>
      <c r="R129" s="312">
        <f>(('Emissions '!$J2/'Emissions '!$N2)*R118)/1000000000</f>
        <v>4.2346190852620154E-2</v>
      </c>
      <c r="S129" s="312">
        <f>(('Emissions '!$J2/'Emissions '!$N2)*S118)/1000000000</f>
        <v>5.7399937861363257E-2</v>
      </c>
      <c r="T129" s="312">
        <f>(('Emissions '!$J2/'Emissions '!$N2)*T118)/1000000000</f>
        <v>7.7129975550403448E-2</v>
      </c>
      <c r="U129" s="312">
        <f>(('Emissions '!$J2/'Emissions '!$N2)*U118)/1000000000</f>
        <v>0.10122555989347133</v>
      </c>
      <c r="V129" s="312">
        <f>(('Emissions '!$J2/'Emissions '!$N2)*V118)/1000000000</f>
        <v>0.13058975686207969</v>
      </c>
      <c r="W129" s="312">
        <f>(('Emissions '!$J2/'Emissions '!$N2)*W118)/1000000000</f>
        <v>0.16575953075205754</v>
      </c>
      <c r="X129" s="312">
        <f>(('Emissions '!$J2/'Emissions '!$N2)*X118)/1000000000</f>
        <v>0.20650228474799956</v>
      </c>
      <c r="Y129" s="312">
        <f>(('Emissions '!$J2/'Emissions '!$N2)*Y118)/1000000000</f>
        <v>0.25108851153273126</v>
      </c>
      <c r="Z129" s="312">
        <f>(('Emissions '!$J2/'Emissions '!$N2)*Z118)/1000000000</f>
        <v>0.30164028500368367</v>
      </c>
      <c r="AA129" s="312">
        <f>(('Emissions '!$J2/'Emissions '!$N2)*AA118)/1000000000</f>
        <v>0.36345314553519381</v>
      </c>
      <c r="AB129" s="312">
        <f>(('Emissions '!$J2/'Emissions '!$N2)*AB118)/1000000000</f>
        <v>0.43018136234791177</v>
      </c>
      <c r="AC129" s="312">
        <f>(('Emissions '!$J2/'Emissions '!$N2)*AC118)/1000000000</f>
        <v>0.50680368471194337</v>
      </c>
      <c r="AD129" s="312">
        <f>(('Emissions '!$J2/'Emissions '!$N2)*AD118)/1000000000</f>
        <v>0.60873493269599144</v>
      </c>
      <c r="AE129" s="312">
        <f>(('Emissions '!$J2/'Emissions '!$N2)*AE118)/1000000000</f>
        <v>0.737853721636891</v>
      </c>
      <c r="AF129" s="312">
        <f>(('Emissions '!$J2/'Emissions '!$N2)*AF118)/1000000000</f>
        <v>0.89476689849556268</v>
      </c>
    </row>
    <row r="130" spans="1:32">
      <c r="A130" s="147" t="s">
        <v>51</v>
      </c>
      <c r="B130" s="312">
        <f>(('Emissions '!$J3/'Emissions '!$N3)*B119)/1000000000</f>
        <v>0</v>
      </c>
      <c r="C130" s="312">
        <f>(('Emissions '!$J3/'Emissions '!$N3)*C119)/1000000000</f>
        <v>0</v>
      </c>
      <c r="D130" s="312">
        <f>(('Emissions '!$J3/'Emissions '!$N3)*D119)/1000000000</f>
        <v>0</v>
      </c>
      <c r="E130" s="312">
        <f>(('Emissions '!$J3/'Emissions '!$N3)*E119)/1000000000</f>
        <v>0</v>
      </c>
      <c r="F130" s="312">
        <f>(('Emissions '!$J3/'Emissions '!$N3)*F119)/1000000000</f>
        <v>0</v>
      </c>
      <c r="G130" s="312">
        <f>(('Emissions '!$J3/'Emissions '!$N3)*G119)/1000000000</f>
        <v>1.0754307756437151E-4</v>
      </c>
      <c r="H130" s="312">
        <f>(('Emissions '!$J3/'Emissions '!$N3)*H119)/1000000000</f>
        <v>3.0957074437420562E-4</v>
      </c>
      <c r="I130" s="312">
        <f>(('Emissions '!$J3/'Emissions '!$N3)*I119)/1000000000</f>
        <v>7.2106958907975857E-4</v>
      </c>
      <c r="J130" s="312">
        <f>(('Emissions '!$J3/'Emissions '!$N3)*J119)/1000000000</f>
        <v>1.4211021811811329E-3</v>
      </c>
      <c r="K130" s="312">
        <f>(('Emissions '!$J3/'Emissions '!$N3)*K119)/1000000000</f>
        <v>2.5883564320309297E-3</v>
      </c>
      <c r="L130" s="312">
        <f>(('Emissions '!$J3/'Emissions '!$N3)*L119)/1000000000</f>
        <v>4.5515458309610419E-3</v>
      </c>
      <c r="M130" s="312">
        <f>(('Emissions '!$J3/'Emissions '!$N3)*M119)/1000000000</f>
        <v>7.4657658139096151E-3</v>
      </c>
      <c r="N130" s="312">
        <f>(('Emissions '!$J3/'Emissions '!$N3)*N119)/1000000000</f>
        <v>1.1425821955287291E-2</v>
      </c>
      <c r="O130" s="312">
        <f>(('Emissions '!$J3/'Emissions '!$N3)*O119)/1000000000</f>
        <v>1.731992685699563E-2</v>
      </c>
      <c r="P130" s="312">
        <f>(('Emissions '!$J3/'Emissions '!$N3)*P119)/1000000000</f>
        <v>2.5542425883347881E-2</v>
      </c>
      <c r="Q130" s="312">
        <f>(('Emissions '!$J3/'Emissions '!$N3)*Q119)/1000000000</f>
        <v>3.6737849151528314E-2</v>
      </c>
      <c r="R130" s="312">
        <f>(('Emissions '!$J3/'Emissions '!$N3)*R119)/1000000000</f>
        <v>5.1289478536590563E-2</v>
      </c>
      <c r="S130" s="312">
        <f>(('Emissions '!$J3/'Emissions '!$N3)*S119)/1000000000</f>
        <v>6.9893102854930195E-2</v>
      </c>
      <c r="T130" s="312">
        <f>(('Emissions '!$J3/'Emissions '!$N3)*T119)/1000000000</f>
        <v>9.3811639680064091E-2</v>
      </c>
      <c r="U130" s="312">
        <f>(('Emissions '!$J3/'Emissions '!$N3)*U119)/1000000000</f>
        <v>0.1234245413795485</v>
      </c>
      <c r="V130" s="312">
        <f>(('Emissions '!$J3/'Emissions '!$N3)*V119)/1000000000</f>
        <v>0.15912643544811891</v>
      </c>
      <c r="W130" s="312">
        <f>(('Emissions '!$J3/'Emissions '!$N3)*W119)/1000000000</f>
        <v>0.20199530065881285</v>
      </c>
      <c r="X130" s="312">
        <f>(('Emissions '!$J3/'Emissions '!$N3)*X119)/1000000000</f>
        <v>0.25177889270952586</v>
      </c>
      <c r="Y130" s="312">
        <f>(('Emissions '!$J3/'Emissions '!$N3)*Y119)/1000000000</f>
        <v>0.30544063020627882</v>
      </c>
      <c r="Z130" s="312">
        <f>(('Emissions '!$J3/'Emissions '!$N3)*Z119)/1000000000</f>
        <v>0.36646403205994732</v>
      </c>
      <c r="AA130" s="312">
        <f>(('Emissions '!$J3/'Emissions '!$N3)*AA119)/1000000000</f>
        <v>0.44120360817063825</v>
      </c>
      <c r="AB130" s="312">
        <f>(('Emissions '!$J3/'Emissions '!$N3)*AB119)/1000000000</f>
        <v>0.52268488917792777</v>
      </c>
      <c r="AC130" s="312">
        <f>(('Emissions '!$J3/'Emissions '!$N3)*AC119)/1000000000</f>
        <v>0.61605566221373786</v>
      </c>
      <c r="AD130" s="312">
        <f>(('Emissions '!$J3/'Emissions '!$N3)*AD119)/1000000000</f>
        <v>0.74019022497544218</v>
      </c>
      <c r="AE130" s="312">
        <f>(('Emissions '!$J3/'Emissions '!$N3)*AE119)/1000000000</f>
        <v>0.89709199705299492</v>
      </c>
      <c r="AF130" s="312">
        <f>(('Emissions '!$J3/'Emissions '!$N3)*AF119)/1000000000</f>
        <v>1.0878378100701049</v>
      </c>
    </row>
    <row r="131" spans="1:32">
      <c r="A131" s="147" t="s">
        <v>58</v>
      </c>
      <c r="B131" s="312">
        <f>(('Emissions '!$J4/'Emissions '!$N4)*B120)/1000000000</f>
        <v>0</v>
      </c>
      <c r="C131" s="312">
        <f>(('Emissions '!$J4/'Emissions '!$N4)*C120)/1000000000</f>
        <v>0</v>
      </c>
      <c r="D131" s="312">
        <f>(('Emissions '!$J4/'Emissions '!$N4)*D120)/1000000000</f>
        <v>0</v>
      </c>
      <c r="E131" s="312">
        <f>(('Emissions '!$J4/'Emissions '!$N4)*E120)/1000000000</f>
        <v>0</v>
      </c>
      <c r="F131" s="312">
        <f>(('Emissions '!$J4/'Emissions '!$N4)*F120)/1000000000</f>
        <v>0</v>
      </c>
      <c r="G131" s="312">
        <f>(('Emissions '!$J4/'Emissions '!$N4)*G120)/1000000000</f>
        <v>3.6547258983469355E-5</v>
      </c>
      <c r="H131" s="312">
        <f>(('Emissions '!$J4/'Emissions '!$N4)*H120)/1000000000</f>
        <v>1.058626841778442E-4</v>
      </c>
      <c r="I131" s="312">
        <f>(('Emissions '!$J4/'Emissions '!$N4)*I120)/1000000000</f>
        <v>2.2807342755698851E-4</v>
      </c>
      <c r="J131" s="312">
        <f>(('Emissions '!$J4/'Emissions '!$N4)*J120)/1000000000</f>
        <v>4.4866995976633494E-4</v>
      </c>
      <c r="K131" s="312">
        <f>(('Emissions '!$J4/'Emissions '!$N4)*K120)/1000000000</f>
        <v>8.2980143455790335E-4</v>
      </c>
      <c r="L131" s="312">
        <f>(('Emissions '!$J4/'Emissions '!$N4)*L120)/1000000000</f>
        <v>1.3638556093583283E-3</v>
      </c>
      <c r="M131" s="312">
        <f>(('Emissions '!$J4/'Emissions '!$N4)*M120)/1000000000</f>
        <v>2.2617189269550117E-3</v>
      </c>
      <c r="N131" s="312">
        <f>(('Emissions '!$J4/'Emissions '!$N4)*N120)/1000000000</f>
        <v>3.516217317407339E-3</v>
      </c>
      <c r="O131" s="312">
        <f>(('Emissions '!$J4/'Emissions '!$N4)*O120)/1000000000</f>
        <v>5.2926733541886397E-3</v>
      </c>
      <c r="P131" s="312">
        <f>(('Emissions '!$J4/'Emissions '!$N4)*P120)/1000000000</f>
        <v>7.7945885897435351E-3</v>
      </c>
      <c r="Q131" s="312">
        <f>(('Emissions '!$J4/'Emissions '!$N4)*Q120)/1000000000</f>
        <v>1.1239659812718981E-2</v>
      </c>
      <c r="R131" s="312">
        <f>(('Emissions '!$J4/'Emissions '!$N4)*R120)/1000000000</f>
        <v>1.5465791462952155E-2</v>
      </c>
      <c r="S131" s="312">
        <f>(('Emissions '!$J4/'Emissions '!$N4)*S120)/1000000000</f>
        <v>2.3563278132171281E-2</v>
      </c>
      <c r="T131" s="312">
        <f>(('Emissions '!$J4/'Emissions '!$N4)*T120)/1000000000</f>
        <v>3.1391347093220258E-2</v>
      </c>
      <c r="U131" s="312">
        <f>(('Emissions '!$J4/'Emissions '!$N4)*U120)/1000000000</f>
        <v>4.1000339153816824E-2</v>
      </c>
      <c r="V131" s="312">
        <f>(('Emissions '!$J4/'Emissions '!$N4)*V120)/1000000000</f>
        <v>5.2566310915161396E-2</v>
      </c>
      <c r="W131" s="312">
        <f>(('Emissions '!$J4/'Emissions '!$N4)*W120)/1000000000</f>
        <v>6.6325858850568895E-2</v>
      </c>
      <c r="X131" s="312">
        <f>(('Emissions '!$J4/'Emissions '!$N4)*X120)/1000000000</f>
        <v>8.2353615393640084E-2</v>
      </c>
      <c r="Y131" s="312">
        <f>(('Emissions '!$J4/'Emissions '!$N4)*Y120)/1000000000</f>
        <v>0.10050350206301231</v>
      </c>
      <c r="Z131" s="312">
        <f>(('Emissions '!$J4/'Emissions '!$N4)*Z120)/1000000000</f>
        <v>0.12101764503409113</v>
      </c>
      <c r="AA131" s="312">
        <f>(('Emissions '!$J4/'Emissions '!$N4)*AA120)/1000000000</f>
        <v>0.14473126442652534</v>
      </c>
      <c r="AB131" s="312">
        <f>(('Emissions '!$J4/'Emissions '!$N4)*AB120)/1000000000</f>
        <v>0.17279630360835999</v>
      </c>
      <c r="AC131" s="312">
        <f>(('Emissions '!$J4/'Emissions '!$N4)*AC120)/1000000000</f>
        <v>0.2054087116152471</v>
      </c>
      <c r="AD131" s="312">
        <f>(('Emissions '!$J4/'Emissions '!$N4)*AD120)/1000000000</f>
        <v>0.2494526556005047</v>
      </c>
      <c r="AE131" s="312">
        <f>(('Emissions '!$J4/'Emissions '!$N4)*AE120)/1000000000</f>
        <v>0.30235941274639933</v>
      </c>
      <c r="AF131" s="312">
        <f>(('Emissions '!$J4/'Emissions '!$N4)*AF120)/1000000000</f>
        <v>0.36692658309400616</v>
      </c>
    </row>
    <row r="132" spans="1:32">
      <c r="A132" s="147" t="s">
        <v>54</v>
      </c>
      <c r="B132" s="312">
        <f>(('Emissions '!$J5/'Emissions '!$N5)*B121)/1000000000</f>
        <v>0</v>
      </c>
      <c r="C132" s="312">
        <f>(('Emissions '!$J5/'Emissions '!$N5)*C121)/1000000000</f>
        <v>0</v>
      </c>
      <c r="D132" s="312">
        <f>(('Emissions '!$J5/'Emissions '!$N5)*D121)/1000000000</f>
        <v>0</v>
      </c>
      <c r="E132" s="312">
        <f>(('Emissions '!$J5/'Emissions '!$N5)*E121)/1000000000</f>
        <v>0</v>
      </c>
      <c r="F132" s="312">
        <f>(('Emissions '!$J5/'Emissions '!$N5)*F121)/1000000000</f>
        <v>0</v>
      </c>
      <c r="G132" s="312">
        <f>(('Emissions '!$J5/'Emissions '!$N5)*G121)/1000000000</f>
        <v>1.1496616894450308E-4</v>
      </c>
      <c r="H132" s="312">
        <f>(('Emissions '!$J5/'Emissions '!$N5)*H121)/1000000000</f>
        <v>3.5144798766056299E-4</v>
      </c>
      <c r="I132" s="312">
        <f>(('Emissions '!$J5/'Emissions '!$N5)*I121)/1000000000</f>
        <v>7.9974697039811814E-4</v>
      </c>
      <c r="J132" s="312">
        <f>(('Emissions '!$J5/'Emissions '!$N5)*J121)/1000000000</f>
        <v>1.6241565082554396E-3</v>
      </c>
      <c r="K132" s="312">
        <f>(('Emissions '!$J5/'Emissions '!$N5)*K121)/1000000000</f>
        <v>2.9919701926051775E-3</v>
      </c>
      <c r="L132" s="312">
        <f>(('Emissions '!$J5/'Emissions '!$N5)*L121)/1000000000</f>
        <v>5.2416097972542413E-3</v>
      </c>
      <c r="M132" s="312">
        <f>(('Emissions '!$J5/'Emissions '!$N5)*M121)/1000000000</f>
        <v>8.5414890730297257E-3</v>
      </c>
      <c r="N132" s="312">
        <f>(('Emissions '!$J5/'Emissions '!$N5)*N121)/1000000000</f>
        <v>1.3622412467318023E-2</v>
      </c>
      <c r="O132" s="312">
        <f>(('Emissions '!$J5/'Emissions '!$N5)*O121)/1000000000</f>
        <v>2.0121926801852416E-2</v>
      </c>
      <c r="P132" s="312">
        <f>(('Emissions '!$J5/'Emissions '!$N5)*P121)/1000000000</f>
        <v>2.8987975559391584E-2</v>
      </c>
      <c r="Q132" s="312">
        <f>(('Emissions '!$J5/'Emissions '!$N5)*Q121)/1000000000</f>
        <v>4.110657742783045E-2</v>
      </c>
      <c r="R132" s="312">
        <f>(('Emissions '!$J5/'Emissions '!$N5)*R121)/1000000000</f>
        <v>5.7356707317454313E-2</v>
      </c>
      <c r="S132" s="312">
        <f>(('Emissions '!$J5/'Emissions '!$N5)*S121)/1000000000</f>
        <v>7.6369186912908782E-2</v>
      </c>
      <c r="T132" s="312">
        <f>(('Emissions '!$J5/'Emissions '!$N5)*T121)/1000000000</f>
        <v>0.1003050901911399</v>
      </c>
      <c r="U132" s="312">
        <f>(('Emissions '!$J5/'Emissions '!$N5)*U121)/1000000000</f>
        <v>0.12941265310776912</v>
      </c>
      <c r="V132" s="312">
        <f>(('Emissions '!$J5/'Emissions '!$N5)*V121)/1000000000</f>
        <v>0.16399485267150998</v>
      </c>
      <c r="W132" s="312">
        <f>(('Emissions '!$J5/'Emissions '!$N5)*W121)/1000000000</f>
        <v>0.20207130340831889</v>
      </c>
      <c r="X132" s="312">
        <f>(('Emissions '!$J5/'Emissions '!$N5)*X121)/1000000000</f>
        <v>0.2479055897144139</v>
      </c>
      <c r="Y132" s="312">
        <f>(('Emissions '!$J5/'Emissions '!$N5)*Y121)/1000000000</f>
        <v>0.30802426232005198</v>
      </c>
      <c r="Z132" s="312">
        <f>(('Emissions '!$J5/'Emissions '!$N5)*Z121)/1000000000</f>
        <v>0.37237296561307059</v>
      </c>
      <c r="AA132" s="312">
        <f>(('Emissions '!$J5/'Emissions '!$N5)*AA121)/1000000000</f>
        <v>0.42852564536275001</v>
      </c>
      <c r="AB132" s="312">
        <f>(('Emissions '!$J5/'Emissions '!$N5)*AB121)/1000000000</f>
        <v>0.50385033326635831</v>
      </c>
      <c r="AC132" s="312">
        <f>(('Emissions '!$J5/'Emissions '!$N5)*AC121)/1000000000</f>
        <v>0.58876843458436501</v>
      </c>
      <c r="AD132" s="312">
        <f>(('Emissions '!$J5/'Emissions '!$N5)*AD121)/1000000000</f>
        <v>0.69990362173271659</v>
      </c>
      <c r="AE132" s="312">
        <f>(('Emissions '!$J5/'Emissions '!$N5)*AE121)/1000000000</f>
        <v>0.84046879667277463</v>
      </c>
      <c r="AF132" s="312">
        <f>(('Emissions '!$J5/'Emissions '!$N5)*AF121)/1000000000</f>
        <v>1.0109777537350311</v>
      </c>
    </row>
    <row r="133" spans="1:32">
      <c r="A133" s="147" t="s">
        <v>55</v>
      </c>
      <c r="B133" s="312">
        <f>(('Emissions '!$J6/'Emissions '!$N6)*B122)/1000000000</f>
        <v>0</v>
      </c>
      <c r="C133" s="312">
        <f>(('Emissions '!$J6/'Emissions '!$N6)*C122)/1000000000</f>
        <v>0</v>
      </c>
      <c r="D133" s="312">
        <f>(('Emissions '!$J6/'Emissions '!$N6)*D122)/1000000000</f>
        <v>0</v>
      </c>
      <c r="E133" s="312">
        <f>(('Emissions '!$J6/'Emissions '!$N6)*E122)/1000000000</f>
        <v>0</v>
      </c>
      <c r="F133" s="312">
        <f>(('Emissions '!$J6/'Emissions '!$N6)*F122)/1000000000</f>
        <v>0</v>
      </c>
      <c r="G133" s="312">
        <f>(('Emissions '!$J6/'Emissions '!$N6)*G122)/1000000000</f>
        <v>8.5577438232988913E-6</v>
      </c>
      <c r="H133" s="312">
        <f>(('Emissions '!$J6/'Emissions '!$N6)*H122)/1000000000</f>
        <v>2.7756404762329014E-5</v>
      </c>
      <c r="I133" s="312">
        <f>(('Emissions '!$J6/'Emissions '!$N6)*I122)/1000000000</f>
        <v>6.2014299028631913E-5</v>
      </c>
      <c r="J133" s="312">
        <f>(('Emissions '!$J6/'Emissions '!$N6)*J122)/1000000000</f>
        <v>1.2750463914126261E-4</v>
      </c>
      <c r="K133" s="312">
        <f>(('Emissions '!$J6/'Emissions '!$N6)*K122)/1000000000</f>
        <v>2.2434503233193797E-4</v>
      </c>
      <c r="L133" s="312">
        <f>(('Emissions '!$J6/'Emissions '!$N6)*L122)/1000000000</f>
        <v>3.6287103531939012E-4</v>
      </c>
      <c r="M133" s="312">
        <f>(('Emissions '!$J6/'Emissions '!$N6)*M122)/1000000000</f>
        <v>5.4769087782402255E-4</v>
      </c>
      <c r="N133" s="312">
        <f>(('Emissions '!$J6/'Emissions '!$N6)*N122)/1000000000</f>
        <v>8.0392860386720676E-4</v>
      </c>
      <c r="O133" s="312">
        <f>(('Emissions '!$J6/'Emissions '!$N6)*O122)/1000000000</f>
        <v>1.1220453760013732E-3</v>
      </c>
      <c r="P133" s="312">
        <f>(('Emissions '!$J6/'Emissions '!$N6)*P122)/1000000000</f>
        <v>1.4932324372486413E-3</v>
      </c>
      <c r="Q133" s="312">
        <f>(('Emissions '!$J6/'Emissions '!$N6)*Q122)/1000000000</f>
        <v>1.980194609145329E-3</v>
      </c>
      <c r="R133" s="312">
        <f>(('Emissions '!$J6/'Emissions '!$N6)*R122)/1000000000</f>
        <v>2.8881159428472795E-3</v>
      </c>
      <c r="S133" s="312">
        <f>(('Emissions '!$J6/'Emissions '!$N6)*S122)/1000000000</f>
        <v>3.5345779548977205E-3</v>
      </c>
      <c r="T133" s="312">
        <f>(('Emissions '!$J6/'Emissions '!$N6)*T122)/1000000000</f>
        <v>4.2468780873464078E-3</v>
      </c>
      <c r="U133" s="312">
        <f>(('Emissions '!$J6/'Emissions '!$N6)*U122)/1000000000</f>
        <v>4.9609661699154374E-3</v>
      </c>
      <c r="V133" s="312">
        <f>(('Emissions '!$J6/'Emissions '!$N6)*V122)/1000000000</f>
        <v>5.6445841377847144E-3</v>
      </c>
      <c r="W133" s="312">
        <f>(('Emissions '!$J6/'Emissions '!$N6)*W122)/1000000000</f>
        <v>6.2443177524154842E-3</v>
      </c>
      <c r="X133" s="312">
        <f>(('Emissions '!$J6/'Emissions '!$N6)*X122)/1000000000</f>
        <v>6.9508162745040543E-3</v>
      </c>
      <c r="Y133" s="312">
        <f>(('Emissions '!$J6/'Emissions '!$N6)*Y122)/1000000000</f>
        <v>7.6489638455980447E-3</v>
      </c>
      <c r="Z133" s="312">
        <f>(('Emissions '!$J6/'Emissions '!$N6)*Z122)/1000000000</f>
        <v>8.3219491792188155E-3</v>
      </c>
      <c r="AA133" s="312">
        <f>(('Emissions '!$J6/'Emissions '!$N6)*AA122)/1000000000</f>
        <v>8.7314894165016511E-3</v>
      </c>
      <c r="AB133" s="312">
        <f>(('Emissions '!$J6/'Emissions '!$N6)*AB122)/1000000000</f>
        <v>9.7981729407254428E-3</v>
      </c>
      <c r="AC133" s="312">
        <f>(('Emissions '!$J6/'Emissions '!$N6)*AC122)/1000000000</f>
        <v>1.1008177347883084E-2</v>
      </c>
      <c r="AD133" s="312">
        <f>(('Emissions '!$J6/'Emissions '!$N6)*AD122)/1000000000</f>
        <v>1.2090599450157356E-2</v>
      </c>
      <c r="AE133" s="312">
        <f>(('Emissions '!$J6/'Emissions '!$N6)*AE122)/1000000000</f>
        <v>1.3420287796653023E-2</v>
      </c>
      <c r="AF133" s="312">
        <f>(('Emissions '!$J6/'Emissions '!$N6)*AF122)/1000000000</f>
        <v>1.4939278888421293E-2</v>
      </c>
    </row>
    <row r="134" spans="1:32">
      <c r="A134" s="147" t="s">
        <v>56</v>
      </c>
      <c r="B134" s="312">
        <f>(('Emissions '!$J7/'Emissions '!$N7)*B123)/1000000000</f>
        <v>0</v>
      </c>
      <c r="C134" s="312">
        <f>(('Emissions '!$J7/'Emissions '!$N7)*C123)/1000000000</f>
        <v>0</v>
      </c>
      <c r="D134" s="312">
        <f>(('Emissions '!$J7/'Emissions '!$N7)*D123)/1000000000</f>
        <v>0</v>
      </c>
      <c r="E134" s="312">
        <f>(('Emissions '!$J7/'Emissions '!$N7)*E123)/1000000000</f>
        <v>0</v>
      </c>
      <c r="F134" s="312">
        <f>(('Emissions '!$J7/'Emissions '!$N7)*F123)/1000000000</f>
        <v>0</v>
      </c>
      <c r="G134" s="312">
        <f>(('Emissions '!$J7/'Emissions '!$N7)*G123)/1000000000</f>
        <v>4.1804764730347594E-6</v>
      </c>
      <c r="H134" s="312">
        <f>(('Emissions '!$J7/'Emissions '!$N7)*H123)/1000000000</f>
        <v>1.4607309262620366E-5</v>
      </c>
      <c r="I134" s="312">
        <f>(('Emissions '!$J7/'Emissions '!$N7)*I123)/1000000000</f>
        <v>3.2537624961015939E-5</v>
      </c>
      <c r="J134" s="312">
        <f>(('Emissions '!$J7/'Emissions '!$N7)*J123)/1000000000</f>
        <v>7.1049104858463658E-5</v>
      </c>
      <c r="K134" s="312">
        <f>(('Emissions '!$J7/'Emissions '!$N7)*K123)/1000000000</f>
        <v>1.384988573946034E-4</v>
      </c>
      <c r="L134" s="312">
        <f>(('Emissions '!$J7/'Emissions '!$N7)*L123)/1000000000</f>
        <v>2.3114948061230892E-4</v>
      </c>
      <c r="M134" s="312">
        <f>(('Emissions '!$J7/'Emissions '!$N7)*M123)/1000000000</f>
        <v>3.9502348815553167E-4</v>
      </c>
      <c r="N134" s="312">
        <f>(('Emissions '!$J7/'Emissions '!$N7)*N123)/1000000000</f>
        <v>6.6237749513890721E-4</v>
      </c>
      <c r="O134" s="312">
        <f>(('Emissions '!$J7/'Emissions '!$N7)*O123)/1000000000</f>
        <v>1.1354748649334188E-3</v>
      </c>
      <c r="P134" s="312">
        <f>(('Emissions '!$J7/'Emissions '!$N7)*P123)/1000000000</f>
        <v>1.6780176412649892E-3</v>
      </c>
      <c r="Q134" s="312">
        <f>(('Emissions '!$J7/'Emissions '!$N7)*Q123)/1000000000</f>
        <v>2.3506548562587789E-3</v>
      </c>
      <c r="R134" s="312">
        <f>(('Emissions '!$J7/'Emissions '!$N7)*R123)/1000000000</f>
        <v>3.2691250194474162E-3</v>
      </c>
      <c r="S134" s="312">
        <f>(('Emissions '!$J7/'Emissions '!$N7)*S123)/1000000000</f>
        <v>4.2922811279602988E-3</v>
      </c>
      <c r="T134" s="312">
        <f>(('Emissions '!$J7/'Emissions '!$N7)*T123)/1000000000</f>
        <v>5.5726191275188679E-3</v>
      </c>
      <c r="U134" s="312">
        <f>(('Emissions '!$J7/'Emissions '!$N7)*U123)/1000000000</f>
        <v>6.9806465932877697E-3</v>
      </c>
      <c r="V134" s="312">
        <f>(('Emissions '!$J7/'Emissions '!$N7)*V123)/1000000000</f>
        <v>8.7594088334098201E-3</v>
      </c>
      <c r="W134" s="312">
        <f>(('Emissions '!$J7/'Emissions '!$N7)*W123)/1000000000</f>
        <v>1.0755371649500927E-2</v>
      </c>
      <c r="X134" s="312">
        <f>(('Emissions '!$J7/'Emissions '!$N7)*X123)/1000000000</f>
        <v>1.3262240474768195E-2</v>
      </c>
      <c r="Y134" s="312">
        <f>(('Emissions '!$J7/'Emissions '!$N7)*Y123)/1000000000</f>
        <v>1.6317349488065781E-2</v>
      </c>
      <c r="Z134" s="312">
        <f>(('Emissions '!$J7/'Emissions '!$N7)*Z123)/1000000000</f>
        <v>2.0016821262394631E-2</v>
      </c>
      <c r="AA134" s="312">
        <f>(('Emissions '!$J7/'Emissions '!$N7)*AA123)/1000000000</f>
        <v>2.3939152429300857E-2</v>
      </c>
      <c r="AB134" s="312">
        <f>(('Emissions '!$J7/'Emissions '!$N7)*AB123)/1000000000</f>
        <v>2.7983378997524271E-2</v>
      </c>
      <c r="AC134" s="312">
        <f>(('Emissions '!$J7/'Emissions '!$N7)*AC123)/1000000000</f>
        <v>3.2532098937137037E-2</v>
      </c>
      <c r="AD134" s="312">
        <f>(('Emissions '!$J7/'Emissions '!$N7)*AD123)/1000000000</f>
        <v>3.8517574837798808E-2</v>
      </c>
      <c r="AE134" s="312">
        <f>(('Emissions '!$J7/'Emissions '!$N7)*AE123)/1000000000</f>
        <v>4.609476673439912E-2</v>
      </c>
      <c r="AF134" s="312">
        <f>(('Emissions '!$J7/'Emissions '!$N7)*AF123)/1000000000</f>
        <v>5.5290372649757301E-2</v>
      </c>
    </row>
    <row r="135" spans="1:32">
      <c r="A135" s="147" t="s">
        <v>549</v>
      </c>
      <c r="B135" s="312">
        <f>(('Emissions '!$J8/'Emissions '!$N8)*B124)/1000000000</f>
        <v>0</v>
      </c>
      <c r="C135" s="312">
        <f>(('Emissions '!$J8/'Emissions '!$N8)*C124)/1000000000</f>
        <v>0</v>
      </c>
      <c r="D135" s="312">
        <f>(('Emissions '!$J8/'Emissions '!$N8)*D124)/1000000000</f>
        <v>0</v>
      </c>
      <c r="E135" s="312">
        <f>(('Emissions '!$J8/'Emissions '!$N8)*E124)/1000000000</f>
        <v>0</v>
      </c>
      <c r="F135" s="312">
        <f>(('Emissions '!$J8/'Emissions '!$N8)*F124)/1000000000</f>
        <v>0</v>
      </c>
      <c r="G135" s="312">
        <f>(('Emissions '!$J8/'Emissions '!$N8)*G124)/1000000000</f>
        <v>6.2553897716494842E-6</v>
      </c>
      <c r="H135" s="312">
        <f>(('Emissions '!$J8/'Emissions '!$N8)*H124)/1000000000</f>
        <v>1.8613804434508419E-5</v>
      </c>
      <c r="I135" s="312">
        <f>(('Emissions '!$J8/'Emissions '!$N8)*I124)/1000000000</f>
        <v>4.3245172382147602E-5</v>
      </c>
      <c r="J135" s="312">
        <f>(('Emissions '!$J8/'Emissions '!$N8)*J124)/1000000000</f>
        <v>8.9696359776293192E-5</v>
      </c>
      <c r="K135" s="312">
        <f>(('Emissions '!$J8/'Emissions '!$N8)*K124)/1000000000</f>
        <v>1.7318805799968148E-4</v>
      </c>
      <c r="L135" s="312">
        <f>(('Emissions '!$J8/'Emissions '!$N8)*L124)/1000000000</f>
        <v>3.0203821644081088E-4</v>
      </c>
      <c r="M135" s="312">
        <f>(('Emissions '!$J8/'Emissions '!$N8)*M124)/1000000000</f>
        <v>4.9386324323363916E-4</v>
      </c>
      <c r="N135" s="312">
        <f>(('Emissions '!$J8/'Emissions '!$N8)*N124)/1000000000</f>
        <v>7.9277342162505733E-4</v>
      </c>
      <c r="O135" s="312">
        <f>(('Emissions '!$J8/'Emissions '!$N8)*O124)/1000000000</f>
        <v>1.2234564526903708E-3</v>
      </c>
      <c r="P135" s="312">
        <f>(('Emissions '!$J8/'Emissions '!$N8)*P124)/1000000000</f>
        <v>1.8208312612129917E-3</v>
      </c>
      <c r="Q135" s="312">
        <f>(('Emissions '!$J8/'Emissions '!$N8)*Q124)/1000000000</f>
        <v>2.6428430626647789E-3</v>
      </c>
      <c r="R135" s="312">
        <f>(('Emissions '!$J8/'Emissions '!$N8)*R124)/1000000000</f>
        <v>3.7502874152999174E-3</v>
      </c>
      <c r="S135" s="312">
        <f>(('Emissions '!$J8/'Emissions '!$N8)*S124)/1000000000</f>
        <v>5.1316891917970106E-3</v>
      </c>
      <c r="T135" s="312">
        <f>(('Emissions '!$J8/'Emissions '!$N8)*T124)/1000000000</f>
        <v>6.8410176010734345E-3</v>
      </c>
      <c r="U135" s="312">
        <f>(('Emissions '!$J8/'Emissions '!$N8)*U124)/1000000000</f>
        <v>8.9432732543569971E-3</v>
      </c>
      <c r="V135" s="312">
        <f>(('Emissions '!$J8/'Emissions '!$N8)*V124)/1000000000</f>
        <v>1.1474372439047281E-2</v>
      </c>
      <c r="W135" s="312">
        <f>(('Emissions '!$J8/'Emissions '!$N8)*W124)/1000000000</f>
        <v>1.454554272132094E-2</v>
      </c>
      <c r="X135" s="312">
        <f>(('Emissions '!$J8/'Emissions '!$N8)*X124)/1000000000</f>
        <v>1.8137611796262939E-2</v>
      </c>
      <c r="Y135" s="312">
        <f>(('Emissions '!$J8/'Emissions '!$N8)*Y124)/1000000000</f>
        <v>2.2190400344767436E-2</v>
      </c>
      <c r="Z135" s="312">
        <f>(('Emissions '!$J8/'Emissions '!$N8)*Z124)/1000000000</f>
        <v>2.8533537776809611E-2</v>
      </c>
      <c r="AA135" s="312">
        <f>(('Emissions '!$J8/'Emissions '!$N8)*AA124)/1000000000</f>
        <v>3.4113501971576657E-2</v>
      </c>
      <c r="AB135" s="312">
        <f>(('Emissions '!$J8/'Emissions '!$N8)*AB124)/1000000000</f>
        <v>4.070972271878201E-2</v>
      </c>
      <c r="AC135" s="312">
        <f>(('Emissions '!$J8/'Emissions '!$N8)*AC124)/1000000000</f>
        <v>4.8317518004754707E-2</v>
      </c>
      <c r="AD135" s="312">
        <f>(('Emissions '!$J8/'Emissions '!$N8)*AD124)/1000000000</f>
        <v>5.841431389531556E-2</v>
      </c>
      <c r="AE135" s="312">
        <f>(('Emissions '!$J8/'Emissions '!$N8)*AE124)/1000000000</f>
        <v>7.1249051765167687E-2</v>
      </c>
      <c r="AF135" s="312">
        <f>(('Emissions '!$J8/'Emissions '!$N8)*AF124)/1000000000</f>
        <v>8.7049939505309593E-2</v>
      </c>
    </row>
    <row r="136" spans="1:32">
      <c r="A136" s="147" t="s">
        <v>52</v>
      </c>
      <c r="B136" s="312">
        <f>(('Emissions '!$J9/'Emissions '!$N9)*B125)/1000000000</f>
        <v>0</v>
      </c>
      <c r="C136" s="312">
        <f>(('Emissions '!$J9/'Emissions '!$N9)*C125)/1000000000</f>
        <v>0</v>
      </c>
      <c r="D136" s="312">
        <f>(('Emissions '!$J9/'Emissions '!$N9)*D125)/1000000000</f>
        <v>0</v>
      </c>
      <c r="E136" s="312">
        <f>(('Emissions '!$J9/'Emissions '!$N9)*E125)/1000000000</f>
        <v>0</v>
      </c>
      <c r="F136" s="312">
        <f>(('Emissions '!$J9/'Emissions '!$N9)*F125)/1000000000</f>
        <v>0</v>
      </c>
      <c r="G136" s="312">
        <f>(('Emissions '!$J9/'Emissions '!$N9)*G125)/1000000000</f>
        <v>6.9469809359637758E-6</v>
      </c>
      <c r="H136" s="312">
        <f>(('Emissions '!$J9/'Emissions '!$N9)*H125)/1000000000</f>
        <v>2.011297550854817E-5</v>
      </c>
      <c r="I136" s="312">
        <f>(('Emissions '!$J9/'Emissions '!$N9)*I125)/1000000000</f>
        <v>4.6353191815822898E-5</v>
      </c>
      <c r="J136" s="312">
        <f>(('Emissions '!$J9/'Emissions '!$N9)*J125)/1000000000</f>
        <v>9.9670891171342775E-5</v>
      </c>
      <c r="K136" s="312">
        <f>(('Emissions '!$J9/'Emissions '!$N9)*K125)/1000000000</f>
        <v>1.8756532782372178E-4</v>
      </c>
      <c r="L136" s="312">
        <f>(('Emissions '!$J9/'Emissions '!$N9)*L125)/1000000000</f>
        <v>3.3001531224752869E-4</v>
      </c>
      <c r="M136" s="312">
        <f>(('Emissions '!$J9/'Emissions '!$N9)*M125)/1000000000</f>
        <v>5.5057912302779383E-4</v>
      </c>
      <c r="N136" s="312">
        <f>(('Emissions '!$J9/'Emissions '!$N9)*N125)/1000000000</f>
        <v>9.0721401132572567E-4</v>
      </c>
      <c r="O136" s="312">
        <f>(('Emissions '!$J9/'Emissions '!$N9)*O125)/1000000000</f>
        <v>1.3749374790768295E-3</v>
      </c>
      <c r="P136" s="312">
        <f>(('Emissions '!$J9/'Emissions '!$N9)*P125)/1000000000</f>
        <v>1.9907327752548909E-3</v>
      </c>
      <c r="Q136" s="312">
        <f>(('Emissions '!$J9/'Emissions '!$N9)*Q125)/1000000000</f>
        <v>2.8210052863067488E-3</v>
      </c>
      <c r="R136" s="312">
        <f>(('Emissions '!$J9/'Emissions '!$N9)*R125)/1000000000</f>
        <v>3.8942019969559014E-3</v>
      </c>
      <c r="S136" s="312">
        <f>(('Emissions '!$J9/'Emissions '!$N9)*S125)/1000000000</f>
        <v>5.2744060233237341E-3</v>
      </c>
      <c r="T136" s="312">
        <f>(('Emissions '!$J9/'Emissions '!$N9)*T125)/1000000000</f>
        <v>7.0146079287604843E-3</v>
      </c>
      <c r="U136" s="312">
        <f>(('Emissions '!$J9/'Emissions '!$N9)*U125)/1000000000</f>
        <v>9.2366966745411061E-3</v>
      </c>
      <c r="V136" s="312">
        <f>(('Emissions '!$J9/'Emissions '!$N9)*V125)/1000000000</f>
        <v>1.1887404698901901E-2</v>
      </c>
      <c r="W136" s="312">
        <f>(('Emissions '!$J9/'Emissions '!$N9)*W125)/1000000000</f>
        <v>1.4887642052398276E-2</v>
      </c>
      <c r="X136" s="312">
        <f>(('Emissions '!$J9/'Emissions '!$N9)*X125)/1000000000</f>
        <v>1.8535812527995913E-2</v>
      </c>
      <c r="Y136" s="312">
        <f>(('Emissions '!$J9/'Emissions '!$N9)*Y125)/1000000000</f>
        <v>2.4205699392440997E-2</v>
      </c>
      <c r="Z136" s="312">
        <f>(('Emissions '!$J9/'Emissions '!$N9)*Z125)/1000000000</f>
        <v>2.9319081941209645E-2</v>
      </c>
      <c r="AA136" s="312">
        <f>(('Emissions '!$J9/'Emissions '!$N9)*AA125)/1000000000</f>
        <v>3.5222013428218332E-2</v>
      </c>
      <c r="AB136" s="312">
        <f>(('Emissions '!$J9/'Emissions '!$N9)*AB125)/1000000000</f>
        <v>4.181012616682879E-2</v>
      </c>
      <c r="AC136" s="312">
        <f>(('Emissions '!$J9/'Emissions '!$N9)*AC125)/1000000000</f>
        <v>4.9448262087279905E-2</v>
      </c>
      <c r="AD136" s="312">
        <f>(('Emissions '!$J9/'Emissions '!$N9)*AD125)/1000000000</f>
        <v>5.968997080530631E-2</v>
      </c>
      <c r="AE136" s="312">
        <f>(('Emissions '!$J9/'Emissions '!$N9)*AE125)/1000000000</f>
        <v>7.2746093302483467E-2</v>
      </c>
      <c r="AF136" s="312">
        <f>(('Emissions '!$J9/'Emissions '!$N9)*AF125)/1000000000</f>
        <v>8.8814041015524023E-2</v>
      </c>
    </row>
    <row r="137" spans="1:32">
      <c r="A137" s="147" t="s">
        <v>57</v>
      </c>
      <c r="B137" s="312">
        <f>(('Emissions '!$J10/'Emissions '!$N10)*B126)/1000000000</f>
        <v>0</v>
      </c>
      <c r="C137" s="312">
        <f>(('Emissions '!$J10/'Emissions '!$N10)*C126)/1000000000</f>
        <v>0</v>
      </c>
      <c r="D137" s="312">
        <f>(('Emissions '!$J10/'Emissions '!$N10)*D126)/1000000000</f>
        <v>0</v>
      </c>
      <c r="E137" s="312">
        <f>(('Emissions '!$J10/'Emissions '!$N10)*E126)/1000000000</f>
        <v>0</v>
      </c>
      <c r="F137" s="312">
        <f>(('Emissions '!$J10/'Emissions '!$N10)*F126)/1000000000</f>
        <v>0</v>
      </c>
      <c r="G137" s="312">
        <f>(('Emissions '!$J10/'Emissions '!$N10)*G126)/1000000000</f>
        <v>3.1552728279371199E-6</v>
      </c>
      <c r="H137" s="312">
        <f>(('Emissions '!$J10/'Emissions '!$N10)*H126)/1000000000</f>
        <v>9.5058510232668084E-6</v>
      </c>
      <c r="I137" s="312">
        <f>(('Emissions '!$J10/'Emissions '!$N10)*I126)/1000000000</f>
        <v>2.0862315965895593E-5</v>
      </c>
      <c r="J137" s="312">
        <f>(('Emissions '!$J10/'Emissions '!$N10)*J126)/1000000000</f>
        <v>4.6404538517009683E-5</v>
      </c>
      <c r="K137" s="312">
        <f>(('Emissions '!$J10/'Emissions '!$N10)*K126)/1000000000</f>
        <v>9.2314466246505025E-5</v>
      </c>
      <c r="L137" s="312">
        <f>(('Emissions '!$J10/'Emissions '!$N10)*L126)/1000000000</f>
        <v>1.5846465326126676E-4</v>
      </c>
      <c r="M137" s="312">
        <f>(('Emissions '!$J10/'Emissions '!$N10)*M126)/1000000000</f>
        <v>3.0388650292568369E-4</v>
      </c>
      <c r="N137" s="312">
        <f>(('Emissions '!$J10/'Emissions '!$N10)*N126)/1000000000</f>
        <v>4.6713320063057644E-4</v>
      </c>
      <c r="O137" s="312">
        <f>(('Emissions '!$J10/'Emissions '!$N10)*O126)/1000000000</f>
        <v>6.6398970687751098E-4</v>
      </c>
      <c r="P137" s="312">
        <f>(('Emissions '!$J10/'Emissions '!$N10)*P126)/1000000000</f>
        <v>9.3264030183106382E-4</v>
      </c>
      <c r="Q137" s="312">
        <f>(('Emissions '!$J10/'Emissions '!$N10)*Q126)/1000000000</f>
        <v>1.3303070301435474E-3</v>
      </c>
      <c r="R137" s="312">
        <f>(('Emissions '!$J10/'Emissions '!$N10)*R126)/1000000000</f>
        <v>1.7613641746626822E-3</v>
      </c>
      <c r="S137" s="312">
        <f>(('Emissions '!$J10/'Emissions '!$N10)*S126)/1000000000</f>
        <v>2.3539952883900022E-3</v>
      </c>
      <c r="T137" s="312">
        <f>(('Emissions '!$J10/'Emissions '!$N10)*T126)/1000000000</f>
        <v>3.0751623841075823E-3</v>
      </c>
      <c r="U137" s="312">
        <f>(('Emissions '!$J10/'Emissions '!$N10)*U126)/1000000000</f>
        <v>4.0217573202183153E-3</v>
      </c>
      <c r="V137" s="312">
        <f>(('Emissions '!$J10/'Emissions '!$N10)*V126)/1000000000</f>
        <v>5.1875430474743675E-3</v>
      </c>
      <c r="W137" s="312">
        <f>(('Emissions '!$J10/'Emissions '!$N10)*W126)/1000000000</f>
        <v>6.5484607297191123E-3</v>
      </c>
      <c r="X137" s="312">
        <f>(('Emissions '!$J10/'Emissions '!$N10)*X126)/1000000000</f>
        <v>8.180718534624128E-3</v>
      </c>
      <c r="Y137" s="312">
        <f>(('Emissions '!$J10/'Emissions '!$N10)*Y126)/1000000000</f>
        <v>1.0229512883316465E-2</v>
      </c>
      <c r="Z137" s="312">
        <f>(('Emissions '!$J10/'Emissions '!$N10)*Z126)/1000000000</f>
        <v>1.2317496739652916E-2</v>
      </c>
      <c r="AA137" s="312">
        <f>(('Emissions '!$J10/'Emissions '!$N10)*AA126)/1000000000</f>
        <v>1.4771678883190633E-2</v>
      </c>
      <c r="AB137" s="312">
        <f>(('Emissions '!$J10/'Emissions '!$N10)*AB126)/1000000000</f>
        <v>1.7375698779731417E-2</v>
      </c>
      <c r="AC137" s="312">
        <f>(('Emissions '!$J10/'Emissions '!$N10)*AC126)/1000000000</f>
        <v>2.0336553144601515E-2</v>
      </c>
      <c r="AD137" s="312">
        <f>(('Emissions '!$J10/'Emissions '!$N10)*AD126)/1000000000</f>
        <v>2.4359533600245963E-2</v>
      </c>
      <c r="AE137" s="312">
        <f>(('Emissions '!$J10/'Emissions '!$N10)*AE126)/1000000000</f>
        <v>2.9470647458570913E-2</v>
      </c>
      <c r="AF137" s="312">
        <f>(('Emissions '!$J10/'Emissions '!$N10)*AF126)/1000000000</f>
        <v>3.5744753324465403E-2</v>
      </c>
    </row>
    <row r="138" spans="1:32">
      <c r="A138" s="147" t="s">
        <v>617</v>
      </c>
      <c r="B138" s="312">
        <f>SUM(B129:B137)</f>
        <v>0</v>
      </c>
      <c r="C138" s="312">
        <f t="shared" ref="C138:AF138" si="5">SUM(C129:C137)</f>
        <v>0</v>
      </c>
      <c r="D138" s="312">
        <f t="shared" si="5"/>
        <v>0</v>
      </c>
      <c r="E138" s="312">
        <f t="shared" si="5"/>
        <v>0</v>
      </c>
      <c r="F138" s="312">
        <f t="shared" si="5"/>
        <v>0</v>
      </c>
      <c r="G138" s="312">
        <f t="shared" si="5"/>
        <v>3.7452275151328771E-4</v>
      </c>
      <c r="H138" s="312">
        <f t="shared" si="5"/>
        <v>1.1055508950473976E-3</v>
      </c>
      <c r="I138" s="312">
        <f t="shared" si="5"/>
        <v>2.5207655627949321E-3</v>
      </c>
      <c r="J138" s="312">
        <f t="shared" si="5"/>
        <v>5.0625973690557047E-3</v>
      </c>
      <c r="K138" s="312">
        <f t="shared" si="5"/>
        <v>9.2679533795507196E-3</v>
      </c>
      <c r="L138" s="312">
        <f t="shared" si="5"/>
        <v>1.6044102500382511E-2</v>
      </c>
      <c r="M138" s="312">
        <f t="shared" si="5"/>
        <v>2.6305775587790518E-2</v>
      </c>
      <c r="N138" s="312">
        <f t="shared" si="5"/>
        <v>4.1534706154334022E-2</v>
      </c>
      <c r="O138" s="312">
        <f t="shared" si="5"/>
        <v>6.2529716806738411E-2</v>
      </c>
      <c r="P138" s="312">
        <f t="shared" si="5"/>
        <v>9.1518769060979832E-2</v>
      </c>
      <c r="Q138" s="312">
        <f t="shared" si="5"/>
        <v>0.13061484140947963</v>
      </c>
      <c r="R138" s="312">
        <f t="shared" si="5"/>
        <v>0.1820212627188304</v>
      </c>
      <c r="S138" s="312">
        <f t="shared" si="5"/>
        <v>0.24781245534774229</v>
      </c>
      <c r="T138" s="312">
        <f t="shared" si="5"/>
        <v>0.32938833764363445</v>
      </c>
      <c r="U138" s="312">
        <f t="shared" si="5"/>
        <v>0.42920643354692539</v>
      </c>
      <c r="V138" s="312">
        <f t="shared" si="5"/>
        <v>0.54923066905348816</v>
      </c>
      <c r="W138" s="312">
        <f t="shared" si="5"/>
        <v>0.68913332857511289</v>
      </c>
      <c r="X138" s="312">
        <f t="shared" si="5"/>
        <v>0.85360758217373456</v>
      </c>
      <c r="Y138" s="312">
        <f t="shared" si="5"/>
        <v>1.0456488320762634</v>
      </c>
      <c r="Z138" s="312">
        <f t="shared" si="5"/>
        <v>1.2600038146100783</v>
      </c>
      <c r="AA138" s="312">
        <f t="shared" si="5"/>
        <v>1.4946914996238954</v>
      </c>
      <c r="AB138" s="312">
        <f t="shared" si="5"/>
        <v>1.7671899880041497</v>
      </c>
      <c r="AC138" s="312">
        <f t="shared" si="5"/>
        <v>2.0786791026469493</v>
      </c>
      <c r="AD138" s="312">
        <f t="shared" si="5"/>
        <v>2.4913534275934786</v>
      </c>
      <c r="AE138" s="312">
        <f t="shared" si="5"/>
        <v>3.0107547751663342</v>
      </c>
      <c r="AF138" s="312">
        <f t="shared" si="5"/>
        <v>3.6423474307781825</v>
      </c>
    </row>
    <row r="139" spans="1:32"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312"/>
      <c r="AE139" s="312"/>
      <c r="AF139" s="312"/>
    </row>
    <row r="140" spans="1:32">
      <c r="A140" s="147" t="str" cm="1">
        <f t="array" ref="A140:AF149">'Applicationwise Stock'!A88:AF97</f>
        <v xml:space="preserve"> </v>
      </c>
      <c r="B140" s="312">
        <v>0</v>
      </c>
      <c r="C140" s="312">
        <v>0</v>
      </c>
      <c r="D140" s="312">
        <v>0</v>
      </c>
      <c r="E140" s="312">
        <v>0</v>
      </c>
      <c r="F140" s="312">
        <v>0</v>
      </c>
      <c r="G140" s="312">
        <v>0</v>
      </c>
      <c r="H140" s="312">
        <v>0</v>
      </c>
      <c r="I140" s="312">
        <v>0</v>
      </c>
      <c r="J140" s="312">
        <v>0</v>
      </c>
      <c r="K140" s="312">
        <v>0</v>
      </c>
      <c r="L140" s="312">
        <v>0</v>
      </c>
      <c r="M140" s="312">
        <v>0</v>
      </c>
      <c r="N140" s="312">
        <v>0</v>
      </c>
      <c r="O140" s="312">
        <v>0</v>
      </c>
      <c r="P140" s="312">
        <v>0</v>
      </c>
      <c r="Q140" s="312">
        <v>0</v>
      </c>
      <c r="R140" s="312">
        <v>0</v>
      </c>
      <c r="S140" s="312">
        <v>0</v>
      </c>
      <c r="T140" s="312">
        <v>0</v>
      </c>
      <c r="U140" s="312">
        <v>0</v>
      </c>
      <c r="V140" s="312">
        <v>0</v>
      </c>
      <c r="W140" s="312">
        <v>0</v>
      </c>
      <c r="X140" s="312">
        <v>0</v>
      </c>
      <c r="Y140" s="312">
        <v>0</v>
      </c>
      <c r="Z140" s="312">
        <v>0</v>
      </c>
      <c r="AA140" s="312">
        <v>0</v>
      </c>
      <c r="AB140" s="312">
        <v>0</v>
      </c>
      <c r="AC140" s="312">
        <v>0</v>
      </c>
      <c r="AD140" s="312">
        <v>0</v>
      </c>
      <c r="AE140" s="312">
        <v>0</v>
      </c>
      <c r="AF140" s="312">
        <v>0</v>
      </c>
    </row>
    <row r="141" spans="1:32">
      <c r="A141" s="147" t="str">
        <v>Market Load Total</v>
      </c>
      <c r="B141" s="312">
        <v>1534858.8579014384</v>
      </c>
      <c r="C141" s="312">
        <v>1567044.3316672479</v>
      </c>
      <c r="D141" s="312">
        <v>1603791.8795460176</v>
      </c>
      <c r="E141" s="312">
        <v>1624504.0073385106</v>
      </c>
      <c r="F141" s="312">
        <v>1663794.7238958159</v>
      </c>
      <c r="G141" s="312">
        <v>1659795.67249833</v>
      </c>
      <c r="H141" s="312">
        <v>1652830.3914208466</v>
      </c>
      <c r="I141" s="312">
        <v>1704282.4833022503</v>
      </c>
      <c r="J141" s="312">
        <v>1764503.8198452014</v>
      </c>
      <c r="K141" s="312">
        <v>1819184.3143383916</v>
      </c>
      <c r="L141" s="312">
        <v>1890666.2676655513</v>
      </c>
      <c r="M141" s="312">
        <v>1972187.153944754</v>
      </c>
      <c r="N141" s="312">
        <v>2079278.487114433</v>
      </c>
      <c r="O141" s="312">
        <v>2140652.460315696</v>
      </c>
      <c r="P141" s="312">
        <v>2216806.8380139545</v>
      </c>
      <c r="Q141" s="312">
        <v>2290252.6316567636</v>
      </c>
      <c r="R141" s="312">
        <v>2395112.0322639234</v>
      </c>
      <c r="S141" s="312">
        <v>2528376.7457339321</v>
      </c>
      <c r="T141" s="312">
        <v>2683891.3158493103</v>
      </c>
      <c r="U141" s="312">
        <v>2816749.7511340231</v>
      </c>
      <c r="V141" s="312">
        <v>2963873.1287836218</v>
      </c>
      <c r="W141" s="312">
        <v>3123805.0408742758</v>
      </c>
      <c r="X141" s="312">
        <v>3272336.3017115248</v>
      </c>
      <c r="Y141" s="312">
        <v>3401478.1310022506</v>
      </c>
      <c r="Z141" s="312">
        <v>3539242.01364177</v>
      </c>
      <c r="AA141" s="312">
        <v>3717988.5405824608</v>
      </c>
      <c r="AB141" s="312">
        <v>3879322.917035128</v>
      </c>
      <c r="AC141" s="312">
        <v>4049883.8448831728</v>
      </c>
      <c r="AD141" s="312">
        <v>4221776.2841220349</v>
      </c>
      <c r="AE141" s="312">
        <v>4400317.9230969166</v>
      </c>
      <c r="AF141" s="312">
        <v>4583428.1130505903</v>
      </c>
    </row>
    <row r="142" spans="1:32">
      <c r="A142" s="147" t="str">
        <v>Parcel Load, FMCG &amp; eCommerce</v>
      </c>
      <c r="B142" s="312">
        <v>2153466.9324461347</v>
      </c>
      <c r="C142" s="312">
        <v>2180987.5223410684</v>
      </c>
      <c r="D142" s="312">
        <v>2243340.7859013649</v>
      </c>
      <c r="E142" s="312">
        <v>2266475.337697621</v>
      </c>
      <c r="F142" s="312">
        <v>2329797.1407474098</v>
      </c>
      <c r="G142" s="312">
        <v>2337311.3410661118</v>
      </c>
      <c r="H142" s="312">
        <v>2332667.2256814749</v>
      </c>
      <c r="I142" s="312">
        <v>2451799.7144596339</v>
      </c>
      <c r="J142" s="312">
        <v>2500044.6286314297</v>
      </c>
      <c r="K142" s="312">
        <v>2608000.9533486394</v>
      </c>
      <c r="L142" s="312">
        <v>2778647.4864946506</v>
      </c>
      <c r="M142" s="312">
        <v>2898140.5042478745</v>
      </c>
      <c r="N142" s="312">
        <v>2877697.159634551</v>
      </c>
      <c r="O142" s="312">
        <v>2937323.107860649</v>
      </c>
      <c r="P142" s="312">
        <v>3009517.5725402469</v>
      </c>
      <c r="Q142" s="312">
        <v>3129577.521998317</v>
      </c>
      <c r="R142" s="312">
        <v>3280832.6991676167</v>
      </c>
      <c r="S142" s="312">
        <v>3481841.5647938806</v>
      </c>
      <c r="T142" s="312">
        <v>3691839.2051685411</v>
      </c>
      <c r="U142" s="312">
        <v>3884220.878923838</v>
      </c>
      <c r="V142" s="312">
        <v>4084483.5344042084</v>
      </c>
      <c r="W142" s="312">
        <v>4305176.8655305803</v>
      </c>
      <c r="X142" s="312">
        <v>4512286.9258552082</v>
      </c>
      <c r="Y142" s="312">
        <v>4679634.8576107109</v>
      </c>
      <c r="Z142" s="312">
        <v>4862914.0445749909</v>
      </c>
      <c r="AA142" s="312">
        <v>5104379.8984415531</v>
      </c>
      <c r="AB142" s="312">
        <v>5330753.5582023384</v>
      </c>
      <c r="AC142" s="312">
        <v>5567587.8238965236</v>
      </c>
      <c r="AD142" s="312">
        <v>5805700.8716567438</v>
      </c>
      <c r="AE142" s="312">
        <v>6050553.2137226611</v>
      </c>
      <c r="AF142" s="312">
        <v>6302153.5992371915</v>
      </c>
    </row>
    <row r="143" spans="1:32">
      <c r="A143" s="147" t="str">
        <v>Cement Total</v>
      </c>
      <c r="B143" s="312">
        <v>435268.00440058246</v>
      </c>
      <c r="C143" s="312">
        <v>451211.99220522313</v>
      </c>
      <c r="D143" s="312">
        <v>451908.18829346937</v>
      </c>
      <c r="E143" s="312">
        <v>465091.41343036876</v>
      </c>
      <c r="F143" s="312">
        <v>464570.44774384022</v>
      </c>
      <c r="G143" s="312">
        <v>459862.50506720127</v>
      </c>
      <c r="H143" s="312">
        <v>461822.25944044866</v>
      </c>
      <c r="I143" s="312">
        <v>448974.40539909253</v>
      </c>
      <c r="J143" s="312">
        <v>456970.88668799598</v>
      </c>
      <c r="K143" s="312">
        <v>484057.47413984773</v>
      </c>
      <c r="L143" s="312">
        <v>482038.81676941941</v>
      </c>
      <c r="M143" s="312">
        <v>508303.13744216756</v>
      </c>
      <c r="N143" s="312">
        <v>512710.75607762649</v>
      </c>
      <c r="O143" s="312">
        <v>519660.66422476387</v>
      </c>
      <c r="P143" s="312">
        <v>531700.44434999267</v>
      </c>
      <c r="Q143" s="312">
        <v>554324.70970025985</v>
      </c>
      <c r="R143" s="312">
        <v>572752.55520443374</v>
      </c>
      <c r="S143" s="312">
        <v>679593.90944595856</v>
      </c>
      <c r="T143" s="312">
        <v>715212.48618225881</v>
      </c>
      <c r="U143" s="312">
        <v>747014.32429719286</v>
      </c>
      <c r="V143" s="312">
        <v>781162.52212300885</v>
      </c>
      <c r="W143" s="312">
        <v>818411.45338912017</v>
      </c>
      <c r="X143" s="312">
        <v>854474.57038379891</v>
      </c>
      <c r="Y143" s="312">
        <v>891467.34527380648</v>
      </c>
      <c r="Z143" s="312">
        <v>929721.8102739735</v>
      </c>
      <c r="AA143" s="312">
        <v>969405.266396655</v>
      </c>
      <c r="AB143" s="312">
        <v>1020286.6234402549</v>
      </c>
      <c r="AC143" s="312">
        <v>1074744.0899482938</v>
      </c>
      <c r="AD143" s="312">
        <v>1132761.620849764</v>
      </c>
      <c r="AE143" s="312">
        <v>1180648.6635954035</v>
      </c>
      <c r="AF143" s="312">
        <v>1230674.1972519543</v>
      </c>
    </row>
    <row r="144" spans="1:32">
      <c r="A144" s="147" t="str">
        <v>Steel &amp; Metal Products Total</v>
      </c>
      <c r="B144" s="312">
        <v>497189.2457194741</v>
      </c>
      <c r="C144" s="312">
        <v>499426.9353017924</v>
      </c>
      <c r="D144" s="312">
        <v>485878.685796807</v>
      </c>
      <c r="E144" s="312">
        <v>487580.32148032816</v>
      </c>
      <c r="F144" s="312">
        <v>488615.13458857132</v>
      </c>
      <c r="G144" s="312">
        <v>512879.30025458446</v>
      </c>
      <c r="H144" s="312">
        <v>543581.84463296097</v>
      </c>
      <c r="I144" s="312">
        <v>558176.33540470793</v>
      </c>
      <c r="J144" s="312">
        <v>586490.98130110058</v>
      </c>
      <c r="K144" s="312">
        <v>618802.32020179415</v>
      </c>
      <c r="L144" s="312">
        <v>656825.83541858499</v>
      </c>
      <c r="M144" s="312">
        <v>680596.43429005845</v>
      </c>
      <c r="N144" s="312">
        <v>704243.20911976101</v>
      </c>
      <c r="O144" s="312">
        <v>700464.67627870722</v>
      </c>
      <c r="P144" s="312">
        <v>701073.63358895283</v>
      </c>
      <c r="Q144" s="312">
        <v>718777.23184618168</v>
      </c>
      <c r="R144" s="312">
        <v>753097.17600249685</v>
      </c>
      <c r="S144" s="312">
        <v>780915.16583371744</v>
      </c>
      <c r="T144" s="312">
        <v>810251.84657438076</v>
      </c>
      <c r="U144" s="312">
        <v>835968.94271155982</v>
      </c>
      <c r="V144" s="312">
        <v>864044.35731023224</v>
      </c>
      <c r="W144" s="312">
        <v>884026.69748323096</v>
      </c>
      <c r="X144" s="312">
        <v>911957.74012564716</v>
      </c>
      <c r="Y144" s="312">
        <v>968681.69359823689</v>
      </c>
      <c r="Z144" s="312">
        <v>1014271.8846709178</v>
      </c>
      <c r="AA144" s="312">
        <v>1017634.3497924777</v>
      </c>
      <c r="AB144" s="312">
        <v>1054778.3738842367</v>
      </c>
      <c r="AC144" s="312">
        <v>1092201.1945323902</v>
      </c>
      <c r="AD144" s="312">
        <v>1126835.5951070921</v>
      </c>
      <c r="AE144" s="312">
        <v>1163565.1440693464</v>
      </c>
      <c r="AF144" s="312">
        <v>1202201.9816612916</v>
      </c>
    </row>
    <row r="145" spans="1:32">
      <c r="A145" s="147" t="str">
        <v>Tankers - Petroleum &amp; CNG Total</v>
      </c>
      <c r="B145" s="312">
        <v>212736.59028423563</v>
      </c>
      <c r="C145" s="312">
        <v>216266.29828519627</v>
      </c>
      <c r="D145" s="312">
        <v>221443.75665755113</v>
      </c>
      <c r="E145" s="312">
        <v>236645.72260533035</v>
      </c>
      <c r="F145" s="312">
        <v>236872.28819928685</v>
      </c>
      <c r="G145" s="312">
        <v>265008.69771065837</v>
      </c>
      <c r="H145" s="312">
        <v>298004.50434284488</v>
      </c>
      <c r="I145" s="312">
        <v>300445.97476310103</v>
      </c>
      <c r="J145" s="312">
        <v>319606.1902077074</v>
      </c>
      <c r="K145" s="312">
        <v>322082.30275509215</v>
      </c>
      <c r="L145" s="312">
        <v>315641.12130569754</v>
      </c>
      <c r="M145" s="312">
        <v>302933.51330437418</v>
      </c>
      <c r="N145" s="312">
        <v>288497.36934573168</v>
      </c>
      <c r="O145" s="312">
        <v>271133.28066689963</v>
      </c>
      <c r="P145" s="312">
        <v>250685.3170415106</v>
      </c>
      <c r="Q145" s="312">
        <v>240351.36976176404</v>
      </c>
      <c r="R145" s="312">
        <v>263231.07994158915</v>
      </c>
      <c r="S145" s="312">
        <v>250887.47990358941</v>
      </c>
      <c r="T145" s="312">
        <v>238134.64602662917</v>
      </c>
      <c r="U145" s="312">
        <v>222451.53256629521</v>
      </c>
      <c r="V145" s="312">
        <v>206439.83661377357</v>
      </c>
      <c r="W145" s="312">
        <v>189627.56448436488</v>
      </c>
      <c r="X145" s="312">
        <v>177492.47202802298</v>
      </c>
      <c r="Y145" s="312">
        <v>166976.1751794694</v>
      </c>
      <c r="Z145" s="312">
        <v>157346.48198077083</v>
      </c>
      <c r="AA145" s="312">
        <v>143932.54565659747</v>
      </c>
      <c r="AB145" s="312">
        <v>142383.77451770674</v>
      </c>
      <c r="AC145" s="312">
        <v>141752.02799409657</v>
      </c>
      <c r="AD145" s="312">
        <v>135121.9438811923</v>
      </c>
      <c r="AE145" s="312">
        <v>128969.39787414875</v>
      </c>
      <c r="AF145" s="312">
        <v>123316.5055359</v>
      </c>
    </row>
    <row r="146" spans="1:32">
      <c r="A146" s="147" t="str">
        <v>Tankers - Milk, Edible Oil &amp; Water Total</v>
      </c>
      <c r="B146" s="312">
        <v>86946.942070189529</v>
      </c>
      <c r="C146" s="312">
        <v>88305.48771459586</v>
      </c>
      <c r="D146" s="312">
        <v>88531.882375724046</v>
      </c>
      <c r="E146" s="312">
        <v>93628.985522896328</v>
      </c>
      <c r="F146" s="312">
        <v>95347.726932026912</v>
      </c>
      <c r="G146" s="312">
        <v>107881.10441297779</v>
      </c>
      <c r="H146" s="312">
        <v>130691.87675973137</v>
      </c>
      <c r="I146" s="312">
        <v>131364.8438211426</v>
      </c>
      <c r="J146" s="312">
        <v>148411.16026847428</v>
      </c>
      <c r="K146" s="312">
        <v>165697.2686778043</v>
      </c>
      <c r="L146" s="312">
        <v>167553.28603517258</v>
      </c>
      <c r="M146" s="312">
        <v>182076.32862192998</v>
      </c>
      <c r="N146" s="312">
        <v>198083.68133496065</v>
      </c>
      <c r="O146" s="312">
        <v>228648.67427891633</v>
      </c>
      <c r="P146" s="312">
        <v>234756.03100392016</v>
      </c>
      <c r="Q146" s="312">
        <v>237764.13688904722</v>
      </c>
      <c r="R146" s="312">
        <v>248297.77334725129</v>
      </c>
      <c r="S146" s="312">
        <v>253891.60294218137</v>
      </c>
      <c r="T146" s="312">
        <v>260393.96000221741</v>
      </c>
      <c r="U146" s="312">
        <v>260845.61618888259</v>
      </c>
      <c r="V146" s="312">
        <v>266965.47880556143</v>
      </c>
      <c r="W146" s="312">
        <v>272182.78172851674</v>
      </c>
      <c r="X146" s="312">
        <v>282214.79721874627</v>
      </c>
      <c r="Y146" s="312">
        <v>296838.52845767041</v>
      </c>
      <c r="Z146" s="312">
        <v>315388.49235191429</v>
      </c>
      <c r="AA146" s="312">
        <v>328850.26689515926</v>
      </c>
      <c r="AB146" s="312">
        <v>338870.92603307578</v>
      </c>
      <c r="AC146" s="312">
        <v>349095.86252037267</v>
      </c>
      <c r="AD146" s="312">
        <v>358720.12295779504</v>
      </c>
      <c r="AE146" s="312">
        <v>369143.49385061959</v>
      </c>
      <c r="AF146" s="312">
        <v>380329.35390599945</v>
      </c>
    </row>
    <row r="147" spans="1:32">
      <c r="A147" s="147" t="str">
        <v>Minerals &amp; Tippers Total</v>
      </c>
      <c r="B147" s="312">
        <v>143536.56831417378</v>
      </c>
      <c r="C147" s="312">
        <v>145941.65114758009</v>
      </c>
      <c r="D147" s="312">
        <v>143330.80577797978</v>
      </c>
      <c r="E147" s="312">
        <v>143655.74067620948</v>
      </c>
      <c r="F147" s="312">
        <v>146054.16680263059</v>
      </c>
      <c r="G147" s="312">
        <v>156396.94710522713</v>
      </c>
      <c r="H147" s="312">
        <v>161349.57009733579</v>
      </c>
      <c r="I147" s="312">
        <v>169155.15323222926</v>
      </c>
      <c r="J147" s="312">
        <v>181525.25824497567</v>
      </c>
      <c r="K147" s="312">
        <v>200743.45615093654</v>
      </c>
      <c r="L147" s="312">
        <v>212117.36338831627</v>
      </c>
      <c r="M147" s="312">
        <v>220542.13154083834</v>
      </c>
      <c r="N147" s="312">
        <v>229692.33743374492</v>
      </c>
      <c r="O147" s="312">
        <v>238689.86230087205</v>
      </c>
      <c r="P147" s="312">
        <v>246799.4755751729</v>
      </c>
      <c r="Q147" s="312">
        <v>258990.09308149724</v>
      </c>
      <c r="R147" s="312">
        <v>275968.90070483007</v>
      </c>
      <c r="S147" s="312">
        <v>294086.31733457261</v>
      </c>
      <c r="T147" s="312">
        <v>309703.81013018661</v>
      </c>
      <c r="U147" s="312">
        <v>323771.55163259245</v>
      </c>
      <c r="V147" s="312">
        <v>338815.71636495827</v>
      </c>
      <c r="W147" s="312">
        <v>356631.29621448572</v>
      </c>
      <c r="X147" s="312">
        <v>373936.00217036763</v>
      </c>
      <c r="Y147" s="312">
        <v>391102.0456956799</v>
      </c>
      <c r="Z147" s="312">
        <v>435572.69700234034</v>
      </c>
      <c r="AA147" s="312">
        <v>454014.81954359997</v>
      </c>
      <c r="AB147" s="312">
        <v>477624.498647695</v>
      </c>
      <c r="AC147" s="312">
        <v>502332.79228529974</v>
      </c>
      <c r="AD147" s="312">
        <v>527072.52764163818</v>
      </c>
      <c r="AE147" s="312">
        <v>552811.38820119458</v>
      </c>
      <c r="AF147" s="312">
        <v>580140.38356339745</v>
      </c>
    </row>
    <row r="148" spans="1:32">
      <c r="A148" s="147" t="str">
        <v>Perishables &amp; Fish Total</v>
      </c>
      <c r="B148" s="312">
        <v>177812.9054268678</v>
      </c>
      <c r="C148" s="312">
        <v>178911.40678297254</v>
      </c>
      <c r="D148" s="312">
        <v>174712.98335696565</v>
      </c>
      <c r="E148" s="312">
        <v>173471.05191581932</v>
      </c>
      <c r="F148" s="312">
        <v>168829.70144249382</v>
      </c>
      <c r="G148" s="312">
        <v>171644.68622524515</v>
      </c>
      <c r="H148" s="312">
        <v>172293.68153679644</v>
      </c>
      <c r="I148" s="312">
        <v>179179.20488329462</v>
      </c>
      <c r="J148" s="312">
        <v>199338.39030450836</v>
      </c>
      <c r="K148" s="312">
        <v>214850.503319201</v>
      </c>
      <c r="L148" s="312">
        <v>229038.64963048467</v>
      </c>
      <c r="M148" s="312">
        <v>242976.88701569161</v>
      </c>
      <c r="N148" s="312">
        <v>259757.16456730978</v>
      </c>
      <c r="O148" s="312">
        <v>265087.20671566215</v>
      </c>
      <c r="P148" s="312">
        <v>266653.85003225494</v>
      </c>
      <c r="Q148" s="312">
        <v>273197.07009044458</v>
      </c>
      <c r="R148" s="312">
        <v>283187.72628529795</v>
      </c>
      <c r="S148" s="312">
        <v>298709.0586410957</v>
      </c>
      <c r="T148" s="312">
        <v>313826.49228076846</v>
      </c>
      <c r="U148" s="312">
        <v>330460.2510335074</v>
      </c>
      <c r="V148" s="312">
        <v>346882.19903512503</v>
      </c>
      <c r="W148" s="312">
        <v>360724.63328665029</v>
      </c>
      <c r="X148" s="312">
        <v>377649.71989804792</v>
      </c>
      <c r="Y148" s="312">
        <v>421602.2751940579</v>
      </c>
      <c r="Z148" s="312">
        <v>442298.79377124825</v>
      </c>
      <c r="AA148" s="312">
        <v>463253.02378805756</v>
      </c>
      <c r="AB148" s="312">
        <v>484763.92025536811</v>
      </c>
      <c r="AC148" s="312">
        <v>508040.46571879974</v>
      </c>
      <c r="AD148" s="312">
        <v>532246.51568258717</v>
      </c>
      <c r="AE148" s="312">
        <v>557786.40889039612</v>
      </c>
      <c r="AF148" s="312">
        <v>584933.66228800593</v>
      </c>
    </row>
    <row r="149" spans="1:32">
      <c r="A149" s="147" t="str">
        <v>LPG Total</v>
      </c>
      <c r="B149" s="312">
        <v>73244.981847865056</v>
      </c>
      <c r="C149" s="312">
        <v>74593.684711054651</v>
      </c>
      <c r="D149" s="312">
        <v>75999.563333659971</v>
      </c>
      <c r="E149" s="312">
        <v>81735.332156568518</v>
      </c>
      <c r="F149" s="312">
        <v>84012.682471576176</v>
      </c>
      <c r="G149" s="312">
        <v>93551.858483315082</v>
      </c>
      <c r="H149" s="312">
        <v>97715.908911213191</v>
      </c>
      <c r="I149" s="312">
        <v>96772.447558199507</v>
      </c>
      <c r="J149" s="312">
        <v>111368.99733225872</v>
      </c>
      <c r="K149" s="312">
        <v>126892.16989194468</v>
      </c>
      <c r="L149" s="312">
        <v>131973.98611577417</v>
      </c>
      <c r="M149" s="312">
        <v>160930.32241596293</v>
      </c>
      <c r="N149" s="312">
        <v>160501.74819553291</v>
      </c>
      <c r="O149" s="312">
        <v>153620.23018148469</v>
      </c>
      <c r="P149" s="312">
        <v>149909.90067764689</v>
      </c>
      <c r="Q149" s="312">
        <v>154598.49779937731</v>
      </c>
      <c r="R149" s="312">
        <v>153704.41990621394</v>
      </c>
      <c r="S149" s="312">
        <v>159978.51819472489</v>
      </c>
      <c r="T149" s="312">
        <v>165095.60060936096</v>
      </c>
      <c r="U149" s="312">
        <v>172663.14750359202</v>
      </c>
      <c r="V149" s="312">
        <v>181651.0552615585</v>
      </c>
      <c r="W149" s="312">
        <v>190401.49571082101</v>
      </c>
      <c r="X149" s="312">
        <v>200009.32088621648</v>
      </c>
      <c r="Y149" s="312">
        <v>213806.79826569877</v>
      </c>
      <c r="Z149" s="312">
        <v>222981.63200965477</v>
      </c>
      <c r="AA149" s="312">
        <v>233139.13918101889</v>
      </c>
      <c r="AB149" s="312">
        <v>241753.25826177656</v>
      </c>
      <c r="AC149" s="312">
        <v>250729.74849863281</v>
      </c>
      <c r="AD149" s="312">
        <v>260652.36837873425</v>
      </c>
      <c r="AE149" s="312">
        <v>271162.21697689372</v>
      </c>
      <c r="AF149" s="312">
        <v>282500.05378324777</v>
      </c>
    </row>
    <row r="150" spans="1:32"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  <c r="Z150" s="312"/>
      <c r="AA150" s="312"/>
      <c r="AB150" s="312"/>
      <c r="AC150" s="312"/>
      <c r="AD150" s="312"/>
      <c r="AE150" s="312"/>
      <c r="AF150" s="312"/>
    </row>
    <row r="151" spans="1:32" ht="28.8">
      <c r="A151" s="442" t="s">
        <v>618</v>
      </c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2"/>
    </row>
    <row r="152" spans="1:32">
      <c r="A152" s="147" t="s">
        <v>43</v>
      </c>
      <c r="B152" s="312">
        <f>(('Emissions '!$J2/'Emissions '!$K2)*B141)/1000000</f>
        <v>39467.799203179842</v>
      </c>
      <c r="C152" s="312">
        <f>(('Emissions '!$J2/'Emissions '!$K2)*C141)/1000000</f>
        <v>40295.425671443518</v>
      </c>
      <c r="D152" s="312">
        <f>(('Emissions '!$J2/'Emissions '!$K2)*D141)/1000000</f>
        <v>41240.362616897597</v>
      </c>
      <c r="E152" s="312">
        <f>(('Emissions '!$J2/'Emissions '!$K2)*E141)/1000000</f>
        <v>41772.960188704557</v>
      </c>
      <c r="F152" s="312">
        <f>(('Emissions '!$J2/'Emissions '!$K2)*F141)/1000000</f>
        <v>42783.292900178123</v>
      </c>
      <c r="G152" s="312">
        <f>(('Emissions '!$J2/'Emissions '!$K2)*G141)/1000000</f>
        <v>42680.460149957056</v>
      </c>
      <c r="H152" s="312">
        <f>(('Emissions '!$J2/'Emissions '!$K2)*H141)/1000000</f>
        <v>42501.352922250342</v>
      </c>
      <c r="I152" s="312">
        <f>(('Emissions '!$J2/'Emissions '!$K2)*I141)/1000000</f>
        <v>43824.406713486438</v>
      </c>
      <c r="J152" s="312">
        <f>(('Emissions '!$J2/'Emissions '!$K2)*J141)/1000000</f>
        <v>45372.955367448034</v>
      </c>
      <c r="K152" s="312">
        <f>(('Emissions '!$J2/'Emissions '!$K2)*K141)/1000000</f>
        <v>46779.025225844351</v>
      </c>
      <c r="L152" s="312">
        <f>(('Emissions '!$J2/'Emissions '!$K2)*L141)/1000000</f>
        <v>48617.13259711417</v>
      </c>
      <c r="M152" s="312">
        <f>(('Emissions '!$J2/'Emissions '!$K2)*M141)/1000000</f>
        <v>50713.38395857939</v>
      </c>
      <c r="N152" s="312">
        <f>(('Emissions '!$J2/'Emissions '!$K2)*N141)/1000000</f>
        <v>53467.161097228272</v>
      </c>
      <c r="O152" s="312">
        <f>(('Emissions '!$J2/'Emissions '!$K2)*O141)/1000000</f>
        <v>55045.348979546463</v>
      </c>
      <c r="P152" s="312">
        <f>(('Emissions '!$J2/'Emissions '!$K2)*P141)/1000000</f>
        <v>57003.604406073115</v>
      </c>
      <c r="Q152" s="312">
        <f>(('Emissions '!$J2/'Emissions '!$K2)*Q141)/1000000</f>
        <v>58892.210528316777</v>
      </c>
      <c r="R152" s="312">
        <f>(('Emissions '!$J2/'Emissions '!$K2)*R141)/1000000</f>
        <v>61588.595115358032</v>
      </c>
      <c r="S152" s="312">
        <f>(('Emissions '!$J2/'Emissions '!$K2)*S141)/1000000</f>
        <v>65015.402033158258</v>
      </c>
      <c r="T152" s="312">
        <f>(('Emissions '!$J2/'Emissions '!$K2)*T141)/1000000</f>
        <v>69014.348121839401</v>
      </c>
      <c r="U152" s="312">
        <f>(('Emissions '!$J2/'Emissions '!$K2)*U141)/1000000</f>
        <v>72430.707886303455</v>
      </c>
      <c r="V152" s="312">
        <f>(('Emissions '!$J2/'Emissions '!$K2)*V141)/1000000</f>
        <v>76213.880454435988</v>
      </c>
      <c r="W152" s="312">
        <f>(('Emissions '!$J2/'Emissions '!$K2)*W141)/1000000</f>
        <v>80326.415336767095</v>
      </c>
      <c r="X152" s="312">
        <f>(('Emissions '!$J2/'Emissions '!$K2)*X141)/1000000</f>
        <v>84145.790615439211</v>
      </c>
      <c r="Y152" s="312">
        <f>(('Emissions '!$J2/'Emissions '!$K2)*Y141)/1000000</f>
        <v>87466.580511486434</v>
      </c>
      <c r="Z152" s="312">
        <f>(('Emissions '!$J2/'Emissions '!$K2)*Z141)/1000000</f>
        <v>91009.080350788383</v>
      </c>
      <c r="AA152" s="312">
        <f>(('Emissions '!$J2/'Emissions '!$K2)*AA141)/1000000</f>
        <v>95605.419614977553</v>
      </c>
      <c r="AB152" s="312">
        <f>(('Emissions '!$J2/'Emissions '!$K2)*AB141)/1000000</f>
        <v>99754.017866617563</v>
      </c>
      <c r="AC152" s="312">
        <f>(('Emissions '!$J2/'Emissions '!$K2)*AC141)/1000000</f>
        <v>104139.87029699587</v>
      </c>
      <c r="AD152" s="312">
        <f>(('Emissions '!$J2/'Emissions '!$K2)*AD141)/1000000</f>
        <v>108559.96159170948</v>
      </c>
      <c r="AE152" s="312">
        <f>(('Emissions '!$J2/'Emissions '!$K2)*AE141)/1000000</f>
        <v>113151.03230820643</v>
      </c>
      <c r="AF152" s="312">
        <f>(('Emissions '!$J2/'Emissions '!$K2)*AF141)/1000000</f>
        <v>117859.58004987231</v>
      </c>
    </row>
    <row r="153" spans="1:32">
      <c r="A153" s="147" t="s">
        <v>51</v>
      </c>
      <c r="B153" s="312">
        <f>(('Emissions '!$J3/'Emissions '!$K3)*B142)/1000000</f>
        <v>48963.037621933167</v>
      </c>
      <c r="C153" s="312">
        <f>(('Emissions '!$J3/'Emissions '!$K3)*C142)/1000000</f>
        <v>49588.768929017977</v>
      </c>
      <c r="D153" s="312">
        <f>(('Emissions '!$J3/'Emissions '!$K3)*D142)/1000000</f>
        <v>51006.485237336296</v>
      </c>
      <c r="E153" s="312">
        <f>(('Emissions '!$J3/'Emissions '!$K3)*E142)/1000000</f>
        <v>51532.491888703793</v>
      </c>
      <c r="F153" s="312">
        <f>(('Emissions '!$J3/'Emissions '!$K3)*F142)/1000000</f>
        <v>52972.22972646742</v>
      </c>
      <c r="G153" s="312">
        <f>(('Emissions '!$J3/'Emissions '!$K3)*G142)/1000000</f>
        <v>53143.078912661062</v>
      </c>
      <c r="H153" s="312">
        <f>(('Emissions '!$J3/'Emissions '!$K3)*H142)/1000000</f>
        <v>53037.486394441956</v>
      </c>
      <c r="I153" s="312">
        <f>(('Emissions '!$J3/'Emissions '!$K3)*I142)/1000000</f>
        <v>55746.182981397986</v>
      </c>
      <c r="J153" s="312">
        <f>(('Emissions '!$J3/'Emissions '!$K3)*J142)/1000000</f>
        <v>56843.119977304086</v>
      </c>
      <c r="K153" s="312">
        <f>(('Emissions '!$J3/'Emissions '!$K3)*K142)/1000000</f>
        <v>59297.705886663796</v>
      </c>
      <c r="L153" s="312">
        <f>(('Emissions '!$J3/'Emissions '!$K3)*L142)/1000000</f>
        <v>63177.669166615211</v>
      </c>
      <c r="M153" s="312">
        <f>(('Emissions '!$J3/'Emissions '!$K3)*M142)/1000000</f>
        <v>65894.563043951668</v>
      </c>
      <c r="N153" s="312">
        <f>(('Emissions '!$J3/'Emissions '!$K3)*N142)/1000000</f>
        <v>65429.745945375056</v>
      </c>
      <c r="O153" s="312">
        <f>(('Emissions '!$J3/'Emissions '!$K3)*O142)/1000000</f>
        <v>66785.45171556843</v>
      </c>
      <c r="P153" s="312">
        <f>(('Emissions '!$J3/'Emissions '!$K3)*P142)/1000000</f>
        <v>68426.925859862444</v>
      </c>
      <c r="Q153" s="312">
        <f>(('Emissions '!$J3/'Emissions '!$K3)*Q142)/1000000</f>
        <v>71156.709973856458</v>
      </c>
      <c r="R153" s="312">
        <f>(('Emissions '!$J3/'Emissions '!$K3)*R142)/1000000</f>
        <v>74595.775054758444</v>
      </c>
      <c r="S153" s="312">
        <f>(('Emissions '!$J3/'Emissions '!$K3)*S142)/1000000</f>
        <v>79166.08189426086</v>
      </c>
      <c r="T153" s="312">
        <f>(('Emissions '!$J3/'Emissions '!$K3)*T142)/1000000</f>
        <v>83940.765085937353</v>
      </c>
      <c r="U153" s="312">
        <f>(('Emissions '!$J3/'Emissions '!$K3)*U142)/1000000</f>
        <v>88314.916826057786</v>
      </c>
      <c r="V153" s="312">
        <f>(('Emissions '!$J3/'Emissions '!$K3)*V142)/1000000</f>
        <v>92868.257203295681</v>
      </c>
      <c r="W153" s="312">
        <f>(('Emissions '!$J3/'Emissions '!$K3)*W142)/1000000</f>
        <v>97886.126626800557</v>
      </c>
      <c r="X153" s="312">
        <f>(('Emissions '!$J3/'Emissions '!$K3)*X142)/1000000</f>
        <v>102595.15536681315</v>
      </c>
      <c r="Y153" s="312">
        <f>(('Emissions '!$J3/'Emissions '!$K3)*Y142)/1000000</f>
        <v>106400.11886778036</v>
      </c>
      <c r="Z153" s="312">
        <f>(('Emissions '!$J3/'Emissions '!$K3)*Z142)/1000000</f>
        <v>110567.3088029682</v>
      </c>
      <c r="AA153" s="312">
        <f>(('Emissions '!$J3/'Emissions '!$K3)*AA142)/1000000</f>
        <v>116057.47979614478</v>
      </c>
      <c r="AB153" s="312">
        <f>(('Emissions '!$J3/'Emissions '!$K3)*AB142)/1000000</f>
        <v>121204.50195491633</v>
      </c>
      <c r="AC153" s="312">
        <f>(('Emissions '!$J3/'Emissions '!$K3)*AC142)/1000000</f>
        <v>126589.36525912095</v>
      </c>
      <c r="AD153" s="312">
        <f>(('Emissions '!$J3/'Emissions '!$K3)*AD142)/1000000</f>
        <v>132003.30402924807</v>
      </c>
      <c r="AE153" s="312">
        <f>(('Emissions '!$J3/'Emissions '!$K3)*AE142)/1000000</f>
        <v>137570.47306990469</v>
      </c>
      <c r="AF153" s="312">
        <f>(('Emissions '!$J3/'Emissions '!$K3)*AF142)/1000000</f>
        <v>143291.07130897194</v>
      </c>
    </row>
    <row r="154" spans="1:32">
      <c r="A154" s="147" t="s">
        <v>58</v>
      </c>
      <c r="B154" s="312">
        <f>(('Emissions '!$J4/'Emissions '!$K4)*B143)/1000000</f>
        <v>17094.161627368328</v>
      </c>
      <c r="C154" s="312">
        <f>(('Emissions '!$J4/'Emissions '!$K4)*C143)/1000000</f>
        <v>17720.325512059673</v>
      </c>
      <c r="D154" s="312">
        <f>(('Emissions '!$J4/'Emissions '!$K4)*D143)/1000000</f>
        <v>17747.667031161705</v>
      </c>
      <c r="E154" s="312">
        <f>(('Emissions '!$J4/'Emissions '!$K4)*E143)/1000000</f>
        <v>18265.408236538118</v>
      </c>
      <c r="F154" s="312">
        <f>(('Emissions '!$J4/'Emissions '!$K4)*F143)/1000000</f>
        <v>18244.948493212636</v>
      </c>
      <c r="G154" s="312">
        <f>(('Emissions '!$J4/'Emissions '!$K4)*G143)/1000000</f>
        <v>18060.05474445736</v>
      </c>
      <c r="H154" s="312">
        <f>(('Emissions '!$J4/'Emissions '!$K4)*H143)/1000000</f>
        <v>18137.019643479438</v>
      </c>
      <c r="I154" s="312">
        <f>(('Emissions '!$J4/'Emissions '!$K4)*I143)/1000000</f>
        <v>17632.449375673452</v>
      </c>
      <c r="J154" s="312">
        <f>(('Emissions '!$J4/'Emissions '!$K4)*J143)/1000000</f>
        <v>17946.493004474021</v>
      </c>
      <c r="K154" s="312">
        <f>(('Emissions '!$J4/'Emissions '!$K4)*K143)/1000000</f>
        <v>19010.257166219475</v>
      </c>
      <c r="L154" s="312">
        <f>(('Emissions '!$J4/'Emissions '!$K4)*L143)/1000000</f>
        <v>18930.978985853562</v>
      </c>
      <c r="M154" s="312">
        <f>(('Emissions '!$J4/'Emissions '!$K4)*M143)/1000000</f>
        <v>19962.450488637853</v>
      </c>
      <c r="N154" s="312">
        <f>(('Emissions '!$J4/'Emissions '!$K4)*N143)/1000000</f>
        <v>20135.549693230423</v>
      </c>
      <c r="O154" s="312">
        <f>(('Emissions '!$J4/'Emissions '!$K4)*O143)/1000000</f>
        <v>20408.491540463456</v>
      </c>
      <c r="P154" s="312">
        <f>(('Emissions '!$J4/'Emissions '!$K4)*P143)/1000000</f>
        <v>20881.326541745166</v>
      </c>
      <c r="Q154" s="312">
        <f>(('Emissions '!$J4/'Emissions '!$K4)*Q143)/1000000</f>
        <v>21769.843144592021</v>
      </c>
      <c r="R154" s="312">
        <f>(('Emissions '!$J4/'Emissions '!$K4)*R143)/1000000</f>
        <v>22493.5548953014</v>
      </c>
      <c r="S154" s="312">
        <f>(('Emissions '!$J4/'Emissions '!$K4)*S143)/1000000</f>
        <v>26689.506261877643</v>
      </c>
      <c r="T154" s="312">
        <f>(('Emissions '!$J4/'Emissions '!$K4)*T143)/1000000</f>
        <v>28088.344911885073</v>
      </c>
      <c r="U154" s="312">
        <f>(('Emissions '!$J4/'Emissions '!$K4)*U143)/1000000</f>
        <v>29337.289826944303</v>
      </c>
      <c r="V154" s="312">
        <f>(('Emissions '!$J4/'Emissions '!$K4)*V143)/1000000</f>
        <v>30678.382687012712</v>
      </c>
      <c r="W154" s="312">
        <f>(('Emissions '!$J4/'Emissions '!$K4)*W143)/1000000</f>
        <v>32141.249805827261</v>
      </c>
      <c r="X154" s="312">
        <f>(('Emissions '!$J4/'Emissions '!$K4)*X143)/1000000</f>
        <v>33557.546764163737</v>
      </c>
      <c r="Y154" s="312">
        <f>(('Emissions '!$J4/'Emissions '!$K4)*Y143)/1000000</f>
        <v>35010.353923480397</v>
      </c>
      <c r="Z154" s="312">
        <f>(('Emissions '!$J4/'Emissions '!$K4)*Z143)/1000000</f>
        <v>36512.711094396051</v>
      </c>
      <c r="AA154" s="312">
        <f>(('Emissions '!$J4/'Emissions '!$K4)*AA143)/1000000</f>
        <v>38071.188643941357</v>
      </c>
      <c r="AB154" s="312">
        <f>(('Emissions '!$J4/'Emissions '!$K4)*AB143)/1000000</f>
        <v>40069.438302380921</v>
      </c>
      <c r="AC154" s="312">
        <f>(('Emissions '!$J4/'Emissions '!$K4)*AC143)/1000000</f>
        <v>42208.13153251481</v>
      </c>
      <c r="AD154" s="312">
        <f>(('Emissions '!$J4/'Emissions '!$K4)*AD143)/1000000</f>
        <v>44486.638200645277</v>
      </c>
      <c r="AE154" s="312">
        <f>(('Emissions '!$J4/'Emissions '!$K4)*AE143)/1000000</f>
        <v>46367.292970292212</v>
      </c>
      <c r="AF154" s="312">
        <f>(('Emissions '!$J4/'Emissions '!$K4)*AF143)/1000000</f>
        <v>48331.932110258567</v>
      </c>
    </row>
    <row r="155" spans="1:32">
      <c r="A155" s="147" t="s">
        <v>54</v>
      </c>
      <c r="B155" s="312">
        <f>(('Emissions '!$J5/'Emissions '!$K5)*B144)/1000000</f>
        <v>18357.756765026737</v>
      </c>
      <c r="C155" s="312">
        <f>(('Emissions '!$J5/'Emissions '!$K5)*C144)/1000000</f>
        <v>18440.37914960464</v>
      </c>
      <c r="D155" s="312">
        <f>(('Emissions '!$J5/'Emissions '!$K5)*D144)/1000000</f>
        <v>17940.136090959026</v>
      </c>
      <c r="E155" s="312">
        <f>(('Emissions '!$J5/'Emissions '!$K5)*E144)/1000000</f>
        <v>18002.96571619673</v>
      </c>
      <c r="F155" s="312">
        <f>(('Emissions '!$J5/'Emissions '!$K5)*F144)/1000000</f>
        <v>18041.1742001934</v>
      </c>
      <c r="G155" s="312">
        <f>(('Emissions '!$J5/'Emissions '!$K5)*G144)/1000000</f>
        <v>18937.081855553886</v>
      </c>
      <c r="H155" s="312">
        <f>(('Emissions '!$J5/'Emissions '!$K5)*H144)/1000000</f>
        <v>20070.714263370865</v>
      </c>
      <c r="I155" s="312">
        <f>(('Emissions '!$J5/'Emissions '!$K5)*I144)/1000000</f>
        <v>20609.587768789213</v>
      </c>
      <c r="J155" s="312">
        <f>(('Emissions '!$J5/'Emissions '!$K5)*J144)/1000000</f>
        <v>21655.051617271405</v>
      </c>
      <c r="K155" s="312">
        <f>(('Emissions '!$J5/'Emissions '!$K5)*K144)/1000000</f>
        <v>22848.085668989323</v>
      </c>
      <c r="L155" s="312">
        <f>(('Emissions '!$J5/'Emissions '!$K5)*L144)/1000000</f>
        <v>24252.030846224676</v>
      </c>
      <c r="M155" s="312">
        <f>(('Emissions '!$J5/'Emissions '!$K5)*M144)/1000000</f>
        <v>25129.714496863697</v>
      </c>
      <c r="N155" s="312">
        <f>(('Emissions '!$J5/'Emissions '!$K5)*N144)/1000000</f>
        <v>26002.826182883484</v>
      </c>
      <c r="O155" s="312">
        <f>(('Emissions '!$J5/'Emissions '!$K5)*O144)/1000000</f>
        <v>25863.311124136882</v>
      </c>
      <c r="P155" s="312">
        <f>(('Emissions '!$J5/'Emissions '!$K5)*P144)/1000000</f>
        <v>25885.795701745948</v>
      </c>
      <c r="Q155" s="312">
        <f>(('Emissions '!$J5/'Emissions '!$K5)*Q144)/1000000</f>
        <v>26539.467022012861</v>
      </c>
      <c r="R155" s="312">
        <f>(('Emissions '!$J5/'Emissions '!$K5)*R144)/1000000</f>
        <v>27806.664960092188</v>
      </c>
      <c r="S155" s="312">
        <f>(('Emissions '!$J5/'Emissions '!$K5)*S144)/1000000</f>
        <v>28833.79073847572</v>
      </c>
      <c r="T155" s="312">
        <f>(('Emissions '!$J5/'Emissions '!$K5)*T144)/1000000</f>
        <v>29916.99125813098</v>
      </c>
      <c r="U155" s="312">
        <f>(('Emissions '!$J5/'Emissions '!$K5)*U144)/1000000</f>
        <v>30866.545577042209</v>
      </c>
      <c r="V155" s="312">
        <f>(('Emissions '!$J5/'Emissions '!$K5)*V144)/1000000</f>
        <v>31903.176269916268</v>
      </c>
      <c r="W155" s="312">
        <f>(('Emissions '!$J5/'Emissions '!$K5)*W144)/1000000</f>
        <v>32640.985753226989</v>
      </c>
      <c r="X155" s="312">
        <f>(('Emissions '!$J5/'Emissions '!$K5)*X144)/1000000</f>
        <v>33672.285789254667</v>
      </c>
      <c r="Y155" s="312">
        <f>(('Emissions '!$J5/'Emissions '!$K5)*Y144)/1000000</f>
        <v>35766.708686704129</v>
      </c>
      <c r="Z155" s="312">
        <f>(('Emissions '!$J5/'Emissions '!$K5)*Z144)/1000000</f>
        <v>37450.038818618501</v>
      </c>
      <c r="AA155" s="312">
        <f>(('Emissions '!$J5/'Emissions '!$K5)*AA144)/1000000</f>
        <v>37574.191376953015</v>
      </c>
      <c r="AB155" s="312">
        <f>(('Emissions '!$J5/'Emissions '!$K5)*AB144)/1000000</f>
        <v>38945.663035725665</v>
      </c>
      <c r="AC155" s="312">
        <f>(('Emissions '!$J5/'Emissions '!$K5)*AC144)/1000000</f>
        <v>40327.428721195945</v>
      </c>
      <c r="AD155" s="312">
        <f>(('Emissions '!$J5/'Emissions '!$K5)*AD144)/1000000</f>
        <v>41606.237357800324</v>
      </c>
      <c r="AE155" s="312">
        <f>(('Emissions '!$J5/'Emissions '!$K5)*AE144)/1000000</f>
        <v>42962.405319483558</v>
      </c>
      <c r="AF155" s="312">
        <f>(('Emissions '!$J5/'Emissions '!$K5)*AF144)/1000000</f>
        <v>44388.996245955379</v>
      </c>
    </row>
    <row r="156" spans="1:32">
      <c r="A156" s="147" t="s">
        <v>55</v>
      </c>
      <c r="B156" s="312">
        <f>(('Emissions '!$J6/'Emissions '!$K6)*B145)/1000000</f>
        <v>3394.7328236846115</v>
      </c>
      <c r="C156" s="312">
        <f>(('Emissions '!$J6/'Emissions '!$K6)*C145)/1000000</f>
        <v>3451.0579513595153</v>
      </c>
      <c r="D156" s="312">
        <f>(('Emissions '!$J6/'Emissions '!$K6)*D145)/1000000</f>
        <v>3533.6769679396457</v>
      </c>
      <c r="E156" s="312">
        <f>(('Emissions '!$J6/'Emissions '!$K6)*E145)/1000000</f>
        <v>3776.2615309361222</v>
      </c>
      <c r="F156" s="312">
        <f>(('Emissions '!$J6/'Emissions '!$K6)*F145)/1000000</f>
        <v>3779.8769393503221</v>
      </c>
      <c r="G156" s="312">
        <f>(('Emissions '!$J6/'Emissions '!$K6)*G145)/1000000</f>
        <v>4228.8621975105061</v>
      </c>
      <c r="H156" s="312">
        <f>(('Emissions '!$J6/'Emissions '!$K6)*H145)/1000000</f>
        <v>4755.3910267475239</v>
      </c>
      <c r="I156" s="312">
        <f>(('Emissions '!$J6/'Emissions '!$K6)*I145)/1000000</f>
        <v>4794.3506611133143</v>
      </c>
      <c r="J156" s="312">
        <f>(('Emissions '!$J6/'Emissions '!$K6)*J145)/1000000</f>
        <v>5100.0987799102249</v>
      </c>
      <c r="K156" s="312">
        <f>(('Emissions '!$J6/'Emissions '!$K6)*K145)/1000000</f>
        <v>5139.6112141770027</v>
      </c>
      <c r="L156" s="312">
        <f>(('Emissions '!$J6/'Emissions '!$K6)*L145)/1000000</f>
        <v>5036.8264038143225</v>
      </c>
      <c r="M156" s="312">
        <f>(('Emissions '!$J6/'Emissions '!$K6)*M145)/1000000</f>
        <v>4834.0454250698003</v>
      </c>
      <c r="N156" s="312">
        <f>(('Emissions '!$J6/'Emissions '!$K6)*N145)/1000000</f>
        <v>4603.681425729761</v>
      </c>
      <c r="O156" s="312">
        <f>(('Emissions '!$J6/'Emissions '!$K6)*O145)/1000000</f>
        <v>4326.5949042590373</v>
      </c>
      <c r="P156" s="312">
        <f>(('Emissions '!$J6/'Emissions '!$K6)*P145)/1000000</f>
        <v>4000.2976123645312</v>
      </c>
      <c r="Q156" s="312">
        <f>(('Emissions '!$J6/'Emissions '!$K6)*Q145)/1000000</f>
        <v>3835.394198326022</v>
      </c>
      <c r="R156" s="312">
        <f>(('Emissions '!$J6/'Emissions '!$K6)*R145)/1000000</f>
        <v>4200.4959565147201</v>
      </c>
      <c r="S156" s="312">
        <f>(('Emissions '!$J6/'Emissions '!$K6)*S145)/1000000</f>
        <v>4003.5236154828094</v>
      </c>
      <c r="T156" s="312">
        <f>(('Emissions '!$J6/'Emissions '!$K6)*T145)/1000000</f>
        <v>3800.0209472334441</v>
      </c>
      <c r="U156" s="312">
        <f>(('Emissions '!$J6/'Emissions '!$K6)*U145)/1000000</f>
        <v>3549.7584983983279</v>
      </c>
      <c r="V156" s="312">
        <f>(('Emissions '!$J6/'Emissions '!$K6)*V145)/1000000</f>
        <v>3294.2527119219189</v>
      </c>
      <c r="W156" s="312">
        <f>(('Emissions '!$J6/'Emissions '!$K6)*W145)/1000000</f>
        <v>3025.9717736866737</v>
      </c>
      <c r="X156" s="312">
        <f>(('Emissions '!$J6/'Emissions '!$K6)*X145)/1000000</f>
        <v>2832.3266812982392</v>
      </c>
      <c r="Y156" s="312">
        <f>(('Emissions '!$J6/'Emissions '!$K6)*Y145)/1000000</f>
        <v>2664.513433714937</v>
      </c>
      <c r="Z156" s="312">
        <f>(('Emissions '!$J6/'Emissions '!$K6)*Z145)/1000000</f>
        <v>2510.8481167144278</v>
      </c>
      <c r="AA156" s="312">
        <f>(('Emissions '!$J6/'Emissions '!$K6)*AA145)/1000000</f>
        <v>2296.7959413286831</v>
      </c>
      <c r="AB156" s="312">
        <f>(('Emissions '!$J6/'Emissions '!$K6)*AB145)/1000000</f>
        <v>2272.0815082612776</v>
      </c>
      <c r="AC156" s="312">
        <f>(('Emissions '!$J6/'Emissions '!$K6)*AC145)/1000000</f>
        <v>2262.0004467143067</v>
      </c>
      <c r="AD156" s="312">
        <f>(('Emissions '!$J6/'Emissions '!$K6)*AD145)/1000000</f>
        <v>2156.2012321466855</v>
      </c>
      <c r="AE156" s="312">
        <f>(('Emissions '!$J6/'Emissions '!$K6)*AE145)/1000000</f>
        <v>2058.0223065023738</v>
      </c>
      <c r="AF156" s="312">
        <f>(('Emissions '!$J6/'Emissions '!$K6)*AF145)/1000000</f>
        <v>1967.816577700532</v>
      </c>
    </row>
    <row r="157" spans="1:32">
      <c r="A157" s="147" t="s">
        <v>56</v>
      </c>
      <c r="B157" s="312">
        <f>(('Emissions '!$J7/'Emissions '!$K7)*B146)/1000000</f>
        <v>1664.941443897246</v>
      </c>
      <c r="C157" s="312">
        <f>(('Emissions '!$J7/'Emissions '!$K7)*C146)/1000000</f>
        <v>1690.9561477263035</v>
      </c>
      <c r="D157" s="312">
        <f>(('Emissions '!$J7/'Emissions '!$K7)*D146)/1000000</f>
        <v>1695.2913646415241</v>
      </c>
      <c r="E157" s="312">
        <f>(('Emissions '!$J7/'Emissions '!$K7)*E146)/1000000</f>
        <v>1792.8954674597169</v>
      </c>
      <c r="F157" s="312">
        <f>(('Emissions '!$J7/'Emissions '!$K7)*F146)/1000000</f>
        <v>1825.8075369962598</v>
      </c>
      <c r="G157" s="312">
        <f>(('Emissions '!$J7/'Emissions '!$K7)*G146)/1000000</f>
        <v>2065.8083823761704</v>
      </c>
      <c r="H157" s="312">
        <f>(('Emissions '!$J7/'Emissions '!$K7)*H146)/1000000</f>
        <v>2502.6104060374087</v>
      </c>
      <c r="I157" s="312">
        <f>(('Emissions '!$J7/'Emissions '!$K7)*I146)/1000000</f>
        <v>2515.4970093410284</v>
      </c>
      <c r="J157" s="312">
        <f>(('Emissions '!$J7/'Emissions '!$K7)*J146)/1000000</f>
        <v>2841.9158349282307</v>
      </c>
      <c r="K157" s="312">
        <f>(('Emissions '!$J7/'Emissions '!$K7)*K146)/1000000</f>
        <v>3172.926421489869</v>
      </c>
      <c r="L157" s="312">
        <f>(('Emissions '!$J7/'Emissions '!$K7)*L146)/1000000</f>
        <v>3208.4671793969214</v>
      </c>
      <c r="M157" s="312">
        <f>(('Emissions '!$J7/'Emissions '!$K7)*M146)/1000000</f>
        <v>3486.5679948880206</v>
      </c>
      <c r="N157" s="312">
        <f>(('Emissions '!$J7/'Emissions '!$K7)*N146)/1000000</f>
        <v>3793.0917702439269</v>
      </c>
      <c r="O157" s="312">
        <f>(('Emissions '!$J7/'Emissions '!$K7)*O146)/1000000</f>
        <v>4378.3788691707387</v>
      </c>
      <c r="P157" s="312">
        <f>(('Emissions '!$J7/'Emissions '!$K7)*P146)/1000000</f>
        <v>4495.3282532665562</v>
      </c>
      <c r="Q157" s="312">
        <f>(('Emissions '!$J7/'Emissions '!$K7)*Q146)/1000000</f>
        <v>4552.9302808540951</v>
      </c>
      <c r="R157" s="312">
        <f>(('Emissions '!$J7/'Emissions '!$K7)*R146)/1000000</f>
        <v>4754.638213032471</v>
      </c>
      <c r="S157" s="312">
        <f>(('Emissions '!$J7/'Emissions '!$K7)*S146)/1000000</f>
        <v>4861.7540988928349</v>
      </c>
      <c r="T157" s="312">
        <f>(('Emissions '!$J7/'Emissions '!$K7)*T146)/1000000</f>
        <v>4986.2673191913964</v>
      </c>
      <c r="U157" s="312">
        <f>(('Emissions '!$J7/'Emissions '!$K7)*U146)/1000000</f>
        <v>4994.9160546807298</v>
      </c>
      <c r="V157" s="312">
        <f>(('Emissions '!$J7/'Emissions '!$K7)*V146)/1000000</f>
        <v>5112.1049132979842</v>
      </c>
      <c r="W157" s="312">
        <f>(('Emissions '!$J7/'Emissions '!$K7)*W146)/1000000</f>
        <v>5212.0107139503207</v>
      </c>
      <c r="X157" s="312">
        <f>(('Emissions '!$J7/'Emissions '!$K7)*X146)/1000000</f>
        <v>5404.1131382313106</v>
      </c>
      <c r="Y157" s="312">
        <f>(('Emissions '!$J7/'Emissions '!$K7)*Y146)/1000000</f>
        <v>5684.1420342958163</v>
      </c>
      <c r="Z157" s="312">
        <f>(('Emissions '!$J7/'Emissions '!$K7)*Z146)/1000000</f>
        <v>6039.3541088664433</v>
      </c>
      <c r="AA157" s="312">
        <f>(('Emissions '!$J7/'Emissions '!$K7)*AA146)/1000000</f>
        <v>6297.1327703328361</v>
      </c>
      <c r="AB157" s="312">
        <f>(('Emissions '!$J7/'Emissions '!$K7)*AB146)/1000000</f>
        <v>6489.0177325482591</v>
      </c>
      <c r="AC157" s="312">
        <f>(('Emissions '!$J7/'Emissions '!$K7)*AC146)/1000000</f>
        <v>6684.8143886879861</v>
      </c>
      <c r="AD157" s="312">
        <f>(('Emissions '!$J7/'Emissions '!$K7)*AD146)/1000000</f>
        <v>6869.1087374896915</v>
      </c>
      <c r="AE157" s="312">
        <f>(('Emissions '!$J7/'Emissions '!$K7)*AE146)/1000000</f>
        <v>7068.7052013948432</v>
      </c>
      <c r="AF157" s="312">
        <f>(('Emissions '!$J7/'Emissions '!$K7)*AF146)/1000000</f>
        <v>7282.9025216042446</v>
      </c>
    </row>
    <row r="158" spans="1:32">
      <c r="A158" s="147" t="s">
        <v>549</v>
      </c>
      <c r="B158" s="312">
        <f>(('Emissions '!$J8/'Emissions '!$K8)*B147)/1000000</f>
        <v>2836.9580560919053</v>
      </c>
      <c r="C158" s="312">
        <f>(('Emissions '!$J8/'Emissions '!$K8)*C147)/1000000</f>
        <v>2884.4938109168775</v>
      </c>
      <c r="D158" s="312">
        <f>(('Emissions '!$J8/'Emissions '!$K8)*D147)/1000000</f>
        <v>2832.8912200824238</v>
      </c>
      <c r="E158" s="312">
        <f>(('Emissions '!$J8/'Emissions '!$K8)*E147)/1000000</f>
        <v>2839.3134627768459</v>
      </c>
      <c r="F158" s="312">
        <f>(('Emissions '!$J8/'Emissions '!$K8)*F147)/1000000</f>
        <v>2886.7176497461105</v>
      </c>
      <c r="G158" s="312">
        <f>(('Emissions '!$J8/'Emissions '!$K8)*G147)/1000000</f>
        <v>3091.1396604327247</v>
      </c>
      <c r="H158" s="312">
        <f>(('Emissions '!$J8/'Emissions '!$K8)*H147)/1000000</f>
        <v>3189.0267972179308</v>
      </c>
      <c r="I158" s="312">
        <f>(('Emissions '!$J8/'Emissions '!$K8)*I147)/1000000</f>
        <v>3343.3018521193549</v>
      </c>
      <c r="J158" s="312">
        <f>(('Emissions '!$J8/'Emissions '!$K8)*J147)/1000000</f>
        <v>3587.7933394301072</v>
      </c>
      <c r="K158" s="312">
        <f>(('Emissions '!$J8/'Emissions '!$K8)*K147)/1000000</f>
        <v>3967.635368630275</v>
      </c>
      <c r="L158" s="312">
        <f>(('Emissions '!$J8/'Emissions '!$K8)*L147)/1000000</f>
        <v>4192.4372999102507</v>
      </c>
      <c r="M158" s="312">
        <f>(('Emissions '!$J8/'Emissions '!$K8)*M147)/1000000</f>
        <v>4358.9503645718632</v>
      </c>
      <c r="N158" s="312">
        <f>(('Emissions '!$J8/'Emissions '!$K8)*N147)/1000000</f>
        <v>4539.8014928081348</v>
      </c>
      <c r="O158" s="312">
        <f>(('Emissions '!$J8/'Emissions '!$K8)*O147)/1000000</f>
        <v>4717.6349254760589</v>
      </c>
      <c r="P158" s="312">
        <f>(('Emissions '!$J8/'Emissions '!$K8)*P147)/1000000</f>
        <v>4877.9190466622413</v>
      </c>
      <c r="Q158" s="312">
        <f>(('Emissions '!$J8/'Emissions '!$K8)*Q147)/1000000</f>
        <v>5118.8630161990041</v>
      </c>
      <c r="R158" s="312">
        <f>(('Emissions '!$J8/'Emissions '!$K8)*R147)/1000000</f>
        <v>5454.4441551072296</v>
      </c>
      <c r="S158" s="312">
        <f>(('Emissions '!$J8/'Emissions '!$K8)*S147)/1000000</f>
        <v>5812.5295661421405</v>
      </c>
      <c r="T158" s="312">
        <f>(('Emissions '!$J8/'Emissions '!$K8)*T147)/1000000</f>
        <v>6121.2047178672174</v>
      </c>
      <c r="U158" s="312">
        <f>(('Emissions '!$J8/'Emissions '!$K8)*U147)/1000000</f>
        <v>6399.2494910912392</v>
      </c>
      <c r="V158" s="312">
        <f>(('Emissions '!$J8/'Emissions '!$K8)*V147)/1000000</f>
        <v>6696.5929822721155</v>
      </c>
      <c r="W158" s="312">
        <f>(('Emissions '!$J8/'Emissions '!$K8)*W147)/1000000</f>
        <v>7048.7126781216002</v>
      </c>
      <c r="X158" s="312">
        <f>(('Emissions '!$J8/'Emissions '!$K8)*X147)/1000000</f>
        <v>7390.7351017202072</v>
      </c>
      <c r="Y158" s="312">
        <f>(('Emissions '!$J8/'Emissions '!$K8)*Y147)/1000000</f>
        <v>7730.0169031616733</v>
      </c>
      <c r="Z158" s="312">
        <f>(('Emissions '!$J8/'Emissions '!$K8)*Z147)/1000000</f>
        <v>8608.9662466344907</v>
      </c>
      <c r="AA158" s="312">
        <f>(('Emissions '!$J8/'Emissions '!$K8)*AA147)/1000000</f>
        <v>8973.4693745087989</v>
      </c>
      <c r="AB158" s="312">
        <f>(('Emissions '!$J8/'Emissions '!$K8)*AB147)/1000000</f>
        <v>9440.1077379779726</v>
      </c>
      <c r="AC158" s="312">
        <f>(('Emissions '!$J8/'Emissions '!$K8)*AC147)/1000000</f>
        <v>9928.4598945800426</v>
      </c>
      <c r="AD158" s="312">
        <f>(('Emissions '!$J8/'Emissions '!$K8)*AD147)/1000000</f>
        <v>10417.433487505319</v>
      </c>
      <c r="AE158" s="312">
        <f>(('Emissions '!$J8/'Emissions '!$K8)*AE147)/1000000</f>
        <v>10926.154496211846</v>
      </c>
      <c r="AF158" s="312">
        <f>(('Emissions '!$J8/'Emissions '!$K8)*AF147)/1000000</f>
        <v>11466.304051605972</v>
      </c>
    </row>
    <row r="159" spans="1:32">
      <c r="A159" s="147" t="s">
        <v>52</v>
      </c>
      <c r="B159" s="312">
        <f>(('Emissions '!$J9/'Emissions '!$K9)*B148)/1000000</f>
        <v>3556.2581085373558</v>
      </c>
      <c r="C159" s="312">
        <f>(('Emissions '!$J9/'Emissions '!$K9)*C148)/1000000</f>
        <v>3578.2281356594508</v>
      </c>
      <c r="D159" s="312">
        <f>(('Emissions '!$J9/'Emissions '!$K9)*D148)/1000000</f>
        <v>3494.2596671393126</v>
      </c>
      <c r="E159" s="312">
        <f>(('Emissions '!$J9/'Emissions '!$K9)*E148)/1000000</f>
        <v>3469.4210383163863</v>
      </c>
      <c r="F159" s="312">
        <f>(('Emissions '!$J9/'Emissions '!$K9)*F148)/1000000</f>
        <v>3376.5940288498764</v>
      </c>
      <c r="G159" s="312">
        <f>(('Emissions '!$J9/'Emissions '!$K9)*G148)/1000000</f>
        <v>3432.8937245049028</v>
      </c>
      <c r="H159" s="312">
        <f>(('Emissions '!$J9/'Emissions '!$K9)*H148)/1000000</f>
        <v>3445.8736307359291</v>
      </c>
      <c r="I159" s="312">
        <f>(('Emissions '!$J9/'Emissions '!$K9)*I148)/1000000</f>
        <v>3583.5840976658919</v>
      </c>
      <c r="J159" s="312">
        <f>(('Emissions '!$J9/'Emissions '!$K9)*J148)/1000000</f>
        <v>3986.7678060901671</v>
      </c>
      <c r="K159" s="312">
        <f>(('Emissions '!$J9/'Emissions '!$K9)*K148)/1000000</f>
        <v>4297.0100663840194</v>
      </c>
      <c r="L159" s="312">
        <f>(('Emissions '!$J9/'Emissions '!$K9)*L148)/1000000</f>
        <v>4580.7729926096936</v>
      </c>
      <c r="M159" s="312">
        <f>(('Emissions '!$J9/'Emissions '!$K9)*M148)/1000000</f>
        <v>4859.5377403138327</v>
      </c>
      <c r="N159" s="312">
        <f>(('Emissions '!$J9/'Emissions '!$K9)*N148)/1000000</f>
        <v>5195.1432913461949</v>
      </c>
      <c r="O159" s="312">
        <f>(('Emissions '!$J9/'Emissions '!$K9)*O148)/1000000</f>
        <v>5301.7441343132432</v>
      </c>
      <c r="P159" s="312">
        <f>(('Emissions '!$J9/'Emissions '!$K9)*P148)/1000000</f>
        <v>5333.0770006450985</v>
      </c>
      <c r="Q159" s="312">
        <f>(('Emissions '!$J9/'Emissions '!$K9)*Q148)/1000000</f>
        <v>5463.941401808891</v>
      </c>
      <c r="R159" s="312">
        <f>(('Emissions '!$J9/'Emissions '!$K9)*R148)/1000000</f>
        <v>5663.7545257059592</v>
      </c>
      <c r="S159" s="312">
        <f>(('Emissions '!$J9/'Emissions '!$K9)*S148)/1000000</f>
        <v>5974.1811728219136</v>
      </c>
      <c r="T159" s="312">
        <f>(('Emissions '!$J9/'Emissions '!$K9)*T148)/1000000</f>
        <v>6276.5298456153687</v>
      </c>
      <c r="U159" s="312">
        <f>(('Emissions '!$J9/'Emissions '!$K9)*U148)/1000000</f>
        <v>6609.2050206701479</v>
      </c>
      <c r="V159" s="312">
        <f>(('Emissions '!$J9/'Emissions '!$K9)*V148)/1000000</f>
        <v>6937.6439807024999</v>
      </c>
      <c r="W159" s="312">
        <f>(('Emissions '!$J9/'Emissions '!$K9)*W148)/1000000</f>
        <v>7214.4926657330052</v>
      </c>
      <c r="X159" s="312">
        <f>(('Emissions '!$J9/'Emissions '!$K9)*X148)/1000000</f>
        <v>7552.9943979609588</v>
      </c>
      <c r="Y159" s="312">
        <f>(('Emissions '!$J9/'Emissions '!$K9)*Y148)/1000000</f>
        <v>8432.0455038811579</v>
      </c>
      <c r="Z159" s="312">
        <f>(('Emissions '!$J9/'Emissions '!$K9)*Z148)/1000000</f>
        <v>8845.9758754249651</v>
      </c>
      <c r="AA159" s="312">
        <f>(('Emissions '!$J9/'Emissions '!$K9)*AA148)/1000000</f>
        <v>9265.0604757611509</v>
      </c>
      <c r="AB159" s="312">
        <f>(('Emissions '!$J9/'Emissions '!$K9)*AB148)/1000000</f>
        <v>9695.2784051073631</v>
      </c>
      <c r="AC159" s="312">
        <f>(('Emissions '!$J9/'Emissions '!$K9)*AC148)/1000000</f>
        <v>10160.809314375996</v>
      </c>
      <c r="AD159" s="312">
        <f>(('Emissions '!$J9/'Emissions '!$K9)*AD148)/1000000</f>
        <v>10644.930313651743</v>
      </c>
      <c r="AE159" s="312">
        <f>(('Emissions '!$J9/'Emissions '!$K9)*AE148)/1000000</f>
        <v>11155.728177807923</v>
      </c>
      <c r="AF159" s="312">
        <f>(('Emissions '!$J9/'Emissions '!$K9)*AF148)/1000000</f>
        <v>11698.673245760119</v>
      </c>
    </row>
    <row r="160" spans="1:32">
      <c r="A160" s="147" t="s">
        <v>57</v>
      </c>
      <c r="B160" s="312">
        <f>(('Emissions '!$J10/'Emissions '!$K10)*B149)/1000000</f>
        <v>1220.7496974644177</v>
      </c>
      <c r="C160" s="312">
        <f>(('Emissions '!$J10/'Emissions '!$K10)*C149)/1000000</f>
        <v>1243.2280785175776</v>
      </c>
      <c r="D160" s="312">
        <f>(('Emissions '!$J10/'Emissions '!$K10)*D149)/1000000</f>
        <v>1266.6593888943328</v>
      </c>
      <c r="E160" s="312">
        <f>(('Emissions '!$J10/'Emissions '!$K10)*E149)/1000000</f>
        <v>1362.2555359428086</v>
      </c>
      <c r="F160" s="312">
        <f>(('Emissions '!$J10/'Emissions '!$K10)*F149)/1000000</f>
        <v>1400.2113745262698</v>
      </c>
      <c r="G160" s="312">
        <f>(('Emissions '!$J10/'Emissions '!$K10)*G149)/1000000</f>
        <v>1559.1976413885848</v>
      </c>
      <c r="H160" s="312">
        <f>(('Emissions '!$J10/'Emissions '!$K10)*H149)/1000000</f>
        <v>1628.5984818535533</v>
      </c>
      <c r="I160" s="312">
        <f>(('Emissions '!$J10/'Emissions '!$K10)*I149)/1000000</f>
        <v>1612.8741259699918</v>
      </c>
      <c r="J160" s="312">
        <f>(('Emissions '!$J10/'Emissions '!$K10)*J149)/1000000</f>
        <v>1856.1499555376454</v>
      </c>
      <c r="K160" s="312">
        <f>(('Emissions '!$J10/'Emissions '!$K10)*K149)/1000000</f>
        <v>2114.869498199078</v>
      </c>
      <c r="L160" s="312">
        <f>(('Emissions '!$J10/'Emissions '!$K10)*L149)/1000000</f>
        <v>2199.5664352629028</v>
      </c>
      <c r="M160" s="312">
        <f>(('Emissions '!$J10/'Emissions '!$K10)*M149)/1000000</f>
        <v>2682.172040266049</v>
      </c>
      <c r="N160" s="312">
        <f>(('Emissions '!$J10/'Emissions '!$K10)*N149)/1000000</f>
        <v>2675.0291365922158</v>
      </c>
      <c r="O160" s="312">
        <f>(('Emissions '!$J10/'Emissions '!$K10)*O149)/1000000</f>
        <v>2560.3371696914114</v>
      </c>
      <c r="P160" s="312">
        <f>(('Emissions '!$J10/'Emissions '!$K10)*P149)/1000000</f>
        <v>2498.4983446274487</v>
      </c>
      <c r="Q160" s="312">
        <f>(('Emissions '!$J10/'Emissions '!$K10)*Q149)/1000000</f>
        <v>2576.6416299896223</v>
      </c>
      <c r="R160" s="312">
        <f>(('Emissions '!$J10/'Emissions '!$K10)*R149)/1000000</f>
        <v>2561.7403317702328</v>
      </c>
      <c r="S160" s="312">
        <f>(('Emissions '!$J10/'Emissions '!$K10)*S149)/1000000</f>
        <v>2666.3086365787481</v>
      </c>
      <c r="T160" s="312">
        <f>(('Emissions '!$J10/'Emissions '!$K10)*T149)/1000000</f>
        <v>2751.5933434893495</v>
      </c>
      <c r="U160" s="312">
        <f>(('Emissions '!$J10/'Emissions '!$K10)*U149)/1000000</f>
        <v>2877.7191250598671</v>
      </c>
      <c r="V160" s="312">
        <f>(('Emissions '!$J10/'Emissions '!$K10)*V149)/1000000</f>
        <v>3027.5175876926419</v>
      </c>
      <c r="W160" s="312">
        <f>(('Emissions '!$J10/'Emissions '!$K10)*W149)/1000000</f>
        <v>3173.3582618470168</v>
      </c>
      <c r="X160" s="312">
        <f>(('Emissions '!$J10/'Emissions '!$K10)*X149)/1000000</f>
        <v>3333.4886814369415</v>
      </c>
      <c r="Y160" s="312">
        <f>(('Emissions '!$J10/'Emissions '!$K10)*Y149)/1000000</f>
        <v>3563.4466377616463</v>
      </c>
      <c r="Z160" s="312">
        <f>(('Emissions '!$J10/'Emissions '!$K10)*Z149)/1000000</f>
        <v>3716.3605334942463</v>
      </c>
      <c r="AA160" s="312">
        <f>(('Emissions '!$J10/'Emissions '!$K10)*AA149)/1000000</f>
        <v>3885.6523196836488</v>
      </c>
      <c r="AB160" s="312">
        <f>(('Emissions '!$J10/'Emissions '!$K10)*AB149)/1000000</f>
        <v>4029.2209710296097</v>
      </c>
      <c r="AC160" s="312">
        <f>(('Emissions '!$J10/'Emissions '!$K10)*AC149)/1000000</f>
        <v>4178.8291416438806</v>
      </c>
      <c r="AD160" s="312">
        <f>(('Emissions '!$J10/'Emissions '!$K10)*AD149)/1000000</f>
        <v>4344.2061396455711</v>
      </c>
      <c r="AE160" s="312">
        <f>(('Emissions '!$J10/'Emissions '!$K10)*AE149)/1000000</f>
        <v>4519.370282948229</v>
      </c>
      <c r="AF160" s="312">
        <f>(('Emissions '!$J10/'Emissions '!$K10)*AF149)/1000000</f>
        <v>4708.3342297207964</v>
      </c>
    </row>
    <row r="161" spans="1:35">
      <c r="A161" s="147" t="s">
        <v>619</v>
      </c>
      <c r="B161" s="312">
        <f>SUM(B152:B160)</f>
        <v>136556.39534718363</v>
      </c>
      <c r="C161" s="312">
        <f t="shared" ref="C161:AF161" si="6">SUM(C152:C160)</f>
        <v>138892.86338630551</v>
      </c>
      <c r="D161" s="312">
        <f t="shared" si="6"/>
        <v>140757.42958505187</v>
      </c>
      <c r="E161" s="312">
        <f t="shared" si="6"/>
        <v>142813.97306557512</v>
      </c>
      <c r="F161" s="312">
        <f t="shared" si="6"/>
        <v>145310.85284952042</v>
      </c>
      <c r="G161" s="312">
        <f t="shared" si="6"/>
        <v>147198.57726884229</v>
      </c>
      <c r="H161" s="312">
        <f t="shared" si="6"/>
        <v>149268.07356613496</v>
      </c>
      <c r="I161" s="312">
        <f t="shared" si="6"/>
        <v>153662.23458555667</v>
      </c>
      <c r="J161" s="312">
        <f t="shared" si="6"/>
        <v>159190.34568239388</v>
      </c>
      <c r="K161" s="312">
        <f t="shared" si="6"/>
        <v>166627.12651659717</v>
      </c>
      <c r="L161" s="312">
        <f t="shared" si="6"/>
        <v>174195.88190680169</v>
      </c>
      <c r="M161" s="312">
        <f t="shared" si="6"/>
        <v>181921.38555314214</v>
      </c>
      <c r="N161" s="312">
        <f t="shared" si="6"/>
        <v>185842.03003543746</v>
      </c>
      <c r="O161" s="312">
        <f t="shared" si="6"/>
        <v>189387.29336262576</v>
      </c>
      <c r="P161" s="312">
        <f t="shared" si="6"/>
        <v>193402.77276699254</v>
      </c>
      <c r="Q161" s="312">
        <f t="shared" si="6"/>
        <v>199906.00119595573</v>
      </c>
      <c r="R161" s="312">
        <f t="shared" si="6"/>
        <v>209119.66320764073</v>
      </c>
      <c r="S161" s="312">
        <f t="shared" si="6"/>
        <v>223023.07801769095</v>
      </c>
      <c r="T161" s="312">
        <f t="shared" si="6"/>
        <v>234896.06555118959</v>
      </c>
      <c r="U161" s="312">
        <f t="shared" si="6"/>
        <v>245380.30830624807</v>
      </c>
      <c r="V161" s="312">
        <f t="shared" si="6"/>
        <v>256731.80879054783</v>
      </c>
      <c r="W161" s="312">
        <f t="shared" si="6"/>
        <v>268669.32361596054</v>
      </c>
      <c r="X161" s="312">
        <f t="shared" si="6"/>
        <v>280484.43653631839</v>
      </c>
      <c r="Y161" s="312">
        <f t="shared" si="6"/>
        <v>292717.92650226655</v>
      </c>
      <c r="Z161" s="312">
        <f t="shared" si="6"/>
        <v>305260.64394790574</v>
      </c>
      <c r="AA161" s="312">
        <f t="shared" si="6"/>
        <v>318026.3903136318</v>
      </c>
      <c r="AB161" s="312">
        <f t="shared" si="6"/>
        <v>331899.32751456491</v>
      </c>
      <c r="AC161" s="312">
        <f t="shared" si="6"/>
        <v>346479.7089958298</v>
      </c>
      <c r="AD161" s="312">
        <f t="shared" si="6"/>
        <v>361088.02108984214</v>
      </c>
      <c r="AE161" s="312">
        <f t="shared" si="6"/>
        <v>375779.18413275213</v>
      </c>
      <c r="AF161" s="312">
        <f t="shared" si="6"/>
        <v>390995.61034144997</v>
      </c>
    </row>
    <row r="162" spans="1:35"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</row>
    <row r="163" spans="1:35"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</row>
    <row r="164" spans="1:35"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</row>
    <row r="165" spans="1:35"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</row>
    <row r="166" spans="1:35" s="1" customFormat="1" ht="43.2">
      <c r="A166" s="1" t="s">
        <v>41</v>
      </c>
      <c r="B166" s="311" t="s">
        <v>620</v>
      </c>
      <c r="C166" s="311" t="s">
        <v>621</v>
      </c>
      <c r="D166" s="311" t="s">
        <v>622</v>
      </c>
      <c r="E166" s="311" t="s">
        <v>623</v>
      </c>
      <c r="F166" s="311" t="s">
        <v>624</v>
      </c>
      <c r="G166" s="311" t="s">
        <v>625</v>
      </c>
      <c r="H166" s="311" t="s">
        <v>626</v>
      </c>
      <c r="I166" s="311" t="s">
        <v>627</v>
      </c>
      <c r="J166" s="311" t="s">
        <v>628</v>
      </c>
      <c r="K166" s="315" t="s">
        <v>629</v>
      </c>
      <c r="L166" s="315" t="s">
        <v>630</v>
      </c>
      <c r="M166" s="311" t="s">
        <v>631</v>
      </c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</row>
    <row r="167" spans="1:35">
      <c r="A167" s="1" cm="1">
        <f t="array" aca="1" ref="A167:A197" ca="1">TRANSPOSE(B1:AF1)</f>
        <v>2025</v>
      </c>
      <c r="B167" s="314" cm="1">
        <f t="array" aca="1" ref="B167:B197" ca="1">TRANSPOSE(B22:AF22)</f>
        <v>136238.01577598078</v>
      </c>
      <c r="C167" s="314" cm="1">
        <f t="array" ref="C167:C197">TRANSPOSE(B161:AF161)</f>
        <v>136556.39534718363</v>
      </c>
      <c r="D167" s="314">
        <f ca="1">C167-B167</f>
        <v>318.37957120285137</v>
      </c>
      <c r="E167" s="314">
        <f ca="1">D167</f>
        <v>318.37957120285137</v>
      </c>
      <c r="F167" s="310" cm="1">
        <f t="array" ref="F167:F198">TRANSPOSE(B69:AG69)</f>
        <v>0.28902342654056451</v>
      </c>
      <c r="G167" s="310" cm="1">
        <f t="array" ref="G167:G197">TRANSPOSE(B92:AF92)</f>
        <v>8.9566838708991757E-3</v>
      </c>
      <c r="H167" s="310" cm="1">
        <f t="array" ref="H167:H197">TRANSPOSE(B115:AF115)</f>
        <v>0</v>
      </c>
      <c r="I167" s="310" cm="1">
        <f t="array" ref="I167:I197">TRANSPOSE(B138:AF138)</f>
        <v>0</v>
      </c>
      <c r="J167" s="310" cm="1">
        <f t="array" aca="1" ref="J167:J197" ca="1">TRANSPOSE(B46:AF46)</f>
        <v>1.3420896938122205E-2</v>
      </c>
      <c r="K167" s="312">
        <v>1904.8125599999998</v>
      </c>
      <c r="L167" s="316">
        <f ca="1">J167/K167</f>
        <v>7.0457835169473084E-6</v>
      </c>
      <c r="M167" s="310">
        <f t="shared" ref="M167:M197" si="7">H167+I167</f>
        <v>0</v>
      </c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</row>
    <row r="168" spans="1:35">
      <c r="A168" s="1">
        <f ca="1"/>
        <v>2026</v>
      </c>
      <c r="B168" s="314">
        <f ca="1"/>
        <v>138209.32097566835</v>
      </c>
      <c r="C168" s="314">
        <v>138892.86338630551</v>
      </c>
      <c r="D168" s="314">
        <f t="shared" ref="D168:D197" ca="1" si="8">C168-B168</f>
        <v>683.54241063716472</v>
      </c>
      <c r="E168" s="314">
        <f ca="1">E167+D168</f>
        <v>1001.9219818400161</v>
      </c>
      <c r="F168" s="310">
        <v>0.61484145874555762</v>
      </c>
      <c r="G168" s="310">
        <v>1.905394842650223E-2</v>
      </c>
      <c r="H168" s="310">
        <v>0</v>
      </c>
      <c r="I168" s="310">
        <v>0</v>
      </c>
      <c r="J168" s="310">
        <f ca="1"/>
        <v>5.018201971442704E-2</v>
      </c>
      <c r="K168" s="312">
        <v>1984.8527837711997</v>
      </c>
      <c r="L168" s="316">
        <f t="shared" ref="L168:L197" ca="1" si="9">J168/K168</f>
        <v>2.5282489525032543E-5</v>
      </c>
      <c r="M168" s="310">
        <f t="shared" si="7"/>
        <v>0</v>
      </c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</row>
    <row r="169" spans="1:35">
      <c r="A169" s="1">
        <f ca="1"/>
        <v>2027</v>
      </c>
      <c r="B169" s="314">
        <f ca="1"/>
        <v>139692.23316751199</v>
      </c>
      <c r="C169" s="314">
        <v>140757.42958505187</v>
      </c>
      <c r="D169" s="314">
        <f t="shared" ca="1" si="8"/>
        <v>1065.1964175398753</v>
      </c>
      <c r="E169" s="314">
        <f t="shared" ref="E169:E197" ca="1" si="10">E168+D169</f>
        <v>2067.1183993798913</v>
      </c>
      <c r="F169" s="310">
        <v>0.94372814634059399</v>
      </c>
      <c r="G169" s="310">
        <v>2.9251418111399825E-2</v>
      </c>
      <c r="H169" s="310">
        <v>0</v>
      </c>
      <c r="I169" s="310">
        <v>0</v>
      </c>
      <c r="J169" s="310">
        <f ca="1"/>
        <v>0.13254911274713757</v>
      </c>
      <c r="K169" s="312">
        <v>2068.2562977452653</v>
      </c>
      <c r="L169" s="316">
        <f t="shared" ca="1" si="9"/>
        <v>6.4087372968058942E-5</v>
      </c>
      <c r="M169" s="310">
        <f t="shared" si="7"/>
        <v>0</v>
      </c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</row>
    <row r="170" spans="1:35">
      <c r="A170" s="1">
        <f ca="1"/>
        <v>2028</v>
      </c>
      <c r="B170" s="314">
        <f ca="1"/>
        <v>141335.69421403311</v>
      </c>
      <c r="C170" s="314">
        <v>142813.97306557512</v>
      </c>
      <c r="D170" s="314">
        <f t="shared" ca="1" si="8"/>
        <v>1478.2788515420107</v>
      </c>
      <c r="E170" s="314">
        <f t="shared" ca="1" si="10"/>
        <v>3545.397250921902</v>
      </c>
      <c r="F170" s="310">
        <v>1.2788401338561233</v>
      </c>
      <c r="G170" s="310">
        <v>3.9664349363585358E-2</v>
      </c>
      <c r="H170" s="310">
        <v>7.7649731254613927E-4</v>
      </c>
      <c r="I170" s="310">
        <v>0</v>
      </c>
      <c r="J170" s="310">
        <f ca="1"/>
        <v>0.29903392821240576</v>
      </c>
      <c r="K170" s="312">
        <v>2155.1644273765214</v>
      </c>
      <c r="L170" s="316">
        <f t="shared" ca="1" si="9"/>
        <v>1.3875225686441907E-4</v>
      </c>
      <c r="M170" s="310">
        <f t="shared" si="7"/>
        <v>7.7649731254613927E-4</v>
      </c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</row>
    <row r="171" spans="1:35">
      <c r="A171" s="1">
        <f ca="1"/>
        <v>2029</v>
      </c>
      <c r="B171" s="314">
        <f ca="1"/>
        <v>143338.51874584254</v>
      </c>
      <c r="C171" s="314">
        <v>145310.85284952042</v>
      </c>
      <c r="D171" s="314">
        <f t="shared" ca="1" si="8"/>
        <v>1972.3341036778875</v>
      </c>
      <c r="E171" s="314">
        <f t="shared" ca="1" si="10"/>
        <v>5517.7313545997895</v>
      </c>
      <c r="F171" s="310">
        <v>1.6436262652518348</v>
      </c>
      <c r="G171" s="310">
        <v>5.1065395188244683E-2</v>
      </c>
      <c r="H171" s="310">
        <v>2.272798101446052E-3</v>
      </c>
      <c r="I171" s="310">
        <v>0</v>
      </c>
      <c r="J171" s="310">
        <f ca="1"/>
        <v>0.63494241816036412</v>
      </c>
      <c r="K171" s="312">
        <v>2245.7244366148825</v>
      </c>
      <c r="L171" s="316">
        <f t="shared" ca="1" si="9"/>
        <v>2.8273389548962274E-4</v>
      </c>
      <c r="M171" s="310">
        <f t="shared" si="7"/>
        <v>2.272798101446052E-3</v>
      </c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</row>
    <row r="172" spans="1:35">
      <c r="A172" s="1">
        <f ca="1"/>
        <v>2030</v>
      </c>
      <c r="B172" s="314">
        <f ca="1"/>
        <v>144650.37058850878</v>
      </c>
      <c r="C172" s="314">
        <v>147198.57726884229</v>
      </c>
      <c r="D172" s="314">
        <f t="shared" ca="1" si="8"/>
        <v>2548.2066803335038</v>
      </c>
      <c r="E172" s="314">
        <f t="shared" ca="1" si="10"/>
        <v>8065.9380349332932</v>
      </c>
      <c r="F172" s="310">
        <v>2.0169066123587238</v>
      </c>
      <c r="G172" s="310">
        <v>6.2874554099399044E-2</v>
      </c>
      <c r="H172" s="310">
        <v>4.847907010736752E-3</v>
      </c>
      <c r="I172" s="310">
        <v>3.7452275151328771E-4</v>
      </c>
      <c r="J172" s="310">
        <f ca="1"/>
        <v>1.2195817600225316</v>
      </c>
      <c r="K172" s="312">
        <v>2340.0897774414398</v>
      </c>
      <c r="L172" s="316">
        <f t="shared" ca="1" si="9"/>
        <v>5.2116879094953928E-4</v>
      </c>
      <c r="M172" s="310">
        <f t="shared" si="7"/>
        <v>5.2224297622500398E-3</v>
      </c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</row>
    <row r="173" spans="1:35">
      <c r="A173" s="1">
        <f ca="1"/>
        <v>2031</v>
      </c>
      <c r="B173" s="314">
        <f ca="1"/>
        <v>146024.38465231331</v>
      </c>
      <c r="C173" s="314">
        <v>149268.07356613496</v>
      </c>
      <c r="D173" s="314">
        <f t="shared" ca="1" si="8"/>
        <v>3243.6889138216502</v>
      </c>
      <c r="E173" s="314">
        <f t="shared" ca="1" si="10"/>
        <v>11309.626948754943</v>
      </c>
      <c r="F173" s="310">
        <v>2.4001611755284826</v>
      </c>
      <c r="G173" s="310">
        <v>7.5261750820413656E-2</v>
      </c>
      <c r="H173" s="310">
        <v>9.0684566402341772E-3</v>
      </c>
      <c r="I173" s="310">
        <v>1.1055508950473976E-3</v>
      </c>
      <c r="J173" s="310">
        <f ca="1"/>
        <v>2.1715163376191859</v>
      </c>
      <c r="K173" s="312">
        <v>2438.420349889529</v>
      </c>
      <c r="L173" s="316">
        <f t="shared" ca="1" si="9"/>
        <v>8.9054224704020581E-4</v>
      </c>
      <c r="M173" s="310">
        <f t="shared" si="7"/>
        <v>1.0174007535281575E-2</v>
      </c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</row>
    <row r="174" spans="1:35">
      <c r="A174" s="1">
        <f ca="1"/>
        <v>2032</v>
      </c>
      <c r="B174" s="314">
        <f ca="1"/>
        <v>149365.31275760866</v>
      </c>
      <c r="C174" s="314">
        <v>153662.23458555667</v>
      </c>
      <c r="D174" s="314">
        <f t="shared" ca="1" si="8"/>
        <v>4296.9218279480119</v>
      </c>
      <c r="E174" s="314">
        <f t="shared" ca="1" si="10"/>
        <v>15606.548776702955</v>
      </c>
      <c r="F174" s="310">
        <v>2.8163776497787039</v>
      </c>
      <c r="G174" s="310">
        <v>8.919514894168612E-2</v>
      </c>
      <c r="H174" s="310">
        <v>1.6197041491211744E-2</v>
      </c>
      <c r="I174" s="310">
        <v>2.5207655627949321E-3</v>
      </c>
      <c r="J174" s="310">
        <f ca="1"/>
        <v>4.2585723999620386</v>
      </c>
      <c r="K174" s="312">
        <v>2540.8827729918867</v>
      </c>
      <c r="L174" s="316">
        <f t="shared" ca="1" si="9"/>
        <v>1.6760208086843669E-3</v>
      </c>
      <c r="M174" s="310">
        <f t="shared" si="7"/>
        <v>1.8717807054006677E-2</v>
      </c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</row>
    <row r="175" spans="1:35">
      <c r="A175" s="1">
        <f ca="1"/>
        <v>2033</v>
      </c>
      <c r="B175" s="314">
        <f ca="1"/>
        <v>153481.60213005601</v>
      </c>
      <c r="C175" s="314">
        <v>159190.34568239388</v>
      </c>
      <c r="D175" s="314">
        <f t="shared" ca="1" si="8"/>
        <v>5708.7435523378663</v>
      </c>
      <c r="E175" s="314">
        <f t="shared" ca="1" si="10"/>
        <v>21315.292329040822</v>
      </c>
      <c r="F175" s="310">
        <v>3.263826872826785</v>
      </c>
      <c r="G175" s="310">
        <v>0.1049357167640718</v>
      </c>
      <c r="H175" s="310">
        <v>2.7467308863250335E-2</v>
      </c>
      <c r="I175" s="310">
        <v>5.0625973690557047E-3</v>
      </c>
      <c r="J175" s="310">
        <f ca="1"/>
        <v>7.4519576863100481</v>
      </c>
      <c r="K175" s="312">
        <v>2647.6506671130055</v>
      </c>
      <c r="L175" s="316">
        <f t="shared" ca="1" si="9"/>
        <v>2.8145547216150129E-3</v>
      </c>
      <c r="M175" s="310">
        <f t="shared" si="7"/>
        <v>3.252990623230604E-2</v>
      </c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</row>
    <row r="176" spans="1:35">
      <c r="A176" s="1">
        <f ca="1"/>
        <v>2034</v>
      </c>
      <c r="B176" s="314">
        <f ca="1"/>
        <v>158967.23069044133</v>
      </c>
      <c r="C176" s="314">
        <v>166627.12651659717</v>
      </c>
      <c r="D176" s="314">
        <f t="shared" ca="1" si="8"/>
        <v>7659.8958261558437</v>
      </c>
      <c r="E176" s="314">
        <f t="shared" ca="1" si="10"/>
        <v>28975.188155196665</v>
      </c>
      <c r="F176" s="310">
        <v>3.7340089061518045</v>
      </c>
      <c r="G176" s="310">
        <v>0.12260289086741409</v>
      </c>
      <c r="H176" s="310">
        <v>4.4244348480683739E-2</v>
      </c>
      <c r="I176" s="310">
        <v>9.2679533795507196E-3</v>
      </c>
      <c r="J176" s="310">
        <f ca="1"/>
        <v>12.399619632089291</v>
      </c>
      <c r="K176" s="312">
        <v>2758.9049481450938</v>
      </c>
      <c r="L176" s="316">
        <f t="shared" ca="1" si="9"/>
        <v>4.4943989971187584E-3</v>
      </c>
      <c r="M176" s="310">
        <f t="shared" si="7"/>
        <v>5.3512301860234458E-2</v>
      </c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</row>
    <row r="177" spans="1:35">
      <c r="A177" s="1">
        <f ca="1"/>
        <v>2035</v>
      </c>
      <c r="B177" s="314">
        <f ca="1"/>
        <v>163812.24416809296</v>
      </c>
      <c r="C177" s="314">
        <v>174195.88190680169</v>
      </c>
      <c r="D177" s="314">
        <f t="shared" ca="1" si="8"/>
        <v>10383.637738708727</v>
      </c>
      <c r="E177" s="314">
        <f t="shared" ca="1" si="10"/>
        <v>39358.825893905392</v>
      </c>
      <c r="F177" s="310">
        <v>4.2286862245522245</v>
      </c>
      <c r="G177" s="310">
        <v>0.14285471506700528</v>
      </c>
      <c r="H177" s="310">
        <v>6.877480306295243E-2</v>
      </c>
      <c r="I177" s="310">
        <v>1.6044102500382511E-2</v>
      </c>
      <c r="J177" s="310">
        <f ca="1"/>
        <v>19.985273943645357</v>
      </c>
      <c r="K177" s="312">
        <v>2874.8341340661505</v>
      </c>
      <c r="L177" s="316">
        <f t="shared" ca="1" si="9"/>
        <v>6.9518006993253166E-3</v>
      </c>
      <c r="M177" s="310">
        <f t="shared" si="7"/>
        <v>8.4818905563334934E-2</v>
      </c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</row>
    <row r="178" spans="1:35">
      <c r="A178" s="1">
        <f ca="1"/>
        <v>2036</v>
      </c>
      <c r="B178" s="314">
        <f ca="1"/>
        <v>167836.62488844604</v>
      </c>
      <c r="C178" s="314">
        <v>181921.38555314214</v>
      </c>
      <c r="D178" s="314">
        <f t="shared" ca="1" si="8"/>
        <v>14084.760664696107</v>
      </c>
      <c r="E178" s="314">
        <f t="shared" ca="1" si="10"/>
        <v>53443.586558601499</v>
      </c>
      <c r="F178" s="310">
        <v>4.7523881073698098</v>
      </c>
      <c r="G178" s="310">
        <v>0.16651532490873683</v>
      </c>
      <c r="H178" s="310">
        <v>0.10344151693301092</v>
      </c>
      <c r="I178" s="310">
        <v>2.6305775587790518E-2</v>
      </c>
      <c r="J178" s="310">
        <f ca="1"/>
        <v>30.788770898880525</v>
      </c>
      <c r="K178" s="312">
        <v>2995.6346643796101</v>
      </c>
      <c r="L178" s="316">
        <f t="shared" ca="1" si="9"/>
        <v>1.0277879096868048E-2</v>
      </c>
      <c r="M178" s="310">
        <f t="shared" si="7"/>
        <v>0.12974729252080144</v>
      </c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</row>
    <row r="179" spans="1:35">
      <c r="A179" s="1">
        <f ca="1"/>
        <v>2037</v>
      </c>
      <c r="B179" s="314">
        <f ca="1"/>
        <v>166891.70205630525</v>
      </c>
      <c r="C179" s="314">
        <v>185842.03003543746</v>
      </c>
      <c r="D179" s="314">
        <f t="shared" ca="1" si="8"/>
        <v>18950.327979132213</v>
      </c>
      <c r="E179" s="314">
        <f t="shared" ca="1" si="10"/>
        <v>72393.914537733712</v>
      </c>
      <c r="F179" s="310">
        <v>5.3124364821780645</v>
      </c>
      <c r="G179" s="310">
        <v>0.19464482186153725</v>
      </c>
      <c r="H179" s="310">
        <v>0.15112009311752858</v>
      </c>
      <c r="I179" s="310">
        <v>4.1534706154334022E-2</v>
      </c>
      <c r="J179" s="310">
        <f ca="1"/>
        <v>45.353985468236715</v>
      </c>
      <c r="K179" s="312">
        <v>3121.5112329768413</v>
      </c>
      <c r="L179" s="316">
        <f t="shared" ca="1" si="9"/>
        <v>1.4529496158495227E-2</v>
      </c>
      <c r="M179" s="310">
        <f t="shared" si="7"/>
        <v>0.1926547992718626</v>
      </c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</row>
    <row r="180" spans="1:35">
      <c r="A180" s="1">
        <f ca="1"/>
        <v>2038</v>
      </c>
      <c r="B180" s="314">
        <f ca="1"/>
        <v>164332.14702552353</v>
      </c>
      <c r="C180" s="314">
        <v>189387.29336262576</v>
      </c>
      <c r="D180" s="314">
        <f t="shared" ca="1" si="8"/>
        <v>25055.146337102226</v>
      </c>
      <c r="E180" s="314">
        <f t="shared" ca="1" si="10"/>
        <v>97449.060874835937</v>
      </c>
      <c r="F180" s="310">
        <v>5.8853995850564624</v>
      </c>
      <c r="G180" s="310">
        <v>0.22728762863125973</v>
      </c>
      <c r="H180" s="310">
        <v>0.21436214563885525</v>
      </c>
      <c r="I180" s="310">
        <v>6.2529716806738411E-2</v>
      </c>
      <c r="J180" s="310">
        <f ca="1"/>
        <v>64.384127582804709</v>
      </c>
      <c r="K180" s="312">
        <v>3252.677134986528</v>
      </c>
      <c r="L180" s="316">
        <f t="shared" ca="1" si="9"/>
        <v>1.9794195645880291E-2</v>
      </c>
      <c r="M180" s="310">
        <f t="shared" si="7"/>
        <v>0.27689186244559366</v>
      </c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</row>
    <row r="181" spans="1:35">
      <c r="A181" s="1">
        <f ca="1"/>
        <v>2039</v>
      </c>
      <c r="B181" s="314">
        <f ca="1"/>
        <v>160777.67196262893</v>
      </c>
      <c r="C181" s="314">
        <v>193402.77276699254</v>
      </c>
      <c r="D181" s="314">
        <f t="shared" ca="1" si="8"/>
        <v>32625.10080436361</v>
      </c>
      <c r="E181" s="314">
        <f t="shared" ca="1" si="10"/>
        <v>130074.16167919955</v>
      </c>
      <c r="F181" s="310">
        <v>6.5000384493379499</v>
      </c>
      <c r="G181" s="310">
        <v>0.26651529815162728</v>
      </c>
      <c r="H181" s="310">
        <v>0.29782492756748519</v>
      </c>
      <c r="I181" s="310">
        <v>9.1518769060979832E-2</v>
      </c>
      <c r="J181" s="310">
        <f ca="1"/>
        <v>88.238644598627801</v>
      </c>
      <c r="K181" s="312">
        <v>3389.3546281986619</v>
      </c>
      <c r="L181" s="316">
        <f t="shared" ca="1" si="9"/>
        <v>2.6034054939103241E-2</v>
      </c>
      <c r="M181" s="310">
        <f t="shared" si="7"/>
        <v>0.38934369662846502</v>
      </c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</row>
    <row r="182" spans="1:35">
      <c r="A182" s="1">
        <f ca="1"/>
        <v>2040</v>
      </c>
      <c r="B182" s="314">
        <f ca="1"/>
        <v>158199.43985829237</v>
      </c>
      <c r="C182" s="314">
        <v>199906.00119595573</v>
      </c>
      <c r="D182" s="314">
        <f t="shared" ca="1" si="8"/>
        <v>41706.561337663356</v>
      </c>
      <c r="E182" s="314">
        <f t="shared" ca="1" si="10"/>
        <v>171780.7230168629</v>
      </c>
      <c r="F182" s="310">
        <v>7.1520814529390551</v>
      </c>
      <c r="G182" s="310">
        <v>0.31308898950738606</v>
      </c>
      <c r="H182" s="310">
        <v>0.40545104590798331</v>
      </c>
      <c r="I182" s="310">
        <v>0.13061484140947963</v>
      </c>
      <c r="J182" s="310">
        <f ca="1"/>
        <v>117.02799071917451</v>
      </c>
      <c r="K182" s="312">
        <v>3531.7753096755696</v>
      </c>
      <c r="L182" s="316">
        <f t="shared" ca="1" si="9"/>
        <v>3.3135740656708074E-2</v>
      </c>
      <c r="M182" s="310">
        <f t="shared" si="7"/>
        <v>0.53606588731746296</v>
      </c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</row>
    <row r="183" spans="1:35">
      <c r="A183" s="1">
        <f ca="1"/>
        <v>2041</v>
      </c>
      <c r="B183" s="314">
        <f ca="1"/>
        <v>157167.45596871135</v>
      </c>
      <c r="C183" s="314">
        <v>209119.66320764073</v>
      </c>
      <c r="D183" s="314">
        <f t="shared" ca="1" si="8"/>
        <v>51952.207238929375</v>
      </c>
      <c r="E183" s="314">
        <f t="shared" ca="1" si="10"/>
        <v>223732.93025579228</v>
      </c>
      <c r="F183" s="310">
        <v>7.5488112440169486</v>
      </c>
      <c r="G183" s="310">
        <v>0.35858333330033976</v>
      </c>
      <c r="H183" s="310">
        <v>0.54134777407683177</v>
      </c>
      <c r="I183" s="310">
        <v>0.1820212627188304</v>
      </c>
      <c r="J183" s="310">
        <f ca="1"/>
        <v>150.77566657277049</v>
      </c>
      <c r="K183" s="312">
        <v>3680.1805081881366</v>
      </c>
      <c r="L183" s="316">
        <f t="shared" ca="1" si="9"/>
        <v>4.0969638917793705E-2</v>
      </c>
      <c r="M183" s="310">
        <f t="shared" si="7"/>
        <v>0.72336903679566222</v>
      </c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</row>
    <row r="184" spans="1:35">
      <c r="A184" s="1">
        <f ca="1"/>
        <v>2042</v>
      </c>
      <c r="B184" s="314">
        <f ca="1"/>
        <v>159041.88226464827</v>
      </c>
      <c r="C184" s="314">
        <v>223023.07801769095</v>
      </c>
      <c r="D184" s="314">
        <f t="shared" ca="1" si="8"/>
        <v>63981.195753042673</v>
      </c>
      <c r="E184" s="314">
        <f t="shared" ca="1" si="10"/>
        <v>287714.12600883492</v>
      </c>
      <c r="F184" s="310">
        <v>7.9927945695085345</v>
      </c>
      <c r="G184" s="310">
        <v>0.41359279744903449</v>
      </c>
      <c r="H184" s="310">
        <v>0.71439669211319845</v>
      </c>
      <c r="I184" s="310">
        <v>0.24781245534774229</v>
      </c>
      <c r="J184" s="310">
        <f ca="1"/>
        <v>189.40442624585071</v>
      </c>
      <c r="K184" s="312">
        <v>3834.8216931422021</v>
      </c>
      <c r="L184" s="316">
        <f t="shared" ca="1" si="9"/>
        <v>4.939067351803135E-2</v>
      </c>
      <c r="M184" s="310">
        <f t="shared" si="7"/>
        <v>0.96220914746094077</v>
      </c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</row>
    <row r="185" spans="1:35">
      <c r="A185" s="318">
        <f ca="1"/>
        <v>2043</v>
      </c>
      <c r="B185" s="317">
        <f ca="1"/>
        <v>157836.78530932992</v>
      </c>
      <c r="C185" s="314">
        <v>234896.06555118959</v>
      </c>
      <c r="D185" s="314">
        <f t="shared" ca="1" si="8"/>
        <v>77059.280241859669</v>
      </c>
      <c r="E185" s="314">
        <f t="shared" ca="1" si="10"/>
        <v>364773.40625069459</v>
      </c>
      <c r="F185" s="310">
        <v>8.4359455196014466</v>
      </c>
      <c r="G185" s="310">
        <v>0.47475518814550199</v>
      </c>
      <c r="H185" s="310">
        <v>0.92265879787311311</v>
      </c>
      <c r="I185" s="310">
        <v>0.32938833764363445</v>
      </c>
      <c r="J185" s="310">
        <f ca="1"/>
        <v>232.49736652191024</v>
      </c>
      <c r="K185" s="312">
        <v>3995.9609006880373</v>
      </c>
      <c r="L185" s="316">
        <f t="shared" ca="1" si="9"/>
        <v>5.8183093453661697E-2</v>
      </c>
      <c r="M185" s="310">
        <f t="shared" si="7"/>
        <v>1.2520471355167475</v>
      </c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</row>
    <row r="186" spans="1:35">
      <c r="A186" s="1">
        <f ca="1"/>
        <v>2044</v>
      </c>
      <c r="B186" s="314">
        <f ca="1"/>
        <v>154194.53841193111</v>
      </c>
      <c r="C186" s="314">
        <v>245380.30830624807</v>
      </c>
      <c r="D186" s="314">
        <f t="shared" ca="1" si="8"/>
        <v>91185.769894316967</v>
      </c>
      <c r="E186" s="314">
        <f t="shared" ca="1" si="10"/>
        <v>455959.17614501156</v>
      </c>
      <c r="F186" s="310">
        <v>8.909306903412805</v>
      </c>
      <c r="G186" s="310">
        <v>0.54228815573214095</v>
      </c>
      <c r="H186" s="310">
        <v>1.1719644399782156</v>
      </c>
      <c r="I186" s="310">
        <v>0.42920643354692539</v>
      </c>
      <c r="J186" s="310">
        <f ca="1"/>
        <v>278.96128646837792</v>
      </c>
      <c r="K186" s="312">
        <v>4163.8711777349481</v>
      </c>
      <c r="L186" s="316">
        <f t="shared" ca="1" si="9"/>
        <v>6.6995657300840547E-2</v>
      </c>
      <c r="M186" s="310">
        <f t="shared" si="7"/>
        <v>1.6011708735251411</v>
      </c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</row>
    <row r="187" spans="1:35">
      <c r="A187" s="1">
        <f ca="1"/>
        <v>2045</v>
      </c>
      <c r="B187" s="314">
        <f ca="1"/>
        <v>150674.8489221074</v>
      </c>
      <c r="C187" s="314">
        <v>256731.80879054783</v>
      </c>
      <c r="D187" s="314">
        <f t="shared" ca="1" si="8"/>
        <v>106056.95986844043</v>
      </c>
      <c r="E187" s="314">
        <f t="shared" ca="1" si="10"/>
        <v>562016.13601345196</v>
      </c>
      <c r="F187" s="310">
        <v>9.3851689942231005</v>
      </c>
      <c r="G187" s="310">
        <v>0.61330484928121121</v>
      </c>
      <c r="H187" s="310">
        <v>1.4670504578344472</v>
      </c>
      <c r="I187" s="310">
        <v>0.54923066905348816</v>
      </c>
      <c r="J187" s="310">
        <f ca="1"/>
        <v>327.75461859348849</v>
      </c>
      <c r="K187" s="312">
        <v>4338.8370446233703</v>
      </c>
      <c r="L187" s="316">
        <f t="shared" ca="1" si="9"/>
        <v>7.5539739156518376E-2</v>
      </c>
      <c r="M187" s="310">
        <f t="shared" si="7"/>
        <v>2.0162811268879355</v>
      </c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</row>
    <row r="188" spans="1:35">
      <c r="A188" s="1">
        <f ca="1"/>
        <v>2046</v>
      </c>
      <c r="B188" s="314">
        <f ca="1"/>
        <v>146991.84607322581</v>
      </c>
      <c r="C188" s="314">
        <v>268669.32361596054</v>
      </c>
      <c r="D188" s="314">
        <f t="shared" ca="1" si="8"/>
        <v>121677.47754273473</v>
      </c>
      <c r="E188" s="314">
        <f t="shared" ca="1" si="10"/>
        <v>683693.61355618667</v>
      </c>
      <c r="F188" s="310">
        <v>9.8263587649839543</v>
      </c>
      <c r="G188" s="310">
        <v>0.68376701878222268</v>
      </c>
      <c r="H188" s="310">
        <v>1.8107791403153379</v>
      </c>
      <c r="I188" s="310">
        <v>0.68913332857511289</v>
      </c>
      <c r="J188" s="310">
        <f ca="1"/>
        <v>379.37528323061383</v>
      </c>
      <c r="K188" s="312">
        <v>4521.1549772384442</v>
      </c>
      <c r="L188" s="316">
        <f t="shared" ca="1" si="9"/>
        <v>8.3911143311955025E-2</v>
      </c>
      <c r="M188" s="310">
        <f t="shared" si="7"/>
        <v>2.499912468890451</v>
      </c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</row>
    <row r="189" spans="1:35">
      <c r="A189" s="1">
        <f ca="1"/>
        <v>2047</v>
      </c>
      <c r="B189" s="314">
        <f ca="1"/>
        <v>142369.33846688329</v>
      </c>
      <c r="C189" s="314">
        <v>280484.43653631839</v>
      </c>
      <c r="D189" s="314">
        <f t="shared" ca="1" si="8"/>
        <v>138115.0980694351</v>
      </c>
      <c r="E189" s="314">
        <f t="shared" ca="1" si="10"/>
        <v>821808.71162562177</v>
      </c>
      <c r="F189" s="310">
        <v>10.238646874194266</v>
      </c>
      <c r="G189" s="310">
        <v>0.75394954977264472</v>
      </c>
      <c r="H189" s="310">
        <v>2.2079352025581054</v>
      </c>
      <c r="I189" s="310">
        <v>0.85360758217373456</v>
      </c>
      <c r="J189" s="310">
        <f ca="1"/>
        <v>433.45576981309324</v>
      </c>
      <c r="K189" s="312">
        <v>4711.1339093820034</v>
      </c>
      <c r="L189" s="316">
        <f t="shared" ca="1" si="9"/>
        <v>9.2006675707070495E-2</v>
      </c>
      <c r="M189" s="310">
        <f t="shared" si="7"/>
        <v>3.0615427847318397</v>
      </c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</row>
    <row r="190" spans="1:35">
      <c r="A190" s="1">
        <f ca="1"/>
        <v>2048</v>
      </c>
      <c r="B190" s="314">
        <f ca="1"/>
        <v>137810.72330805514</v>
      </c>
      <c r="C190" s="314">
        <v>292717.92650226655</v>
      </c>
      <c r="D190" s="314">
        <f t="shared" ca="1" si="8"/>
        <v>154907.20319421141</v>
      </c>
      <c r="E190" s="314">
        <f t="shared" ca="1" si="10"/>
        <v>976715.91481983312</v>
      </c>
      <c r="F190" s="310">
        <v>10.580475816675095</v>
      </c>
      <c r="G190" s="310">
        <v>0.82153108580498213</v>
      </c>
      <c r="H190" s="310">
        <v>2.6542417848508393</v>
      </c>
      <c r="I190" s="310">
        <v>1.0456488320762634</v>
      </c>
      <c r="J190" s="310">
        <f ca="1"/>
        <v>487.93556430114052</v>
      </c>
      <c r="K190" s="312">
        <v>4909.0957562542353</v>
      </c>
      <c r="L190" s="316">
        <f t="shared" ca="1" si="9"/>
        <v>9.939418347656101E-2</v>
      </c>
      <c r="M190" s="310">
        <f t="shared" si="7"/>
        <v>3.6998906169271026</v>
      </c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</row>
    <row r="191" spans="1:35">
      <c r="A191" s="1">
        <f ca="1"/>
        <v>2049</v>
      </c>
      <c r="B191" s="314">
        <f ca="1"/>
        <v>133142.30223297409</v>
      </c>
      <c r="C191" s="314">
        <v>305260.64394790574</v>
      </c>
      <c r="D191" s="314">
        <f t="shared" ca="1" si="8"/>
        <v>172118.34171493165</v>
      </c>
      <c r="E191" s="314">
        <f t="shared" ca="1" si="10"/>
        <v>1148834.2565347648</v>
      </c>
      <c r="F191" s="310">
        <v>10.852042839545724</v>
      </c>
      <c r="G191" s="310">
        <v>0.88611529170085357</v>
      </c>
      <c r="H191" s="310">
        <v>3.1531582293440361</v>
      </c>
      <c r="I191" s="310">
        <v>1.2600038146100783</v>
      </c>
      <c r="J191" s="310">
        <f ca="1"/>
        <v>543.38396997161158</v>
      </c>
      <c r="K191" s="312">
        <v>5115.3759599320383</v>
      </c>
      <c r="L191" s="316">
        <f t="shared" ca="1" si="9"/>
        <v>0.1062256174771621</v>
      </c>
      <c r="M191" s="310">
        <f t="shared" si="7"/>
        <v>4.4131620439541148</v>
      </c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</row>
    <row r="192" spans="1:35">
      <c r="A192" s="318">
        <f ca="1"/>
        <v>2050</v>
      </c>
      <c r="B192" s="314">
        <f ca="1"/>
        <v>127883.58676354986</v>
      </c>
      <c r="C192" s="314">
        <v>318026.3903136318</v>
      </c>
      <c r="D192" s="314">
        <f t="shared" ca="1" si="8"/>
        <v>190142.80355008194</v>
      </c>
      <c r="E192" s="314">
        <f t="shared" ca="1" si="10"/>
        <v>1338977.0600848468</v>
      </c>
      <c r="F192" s="319">
        <v>11.075602844778308</v>
      </c>
      <c r="G192" s="310">
        <v>0.94937251274789225</v>
      </c>
      <c r="H192" s="310">
        <v>3.7225828731865529</v>
      </c>
      <c r="I192" s="310">
        <v>1.4946914996238954</v>
      </c>
      <c r="J192" s="310">
        <f ca="1"/>
        <v>604.34675721177393</v>
      </c>
      <c r="K192" s="312">
        <v>5330.3240577683819</v>
      </c>
      <c r="L192" s="316">
        <f t="shared" ca="1" si="9"/>
        <v>0.11337898984415452</v>
      </c>
      <c r="M192" s="310">
        <f t="shared" si="7"/>
        <v>5.217274372810448</v>
      </c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</row>
    <row r="193" spans="1:35">
      <c r="A193" s="318">
        <f ca="1"/>
        <v>2051</v>
      </c>
      <c r="B193" s="314">
        <f ca="1"/>
        <v>123229.37128387862</v>
      </c>
      <c r="C193" s="314">
        <v>331899.32751456491</v>
      </c>
      <c r="D193" s="314">
        <f t="shared" ca="1" si="8"/>
        <v>208669.95623068628</v>
      </c>
      <c r="E193" s="314">
        <f t="shared" ca="1" si="10"/>
        <v>1547647.0163155331</v>
      </c>
      <c r="F193" s="310">
        <v>11.247235728459982</v>
      </c>
      <c r="G193" s="319">
        <v>1.0065976730088393</v>
      </c>
      <c r="H193" s="310">
        <v>4.3616444121376174</v>
      </c>
      <c r="I193" s="310">
        <v>1.7671899880041497</v>
      </c>
      <c r="J193" s="310">
        <f ca="1"/>
        <v>664.68307546540746</v>
      </c>
      <c r="K193" s="312">
        <v>5554.3042746758092</v>
      </c>
      <c r="L193" s="316">
        <f t="shared" ca="1" si="9"/>
        <v>0.11966990690372348</v>
      </c>
      <c r="M193" s="310">
        <f t="shared" si="7"/>
        <v>6.1288344001417672</v>
      </c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</row>
    <row r="194" spans="1:35">
      <c r="A194" s="1">
        <f ca="1"/>
        <v>2052</v>
      </c>
      <c r="B194" s="314">
        <f ca="1"/>
        <v>119013.22717381416</v>
      </c>
      <c r="C194" s="314">
        <v>346479.7089958298</v>
      </c>
      <c r="D194" s="314">
        <f t="shared" ca="1" si="8"/>
        <v>227466.48182201566</v>
      </c>
      <c r="E194" s="314">
        <f t="shared" ca="1" si="10"/>
        <v>1775113.4981375488</v>
      </c>
      <c r="F194" s="310">
        <v>11.226036077431367</v>
      </c>
      <c r="G194" s="310">
        <v>1.0412600131207939</v>
      </c>
      <c r="H194" s="310">
        <v>5.364733061790389</v>
      </c>
      <c r="I194" s="310">
        <v>2.0786791026469493</v>
      </c>
      <c r="J194" s="310">
        <f ca="1"/>
        <v>725.18478523052977</v>
      </c>
      <c r="K194" s="312">
        <v>5787.6961402976867</v>
      </c>
      <c r="L194" s="316">
        <f t="shared" ca="1" si="9"/>
        <v>0.12529766035596165</v>
      </c>
      <c r="M194" s="310">
        <f t="shared" si="7"/>
        <v>7.4434121644373388</v>
      </c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</row>
    <row r="195" spans="1:35">
      <c r="A195" s="1">
        <f ca="1"/>
        <v>2053</v>
      </c>
      <c r="B195" s="314">
        <f ca="1"/>
        <v>114743.97648342469</v>
      </c>
      <c r="C195" s="314">
        <v>361088.02108984214</v>
      </c>
      <c r="D195" s="314">
        <f t="shared" ca="1" si="8"/>
        <v>246344.04460641745</v>
      </c>
      <c r="E195" s="314">
        <f t="shared" ca="1" si="10"/>
        <v>2021457.5427439662</v>
      </c>
      <c r="F195" s="310">
        <v>10.952881664602337</v>
      </c>
      <c r="G195" s="310">
        <v>1.0456304785479031</v>
      </c>
      <c r="H195" s="310">
        <v>6.5614927081129979</v>
      </c>
      <c r="I195" s="310">
        <v>2.4913534275934786</v>
      </c>
      <c r="J195" s="310">
        <f ca="1"/>
        <v>785.45594435068233</v>
      </c>
      <c r="K195" s="312">
        <v>6030.8951321129953</v>
      </c>
      <c r="L195" s="316">
        <f t="shared" ca="1" si="9"/>
        <v>0.13023870041585164</v>
      </c>
      <c r="M195" s="310">
        <f t="shared" si="7"/>
        <v>9.052846135706476</v>
      </c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</row>
    <row r="196" spans="1:35">
      <c r="A196" s="1">
        <f ca="1"/>
        <v>2054</v>
      </c>
      <c r="B196" s="314">
        <f ca="1"/>
        <v>110691.30652165269</v>
      </c>
      <c r="C196" s="314">
        <v>375779.18413275213</v>
      </c>
      <c r="D196" s="314">
        <f t="shared" ca="1" si="8"/>
        <v>265087.87761109945</v>
      </c>
      <c r="E196" s="314">
        <f t="shared" ca="1" si="10"/>
        <v>2286545.4203550657</v>
      </c>
      <c r="F196" s="310">
        <v>10.449841190056237</v>
      </c>
      <c r="G196" s="310">
        <v>1.0216758513896926</v>
      </c>
      <c r="H196" s="310">
        <v>7.9574007467779548</v>
      </c>
      <c r="I196" s="310">
        <v>3.0107547751663342</v>
      </c>
      <c r="J196" s="310">
        <f ca="1"/>
        <v>845.0224280440533</v>
      </c>
      <c r="K196" s="312">
        <v>6284.3133455643829</v>
      </c>
      <c r="L196" s="316">
        <f t="shared" ca="1" si="9"/>
        <v>0.13446535549353059</v>
      </c>
      <c r="M196" s="310">
        <f t="shared" si="7"/>
        <v>10.96815552194429</v>
      </c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</row>
    <row r="197" spans="1:35">
      <c r="A197" s="1">
        <f ca="1"/>
        <v>2055</v>
      </c>
      <c r="B197" s="314">
        <f ca="1"/>
        <v>107153.23215492872</v>
      </c>
      <c r="C197" s="314">
        <v>390995.61034144997</v>
      </c>
      <c r="D197" s="314">
        <f t="shared" ca="1" si="8"/>
        <v>283842.37818652124</v>
      </c>
      <c r="E197" s="314">
        <f t="shared" ca="1" si="10"/>
        <v>2570387.7985415868</v>
      </c>
      <c r="F197" s="310">
        <v>9.8339353782572054</v>
      </c>
      <c r="G197" s="310">
        <v>0.98225746323060614</v>
      </c>
      <c r="H197" s="310">
        <v>9.5634072926318332</v>
      </c>
      <c r="I197" s="310">
        <v>3.6423474307781825</v>
      </c>
      <c r="J197" s="497">
        <f ca="1"/>
        <v>903.35203123184283</v>
      </c>
      <c r="K197" s="312">
        <v>6548.3801923449982</v>
      </c>
      <c r="L197" s="316">
        <f t="shared" ca="1" si="9"/>
        <v>0.13795045563906838</v>
      </c>
      <c r="M197" s="497">
        <f t="shared" si="7"/>
        <v>13.205754723410015</v>
      </c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</row>
    <row r="198" spans="1:35">
      <c r="E198" s="498">
        <f ca="1">E197/1000</f>
        <v>2570.387798541587</v>
      </c>
      <c r="F198" s="147">
        <v>0</v>
      </c>
      <c r="H198" s="797">
        <f>H197+I197</f>
        <v>13.205754723410015</v>
      </c>
      <c r="I198" s="798"/>
    </row>
    <row r="199" spans="1:35">
      <c r="E199" s="499" t="s">
        <v>695</v>
      </c>
    </row>
  </sheetData>
  <mergeCells count="1">
    <mergeCell ref="H198:I198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FA9B-D76E-4C8A-802D-1CFBF52548AF}">
  <dimension ref="A1:S48"/>
  <sheetViews>
    <sheetView topLeftCell="A6" workbookViewId="0">
      <selection activeCell="B18" sqref="B18:I48"/>
    </sheetView>
  </sheetViews>
  <sheetFormatPr defaultRowHeight="14.4"/>
  <cols>
    <col min="1" max="1" width="15.6640625" bestFit="1" customWidth="1"/>
    <col min="2" max="4" width="14.6640625" bestFit="1" customWidth="1"/>
    <col min="8" max="8" width="9.77734375" bestFit="1" customWidth="1"/>
  </cols>
  <sheetData>
    <row r="1" spans="1:8" ht="46.8">
      <c r="A1" s="162" t="s">
        <v>41</v>
      </c>
      <c r="B1" s="162" t="s">
        <v>504</v>
      </c>
      <c r="C1" s="162" t="s">
        <v>506</v>
      </c>
      <c r="D1" s="162" t="s">
        <v>508</v>
      </c>
      <c r="E1" s="164" t="s">
        <v>511</v>
      </c>
      <c r="F1" s="165" t="s">
        <v>513</v>
      </c>
      <c r="G1" s="162" t="s">
        <v>514</v>
      </c>
      <c r="H1" s="166" t="s">
        <v>515</v>
      </c>
    </row>
    <row r="2" spans="1:8">
      <c r="A2" s="122">
        <v>2025</v>
      </c>
      <c r="B2" s="152">
        <v>9.0519999999999988E-4</v>
      </c>
      <c r="C2" s="152">
        <v>0</v>
      </c>
      <c r="D2" s="152">
        <v>0</v>
      </c>
      <c r="E2" s="154">
        <v>2.2702621834910426E-3</v>
      </c>
      <c r="F2" s="152">
        <v>5.5698096271085011E-2</v>
      </c>
      <c r="G2" s="152">
        <v>0.94112644154542391</v>
      </c>
      <c r="H2" s="156">
        <v>9.0519999999999988E-4</v>
      </c>
    </row>
    <row r="3" spans="1:8">
      <c r="A3" s="122">
        <v>2030</v>
      </c>
      <c r="B3" s="152">
        <v>1.9480043267321775E-2</v>
      </c>
      <c r="C3" s="152">
        <v>2.9677498582906072E-4</v>
      </c>
      <c r="D3" s="152">
        <v>1E-4</v>
      </c>
      <c r="E3" s="154">
        <v>2.2922982495238273E-3</v>
      </c>
      <c r="F3" s="152">
        <v>5.564043122559903E-2</v>
      </c>
      <c r="G3" s="152">
        <v>0.92219045227172636</v>
      </c>
      <c r="H3" s="156">
        <v>1.9876818253150835E-2</v>
      </c>
    </row>
    <row r="4" spans="1:8">
      <c r="A4" s="95">
        <v>2035</v>
      </c>
      <c r="B4" s="152">
        <v>0.18378142474391024</v>
      </c>
      <c r="C4" s="152">
        <v>2.1653968922523549E-3</v>
      </c>
      <c r="D4" s="152">
        <v>1.3592619007633823E-3</v>
      </c>
      <c r="E4" s="154">
        <v>2.6144028363622256E-3</v>
      </c>
      <c r="F4" s="152">
        <v>5.479753233322663E-2</v>
      </c>
      <c r="G4" s="158">
        <v>0.75528198129348512</v>
      </c>
      <c r="H4" s="161">
        <v>0.18730608353692596</v>
      </c>
    </row>
    <row r="5" spans="1:8">
      <c r="A5" s="95">
        <v>2040</v>
      </c>
      <c r="B5" s="152">
        <v>0.55948688902258858</v>
      </c>
      <c r="C5" s="152">
        <v>7.6068054359492042E-3</v>
      </c>
      <c r="D5" s="152">
        <v>6.399615750991983E-3</v>
      </c>
      <c r="E5" s="154">
        <v>3.7477036484422485E-3</v>
      </c>
      <c r="F5" s="152">
        <v>5.1831855847202998E-2</v>
      </c>
      <c r="G5" s="158">
        <v>0.37092713029482499</v>
      </c>
      <c r="H5" s="161">
        <v>0.57349331020952976</v>
      </c>
    </row>
    <row r="6" spans="1:8">
      <c r="A6" s="95">
        <v>2045</v>
      </c>
      <c r="B6" s="152">
        <v>0.76063904990810127</v>
      </c>
      <c r="C6" s="152">
        <v>1.6833550117131873E-2</v>
      </c>
      <c r="D6" s="152">
        <v>1.6055748022997834E-2</v>
      </c>
      <c r="E6" s="154">
        <v>4.8070125830623495E-3</v>
      </c>
      <c r="F6" s="152">
        <v>4.9059804891842217E-2</v>
      </c>
      <c r="G6" s="158">
        <v>0.1526048344768646</v>
      </c>
      <c r="H6" s="161">
        <v>0.79352834804823091</v>
      </c>
    </row>
    <row r="7" spans="1:8">
      <c r="A7" s="95">
        <v>2050</v>
      </c>
      <c r="B7" s="152">
        <v>0.830697129466901</v>
      </c>
      <c r="C7" s="152">
        <v>2.7814452200337996E-2</v>
      </c>
      <c r="D7" s="152">
        <v>2.7720616640294123E-2</v>
      </c>
      <c r="E7" s="154">
        <v>3.983596953719977E-3</v>
      </c>
      <c r="F7" s="152">
        <v>3.4446397188049212E-2</v>
      </c>
      <c r="G7" s="158">
        <v>7.5337807550697675E-2</v>
      </c>
      <c r="H7" s="161">
        <v>0.88623219830753308</v>
      </c>
    </row>
    <row r="8" spans="1:8">
      <c r="A8" s="95">
        <v>2055</v>
      </c>
      <c r="B8" s="152">
        <v>0.87248713217441975</v>
      </c>
      <c r="C8" s="152">
        <v>6.594153636981645E-2</v>
      </c>
      <c r="D8" s="152">
        <v>6.1571331455763816E-2</v>
      </c>
      <c r="E8" s="154">
        <v>0</v>
      </c>
      <c r="F8" s="152">
        <v>0</v>
      </c>
      <c r="G8" s="158">
        <v>0</v>
      </c>
      <c r="H8" s="161">
        <v>1</v>
      </c>
    </row>
    <row r="9" spans="1:8">
      <c r="A9" s="796"/>
      <c r="B9" s="796"/>
      <c r="C9" s="796"/>
      <c r="D9" s="796"/>
    </row>
    <row r="10" spans="1:8">
      <c r="A10" s="796"/>
      <c r="B10" s="796"/>
      <c r="C10" s="796"/>
      <c r="D10" s="796"/>
    </row>
    <row r="11" spans="1:8">
      <c r="A11" s="796"/>
      <c r="B11" s="796"/>
      <c r="C11" s="796"/>
      <c r="D11" s="796"/>
    </row>
    <row r="12" spans="1:8">
      <c r="A12" s="796"/>
      <c r="B12" s="796"/>
      <c r="C12" s="796"/>
      <c r="D12" s="796"/>
    </row>
    <row r="13" spans="1:8">
      <c r="A13" s="796"/>
      <c r="B13" s="796"/>
      <c r="C13" s="796"/>
      <c r="D13" s="796"/>
    </row>
    <row r="14" spans="1:8">
      <c r="A14" s="796"/>
      <c r="B14" s="796"/>
      <c r="C14" s="796"/>
      <c r="D14" s="796"/>
    </row>
    <row r="15" spans="1:8">
      <c r="A15" s="796"/>
      <c r="B15" s="796"/>
      <c r="C15" s="796"/>
      <c r="D15" s="796"/>
    </row>
    <row r="16" spans="1:8" ht="15" thickBot="1">
      <c r="A16" s="796"/>
      <c r="B16" s="796"/>
      <c r="C16" s="796"/>
      <c r="D16" s="796"/>
    </row>
    <row r="17" spans="1:19" ht="15" thickBot="1">
      <c r="A17" s="979" t="s">
        <v>41</v>
      </c>
      <c r="B17" s="980" t="s">
        <v>38</v>
      </c>
      <c r="C17" s="980" t="s">
        <v>44</v>
      </c>
      <c r="D17" s="980" t="s">
        <v>45</v>
      </c>
      <c r="E17" s="980" t="s">
        <v>46</v>
      </c>
      <c r="F17" s="980" t="s">
        <v>47</v>
      </c>
      <c r="G17" s="980" t="s">
        <v>48</v>
      </c>
      <c r="H17" s="980" t="s">
        <v>49</v>
      </c>
      <c r="I17" s="980" t="s">
        <v>548</v>
      </c>
      <c r="K17" s="979" t="s">
        <v>41</v>
      </c>
      <c r="L17" s="980" t="s">
        <v>38</v>
      </c>
      <c r="M17" s="980" t="s">
        <v>44</v>
      </c>
      <c r="N17" s="980" t="s">
        <v>45</v>
      </c>
      <c r="O17" s="980" t="s">
        <v>46</v>
      </c>
      <c r="P17" s="980" t="s">
        <v>47</v>
      </c>
      <c r="Q17" s="980" t="s">
        <v>48</v>
      </c>
      <c r="R17" s="980" t="s">
        <v>49</v>
      </c>
      <c r="S17" s="980" t="s">
        <v>548</v>
      </c>
    </row>
    <row r="18" spans="1:19" ht="15" thickBot="1">
      <c r="A18" s="981">
        <v>2025</v>
      </c>
      <c r="B18" s="979">
        <v>242</v>
      </c>
      <c r="C18" s="980">
        <v>61</v>
      </c>
      <c r="D18" s="980">
        <v>21</v>
      </c>
      <c r="E18" s="980">
        <v>62</v>
      </c>
      <c r="F18" s="980">
        <v>37</v>
      </c>
      <c r="G18" s="980">
        <v>8</v>
      </c>
      <c r="H18" s="980">
        <v>2</v>
      </c>
      <c r="I18" s="980">
        <v>51</v>
      </c>
      <c r="K18">
        <f>A18</f>
        <v>2025</v>
      </c>
      <c r="L18">
        <f>ROUND(B18,-2)</f>
        <v>200</v>
      </c>
      <c r="M18">
        <f t="shared" ref="M18:S18" si="0">ROUND(C18,-2)</f>
        <v>100</v>
      </c>
      <c r="N18">
        <f t="shared" si="0"/>
        <v>0</v>
      </c>
      <c r="O18">
        <f t="shared" si="0"/>
        <v>100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100</v>
      </c>
    </row>
    <row r="19" spans="1:19" ht="15" thickBot="1">
      <c r="A19" s="981">
        <v>2026</v>
      </c>
      <c r="B19" s="981">
        <v>583</v>
      </c>
      <c r="C19" s="982">
        <v>146</v>
      </c>
      <c r="D19" s="982">
        <v>58</v>
      </c>
      <c r="E19" s="982">
        <v>146</v>
      </c>
      <c r="F19" s="982">
        <v>87</v>
      </c>
      <c r="G19" s="982">
        <v>17</v>
      </c>
      <c r="H19" s="982">
        <v>6</v>
      </c>
      <c r="I19" s="982">
        <v>122</v>
      </c>
      <c r="L19">
        <f t="shared" ref="L19:L48" si="1">ROUND(B19,-2)</f>
        <v>600</v>
      </c>
      <c r="M19">
        <f t="shared" ref="M19:M48" si="2">ROUND(C19,-2)</f>
        <v>100</v>
      </c>
      <c r="N19">
        <f t="shared" ref="N19:N48" si="3">ROUND(D19,-2)</f>
        <v>100</v>
      </c>
      <c r="O19">
        <f t="shared" ref="O19:O48" si="4">ROUND(E19,-2)</f>
        <v>100</v>
      </c>
      <c r="P19">
        <f t="shared" ref="P19:P48" si="5">ROUND(F19,-2)</f>
        <v>100</v>
      </c>
      <c r="Q19">
        <f t="shared" ref="Q19:Q48" si="6">ROUND(G19,-2)</f>
        <v>0</v>
      </c>
      <c r="R19">
        <f t="shared" ref="R19:R48" si="7">ROUND(H19,-2)</f>
        <v>0</v>
      </c>
      <c r="S19">
        <f t="shared" ref="S19:S48" si="8">ROUND(I19,-2)</f>
        <v>100</v>
      </c>
    </row>
    <row r="20" spans="1:19" ht="15" thickBot="1">
      <c r="A20" s="981">
        <v>2027</v>
      </c>
      <c r="B20" s="981">
        <v>1169</v>
      </c>
      <c r="C20" s="982">
        <v>292</v>
      </c>
      <c r="D20" s="982">
        <v>117</v>
      </c>
      <c r="E20" s="982">
        <v>292</v>
      </c>
      <c r="F20" s="982">
        <v>175</v>
      </c>
      <c r="G20" s="982">
        <v>35</v>
      </c>
      <c r="H20" s="982">
        <v>12</v>
      </c>
      <c r="I20" s="982">
        <v>246</v>
      </c>
      <c r="L20">
        <f t="shared" si="1"/>
        <v>1200</v>
      </c>
      <c r="M20">
        <f t="shared" si="2"/>
        <v>300</v>
      </c>
      <c r="N20">
        <f t="shared" si="3"/>
        <v>100</v>
      </c>
      <c r="O20">
        <f t="shared" si="4"/>
        <v>300</v>
      </c>
      <c r="P20">
        <f t="shared" si="5"/>
        <v>200</v>
      </c>
      <c r="Q20">
        <f t="shared" si="6"/>
        <v>0</v>
      </c>
      <c r="R20">
        <f t="shared" si="7"/>
        <v>0</v>
      </c>
      <c r="S20">
        <f t="shared" si="8"/>
        <v>200</v>
      </c>
    </row>
    <row r="21" spans="1:19" ht="15" thickBot="1">
      <c r="A21" s="981">
        <v>2028</v>
      </c>
      <c r="B21" s="981">
        <v>2178</v>
      </c>
      <c r="C21" s="982">
        <v>545</v>
      </c>
      <c r="D21" s="982">
        <v>218</v>
      </c>
      <c r="E21" s="982">
        <v>545</v>
      </c>
      <c r="F21" s="982">
        <v>327</v>
      </c>
      <c r="G21" s="982">
        <v>65</v>
      </c>
      <c r="H21" s="982">
        <v>22</v>
      </c>
      <c r="I21" s="982">
        <v>457</v>
      </c>
      <c r="L21">
        <f t="shared" si="1"/>
        <v>2200</v>
      </c>
      <c r="M21">
        <f t="shared" si="2"/>
        <v>500</v>
      </c>
      <c r="N21">
        <f t="shared" si="3"/>
        <v>200</v>
      </c>
      <c r="O21">
        <f t="shared" si="4"/>
        <v>500</v>
      </c>
      <c r="P21">
        <f t="shared" si="5"/>
        <v>300</v>
      </c>
      <c r="Q21">
        <f t="shared" si="6"/>
        <v>100</v>
      </c>
      <c r="R21">
        <f t="shared" si="7"/>
        <v>0</v>
      </c>
      <c r="S21">
        <f t="shared" si="8"/>
        <v>500</v>
      </c>
    </row>
    <row r="22" spans="1:19" ht="15" thickBot="1">
      <c r="A22" s="981">
        <v>2029</v>
      </c>
      <c r="B22" s="981">
        <v>4092</v>
      </c>
      <c r="C22" s="982">
        <v>1023</v>
      </c>
      <c r="D22" s="982">
        <v>409</v>
      </c>
      <c r="E22" s="982">
        <v>1023</v>
      </c>
      <c r="F22" s="982">
        <v>614</v>
      </c>
      <c r="G22" s="982">
        <v>123</v>
      </c>
      <c r="H22" s="982">
        <v>41</v>
      </c>
      <c r="I22" s="982">
        <v>859</v>
      </c>
      <c r="L22">
        <f t="shared" si="1"/>
        <v>4100</v>
      </c>
      <c r="M22">
        <f t="shared" si="2"/>
        <v>1000</v>
      </c>
      <c r="N22">
        <f t="shared" si="3"/>
        <v>400</v>
      </c>
      <c r="O22">
        <f t="shared" si="4"/>
        <v>1000</v>
      </c>
      <c r="P22">
        <f t="shared" si="5"/>
        <v>600</v>
      </c>
      <c r="Q22">
        <f t="shared" si="6"/>
        <v>100</v>
      </c>
      <c r="R22">
        <f t="shared" si="7"/>
        <v>0</v>
      </c>
      <c r="S22">
        <f t="shared" si="8"/>
        <v>900</v>
      </c>
    </row>
    <row r="23" spans="1:19" ht="15" thickBot="1">
      <c r="A23" s="981">
        <v>2030</v>
      </c>
      <c r="B23" s="981">
        <v>6817</v>
      </c>
      <c r="C23" s="982">
        <v>1704</v>
      </c>
      <c r="D23" s="982">
        <v>682</v>
      </c>
      <c r="E23" s="982">
        <v>1704</v>
      </c>
      <c r="F23" s="982">
        <v>1023</v>
      </c>
      <c r="G23" s="982">
        <v>205</v>
      </c>
      <c r="H23" s="982">
        <v>68</v>
      </c>
      <c r="I23" s="982">
        <v>1432</v>
      </c>
      <c r="L23">
        <f t="shared" si="1"/>
        <v>6800</v>
      </c>
      <c r="M23">
        <f t="shared" si="2"/>
        <v>1700</v>
      </c>
      <c r="N23">
        <f t="shared" si="3"/>
        <v>700</v>
      </c>
      <c r="O23">
        <f t="shared" si="4"/>
        <v>1700</v>
      </c>
      <c r="P23">
        <f t="shared" si="5"/>
        <v>1000</v>
      </c>
      <c r="Q23">
        <f t="shared" si="6"/>
        <v>200</v>
      </c>
      <c r="R23">
        <f t="shared" si="7"/>
        <v>100</v>
      </c>
      <c r="S23">
        <f t="shared" si="8"/>
        <v>1400</v>
      </c>
    </row>
    <row r="24" spans="1:19" ht="15" thickBot="1">
      <c r="A24" s="981">
        <v>2031</v>
      </c>
      <c r="B24" s="981">
        <v>10714</v>
      </c>
      <c r="C24" s="982">
        <v>2786</v>
      </c>
      <c r="D24" s="982">
        <v>1179</v>
      </c>
      <c r="E24" s="982">
        <v>2571</v>
      </c>
      <c r="F24" s="982">
        <v>1500</v>
      </c>
      <c r="G24" s="982">
        <v>321</v>
      </c>
      <c r="H24" s="982">
        <v>214</v>
      </c>
      <c r="I24" s="982">
        <v>2143</v>
      </c>
      <c r="L24">
        <f t="shared" si="1"/>
        <v>10700</v>
      </c>
      <c r="M24">
        <f t="shared" si="2"/>
        <v>2800</v>
      </c>
      <c r="N24">
        <f t="shared" si="3"/>
        <v>1200</v>
      </c>
      <c r="O24">
        <f t="shared" si="4"/>
        <v>2600</v>
      </c>
      <c r="P24">
        <f t="shared" si="5"/>
        <v>1500</v>
      </c>
      <c r="Q24">
        <f t="shared" si="6"/>
        <v>300</v>
      </c>
      <c r="R24">
        <f t="shared" si="7"/>
        <v>200</v>
      </c>
      <c r="S24">
        <f t="shared" si="8"/>
        <v>2100</v>
      </c>
    </row>
    <row r="25" spans="1:19" ht="15" thickBot="1">
      <c r="A25" s="981">
        <v>2032</v>
      </c>
      <c r="B25" s="981">
        <v>23199</v>
      </c>
      <c r="C25" s="982">
        <v>6032</v>
      </c>
      <c r="D25" s="982">
        <v>3016</v>
      </c>
      <c r="E25" s="982">
        <v>5336</v>
      </c>
      <c r="F25" s="982">
        <v>3016</v>
      </c>
      <c r="G25" s="982">
        <v>696</v>
      </c>
      <c r="H25" s="982">
        <v>696</v>
      </c>
      <c r="I25" s="982">
        <v>4408</v>
      </c>
      <c r="L25">
        <f t="shared" si="1"/>
        <v>23200</v>
      </c>
      <c r="M25">
        <f t="shared" si="2"/>
        <v>6000</v>
      </c>
      <c r="N25">
        <f t="shared" si="3"/>
        <v>3000</v>
      </c>
      <c r="O25">
        <f t="shared" si="4"/>
        <v>5300</v>
      </c>
      <c r="P25">
        <f t="shared" si="5"/>
        <v>3000</v>
      </c>
      <c r="Q25">
        <f t="shared" si="6"/>
        <v>700</v>
      </c>
      <c r="R25">
        <f t="shared" si="7"/>
        <v>700</v>
      </c>
      <c r="S25">
        <f t="shared" si="8"/>
        <v>4400</v>
      </c>
    </row>
    <row r="26" spans="1:19" ht="15" thickBot="1">
      <c r="A26" s="981">
        <v>2033</v>
      </c>
      <c r="B26" s="981">
        <v>35771</v>
      </c>
      <c r="C26" s="982">
        <v>9658</v>
      </c>
      <c r="D26" s="982">
        <v>4650</v>
      </c>
      <c r="E26" s="982">
        <v>7870</v>
      </c>
      <c r="F26" s="982">
        <v>4293</v>
      </c>
      <c r="G26" s="982">
        <v>1073</v>
      </c>
      <c r="H26" s="982">
        <v>1431</v>
      </c>
      <c r="I26" s="982">
        <v>6797</v>
      </c>
      <c r="L26">
        <f t="shared" si="1"/>
        <v>35800</v>
      </c>
      <c r="M26">
        <f t="shared" si="2"/>
        <v>9700</v>
      </c>
      <c r="N26">
        <f t="shared" si="3"/>
        <v>4700</v>
      </c>
      <c r="O26">
        <f t="shared" si="4"/>
        <v>7900</v>
      </c>
      <c r="P26">
        <f t="shared" si="5"/>
        <v>4300</v>
      </c>
      <c r="Q26">
        <f t="shared" si="6"/>
        <v>1100</v>
      </c>
      <c r="R26">
        <f t="shared" si="7"/>
        <v>1400</v>
      </c>
      <c r="S26">
        <f t="shared" si="8"/>
        <v>6800</v>
      </c>
    </row>
    <row r="27" spans="1:19" ht="15" thickBot="1">
      <c r="A27" s="981">
        <v>2034</v>
      </c>
      <c r="B27" s="981">
        <v>55485</v>
      </c>
      <c r="C27" s="982">
        <v>15536</v>
      </c>
      <c r="D27" s="982">
        <v>7768</v>
      </c>
      <c r="E27" s="982">
        <v>11652</v>
      </c>
      <c r="F27" s="982">
        <v>6103</v>
      </c>
      <c r="G27" s="982">
        <v>1665</v>
      </c>
      <c r="H27" s="982">
        <v>2774</v>
      </c>
      <c r="I27" s="982">
        <v>9987</v>
      </c>
      <c r="L27">
        <f t="shared" si="1"/>
        <v>55500</v>
      </c>
      <c r="M27">
        <f t="shared" si="2"/>
        <v>15500</v>
      </c>
      <c r="N27">
        <f t="shared" si="3"/>
        <v>7800</v>
      </c>
      <c r="O27">
        <f t="shared" si="4"/>
        <v>11700</v>
      </c>
      <c r="P27">
        <f t="shared" si="5"/>
        <v>6100</v>
      </c>
      <c r="Q27">
        <f t="shared" si="6"/>
        <v>1700</v>
      </c>
      <c r="R27">
        <f t="shared" si="7"/>
        <v>2800</v>
      </c>
      <c r="S27">
        <f t="shared" si="8"/>
        <v>10000</v>
      </c>
    </row>
    <row r="28" spans="1:19" ht="15" thickBot="1">
      <c r="A28" s="981">
        <v>2035</v>
      </c>
      <c r="B28" s="981">
        <v>84444</v>
      </c>
      <c r="C28" s="982">
        <v>24489</v>
      </c>
      <c r="D28" s="982">
        <v>12667</v>
      </c>
      <c r="E28" s="982">
        <v>16889</v>
      </c>
      <c r="F28" s="982">
        <v>8444</v>
      </c>
      <c r="G28" s="982">
        <v>2533</v>
      </c>
      <c r="H28" s="982">
        <v>4222</v>
      </c>
      <c r="I28" s="982">
        <v>15200</v>
      </c>
      <c r="L28">
        <f t="shared" si="1"/>
        <v>84400</v>
      </c>
      <c r="M28">
        <f t="shared" si="2"/>
        <v>24500</v>
      </c>
      <c r="N28">
        <f t="shared" si="3"/>
        <v>12700</v>
      </c>
      <c r="O28">
        <f t="shared" si="4"/>
        <v>16900</v>
      </c>
      <c r="P28">
        <f t="shared" si="5"/>
        <v>8400</v>
      </c>
      <c r="Q28">
        <f t="shared" si="6"/>
        <v>2500</v>
      </c>
      <c r="R28">
        <f t="shared" si="7"/>
        <v>4200</v>
      </c>
      <c r="S28">
        <f t="shared" si="8"/>
        <v>15200</v>
      </c>
    </row>
    <row r="29" spans="1:19" ht="15" thickBot="1">
      <c r="A29" s="981">
        <v>2036</v>
      </c>
      <c r="B29" s="981">
        <v>120706</v>
      </c>
      <c r="C29" s="982">
        <v>35005</v>
      </c>
      <c r="D29" s="982">
        <v>19313</v>
      </c>
      <c r="E29" s="982">
        <v>22934</v>
      </c>
      <c r="F29" s="982">
        <v>10864</v>
      </c>
      <c r="G29" s="982">
        <v>3621</v>
      </c>
      <c r="H29" s="982">
        <v>7242</v>
      </c>
      <c r="I29" s="982">
        <v>21727</v>
      </c>
      <c r="L29">
        <f t="shared" si="1"/>
        <v>120700</v>
      </c>
      <c r="M29">
        <f t="shared" si="2"/>
        <v>35000</v>
      </c>
      <c r="N29">
        <f t="shared" si="3"/>
        <v>19300</v>
      </c>
      <c r="O29">
        <f t="shared" si="4"/>
        <v>22900</v>
      </c>
      <c r="P29">
        <f t="shared" si="5"/>
        <v>10900</v>
      </c>
      <c r="Q29">
        <f t="shared" si="6"/>
        <v>3600</v>
      </c>
      <c r="R29">
        <f t="shared" si="7"/>
        <v>7200</v>
      </c>
      <c r="S29">
        <f t="shared" si="8"/>
        <v>21700</v>
      </c>
    </row>
    <row r="30" spans="1:19" ht="15" thickBot="1">
      <c r="A30" s="981">
        <v>2037</v>
      </c>
      <c r="B30" s="981">
        <v>163130</v>
      </c>
      <c r="C30" s="982">
        <v>48939</v>
      </c>
      <c r="D30" s="982">
        <v>29363</v>
      </c>
      <c r="E30" s="982">
        <v>29363</v>
      </c>
      <c r="F30" s="982">
        <v>9788</v>
      </c>
      <c r="G30" s="982">
        <v>3263</v>
      </c>
      <c r="H30" s="982">
        <v>13050</v>
      </c>
      <c r="I30" s="982">
        <v>29363</v>
      </c>
      <c r="L30">
        <f t="shared" si="1"/>
        <v>163100</v>
      </c>
      <c r="M30">
        <f t="shared" si="2"/>
        <v>48900</v>
      </c>
      <c r="N30">
        <f t="shared" si="3"/>
        <v>29400</v>
      </c>
      <c r="O30">
        <f t="shared" si="4"/>
        <v>29400</v>
      </c>
      <c r="P30">
        <f t="shared" si="5"/>
        <v>9800</v>
      </c>
      <c r="Q30">
        <f t="shared" si="6"/>
        <v>3300</v>
      </c>
      <c r="R30">
        <f t="shared" si="7"/>
        <v>13100</v>
      </c>
      <c r="S30">
        <f t="shared" si="8"/>
        <v>29400</v>
      </c>
    </row>
    <row r="31" spans="1:19" ht="15" thickBot="1">
      <c r="A31" s="981">
        <v>2038</v>
      </c>
      <c r="B31" s="981">
        <v>210965</v>
      </c>
      <c r="C31" s="982">
        <v>63289</v>
      </c>
      <c r="D31" s="982">
        <v>40083</v>
      </c>
      <c r="E31" s="982">
        <v>35864</v>
      </c>
      <c r="F31" s="982">
        <v>10548</v>
      </c>
      <c r="G31" s="982">
        <v>4219</v>
      </c>
      <c r="H31" s="982">
        <v>16877</v>
      </c>
      <c r="I31" s="982">
        <v>40083</v>
      </c>
      <c r="L31">
        <f t="shared" si="1"/>
        <v>211000</v>
      </c>
      <c r="M31">
        <f t="shared" si="2"/>
        <v>63300</v>
      </c>
      <c r="N31">
        <f t="shared" si="3"/>
        <v>40100</v>
      </c>
      <c r="O31">
        <f t="shared" si="4"/>
        <v>35900</v>
      </c>
      <c r="P31">
        <f t="shared" si="5"/>
        <v>10500</v>
      </c>
      <c r="Q31">
        <f t="shared" si="6"/>
        <v>4200</v>
      </c>
      <c r="R31">
        <f t="shared" si="7"/>
        <v>16900</v>
      </c>
      <c r="S31">
        <f t="shared" si="8"/>
        <v>40100</v>
      </c>
    </row>
    <row r="32" spans="1:19" ht="15" thickBot="1">
      <c r="A32" s="981">
        <v>2039</v>
      </c>
      <c r="B32" s="981">
        <v>263976</v>
      </c>
      <c r="C32" s="982">
        <v>79193</v>
      </c>
      <c r="D32" s="982">
        <v>50155</v>
      </c>
      <c r="E32" s="982">
        <v>42236</v>
      </c>
      <c r="F32" s="982">
        <v>10559</v>
      </c>
      <c r="G32" s="982">
        <v>5280</v>
      </c>
      <c r="H32" s="982">
        <v>23758</v>
      </c>
      <c r="I32" s="982">
        <v>52795</v>
      </c>
      <c r="L32">
        <f t="shared" si="1"/>
        <v>264000</v>
      </c>
      <c r="M32">
        <f t="shared" si="2"/>
        <v>79200</v>
      </c>
      <c r="N32">
        <f t="shared" si="3"/>
        <v>50200</v>
      </c>
      <c r="O32">
        <f t="shared" si="4"/>
        <v>42200</v>
      </c>
      <c r="P32">
        <f t="shared" si="5"/>
        <v>10600</v>
      </c>
      <c r="Q32">
        <f t="shared" si="6"/>
        <v>5300</v>
      </c>
      <c r="R32">
        <f t="shared" si="7"/>
        <v>23800</v>
      </c>
      <c r="S32">
        <f t="shared" si="8"/>
        <v>52800</v>
      </c>
    </row>
    <row r="33" spans="1:19" ht="15" thickBot="1">
      <c r="A33" s="981">
        <v>2040</v>
      </c>
      <c r="B33" s="981">
        <v>319210</v>
      </c>
      <c r="C33" s="982">
        <v>95763</v>
      </c>
      <c r="D33" s="982">
        <v>63842</v>
      </c>
      <c r="E33" s="982">
        <v>47881</v>
      </c>
      <c r="F33" s="982">
        <v>9576</v>
      </c>
      <c r="G33" s="982">
        <v>6384</v>
      </c>
      <c r="H33" s="982">
        <v>31921</v>
      </c>
      <c r="I33" s="982">
        <v>63842</v>
      </c>
      <c r="L33">
        <f t="shared" si="1"/>
        <v>319200</v>
      </c>
      <c r="M33">
        <f t="shared" si="2"/>
        <v>95800</v>
      </c>
      <c r="N33">
        <f t="shared" si="3"/>
        <v>63800</v>
      </c>
      <c r="O33">
        <f t="shared" si="4"/>
        <v>47900</v>
      </c>
      <c r="P33">
        <f t="shared" si="5"/>
        <v>9600</v>
      </c>
      <c r="Q33">
        <f t="shared" si="6"/>
        <v>6400</v>
      </c>
      <c r="R33">
        <f t="shared" si="7"/>
        <v>31900</v>
      </c>
      <c r="S33">
        <f t="shared" si="8"/>
        <v>63800</v>
      </c>
    </row>
    <row r="34" spans="1:19" ht="15" thickBot="1">
      <c r="A34" s="981">
        <v>2041</v>
      </c>
      <c r="B34" s="981">
        <v>375532</v>
      </c>
      <c r="C34" s="982">
        <v>112659</v>
      </c>
      <c r="D34" s="982">
        <v>75106</v>
      </c>
      <c r="E34" s="982">
        <v>56330</v>
      </c>
      <c r="F34" s="982">
        <v>11266</v>
      </c>
      <c r="G34" s="982">
        <v>7511</v>
      </c>
      <c r="H34" s="982">
        <v>37553</v>
      </c>
      <c r="I34" s="982">
        <v>75106</v>
      </c>
      <c r="L34">
        <f t="shared" si="1"/>
        <v>375500</v>
      </c>
      <c r="M34">
        <f t="shared" si="2"/>
        <v>112700</v>
      </c>
      <c r="N34">
        <f t="shared" si="3"/>
        <v>75100</v>
      </c>
      <c r="O34">
        <f t="shared" si="4"/>
        <v>56300</v>
      </c>
      <c r="P34">
        <f t="shared" si="5"/>
        <v>11300</v>
      </c>
      <c r="Q34">
        <f t="shared" si="6"/>
        <v>7500</v>
      </c>
      <c r="R34">
        <f t="shared" si="7"/>
        <v>37600</v>
      </c>
      <c r="S34">
        <f t="shared" si="8"/>
        <v>75100</v>
      </c>
    </row>
    <row r="35" spans="1:19" ht="15" thickBot="1">
      <c r="A35" s="981">
        <v>2042</v>
      </c>
      <c r="B35" s="981">
        <v>428657</v>
      </c>
      <c r="C35" s="982">
        <v>128597</v>
      </c>
      <c r="D35" s="982">
        <v>85731</v>
      </c>
      <c r="E35" s="982">
        <v>64299</v>
      </c>
      <c r="F35" s="982">
        <v>12860</v>
      </c>
      <c r="G35" s="982">
        <v>8573</v>
      </c>
      <c r="H35" s="982">
        <v>42866</v>
      </c>
      <c r="I35" s="982">
        <v>85731</v>
      </c>
      <c r="L35">
        <f t="shared" si="1"/>
        <v>428700</v>
      </c>
      <c r="M35">
        <f t="shared" si="2"/>
        <v>128600</v>
      </c>
      <c r="N35">
        <f t="shared" si="3"/>
        <v>85700</v>
      </c>
      <c r="O35">
        <f t="shared" si="4"/>
        <v>64300</v>
      </c>
      <c r="P35">
        <f t="shared" si="5"/>
        <v>12900</v>
      </c>
      <c r="Q35">
        <f t="shared" si="6"/>
        <v>8600</v>
      </c>
      <c r="R35">
        <f t="shared" si="7"/>
        <v>42900</v>
      </c>
      <c r="S35">
        <f t="shared" si="8"/>
        <v>85700</v>
      </c>
    </row>
    <row r="36" spans="1:19" ht="15" thickBot="1">
      <c r="A36" s="981">
        <v>2043</v>
      </c>
      <c r="B36" s="981">
        <v>474460</v>
      </c>
      <c r="C36" s="982">
        <v>142338</v>
      </c>
      <c r="D36" s="982">
        <v>94892</v>
      </c>
      <c r="E36" s="982">
        <v>71169</v>
      </c>
      <c r="F36" s="982">
        <v>14234</v>
      </c>
      <c r="G36" s="982">
        <v>9489</v>
      </c>
      <c r="H36" s="982">
        <v>47446</v>
      </c>
      <c r="I36" s="982">
        <v>94892</v>
      </c>
      <c r="L36">
        <f t="shared" si="1"/>
        <v>474500</v>
      </c>
      <c r="M36">
        <f t="shared" si="2"/>
        <v>142300</v>
      </c>
      <c r="N36">
        <f t="shared" si="3"/>
        <v>94900</v>
      </c>
      <c r="O36">
        <f t="shared" si="4"/>
        <v>71200</v>
      </c>
      <c r="P36">
        <f t="shared" si="5"/>
        <v>14200</v>
      </c>
      <c r="Q36">
        <f t="shared" si="6"/>
        <v>9500</v>
      </c>
      <c r="R36">
        <f t="shared" si="7"/>
        <v>47400</v>
      </c>
      <c r="S36">
        <f t="shared" si="8"/>
        <v>94900</v>
      </c>
    </row>
    <row r="37" spans="1:19" ht="15" thickBot="1">
      <c r="A37" s="981">
        <v>2044</v>
      </c>
      <c r="B37" s="981">
        <v>511169</v>
      </c>
      <c r="C37" s="982">
        <v>153351</v>
      </c>
      <c r="D37" s="982">
        <v>102234</v>
      </c>
      <c r="E37" s="982">
        <v>76675</v>
      </c>
      <c r="F37" s="982">
        <v>15335</v>
      </c>
      <c r="G37" s="982">
        <v>10223</v>
      </c>
      <c r="H37" s="982">
        <v>51117</v>
      </c>
      <c r="I37" s="982">
        <v>102234</v>
      </c>
      <c r="L37">
        <f t="shared" si="1"/>
        <v>511200</v>
      </c>
      <c r="M37">
        <f t="shared" si="2"/>
        <v>153400</v>
      </c>
      <c r="N37">
        <f t="shared" si="3"/>
        <v>102200</v>
      </c>
      <c r="O37">
        <f t="shared" si="4"/>
        <v>76700</v>
      </c>
      <c r="P37">
        <f t="shared" si="5"/>
        <v>15300</v>
      </c>
      <c r="Q37">
        <f t="shared" si="6"/>
        <v>10200</v>
      </c>
      <c r="R37">
        <f t="shared" si="7"/>
        <v>51100</v>
      </c>
      <c r="S37">
        <f t="shared" si="8"/>
        <v>102200</v>
      </c>
    </row>
    <row r="38" spans="1:19" ht="15" thickBot="1">
      <c r="A38" s="981">
        <v>2045</v>
      </c>
      <c r="B38" s="981">
        <v>537962</v>
      </c>
      <c r="C38" s="982">
        <v>161389</v>
      </c>
      <c r="D38" s="982">
        <v>107592</v>
      </c>
      <c r="E38" s="982">
        <v>80694</v>
      </c>
      <c r="F38" s="982">
        <v>16139</v>
      </c>
      <c r="G38" s="982">
        <v>10759</v>
      </c>
      <c r="H38" s="982">
        <v>53796</v>
      </c>
      <c r="I38" s="982">
        <v>107592</v>
      </c>
      <c r="L38">
        <f t="shared" si="1"/>
        <v>538000</v>
      </c>
      <c r="M38">
        <f t="shared" si="2"/>
        <v>161400</v>
      </c>
      <c r="N38">
        <f t="shared" si="3"/>
        <v>107600</v>
      </c>
      <c r="O38">
        <f t="shared" si="4"/>
        <v>80700</v>
      </c>
      <c r="P38">
        <f t="shared" si="5"/>
        <v>16100</v>
      </c>
      <c r="Q38">
        <f t="shared" si="6"/>
        <v>10800</v>
      </c>
      <c r="R38">
        <f t="shared" si="7"/>
        <v>53800</v>
      </c>
      <c r="S38">
        <f t="shared" si="8"/>
        <v>107600</v>
      </c>
    </row>
    <row r="39" spans="1:19" ht="15" thickBot="1">
      <c r="A39" s="981">
        <v>2046</v>
      </c>
      <c r="B39" s="981">
        <v>568625</v>
      </c>
      <c r="C39" s="982">
        <v>170587</v>
      </c>
      <c r="D39" s="982">
        <v>113725</v>
      </c>
      <c r="E39" s="982">
        <v>85294</v>
      </c>
      <c r="F39" s="982">
        <v>17059</v>
      </c>
      <c r="G39" s="982">
        <v>11372</v>
      </c>
      <c r="H39" s="982">
        <v>56862</v>
      </c>
      <c r="I39" s="982">
        <v>113725</v>
      </c>
      <c r="L39">
        <f t="shared" si="1"/>
        <v>568600</v>
      </c>
      <c r="M39">
        <f t="shared" si="2"/>
        <v>170600</v>
      </c>
      <c r="N39">
        <f t="shared" si="3"/>
        <v>113700</v>
      </c>
      <c r="O39">
        <f t="shared" si="4"/>
        <v>85300</v>
      </c>
      <c r="P39">
        <f t="shared" si="5"/>
        <v>17100</v>
      </c>
      <c r="Q39">
        <f t="shared" si="6"/>
        <v>11400</v>
      </c>
      <c r="R39">
        <f t="shared" si="7"/>
        <v>56900</v>
      </c>
      <c r="S39">
        <f t="shared" si="8"/>
        <v>113700</v>
      </c>
    </row>
    <row r="40" spans="1:19" ht="15" thickBot="1">
      <c r="A40" s="981">
        <v>2047</v>
      </c>
      <c r="B40" s="981">
        <v>601347</v>
      </c>
      <c r="C40" s="982">
        <v>180404</v>
      </c>
      <c r="D40" s="982">
        <v>120269</v>
      </c>
      <c r="E40" s="982">
        <v>90202</v>
      </c>
      <c r="F40" s="982">
        <v>18040</v>
      </c>
      <c r="G40" s="982">
        <v>12027</v>
      </c>
      <c r="H40" s="982">
        <v>60135</v>
      </c>
      <c r="I40" s="982">
        <v>120269</v>
      </c>
      <c r="L40">
        <f t="shared" si="1"/>
        <v>601300</v>
      </c>
      <c r="M40">
        <f t="shared" si="2"/>
        <v>180400</v>
      </c>
      <c r="N40">
        <f t="shared" si="3"/>
        <v>120300</v>
      </c>
      <c r="O40">
        <f t="shared" si="4"/>
        <v>90200</v>
      </c>
      <c r="P40">
        <f t="shared" si="5"/>
        <v>18000</v>
      </c>
      <c r="Q40">
        <f t="shared" si="6"/>
        <v>12000</v>
      </c>
      <c r="R40">
        <f t="shared" si="7"/>
        <v>60100</v>
      </c>
      <c r="S40">
        <f t="shared" si="8"/>
        <v>120300</v>
      </c>
    </row>
    <row r="41" spans="1:19" ht="15" thickBot="1">
      <c r="A41" s="981">
        <v>2048</v>
      </c>
      <c r="B41" s="981">
        <v>622730</v>
      </c>
      <c r="C41" s="982">
        <v>186819</v>
      </c>
      <c r="D41" s="982">
        <v>124546</v>
      </c>
      <c r="E41" s="982">
        <v>93410</v>
      </c>
      <c r="F41" s="982">
        <v>18682</v>
      </c>
      <c r="G41" s="982">
        <v>12455</v>
      </c>
      <c r="H41" s="982">
        <v>62273</v>
      </c>
      <c r="I41" s="982">
        <v>124546</v>
      </c>
      <c r="L41">
        <f t="shared" si="1"/>
        <v>622700</v>
      </c>
      <c r="M41">
        <f t="shared" si="2"/>
        <v>186800</v>
      </c>
      <c r="N41">
        <f t="shared" si="3"/>
        <v>124500</v>
      </c>
      <c r="O41">
        <f t="shared" si="4"/>
        <v>93400</v>
      </c>
      <c r="P41">
        <f t="shared" si="5"/>
        <v>18700</v>
      </c>
      <c r="Q41">
        <f t="shared" si="6"/>
        <v>12500</v>
      </c>
      <c r="R41">
        <f t="shared" si="7"/>
        <v>62300</v>
      </c>
      <c r="S41">
        <f t="shared" si="8"/>
        <v>124500</v>
      </c>
    </row>
    <row r="42" spans="1:19" ht="15" thickBot="1">
      <c r="A42" s="981">
        <v>2049</v>
      </c>
      <c r="B42" s="981">
        <v>653103</v>
      </c>
      <c r="C42" s="982">
        <v>195931</v>
      </c>
      <c r="D42" s="982">
        <v>130621</v>
      </c>
      <c r="E42" s="982">
        <v>97966</v>
      </c>
      <c r="F42" s="982">
        <v>19593</v>
      </c>
      <c r="G42" s="982">
        <v>13062</v>
      </c>
      <c r="H42" s="982">
        <v>65310</v>
      </c>
      <c r="I42" s="982">
        <v>130621</v>
      </c>
      <c r="L42">
        <f t="shared" si="1"/>
        <v>653100</v>
      </c>
      <c r="M42">
        <f t="shared" si="2"/>
        <v>195900</v>
      </c>
      <c r="N42">
        <f t="shared" si="3"/>
        <v>130600</v>
      </c>
      <c r="O42">
        <f t="shared" si="4"/>
        <v>98000</v>
      </c>
      <c r="P42">
        <f t="shared" si="5"/>
        <v>19600</v>
      </c>
      <c r="Q42">
        <f t="shared" si="6"/>
        <v>13100</v>
      </c>
      <c r="R42">
        <f t="shared" si="7"/>
        <v>65300</v>
      </c>
      <c r="S42">
        <f t="shared" si="8"/>
        <v>130600</v>
      </c>
    </row>
    <row r="43" spans="1:19" ht="15" thickBot="1">
      <c r="A43" s="981">
        <v>2050</v>
      </c>
      <c r="B43" s="981">
        <v>709008</v>
      </c>
      <c r="C43" s="982">
        <v>212702</v>
      </c>
      <c r="D43" s="982">
        <v>141802</v>
      </c>
      <c r="E43" s="982">
        <v>106351</v>
      </c>
      <c r="F43" s="982">
        <v>21270</v>
      </c>
      <c r="G43" s="982">
        <v>14180</v>
      </c>
      <c r="H43" s="982">
        <v>70901</v>
      </c>
      <c r="I43" s="982">
        <v>141802</v>
      </c>
      <c r="L43">
        <f t="shared" si="1"/>
        <v>709000</v>
      </c>
      <c r="M43">
        <f t="shared" si="2"/>
        <v>212700</v>
      </c>
      <c r="N43">
        <f t="shared" si="3"/>
        <v>141800</v>
      </c>
      <c r="O43">
        <f t="shared" si="4"/>
        <v>106400</v>
      </c>
      <c r="P43">
        <f t="shared" si="5"/>
        <v>21300</v>
      </c>
      <c r="Q43">
        <f t="shared" si="6"/>
        <v>14200</v>
      </c>
      <c r="R43">
        <f t="shared" si="7"/>
        <v>70900</v>
      </c>
      <c r="S43">
        <f t="shared" si="8"/>
        <v>141800</v>
      </c>
    </row>
    <row r="44" spans="1:19" ht="15" thickBot="1">
      <c r="A44" s="981">
        <v>2051</v>
      </c>
      <c r="B44" s="981">
        <v>744989</v>
      </c>
      <c r="C44" s="982">
        <v>223497</v>
      </c>
      <c r="D44" s="982">
        <v>148998</v>
      </c>
      <c r="E44" s="982">
        <v>111748</v>
      </c>
      <c r="F44" s="982">
        <v>22350</v>
      </c>
      <c r="G44" s="982">
        <v>14900</v>
      </c>
      <c r="H44" s="982">
        <v>74499</v>
      </c>
      <c r="I44" s="982">
        <v>148998</v>
      </c>
      <c r="L44">
        <f t="shared" si="1"/>
        <v>745000</v>
      </c>
      <c r="M44">
        <f t="shared" si="2"/>
        <v>223500</v>
      </c>
      <c r="N44">
        <f t="shared" si="3"/>
        <v>149000</v>
      </c>
      <c r="O44">
        <f t="shared" si="4"/>
        <v>111700</v>
      </c>
      <c r="P44">
        <f t="shared" si="5"/>
        <v>22400</v>
      </c>
      <c r="Q44">
        <f t="shared" si="6"/>
        <v>14900</v>
      </c>
      <c r="R44">
        <f t="shared" si="7"/>
        <v>74500</v>
      </c>
      <c r="S44">
        <f t="shared" si="8"/>
        <v>149000</v>
      </c>
    </row>
    <row r="45" spans="1:19" ht="15" thickBot="1">
      <c r="A45" s="981">
        <v>2052</v>
      </c>
      <c r="B45" s="981">
        <v>782128</v>
      </c>
      <c r="C45" s="982">
        <v>234639</v>
      </c>
      <c r="D45" s="982">
        <v>156426</v>
      </c>
      <c r="E45" s="982">
        <v>117319</v>
      </c>
      <c r="F45" s="982">
        <v>23464</v>
      </c>
      <c r="G45" s="982">
        <v>15643</v>
      </c>
      <c r="H45" s="982">
        <v>78213</v>
      </c>
      <c r="I45" s="982">
        <v>156426</v>
      </c>
      <c r="L45">
        <f t="shared" si="1"/>
        <v>782100</v>
      </c>
      <c r="M45">
        <f t="shared" si="2"/>
        <v>234600</v>
      </c>
      <c r="N45">
        <f t="shared" si="3"/>
        <v>156400</v>
      </c>
      <c r="O45">
        <f t="shared" si="4"/>
        <v>117300</v>
      </c>
      <c r="P45">
        <f t="shared" si="5"/>
        <v>23500</v>
      </c>
      <c r="Q45">
        <f t="shared" si="6"/>
        <v>15600</v>
      </c>
      <c r="R45">
        <f t="shared" si="7"/>
        <v>78200</v>
      </c>
      <c r="S45">
        <f t="shared" si="8"/>
        <v>156400</v>
      </c>
    </row>
    <row r="46" spans="1:19" ht="15" thickBot="1">
      <c r="A46" s="981">
        <v>2053</v>
      </c>
      <c r="B46" s="981">
        <v>820111</v>
      </c>
      <c r="C46" s="982">
        <v>246033</v>
      </c>
      <c r="D46" s="982">
        <v>164022</v>
      </c>
      <c r="E46" s="982">
        <v>123017</v>
      </c>
      <c r="F46" s="982">
        <v>24603</v>
      </c>
      <c r="G46" s="982">
        <v>16402</v>
      </c>
      <c r="H46" s="982">
        <v>82011</v>
      </c>
      <c r="I46" s="982">
        <v>164022</v>
      </c>
      <c r="L46">
        <f t="shared" si="1"/>
        <v>820100</v>
      </c>
      <c r="M46">
        <f t="shared" si="2"/>
        <v>246000</v>
      </c>
      <c r="N46">
        <f t="shared" si="3"/>
        <v>164000</v>
      </c>
      <c r="O46">
        <f t="shared" si="4"/>
        <v>123000</v>
      </c>
      <c r="P46">
        <f t="shared" si="5"/>
        <v>24600</v>
      </c>
      <c r="Q46">
        <f t="shared" si="6"/>
        <v>16400</v>
      </c>
      <c r="R46">
        <f t="shared" si="7"/>
        <v>82000</v>
      </c>
      <c r="S46">
        <f t="shared" si="8"/>
        <v>164000</v>
      </c>
    </row>
    <row r="47" spans="1:19" ht="15" thickBot="1">
      <c r="A47" s="981">
        <v>2054</v>
      </c>
      <c r="B47" s="981">
        <v>858927</v>
      </c>
      <c r="C47" s="982">
        <v>257678</v>
      </c>
      <c r="D47" s="982">
        <v>171785</v>
      </c>
      <c r="E47" s="982">
        <v>128839</v>
      </c>
      <c r="F47" s="982">
        <v>25768</v>
      </c>
      <c r="G47" s="982">
        <v>17179</v>
      </c>
      <c r="H47" s="982">
        <v>85893</v>
      </c>
      <c r="I47" s="982">
        <v>171785</v>
      </c>
      <c r="L47">
        <f t="shared" si="1"/>
        <v>858900</v>
      </c>
      <c r="M47">
        <f t="shared" si="2"/>
        <v>257700</v>
      </c>
      <c r="N47">
        <f t="shared" si="3"/>
        <v>171800</v>
      </c>
      <c r="O47">
        <f t="shared" si="4"/>
        <v>128800</v>
      </c>
      <c r="P47">
        <f t="shared" si="5"/>
        <v>25800</v>
      </c>
      <c r="Q47">
        <f t="shared" si="6"/>
        <v>17200</v>
      </c>
      <c r="R47">
        <f t="shared" si="7"/>
        <v>85900</v>
      </c>
      <c r="S47">
        <f t="shared" si="8"/>
        <v>171800</v>
      </c>
    </row>
    <row r="48" spans="1:19" ht="15" thickBot="1">
      <c r="A48" s="981">
        <v>2055</v>
      </c>
      <c r="B48" s="981">
        <v>898513</v>
      </c>
      <c r="C48" s="982">
        <v>269554</v>
      </c>
      <c r="D48" s="982">
        <v>179703</v>
      </c>
      <c r="E48" s="982">
        <v>134777</v>
      </c>
      <c r="F48" s="982">
        <v>26955</v>
      </c>
      <c r="G48" s="982">
        <v>17970</v>
      </c>
      <c r="H48" s="982">
        <v>89851</v>
      </c>
      <c r="I48" s="982">
        <v>179703</v>
      </c>
      <c r="L48">
        <f t="shared" si="1"/>
        <v>898500</v>
      </c>
      <c r="M48">
        <f t="shared" si="2"/>
        <v>269600</v>
      </c>
      <c r="N48">
        <f t="shared" si="3"/>
        <v>179700</v>
      </c>
      <c r="O48">
        <f t="shared" si="4"/>
        <v>134800</v>
      </c>
      <c r="P48">
        <f t="shared" si="5"/>
        <v>27000</v>
      </c>
      <c r="Q48">
        <f t="shared" si="6"/>
        <v>18000</v>
      </c>
      <c r="R48">
        <f t="shared" si="7"/>
        <v>89900</v>
      </c>
      <c r="S48">
        <f t="shared" si="8"/>
        <v>179700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2BBC-2994-42E8-A0AF-51B61116D4F5}">
  <sheetPr>
    <tabColor rgb="FF0070C0"/>
  </sheetPr>
  <dimension ref="A1:AL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420" customWidth="1"/>
    <col min="4" max="6" width="15.88671875" style="300" customWidth="1"/>
    <col min="7" max="31" width="14.44140625" style="300" customWidth="1"/>
    <col min="32" max="33" width="12.3320312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7">
      <c r="G1" s="341" t="s">
        <v>247</v>
      </c>
    </row>
    <row r="2" spans="1:7">
      <c r="A2" s="352" t="s">
        <v>868</v>
      </c>
      <c r="B2" s="352" t="str">
        <f>'No change with year'!B5</f>
        <v>Market Load</v>
      </c>
      <c r="F2" s="341" t="s">
        <v>249</v>
      </c>
      <c r="G2" s="341" t="s">
        <v>250</v>
      </c>
    </row>
    <row r="3" spans="1:7">
      <c r="A3" s="352" t="s">
        <v>4</v>
      </c>
      <c r="B3" s="352" t="str">
        <f>'No change with year'!C5</f>
        <v>19T Rigid</v>
      </c>
      <c r="F3" s="341" t="s">
        <v>252</v>
      </c>
    </row>
    <row r="4" spans="1:7" s="344" customFormat="1">
      <c r="A4" s="342"/>
      <c r="B4" s="342"/>
      <c r="C4" s="421"/>
    </row>
    <row r="5" spans="1:7">
      <c r="A5" s="328" t="s">
        <v>254</v>
      </c>
      <c r="B5" s="300" t="s">
        <v>255</v>
      </c>
      <c r="C5" s="422">
        <f>'No change with year'!AR5</f>
        <v>18500</v>
      </c>
      <c r="D5" s="423" t="s">
        <v>169</v>
      </c>
      <c r="E5" s="423">
        <v>2</v>
      </c>
    </row>
    <row r="6" spans="1:7">
      <c r="A6" s="328" t="s">
        <v>256</v>
      </c>
      <c r="B6" s="300" t="s">
        <v>257</v>
      </c>
      <c r="C6" s="422">
        <f>'Changing with year'!C82</f>
        <v>2750000</v>
      </c>
      <c r="D6" s="423" t="s">
        <v>169</v>
      </c>
      <c r="E6" s="423"/>
    </row>
    <row r="7" spans="1:7">
      <c r="A7" s="328" t="s">
        <v>258</v>
      </c>
      <c r="B7" s="300" t="s">
        <v>257</v>
      </c>
      <c r="C7" s="422">
        <f>'Changing with year'!C93</f>
        <v>3000000</v>
      </c>
      <c r="D7" s="423" t="s">
        <v>169</v>
      </c>
      <c r="E7" s="423">
        <v>4</v>
      </c>
    </row>
    <row r="8" spans="1:7">
      <c r="A8" s="328" t="s">
        <v>259</v>
      </c>
      <c r="B8" s="300" t="s">
        <v>257</v>
      </c>
      <c r="C8" s="422">
        <f>'Changing with year'!C106</f>
        <v>3330375</v>
      </c>
      <c r="D8" s="423" t="s">
        <v>169</v>
      </c>
      <c r="E8" s="423">
        <v>5</v>
      </c>
    </row>
    <row r="9" spans="1:7">
      <c r="A9" s="328" t="s">
        <v>260</v>
      </c>
      <c r="B9" s="300" t="s">
        <v>257</v>
      </c>
      <c r="C9" s="422">
        <f>'Changing with year'!C118</f>
        <v>4329200</v>
      </c>
      <c r="D9" s="423" t="s">
        <v>169</v>
      </c>
      <c r="E9" s="423">
        <v>6</v>
      </c>
    </row>
    <row r="10" spans="1:7">
      <c r="A10" s="328" t="s">
        <v>261</v>
      </c>
      <c r="B10" s="300" t="s">
        <v>257</v>
      </c>
      <c r="C10" s="422">
        <f>'Changing with year'!C130</f>
        <v>7195000</v>
      </c>
      <c r="D10" s="423" t="s">
        <v>169</v>
      </c>
      <c r="E10" s="423">
        <v>8</v>
      </c>
    </row>
    <row r="11" spans="1:7">
      <c r="A11" s="328" t="s">
        <v>262</v>
      </c>
      <c r="B11" s="300" t="s">
        <v>257</v>
      </c>
      <c r="C11" s="422">
        <f>'Changing with year'!C143</f>
        <v>10666400</v>
      </c>
      <c r="D11" s="423" t="s">
        <v>169</v>
      </c>
      <c r="E11" s="423">
        <v>9</v>
      </c>
    </row>
    <row r="12" spans="1:7">
      <c r="A12" s="328" t="s">
        <v>263</v>
      </c>
      <c r="B12" s="300" t="s">
        <v>193</v>
      </c>
      <c r="C12" s="434">
        <f>'No change with year'!G5</f>
        <v>200</v>
      </c>
      <c r="D12" s="423"/>
      <c r="E12" s="423"/>
    </row>
    <row r="13" spans="1:7">
      <c r="A13" s="328" t="s">
        <v>264</v>
      </c>
      <c r="B13" s="300" t="s">
        <v>265</v>
      </c>
      <c r="C13" s="422">
        <f>'No change with year'!D22</f>
        <v>3000</v>
      </c>
      <c r="D13" s="423" t="s">
        <v>169</v>
      </c>
      <c r="E13" s="423">
        <v>10</v>
      </c>
    </row>
    <row r="14" spans="1:7">
      <c r="A14" s="328" t="s">
        <v>266</v>
      </c>
      <c r="B14" s="300" t="s">
        <v>194</v>
      </c>
      <c r="C14" s="422">
        <f>'No change with year'!J5</f>
        <v>80</v>
      </c>
      <c r="D14" s="423" t="s">
        <v>169</v>
      </c>
      <c r="E14" s="423">
        <v>11</v>
      </c>
    </row>
    <row r="15" spans="1:7">
      <c r="A15" s="328" t="s">
        <v>209</v>
      </c>
      <c r="B15" s="300" t="s">
        <v>267</v>
      </c>
      <c r="C15" s="434">
        <f>'No change with year'!D23</f>
        <v>25000</v>
      </c>
      <c r="D15" s="423" t="s">
        <v>169</v>
      </c>
      <c r="E15" s="423">
        <v>12</v>
      </c>
    </row>
    <row r="16" spans="1:7">
      <c r="A16" s="328" t="s">
        <v>268</v>
      </c>
      <c r="B16" s="300" t="s">
        <v>193</v>
      </c>
      <c r="C16" s="422">
        <f>'No change with year'!I5</f>
        <v>70</v>
      </c>
      <c r="D16" s="423"/>
      <c r="E16" s="423"/>
    </row>
    <row r="17" spans="1:5">
      <c r="A17" s="328" t="s">
        <v>269</v>
      </c>
      <c r="B17" s="300" t="s">
        <v>255</v>
      </c>
      <c r="C17" s="422">
        <f>'No change with year'!AX5</f>
        <v>10500</v>
      </c>
      <c r="D17" s="423" t="s">
        <v>169</v>
      </c>
      <c r="E17" s="423">
        <v>13</v>
      </c>
    </row>
    <row r="18" spans="1:5">
      <c r="A18" s="328" t="s">
        <v>270</v>
      </c>
      <c r="B18" s="300" t="s">
        <v>255</v>
      </c>
      <c r="C18" s="422">
        <f>'No change with year'!AY5</f>
        <v>8900</v>
      </c>
      <c r="D18" s="423" t="s">
        <v>169</v>
      </c>
      <c r="E18" s="423">
        <v>14</v>
      </c>
    </row>
    <row r="19" spans="1:5">
      <c r="A19" s="328" t="s">
        <v>271</v>
      </c>
      <c r="B19" s="300" t="s">
        <v>255</v>
      </c>
      <c r="C19" s="422">
        <f>'No change with year'!AZ5</f>
        <v>9600</v>
      </c>
      <c r="D19" s="423" t="s">
        <v>169</v>
      </c>
      <c r="E19" s="423">
        <v>18</v>
      </c>
    </row>
    <row r="20" spans="1:5">
      <c r="A20" s="328" t="s">
        <v>272</v>
      </c>
      <c r="B20" s="300" t="s">
        <v>273</v>
      </c>
      <c r="C20" s="424">
        <f>'Changing with year'!C266</f>
        <v>5.3</v>
      </c>
      <c r="D20" s="423" t="s">
        <v>169</v>
      </c>
      <c r="E20" s="423">
        <v>19</v>
      </c>
    </row>
    <row r="21" spans="1:5">
      <c r="A21" s="328" t="s">
        <v>274</v>
      </c>
      <c r="B21" s="300" t="s">
        <v>195</v>
      </c>
      <c r="C21" s="422">
        <f>'No change with year'!K5</f>
        <v>360</v>
      </c>
      <c r="D21" s="423" t="s">
        <v>169</v>
      </c>
      <c r="E21" s="423">
        <v>20</v>
      </c>
    </row>
    <row r="22" spans="1:5">
      <c r="A22" s="328" t="s">
        <v>172</v>
      </c>
      <c r="B22" s="300" t="s">
        <v>196</v>
      </c>
      <c r="C22" s="422">
        <f>'No change with year'!L5</f>
        <v>300</v>
      </c>
      <c r="D22" s="423" t="s">
        <v>169</v>
      </c>
      <c r="E22" s="423">
        <v>21</v>
      </c>
    </row>
    <row r="23" spans="1:5">
      <c r="A23" s="328" t="s">
        <v>174</v>
      </c>
      <c r="B23" s="300" t="s">
        <v>197</v>
      </c>
      <c r="C23" s="422">
        <f>'No change with year'!Q5</f>
        <v>9</v>
      </c>
      <c r="D23" s="423" t="s">
        <v>275</v>
      </c>
      <c r="E23" s="423">
        <v>2</v>
      </c>
    </row>
    <row r="24" spans="1:5">
      <c r="A24" s="328" t="s">
        <v>276</v>
      </c>
      <c r="B24" s="300" t="s">
        <v>198</v>
      </c>
      <c r="C24" s="390">
        <f>'No change with year'!O5</f>
        <v>1</v>
      </c>
      <c r="D24" s="423" t="s">
        <v>275</v>
      </c>
      <c r="E24" s="423">
        <v>3</v>
      </c>
    </row>
    <row r="25" spans="1:5">
      <c r="A25" s="328" t="s">
        <v>685</v>
      </c>
      <c r="B25" s="300" t="s">
        <v>277</v>
      </c>
      <c r="C25" s="345">
        <f>'No change with year'!D28</f>
        <v>7</v>
      </c>
      <c r="D25" s="423" t="s">
        <v>275</v>
      </c>
      <c r="E25" s="423">
        <v>4</v>
      </c>
    </row>
    <row r="26" spans="1:5">
      <c r="A26" s="328" t="s">
        <v>686</v>
      </c>
      <c r="B26" s="300" t="s">
        <v>198</v>
      </c>
      <c r="C26" s="325">
        <f>'No change with year'!D27</f>
        <v>0.12</v>
      </c>
      <c r="D26" s="423"/>
      <c r="E26" s="423"/>
    </row>
    <row r="27" spans="1:5">
      <c r="A27" s="328" t="s">
        <v>687</v>
      </c>
      <c r="B27" s="300" t="s">
        <v>277</v>
      </c>
      <c r="C27" s="425">
        <f>'No change with year'!D30</f>
        <v>7</v>
      </c>
      <c r="D27" s="423"/>
      <c r="E27" s="423"/>
    </row>
    <row r="28" spans="1:5">
      <c r="A28" s="328" t="s">
        <v>688</v>
      </c>
      <c r="B28" s="300" t="s">
        <v>198</v>
      </c>
      <c r="C28" s="325">
        <f>'No change with year'!D29</f>
        <v>0.12</v>
      </c>
      <c r="D28" s="423"/>
      <c r="E28" s="423"/>
    </row>
    <row r="29" spans="1:5">
      <c r="A29" s="328" t="s">
        <v>221</v>
      </c>
      <c r="B29" s="300" t="s">
        <v>198</v>
      </c>
      <c r="C29" s="349">
        <f>'No change with year'!D32</f>
        <v>0.02</v>
      </c>
      <c r="D29" s="423"/>
      <c r="E29" s="423"/>
    </row>
    <row r="30" spans="1:5">
      <c r="D30" s="423" t="s">
        <v>275</v>
      </c>
      <c r="E30" s="423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year'!E5</f>
        <v>157.5</v>
      </c>
      <c r="F35" s="355">
        <f>'No change with year'!F5</f>
        <v>28.2</v>
      </c>
      <c r="G35" s="328"/>
      <c r="H35" s="355">
        <f>'No change with year'!H5</f>
        <v>28.2</v>
      </c>
    </row>
    <row r="36" spans="1:38">
      <c r="A36" s="443"/>
      <c r="B36" s="328" t="s">
        <v>282</v>
      </c>
      <c r="C36" s="358">
        <f>'No change with year'!S5</f>
        <v>5.2</v>
      </c>
      <c r="D36" s="358">
        <f>'No change with year'!T5</f>
        <v>5.4</v>
      </c>
      <c r="E36" s="358">
        <f>'No change with year'!U5</f>
        <v>5.3000000000000007</v>
      </c>
      <c r="F36" s="358">
        <f>'No change with year'!V5</f>
        <v>15.600000000000001</v>
      </c>
      <c r="G36" s="358">
        <f>'No change with year'!W5</f>
        <v>0.95</v>
      </c>
      <c r="H36" s="358">
        <f>'No change with year'!X5</f>
        <v>20.8</v>
      </c>
    </row>
    <row r="37" spans="1:38" ht="28.8">
      <c r="A37" s="296" t="s">
        <v>283</v>
      </c>
      <c r="B37" s="438" t="s">
        <v>284</v>
      </c>
      <c r="C37" s="297">
        <f>($C$21*$C$22)/C36</f>
        <v>20769.23076923077</v>
      </c>
      <c r="D37" s="297">
        <f>($C$21*$C$22)/D36</f>
        <v>20000</v>
      </c>
      <c r="E37" s="297">
        <f>($C$21*$C$22)/E36</f>
        <v>20377.358490566035</v>
      </c>
      <c r="F37" s="297">
        <f>($C$21*$C$22)/F36</f>
        <v>6923.0769230769229</v>
      </c>
      <c r="G37" s="435">
        <f>($C$21*$C$22*G36)</f>
        <v>102600</v>
      </c>
      <c r="H37" s="297">
        <f>($C$21*$C$22)/H36</f>
        <v>5192.3076923076924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426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426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426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426"/>
    </row>
    <row r="45" spans="1:38">
      <c r="A45" s="32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426"/>
      <c r="AK45" s="365"/>
      <c r="AL45" s="365"/>
    </row>
    <row r="46" spans="1:38">
      <c r="A46" s="32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42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426"/>
      <c r="AI51" s="426"/>
    </row>
    <row r="52" spans="1:37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K53" s="339"/>
    </row>
    <row r="54" spans="1:37" s="371" customFormat="1" ht="9.75" customHeight="1">
      <c r="A54" s="370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373"/>
    </row>
    <row r="55" spans="1:37">
      <c r="A55" s="328" t="s">
        <v>299</v>
      </c>
      <c r="B55" s="328" t="s">
        <v>300</v>
      </c>
      <c r="C55" s="338">
        <f>'Changing with year'!C153</f>
        <v>2.8</v>
      </c>
      <c r="D55" s="338">
        <f>'Changing with year'!D153</f>
        <v>2.9119999999999999</v>
      </c>
      <c r="E55" s="338">
        <f>'Changing with year'!E153</f>
        <v>3.0284800000000001</v>
      </c>
      <c r="F55" s="338">
        <f>'Changing with year'!F153</f>
        <v>3.1496192000000001</v>
      </c>
      <c r="G55" s="338">
        <f>'Changing with year'!G153</f>
        <v>3.275603968</v>
      </c>
      <c r="H55" s="338">
        <f>'Changing with year'!H153</f>
        <v>3.4066281267200003</v>
      </c>
      <c r="I55" s="338">
        <f>'Changing with year'!I153</f>
        <v>3.5428932517888003</v>
      </c>
      <c r="J55" s="338">
        <f>'Changing with year'!J153</f>
        <v>3.6846089818603525</v>
      </c>
      <c r="K55" s="338">
        <f>'Changing with year'!K153</f>
        <v>3.8319933411347669</v>
      </c>
      <c r="L55" s="338">
        <f>'Changing with year'!L153</f>
        <v>3.9852730747801575</v>
      </c>
      <c r="M55" s="338">
        <f>'Changing with year'!M153</f>
        <v>4.1446839977713639</v>
      </c>
      <c r="N55" s="338">
        <f>'Changing with year'!N153</f>
        <v>4.3104713576822187</v>
      </c>
      <c r="O55" s="338">
        <f>'Changing with year'!O153</f>
        <v>4.482890211989508</v>
      </c>
      <c r="P55" s="338">
        <f>'Changing with year'!P153</f>
        <v>4.6622058204690884</v>
      </c>
      <c r="Q55" s="338">
        <f>'Changing with year'!Q153</f>
        <v>4.8486940532878524</v>
      </c>
      <c r="R55" s="338">
        <f>'Changing with year'!R153</f>
        <v>5.0426418154193664</v>
      </c>
      <c r="S55" s="338">
        <f>'Changing with year'!S153</f>
        <v>5.2443474880361416</v>
      </c>
      <c r="T55" s="338">
        <f>'Changing with year'!T153</f>
        <v>5.4541213875575876</v>
      </c>
      <c r="U55" s="338">
        <f>'Changing with year'!U153</f>
        <v>5.672286243059891</v>
      </c>
      <c r="V55" s="338">
        <f>'Changing with year'!V153</f>
        <v>5.8991776927822865</v>
      </c>
      <c r="W55" s="338">
        <f>'Changing with year'!W153</f>
        <v>6.1351448004935785</v>
      </c>
      <c r="X55" s="338">
        <f>'Changing with year'!X153</f>
        <v>6.3805505925133215</v>
      </c>
      <c r="Y55" s="338">
        <f>'Changing with year'!Y153</f>
        <v>6.6357726162138544</v>
      </c>
      <c r="Z55" s="338">
        <f>'Changing with year'!Z153</f>
        <v>6.901203520862409</v>
      </c>
      <c r="AA55" s="338">
        <f>'Changing with year'!AA153</f>
        <v>7.1772516616969053</v>
      </c>
      <c r="AB55" s="338">
        <f>'Changing with year'!AB153</f>
        <v>7.4643417281647819</v>
      </c>
      <c r="AC55" s="338">
        <f>'Changing with year'!AC153</f>
        <v>7.7629153972913736</v>
      </c>
      <c r="AD55" s="338">
        <f>'Changing with year'!AD153</f>
        <v>8.0734320131830284</v>
      </c>
      <c r="AE55" s="338">
        <f>'Changing with year'!AE153</f>
        <v>8.3963692937103502</v>
      </c>
      <c r="AF55" s="338">
        <f>'Changing with year'!AF153</f>
        <v>8.7322240654587642</v>
      </c>
      <c r="AG55" s="338">
        <f>'Changing with year'!AG153</f>
        <v>9.081513028077115</v>
      </c>
      <c r="AH55" s="339"/>
    </row>
    <row r="56" spans="1:37">
      <c r="A56" s="328" t="s">
        <v>301</v>
      </c>
      <c r="B56" s="328" t="s">
        <v>300</v>
      </c>
      <c r="C56" s="338">
        <f>'Changing with year'!C185</f>
        <v>3.3</v>
      </c>
      <c r="D56" s="338">
        <f>'Changing with year'!D185</f>
        <v>3.4319999999999999</v>
      </c>
      <c r="E56" s="338">
        <f>'Changing with year'!E185</f>
        <v>3.56928</v>
      </c>
      <c r="F56" s="338">
        <f>'Changing with year'!F185</f>
        <v>3.7120512000000003</v>
      </c>
      <c r="G56" s="338">
        <f>'Changing with year'!G185</f>
        <v>3.8605332480000003</v>
      </c>
      <c r="H56" s="338">
        <f>'Changing with year'!H185</f>
        <v>4.0149545779200002</v>
      </c>
      <c r="I56" s="338">
        <f>'Changing with year'!I185</f>
        <v>4.1755527610368004</v>
      </c>
      <c r="J56" s="338">
        <f>'Changing with year'!J185</f>
        <v>4.3425748714782726</v>
      </c>
      <c r="K56" s="338">
        <f>'Changing with year'!K185</f>
        <v>4.5162778663374032</v>
      </c>
      <c r="L56" s="338">
        <f>'Changing with year'!L185</f>
        <v>4.6969289809908998</v>
      </c>
      <c r="M56" s="338">
        <f>'Changing with year'!M185</f>
        <v>4.8848061402305358</v>
      </c>
      <c r="N56" s="338">
        <f>'Changing with year'!N185</f>
        <v>5.0801983858397577</v>
      </c>
      <c r="O56" s="338">
        <f>'Changing with year'!O185</f>
        <v>5.2834063212733477</v>
      </c>
      <c r="P56" s="338">
        <f>'Changing with year'!P185</f>
        <v>5.4947425741242819</v>
      </c>
      <c r="Q56" s="338">
        <f>'Changing with year'!Q185</f>
        <v>5.714532277089253</v>
      </c>
      <c r="R56" s="338">
        <f>'Changing with year'!R185</f>
        <v>5.9431135681728238</v>
      </c>
      <c r="S56" s="338">
        <f>'Changing with year'!S185</f>
        <v>6.180838110899737</v>
      </c>
      <c r="T56" s="338">
        <f>'Changing with year'!T185</f>
        <v>6.4280716353357263</v>
      </c>
      <c r="U56" s="338">
        <f>'Changing with year'!U185</f>
        <v>6.685194500749156</v>
      </c>
      <c r="V56" s="338">
        <f>'Changing with year'!V185</f>
        <v>6.9526022807791223</v>
      </c>
      <c r="W56" s="338">
        <f>'Changing with year'!W185</f>
        <v>7.2307063720102871</v>
      </c>
      <c r="X56" s="338">
        <f>'Changing with year'!X185</f>
        <v>7.5199346268906986</v>
      </c>
      <c r="Y56" s="338">
        <f>'Changing with year'!Y185</f>
        <v>7.8207320119663271</v>
      </c>
      <c r="Z56" s="338">
        <f>'Changing with year'!Z185</f>
        <v>8.1335612924449805</v>
      </c>
      <c r="AA56" s="338">
        <f>'Changing with year'!AA185</f>
        <v>8.4589037441427806</v>
      </c>
      <c r="AB56" s="338">
        <f>'Changing with year'!AB185</f>
        <v>8.7972598939084925</v>
      </c>
      <c r="AC56" s="338">
        <f>'Changing with year'!AC185</f>
        <v>9.1491502896648331</v>
      </c>
      <c r="AD56" s="338">
        <f>'Changing with year'!AD185</f>
        <v>9.5151163012514264</v>
      </c>
      <c r="AE56" s="338">
        <f>'Changing with year'!AE185</f>
        <v>9.8957209533014829</v>
      </c>
      <c r="AF56" s="338">
        <f>'Changing with year'!AF185</f>
        <v>10.291549791433543</v>
      </c>
      <c r="AG56" s="338">
        <f>'Changing with year'!AG185</f>
        <v>10.703211783090884</v>
      </c>
      <c r="AH56" s="339"/>
    </row>
    <row r="57" spans="1:37" ht="28.8">
      <c r="A57" s="296" t="s">
        <v>302</v>
      </c>
      <c r="B57" s="328" t="s">
        <v>300</v>
      </c>
      <c r="C57" s="338">
        <f>'Changing with year'!C217</f>
        <v>5.1223831631897054</v>
      </c>
      <c r="D57" s="338">
        <f>'Changing with year'!D217</f>
        <v>5.1295235841099629</v>
      </c>
      <c r="E57" s="338">
        <f>'Changing with year'!E217</f>
        <v>5.1418934945072143</v>
      </c>
      <c r="F57" s="338">
        <f>'Changing with year'!F217</f>
        <v>5.1595784771445334</v>
      </c>
      <c r="G57" s="338">
        <f>'Changing with year'!G217</f>
        <v>5.18267062801592</v>
      </c>
      <c r="H57" s="338">
        <f>'Changing with year'!H217</f>
        <v>5.2112687396275232</v>
      </c>
      <c r="I57" s="338">
        <f>'Changing with year'!I217</f>
        <v>5.2588816470544923</v>
      </c>
      <c r="J57" s="338">
        <f>'Changing with year'!J217</f>
        <v>5.3116158276217034</v>
      </c>
      <c r="K57" s="338">
        <f>'Changing with year'!K217</f>
        <v>5.3696117971179023</v>
      </c>
      <c r="L57" s="338">
        <f>'Changing with year'!L217</f>
        <v>5.4330169786661227</v>
      </c>
      <c r="M57" s="338">
        <f>'Changing with year'!M217</f>
        <v>5.5019859532830013</v>
      </c>
      <c r="N57" s="338">
        <f>'Changing with year'!N217</f>
        <v>5.5766807209751503</v>
      </c>
      <c r="O57" s="338">
        <f>'Changing with year'!O217</f>
        <v>5.6572709727837696</v>
      </c>
      <c r="P57" s="338">
        <f>'Changing with year'!P217</f>
        <v>5.7439343742053408</v>
      </c>
      <c r="Q57" s="338">
        <f>'Changing with year'!Q217</f>
        <v>5.8368568604335707</v>
      </c>
      <c r="R57" s="338">
        <f>'Changing with year'!R217</f>
        <v>5.9362329438857291</v>
      </c>
      <c r="S57" s="338">
        <f>'Changing with year'!S217</f>
        <v>6.0641687390195917</v>
      </c>
      <c r="T57" s="338">
        <f>'Changing with year'!T217</f>
        <v>6.1983171011850233</v>
      </c>
      <c r="U57" s="338">
        <f>'Changing with year'!U217</f>
        <v>6.3389155817110261</v>
      </c>
      <c r="V57" s="338">
        <f>'Changing with year'!V217</f>
        <v>6.4862113434932827</v>
      </c>
      <c r="W57" s="338">
        <f>'Changing with year'!W217</f>
        <v>6.6404615443616919</v>
      </c>
      <c r="X57" s="338">
        <f>'Changing with year'!X217</f>
        <v>6.8019337357935523</v>
      </c>
      <c r="Y57" s="338">
        <f>'Changing with year'!Y217</f>
        <v>6.9709062775861099</v>
      </c>
      <c r="Z57" s="338">
        <f>'Changing with year'!Z217</f>
        <v>7.1476687691267653</v>
      </c>
      <c r="AA57" s="338">
        <f>'Changing with year'!AA217</f>
        <v>7.3325224979246721</v>
      </c>
      <c r="AB57" s="338">
        <f>'Changing with year'!AB217</f>
        <v>7.5257809060941678</v>
      </c>
      <c r="AC57" s="338">
        <f>'Changing with year'!AC217</f>
        <v>7.7673869022399256</v>
      </c>
      <c r="AD57" s="338">
        <f>'Changing with year'!AD217</f>
        <v>8.0180628858305312</v>
      </c>
      <c r="AE57" s="338">
        <f>'Changing with year'!AE217</f>
        <v>8.2781657138397744</v>
      </c>
      <c r="AF57" s="338">
        <f>'Changing with year'!AF217</f>
        <v>8.5480664580951462</v>
      </c>
      <c r="AG57" s="338">
        <f>'Changing with year'!AG217</f>
        <v>8.828150973277749</v>
      </c>
      <c r="AH57" s="339"/>
      <c r="AI57" s="339" t="e">
        <f>#REF!</f>
        <v>#REF!</v>
      </c>
    </row>
    <row r="58" spans="1:37">
      <c r="A58" s="328" t="s">
        <v>303</v>
      </c>
      <c r="B58" s="374" t="s">
        <v>300</v>
      </c>
      <c r="C58" s="338">
        <f>'Changing with year'!C249</f>
        <v>5.7648341071163971</v>
      </c>
      <c r="D58" s="338">
        <f>'Changing with year'!D249</f>
        <v>5.7559132544384868</v>
      </c>
      <c r="E58" s="338">
        <f>'Changing with year'!E249</f>
        <v>5.7526234230775257</v>
      </c>
      <c r="F58" s="338">
        <f>'Changing with year'!F249</f>
        <v>5.7550401575005861</v>
      </c>
      <c r="G58" s="338">
        <f>'Changing with year'!G249</f>
        <v>5.7632457663630721</v>
      </c>
      <c r="H58" s="338">
        <f>'Changing with year'!H249</f>
        <v>5.7773294995159956</v>
      </c>
      <c r="I58" s="338">
        <f>'Changing with year'!I249</f>
        <v>5.8136211917451952</v>
      </c>
      <c r="J58" s="338">
        <f>'Changing with year'!J249</f>
        <v>5.8552605814185927</v>
      </c>
      <c r="K58" s="338">
        <f>'Changing with year'!K249</f>
        <v>5.9023836558388547</v>
      </c>
      <c r="L58" s="338">
        <f>'Changing with year'!L249</f>
        <v>5.9551334002126559</v>
      </c>
      <c r="M58" s="338">
        <f>'Changing with year'!M249</f>
        <v>6.013660046398603</v>
      </c>
      <c r="N58" s="338">
        <f>'Changing with year'!N249</f>
        <v>6.0781213322284406</v>
      </c>
      <c r="O58" s="338">
        <f>'Changing with year'!O249</f>
        <v>6.1486827718119947</v>
      </c>
      <c r="P58" s="338">
        <f>'Changing with year'!P249</f>
        <v>6.2255179372530014</v>
      </c>
      <c r="Q58" s="338">
        <f>'Changing with year'!Q249</f>
        <v>6.308808752220278</v>
      </c>
      <c r="R58" s="338">
        <f>'Changing with year'!R249</f>
        <v>6.3987457978367015</v>
      </c>
      <c r="S58" s="338">
        <f>'Changing with year'!S249</f>
        <v>6.5220564644310555</v>
      </c>
      <c r="T58" s="338">
        <f>'Changing with year'!T249</f>
        <v>6.6516259493423737</v>
      </c>
      <c r="U58" s="338">
        <f>'Changing with year'!U249</f>
        <v>6.7876913413868021</v>
      </c>
      <c r="V58" s="338">
        <f>'Changing with year'!V249</f>
        <v>6.9304993455723025</v>
      </c>
      <c r="W58" s="338">
        <f>'Changing with year'!W249</f>
        <v>7.0803066664199203</v>
      </c>
      <c r="X58" s="338">
        <f>'Changing with year'!X249</f>
        <v>7.2373804066311962</v>
      </c>
      <c r="Y58" s="338">
        <f>'Changing with year'!Y249</f>
        <v>7.4019984817153794</v>
      </c>
      <c r="Z58" s="338">
        <f>'Changing with year'!Z249</f>
        <v>7.5744500512147397</v>
      </c>
      <c r="AA58" s="338">
        <f>'Changing with year'!AA249</f>
        <v>7.7550359671917688</v>
      </c>
      <c r="AB58" s="338">
        <f>'Changing with year'!AB249</f>
        <v>7.9440692406685933</v>
      </c>
      <c r="AC58" s="338">
        <f>'Changing with year'!AC249</f>
        <v>8.1898581201600944</v>
      </c>
      <c r="AD58" s="338">
        <f>'Changing with year'!AD249</f>
        <v>8.4447588159299034</v>
      </c>
      <c r="AE58" s="338">
        <f>'Changing with year'!AE249</f>
        <v>8.7091286032401385</v>
      </c>
      <c r="AF58" s="338">
        <f>'Changing with year'!AF249</f>
        <v>8.9833389763895148</v>
      </c>
      <c r="AG58" s="338">
        <f>'Changing with year'!AG249</f>
        <v>9.2677762167550615</v>
      </c>
      <c r="AH58" s="339"/>
    </row>
    <row r="59" spans="1:37">
      <c r="A59" s="328" t="s">
        <v>304</v>
      </c>
      <c r="B59" s="374" t="s">
        <v>305</v>
      </c>
      <c r="C59" s="361">
        <f>'Changing with year'!C266*$C$21*$C$22</f>
        <v>572400</v>
      </c>
      <c r="D59" s="361">
        <f>'Changing with year'!D266*$C$21*$C$22</f>
        <v>578124</v>
      </c>
      <c r="E59" s="361">
        <f>'Changing with year'!E266*$C$21*$C$22</f>
        <v>583905.24</v>
      </c>
      <c r="F59" s="361">
        <f>'Changing with year'!F266*$C$21*$C$22</f>
        <v>589744.29240000003</v>
      </c>
      <c r="G59" s="361">
        <f>'Changing with year'!G266*$C$21*$C$22</f>
        <v>595641.73532400001</v>
      </c>
      <c r="H59" s="361">
        <f>'Changing with year'!H266*$C$21*$C$22</f>
        <v>601598.15267724008</v>
      </c>
      <c r="I59" s="361">
        <f>'Changing with year'!I266*$C$21*$C$22</f>
        <v>607614.13420401246</v>
      </c>
      <c r="J59" s="361">
        <f>'Changing with year'!J266*$C$21*$C$22</f>
        <v>613690.27554605249</v>
      </c>
      <c r="K59" s="361">
        <f>'Changing with year'!K266*$C$21*$C$22</f>
        <v>619827.17830151308</v>
      </c>
      <c r="L59" s="361">
        <f>'Changing with year'!L266*$C$21*$C$22</f>
        <v>626025.45008452807</v>
      </c>
      <c r="M59" s="361">
        <f>'Changing with year'!M266*$C$21*$C$22</f>
        <v>632285.7045853734</v>
      </c>
      <c r="N59" s="361">
        <f>'Changing with year'!N266*$C$21*$C$22</f>
        <v>638608.56163122714</v>
      </c>
      <c r="O59" s="361">
        <f>'Changing with year'!O266*$C$21*$C$22</f>
        <v>644994.64724753937</v>
      </c>
      <c r="P59" s="361">
        <f>'Changing with year'!P266*$C$21*$C$22</f>
        <v>651444.59372001479</v>
      </c>
      <c r="Q59" s="361">
        <f>'Changing with year'!Q266*$C$21*$C$22</f>
        <v>657959.03965721501</v>
      </c>
      <c r="R59" s="361">
        <f>'Changing with year'!R266*$C$21*$C$22</f>
        <v>664538.63005378714</v>
      </c>
      <c r="S59" s="361">
        <f>'Changing with year'!S266*$C$21*$C$22</f>
        <v>671184.01635432511</v>
      </c>
      <c r="T59" s="361">
        <f>'Changing with year'!T266*$C$21*$C$22</f>
        <v>677895.85651786823</v>
      </c>
      <c r="U59" s="361">
        <f>'Changing with year'!U266*$C$21*$C$22</f>
        <v>684674.81508304703</v>
      </c>
      <c r="V59" s="361">
        <f>'Changing with year'!V266*$C$21*$C$22</f>
        <v>691521.56323387753</v>
      </c>
      <c r="W59" s="361">
        <f>'Changing with year'!W266*$C$21*$C$22</f>
        <v>698436.77886621631</v>
      </c>
      <c r="X59" s="361">
        <f>'Changing with year'!X266*$C$21*$C$22</f>
        <v>705421.14665487851</v>
      </c>
      <c r="Y59" s="361">
        <f>'Changing with year'!Y266*$C$21*$C$22</f>
        <v>712475.35812142724</v>
      </c>
      <c r="Z59" s="361">
        <f>'Changing with year'!Z266*$C$21*$C$22</f>
        <v>719600.11170264147</v>
      </c>
      <c r="AA59" s="361">
        <f>'Changing with year'!AA266*$C$21*$C$22</f>
        <v>726796.11281966791</v>
      </c>
      <c r="AB59" s="361">
        <f>'Changing with year'!AB266*$C$21*$C$22</f>
        <v>734064.0739478647</v>
      </c>
      <c r="AC59" s="361">
        <f>'Changing with year'!AC266*$C$21*$C$22</f>
        <v>741404.71468734322</v>
      </c>
      <c r="AD59" s="361">
        <f>'Changing with year'!AD266*$C$21*$C$22</f>
        <v>748818.76183421677</v>
      </c>
      <c r="AE59" s="361">
        <f>'Changing with year'!AE266*$C$21*$C$22</f>
        <v>756306.94945255888</v>
      </c>
      <c r="AF59" s="361">
        <f>'Changing with year'!AF266*$C$21*$C$22</f>
        <v>763870.01894708455</v>
      </c>
      <c r="AG59" s="361">
        <f>'Changing with year'!AG266*$C$21*$C$22</f>
        <v>771508.71913655533</v>
      </c>
      <c r="AH59" s="339"/>
      <c r="AI59" s="376"/>
      <c r="AJ59" s="376"/>
    </row>
    <row r="60" spans="1:37">
      <c r="A60" s="328" t="s">
        <v>306</v>
      </c>
      <c r="B60" s="374"/>
      <c r="C60" s="361">
        <f>'Changing with year'!C277*$C$21*$C$22</f>
        <v>572400</v>
      </c>
      <c r="D60" s="361">
        <f>'Changing with year'!D277*$C$21*$C$22</f>
        <v>578124</v>
      </c>
      <c r="E60" s="361">
        <f>'Changing with year'!E277*$C$21*$C$22</f>
        <v>583905.24</v>
      </c>
      <c r="F60" s="361">
        <f>'Changing with year'!F277*$C$21*$C$22</f>
        <v>589744.29240000003</v>
      </c>
      <c r="G60" s="361">
        <f>'Changing with year'!G277*$C$21*$C$22</f>
        <v>595641.73532400001</v>
      </c>
      <c r="H60" s="361">
        <f>'Changing with year'!H277*$C$21*$C$22</f>
        <v>601598.15267724008</v>
      </c>
      <c r="I60" s="361">
        <f>'Changing with year'!I277*$C$21*$C$22</f>
        <v>607614.13420401246</v>
      </c>
      <c r="J60" s="361">
        <f>'Changing with year'!J277*$C$21*$C$22</f>
        <v>613690.27554605249</v>
      </c>
      <c r="K60" s="361">
        <f>'Changing with year'!K277*$C$21*$C$22</f>
        <v>619827.17830151308</v>
      </c>
      <c r="L60" s="361">
        <f>'Changing with year'!L277*$C$21*$C$22</f>
        <v>626025.45008452807</v>
      </c>
      <c r="M60" s="361">
        <f>'Changing with year'!M277*$C$21*$C$22</f>
        <v>632285.7045853734</v>
      </c>
      <c r="N60" s="361">
        <f>'Changing with year'!N277*$C$21*$C$22</f>
        <v>638608.56163122714</v>
      </c>
      <c r="O60" s="361">
        <f>'Changing with year'!O277*$C$21*$C$22</f>
        <v>644994.64724753937</v>
      </c>
      <c r="P60" s="361">
        <f>'Changing with year'!P277*$C$21*$C$22</f>
        <v>651444.59372001479</v>
      </c>
      <c r="Q60" s="361">
        <f>'Changing with year'!Q277*$C$21*$C$22</f>
        <v>657959.03965721501</v>
      </c>
      <c r="R60" s="361">
        <f>'Changing with year'!R277*$C$21*$C$22</f>
        <v>664538.63005378714</v>
      </c>
      <c r="S60" s="361">
        <f>'Changing with year'!S277*$C$21*$C$22</f>
        <v>671184.01635432511</v>
      </c>
      <c r="T60" s="361">
        <f>'Changing with year'!T277*$C$21*$C$22</f>
        <v>677895.85651786823</v>
      </c>
      <c r="U60" s="361">
        <f>'Changing with year'!U277*$C$21*$C$22</f>
        <v>684674.81508304703</v>
      </c>
      <c r="V60" s="361">
        <f>'Changing with year'!V277*$C$21*$C$22</f>
        <v>691521.56323387753</v>
      </c>
      <c r="W60" s="361">
        <f>'Changing with year'!W277*$C$21*$C$22</f>
        <v>698436.77886621631</v>
      </c>
      <c r="X60" s="361">
        <f>'Changing with year'!X277*$C$21*$C$22</f>
        <v>705421.14665487851</v>
      </c>
      <c r="Y60" s="361">
        <f>'Changing with year'!Y277*$C$21*$C$22</f>
        <v>712475.35812142724</v>
      </c>
      <c r="Z60" s="361">
        <f>'Changing with year'!Z277*$C$21*$C$22</f>
        <v>719600.11170264147</v>
      </c>
      <c r="AA60" s="361">
        <f>'Changing with year'!AA277*$C$21*$C$22</f>
        <v>726796.11281966791</v>
      </c>
      <c r="AB60" s="361">
        <f>'Changing with year'!AB277*$C$21*$C$22</f>
        <v>734064.0739478647</v>
      </c>
      <c r="AC60" s="361">
        <f>'Changing with year'!AC277*$C$21*$C$22</f>
        <v>741404.71468734322</v>
      </c>
      <c r="AD60" s="361">
        <f>'Changing with year'!AD277*$C$21*$C$22</f>
        <v>748818.76183421677</v>
      </c>
      <c r="AE60" s="361">
        <f>'Changing with year'!AE277*$C$21*$C$22</f>
        <v>756306.94945255888</v>
      </c>
      <c r="AF60" s="361">
        <f>'Changing with year'!AF277*$C$21*$C$22</f>
        <v>763870.01894708455</v>
      </c>
      <c r="AG60" s="361">
        <f>'Changing with year'!AG277*$C$21*$C$22</f>
        <v>771508.71913655533</v>
      </c>
      <c r="AH60" s="339"/>
      <c r="AI60" s="376"/>
      <c r="AJ60" s="376"/>
    </row>
    <row r="61" spans="1:37">
      <c r="C61" s="380"/>
      <c r="D61" s="380"/>
      <c r="E61" s="380"/>
      <c r="F61" s="380"/>
      <c r="G61" s="380"/>
    </row>
    <row r="62" spans="1:37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7">
      <c r="A63" s="300" t="s">
        <v>308</v>
      </c>
      <c r="B63" s="300" t="s">
        <v>309</v>
      </c>
      <c r="C63" s="376">
        <f>'Changing with year'!C82</f>
        <v>2750000</v>
      </c>
      <c r="D63" s="376">
        <f>'Changing with year'!D82</f>
        <v>2832500</v>
      </c>
      <c r="E63" s="376">
        <f>'Changing with year'!E82</f>
        <v>2917500</v>
      </c>
      <c r="F63" s="376">
        <f>'Changing with year'!F82</f>
        <v>3005000</v>
      </c>
      <c r="G63" s="376">
        <f>'Changing with year'!G82</f>
        <v>3095200</v>
      </c>
      <c r="H63" s="376">
        <f>'Changing with year'!H82</f>
        <v>3588100</v>
      </c>
      <c r="I63" s="376">
        <f>'Changing with year'!I82</f>
        <v>3695700</v>
      </c>
      <c r="J63" s="376">
        <f>'Changing with year'!J82</f>
        <v>3806600</v>
      </c>
      <c r="K63" s="376">
        <f>'Changing with year'!K82</f>
        <v>3920800</v>
      </c>
      <c r="L63" s="376">
        <f>'Changing with year'!L82</f>
        <v>4038400</v>
      </c>
      <c r="M63" s="376">
        <f>'Changing with year'!M82</f>
        <v>4159600</v>
      </c>
      <c r="N63" s="376">
        <f>'Changing with year'!N82</f>
        <v>4284400</v>
      </c>
      <c r="O63" s="376">
        <f>'Changing with year'!O82</f>
        <v>4412900</v>
      </c>
      <c r="P63" s="376">
        <f>'Changing with year'!P82</f>
        <v>4545300</v>
      </c>
      <c r="Q63" s="376">
        <f>'Changing with year'!Q82</f>
        <v>4681700</v>
      </c>
      <c r="R63" s="376">
        <f>'Changing with year'!R82</f>
        <v>4822200</v>
      </c>
      <c r="S63" s="376">
        <f>'Changing with year'!S82</f>
        <v>4966900</v>
      </c>
      <c r="T63" s="376">
        <f>'Changing with year'!T82</f>
        <v>5115900</v>
      </c>
      <c r="U63" s="376">
        <f>'Changing with year'!U82</f>
        <v>5269400</v>
      </c>
      <c r="V63" s="376">
        <f>'Changing with year'!V82</f>
        <v>5427500</v>
      </c>
      <c r="W63" s="376">
        <f>'Changing with year'!W82</f>
        <v>5590300</v>
      </c>
      <c r="X63" s="376">
        <f>'Changing with year'!X82</f>
        <v>5758000</v>
      </c>
      <c r="Y63" s="376">
        <f>'Changing with year'!Y82</f>
        <v>5930700</v>
      </c>
      <c r="Z63" s="376">
        <f>'Changing with year'!Z82</f>
        <v>6108600</v>
      </c>
      <c r="AA63" s="376">
        <f>'Changing with year'!AA82</f>
        <v>6291900</v>
      </c>
      <c r="AB63" s="376">
        <f>'Changing with year'!AB82</f>
        <v>6480700</v>
      </c>
      <c r="AC63" s="376">
        <f>'Changing with year'!AC82</f>
        <v>6675100</v>
      </c>
      <c r="AD63" s="376">
        <f>'Changing with year'!AD82</f>
        <v>6875400</v>
      </c>
      <c r="AE63" s="376">
        <f>'Changing with year'!AE82</f>
        <v>7081700</v>
      </c>
      <c r="AF63" s="376">
        <f>'Changing with year'!AF82</f>
        <v>7294200</v>
      </c>
      <c r="AG63" s="376">
        <f>'Changing with year'!AG82</f>
        <v>7513000</v>
      </c>
    </row>
    <row r="64" spans="1:37">
      <c r="A64" s="300" t="s">
        <v>310</v>
      </c>
      <c r="B64" s="300" t="s">
        <v>309</v>
      </c>
      <c r="C64" s="376">
        <f>(C63*'No change with year'!$Y$5)</f>
        <v>1512500.0000000002</v>
      </c>
      <c r="D64" s="376">
        <f>(D63*'No change with year'!$Y$5)</f>
        <v>1557875.0000000002</v>
      </c>
      <c r="E64" s="376">
        <f>(E63*'No change with year'!$Y$5)</f>
        <v>1604625.0000000002</v>
      </c>
      <c r="F64" s="376">
        <f>(F63*'No change with year'!$Y$5)</f>
        <v>1652750.0000000002</v>
      </c>
      <c r="G64" s="376">
        <f>(G63*'No change with year'!$Y$5)</f>
        <v>1702360.0000000002</v>
      </c>
      <c r="H64" s="376">
        <f>(H63*'No change with year'!$Y$5)</f>
        <v>1973455.0000000002</v>
      </c>
      <c r="I64" s="376">
        <f>(I63*'No change with year'!$Y$5)</f>
        <v>2032635.0000000002</v>
      </c>
      <c r="J64" s="376">
        <f>(J63*'No change with year'!$Y$5)</f>
        <v>2093630.0000000002</v>
      </c>
      <c r="K64" s="376">
        <f>(K63*'No change with year'!$Y$5)</f>
        <v>2156440</v>
      </c>
      <c r="L64" s="376">
        <f>(L63*'No change with year'!$Y$5)</f>
        <v>2221120</v>
      </c>
      <c r="M64" s="376">
        <f>(M63*'No change with year'!$Y$5)</f>
        <v>2287780</v>
      </c>
      <c r="N64" s="376">
        <f>(N63*'No change with year'!$Z$5)</f>
        <v>1927980.0000000002</v>
      </c>
      <c r="O64" s="376">
        <f>(O63*'No change with year'!$Z$5)</f>
        <v>1985805.0000000002</v>
      </c>
      <c r="P64" s="376">
        <f>(P63*'No change with year'!$Z$5)</f>
        <v>2045385.0000000002</v>
      </c>
      <c r="Q64" s="376">
        <f>(Q63*'No change with year'!$Z$5)</f>
        <v>2106765.0000000005</v>
      </c>
      <c r="R64" s="376">
        <f>(R63*'No change with year'!$Z$5)</f>
        <v>2169990.0000000005</v>
      </c>
      <c r="S64" s="376">
        <f>(S63*'No change with year'!$Z$5)</f>
        <v>2235105.0000000005</v>
      </c>
      <c r="T64" s="376">
        <f>(T63*'No change with year'!$Z$5)</f>
        <v>2302155.0000000005</v>
      </c>
      <c r="U64" s="376">
        <f>(U63*'No change with year'!$Z$5)</f>
        <v>2371230.0000000005</v>
      </c>
      <c r="V64" s="376">
        <f>(V63*'No change with year'!$Z$5)</f>
        <v>2442375.0000000005</v>
      </c>
      <c r="W64" s="376">
        <f>(W63*'No change with year'!$Z$5)</f>
        <v>2515635.0000000005</v>
      </c>
      <c r="X64" s="376">
        <f>(X63*'No change with year'!$AA$5)</f>
        <v>2015300.0000000002</v>
      </c>
      <c r="Y64" s="376">
        <f>(Y63*'No change with year'!$AA$5)</f>
        <v>2075745.0000000002</v>
      </c>
      <c r="Z64" s="376">
        <f>(Z63*'No change with year'!$AA$5)</f>
        <v>2138010</v>
      </c>
      <c r="AA64" s="376">
        <f>(AA63*'No change with year'!$AA$5)</f>
        <v>2202165</v>
      </c>
      <c r="AB64" s="376">
        <f>(AB63*'No change with year'!$AA$5)</f>
        <v>2268245</v>
      </c>
      <c r="AC64" s="376">
        <f>(AC63*'No change with year'!$AA$5)</f>
        <v>2336285</v>
      </c>
      <c r="AD64" s="376">
        <f>(AD63*'No change with year'!$AA$5)</f>
        <v>2406390</v>
      </c>
      <c r="AE64" s="376">
        <f>(AE63*'No change with year'!$AA$5)</f>
        <v>2478595.0000000005</v>
      </c>
      <c r="AF64" s="376">
        <f>(AF63*'No change with year'!$AA$5)</f>
        <v>2552970.0000000005</v>
      </c>
      <c r="AG64" s="376">
        <f>(AG63*'No change with year'!$AA$5)</f>
        <v>2629550.0000000005</v>
      </c>
    </row>
    <row r="65" spans="1:35" s="371" customFormat="1" ht="11.85" customHeight="1">
      <c r="A65" s="428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00" t="s">
        <v>312</v>
      </c>
      <c r="B66" s="300" t="s">
        <v>313</v>
      </c>
      <c r="C66" s="376">
        <f t="shared" ref="C66:AG66" si="4">-PMT($C$26,$C$25,C63)</f>
        <v>602573.77372882492</v>
      </c>
      <c r="D66" s="376">
        <f t="shared" si="4"/>
        <v>620650.98694068962</v>
      </c>
      <c r="E66" s="376">
        <f t="shared" si="4"/>
        <v>639275.99449230789</v>
      </c>
      <c r="F66" s="376">
        <f t="shared" si="4"/>
        <v>658448.79638367961</v>
      </c>
      <c r="G66" s="376">
        <f t="shared" si="4"/>
        <v>678213.21616198507</v>
      </c>
      <c r="H66" s="376">
        <f t="shared" si="4"/>
        <v>786216.34818778059</v>
      </c>
      <c r="I66" s="376">
        <f t="shared" si="4"/>
        <v>809793.41657077032</v>
      </c>
      <c r="J66" s="376">
        <f t="shared" si="4"/>
        <v>834093.5734822345</v>
      </c>
      <c r="K66" s="376">
        <f t="shared" si="4"/>
        <v>859116.81892217335</v>
      </c>
      <c r="L66" s="376">
        <f t="shared" si="4"/>
        <v>884885.0646641769</v>
      </c>
      <c r="M66" s="376">
        <f t="shared" si="4"/>
        <v>911442.13425542542</v>
      </c>
      <c r="N66" s="376">
        <f t="shared" si="4"/>
        <v>938788.02769591904</v>
      </c>
      <c r="O66" s="376">
        <f t="shared" si="4"/>
        <v>966944.65675924777</v>
      </c>
      <c r="P66" s="376">
        <f t="shared" si="4"/>
        <v>995955.844992592</v>
      </c>
      <c r="Q66" s="376">
        <f t="shared" si="4"/>
        <v>1025843.5041695415</v>
      </c>
      <c r="R66" s="376">
        <f t="shared" si="4"/>
        <v>1056629.546063687</v>
      </c>
      <c r="S66" s="376">
        <f t="shared" si="4"/>
        <v>1088335.8824486183</v>
      </c>
      <c r="T66" s="376">
        <f t="shared" si="4"/>
        <v>1120984.4250979256</v>
      </c>
      <c r="U66" s="376">
        <f t="shared" si="4"/>
        <v>1154618.9975587891</v>
      </c>
      <c r="V66" s="376">
        <f t="shared" si="4"/>
        <v>1189261.511604799</v>
      </c>
      <c r="W66" s="376">
        <f t="shared" si="4"/>
        <v>1224933.8790095453</v>
      </c>
      <c r="X66" s="376">
        <f t="shared" si="4"/>
        <v>1261679.9233202087</v>
      </c>
      <c r="Y66" s="376">
        <f t="shared" si="4"/>
        <v>1299521.5563103787</v>
      </c>
      <c r="Z66" s="376">
        <f t="shared" si="4"/>
        <v>1338502.6015272362</v>
      </c>
      <c r="AA66" s="376">
        <f t="shared" si="4"/>
        <v>1378666.8825179611</v>
      </c>
      <c r="AB66" s="376">
        <f t="shared" si="4"/>
        <v>1420036.3110561438</v>
      </c>
      <c r="AC66" s="376">
        <f t="shared" si="4"/>
        <v>1462632.7989153743</v>
      </c>
      <c r="AD66" s="376">
        <f t="shared" si="4"/>
        <v>1506522.0814164227</v>
      </c>
      <c r="AE66" s="376">
        <f t="shared" si="4"/>
        <v>1551726.0703328799</v>
      </c>
      <c r="AF66" s="376">
        <f t="shared" si="4"/>
        <v>1598288.5892119252</v>
      </c>
      <c r="AG66" s="376">
        <f t="shared" si="4"/>
        <v>1646231.5498271496</v>
      </c>
    </row>
    <row r="67" spans="1:35">
      <c r="A67" s="300" t="s">
        <v>314</v>
      </c>
      <c r="B67" s="300" t="s">
        <v>313</v>
      </c>
      <c r="C67" s="376">
        <f t="shared" ref="C67:AG67" si="5">C41*$C$37</f>
        <v>1846930.7653318676</v>
      </c>
      <c r="D67" s="376">
        <f t="shared" si="5"/>
        <v>2056153.8461538462</v>
      </c>
      <c r="E67" s="376">
        <f t="shared" si="5"/>
        <v>2097276.923076923</v>
      </c>
      <c r="F67" s="376">
        <f t="shared" si="5"/>
        <v>2139222.4615384615</v>
      </c>
      <c r="G67" s="376">
        <f t="shared" si="5"/>
        <v>2182006.9107692312</v>
      </c>
      <c r="H67" s="376">
        <f t="shared" si="5"/>
        <v>2225647.0489846156</v>
      </c>
      <c r="I67" s="376">
        <f t="shared" si="5"/>
        <v>2270159.9899643078</v>
      </c>
      <c r="J67" s="376">
        <f t="shared" si="5"/>
        <v>2315563.189763594</v>
      </c>
      <c r="K67" s="376">
        <f t="shared" si="5"/>
        <v>2361874.4535588659</v>
      </c>
      <c r="L67" s="376">
        <f t="shared" si="5"/>
        <v>2409111.9426300433</v>
      </c>
      <c r="M67" s="376">
        <f t="shared" si="5"/>
        <v>2457294.1814826443</v>
      </c>
      <c r="N67" s="376">
        <f t="shared" si="5"/>
        <v>2506440.065112297</v>
      </c>
      <c r="O67" s="376">
        <f t="shared" si="5"/>
        <v>2556568.8664145432</v>
      </c>
      <c r="P67" s="376">
        <f t="shared" si="5"/>
        <v>2607700.2437428338</v>
      </c>
      <c r="Q67" s="376">
        <f t="shared" si="5"/>
        <v>2659854.2486176905</v>
      </c>
      <c r="R67" s="376">
        <f t="shared" si="5"/>
        <v>2713051.3335900446</v>
      </c>
      <c r="S67" s="376">
        <f t="shared" si="5"/>
        <v>2767312.3602618459</v>
      </c>
      <c r="T67" s="376">
        <f t="shared" si="5"/>
        <v>2822658.6074670828</v>
      </c>
      <c r="U67" s="376">
        <f t="shared" si="5"/>
        <v>2879111.7796164243</v>
      </c>
      <c r="V67" s="376">
        <f t="shared" si="5"/>
        <v>2936694.0152087533</v>
      </c>
      <c r="W67" s="376">
        <f t="shared" si="5"/>
        <v>2995427.8955129283</v>
      </c>
      <c r="X67" s="376">
        <f t="shared" si="5"/>
        <v>3055336.4534231867</v>
      </c>
      <c r="Y67" s="376">
        <f t="shared" si="5"/>
        <v>3116443.1824916503</v>
      </c>
      <c r="Z67" s="376">
        <f t="shared" si="5"/>
        <v>3178772.0461414838</v>
      </c>
      <c r="AA67" s="376">
        <f t="shared" si="5"/>
        <v>3242347.4870643131</v>
      </c>
      <c r="AB67" s="376">
        <f t="shared" si="5"/>
        <v>3307194.4368055998</v>
      </c>
      <c r="AC67" s="376">
        <f t="shared" si="5"/>
        <v>3373338.3255417114</v>
      </c>
      <c r="AD67" s="376">
        <f t="shared" si="5"/>
        <v>3440805.0920525454</v>
      </c>
      <c r="AE67" s="376">
        <f t="shared" si="5"/>
        <v>3509621.1938935965</v>
      </c>
      <c r="AF67" s="376">
        <f t="shared" si="5"/>
        <v>3579813.6177714686</v>
      </c>
      <c r="AG67" s="376">
        <f t="shared" si="5"/>
        <v>3651409.890126898</v>
      </c>
    </row>
    <row r="68" spans="1:35">
      <c r="A68" s="300" t="s">
        <v>315</v>
      </c>
      <c r="B68" s="300" t="s">
        <v>313</v>
      </c>
      <c r="C68" s="376">
        <f t="shared" ref="C68:AG68" si="6">$C$37*$AH$68*C42</f>
        <v>57115.384615384624</v>
      </c>
      <c r="D68" s="376">
        <f t="shared" si="6"/>
        <v>58543.269230769227</v>
      </c>
      <c r="E68" s="376">
        <f t="shared" si="6"/>
        <v>60006.850961538454</v>
      </c>
      <c r="F68" s="376">
        <f t="shared" si="6"/>
        <v>61507.022235576907</v>
      </c>
      <c r="G68" s="376">
        <f t="shared" si="6"/>
        <v>63044.697791466329</v>
      </c>
      <c r="H68" s="376">
        <f t="shared" si="6"/>
        <v>64620.81523625298</v>
      </c>
      <c r="I68" s="376">
        <f t="shared" si="6"/>
        <v>66236.335617159304</v>
      </c>
      <c r="J68" s="376">
        <f t="shared" si="6"/>
        <v>67892.244007588277</v>
      </c>
      <c r="K68" s="376">
        <f t="shared" si="6"/>
        <v>69589.550107777977</v>
      </c>
      <c r="L68" s="376">
        <f t="shared" si="6"/>
        <v>71329.288860472428</v>
      </c>
      <c r="M68" s="376">
        <f t="shared" si="6"/>
        <v>73112.521081984232</v>
      </c>
      <c r="N68" s="376">
        <f t="shared" si="6"/>
        <v>74940.334109033822</v>
      </c>
      <c r="O68" s="376">
        <f t="shared" si="6"/>
        <v>76813.842461759661</v>
      </c>
      <c r="P68" s="376">
        <f t="shared" si="6"/>
        <v>78734.188523303659</v>
      </c>
      <c r="Q68" s="376">
        <f t="shared" si="6"/>
        <v>80702.543236386235</v>
      </c>
      <c r="R68" s="376">
        <f t="shared" si="6"/>
        <v>82720.106817295891</v>
      </c>
      <c r="S68" s="376">
        <f t="shared" si="6"/>
        <v>84788.109487728289</v>
      </c>
      <c r="T68" s="376">
        <f t="shared" si="6"/>
        <v>86907.812224921494</v>
      </c>
      <c r="U68" s="376">
        <f t="shared" si="6"/>
        <v>89080.507530544521</v>
      </c>
      <c r="V68" s="376">
        <f t="shared" si="6"/>
        <v>91307.520218808131</v>
      </c>
      <c r="W68" s="376">
        <f t="shared" si="6"/>
        <v>93590.208224278322</v>
      </c>
      <c r="X68" s="376">
        <f t="shared" si="6"/>
        <v>95929.963429885276</v>
      </c>
      <c r="Y68" s="376">
        <f t="shared" si="6"/>
        <v>98328.212515632404</v>
      </c>
      <c r="Z68" s="376">
        <f t="shared" si="6"/>
        <v>100786.4178285232</v>
      </c>
      <c r="AA68" s="376">
        <f t="shared" si="6"/>
        <v>103306.07827423626</v>
      </c>
      <c r="AB68" s="376">
        <f t="shared" si="6"/>
        <v>105888.73023109217</v>
      </c>
      <c r="AC68" s="376">
        <f t="shared" si="6"/>
        <v>108535.94848686946</v>
      </c>
      <c r="AD68" s="376">
        <f t="shared" si="6"/>
        <v>111249.34719904119</v>
      </c>
      <c r="AE68" s="376">
        <f t="shared" si="6"/>
        <v>114030.58087901722</v>
      </c>
      <c r="AF68" s="376">
        <f t="shared" si="6"/>
        <v>116881.34540099264</v>
      </c>
      <c r="AG68" s="376">
        <f t="shared" si="6"/>
        <v>119803.37903601743</v>
      </c>
      <c r="AH68" s="439">
        <f>'No change with year'!D20</f>
        <v>0.05</v>
      </c>
      <c r="AI68" s="300" t="s">
        <v>316</v>
      </c>
    </row>
    <row r="69" spans="1:35">
      <c r="A69" s="300" t="s">
        <v>317</v>
      </c>
      <c r="B69" s="300" t="s">
        <v>313</v>
      </c>
      <c r="C69" s="376">
        <f t="shared" ref="C69:AG69" si="7">$C$22*$C$21*C55</f>
        <v>302400</v>
      </c>
      <c r="D69" s="376">
        <f t="shared" si="7"/>
        <v>314496</v>
      </c>
      <c r="E69" s="376">
        <f t="shared" si="7"/>
        <v>327075.84000000003</v>
      </c>
      <c r="F69" s="376">
        <f t="shared" si="7"/>
        <v>340158.87359999999</v>
      </c>
      <c r="G69" s="376">
        <f t="shared" si="7"/>
        <v>353765.22854400001</v>
      </c>
      <c r="H69" s="376">
        <f t="shared" si="7"/>
        <v>367915.83768576005</v>
      </c>
      <c r="I69" s="376">
        <f t="shared" si="7"/>
        <v>382632.47119319043</v>
      </c>
      <c r="J69" s="376">
        <f t="shared" si="7"/>
        <v>397937.77004091808</v>
      </c>
      <c r="K69" s="376">
        <f t="shared" si="7"/>
        <v>413855.28084255481</v>
      </c>
      <c r="L69" s="376">
        <f t="shared" si="7"/>
        <v>430409.49207625701</v>
      </c>
      <c r="M69" s="376">
        <f t="shared" si="7"/>
        <v>447625.87175930728</v>
      </c>
      <c r="N69" s="376">
        <f t="shared" si="7"/>
        <v>465530.90662967961</v>
      </c>
      <c r="O69" s="376">
        <f t="shared" si="7"/>
        <v>484152.14289486688</v>
      </c>
      <c r="P69" s="376">
        <f t="shared" si="7"/>
        <v>503518.22861066152</v>
      </c>
      <c r="Q69" s="376">
        <f t="shared" si="7"/>
        <v>523658.95775508805</v>
      </c>
      <c r="R69" s="376">
        <f t="shared" si="7"/>
        <v>544605.31606529152</v>
      </c>
      <c r="S69" s="376">
        <f t="shared" si="7"/>
        <v>566389.52870790334</v>
      </c>
      <c r="T69" s="376">
        <f t="shared" si="7"/>
        <v>589045.1098562195</v>
      </c>
      <c r="U69" s="376">
        <f t="shared" si="7"/>
        <v>612606.91425046825</v>
      </c>
      <c r="V69" s="376">
        <f t="shared" si="7"/>
        <v>637111.19082048698</v>
      </c>
      <c r="W69" s="376">
        <f t="shared" si="7"/>
        <v>662595.63845330651</v>
      </c>
      <c r="X69" s="376">
        <f t="shared" si="7"/>
        <v>689099.46399143874</v>
      </c>
      <c r="Y69" s="376">
        <f t="shared" si="7"/>
        <v>716663.44255109632</v>
      </c>
      <c r="Z69" s="376">
        <f t="shared" si="7"/>
        <v>745329.98025314021</v>
      </c>
      <c r="AA69" s="376">
        <f t="shared" si="7"/>
        <v>775143.17946326581</v>
      </c>
      <c r="AB69" s="376">
        <f t="shared" si="7"/>
        <v>806148.90664179646</v>
      </c>
      <c r="AC69" s="376">
        <f t="shared" si="7"/>
        <v>838394.86290746834</v>
      </c>
      <c r="AD69" s="376">
        <f t="shared" si="7"/>
        <v>871930.65742376703</v>
      </c>
      <c r="AE69" s="376">
        <f t="shared" si="7"/>
        <v>906807.88372071786</v>
      </c>
      <c r="AF69" s="376">
        <f t="shared" si="7"/>
        <v>943080.19906954654</v>
      </c>
      <c r="AG69" s="376">
        <f t="shared" si="7"/>
        <v>980803.40703232842</v>
      </c>
    </row>
    <row r="70" spans="1:35">
      <c r="A70" s="300" t="s">
        <v>318</v>
      </c>
      <c r="B70" s="300" t="s">
        <v>313</v>
      </c>
      <c r="C70" s="376">
        <f>'Changing with year'!C288</f>
        <v>400000</v>
      </c>
      <c r="D70" s="376">
        <f>'Changing with year'!D288</f>
        <v>418000</v>
      </c>
      <c r="E70" s="376">
        <f>'Changing with year'!E288</f>
        <v>437000</v>
      </c>
      <c r="F70" s="376">
        <f>'Changing with year'!F288</f>
        <v>457000</v>
      </c>
      <c r="G70" s="376">
        <f>'Changing with year'!G288</f>
        <v>478000</v>
      </c>
      <c r="H70" s="376">
        <f>'Changing with year'!H288</f>
        <v>500000</v>
      </c>
      <c r="I70" s="376">
        <f>'Changing with year'!I288</f>
        <v>523000</v>
      </c>
      <c r="J70" s="376">
        <f>'Changing with year'!J288</f>
        <v>547000</v>
      </c>
      <c r="K70" s="376">
        <f>'Changing with year'!K288</f>
        <v>572000</v>
      </c>
      <c r="L70" s="376">
        <f>'Changing with year'!L288</f>
        <v>598000</v>
      </c>
      <c r="M70" s="376">
        <f>'Changing with year'!M288</f>
        <v>625000</v>
      </c>
      <c r="N70" s="376">
        <f>'Changing with year'!N288</f>
        <v>653000</v>
      </c>
      <c r="O70" s="376">
        <f>'Changing with year'!O288</f>
        <v>682000</v>
      </c>
      <c r="P70" s="376">
        <f>'Changing with year'!P288</f>
        <v>713000</v>
      </c>
      <c r="Q70" s="376">
        <f>'Changing with year'!Q288</f>
        <v>745000</v>
      </c>
      <c r="R70" s="376">
        <f>'Changing with year'!R288</f>
        <v>779000</v>
      </c>
      <c r="S70" s="376">
        <f>'Changing with year'!S288</f>
        <v>814000</v>
      </c>
      <c r="T70" s="376">
        <f>'Changing with year'!T288</f>
        <v>851000</v>
      </c>
      <c r="U70" s="376">
        <f>'Changing with year'!U288</f>
        <v>889000</v>
      </c>
      <c r="V70" s="376">
        <f>'Changing with year'!V288</f>
        <v>929000</v>
      </c>
      <c r="W70" s="376">
        <f>'Changing with year'!W288</f>
        <v>971000</v>
      </c>
      <c r="X70" s="376">
        <f>'Changing with year'!X288</f>
        <v>1015000</v>
      </c>
      <c r="Y70" s="376">
        <f>'Changing with year'!Y288</f>
        <v>1061000</v>
      </c>
      <c r="Z70" s="376">
        <f>'Changing with year'!Z288</f>
        <v>1109000</v>
      </c>
      <c r="AA70" s="376">
        <f>'Changing with year'!AA288</f>
        <v>1159000</v>
      </c>
      <c r="AB70" s="376">
        <f>'Changing with year'!AB288</f>
        <v>1211000</v>
      </c>
      <c r="AC70" s="376">
        <f>'Changing with year'!AC288</f>
        <v>1265000</v>
      </c>
      <c r="AD70" s="376">
        <f>'Changing with year'!AD288</f>
        <v>1322000</v>
      </c>
      <c r="AE70" s="376">
        <f>'Changing with year'!AE288</f>
        <v>1381000</v>
      </c>
      <c r="AF70" s="376">
        <f>'Changing with year'!AF288</f>
        <v>1443000</v>
      </c>
      <c r="AG70" s="376">
        <f>'Changing with year'!AG288</f>
        <v>1508000</v>
      </c>
      <c r="AH70" s="339"/>
    </row>
    <row r="71" spans="1:35">
      <c r="A71" s="300" t="s">
        <v>272</v>
      </c>
      <c r="B71" s="300" t="s">
        <v>313</v>
      </c>
      <c r="C71" s="437">
        <f t="shared" ref="C71:AG71" si="8">C59</f>
        <v>572400</v>
      </c>
      <c r="D71" s="437">
        <f t="shared" si="8"/>
        <v>578124</v>
      </c>
      <c r="E71" s="437">
        <f t="shared" si="8"/>
        <v>583905.24</v>
      </c>
      <c r="F71" s="437">
        <f t="shared" si="8"/>
        <v>589744.29240000003</v>
      </c>
      <c r="G71" s="437">
        <f t="shared" si="8"/>
        <v>595641.73532400001</v>
      </c>
      <c r="H71" s="437">
        <f t="shared" si="8"/>
        <v>601598.15267724008</v>
      </c>
      <c r="I71" s="437">
        <f t="shared" si="8"/>
        <v>607614.13420401246</v>
      </c>
      <c r="J71" s="437">
        <f t="shared" si="8"/>
        <v>613690.27554605249</v>
      </c>
      <c r="K71" s="437">
        <f t="shared" si="8"/>
        <v>619827.17830151308</v>
      </c>
      <c r="L71" s="437">
        <f t="shared" si="8"/>
        <v>626025.45008452807</v>
      </c>
      <c r="M71" s="437">
        <f t="shared" si="8"/>
        <v>632285.7045853734</v>
      </c>
      <c r="N71" s="437">
        <f t="shared" si="8"/>
        <v>638608.56163122714</v>
      </c>
      <c r="O71" s="437">
        <f t="shared" si="8"/>
        <v>644994.64724753937</v>
      </c>
      <c r="P71" s="437">
        <f t="shared" si="8"/>
        <v>651444.59372001479</v>
      </c>
      <c r="Q71" s="437">
        <f t="shared" si="8"/>
        <v>657959.03965721501</v>
      </c>
      <c r="R71" s="437">
        <f t="shared" si="8"/>
        <v>664538.63005378714</v>
      </c>
      <c r="S71" s="437">
        <f t="shared" si="8"/>
        <v>671184.01635432511</v>
      </c>
      <c r="T71" s="437">
        <f t="shared" si="8"/>
        <v>677895.85651786823</v>
      </c>
      <c r="U71" s="437">
        <f t="shared" si="8"/>
        <v>684674.81508304703</v>
      </c>
      <c r="V71" s="437">
        <f t="shared" si="8"/>
        <v>691521.56323387753</v>
      </c>
      <c r="W71" s="437">
        <f t="shared" si="8"/>
        <v>698436.77886621631</v>
      </c>
      <c r="X71" s="437">
        <f t="shared" si="8"/>
        <v>705421.14665487851</v>
      </c>
      <c r="Y71" s="437">
        <f t="shared" si="8"/>
        <v>712475.35812142724</v>
      </c>
      <c r="Z71" s="437">
        <f t="shared" si="8"/>
        <v>719600.11170264147</v>
      </c>
      <c r="AA71" s="437">
        <f t="shared" si="8"/>
        <v>726796.11281966791</v>
      </c>
      <c r="AB71" s="437">
        <f t="shared" si="8"/>
        <v>734064.0739478647</v>
      </c>
      <c r="AC71" s="437">
        <f t="shared" si="8"/>
        <v>741404.71468734322</v>
      </c>
      <c r="AD71" s="437">
        <f t="shared" si="8"/>
        <v>748818.76183421677</v>
      </c>
      <c r="AE71" s="437">
        <f t="shared" si="8"/>
        <v>756306.94945255888</v>
      </c>
      <c r="AF71" s="437">
        <f t="shared" si="8"/>
        <v>763870.01894708455</v>
      </c>
      <c r="AG71" s="437">
        <f t="shared" si="8"/>
        <v>771508.71913655533</v>
      </c>
    </row>
    <row r="72" spans="1:35">
      <c r="A72" s="300" t="s">
        <v>319</v>
      </c>
      <c r="B72" s="300" t="s">
        <v>313</v>
      </c>
      <c r="C72" s="376">
        <f t="shared" ref="C72:AG72" si="9">C63*$C$29</f>
        <v>55000</v>
      </c>
      <c r="D72" s="376">
        <f t="shared" si="9"/>
        <v>56650</v>
      </c>
      <c r="E72" s="376">
        <f t="shared" si="9"/>
        <v>58350</v>
      </c>
      <c r="F72" s="376">
        <f t="shared" si="9"/>
        <v>60100</v>
      </c>
      <c r="G72" s="376">
        <f t="shared" si="9"/>
        <v>61904</v>
      </c>
      <c r="H72" s="376">
        <f t="shared" si="9"/>
        <v>71762</v>
      </c>
      <c r="I72" s="376">
        <f t="shared" si="9"/>
        <v>73914</v>
      </c>
      <c r="J72" s="376">
        <f t="shared" si="9"/>
        <v>76132</v>
      </c>
      <c r="K72" s="376">
        <f t="shared" si="9"/>
        <v>78416</v>
      </c>
      <c r="L72" s="376">
        <f t="shared" si="9"/>
        <v>80768</v>
      </c>
      <c r="M72" s="376">
        <f t="shared" si="9"/>
        <v>83192</v>
      </c>
      <c r="N72" s="376">
        <f t="shared" si="9"/>
        <v>85688</v>
      </c>
      <c r="O72" s="376">
        <f t="shared" si="9"/>
        <v>88258</v>
      </c>
      <c r="P72" s="376">
        <f t="shared" si="9"/>
        <v>90906</v>
      </c>
      <c r="Q72" s="376">
        <f t="shared" si="9"/>
        <v>93634</v>
      </c>
      <c r="R72" s="376">
        <f t="shared" si="9"/>
        <v>96444</v>
      </c>
      <c r="S72" s="376">
        <f t="shared" si="9"/>
        <v>99338</v>
      </c>
      <c r="T72" s="376">
        <f t="shared" si="9"/>
        <v>102318</v>
      </c>
      <c r="U72" s="376">
        <f t="shared" si="9"/>
        <v>105388</v>
      </c>
      <c r="V72" s="376">
        <f t="shared" si="9"/>
        <v>108550</v>
      </c>
      <c r="W72" s="376">
        <f t="shared" si="9"/>
        <v>111806</v>
      </c>
      <c r="X72" s="376">
        <f t="shared" si="9"/>
        <v>115160</v>
      </c>
      <c r="Y72" s="376">
        <f t="shared" si="9"/>
        <v>118614</v>
      </c>
      <c r="Z72" s="376">
        <f t="shared" si="9"/>
        <v>122172</v>
      </c>
      <c r="AA72" s="376">
        <f t="shared" si="9"/>
        <v>125838</v>
      </c>
      <c r="AB72" s="376">
        <f t="shared" si="9"/>
        <v>129614</v>
      </c>
      <c r="AC72" s="376">
        <f t="shared" si="9"/>
        <v>133502</v>
      </c>
      <c r="AD72" s="376">
        <f t="shared" si="9"/>
        <v>137508</v>
      </c>
      <c r="AE72" s="376">
        <f t="shared" si="9"/>
        <v>141634</v>
      </c>
      <c r="AF72" s="376">
        <f t="shared" si="9"/>
        <v>145884</v>
      </c>
      <c r="AG72" s="376">
        <f t="shared" si="9"/>
        <v>150260</v>
      </c>
    </row>
    <row r="73" spans="1:35" s="371" customFormat="1" ht="11.85" customHeight="1">
      <c r="A73" s="428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5.5793867937854156</v>
      </c>
      <c r="D74" s="379">
        <f t="shared" si="10"/>
        <v>5.7467683975989781</v>
      </c>
      <c r="E74" s="379">
        <f t="shared" si="10"/>
        <v>5.9192221712250728</v>
      </c>
      <c r="F74" s="379">
        <f t="shared" si="10"/>
        <v>6.0967481146636997</v>
      </c>
      <c r="G74" s="379">
        <f t="shared" si="10"/>
        <v>6.2797520014998618</v>
      </c>
      <c r="H74" s="379">
        <f t="shared" si="10"/>
        <v>7.2797810017387095</v>
      </c>
      <c r="I74" s="379">
        <f t="shared" si="10"/>
        <v>7.4980871904700956</v>
      </c>
      <c r="J74" s="379">
        <f t="shared" si="10"/>
        <v>7.7230886433540231</v>
      </c>
      <c r="K74" s="379">
        <f t="shared" si="10"/>
        <v>7.9547853603904937</v>
      </c>
      <c r="L74" s="379">
        <f t="shared" si="10"/>
        <v>8.1933802283720087</v>
      </c>
      <c r="M74" s="379">
        <f t="shared" si="10"/>
        <v>8.4392790208835695</v>
      </c>
      <c r="N74" s="379">
        <f t="shared" si="10"/>
        <v>8.692481737925176</v>
      </c>
      <c r="O74" s="379">
        <f t="shared" si="10"/>
        <v>8.9531912662893305</v>
      </c>
      <c r="P74" s="379">
        <f t="shared" si="10"/>
        <v>9.2218133795610377</v>
      </c>
      <c r="Q74" s="379">
        <f t="shared" si="10"/>
        <v>9.4985509645327912</v>
      </c>
      <c r="R74" s="379">
        <f t="shared" si="10"/>
        <v>9.7836069079971022</v>
      </c>
      <c r="S74" s="379">
        <f t="shared" si="10"/>
        <v>10.077184096746466</v>
      </c>
      <c r="T74" s="379">
        <f t="shared" si="10"/>
        <v>10.379485417573385</v>
      </c>
      <c r="U74" s="379">
        <f t="shared" si="10"/>
        <v>10.690916644062861</v>
      </c>
      <c r="V74" s="379">
        <f t="shared" si="10"/>
        <v>11.011680663007398</v>
      </c>
      <c r="W74" s="379">
        <f t="shared" si="10"/>
        <v>11.341980361199493</v>
      </c>
      <c r="X74" s="379">
        <f t="shared" si="10"/>
        <v>11.682221512224155</v>
      </c>
      <c r="Y74" s="379">
        <f t="shared" si="10"/>
        <v>12.032607002873878</v>
      </c>
      <c r="Z74" s="379">
        <f t="shared" si="10"/>
        <v>12.393542606733668</v>
      </c>
      <c r="AA74" s="379">
        <f t="shared" si="10"/>
        <v>12.765434097388528</v>
      </c>
      <c r="AB74" s="379">
        <f t="shared" si="10"/>
        <v>13.148484361630961</v>
      </c>
      <c r="AC74" s="379">
        <f t="shared" si="10"/>
        <v>13.542896286253466</v>
      </c>
      <c r="AD74" s="379">
        <f t="shared" si="10"/>
        <v>13.949278531633544</v>
      </c>
      <c r="AE74" s="379">
        <f t="shared" si="10"/>
        <v>14.367833984563703</v>
      </c>
      <c r="AF74" s="379">
        <f t="shared" si="10"/>
        <v>14.798968418628936</v>
      </c>
      <c r="AG74" s="379">
        <f t="shared" si="10"/>
        <v>15.242884720621756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17.630056943956038</v>
      </c>
      <c r="D75" s="379">
        <f t="shared" si="11"/>
        <v>19.580528846153847</v>
      </c>
      <c r="E75" s="379">
        <f t="shared" si="11"/>
        <v>19.974849759615385</v>
      </c>
      <c r="F75" s="379">
        <f t="shared" si="11"/>
        <v>20.377124849759614</v>
      </c>
      <c r="G75" s="379">
        <f t="shared" si="11"/>
        <v>20.787514894080534</v>
      </c>
      <c r="H75" s="379">
        <f t="shared" si="11"/>
        <v>21.206183927971008</v>
      </c>
      <c r="I75" s="379">
        <f t="shared" si="11"/>
        <v>21.63329931093951</v>
      </c>
      <c r="J75" s="379">
        <f t="shared" si="11"/>
        <v>22.069031794177615</v>
      </c>
      <c r="K75" s="379">
        <f t="shared" si="11"/>
        <v>22.513555589505962</v>
      </c>
      <c r="L75" s="379">
        <f t="shared" si="11"/>
        <v>22.967048439726998</v>
      </c>
      <c r="M75" s="379">
        <f t="shared" si="11"/>
        <v>23.429691690413225</v>
      </c>
      <c r="N75" s="379">
        <f t="shared" si="11"/>
        <v>23.90167036316047</v>
      </c>
      <c r="O75" s="379">
        <f t="shared" si="11"/>
        <v>24.383173230336137</v>
      </c>
      <c r="P75" s="379">
        <f t="shared" si="11"/>
        <v>24.874392891353125</v>
      </c>
      <c r="Q75" s="379">
        <f t="shared" si="11"/>
        <v>25.375525850500708</v>
      </c>
      <c r="R75" s="379">
        <f t="shared" si="11"/>
        <v>25.886772596364263</v>
      </c>
      <c r="S75" s="379">
        <f t="shared" si="11"/>
        <v>26.408337682866428</v>
      </c>
      <c r="T75" s="379">
        <f t="shared" si="11"/>
        <v>26.940429811963</v>
      </c>
      <c r="U75" s="379">
        <f t="shared" si="11"/>
        <v>27.483261918027488</v>
      </c>
      <c r="V75" s="379">
        <f t="shared" si="11"/>
        <v>28.037051253958904</v>
      </c>
      <c r="W75" s="379">
        <f t="shared" si="11"/>
        <v>28.602019479048209</v>
      </c>
      <c r="X75" s="379">
        <f t="shared" si="11"/>
        <v>29.178392748639556</v>
      </c>
      <c r="Y75" s="379">
        <f t="shared" si="11"/>
        <v>29.766401805622991</v>
      </c>
      <c r="Z75" s="379">
        <f t="shared" si="11"/>
        <v>30.366282073796359</v>
      </c>
      <c r="AA75" s="379">
        <f t="shared" si="11"/>
        <v>30.978273753134715</v>
      </c>
      <c r="AB75" s="379">
        <f t="shared" si="11"/>
        <v>31.60262191700641</v>
      </c>
      <c r="AC75" s="379">
        <f t="shared" si="11"/>
        <v>32.239576611375746</v>
      </c>
      <c r="AD75" s="379">
        <f t="shared" si="11"/>
        <v>32.889392956033213</v>
      </c>
      <c r="AE75" s="379">
        <f t="shared" si="11"/>
        <v>33.552331247894571</v>
      </c>
      <c r="AF75" s="379">
        <f t="shared" si="11"/>
        <v>34.228657066411678</v>
      </c>
      <c r="AG75" s="379">
        <f t="shared" si="11"/>
        <v>34.918641381138102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12.312962962962963</v>
      </c>
      <c r="D76" s="379">
        <f t="shared" si="12"/>
        <v>12.659907407407408</v>
      </c>
      <c r="E76" s="379">
        <f t="shared" si="12"/>
        <v>13.021584074074076</v>
      </c>
      <c r="F76" s="379">
        <f t="shared" si="12"/>
        <v>13.398177462962964</v>
      </c>
      <c r="G76" s="379">
        <f t="shared" si="12"/>
        <v>13.789916332111112</v>
      </c>
      <c r="H76" s="379">
        <f t="shared" si="12"/>
        <v>14.271073984842594</v>
      </c>
      <c r="I76" s="379">
        <f t="shared" si="12"/>
        <v>14.695931531455583</v>
      </c>
      <c r="J76" s="379">
        <f t="shared" si="12"/>
        <v>15.136667088768247</v>
      </c>
      <c r="K76" s="379">
        <f t="shared" si="12"/>
        <v>15.593504251333963</v>
      </c>
      <c r="L76" s="379">
        <f t="shared" si="12"/>
        <v>16.066693908896159</v>
      </c>
      <c r="M76" s="379">
        <f t="shared" si="12"/>
        <v>16.55651459578408</v>
      </c>
      <c r="N76" s="379">
        <f t="shared" si="12"/>
        <v>17.0632172987121</v>
      </c>
      <c r="O76" s="379">
        <f t="shared" si="12"/>
        <v>17.587081390207466</v>
      </c>
      <c r="P76" s="379">
        <f t="shared" si="12"/>
        <v>18.137674280839597</v>
      </c>
      <c r="Q76" s="379">
        <f t="shared" si="12"/>
        <v>18.70603701307688</v>
      </c>
      <c r="R76" s="379">
        <f t="shared" si="12"/>
        <v>19.301740241843319</v>
      </c>
      <c r="S76" s="379">
        <f t="shared" si="12"/>
        <v>19.915847639465078</v>
      </c>
      <c r="T76" s="379">
        <f t="shared" si="12"/>
        <v>20.557953392352662</v>
      </c>
      <c r="U76" s="379">
        <f t="shared" si="12"/>
        <v>21.219164160495513</v>
      </c>
      <c r="V76" s="379">
        <f t="shared" si="12"/>
        <v>21.90909957457745</v>
      </c>
      <c r="W76" s="379">
        <f t="shared" si="12"/>
        <v>22.628133493699288</v>
      </c>
      <c r="X76" s="379">
        <f t="shared" si="12"/>
        <v>23.376672320799234</v>
      </c>
      <c r="Y76" s="379">
        <f t="shared" si="12"/>
        <v>24.155118524745589</v>
      </c>
      <c r="Z76" s="379">
        <f t="shared" si="12"/>
        <v>24.963908258849834</v>
      </c>
      <c r="AA76" s="379">
        <f t="shared" si="12"/>
        <v>25.803493447064202</v>
      </c>
      <c r="AB76" s="379">
        <f t="shared" si="12"/>
        <v>26.674323894348717</v>
      </c>
      <c r="AC76" s="379">
        <f t="shared" si="12"/>
        <v>27.576866459211217</v>
      </c>
      <c r="AD76" s="379">
        <f t="shared" si="12"/>
        <v>28.520902030166518</v>
      </c>
      <c r="AE76" s="379">
        <f t="shared" si="12"/>
        <v>29.497674381234045</v>
      </c>
      <c r="AF76" s="379">
        <f t="shared" si="12"/>
        <v>30.516983500153991</v>
      </c>
      <c r="AG76" s="379">
        <f t="shared" si="12"/>
        <v>31.579371538600778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2.0006613756613758</v>
      </c>
      <c r="D77" s="379">
        <f t="shared" si="13"/>
        <v>2.0606812169312172</v>
      </c>
      <c r="E77" s="379">
        <f t="shared" si="13"/>
        <v>2.1225198412698414</v>
      </c>
      <c r="F77" s="379">
        <f t="shared" si="13"/>
        <v>2.1861772486772488</v>
      </c>
      <c r="G77" s="379">
        <f t="shared" si="13"/>
        <v>2.2517989417989419</v>
      </c>
      <c r="H77" s="379">
        <f t="shared" si="13"/>
        <v>2.6103902116402118</v>
      </c>
      <c r="I77" s="379">
        <f t="shared" si="13"/>
        <v>2.6886706349206353</v>
      </c>
      <c r="J77" s="379">
        <f t="shared" si="13"/>
        <v>2.7693518518518521</v>
      </c>
      <c r="K77" s="379">
        <f t="shared" si="13"/>
        <v>2.8524338624338625</v>
      </c>
      <c r="L77" s="379">
        <f t="shared" si="13"/>
        <v>2.9379894179894182</v>
      </c>
      <c r="M77" s="379">
        <f t="shared" si="13"/>
        <v>3.0261640211640213</v>
      </c>
      <c r="N77" s="379">
        <f t="shared" si="13"/>
        <v>2.5502380952380954</v>
      </c>
      <c r="O77" s="379">
        <f t="shared" si="13"/>
        <v>2.6267261904761909</v>
      </c>
      <c r="P77" s="379">
        <f t="shared" si="13"/>
        <v>2.7055357142857144</v>
      </c>
      <c r="Q77" s="379">
        <f t="shared" si="13"/>
        <v>2.7867261904761911</v>
      </c>
      <c r="R77" s="379">
        <f t="shared" si="13"/>
        <v>2.8703571428571433</v>
      </c>
      <c r="S77" s="379">
        <f t="shared" si="13"/>
        <v>2.9564880952380959</v>
      </c>
      <c r="T77" s="379">
        <f t="shared" si="13"/>
        <v>3.045178571428572</v>
      </c>
      <c r="U77" s="379">
        <f t="shared" si="13"/>
        <v>3.1365476190476196</v>
      </c>
      <c r="V77" s="379">
        <f t="shared" si="13"/>
        <v>3.2306547619047623</v>
      </c>
      <c r="W77" s="379">
        <f t="shared" si="13"/>
        <v>3.3275595238095246</v>
      </c>
      <c r="X77" s="379">
        <f t="shared" si="13"/>
        <v>2.6657407407407412</v>
      </c>
      <c r="Y77" s="379">
        <f t="shared" si="13"/>
        <v>2.7456944444444447</v>
      </c>
      <c r="Z77" s="379">
        <f t="shared" si="13"/>
        <v>2.8280555555555558</v>
      </c>
      <c r="AA77" s="379">
        <f t="shared" si="13"/>
        <v>2.9129166666666668</v>
      </c>
      <c r="AB77" s="379">
        <f t="shared" si="13"/>
        <v>3.000324074074074</v>
      </c>
      <c r="AC77" s="379">
        <f t="shared" si="13"/>
        <v>3.0903240740740743</v>
      </c>
      <c r="AD77" s="379">
        <f t="shared" si="13"/>
        <v>3.1830555555555557</v>
      </c>
      <c r="AE77" s="379">
        <f t="shared" si="13"/>
        <v>3.2785648148148154</v>
      </c>
      <c r="AF77" s="379">
        <f t="shared" si="13"/>
        <v>3.3769444444444452</v>
      </c>
      <c r="AG77" s="379">
        <f t="shared" si="13"/>
        <v>3.4782407407407412</v>
      </c>
    </row>
    <row r="78" spans="1:35" s="352" customFormat="1">
      <c r="A78" s="380" t="s">
        <v>323</v>
      </c>
      <c r="B78" s="352" t="s">
        <v>300</v>
      </c>
      <c r="C78" s="429">
        <f>SUM(C74:C76)-C77</f>
        <v>33.521745325043042</v>
      </c>
      <c r="D78" s="429">
        <f t="shared" ref="D78:AG78" si="14">SUM(D74:D76)-D77</f>
        <v>35.926523434229019</v>
      </c>
      <c r="E78" s="429">
        <f t="shared" si="14"/>
        <v>36.793136163644689</v>
      </c>
      <c r="F78" s="429">
        <f t="shared" si="14"/>
        <v>37.685873178709031</v>
      </c>
      <c r="G78" s="429">
        <f t="shared" si="14"/>
        <v>38.605384285892569</v>
      </c>
      <c r="H78" s="429">
        <f t="shared" si="14"/>
        <v>40.146648702912103</v>
      </c>
      <c r="I78" s="429">
        <f t="shared" si="14"/>
        <v>41.138647397944553</v>
      </c>
      <c r="J78" s="429">
        <f t="shared" si="14"/>
        <v>42.159435674448034</v>
      </c>
      <c r="K78" s="429">
        <f t="shared" si="14"/>
        <v>43.209411338796556</v>
      </c>
      <c r="L78" s="429">
        <f t="shared" si="14"/>
        <v>44.28913315900575</v>
      </c>
      <c r="M78" s="429">
        <f t="shared" si="14"/>
        <v>45.399321285916855</v>
      </c>
      <c r="N78" s="429">
        <f t="shared" si="14"/>
        <v>47.107131304559651</v>
      </c>
      <c r="O78" s="429">
        <f t="shared" si="14"/>
        <v>48.296719696356739</v>
      </c>
      <c r="P78" s="429">
        <f t="shared" si="14"/>
        <v>49.528344837468048</v>
      </c>
      <c r="Q78" s="429">
        <f t="shared" si="14"/>
        <v>50.793387637634183</v>
      </c>
      <c r="R78" s="429">
        <f t="shared" si="14"/>
        <v>52.101762603347538</v>
      </c>
      <c r="S78" s="429">
        <f t="shared" si="14"/>
        <v>53.44488132383988</v>
      </c>
      <c r="T78" s="429">
        <f t="shared" si="14"/>
        <v>54.832690050460478</v>
      </c>
      <c r="U78" s="429">
        <f t="shared" si="14"/>
        <v>56.256795103538238</v>
      </c>
      <c r="V78" s="429">
        <f t="shared" si="14"/>
        <v>57.727176729638998</v>
      </c>
      <c r="W78" s="429">
        <f t="shared" si="14"/>
        <v>59.24457381013746</v>
      </c>
      <c r="X78" s="429">
        <f t="shared" si="14"/>
        <v>61.571545840922198</v>
      </c>
      <c r="Y78" s="429">
        <f t="shared" si="14"/>
        <v>63.208432888798008</v>
      </c>
      <c r="Z78" s="429">
        <f t="shared" si="14"/>
        <v>64.895677383824307</v>
      </c>
      <c r="AA78" s="429">
        <f t="shared" si="14"/>
        <v>66.634284630920789</v>
      </c>
      <c r="AB78" s="429">
        <f t="shared" si="14"/>
        <v>68.425106098912025</v>
      </c>
      <c r="AC78" s="429">
        <f t="shared" si="14"/>
        <v>70.269015282766347</v>
      </c>
      <c r="AD78" s="429">
        <f t="shared" si="14"/>
        <v>72.176517962277714</v>
      </c>
      <c r="AE78" s="429">
        <f t="shared" si="14"/>
        <v>74.139274798877508</v>
      </c>
      <c r="AF78" s="429">
        <f t="shared" si="14"/>
        <v>76.167664540750152</v>
      </c>
      <c r="AG78" s="429">
        <f t="shared" si="14"/>
        <v>78.262656899619898</v>
      </c>
    </row>
    <row r="79" spans="1:35" s="344" customFormat="1">
      <c r="A79" s="342" t="s">
        <v>179</v>
      </c>
      <c r="B79" s="342"/>
      <c r="H79" s="430">
        <f>H81/K58</f>
        <v>656992.57266408228</v>
      </c>
      <c r="AB79" s="430">
        <f>AB81/AE58</f>
        <v>804188.18023019377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00" t="s">
        <v>324</v>
      </c>
      <c r="B81" s="300" t="s">
        <v>309</v>
      </c>
      <c r="C81" s="376">
        <f>'Changing with year'!C93</f>
        <v>3000000</v>
      </c>
      <c r="D81" s="376">
        <f>'Changing with year'!D93</f>
        <v>3090000</v>
      </c>
      <c r="E81" s="376">
        <f>'Changing with year'!E93</f>
        <v>3182700</v>
      </c>
      <c r="F81" s="376">
        <f>'Changing with year'!F93</f>
        <v>3278181</v>
      </c>
      <c r="G81" s="376">
        <f>'Changing with year'!G93</f>
        <v>3376526.43</v>
      </c>
      <c r="H81" s="376">
        <f>'Changing with year'!H93</f>
        <v>3877822.2229000004</v>
      </c>
      <c r="I81" s="376">
        <f>'Changing with year'!I93</f>
        <v>3994156.8895870005</v>
      </c>
      <c r="J81" s="376">
        <f>'Changing with year'!J93</f>
        <v>4113981.5962746106</v>
      </c>
      <c r="K81" s="376">
        <f>'Changing with year'!K93</f>
        <v>4237401.044162849</v>
      </c>
      <c r="L81" s="376">
        <f>'Changing with year'!L93</f>
        <v>4364523.0754877347</v>
      </c>
      <c r="M81" s="376">
        <f>'Changing with year'!M93</f>
        <v>4495458.7677523671</v>
      </c>
      <c r="N81" s="376">
        <f>'Changing with year'!N93</f>
        <v>4630322.5307849385</v>
      </c>
      <c r="O81" s="376">
        <f>'Changing with year'!O93</f>
        <v>4769232.2067084871</v>
      </c>
      <c r="P81" s="376">
        <f>'Changing with year'!P93</f>
        <v>4912309.1729097422</v>
      </c>
      <c r="Q81" s="376">
        <f>'Changing with year'!Q93</f>
        <v>5059678.4480970344</v>
      </c>
      <c r="R81" s="376">
        <f>'Changing with year'!R93</f>
        <v>5211468.8015399454</v>
      </c>
      <c r="S81" s="376">
        <f>'Changing with year'!S93</f>
        <v>5367812.8655861439</v>
      </c>
      <c r="T81" s="376">
        <f>'Changing with year'!T93</f>
        <v>5528847.2515537282</v>
      </c>
      <c r="U81" s="376">
        <f>'Changing with year'!U93</f>
        <v>5694712.6691003405</v>
      </c>
      <c r="V81" s="376">
        <f>'Changing with year'!V93</f>
        <v>5865554.0491733504</v>
      </c>
      <c r="W81" s="376">
        <f>'Changing with year'!W93</f>
        <v>6041520.6706485515</v>
      </c>
      <c r="X81" s="376">
        <f>'Changing with year'!X93</f>
        <v>6222766.2907680087</v>
      </c>
      <c r="Y81" s="376">
        <f>'Changing with year'!Y93</f>
        <v>6409449.2794910492</v>
      </c>
      <c r="Z81" s="376">
        <f>'Changing with year'!Z93</f>
        <v>6601732.7578757806</v>
      </c>
      <c r="AA81" s="376">
        <f>'Changing with year'!AA93</f>
        <v>6799784.7406120542</v>
      </c>
      <c r="AB81" s="376">
        <f>'Changing with year'!AB93</f>
        <v>7003778.2828304162</v>
      </c>
      <c r="AC81" s="376">
        <f>'Changing with year'!AC93</f>
        <v>7213891.6313153291</v>
      </c>
      <c r="AD81" s="376">
        <f>'Changing with year'!AD93</f>
        <v>7430308.3802547893</v>
      </c>
      <c r="AE81" s="376">
        <f>'Changing with year'!AE93</f>
        <v>7653217.631662433</v>
      </c>
      <c r="AF81" s="376">
        <f>'Changing with year'!AF93</f>
        <v>7882814.1606123066</v>
      </c>
      <c r="AG81" s="376">
        <f>'Changing with year'!AG93</f>
        <v>8119298.5854306761</v>
      </c>
    </row>
    <row r="82" spans="1:34">
      <c r="A82" s="300" t="s">
        <v>310</v>
      </c>
      <c r="B82" s="300" t="s">
        <v>309</v>
      </c>
      <c r="C82" s="376">
        <f>(C81*'No change with year'!$AB$5)</f>
        <v>1500000</v>
      </c>
      <c r="D82" s="376">
        <f>(D81*'No change with year'!$AB$5)</f>
        <v>1545000</v>
      </c>
      <c r="E82" s="376">
        <f>(E81*'No change with year'!$AB$5)</f>
        <v>1591350</v>
      </c>
      <c r="F82" s="376">
        <f>(F81*'No change with year'!$AB$5)</f>
        <v>1639090.5</v>
      </c>
      <c r="G82" s="376">
        <f>(G81*'No change with year'!$AB$5)</f>
        <v>1688263.2150000001</v>
      </c>
      <c r="H82" s="376">
        <f>(H81*'No change with year'!$AB$5)</f>
        <v>1938911.1114500002</v>
      </c>
      <c r="I82" s="376">
        <f>(I81*'No change with year'!$AB$5)</f>
        <v>1997078.4447935002</v>
      </c>
      <c r="J82" s="376">
        <f>(J81*'No change with year'!$AB$5)</f>
        <v>2056990.7981373053</v>
      </c>
      <c r="K82" s="376">
        <f>(K81*'No change with year'!$AB$5)</f>
        <v>2118700.5220814245</v>
      </c>
      <c r="L82" s="376">
        <f>(L81*'No change with year'!$AB$5)</f>
        <v>2182261.5377438674</v>
      </c>
      <c r="M82" s="376">
        <f>(M81*'No change with year'!$AB$5)</f>
        <v>2247729.3838761835</v>
      </c>
      <c r="N82" s="376">
        <f>(N81*'No change with year'!$AC$5)</f>
        <v>1852129.0123139757</v>
      </c>
      <c r="O82" s="376">
        <f>(O81*'No change with year'!$AC$5)</f>
        <v>1907692.8826833952</v>
      </c>
      <c r="P82" s="376">
        <f>(P81*'No change with year'!$AC$5)</f>
        <v>1964923.6691638972</v>
      </c>
      <c r="Q82" s="376">
        <f>(Q81*'No change with year'!$AC$5)</f>
        <v>2023871.3792388141</v>
      </c>
      <c r="R82" s="376">
        <f>(R81*'No change with year'!$AC$5)</f>
        <v>2084587.5206159786</v>
      </c>
      <c r="S82" s="376">
        <f>(S81*'No change with year'!$AC$5)</f>
        <v>2147125.1462344578</v>
      </c>
      <c r="T82" s="376">
        <f>(T81*'No change with year'!$AC$5)</f>
        <v>2211538.900621492</v>
      </c>
      <c r="U82" s="376">
        <f>(U81*'No change with year'!$AC$5)</f>
        <v>2277885.0676401365</v>
      </c>
      <c r="V82" s="376">
        <f>(V81*'No change with year'!$AC$5)</f>
        <v>2346221.6196693406</v>
      </c>
      <c r="W82" s="376">
        <f>(W81*'No change with year'!$AC$5)</f>
        <v>2416608.268259421</v>
      </c>
      <c r="X82" s="376">
        <f>(X81*'No change with year'!$AD$5)</f>
        <v>1866829.8872304028</v>
      </c>
      <c r="Y82" s="376">
        <f>(Y81*'No change with year'!$AD$5)</f>
        <v>1922834.783847315</v>
      </c>
      <c r="Z82" s="376">
        <f>(Z81*'No change with year'!$AD$5)</f>
        <v>1980519.8273627344</v>
      </c>
      <c r="AA82" s="376">
        <f>(AA81*'No change with year'!$AD$5)</f>
        <v>2039935.4221836166</v>
      </c>
      <c r="AB82" s="376">
        <f>(AB81*'No change with year'!$AD$5)</f>
        <v>2101133.4848491251</v>
      </c>
      <c r="AC82" s="376">
        <f>(AC81*'No change with year'!$AD$5)</f>
        <v>2164167.4893945991</v>
      </c>
      <c r="AD82" s="376">
        <f>(AD81*'No change with year'!$AD$5)</f>
        <v>2229092.5140764373</v>
      </c>
      <c r="AE82" s="376">
        <f>(AE81*'No change with year'!$AD$5)</f>
        <v>2295965.2894987301</v>
      </c>
      <c r="AF82" s="376">
        <f>(AF81*'No change with year'!$AD$5)</f>
        <v>2364844.2481836923</v>
      </c>
      <c r="AG82" s="376">
        <f>(AG81*'No change with year'!$AD$5)</f>
        <v>2435789.5756292031</v>
      </c>
    </row>
    <row r="83" spans="1:34" s="371" customFormat="1" ht="11.85" customHeight="1">
      <c r="A83" s="428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00" t="s">
        <v>312</v>
      </c>
      <c r="B84" s="300" t="s">
        <v>313</v>
      </c>
      <c r="C84" s="376">
        <f t="shared" ref="C84:AG84" si="16">-PMT($C$26,$C$25,C81)</f>
        <v>657353.20770417259</v>
      </c>
      <c r="D84" s="376">
        <f t="shared" si="16"/>
        <v>677073.80393529788</v>
      </c>
      <c r="E84" s="376">
        <f t="shared" si="16"/>
        <v>697386.01805335679</v>
      </c>
      <c r="F84" s="376">
        <f t="shared" si="16"/>
        <v>718307.5985949575</v>
      </c>
      <c r="G84" s="376">
        <f t="shared" si="16"/>
        <v>739856.82655280619</v>
      </c>
      <c r="H84" s="376">
        <f t="shared" si="16"/>
        <v>849699.62570994685</v>
      </c>
      <c r="I84" s="376">
        <f t="shared" si="16"/>
        <v>875190.61448124517</v>
      </c>
      <c r="J84" s="376">
        <f t="shared" si="16"/>
        <v>901446.33291568258</v>
      </c>
      <c r="K84" s="376">
        <f t="shared" si="16"/>
        <v>928489.72290315304</v>
      </c>
      <c r="L84" s="376">
        <f t="shared" si="16"/>
        <v>956344.41459024779</v>
      </c>
      <c r="M84" s="376">
        <f t="shared" si="16"/>
        <v>985034.74702795513</v>
      </c>
      <c r="N84" s="376">
        <f t="shared" si="16"/>
        <v>1014585.789438794</v>
      </c>
      <c r="O84" s="376">
        <f t="shared" si="16"/>
        <v>1045023.3631219579</v>
      </c>
      <c r="P84" s="376">
        <f t="shared" si="16"/>
        <v>1076374.0640156167</v>
      </c>
      <c r="Q84" s="376">
        <f t="shared" si="16"/>
        <v>1108665.285936085</v>
      </c>
      <c r="R84" s="376">
        <f t="shared" si="16"/>
        <v>1141925.2445141678</v>
      </c>
      <c r="S84" s="376">
        <f t="shared" si="16"/>
        <v>1176183.0018495927</v>
      </c>
      <c r="T84" s="376">
        <f t="shared" si="16"/>
        <v>1211468.4919050806</v>
      </c>
      <c r="U84" s="376">
        <f t="shared" si="16"/>
        <v>1247812.5466622331</v>
      </c>
      <c r="V84" s="376">
        <f t="shared" si="16"/>
        <v>1285246.9230621001</v>
      </c>
      <c r="W84" s="376">
        <f t="shared" si="16"/>
        <v>1323804.3307539632</v>
      </c>
      <c r="X84" s="376">
        <f t="shared" si="16"/>
        <v>1363518.4606765821</v>
      </c>
      <c r="Y84" s="376">
        <f t="shared" si="16"/>
        <v>1404424.0144968797</v>
      </c>
      <c r="Z84" s="376">
        <f t="shared" si="16"/>
        <v>1446556.7349317861</v>
      </c>
      <c r="AA84" s="376">
        <f t="shared" si="16"/>
        <v>1489953.4369797397</v>
      </c>
      <c r="AB84" s="376">
        <f t="shared" si="16"/>
        <v>1534652.040089132</v>
      </c>
      <c r="AC84" s="376">
        <f t="shared" si="16"/>
        <v>1580691.6012918062</v>
      </c>
      <c r="AD84" s="376">
        <f t="shared" si="16"/>
        <v>1628112.3493305603</v>
      </c>
      <c r="AE84" s="376">
        <f t="shared" si="16"/>
        <v>1676955.719810477</v>
      </c>
      <c r="AF84" s="376">
        <f t="shared" si="16"/>
        <v>1727264.3914047917</v>
      </c>
      <c r="AG84" s="376">
        <f t="shared" si="16"/>
        <v>1779082.3231469353</v>
      </c>
    </row>
    <row r="85" spans="1:34">
      <c r="A85" s="300" t="s">
        <v>321</v>
      </c>
      <c r="B85" s="300" t="s">
        <v>309</v>
      </c>
      <c r="C85" s="376">
        <f t="shared" ref="C85:AG85" si="17">C43*$D$37</f>
        <v>1740000</v>
      </c>
      <c r="D85" s="376">
        <f t="shared" si="17"/>
        <v>1830000</v>
      </c>
      <c r="E85" s="376">
        <f t="shared" si="17"/>
        <v>1884900</v>
      </c>
      <c r="F85" s="376">
        <f t="shared" si="17"/>
        <v>1941447</v>
      </c>
      <c r="G85" s="376">
        <f t="shared" si="17"/>
        <v>1999690.4100000001</v>
      </c>
      <c r="H85" s="376">
        <f t="shared" si="17"/>
        <v>2059681.1222999999</v>
      </c>
      <c r="I85" s="376">
        <f t="shared" si="17"/>
        <v>2121471.5559689999</v>
      </c>
      <c r="J85" s="376">
        <f t="shared" si="17"/>
        <v>2185115.7026480702</v>
      </c>
      <c r="K85" s="376">
        <f t="shared" si="17"/>
        <v>2250669.1737275124</v>
      </c>
      <c r="L85" s="376">
        <f t="shared" si="17"/>
        <v>2318189.2489393377</v>
      </c>
      <c r="M85" s="376">
        <f t="shared" si="17"/>
        <v>2387734.9264075179</v>
      </c>
      <c r="N85" s="376">
        <f t="shared" si="17"/>
        <v>2459366.9741997435</v>
      </c>
      <c r="O85" s="376">
        <f t="shared" si="17"/>
        <v>2533147.9834257355</v>
      </c>
      <c r="P85" s="376">
        <f t="shared" si="17"/>
        <v>2609142.4229285074</v>
      </c>
      <c r="Q85" s="376">
        <f t="shared" si="17"/>
        <v>2687416.6956163631</v>
      </c>
      <c r="R85" s="376">
        <f t="shared" si="17"/>
        <v>2768039.1964848535</v>
      </c>
      <c r="S85" s="376">
        <f t="shared" si="17"/>
        <v>2851080.3723793994</v>
      </c>
      <c r="T85" s="376">
        <f t="shared" si="17"/>
        <v>2936612.7835507812</v>
      </c>
      <c r="U85" s="376">
        <f t="shared" si="17"/>
        <v>3024711.1670573046</v>
      </c>
      <c r="V85" s="376">
        <f t="shared" si="17"/>
        <v>3115452.5020690239</v>
      </c>
      <c r="W85" s="376">
        <f t="shared" si="17"/>
        <v>3208916.0771310949</v>
      </c>
      <c r="X85" s="376">
        <f t="shared" si="17"/>
        <v>3305183.5594450273</v>
      </c>
      <c r="Y85" s="376">
        <f t="shared" si="17"/>
        <v>3404339.0662283781</v>
      </c>
      <c r="Z85" s="376">
        <f t="shared" si="17"/>
        <v>3506469.2382152295</v>
      </c>
      <c r="AA85" s="376">
        <f t="shared" si="17"/>
        <v>3611663.3153616861</v>
      </c>
      <c r="AB85" s="376">
        <f t="shared" si="17"/>
        <v>3720013.2148225368</v>
      </c>
      <c r="AC85" s="376">
        <f t="shared" si="17"/>
        <v>3831613.6112672132</v>
      </c>
      <c r="AD85" s="376">
        <f t="shared" si="17"/>
        <v>3946562.0196052301</v>
      </c>
      <c r="AE85" s="376">
        <f t="shared" si="17"/>
        <v>4064958.8801933867</v>
      </c>
      <c r="AF85" s="376">
        <f t="shared" si="17"/>
        <v>4186907.6465991884</v>
      </c>
      <c r="AG85" s="376">
        <f t="shared" si="17"/>
        <v>4312514.8759971643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356400</v>
      </c>
      <c r="D86" s="376">
        <f t="shared" si="18"/>
        <v>370656</v>
      </c>
      <c r="E86" s="376">
        <f t="shared" si="18"/>
        <v>385482.24000000005</v>
      </c>
      <c r="F86" s="376">
        <f t="shared" si="18"/>
        <v>400901.52960000001</v>
      </c>
      <c r="G86" s="376">
        <f t="shared" si="18"/>
        <v>416937.59078400006</v>
      </c>
      <c r="H86" s="376">
        <f t="shared" si="18"/>
        <v>433615.09441536001</v>
      </c>
      <c r="I86" s="376">
        <f t="shared" si="18"/>
        <v>450959.69819197449</v>
      </c>
      <c r="J86" s="376">
        <f t="shared" si="18"/>
        <v>468998.08611965342</v>
      </c>
      <c r="K86" s="376">
        <f t="shared" si="18"/>
        <v>487758.00956443953</v>
      </c>
      <c r="L86" s="376">
        <f t="shared" si="18"/>
        <v>507268.32994701713</v>
      </c>
      <c r="M86" s="376">
        <f t="shared" si="18"/>
        <v>527559.06314489793</v>
      </c>
      <c r="N86" s="376">
        <f t="shared" si="18"/>
        <v>548661.42567069386</v>
      </c>
      <c r="O86" s="376">
        <f t="shared" si="18"/>
        <v>570607.88269752159</v>
      </c>
      <c r="P86" s="376">
        <f t="shared" si="18"/>
        <v>593432.19800542248</v>
      </c>
      <c r="Q86" s="376">
        <f t="shared" si="18"/>
        <v>617169.48592563928</v>
      </c>
      <c r="R86" s="376">
        <f t="shared" si="18"/>
        <v>641856.26536266506</v>
      </c>
      <c r="S86" s="376">
        <f t="shared" si="18"/>
        <v>667530.5159771716</v>
      </c>
      <c r="T86" s="376">
        <f t="shared" si="18"/>
        <v>694231.73661625851</v>
      </c>
      <c r="U86" s="376">
        <f t="shared" si="18"/>
        <v>722001.00608090882</v>
      </c>
      <c r="V86" s="376">
        <f t="shared" si="18"/>
        <v>750881.04632414528</v>
      </c>
      <c r="W86" s="376">
        <f t="shared" si="18"/>
        <v>780916.28817711107</v>
      </c>
      <c r="X86" s="376">
        <f t="shared" si="18"/>
        <v>812152.93970419536</v>
      </c>
      <c r="Y86" s="376">
        <f t="shared" si="18"/>
        <v>844639.05729236337</v>
      </c>
      <c r="Z86" s="376">
        <f t="shared" si="18"/>
        <v>878424.61958405795</v>
      </c>
      <c r="AA86" s="376">
        <f t="shared" si="18"/>
        <v>913561.60436742019</v>
      </c>
      <c r="AB86" s="376">
        <f t="shared" si="18"/>
        <v>950104.06854211714</v>
      </c>
      <c r="AC86" s="376">
        <f t="shared" si="18"/>
        <v>988108.23128380207</v>
      </c>
      <c r="AD86" s="376">
        <f t="shared" si="18"/>
        <v>1027632.5605351541</v>
      </c>
      <c r="AE86" s="376">
        <f t="shared" si="18"/>
        <v>1068737.86295656</v>
      </c>
      <c r="AF86" s="376">
        <f t="shared" si="18"/>
        <v>1111487.3774748226</v>
      </c>
      <c r="AG86" s="376">
        <f t="shared" si="18"/>
        <v>1155946.8725738155</v>
      </c>
    </row>
    <row r="87" spans="1:34">
      <c r="A87" s="300" t="s">
        <v>318</v>
      </c>
      <c r="B87" s="300" t="s">
        <v>313</v>
      </c>
      <c r="C87" s="376">
        <f>'Changing with year'!C288</f>
        <v>400000</v>
      </c>
      <c r="D87" s="376">
        <f>'Changing with year'!D288</f>
        <v>418000</v>
      </c>
      <c r="E87" s="376">
        <f>'Changing with year'!E288</f>
        <v>437000</v>
      </c>
      <c r="F87" s="376">
        <f>'Changing with year'!F288</f>
        <v>457000</v>
      </c>
      <c r="G87" s="376">
        <f>'Changing with year'!G288</f>
        <v>478000</v>
      </c>
      <c r="H87" s="376">
        <f>'Changing with year'!H288</f>
        <v>500000</v>
      </c>
      <c r="I87" s="376">
        <f>'Changing with year'!I288</f>
        <v>523000</v>
      </c>
      <c r="J87" s="376">
        <f>'Changing with year'!J288</f>
        <v>547000</v>
      </c>
      <c r="K87" s="376">
        <f>'Changing with year'!K288</f>
        <v>572000</v>
      </c>
      <c r="L87" s="376">
        <f>'Changing with year'!L288</f>
        <v>598000</v>
      </c>
      <c r="M87" s="376">
        <f>'Changing with year'!M288</f>
        <v>625000</v>
      </c>
      <c r="N87" s="376">
        <f>'Changing with year'!N288</f>
        <v>653000</v>
      </c>
      <c r="O87" s="376">
        <f>'Changing with year'!O288</f>
        <v>682000</v>
      </c>
      <c r="P87" s="376">
        <f>'Changing with year'!P288</f>
        <v>713000</v>
      </c>
      <c r="Q87" s="376">
        <f>'Changing with year'!Q288</f>
        <v>745000</v>
      </c>
      <c r="R87" s="376">
        <f>'Changing with year'!R288</f>
        <v>779000</v>
      </c>
      <c r="S87" s="376">
        <f>'Changing with year'!S288</f>
        <v>814000</v>
      </c>
      <c r="T87" s="376">
        <f>'Changing with year'!T288</f>
        <v>851000</v>
      </c>
      <c r="U87" s="376">
        <f>'Changing with year'!U288</f>
        <v>889000</v>
      </c>
      <c r="V87" s="376">
        <f>'Changing with year'!V288</f>
        <v>929000</v>
      </c>
      <c r="W87" s="376">
        <f>'Changing with year'!W288</f>
        <v>971000</v>
      </c>
      <c r="X87" s="376">
        <f>'Changing with year'!X288</f>
        <v>1015000</v>
      </c>
      <c r="Y87" s="376">
        <f>'Changing with year'!Y288</f>
        <v>1061000</v>
      </c>
      <c r="Z87" s="376">
        <f>'Changing with year'!Z288</f>
        <v>1109000</v>
      </c>
      <c r="AA87" s="376">
        <f>'Changing with year'!AA288</f>
        <v>1159000</v>
      </c>
      <c r="AB87" s="376">
        <f>'Changing with year'!AB288</f>
        <v>1211000</v>
      </c>
      <c r="AC87" s="376">
        <f>'Changing with year'!AC288</f>
        <v>1265000</v>
      </c>
      <c r="AD87" s="376">
        <f>'Changing with year'!AD288</f>
        <v>1322000</v>
      </c>
      <c r="AE87" s="376">
        <f>'Changing with year'!AE288</f>
        <v>1381000</v>
      </c>
      <c r="AF87" s="376">
        <f>'Changing with year'!AF288</f>
        <v>1443000</v>
      </c>
      <c r="AG87" s="376">
        <f>'Changing with year'!AG288</f>
        <v>1508000</v>
      </c>
      <c r="AH87" s="339"/>
    </row>
    <row r="88" spans="1:34">
      <c r="A88" s="300" t="s">
        <v>272</v>
      </c>
      <c r="B88" s="300" t="s">
        <v>313</v>
      </c>
      <c r="C88" s="376">
        <f t="shared" ref="C88:AG88" si="19">C59</f>
        <v>572400</v>
      </c>
      <c r="D88" s="376">
        <f t="shared" si="19"/>
        <v>578124</v>
      </c>
      <c r="E88" s="376">
        <f t="shared" si="19"/>
        <v>583905.24</v>
      </c>
      <c r="F88" s="376">
        <f t="shared" si="19"/>
        <v>589744.29240000003</v>
      </c>
      <c r="G88" s="376">
        <f t="shared" si="19"/>
        <v>595641.73532400001</v>
      </c>
      <c r="H88" s="376">
        <f t="shared" si="19"/>
        <v>601598.15267724008</v>
      </c>
      <c r="I88" s="376">
        <f t="shared" si="19"/>
        <v>607614.13420401246</v>
      </c>
      <c r="J88" s="376">
        <f t="shared" si="19"/>
        <v>613690.27554605249</v>
      </c>
      <c r="K88" s="376">
        <f t="shared" si="19"/>
        <v>619827.17830151308</v>
      </c>
      <c r="L88" s="376">
        <f t="shared" si="19"/>
        <v>626025.45008452807</v>
      </c>
      <c r="M88" s="376">
        <f t="shared" si="19"/>
        <v>632285.7045853734</v>
      </c>
      <c r="N88" s="376">
        <f t="shared" si="19"/>
        <v>638608.56163122714</v>
      </c>
      <c r="O88" s="376">
        <f t="shared" si="19"/>
        <v>644994.64724753937</v>
      </c>
      <c r="P88" s="376">
        <f t="shared" si="19"/>
        <v>651444.59372001479</v>
      </c>
      <c r="Q88" s="376">
        <f t="shared" si="19"/>
        <v>657959.03965721501</v>
      </c>
      <c r="R88" s="376">
        <f t="shared" si="19"/>
        <v>664538.63005378714</v>
      </c>
      <c r="S88" s="376">
        <f t="shared" si="19"/>
        <v>671184.01635432511</v>
      </c>
      <c r="T88" s="376">
        <f t="shared" si="19"/>
        <v>677895.85651786823</v>
      </c>
      <c r="U88" s="376">
        <f t="shared" si="19"/>
        <v>684674.81508304703</v>
      </c>
      <c r="V88" s="376">
        <f t="shared" si="19"/>
        <v>691521.56323387753</v>
      </c>
      <c r="W88" s="376">
        <f t="shared" si="19"/>
        <v>698436.77886621631</v>
      </c>
      <c r="X88" s="376">
        <f t="shared" si="19"/>
        <v>705421.14665487851</v>
      </c>
      <c r="Y88" s="376">
        <f t="shared" si="19"/>
        <v>712475.35812142724</v>
      </c>
      <c r="Z88" s="376">
        <f t="shared" si="19"/>
        <v>719600.11170264147</v>
      </c>
      <c r="AA88" s="376">
        <f t="shared" si="19"/>
        <v>726796.11281966791</v>
      </c>
      <c r="AB88" s="376">
        <f t="shared" si="19"/>
        <v>734064.0739478647</v>
      </c>
      <c r="AC88" s="376">
        <f t="shared" si="19"/>
        <v>741404.71468734322</v>
      </c>
      <c r="AD88" s="376">
        <f t="shared" si="19"/>
        <v>748818.76183421677</v>
      </c>
      <c r="AE88" s="376">
        <f t="shared" si="19"/>
        <v>756306.94945255888</v>
      </c>
      <c r="AF88" s="376">
        <f t="shared" si="19"/>
        <v>763870.01894708455</v>
      </c>
      <c r="AG88" s="376">
        <f t="shared" si="19"/>
        <v>771508.71913655533</v>
      </c>
    </row>
    <row r="89" spans="1:34">
      <c r="A89" s="300" t="s">
        <v>319</v>
      </c>
      <c r="B89" s="300" t="s">
        <v>309</v>
      </c>
      <c r="C89" s="376">
        <f t="shared" ref="C89:AG89" si="20">C81*$C$29</f>
        <v>60000</v>
      </c>
      <c r="D89" s="376">
        <f t="shared" si="20"/>
        <v>61800</v>
      </c>
      <c r="E89" s="376">
        <f t="shared" si="20"/>
        <v>63654</v>
      </c>
      <c r="F89" s="376">
        <f t="shared" si="20"/>
        <v>65563.62</v>
      </c>
      <c r="G89" s="376">
        <f t="shared" si="20"/>
        <v>67530.528600000005</v>
      </c>
      <c r="H89" s="376">
        <f t="shared" si="20"/>
        <v>77556.444458000013</v>
      </c>
      <c r="I89" s="376">
        <f t="shared" si="20"/>
        <v>79883.13779174001</v>
      </c>
      <c r="J89" s="376">
        <f t="shared" si="20"/>
        <v>82279.631925492213</v>
      </c>
      <c r="K89" s="376">
        <f t="shared" si="20"/>
        <v>84748.020883256977</v>
      </c>
      <c r="L89" s="376">
        <f t="shared" si="20"/>
        <v>87290.461509754692</v>
      </c>
      <c r="M89" s="376">
        <f t="shared" si="20"/>
        <v>89909.175355047337</v>
      </c>
      <c r="N89" s="376">
        <f t="shared" si="20"/>
        <v>92606.450615698777</v>
      </c>
      <c r="O89" s="376">
        <f t="shared" si="20"/>
        <v>95384.64413416975</v>
      </c>
      <c r="P89" s="376">
        <f t="shared" si="20"/>
        <v>98246.18345819485</v>
      </c>
      <c r="Q89" s="376">
        <f t="shared" si="20"/>
        <v>101193.56896194069</v>
      </c>
      <c r="R89" s="376">
        <f t="shared" si="20"/>
        <v>104229.37603079891</v>
      </c>
      <c r="S89" s="376">
        <f t="shared" si="20"/>
        <v>107356.25731172287</v>
      </c>
      <c r="T89" s="376">
        <f t="shared" si="20"/>
        <v>110576.94503107457</v>
      </c>
      <c r="U89" s="376">
        <f t="shared" si="20"/>
        <v>113894.25338200681</v>
      </c>
      <c r="V89" s="376">
        <f t="shared" si="20"/>
        <v>117311.08098346701</v>
      </c>
      <c r="W89" s="376">
        <f t="shared" si="20"/>
        <v>120830.41341297103</v>
      </c>
      <c r="X89" s="376">
        <f t="shared" si="20"/>
        <v>124455.32581536018</v>
      </c>
      <c r="Y89" s="376">
        <f t="shared" si="20"/>
        <v>128188.98558982099</v>
      </c>
      <c r="Z89" s="376">
        <f t="shared" si="20"/>
        <v>132034.6551575156</v>
      </c>
      <c r="AA89" s="376">
        <f t="shared" si="20"/>
        <v>135995.6948122411</v>
      </c>
      <c r="AB89" s="376">
        <f t="shared" si="20"/>
        <v>140075.56565660832</v>
      </c>
      <c r="AC89" s="376">
        <f t="shared" si="20"/>
        <v>144277.8326263066</v>
      </c>
      <c r="AD89" s="376">
        <f t="shared" si="20"/>
        <v>148606.16760509578</v>
      </c>
      <c r="AE89" s="376">
        <f t="shared" si="20"/>
        <v>153064.35263324867</v>
      </c>
      <c r="AF89" s="376">
        <f t="shared" si="20"/>
        <v>157656.28321224614</v>
      </c>
      <c r="AG89" s="376">
        <f t="shared" si="20"/>
        <v>162385.97170861354</v>
      </c>
    </row>
    <row r="90" spans="1:34" s="371" customFormat="1" ht="11.85" customHeight="1">
      <c r="A90" s="428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6.0866037750386353</v>
      </c>
      <c r="D91" s="379">
        <f t="shared" si="21"/>
        <v>6.2692018882897953</v>
      </c>
      <c r="E91" s="379">
        <f t="shared" si="21"/>
        <v>6.4572779449384887</v>
      </c>
      <c r="F91" s="379">
        <f t="shared" si="21"/>
        <v>6.6509962832866432</v>
      </c>
      <c r="G91" s="379">
        <f t="shared" si="21"/>
        <v>6.8505261717852424</v>
      </c>
      <c r="H91" s="379">
        <f t="shared" si="21"/>
        <v>7.867589126943952</v>
      </c>
      <c r="I91" s="379">
        <f t="shared" si="21"/>
        <v>8.1036168007522704</v>
      </c>
      <c r="J91" s="379">
        <f t="shared" si="21"/>
        <v>8.3467253047748393</v>
      </c>
      <c r="K91" s="379">
        <f t="shared" si="21"/>
        <v>8.5971270639180837</v>
      </c>
      <c r="L91" s="379">
        <f t="shared" si="21"/>
        <v>8.8550408758356269</v>
      </c>
      <c r="M91" s="379">
        <f t="shared" si="21"/>
        <v>9.120692102110695</v>
      </c>
      <c r="N91" s="379">
        <f t="shared" si="21"/>
        <v>9.3943128651740189</v>
      </c>
      <c r="O91" s="379">
        <f t="shared" si="21"/>
        <v>9.6761422511292388</v>
      </c>
      <c r="P91" s="379">
        <f t="shared" si="21"/>
        <v>9.966426518663118</v>
      </c>
      <c r="Q91" s="379">
        <f t="shared" si="21"/>
        <v>10.26541931422301</v>
      </c>
      <c r="R91" s="379">
        <f t="shared" si="21"/>
        <v>10.573381893649701</v>
      </c>
      <c r="S91" s="379">
        <f t="shared" si="21"/>
        <v>10.890583350459192</v>
      </c>
      <c r="T91" s="379">
        <f t="shared" si="21"/>
        <v>11.217300850972968</v>
      </c>
      <c r="U91" s="379">
        <f t="shared" si="21"/>
        <v>11.553819876502159</v>
      </c>
      <c r="V91" s="379">
        <f t="shared" si="21"/>
        <v>11.900434472797222</v>
      </c>
      <c r="W91" s="379">
        <f t="shared" si="21"/>
        <v>12.257447506981141</v>
      </c>
      <c r="X91" s="379">
        <f t="shared" si="21"/>
        <v>12.625170932190574</v>
      </c>
      <c r="Y91" s="379">
        <f t="shared" si="21"/>
        <v>13.003926060156292</v>
      </c>
      <c r="Z91" s="379">
        <f t="shared" si="21"/>
        <v>13.394043841960983</v>
      </c>
      <c r="AA91" s="379">
        <f t="shared" si="21"/>
        <v>13.795865157219811</v>
      </c>
      <c r="AB91" s="379">
        <f t="shared" si="21"/>
        <v>14.209741111936408</v>
      </c>
      <c r="AC91" s="379">
        <f t="shared" si="21"/>
        <v>14.636033345294502</v>
      </c>
      <c r="AD91" s="379">
        <f t="shared" si="21"/>
        <v>15.075114345653336</v>
      </c>
      <c r="AE91" s="379">
        <f t="shared" si="21"/>
        <v>15.527367776022935</v>
      </c>
      <c r="AF91" s="379">
        <f t="shared" si="21"/>
        <v>15.993188809303627</v>
      </c>
      <c r="AG91" s="379">
        <f t="shared" si="21"/>
        <v>16.472984473582734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16.111111111111111</v>
      </c>
      <c r="D92" s="379">
        <f t="shared" si="22"/>
        <v>16.944444444444443</v>
      </c>
      <c r="E92" s="379">
        <f t="shared" si="22"/>
        <v>17.452777777777779</v>
      </c>
      <c r="F92" s="379">
        <f t="shared" si="22"/>
        <v>17.97636111111111</v>
      </c>
      <c r="G92" s="379">
        <f t="shared" si="22"/>
        <v>18.515651944444446</v>
      </c>
      <c r="H92" s="379">
        <f t="shared" si="22"/>
        <v>19.071121502777778</v>
      </c>
      <c r="I92" s="379">
        <f t="shared" si="22"/>
        <v>19.643255147861108</v>
      </c>
      <c r="J92" s="379">
        <f t="shared" si="22"/>
        <v>20.232552802296947</v>
      </c>
      <c r="K92" s="379">
        <f t="shared" si="22"/>
        <v>20.839529386365854</v>
      </c>
      <c r="L92" s="379">
        <f t="shared" si="22"/>
        <v>21.46471526795683</v>
      </c>
      <c r="M92" s="379">
        <f t="shared" si="22"/>
        <v>22.108656725995537</v>
      </c>
      <c r="N92" s="379">
        <f t="shared" si="22"/>
        <v>22.771916427775402</v>
      </c>
      <c r="O92" s="379">
        <f t="shared" si="22"/>
        <v>23.455073920608662</v>
      </c>
      <c r="P92" s="379">
        <f t="shared" si="22"/>
        <v>24.158726138226921</v>
      </c>
      <c r="Q92" s="379">
        <f t="shared" si="22"/>
        <v>24.883487922373732</v>
      </c>
      <c r="R92" s="379">
        <f t="shared" si="22"/>
        <v>25.62999256004494</v>
      </c>
      <c r="S92" s="379">
        <f t="shared" si="22"/>
        <v>26.398892336846291</v>
      </c>
      <c r="T92" s="379">
        <f t="shared" si="22"/>
        <v>27.190859106951677</v>
      </c>
      <c r="U92" s="379">
        <f t="shared" si="22"/>
        <v>28.006584880160229</v>
      </c>
      <c r="V92" s="379">
        <f t="shared" si="22"/>
        <v>28.846782426565035</v>
      </c>
      <c r="W92" s="379">
        <f t="shared" si="22"/>
        <v>29.712185899361991</v>
      </c>
      <c r="X92" s="379">
        <f t="shared" si="22"/>
        <v>30.603551476342844</v>
      </c>
      <c r="Y92" s="379">
        <f t="shared" si="22"/>
        <v>31.521658020633129</v>
      </c>
      <c r="Z92" s="379">
        <f t="shared" si="22"/>
        <v>32.467307761252123</v>
      </c>
      <c r="AA92" s="379">
        <f t="shared" si="22"/>
        <v>33.441326994089685</v>
      </c>
      <c r="AB92" s="379">
        <f t="shared" si="22"/>
        <v>34.44456680391238</v>
      </c>
      <c r="AC92" s="379">
        <f t="shared" si="22"/>
        <v>35.477903808029751</v>
      </c>
      <c r="AD92" s="379">
        <f t="shared" si="22"/>
        <v>36.542240922270651</v>
      </c>
      <c r="AE92" s="379">
        <f t="shared" si="22"/>
        <v>37.638508149938765</v>
      </c>
      <c r="AF92" s="379">
        <f t="shared" si="22"/>
        <v>38.76766339443693</v>
      </c>
      <c r="AG92" s="379">
        <f t="shared" si="22"/>
        <v>39.930693296270043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12.859259259259259</v>
      </c>
      <c r="D93" s="379">
        <f t="shared" si="23"/>
        <v>13.227592592592593</v>
      </c>
      <c r="E93" s="379">
        <f t="shared" si="23"/>
        <v>13.611495185185184</v>
      </c>
      <c r="F93" s="379">
        <f t="shared" si="23"/>
        <v>14.011198537037039</v>
      </c>
      <c r="G93" s="379">
        <f t="shared" si="23"/>
        <v>14.426943099148149</v>
      </c>
      <c r="H93" s="379">
        <f t="shared" si="23"/>
        <v>14.933052699542591</v>
      </c>
      <c r="I93" s="379">
        <f t="shared" si="23"/>
        <v>15.383860835071548</v>
      </c>
      <c r="J93" s="379">
        <f t="shared" si="23"/>
        <v>15.851555496214798</v>
      </c>
      <c r="K93" s="379">
        <f t="shared" si="23"/>
        <v>16.336418599529718</v>
      </c>
      <c r="L93" s="379">
        <f t="shared" si="23"/>
        <v>16.838742977234258</v>
      </c>
      <c r="M93" s="379">
        <f t="shared" si="23"/>
        <v>17.358832806345546</v>
      </c>
      <c r="N93" s="379">
        <f t="shared" si="23"/>
        <v>17.897004054792774</v>
      </c>
      <c r="O93" s="379">
        <f t="shared" si="23"/>
        <v>18.453584945178061</v>
      </c>
      <c r="P93" s="379">
        <f t="shared" si="23"/>
        <v>19.038175696144741</v>
      </c>
      <c r="Q93" s="379">
        <f t="shared" si="23"/>
        <v>19.641871245785136</v>
      </c>
      <c r="R93" s="379">
        <f t="shared" si="23"/>
        <v>20.27429880969677</v>
      </c>
      <c r="S93" s="379">
        <f t="shared" si="23"/>
        <v>20.926581385585369</v>
      </c>
      <c r="T93" s="379">
        <f t="shared" si="23"/>
        <v>21.608375353381494</v>
      </c>
      <c r="U93" s="379">
        <f t="shared" si="23"/>
        <v>22.310834023573726</v>
      </c>
      <c r="V93" s="379">
        <f t="shared" si="23"/>
        <v>23.043645282791569</v>
      </c>
      <c r="W93" s="379">
        <f t="shared" si="23"/>
        <v>23.807254448669433</v>
      </c>
      <c r="X93" s="379">
        <f t="shared" si="23"/>
        <v>24.602124186800314</v>
      </c>
      <c r="Y93" s="379">
        <f t="shared" si="23"/>
        <v>25.428735194477881</v>
      </c>
      <c r="Z93" s="379">
        <f t="shared" si="23"/>
        <v>26.28758691152051</v>
      </c>
      <c r="AA93" s="379">
        <f t="shared" si="23"/>
        <v>27.179198259253045</v>
      </c>
      <c r="AB93" s="379">
        <f t="shared" si="23"/>
        <v>28.104108408764723</v>
      </c>
      <c r="AC93" s="379">
        <f t="shared" si="23"/>
        <v>29.062877579606035</v>
      </c>
      <c r="AD93" s="379">
        <f t="shared" si="23"/>
        <v>30.065347129393214</v>
      </c>
      <c r="AE93" s="379">
        <f t="shared" si="23"/>
        <v>31.102862639281184</v>
      </c>
      <c r="AF93" s="379">
        <f t="shared" si="23"/>
        <v>32.18531184846438</v>
      </c>
      <c r="AG93" s="379">
        <f t="shared" si="23"/>
        <v>33.313347809435037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1.9841269841269842</v>
      </c>
      <c r="D94" s="379">
        <f t="shared" si="24"/>
        <v>2.0436507936507935</v>
      </c>
      <c r="E94" s="379">
        <f t="shared" si="24"/>
        <v>2.1049603174603173</v>
      </c>
      <c r="F94" s="379">
        <f t="shared" si="24"/>
        <v>2.1681091269841271</v>
      </c>
      <c r="G94" s="379">
        <f t="shared" si="24"/>
        <v>2.2331524007936507</v>
      </c>
      <c r="H94" s="379">
        <f t="shared" si="24"/>
        <v>2.5646972373677253</v>
      </c>
      <c r="I94" s="379">
        <f t="shared" si="24"/>
        <v>2.6416381544887568</v>
      </c>
      <c r="J94" s="379">
        <f t="shared" si="24"/>
        <v>2.7208872991234196</v>
      </c>
      <c r="K94" s="379">
        <f t="shared" si="24"/>
        <v>2.8025139180971221</v>
      </c>
      <c r="L94" s="379">
        <f t="shared" si="24"/>
        <v>2.8865893356400361</v>
      </c>
      <c r="M94" s="379">
        <f t="shared" si="24"/>
        <v>2.9731870157092373</v>
      </c>
      <c r="N94" s="379">
        <f t="shared" si="24"/>
        <v>2.4499061009444123</v>
      </c>
      <c r="O94" s="379">
        <f t="shared" si="24"/>
        <v>2.5234032839727449</v>
      </c>
      <c r="P94" s="379">
        <f t="shared" si="24"/>
        <v>2.5991053824919277</v>
      </c>
      <c r="Q94" s="379">
        <f t="shared" si="24"/>
        <v>2.6770785439666853</v>
      </c>
      <c r="R94" s="379">
        <f t="shared" si="24"/>
        <v>2.757390900285686</v>
      </c>
      <c r="S94" s="379">
        <f t="shared" si="24"/>
        <v>2.8401126272942565</v>
      </c>
      <c r="T94" s="379">
        <f t="shared" si="24"/>
        <v>2.9253160061130847</v>
      </c>
      <c r="U94" s="379">
        <f t="shared" si="24"/>
        <v>3.0130754862964766</v>
      </c>
      <c r="V94" s="379">
        <f t="shared" si="24"/>
        <v>3.103467750885371</v>
      </c>
      <c r="W94" s="379">
        <f t="shared" si="24"/>
        <v>3.1965717834119327</v>
      </c>
      <c r="X94" s="379">
        <f t="shared" si="24"/>
        <v>2.4693517026857181</v>
      </c>
      <c r="Y94" s="379">
        <f t="shared" si="24"/>
        <v>2.5434322537662899</v>
      </c>
      <c r="Z94" s="379">
        <f t="shared" si="24"/>
        <v>2.6197352213792784</v>
      </c>
      <c r="AA94" s="379">
        <f t="shared" si="24"/>
        <v>2.6983272780206566</v>
      </c>
      <c r="AB94" s="379">
        <f t="shared" si="24"/>
        <v>2.7792770963612767</v>
      </c>
      <c r="AC94" s="379">
        <f t="shared" si="24"/>
        <v>2.862655409252115</v>
      </c>
      <c r="AD94" s="379">
        <f t="shared" si="24"/>
        <v>2.9485350715296792</v>
      </c>
      <c r="AE94" s="379">
        <f t="shared" si="24"/>
        <v>3.0369911236755689</v>
      </c>
      <c r="AF94" s="379">
        <f t="shared" si="24"/>
        <v>3.1281008573858364</v>
      </c>
      <c r="AG94" s="379">
        <f t="shared" si="24"/>
        <v>3.2219438831074116</v>
      </c>
    </row>
    <row r="95" spans="1:34" s="352" customFormat="1">
      <c r="A95" s="380" t="s">
        <v>323</v>
      </c>
      <c r="B95" s="352" t="s">
        <v>300</v>
      </c>
      <c r="C95" s="429">
        <f>SUM(C91:C93)-C94</f>
        <v>33.072847161282027</v>
      </c>
      <c r="D95" s="429">
        <f t="shared" ref="D95" si="25">SUM(D91:D93)-D94</f>
        <v>34.397588131676038</v>
      </c>
      <c r="E95" s="429">
        <f t="shared" ref="E95" si="26">SUM(E91:E93)-E94</f>
        <v>35.416590590441139</v>
      </c>
      <c r="F95" s="429">
        <f t="shared" ref="F95:AG95" si="27">SUM(F91:F93)-F94</f>
        <v>36.470446804450667</v>
      </c>
      <c r="G95" s="429">
        <f t="shared" si="27"/>
        <v>37.559968814584188</v>
      </c>
      <c r="H95" s="429">
        <f t="shared" si="27"/>
        <v>39.307066091896594</v>
      </c>
      <c r="I95" s="429">
        <f t="shared" si="27"/>
        <v>40.489094629196167</v>
      </c>
      <c r="J95" s="429">
        <f t="shared" si="27"/>
        <v>41.709946304163168</v>
      </c>
      <c r="K95" s="429">
        <f t="shared" si="27"/>
        <v>42.970561131716536</v>
      </c>
      <c r="L95" s="429">
        <f t="shared" si="27"/>
        <v>44.271909785386676</v>
      </c>
      <c r="M95" s="429">
        <f t="shared" si="27"/>
        <v>45.614994618742543</v>
      </c>
      <c r="N95" s="429">
        <f t="shared" si="27"/>
        <v>47.613327246797787</v>
      </c>
      <c r="O95" s="429">
        <f t="shared" si="27"/>
        <v>49.061397832943221</v>
      </c>
      <c r="P95" s="429">
        <f t="shared" si="27"/>
        <v>50.564222970542851</v>
      </c>
      <c r="Q95" s="429">
        <f t="shared" si="27"/>
        <v>52.113699938415195</v>
      </c>
      <c r="R95" s="429">
        <f t="shared" si="27"/>
        <v>53.720282363105724</v>
      </c>
      <c r="S95" s="429">
        <f t="shared" si="27"/>
        <v>55.375944445596595</v>
      </c>
      <c r="T95" s="429">
        <f t="shared" si="27"/>
        <v>57.091219305193057</v>
      </c>
      <c r="U95" s="429">
        <f t="shared" si="27"/>
        <v>58.858163293939633</v>
      </c>
      <c r="V95" s="429">
        <f t="shared" si="27"/>
        <v>60.687394431268459</v>
      </c>
      <c r="W95" s="429">
        <f t="shared" si="27"/>
        <v>62.580316071600642</v>
      </c>
      <c r="X95" s="429">
        <f t="shared" si="27"/>
        <v>65.361494892648011</v>
      </c>
      <c r="Y95" s="429">
        <f t="shared" si="27"/>
        <v>67.410887021501011</v>
      </c>
      <c r="Z95" s="429">
        <f t="shared" si="27"/>
        <v>69.529203293354342</v>
      </c>
      <c r="AA95" s="429">
        <f t="shared" si="27"/>
        <v>71.718063132541886</v>
      </c>
      <c r="AB95" s="429">
        <f t="shared" si="27"/>
        <v>73.979139228252222</v>
      </c>
      <c r="AC95" s="429">
        <f t="shared" si="27"/>
        <v>76.314159323678169</v>
      </c>
      <c r="AD95" s="429">
        <f t="shared" si="27"/>
        <v>78.734167325787524</v>
      </c>
      <c r="AE95" s="429">
        <f t="shared" si="27"/>
        <v>81.231747441567322</v>
      </c>
      <c r="AF95" s="429">
        <f t="shared" si="27"/>
        <v>83.818063194819104</v>
      </c>
      <c r="AG95" s="429">
        <f t="shared" si="27"/>
        <v>86.495081696180407</v>
      </c>
    </row>
    <row r="96" spans="1:34" s="344" customFormat="1">
      <c r="A96" s="342" t="s">
        <v>180</v>
      </c>
      <c r="B96" s="342"/>
      <c r="H96" s="430">
        <f>H98/H63</f>
        <v>1.1699785401744656</v>
      </c>
      <c r="AB96" s="430">
        <f>AB98/AB63</f>
        <v>1.1148487046152422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00" t="s">
        <v>326</v>
      </c>
      <c r="B98" s="300" t="s">
        <v>309</v>
      </c>
      <c r="C98" s="376">
        <f>ROUND(('Changing with year'!C106)/1000,0)*1000</f>
        <v>3330000</v>
      </c>
      <c r="D98" s="376">
        <f>ROUND(('Changing with year'!D106)/1000,0)*1000</f>
        <v>3419000</v>
      </c>
      <c r="E98" s="376">
        <f>ROUND(('Changing with year'!E106)/1000,0)*1000</f>
        <v>3510000</v>
      </c>
      <c r="F98" s="376">
        <f>ROUND(('Changing with year'!F106)/1000,0)*1000</f>
        <v>3603000</v>
      </c>
      <c r="G98" s="376">
        <f>ROUND(('Changing with year'!G106)/1000,0)*1000</f>
        <v>3699000</v>
      </c>
      <c r="H98" s="376">
        <f>ROUND(('Changing with year'!H106)/1000,0)*1000</f>
        <v>4198000</v>
      </c>
      <c r="I98" s="376">
        <f>ROUND(('Changing with year'!I106)/1000,0)*1000</f>
        <v>4312000</v>
      </c>
      <c r="J98" s="376">
        <f>ROUND(('Changing with year'!J106)/1000,0)*1000</f>
        <v>4429000</v>
      </c>
      <c r="K98" s="376">
        <f>ROUND(('Changing with year'!K106)/1000,0)*1000</f>
        <v>4549000</v>
      </c>
      <c r="L98" s="376">
        <f>ROUND(('Changing with year'!L106)/1000,0)*1000</f>
        <v>4673000</v>
      </c>
      <c r="M98" s="376">
        <f>ROUND(('Changing with year'!M106)/1000,0)*1000</f>
        <v>4801000</v>
      </c>
      <c r="N98" s="376">
        <f>ROUND(('Changing with year'!N106)/1000,0)*1000</f>
        <v>4932000</v>
      </c>
      <c r="O98" s="376">
        <f>ROUND(('Changing with year'!O106)/1000,0)*1000</f>
        <v>5067000</v>
      </c>
      <c r="P98" s="376">
        <f>ROUND(('Changing with year'!P106)/1000,0)*1000</f>
        <v>5206000</v>
      </c>
      <c r="Q98" s="376">
        <f>ROUND(('Changing with year'!Q106)/1000,0)*1000</f>
        <v>5349000</v>
      </c>
      <c r="R98" s="376">
        <f>ROUND(('Changing with year'!R106)/1000,0)*1000</f>
        <v>5496000</v>
      </c>
      <c r="S98" s="376">
        <f>ROUND(('Changing with year'!S106)/1000,0)*1000</f>
        <v>5647000</v>
      </c>
      <c r="T98" s="376">
        <f>ROUND(('Changing with year'!T106)/1000,0)*1000</f>
        <v>5803000</v>
      </c>
      <c r="U98" s="376">
        <f>ROUND(('Changing with year'!U106)/1000,0)*1000</f>
        <v>5964000</v>
      </c>
      <c r="V98" s="376">
        <f>ROUND(('Changing with year'!V106)/1000,0)*1000</f>
        <v>6129000</v>
      </c>
      <c r="W98" s="376">
        <f>ROUND(('Changing with year'!W106)/1000,0)*1000</f>
        <v>6298000</v>
      </c>
      <c r="X98" s="376">
        <f>ROUND(('Changing with year'!X106)/1000,0)*1000</f>
        <v>6473000</v>
      </c>
      <c r="Y98" s="376">
        <f>ROUND(('Changing with year'!Y106)/1000,0)*1000</f>
        <v>6653000</v>
      </c>
      <c r="Z98" s="376">
        <f>ROUND(('Changing with year'!Z106)/1000,0)*1000</f>
        <v>6838000</v>
      </c>
      <c r="AA98" s="376">
        <f>ROUND(('Changing with year'!AA106)/1000,0)*1000</f>
        <v>7029000</v>
      </c>
      <c r="AB98" s="376">
        <f>ROUND(('Changing with year'!AB106)/1000,0)*1000</f>
        <v>7225000</v>
      </c>
      <c r="AC98" s="376">
        <f>ROUND(('Changing with year'!AC106)/1000,0)*1000</f>
        <v>7427000</v>
      </c>
      <c r="AD98" s="376">
        <f>ROUND(('Changing with year'!AD106)/1000,0)*1000</f>
        <v>7635000</v>
      </c>
      <c r="AE98" s="376">
        <f>ROUND(('Changing with year'!AE106)/1000,0)*1000</f>
        <v>7849000</v>
      </c>
      <c r="AF98" s="376">
        <f>ROUND(('Changing with year'!AF106)/1000,0)*1000</f>
        <v>8069000</v>
      </c>
      <c r="AG98" s="376">
        <f>ROUND(('Changing with year'!AG106)/1000,0)*1000</f>
        <v>8295000</v>
      </c>
    </row>
    <row r="99" spans="1:34">
      <c r="A99" s="300" t="s">
        <v>310</v>
      </c>
      <c r="B99" s="300" t="s">
        <v>309</v>
      </c>
      <c r="C99" s="376">
        <f>(C98*'No change with year'!$AE$5)</f>
        <v>1665000</v>
      </c>
      <c r="D99" s="376">
        <f>(D98*'No change with year'!$AE$5)</f>
        <v>1709500</v>
      </c>
      <c r="E99" s="376">
        <f>(E98*'No change with year'!$AE$5)</f>
        <v>1755000</v>
      </c>
      <c r="F99" s="376">
        <f>(F98*'No change with year'!$AE$5)</f>
        <v>1801500</v>
      </c>
      <c r="G99" s="376">
        <f>(G98*'No change with year'!$AE$5)</f>
        <v>1849500</v>
      </c>
      <c r="H99" s="376">
        <f>(H98*'No change with year'!$AE$5)</f>
        <v>2099000</v>
      </c>
      <c r="I99" s="376">
        <f>(I98*'No change with year'!$AE$5)</f>
        <v>2156000</v>
      </c>
      <c r="J99" s="376">
        <f>(J98*'No change with year'!$AE$5)</f>
        <v>2214500</v>
      </c>
      <c r="K99" s="376">
        <f>(K98*'No change with year'!$AE$5)</f>
        <v>2274500</v>
      </c>
      <c r="L99" s="376">
        <f>(L98*'No change with year'!$AE$5)</f>
        <v>2336500</v>
      </c>
      <c r="M99" s="376">
        <f>(M98*'No change with year'!$AE$5)</f>
        <v>2400500</v>
      </c>
      <c r="N99" s="376">
        <f>(N98*'No change with year'!$AF$5)</f>
        <v>1972800.0000000005</v>
      </c>
      <c r="O99" s="376">
        <f>(O98*'No change with year'!$AF$5)</f>
        <v>2026800.0000000005</v>
      </c>
      <c r="P99" s="376">
        <f>(P98*'No change with year'!$AF$5)</f>
        <v>2082400.0000000005</v>
      </c>
      <c r="Q99" s="376">
        <f>(Q98*'No change with year'!$AF$5)</f>
        <v>2139600.0000000005</v>
      </c>
      <c r="R99" s="376">
        <f>(R98*'No change with year'!$AF$5)</f>
        <v>2198400.0000000005</v>
      </c>
      <c r="S99" s="376">
        <f>(S98*'No change with year'!$AF$5)</f>
        <v>2258800.0000000005</v>
      </c>
      <c r="T99" s="376">
        <f>(T98*'No change with year'!$AF$5)</f>
        <v>2321200.0000000005</v>
      </c>
      <c r="U99" s="376">
        <f>(U98*'No change with year'!$AF$5)</f>
        <v>2385600.0000000005</v>
      </c>
      <c r="V99" s="376">
        <f>(V98*'No change with year'!$AF$5)</f>
        <v>2451600.0000000005</v>
      </c>
      <c r="W99" s="376">
        <f>(W98*'No change with year'!$AF$5)</f>
        <v>2519200.0000000005</v>
      </c>
      <c r="X99" s="376">
        <f>(X98*'No change with year'!$AG$5)</f>
        <v>1941900.0000000002</v>
      </c>
      <c r="Y99" s="376">
        <f>(Y98*'No change with year'!$AG$5)</f>
        <v>1995900.0000000002</v>
      </c>
      <c r="Z99" s="376">
        <f>(Z98*'No change with year'!$AG$5)</f>
        <v>2051400.0000000002</v>
      </c>
      <c r="AA99" s="376">
        <f>(AA98*'No change with year'!$AG$5)</f>
        <v>2108700.0000000005</v>
      </c>
      <c r="AB99" s="376">
        <f>(AB98*'No change with year'!$AG$5)</f>
        <v>2167500.0000000005</v>
      </c>
      <c r="AC99" s="376">
        <f>(AC98*'No change with year'!$AG$5)</f>
        <v>2228100.0000000005</v>
      </c>
      <c r="AD99" s="376">
        <f>(AD98*'No change with year'!$AG$5)</f>
        <v>2290500.0000000005</v>
      </c>
      <c r="AE99" s="376">
        <f>(AE98*'No change with year'!$AG$5)</f>
        <v>2354700.0000000005</v>
      </c>
      <c r="AF99" s="376">
        <f>(AF98*'No change with year'!$AG$5)</f>
        <v>2420700.0000000005</v>
      </c>
      <c r="AG99" s="376">
        <f>(AG98*'No change with year'!$AG$5)</f>
        <v>2488500.0000000005</v>
      </c>
    </row>
    <row r="100" spans="1:34" s="371" customFormat="1" ht="11.85" customHeight="1">
      <c r="A100" s="428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00" t="s">
        <v>312</v>
      </c>
      <c r="B101" s="300" t="s">
        <v>313</v>
      </c>
      <c r="C101" s="376">
        <f t="shared" ref="C101:AG101" si="29">-PMT($C$26,$C$25,C98)</f>
        <v>729662.06055163161</v>
      </c>
      <c r="D101" s="376">
        <f t="shared" si="29"/>
        <v>749163.53904685541</v>
      </c>
      <c r="E101" s="376">
        <f t="shared" si="29"/>
        <v>769103.25301388197</v>
      </c>
      <c r="F101" s="376">
        <f t="shared" si="29"/>
        <v>789481.20245271141</v>
      </c>
      <c r="G101" s="376">
        <f t="shared" si="29"/>
        <v>810516.50509924477</v>
      </c>
      <c r="H101" s="376">
        <f t="shared" si="29"/>
        <v>919856.25531403883</v>
      </c>
      <c r="I101" s="376">
        <f t="shared" si="29"/>
        <v>944835.67720679753</v>
      </c>
      <c r="J101" s="376">
        <f t="shared" si="29"/>
        <v>970472.45230726025</v>
      </c>
      <c r="K101" s="376">
        <f t="shared" si="29"/>
        <v>996766.580615427</v>
      </c>
      <c r="L101" s="376">
        <f t="shared" si="29"/>
        <v>1023937.1798671996</v>
      </c>
      <c r="M101" s="376">
        <f t="shared" si="29"/>
        <v>1051984.2500625777</v>
      </c>
      <c r="N101" s="376">
        <f t="shared" si="29"/>
        <v>1080688.6734656598</v>
      </c>
      <c r="O101" s="376">
        <f t="shared" si="29"/>
        <v>1110269.5678123476</v>
      </c>
      <c r="P101" s="376">
        <f t="shared" si="29"/>
        <v>1140726.933102641</v>
      </c>
      <c r="Q101" s="376">
        <f t="shared" si="29"/>
        <v>1172060.7693365398</v>
      </c>
      <c r="R101" s="376">
        <f t="shared" si="29"/>
        <v>1204271.0765140443</v>
      </c>
      <c r="S101" s="376">
        <f t="shared" si="29"/>
        <v>1237357.8546351544</v>
      </c>
      <c r="T101" s="376">
        <f t="shared" si="29"/>
        <v>1271540.2214357713</v>
      </c>
      <c r="U101" s="376">
        <f t="shared" si="29"/>
        <v>1306818.1769158952</v>
      </c>
      <c r="V101" s="376">
        <f t="shared" si="29"/>
        <v>1342972.6033396248</v>
      </c>
      <c r="W101" s="376">
        <f t="shared" si="29"/>
        <v>1380003.5007069597</v>
      </c>
      <c r="X101" s="376">
        <f t="shared" si="29"/>
        <v>1418349.1044897032</v>
      </c>
      <c r="Y101" s="376">
        <f t="shared" si="29"/>
        <v>1457790.2969519536</v>
      </c>
      <c r="Z101" s="376">
        <f t="shared" si="29"/>
        <v>1498327.0780937108</v>
      </c>
      <c r="AA101" s="376">
        <f t="shared" si="29"/>
        <v>1540178.5656508764</v>
      </c>
      <c r="AB101" s="376">
        <f t="shared" si="29"/>
        <v>1583125.6418875491</v>
      </c>
      <c r="AC101" s="376">
        <f t="shared" si="29"/>
        <v>1627387.4245396301</v>
      </c>
      <c r="AD101" s="376">
        <f t="shared" si="29"/>
        <v>1672963.9136071193</v>
      </c>
      <c r="AE101" s="376">
        <f t="shared" si="29"/>
        <v>1719855.1090900169</v>
      </c>
      <c r="AF101" s="376">
        <f t="shared" si="29"/>
        <v>1768061.0109883228</v>
      </c>
      <c r="AG101" s="376">
        <f t="shared" si="29"/>
        <v>1817581.6193020374</v>
      </c>
    </row>
    <row r="102" spans="1:34">
      <c r="A102" s="300" t="s">
        <v>321</v>
      </c>
      <c r="B102" s="300" t="s">
        <v>309</v>
      </c>
      <c r="C102" s="376">
        <f t="shared" ref="C102:AG102" si="30">$E$37*C44</f>
        <v>1691320.754716981</v>
      </c>
      <c r="D102" s="376">
        <f t="shared" si="30"/>
        <v>1752452.830188679</v>
      </c>
      <c r="E102" s="376">
        <f t="shared" si="30"/>
        <v>1805026.4150943393</v>
      </c>
      <c r="F102" s="376">
        <f t="shared" si="30"/>
        <v>1859177.2075471694</v>
      </c>
      <c r="G102" s="376">
        <f t="shared" si="30"/>
        <v>1914952.5237735845</v>
      </c>
      <c r="H102" s="376">
        <f t="shared" si="30"/>
        <v>1972401.0994867922</v>
      </c>
      <c r="I102" s="376">
        <f t="shared" si="30"/>
        <v>2031573.1324713961</v>
      </c>
      <c r="J102" s="376">
        <f t="shared" si="30"/>
        <v>2092520.3264455381</v>
      </c>
      <c r="K102" s="376">
        <f t="shared" si="30"/>
        <v>2155295.9362389045</v>
      </c>
      <c r="L102" s="376">
        <f t="shared" si="30"/>
        <v>2219954.8143260716</v>
      </c>
      <c r="M102" s="376">
        <f t="shared" si="30"/>
        <v>2286553.4587558536</v>
      </c>
      <c r="N102" s="376">
        <f t="shared" si="30"/>
        <v>2355150.0625185291</v>
      </c>
      <c r="O102" s="376">
        <f t="shared" si="30"/>
        <v>2425804.5643940852</v>
      </c>
      <c r="P102" s="376">
        <f t="shared" si="30"/>
        <v>2498578.7013259078</v>
      </c>
      <c r="Q102" s="376">
        <f t="shared" si="30"/>
        <v>2573536.0623656851</v>
      </c>
      <c r="R102" s="376">
        <f t="shared" si="30"/>
        <v>2650742.1442366559</v>
      </c>
      <c r="S102" s="376">
        <f t="shared" si="30"/>
        <v>2730264.4085637555</v>
      </c>
      <c r="T102" s="376">
        <f t="shared" si="30"/>
        <v>2812172.3408206683</v>
      </c>
      <c r="U102" s="376">
        <f t="shared" si="30"/>
        <v>2896537.5110452883</v>
      </c>
      <c r="V102" s="376">
        <f t="shared" si="30"/>
        <v>2983433.6363766468</v>
      </c>
      <c r="W102" s="376">
        <f t="shared" si="30"/>
        <v>3072936.6454679463</v>
      </c>
      <c r="X102" s="376">
        <f t="shared" si="30"/>
        <v>3165124.7448319849</v>
      </c>
      <c r="Y102" s="376">
        <f t="shared" si="30"/>
        <v>3260078.487176945</v>
      </c>
      <c r="Z102" s="376">
        <f t="shared" si="30"/>
        <v>3357880.8417922533</v>
      </c>
      <c r="AA102" s="376">
        <f t="shared" si="30"/>
        <v>3458617.2670460208</v>
      </c>
      <c r="AB102" s="376">
        <f t="shared" si="30"/>
        <v>3562375.7850574018</v>
      </c>
      <c r="AC102" s="376">
        <f t="shared" si="30"/>
        <v>3669247.0586091238</v>
      </c>
      <c r="AD102" s="376">
        <f t="shared" si="30"/>
        <v>3779324.4703673976</v>
      </c>
      <c r="AE102" s="376">
        <f t="shared" si="30"/>
        <v>3892704.2044784194</v>
      </c>
      <c r="AF102" s="376">
        <f t="shared" si="30"/>
        <v>4009485.3306127717</v>
      </c>
      <c r="AG102" s="376">
        <f t="shared" si="30"/>
        <v>4129769.8905311548</v>
      </c>
    </row>
    <row r="103" spans="1:34">
      <c r="A103" s="300" t="s">
        <v>317</v>
      </c>
      <c r="B103" s="300" t="s">
        <v>309</v>
      </c>
      <c r="C103" s="376">
        <f t="shared" ref="C103:AG103" si="31">C56*$C$21*$C$22</f>
        <v>356400</v>
      </c>
      <c r="D103" s="376">
        <f t="shared" si="31"/>
        <v>370656</v>
      </c>
      <c r="E103" s="376">
        <f t="shared" si="31"/>
        <v>385482.24000000005</v>
      </c>
      <c r="F103" s="376">
        <f t="shared" si="31"/>
        <v>400901.52960000001</v>
      </c>
      <c r="G103" s="376">
        <f t="shared" si="31"/>
        <v>416937.59078400006</v>
      </c>
      <c r="H103" s="376">
        <f t="shared" si="31"/>
        <v>433615.09441536001</v>
      </c>
      <c r="I103" s="376">
        <f t="shared" si="31"/>
        <v>450959.69819197449</v>
      </c>
      <c r="J103" s="376">
        <f t="shared" si="31"/>
        <v>468998.08611965342</v>
      </c>
      <c r="K103" s="376">
        <f t="shared" si="31"/>
        <v>487758.00956443953</v>
      </c>
      <c r="L103" s="376">
        <f t="shared" si="31"/>
        <v>507268.32994701713</v>
      </c>
      <c r="M103" s="376">
        <f t="shared" si="31"/>
        <v>527559.06314489793</v>
      </c>
      <c r="N103" s="376">
        <f t="shared" si="31"/>
        <v>548661.42567069386</v>
      </c>
      <c r="O103" s="376">
        <f t="shared" si="31"/>
        <v>570607.88269752159</v>
      </c>
      <c r="P103" s="376">
        <f t="shared" si="31"/>
        <v>593432.19800542248</v>
      </c>
      <c r="Q103" s="376">
        <f t="shared" si="31"/>
        <v>617169.48592563928</v>
      </c>
      <c r="R103" s="376">
        <f t="shared" si="31"/>
        <v>641856.26536266506</v>
      </c>
      <c r="S103" s="376">
        <f t="shared" si="31"/>
        <v>667530.5159771716</v>
      </c>
      <c r="T103" s="376">
        <f t="shared" si="31"/>
        <v>694231.73661625851</v>
      </c>
      <c r="U103" s="376">
        <f t="shared" si="31"/>
        <v>722001.00608090882</v>
      </c>
      <c r="V103" s="376">
        <f t="shared" si="31"/>
        <v>750881.04632414528</v>
      </c>
      <c r="W103" s="376">
        <f t="shared" si="31"/>
        <v>780916.28817711107</v>
      </c>
      <c r="X103" s="376">
        <f t="shared" si="31"/>
        <v>812152.93970419536</v>
      </c>
      <c r="Y103" s="376">
        <f t="shared" si="31"/>
        <v>844639.05729236337</v>
      </c>
      <c r="Z103" s="376">
        <f t="shared" si="31"/>
        <v>878424.61958405795</v>
      </c>
      <c r="AA103" s="376">
        <f t="shared" si="31"/>
        <v>913561.60436742019</v>
      </c>
      <c r="AB103" s="376">
        <f t="shared" si="31"/>
        <v>950104.06854211714</v>
      </c>
      <c r="AC103" s="376">
        <f t="shared" si="31"/>
        <v>988108.23128380207</v>
      </c>
      <c r="AD103" s="376">
        <f t="shared" si="31"/>
        <v>1027632.5605351541</v>
      </c>
      <c r="AE103" s="376">
        <f t="shared" si="31"/>
        <v>1068737.86295656</v>
      </c>
      <c r="AF103" s="376">
        <f t="shared" si="31"/>
        <v>1111487.3774748226</v>
      </c>
      <c r="AG103" s="376">
        <f t="shared" si="31"/>
        <v>1155946.8725738155</v>
      </c>
    </row>
    <row r="104" spans="1:34">
      <c r="A104" s="300" t="s">
        <v>318</v>
      </c>
      <c r="B104" s="300" t="s">
        <v>313</v>
      </c>
      <c r="C104" s="376">
        <f>'Changing with year'!C288</f>
        <v>400000</v>
      </c>
      <c r="D104" s="376">
        <f>'Changing with year'!D288</f>
        <v>418000</v>
      </c>
      <c r="E104" s="376">
        <f>'Changing with year'!E288</f>
        <v>437000</v>
      </c>
      <c r="F104" s="376">
        <f>'Changing with year'!F288</f>
        <v>457000</v>
      </c>
      <c r="G104" s="376">
        <f>'Changing with year'!G288</f>
        <v>478000</v>
      </c>
      <c r="H104" s="376">
        <f>'Changing with year'!H288</f>
        <v>500000</v>
      </c>
      <c r="I104" s="376">
        <f>'Changing with year'!I288</f>
        <v>523000</v>
      </c>
      <c r="J104" s="376">
        <f>'Changing with year'!J288</f>
        <v>547000</v>
      </c>
      <c r="K104" s="376">
        <f>'Changing with year'!K288</f>
        <v>572000</v>
      </c>
      <c r="L104" s="376">
        <f>'Changing with year'!L288</f>
        <v>598000</v>
      </c>
      <c r="M104" s="376">
        <f>'Changing with year'!M288</f>
        <v>625000</v>
      </c>
      <c r="N104" s="376">
        <f>'Changing with year'!N288</f>
        <v>653000</v>
      </c>
      <c r="O104" s="376">
        <f>'Changing with year'!O288</f>
        <v>682000</v>
      </c>
      <c r="P104" s="376">
        <f>'Changing with year'!P288</f>
        <v>713000</v>
      </c>
      <c r="Q104" s="376">
        <f>'Changing with year'!Q288</f>
        <v>745000</v>
      </c>
      <c r="R104" s="376">
        <f>'Changing with year'!R288</f>
        <v>779000</v>
      </c>
      <c r="S104" s="376">
        <f>'Changing with year'!S288</f>
        <v>814000</v>
      </c>
      <c r="T104" s="376">
        <f>'Changing with year'!T288</f>
        <v>851000</v>
      </c>
      <c r="U104" s="376">
        <f>'Changing with year'!U288</f>
        <v>889000</v>
      </c>
      <c r="V104" s="376">
        <f>'Changing with year'!V288</f>
        <v>929000</v>
      </c>
      <c r="W104" s="376">
        <f>'Changing with year'!W288</f>
        <v>971000</v>
      </c>
      <c r="X104" s="376">
        <f>'Changing with year'!X288</f>
        <v>1015000</v>
      </c>
      <c r="Y104" s="376">
        <f>'Changing with year'!Y288</f>
        <v>1061000</v>
      </c>
      <c r="Z104" s="376">
        <f>'Changing with year'!Z288</f>
        <v>1109000</v>
      </c>
      <c r="AA104" s="376">
        <f>'Changing with year'!AA288</f>
        <v>1159000</v>
      </c>
      <c r="AB104" s="376">
        <f>'Changing with year'!AB288</f>
        <v>1211000</v>
      </c>
      <c r="AC104" s="376">
        <f>'Changing with year'!AC288</f>
        <v>1265000</v>
      </c>
      <c r="AD104" s="376">
        <f>'Changing with year'!AD288</f>
        <v>1322000</v>
      </c>
      <c r="AE104" s="376">
        <f>'Changing with year'!AE288</f>
        <v>1381000</v>
      </c>
      <c r="AF104" s="376">
        <f>'Changing with year'!AF288</f>
        <v>1443000</v>
      </c>
      <c r="AG104" s="376">
        <f>'Changing with year'!AG288</f>
        <v>1508000</v>
      </c>
      <c r="AH104" s="339"/>
    </row>
    <row r="105" spans="1:34">
      <c r="A105" s="300" t="s">
        <v>272</v>
      </c>
      <c r="B105" s="300" t="s">
        <v>313</v>
      </c>
      <c r="C105" s="376">
        <f t="shared" ref="C105:AG105" si="32">C59</f>
        <v>572400</v>
      </c>
      <c r="D105" s="376">
        <f t="shared" si="32"/>
        <v>578124</v>
      </c>
      <c r="E105" s="376">
        <f t="shared" si="32"/>
        <v>583905.24</v>
      </c>
      <c r="F105" s="376">
        <f t="shared" si="32"/>
        <v>589744.29240000003</v>
      </c>
      <c r="G105" s="376">
        <f t="shared" si="32"/>
        <v>595641.73532400001</v>
      </c>
      <c r="H105" s="376">
        <f t="shared" si="32"/>
        <v>601598.15267724008</v>
      </c>
      <c r="I105" s="376">
        <f t="shared" si="32"/>
        <v>607614.13420401246</v>
      </c>
      <c r="J105" s="376">
        <f t="shared" si="32"/>
        <v>613690.27554605249</v>
      </c>
      <c r="K105" s="376">
        <f t="shared" si="32"/>
        <v>619827.17830151308</v>
      </c>
      <c r="L105" s="376">
        <f t="shared" si="32"/>
        <v>626025.45008452807</v>
      </c>
      <c r="M105" s="376">
        <f t="shared" si="32"/>
        <v>632285.7045853734</v>
      </c>
      <c r="N105" s="376">
        <f t="shared" si="32"/>
        <v>638608.56163122714</v>
      </c>
      <c r="O105" s="376">
        <f t="shared" si="32"/>
        <v>644994.64724753937</v>
      </c>
      <c r="P105" s="376">
        <f t="shared" si="32"/>
        <v>651444.59372001479</v>
      </c>
      <c r="Q105" s="376">
        <f t="shared" si="32"/>
        <v>657959.03965721501</v>
      </c>
      <c r="R105" s="376">
        <f t="shared" si="32"/>
        <v>664538.63005378714</v>
      </c>
      <c r="S105" s="376">
        <f t="shared" si="32"/>
        <v>671184.01635432511</v>
      </c>
      <c r="T105" s="376">
        <f t="shared" si="32"/>
        <v>677895.85651786823</v>
      </c>
      <c r="U105" s="376">
        <f t="shared" si="32"/>
        <v>684674.81508304703</v>
      </c>
      <c r="V105" s="376">
        <f t="shared" si="32"/>
        <v>691521.56323387753</v>
      </c>
      <c r="W105" s="376">
        <f t="shared" si="32"/>
        <v>698436.77886621631</v>
      </c>
      <c r="X105" s="376">
        <f t="shared" si="32"/>
        <v>705421.14665487851</v>
      </c>
      <c r="Y105" s="376">
        <f t="shared" si="32"/>
        <v>712475.35812142724</v>
      </c>
      <c r="Z105" s="376">
        <f t="shared" si="32"/>
        <v>719600.11170264147</v>
      </c>
      <c r="AA105" s="376">
        <f t="shared" si="32"/>
        <v>726796.11281966791</v>
      </c>
      <c r="AB105" s="376">
        <f t="shared" si="32"/>
        <v>734064.0739478647</v>
      </c>
      <c r="AC105" s="376">
        <f t="shared" si="32"/>
        <v>741404.71468734322</v>
      </c>
      <c r="AD105" s="376">
        <f t="shared" si="32"/>
        <v>748818.76183421677</v>
      </c>
      <c r="AE105" s="376">
        <f t="shared" si="32"/>
        <v>756306.94945255888</v>
      </c>
      <c r="AF105" s="376">
        <f t="shared" si="32"/>
        <v>763870.01894708455</v>
      </c>
      <c r="AG105" s="376">
        <f t="shared" si="32"/>
        <v>771508.71913655533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66600</v>
      </c>
      <c r="D106" s="376">
        <f t="shared" si="33"/>
        <v>68380</v>
      </c>
      <c r="E106" s="376">
        <f t="shared" si="33"/>
        <v>70200</v>
      </c>
      <c r="F106" s="376">
        <f t="shared" si="33"/>
        <v>72060</v>
      </c>
      <c r="G106" s="376">
        <f t="shared" si="33"/>
        <v>73980</v>
      </c>
      <c r="H106" s="376">
        <f t="shared" si="33"/>
        <v>83960</v>
      </c>
      <c r="I106" s="376">
        <f t="shared" si="33"/>
        <v>86240</v>
      </c>
      <c r="J106" s="376">
        <f t="shared" si="33"/>
        <v>88580</v>
      </c>
      <c r="K106" s="376">
        <f t="shared" si="33"/>
        <v>90980</v>
      </c>
      <c r="L106" s="376">
        <f t="shared" si="33"/>
        <v>93460</v>
      </c>
      <c r="M106" s="376">
        <f t="shared" si="33"/>
        <v>96020</v>
      </c>
      <c r="N106" s="376">
        <f t="shared" si="33"/>
        <v>98640</v>
      </c>
      <c r="O106" s="376">
        <f t="shared" si="33"/>
        <v>101340</v>
      </c>
      <c r="P106" s="376">
        <f t="shared" si="33"/>
        <v>104120</v>
      </c>
      <c r="Q106" s="376">
        <f t="shared" si="33"/>
        <v>106980</v>
      </c>
      <c r="R106" s="376">
        <f t="shared" si="33"/>
        <v>109920</v>
      </c>
      <c r="S106" s="376">
        <f t="shared" si="33"/>
        <v>112940</v>
      </c>
      <c r="T106" s="376">
        <f t="shared" si="33"/>
        <v>116060</v>
      </c>
      <c r="U106" s="376">
        <f t="shared" si="33"/>
        <v>119280</v>
      </c>
      <c r="V106" s="376">
        <f t="shared" si="33"/>
        <v>122580</v>
      </c>
      <c r="W106" s="376">
        <f t="shared" si="33"/>
        <v>125960</v>
      </c>
      <c r="X106" s="376">
        <f t="shared" si="33"/>
        <v>129460</v>
      </c>
      <c r="Y106" s="376">
        <f t="shared" si="33"/>
        <v>133060</v>
      </c>
      <c r="Z106" s="376">
        <f t="shared" si="33"/>
        <v>136760</v>
      </c>
      <c r="AA106" s="376">
        <f t="shared" si="33"/>
        <v>140580</v>
      </c>
      <c r="AB106" s="376">
        <f t="shared" si="33"/>
        <v>144500</v>
      </c>
      <c r="AC106" s="376">
        <f t="shared" si="33"/>
        <v>148540</v>
      </c>
      <c r="AD106" s="376">
        <f t="shared" si="33"/>
        <v>152700</v>
      </c>
      <c r="AE106" s="376">
        <f t="shared" si="33"/>
        <v>156980</v>
      </c>
      <c r="AF106" s="376">
        <f t="shared" si="33"/>
        <v>161380</v>
      </c>
      <c r="AG106" s="376">
        <f t="shared" si="33"/>
        <v>165900</v>
      </c>
    </row>
    <row r="107" spans="1:34" s="371" customFormat="1" ht="11.85" customHeight="1">
      <c r="A107" s="428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6.7561301902928852</v>
      </c>
      <c r="D108" s="379">
        <f t="shared" si="34"/>
        <v>6.9366994356190315</v>
      </c>
      <c r="E108" s="379">
        <f t="shared" si="34"/>
        <v>7.1213264167952035</v>
      </c>
      <c r="F108" s="379">
        <f t="shared" si="34"/>
        <v>7.3100111338214022</v>
      </c>
      <c r="G108" s="379">
        <f t="shared" si="34"/>
        <v>7.5047824546226369</v>
      </c>
      <c r="H108" s="379">
        <f t="shared" si="34"/>
        <v>8.5171875492040634</v>
      </c>
      <c r="I108" s="379">
        <f t="shared" si="34"/>
        <v>8.7484784926555328</v>
      </c>
      <c r="J108" s="379">
        <f t="shared" si="34"/>
        <v>8.9858560398820391</v>
      </c>
      <c r="K108" s="379">
        <f t="shared" si="34"/>
        <v>9.229320190883584</v>
      </c>
      <c r="L108" s="379">
        <f t="shared" si="34"/>
        <v>9.4808998135851823</v>
      </c>
      <c r="M108" s="379">
        <f t="shared" si="34"/>
        <v>9.7405949079868304</v>
      </c>
      <c r="N108" s="379">
        <f t="shared" si="34"/>
        <v>10.006376606163517</v>
      </c>
      <c r="O108" s="379">
        <f t="shared" si="34"/>
        <v>10.280273776040255</v>
      </c>
      <c r="P108" s="379">
        <f t="shared" si="34"/>
        <v>10.562286417617047</v>
      </c>
      <c r="Q108" s="379">
        <f t="shared" si="34"/>
        <v>10.852414530893887</v>
      </c>
      <c r="R108" s="379">
        <f t="shared" si="34"/>
        <v>11.150658115870781</v>
      </c>
      <c r="S108" s="379">
        <f t="shared" si="34"/>
        <v>11.457017172547726</v>
      </c>
      <c r="T108" s="379">
        <f t="shared" si="34"/>
        <v>11.773520568849735</v>
      </c>
      <c r="U108" s="379">
        <f t="shared" si="34"/>
        <v>12.100168304776806</v>
      </c>
      <c r="V108" s="379">
        <f t="shared" si="34"/>
        <v>12.434931512403933</v>
      </c>
      <c r="W108" s="379">
        <f t="shared" si="34"/>
        <v>12.777810191731108</v>
      </c>
      <c r="X108" s="379">
        <f t="shared" si="34"/>
        <v>13.132862078608364</v>
      </c>
      <c r="Y108" s="379">
        <f t="shared" si="34"/>
        <v>13.498058305110682</v>
      </c>
      <c r="Z108" s="379">
        <f t="shared" si="34"/>
        <v>13.873398871238063</v>
      </c>
      <c r="AA108" s="379">
        <f t="shared" si="34"/>
        <v>14.260912644915521</v>
      </c>
      <c r="AB108" s="379">
        <f t="shared" si="34"/>
        <v>14.658570758218048</v>
      </c>
      <c r="AC108" s="379">
        <f t="shared" si="34"/>
        <v>15.068402079070649</v>
      </c>
      <c r="AD108" s="379">
        <f t="shared" si="34"/>
        <v>15.490406607473327</v>
      </c>
      <c r="AE108" s="379">
        <f t="shared" si="34"/>
        <v>15.924584343426083</v>
      </c>
      <c r="AF108" s="379">
        <f t="shared" si="34"/>
        <v>16.370935286928916</v>
      </c>
      <c r="AG108" s="379">
        <f t="shared" si="34"/>
        <v>16.829459437981829</v>
      </c>
    </row>
    <row r="109" spans="1:34">
      <c r="A109" s="300" t="s">
        <v>321</v>
      </c>
      <c r="B109" s="300" t="s">
        <v>300</v>
      </c>
      <c r="C109" s="379">
        <f t="shared" si="34"/>
        <v>15.660377358490564</v>
      </c>
      <c r="D109" s="379">
        <f t="shared" si="34"/>
        <v>16.226415094339622</v>
      </c>
      <c r="E109" s="379">
        <f t="shared" si="34"/>
        <v>16.713207547169809</v>
      </c>
      <c r="F109" s="379">
        <f t="shared" si="34"/>
        <v>17.214603773584901</v>
      </c>
      <c r="G109" s="379">
        <f t="shared" si="34"/>
        <v>17.73104188679245</v>
      </c>
      <c r="H109" s="379">
        <f t="shared" si="34"/>
        <v>18.262973143396223</v>
      </c>
      <c r="I109" s="379">
        <f t="shared" si="34"/>
        <v>18.810862337698111</v>
      </c>
      <c r="J109" s="379">
        <f t="shared" si="34"/>
        <v>19.375188207829055</v>
      </c>
      <c r="K109" s="379">
        <f t="shared" si="34"/>
        <v>19.956443854063931</v>
      </c>
      <c r="L109" s="379">
        <f t="shared" si="34"/>
        <v>20.55513716968585</v>
      </c>
      <c r="M109" s="379">
        <f t="shared" si="34"/>
        <v>21.171791284776422</v>
      </c>
      <c r="N109" s="379">
        <f t="shared" si="34"/>
        <v>21.806945023319713</v>
      </c>
      <c r="O109" s="379">
        <f t="shared" si="34"/>
        <v>22.461153374019307</v>
      </c>
      <c r="P109" s="379">
        <f t="shared" si="34"/>
        <v>23.134987975239888</v>
      </c>
      <c r="Q109" s="379">
        <f t="shared" si="34"/>
        <v>23.829037614497086</v>
      </c>
      <c r="R109" s="379">
        <f t="shared" si="34"/>
        <v>24.543908742932</v>
      </c>
      <c r="S109" s="379">
        <f t="shared" si="34"/>
        <v>25.280226005219959</v>
      </c>
      <c r="T109" s="379">
        <f t="shared" si="34"/>
        <v>26.038632785376556</v>
      </c>
      <c r="U109" s="379">
        <f t="shared" si="34"/>
        <v>26.819791768937854</v>
      </c>
      <c r="V109" s="379">
        <f t="shared" si="34"/>
        <v>27.624385522005991</v>
      </c>
      <c r="W109" s="379">
        <f t="shared" si="34"/>
        <v>28.453117087666168</v>
      </c>
      <c r="X109" s="379">
        <f t="shared" si="34"/>
        <v>29.306710600296157</v>
      </c>
      <c r="Y109" s="379">
        <f t="shared" si="34"/>
        <v>30.185911918305045</v>
      </c>
      <c r="Z109" s="379">
        <f t="shared" si="34"/>
        <v>31.091489275854197</v>
      </c>
      <c r="AA109" s="379">
        <f t="shared" si="34"/>
        <v>32.024233954129819</v>
      </c>
      <c r="AB109" s="379">
        <f t="shared" si="34"/>
        <v>32.984960972753719</v>
      </c>
      <c r="AC109" s="379">
        <f t="shared" si="34"/>
        <v>33.974509801936328</v>
      </c>
      <c r="AD109" s="379">
        <f t="shared" si="34"/>
        <v>34.99374509599442</v>
      </c>
      <c r="AE109" s="379">
        <f t="shared" si="34"/>
        <v>36.043557448874253</v>
      </c>
      <c r="AF109" s="379">
        <f t="shared" si="34"/>
        <v>37.12486417234048</v>
      </c>
      <c r="AG109" s="379">
        <f t="shared" si="34"/>
        <v>38.238610097510694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12.920370370370371</v>
      </c>
      <c r="D110" s="379">
        <f t="shared" si="35"/>
        <v>13.288518518518519</v>
      </c>
      <c r="E110" s="379">
        <f t="shared" si="35"/>
        <v>13.672106296296295</v>
      </c>
      <c r="F110" s="379">
        <f t="shared" si="35"/>
        <v>14.071350203703705</v>
      </c>
      <c r="G110" s="379">
        <f t="shared" si="35"/>
        <v>14.486660426925926</v>
      </c>
      <c r="H110" s="379">
        <f t="shared" si="35"/>
        <v>14.992344880487037</v>
      </c>
      <c r="I110" s="379">
        <f t="shared" si="35"/>
        <v>15.442720670333214</v>
      </c>
      <c r="J110" s="379">
        <f t="shared" si="35"/>
        <v>15.909892237645424</v>
      </c>
      <c r="K110" s="379">
        <f t="shared" si="35"/>
        <v>16.394122109869929</v>
      </c>
      <c r="L110" s="379">
        <f t="shared" si="35"/>
        <v>16.895868333625419</v>
      </c>
      <c r="M110" s="379">
        <f t="shared" si="35"/>
        <v>17.415414516021031</v>
      </c>
      <c r="N110" s="379">
        <f t="shared" si="35"/>
        <v>17.952870252795567</v>
      </c>
      <c r="O110" s="379">
        <f t="shared" si="35"/>
        <v>18.508727129120935</v>
      </c>
      <c r="P110" s="379">
        <f t="shared" si="35"/>
        <v>19.092562886346641</v>
      </c>
      <c r="Q110" s="379">
        <f t="shared" si="35"/>
        <v>19.695449310952352</v>
      </c>
      <c r="R110" s="379">
        <f t="shared" si="35"/>
        <v>20.326989772374557</v>
      </c>
      <c r="S110" s="379">
        <f t="shared" si="35"/>
        <v>20.978282706773118</v>
      </c>
      <c r="T110" s="379">
        <f t="shared" si="35"/>
        <v>21.659144380871542</v>
      </c>
      <c r="U110" s="379">
        <f t="shared" si="35"/>
        <v>22.360702047814403</v>
      </c>
      <c r="V110" s="379">
        <f t="shared" si="35"/>
        <v>23.092431569981692</v>
      </c>
      <c r="W110" s="379">
        <f t="shared" si="35"/>
        <v>23.854750620771554</v>
      </c>
      <c r="X110" s="379">
        <f t="shared" si="35"/>
        <v>24.648463762584019</v>
      </c>
      <c r="Y110" s="379">
        <f t="shared" si="35"/>
        <v>25.473837179757318</v>
      </c>
      <c r="Z110" s="379">
        <f t="shared" si="35"/>
        <v>26.331340104506477</v>
      </c>
      <c r="AA110" s="379">
        <f t="shared" si="35"/>
        <v>27.221645529510074</v>
      </c>
      <c r="AB110" s="379">
        <f t="shared" si="35"/>
        <v>28.145075393425756</v>
      </c>
      <c r="AC110" s="379">
        <f t="shared" si="35"/>
        <v>29.102342092325419</v>
      </c>
      <c r="AD110" s="379">
        <f t="shared" si="35"/>
        <v>30.103252984901584</v>
      </c>
      <c r="AE110" s="379">
        <f t="shared" si="35"/>
        <v>31.13911863341777</v>
      </c>
      <c r="AF110" s="379">
        <f t="shared" si="35"/>
        <v>32.219790707610251</v>
      </c>
      <c r="AG110" s="379">
        <f t="shared" si="35"/>
        <v>33.345885108429357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2.2023809523809526</v>
      </c>
      <c r="D111" s="379">
        <f t="shared" si="36"/>
        <v>2.2612433862433861</v>
      </c>
      <c r="E111" s="379">
        <f t="shared" si="36"/>
        <v>2.3214285714285716</v>
      </c>
      <c r="F111" s="379">
        <f t="shared" si="36"/>
        <v>2.3829365079365079</v>
      </c>
      <c r="G111" s="379">
        <f t="shared" si="36"/>
        <v>2.4464285714285716</v>
      </c>
      <c r="H111" s="379">
        <f t="shared" si="36"/>
        <v>2.7764550264550265</v>
      </c>
      <c r="I111" s="379">
        <f t="shared" si="36"/>
        <v>2.8518518518518516</v>
      </c>
      <c r="J111" s="379">
        <f t="shared" si="36"/>
        <v>2.9292328042328042</v>
      </c>
      <c r="K111" s="379">
        <f t="shared" si="36"/>
        <v>3.0085978835978837</v>
      </c>
      <c r="L111" s="379">
        <f t="shared" si="36"/>
        <v>3.0906084656084656</v>
      </c>
      <c r="M111" s="379">
        <f t="shared" si="36"/>
        <v>3.1752645502645502</v>
      </c>
      <c r="N111" s="379">
        <f t="shared" si="36"/>
        <v>2.60952380952381</v>
      </c>
      <c r="O111" s="379">
        <f t="shared" si="36"/>
        <v>2.6809523809523816</v>
      </c>
      <c r="P111" s="379">
        <f t="shared" si="36"/>
        <v>2.7544973544973552</v>
      </c>
      <c r="Q111" s="379">
        <f t="shared" si="36"/>
        <v>2.8301587301587308</v>
      </c>
      <c r="R111" s="379">
        <f t="shared" si="36"/>
        <v>2.9079365079365087</v>
      </c>
      <c r="S111" s="379">
        <f t="shared" si="36"/>
        <v>2.9878306878306886</v>
      </c>
      <c r="T111" s="379">
        <f t="shared" si="36"/>
        <v>3.0703703703703709</v>
      </c>
      <c r="U111" s="379">
        <f t="shared" si="36"/>
        <v>3.1555555555555563</v>
      </c>
      <c r="V111" s="379">
        <f t="shared" si="36"/>
        <v>3.2428571428571433</v>
      </c>
      <c r="W111" s="379">
        <f t="shared" si="36"/>
        <v>3.3322751322751327</v>
      </c>
      <c r="X111" s="379">
        <f t="shared" si="36"/>
        <v>2.5686507936507939</v>
      </c>
      <c r="Y111" s="379">
        <f t="shared" si="36"/>
        <v>2.6400793650793655</v>
      </c>
      <c r="Z111" s="379">
        <f t="shared" si="36"/>
        <v>2.7134920634920636</v>
      </c>
      <c r="AA111" s="379">
        <f t="shared" si="36"/>
        <v>2.789285714285715</v>
      </c>
      <c r="AB111" s="379">
        <f t="shared" si="36"/>
        <v>2.8670634920634925</v>
      </c>
      <c r="AC111" s="379">
        <f t="shared" si="36"/>
        <v>2.9472222222222229</v>
      </c>
      <c r="AD111" s="379">
        <f t="shared" si="36"/>
        <v>3.0297619047619055</v>
      </c>
      <c r="AE111" s="379">
        <f t="shared" si="36"/>
        <v>3.1146825396825402</v>
      </c>
      <c r="AF111" s="379">
        <f t="shared" si="36"/>
        <v>3.2019841269841276</v>
      </c>
      <c r="AG111" s="379">
        <f t="shared" si="36"/>
        <v>3.2916666666666674</v>
      </c>
    </row>
    <row r="112" spans="1:34" s="352" customFormat="1">
      <c r="A112" s="380" t="s">
        <v>323</v>
      </c>
      <c r="B112" s="352" t="s">
        <v>300</v>
      </c>
      <c r="C112" s="429">
        <f>SUM(C108:C110)-C111</f>
        <v>33.134496966772872</v>
      </c>
      <c r="D112" s="429">
        <f t="shared" ref="D112" si="37">SUM(D108:D110)-D111</f>
        <v>34.190389662233791</v>
      </c>
      <c r="E112" s="429">
        <f t="shared" ref="E112" si="38">SUM(E108:E110)-E111</f>
        <v>35.185211688832737</v>
      </c>
      <c r="F112" s="429">
        <f t="shared" ref="F112:AG112" si="39">SUM(F108:F110)-F111</f>
        <v>36.213028603173498</v>
      </c>
      <c r="G112" s="429">
        <f t="shared" si="39"/>
        <v>37.27605619691245</v>
      </c>
      <c r="H112" s="429">
        <f t="shared" si="39"/>
        <v>38.996050546632297</v>
      </c>
      <c r="I112" s="429">
        <f t="shared" si="39"/>
        <v>40.150209648835002</v>
      </c>
      <c r="J112" s="429">
        <f t="shared" si="39"/>
        <v>41.341703681123711</v>
      </c>
      <c r="K112" s="429">
        <f t="shared" si="39"/>
        <v>42.571288271219558</v>
      </c>
      <c r="L112" s="429">
        <f t="shared" si="39"/>
        <v>43.841296851287979</v>
      </c>
      <c r="M112" s="429">
        <f t="shared" si="39"/>
        <v>45.15253615851973</v>
      </c>
      <c r="N112" s="429">
        <f t="shared" si="39"/>
        <v>47.156668072754989</v>
      </c>
      <c r="O112" s="429">
        <f t="shared" si="39"/>
        <v>48.569201898228116</v>
      </c>
      <c r="P112" s="429">
        <f t="shared" si="39"/>
        <v>50.035339924706221</v>
      </c>
      <c r="Q112" s="429">
        <f t="shared" si="39"/>
        <v>51.54674272618459</v>
      </c>
      <c r="R112" s="429">
        <f t="shared" si="39"/>
        <v>53.113620123240821</v>
      </c>
      <c r="S112" s="429">
        <f t="shared" si="39"/>
        <v>54.727695196710108</v>
      </c>
      <c r="T112" s="429">
        <f t="shared" si="39"/>
        <v>56.400927364727465</v>
      </c>
      <c r="U112" s="429">
        <f t="shared" si="39"/>
        <v>58.125106565973503</v>
      </c>
      <c r="V112" s="429">
        <f t="shared" si="39"/>
        <v>59.908891461534473</v>
      </c>
      <c r="W112" s="429">
        <f t="shared" si="39"/>
        <v>61.753402767893697</v>
      </c>
      <c r="X112" s="429">
        <f t="shared" si="39"/>
        <v>64.519385647837751</v>
      </c>
      <c r="Y112" s="429">
        <f t="shared" si="39"/>
        <v>66.517728038093693</v>
      </c>
      <c r="Z112" s="429">
        <f t="shared" si="39"/>
        <v>68.582736188106665</v>
      </c>
      <c r="AA112" s="429">
        <f t="shared" si="39"/>
        <v>70.717506414269707</v>
      </c>
      <c r="AB112" s="429">
        <f t="shared" si="39"/>
        <v>72.921543632334021</v>
      </c>
      <c r="AC112" s="429">
        <f t="shared" si="39"/>
        <v>75.198031751110179</v>
      </c>
      <c r="AD112" s="429">
        <f t="shared" si="39"/>
        <v>77.55764278360742</v>
      </c>
      <c r="AE112" s="429">
        <f t="shared" si="39"/>
        <v>79.992577886035576</v>
      </c>
      <c r="AF112" s="429">
        <f t="shared" si="39"/>
        <v>82.513606039895521</v>
      </c>
      <c r="AG112" s="429">
        <f t="shared" si="39"/>
        <v>85.122287977255212</v>
      </c>
    </row>
    <row r="113" spans="1:34" s="344" customFormat="1">
      <c r="A113" s="342" t="s">
        <v>327</v>
      </c>
      <c r="B113" s="342"/>
      <c r="H113" s="430">
        <f>H115/H63</f>
        <v>1.3405423483180514</v>
      </c>
      <c r="AB113" s="430">
        <f>AB115/AB63</f>
        <v>1.1384572654188592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00" t="s">
        <v>328</v>
      </c>
      <c r="B115" s="300" t="s">
        <v>309</v>
      </c>
      <c r="C115" s="376">
        <f>ROUND(('Changing with year'!C118)/1000,0)*1000</f>
        <v>4329000</v>
      </c>
      <c r="D115" s="376">
        <f>ROUND(('Changing with year'!D118)/1000,0)*1000</f>
        <v>4333000</v>
      </c>
      <c r="E115" s="376">
        <f>ROUND(('Changing with year'!E118)/1000,0)*1000</f>
        <v>4343000</v>
      </c>
      <c r="F115" s="376">
        <f>ROUND(('Changing with year'!F118)/1000,0)*1000</f>
        <v>4359000</v>
      </c>
      <c r="G115" s="376">
        <f>ROUND(('Changing with year'!G118)/1000,0)*1000</f>
        <v>4381000</v>
      </c>
      <c r="H115" s="376">
        <f>ROUND(('Changing with year'!H118)/1000,0)*1000</f>
        <v>4810000</v>
      </c>
      <c r="I115" s="376">
        <f>ROUND(('Changing with year'!I118)/1000,0)*1000</f>
        <v>4869000</v>
      </c>
      <c r="J115" s="376">
        <f>ROUND(('Changing with year'!J118)/1000,0)*1000</f>
        <v>4933000</v>
      </c>
      <c r="K115" s="376">
        <f>ROUND(('Changing with year'!K118)/1000,0)*1000</f>
        <v>5002000</v>
      </c>
      <c r="L115" s="376">
        <f>ROUND(('Changing with year'!L118)/1000,0)*1000</f>
        <v>5076000</v>
      </c>
      <c r="M115" s="376">
        <f>ROUND(('Changing with year'!M118)/1000,0)*1000</f>
        <v>5156000</v>
      </c>
      <c r="N115" s="376">
        <f>ROUND(('Changing with year'!N118)/1000,0)*1000</f>
        <v>5241000</v>
      </c>
      <c r="O115" s="376">
        <f>ROUND(('Changing with year'!O118)/1000,0)*1000</f>
        <v>5331000</v>
      </c>
      <c r="P115" s="376">
        <f>ROUND(('Changing with year'!P118)/1000,0)*1000</f>
        <v>5427000</v>
      </c>
      <c r="Q115" s="376">
        <f>ROUND(('Changing with year'!Q118)/1000,0)*1000</f>
        <v>5528000</v>
      </c>
      <c r="R115" s="376">
        <f>ROUND(('Changing with year'!R118)/1000,0)*1000</f>
        <v>5635000</v>
      </c>
      <c r="S115" s="376">
        <f>ROUND(('Changing with year'!S118)/1000,0)*1000</f>
        <v>5787000</v>
      </c>
      <c r="T115" s="376">
        <f>ROUND(('Changing with year'!T118)/1000,0)*1000</f>
        <v>5945000</v>
      </c>
      <c r="U115" s="376">
        <f>ROUND(('Changing with year'!U118)/1000,0)*1000</f>
        <v>6106000</v>
      </c>
      <c r="V115" s="376">
        <f>ROUND(('Changing with year'!V118)/1000,0)*1000</f>
        <v>6273000</v>
      </c>
      <c r="W115" s="376">
        <f>ROUND(('Changing with year'!W118)/1000,0)*1000</f>
        <v>6444000</v>
      </c>
      <c r="X115" s="376">
        <f>ROUND(('Changing with year'!X118)/1000,0)*1000</f>
        <v>6620000</v>
      </c>
      <c r="Y115" s="376">
        <f>ROUND(('Changing with year'!Y118)/1000,0)*1000</f>
        <v>6802000</v>
      </c>
      <c r="Z115" s="376">
        <f>ROUND(('Changing with year'!Z118)/1000,0)*1000</f>
        <v>6988000</v>
      </c>
      <c r="AA115" s="376">
        <f>ROUND(('Changing with year'!AA118)/1000,0)*1000</f>
        <v>7180000</v>
      </c>
      <c r="AB115" s="376">
        <f>ROUND(('Changing with year'!AB118)/1000,0)*1000</f>
        <v>7378000</v>
      </c>
      <c r="AC115" s="376">
        <f>ROUND(('Changing with year'!AC118)/1000,0)*1000</f>
        <v>7581000</v>
      </c>
      <c r="AD115" s="376">
        <f>ROUND(('Changing with year'!AD118)/1000,0)*1000</f>
        <v>7791000</v>
      </c>
      <c r="AE115" s="376">
        <f>ROUND(('Changing with year'!AE118)/1000,0)*1000</f>
        <v>8006000</v>
      </c>
      <c r="AF115" s="376">
        <f>ROUND(('Changing with year'!AF118)/1000,0)*1000</f>
        <v>8228000</v>
      </c>
      <c r="AG115" s="376">
        <f>ROUND(('Changing with year'!AG118)/1000,0)*1000</f>
        <v>8456000</v>
      </c>
    </row>
    <row r="116" spans="1:34">
      <c r="A116" s="300" t="s">
        <v>310</v>
      </c>
      <c r="B116" s="300" t="s">
        <v>309</v>
      </c>
      <c r="C116" s="376">
        <f>(C115*'No change with year'!$AH$5)</f>
        <v>1082250.0000000002</v>
      </c>
      <c r="D116" s="376">
        <f>(D115*'No change with year'!$AH$5)</f>
        <v>1083250.0000000002</v>
      </c>
      <c r="E116" s="376">
        <f>(E115*'No change with year'!$AH$5)</f>
        <v>1085750.0000000002</v>
      </c>
      <c r="F116" s="376">
        <f>(F115*'No change with year'!$AH$5)</f>
        <v>1089750.0000000002</v>
      </c>
      <c r="G116" s="376">
        <f>(G115*'No change with year'!$AH$5)</f>
        <v>1095250.0000000002</v>
      </c>
      <c r="H116" s="376">
        <f>(H115*'No change with year'!$AH$5)</f>
        <v>1202500.0000000002</v>
      </c>
      <c r="I116" s="376">
        <f>(I115*'No change with year'!$AH$5)</f>
        <v>1217250.0000000002</v>
      </c>
      <c r="J116" s="376">
        <f>(J115*'No change with year'!$AH$5)</f>
        <v>1233250.0000000002</v>
      </c>
      <c r="K116" s="376">
        <f>(K115*'No change with year'!$AH$5)</f>
        <v>1250500.0000000002</v>
      </c>
      <c r="L116" s="376">
        <f>(L115*'No change with year'!$AH$5)</f>
        <v>1269000.0000000002</v>
      </c>
      <c r="M116" s="376">
        <f>(M115*'No change with year'!$AH$5)</f>
        <v>1289000.0000000002</v>
      </c>
      <c r="N116" s="376">
        <f>(N115*'No change with year'!$AI$5)</f>
        <v>1834350.0000000005</v>
      </c>
      <c r="O116" s="376">
        <f>(O115*'No change with year'!$AI$5)</f>
        <v>1865850.0000000005</v>
      </c>
      <c r="P116" s="376">
        <f>(P115*'No change with year'!$AI$5)</f>
        <v>1899450.0000000005</v>
      </c>
      <c r="Q116" s="376">
        <f>(Q115*'No change with year'!$AI$5)</f>
        <v>1934800.0000000005</v>
      </c>
      <c r="R116" s="376">
        <f>(R115*'No change with year'!$AI$5)</f>
        <v>1972250.0000000005</v>
      </c>
      <c r="S116" s="376">
        <f>(S115*'No change with year'!$AI$5)</f>
        <v>2025450.0000000005</v>
      </c>
      <c r="T116" s="376">
        <f>(T115*'No change with year'!$AI$5)</f>
        <v>2080750.0000000005</v>
      </c>
      <c r="U116" s="376">
        <f>(U115*'No change with year'!$AI$5)</f>
        <v>2137100.0000000005</v>
      </c>
      <c r="V116" s="376">
        <f>(V115*'No change with year'!$AI$5)</f>
        <v>2195550.0000000005</v>
      </c>
      <c r="W116" s="376">
        <f>(W115*'No change with year'!$AI$5)</f>
        <v>2255400.0000000005</v>
      </c>
      <c r="X116" s="376">
        <f>(X115*'No change with year'!$AJ$5)</f>
        <v>2648000</v>
      </c>
      <c r="Y116" s="376">
        <f>(Y115*'No change with year'!$AJ$5)</f>
        <v>2720800</v>
      </c>
      <c r="Z116" s="376">
        <f>(Z115*'No change with year'!$AJ$5)</f>
        <v>2795200</v>
      </c>
      <c r="AA116" s="376">
        <f>(AA115*'No change with year'!$AJ$5)</f>
        <v>2872000</v>
      </c>
      <c r="AB116" s="376">
        <f>(AB115*'No change with year'!$AJ$5)</f>
        <v>2951200</v>
      </c>
      <c r="AC116" s="376">
        <f>(AC115*'No change with year'!$AJ$5)</f>
        <v>3032400</v>
      </c>
      <c r="AD116" s="376">
        <f>(AD115*'No change with year'!$AJ$5)</f>
        <v>3116400</v>
      </c>
      <c r="AE116" s="376">
        <f>(AE115*'No change with year'!$AJ$5)</f>
        <v>3202400</v>
      </c>
      <c r="AF116" s="376">
        <f>(AF115*'No change with year'!$AJ$5)</f>
        <v>3291200</v>
      </c>
      <c r="AG116" s="376">
        <f>(AG115*'No change with year'!$AJ$5)</f>
        <v>3382400</v>
      </c>
    </row>
    <row r="117" spans="1:34" s="371" customFormat="1" ht="11.85" customHeight="1">
      <c r="A117" s="428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00" t="s">
        <v>312</v>
      </c>
      <c r="B118" s="300" t="s">
        <v>313</v>
      </c>
      <c r="C118" s="376">
        <f>-PMT($C$28,$C$27,C115)</f>
        <v>948560.67871712102</v>
      </c>
      <c r="D118" s="376">
        <f t="shared" ref="D118:AG118" si="41">-PMT($C$28,$C$27,D115)</f>
        <v>949437.14966072666</v>
      </c>
      <c r="E118" s="376">
        <f t="shared" si="41"/>
        <v>951628.32701974059</v>
      </c>
      <c r="F118" s="376">
        <f t="shared" si="41"/>
        <v>955134.21079416282</v>
      </c>
      <c r="G118" s="376">
        <f t="shared" si="41"/>
        <v>959954.80098399345</v>
      </c>
      <c r="H118" s="376">
        <f t="shared" si="41"/>
        <v>1053956.3096856901</v>
      </c>
      <c r="I118" s="376">
        <f t="shared" si="41"/>
        <v>1066884.2561038723</v>
      </c>
      <c r="J118" s="376">
        <f t="shared" si="41"/>
        <v>1080907.7912015612</v>
      </c>
      <c r="K118" s="376">
        <f t="shared" si="41"/>
        <v>1096026.914978757</v>
      </c>
      <c r="L118" s="376">
        <f t="shared" si="41"/>
        <v>1112241.6274354602</v>
      </c>
      <c r="M118" s="376">
        <f t="shared" si="41"/>
        <v>1129771.0463075712</v>
      </c>
      <c r="N118" s="376">
        <f t="shared" si="41"/>
        <v>1148396.0538591896</v>
      </c>
      <c r="O118" s="376">
        <f t="shared" si="41"/>
        <v>1168116.6500903147</v>
      </c>
      <c r="P118" s="376">
        <f t="shared" si="41"/>
        <v>1189151.9527368483</v>
      </c>
      <c r="Q118" s="376">
        <f t="shared" si="41"/>
        <v>1211282.8440628888</v>
      </c>
      <c r="R118" s="376">
        <f t="shared" si="41"/>
        <v>1234728.4418043375</v>
      </c>
      <c r="S118" s="376">
        <f t="shared" si="41"/>
        <v>1268034.337661349</v>
      </c>
      <c r="T118" s="376">
        <f t="shared" si="41"/>
        <v>1302654.9399337687</v>
      </c>
      <c r="U118" s="376">
        <f t="shared" si="41"/>
        <v>1337932.8954138926</v>
      </c>
      <c r="V118" s="376">
        <f t="shared" si="41"/>
        <v>1374525.557309425</v>
      </c>
      <c r="W118" s="376">
        <f t="shared" si="41"/>
        <v>1411994.6901485627</v>
      </c>
      <c r="X118" s="376">
        <f t="shared" si="41"/>
        <v>1450559.4116672075</v>
      </c>
      <c r="Y118" s="376">
        <f t="shared" si="41"/>
        <v>1490438.8396012606</v>
      </c>
      <c r="Z118" s="376">
        <f t="shared" si="41"/>
        <v>1531194.7384789193</v>
      </c>
      <c r="AA118" s="376">
        <f t="shared" si="41"/>
        <v>1573265.3437719864</v>
      </c>
      <c r="AB118" s="376">
        <f t="shared" si="41"/>
        <v>1616650.6554804619</v>
      </c>
      <c r="AC118" s="376">
        <f t="shared" si="41"/>
        <v>1661131.5558684443</v>
      </c>
      <c r="AD118" s="376">
        <f t="shared" si="41"/>
        <v>1707146.2804077363</v>
      </c>
      <c r="AE118" s="376">
        <f t="shared" si="41"/>
        <v>1754256.5936265353</v>
      </c>
      <c r="AF118" s="376">
        <f t="shared" si="41"/>
        <v>1802900.7309966441</v>
      </c>
      <c r="AG118" s="376">
        <f t="shared" si="41"/>
        <v>1852859.5747821613</v>
      </c>
    </row>
    <row r="119" spans="1:34">
      <c r="A119" s="300" t="s">
        <v>321</v>
      </c>
      <c r="B119" s="300" t="s">
        <v>313</v>
      </c>
      <c r="C119" s="376">
        <f t="shared" ref="C119:AG119" si="42">$F$37*C50</f>
        <v>4995000</v>
      </c>
      <c r="D119" s="376">
        <f t="shared" si="42"/>
        <v>4948615.384615385</v>
      </c>
      <c r="E119" s="376">
        <f t="shared" si="42"/>
        <v>4906858.846153846</v>
      </c>
      <c r="F119" s="376">
        <f t="shared" si="42"/>
        <v>4869627.1961538466</v>
      </c>
      <c r="G119" s="376">
        <f t="shared" si="42"/>
        <v>4836822.2179615386</v>
      </c>
      <c r="H119" s="376">
        <f t="shared" si="42"/>
        <v>4808350.5085765393</v>
      </c>
      <c r="I119" s="376">
        <f t="shared" si="42"/>
        <v>4521981.2708006306</v>
      </c>
      <c r="J119" s="376">
        <f t="shared" si="42"/>
        <v>4371265.6778390948</v>
      </c>
      <c r="K119" s="376">
        <f t="shared" si="42"/>
        <v>4225562.9760730341</v>
      </c>
      <c r="L119" s="376">
        <f t="shared" si="42"/>
        <v>4084683.9787262348</v>
      </c>
      <c r="M119" s="376">
        <f t="shared" si="42"/>
        <v>3948447.3466982204</v>
      </c>
      <c r="N119" s="376">
        <f t="shared" si="42"/>
        <v>3816679.2419892345</v>
      </c>
      <c r="O119" s="376">
        <f t="shared" si="42"/>
        <v>3689212.9970465126</v>
      </c>
      <c r="P119" s="376">
        <f t="shared" si="42"/>
        <v>3565888.7992820386</v>
      </c>
      <c r="Q119" s="376">
        <f t="shared" si="42"/>
        <v>3446553.3900478561</v>
      </c>
      <c r="R119" s="376">
        <f t="shared" si="42"/>
        <v>3331059.7773891585</v>
      </c>
      <c r="S119" s="376">
        <f t="shared" si="42"/>
        <v>3075511.9024878652</v>
      </c>
      <c r="T119" s="376">
        <f t="shared" si="42"/>
        <v>2988184.6178275868</v>
      </c>
      <c r="U119" s="376">
        <f t="shared" si="42"/>
        <v>2903965.0300973593</v>
      </c>
      <c r="V119" s="376">
        <f t="shared" si="42"/>
        <v>2822718.8204958132</v>
      </c>
      <c r="W119" s="376">
        <f t="shared" si="42"/>
        <v>2744317.9211200336</v>
      </c>
      <c r="X119" s="376">
        <f t="shared" si="42"/>
        <v>2668640.2147024861</v>
      </c>
      <c r="Y119" s="376">
        <f t="shared" si="42"/>
        <v>2595569.249009341</v>
      </c>
      <c r="Z119" s="376">
        <f t="shared" si="42"/>
        <v>2524993.9651775002</v>
      </c>
      <c r="AA119" s="376">
        <f t="shared" si="42"/>
        <v>2456808.4393034731</v>
      </c>
      <c r="AB119" s="376">
        <f t="shared" si="42"/>
        <v>2390911.6366312886</v>
      </c>
      <c r="AC119" s="376">
        <f t="shared" si="42"/>
        <v>2310574.9028764712</v>
      </c>
      <c r="AD119" s="376">
        <f t="shared" si="42"/>
        <v>2318538.1540846969</v>
      </c>
      <c r="AE119" s="376">
        <f t="shared" si="42"/>
        <v>2329206.7631243202</v>
      </c>
      <c r="AF119" s="376">
        <f t="shared" si="42"/>
        <v>2342537.2641654452</v>
      </c>
      <c r="AG119" s="376">
        <f t="shared" si="42"/>
        <v>2358490.3754401747</v>
      </c>
    </row>
    <row r="120" spans="1:34">
      <c r="A120" s="300" t="s">
        <v>317</v>
      </c>
      <c r="B120" s="300" t="s">
        <v>313</v>
      </c>
      <c r="C120" s="376">
        <f t="shared" ref="C120:AG120" si="43">$C$22*$C$21*C56</f>
        <v>356400</v>
      </c>
      <c r="D120" s="376">
        <f t="shared" si="43"/>
        <v>370656</v>
      </c>
      <c r="E120" s="376">
        <f t="shared" si="43"/>
        <v>385482.23999999999</v>
      </c>
      <c r="F120" s="376">
        <f t="shared" si="43"/>
        <v>400901.52960000001</v>
      </c>
      <c r="G120" s="376">
        <f t="shared" si="43"/>
        <v>416937.59078400006</v>
      </c>
      <c r="H120" s="376">
        <f t="shared" si="43"/>
        <v>433615.09441536001</v>
      </c>
      <c r="I120" s="376">
        <f t="shared" si="43"/>
        <v>450959.69819197443</v>
      </c>
      <c r="J120" s="376">
        <f t="shared" si="43"/>
        <v>468998.08611965342</v>
      </c>
      <c r="K120" s="376">
        <f t="shared" si="43"/>
        <v>487758.00956443953</v>
      </c>
      <c r="L120" s="376">
        <f t="shared" si="43"/>
        <v>507268.32994701719</v>
      </c>
      <c r="M120" s="376">
        <f t="shared" si="43"/>
        <v>527559.06314489793</v>
      </c>
      <c r="N120" s="376">
        <f t="shared" si="43"/>
        <v>548661.42567069386</v>
      </c>
      <c r="O120" s="376">
        <f t="shared" si="43"/>
        <v>570607.88269752159</v>
      </c>
      <c r="P120" s="376">
        <f t="shared" si="43"/>
        <v>593432.19800542248</v>
      </c>
      <c r="Q120" s="376">
        <f t="shared" si="43"/>
        <v>617169.48592563928</v>
      </c>
      <c r="R120" s="376">
        <f t="shared" si="43"/>
        <v>641856.26536266494</v>
      </c>
      <c r="S120" s="376">
        <f t="shared" si="43"/>
        <v>667530.5159771716</v>
      </c>
      <c r="T120" s="376">
        <f t="shared" si="43"/>
        <v>694231.73661625839</v>
      </c>
      <c r="U120" s="376">
        <f t="shared" si="43"/>
        <v>722001.00608090882</v>
      </c>
      <c r="V120" s="376">
        <f t="shared" si="43"/>
        <v>750881.04632414517</v>
      </c>
      <c r="W120" s="376">
        <f t="shared" si="43"/>
        <v>780916.28817711095</v>
      </c>
      <c r="X120" s="376">
        <f t="shared" si="43"/>
        <v>812152.93970419548</v>
      </c>
      <c r="Y120" s="376">
        <f t="shared" si="43"/>
        <v>844639.05729236337</v>
      </c>
      <c r="Z120" s="376">
        <f t="shared" si="43"/>
        <v>878424.61958405795</v>
      </c>
      <c r="AA120" s="376">
        <f t="shared" si="43"/>
        <v>913561.60436742031</v>
      </c>
      <c r="AB120" s="376">
        <f t="shared" si="43"/>
        <v>950104.06854211714</v>
      </c>
      <c r="AC120" s="376">
        <f t="shared" si="43"/>
        <v>988108.23128380196</v>
      </c>
      <c r="AD120" s="376">
        <f t="shared" si="43"/>
        <v>1027632.5605351541</v>
      </c>
      <c r="AE120" s="376">
        <f t="shared" si="43"/>
        <v>1068737.8629565602</v>
      </c>
      <c r="AF120" s="376">
        <f t="shared" si="43"/>
        <v>1111487.3774748226</v>
      </c>
      <c r="AG120" s="376">
        <f t="shared" si="43"/>
        <v>1155946.8725738155</v>
      </c>
    </row>
    <row r="121" spans="1:34">
      <c r="A121" s="300" t="s">
        <v>318</v>
      </c>
      <c r="B121" s="300" t="s">
        <v>313</v>
      </c>
      <c r="C121" s="376">
        <f>'Changing with year'!C288</f>
        <v>400000</v>
      </c>
      <c r="D121" s="376">
        <f>'Changing with year'!D288</f>
        <v>418000</v>
      </c>
      <c r="E121" s="376">
        <f>'Changing with year'!E288</f>
        <v>437000</v>
      </c>
      <c r="F121" s="376">
        <f>'Changing with year'!F288</f>
        <v>457000</v>
      </c>
      <c r="G121" s="376">
        <f>'Changing with year'!G288</f>
        <v>478000</v>
      </c>
      <c r="H121" s="376">
        <f>'Changing with year'!H288</f>
        <v>500000</v>
      </c>
      <c r="I121" s="376">
        <f>'Changing with year'!I288</f>
        <v>523000</v>
      </c>
      <c r="J121" s="376">
        <f>'Changing with year'!J288</f>
        <v>547000</v>
      </c>
      <c r="K121" s="376">
        <f>'Changing with year'!K288</f>
        <v>572000</v>
      </c>
      <c r="L121" s="376">
        <f>'Changing with year'!L288</f>
        <v>598000</v>
      </c>
      <c r="M121" s="376">
        <f>'Changing with year'!M288</f>
        <v>625000</v>
      </c>
      <c r="N121" s="376">
        <f>'Changing with year'!N288</f>
        <v>653000</v>
      </c>
      <c r="O121" s="376">
        <f>'Changing with year'!O288</f>
        <v>682000</v>
      </c>
      <c r="P121" s="376">
        <f>'Changing with year'!P288</f>
        <v>713000</v>
      </c>
      <c r="Q121" s="376">
        <f>'Changing with year'!Q288</f>
        <v>745000</v>
      </c>
      <c r="R121" s="376">
        <f>'Changing with year'!R288</f>
        <v>779000</v>
      </c>
      <c r="S121" s="376">
        <f>'Changing with year'!S288</f>
        <v>814000</v>
      </c>
      <c r="T121" s="376">
        <f>'Changing with year'!T288</f>
        <v>851000</v>
      </c>
      <c r="U121" s="376">
        <f>'Changing with year'!U288</f>
        <v>889000</v>
      </c>
      <c r="V121" s="376">
        <f>'Changing with year'!V288</f>
        <v>929000</v>
      </c>
      <c r="W121" s="376">
        <f>'Changing with year'!W288</f>
        <v>971000</v>
      </c>
      <c r="X121" s="376">
        <f>'Changing with year'!X288</f>
        <v>1015000</v>
      </c>
      <c r="Y121" s="376">
        <f>'Changing with year'!Y288</f>
        <v>1061000</v>
      </c>
      <c r="Z121" s="376">
        <f>'Changing with year'!Z288</f>
        <v>1109000</v>
      </c>
      <c r="AA121" s="376">
        <f>'Changing with year'!AA288</f>
        <v>1159000</v>
      </c>
      <c r="AB121" s="376">
        <f>'Changing with year'!AB288</f>
        <v>1211000</v>
      </c>
      <c r="AC121" s="376">
        <f>'Changing with year'!AC288</f>
        <v>1265000</v>
      </c>
      <c r="AD121" s="376">
        <f>'Changing with year'!AD288</f>
        <v>1322000</v>
      </c>
      <c r="AE121" s="376">
        <f>'Changing with year'!AE288</f>
        <v>1381000</v>
      </c>
      <c r="AF121" s="376">
        <f>'Changing with year'!AF288</f>
        <v>1443000</v>
      </c>
      <c r="AG121" s="376">
        <f>'Changing with year'!AG288</f>
        <v>1508000</v>
      </c>
      <c r="AH121" s="339"/>
    </row>
    <row r="122" spans="1:34">
      <c r="A122" s="300" t="s">
        <v>272</v>
      </c>
      <c r="B122" s="300" t="s">
        <v>313</v>
      </c>
      <c r="C122" s="437">
        <f t="shared" ref="C122:AG122" si="44">C60</f>
        <v>572400</v>
      </c>
      <c r="D122" s="437">
        <f t="shared" si="44"/>
        <v>578124</v>
      </c>
      <c r="E122" s="437">
        <f t="shared" si="44"/>
        <v>583905.24</v>
      </c>
      <c r="F122" s="437">
        <f t="shared" si="44"/>
        <v>589744.29240000003</v>
      </c>
      <c r="G122" s="437">
        <f t="shared" si="44"/>
        <v>595641.73532400001</v>
      </c>
      <c r="H122" s="437">
        <f t="shared" si="44"/>
        <v>601598.15267724008</v>
      </c>
      <c r="I122" s="437">
        <f t="shared" si="44"/>
        <v>607614.13420401246</v>
      </c>
      <c r="J122" s="437">
        <f t="shared" si="44"/>
        <v>613690.27554605249</v>
      </c>
      <c r="K122" s="437">
        <f t="shared" si="44"/>
        <v>619827.17830151308</v>
      </c>
      <c r="L122" s="437">
        <f t="shared" si="44"/>
        <v>626025.45008452807</v>
      </c>
      <c r="M122" s="437">
        <f t="shared" si="44"/>
        <v>632285.7045853734</v>
      </c>
      <c r="N122" s="437">
        <f t="shared" si="44"/>
        <v>638608.56163122714</v>
      </c>
      <c r="O122" s="437">
        <f t="shared" si="44"/>
        <v>644994.64724753937</v>
      </c>
      <c r="P122" s="437">
        <f t="shared" si="44"/>
        <v>651444.59372001479</v>
      </c>
      <c r="Q122" s="437">
        <f t="shared" si="44"/>
        <v>657959.03965721501</v>
      </c>
      <c r="R122" s="437">
        <f t="shared" si="44"/>
        <v>664538.63005378714</v>
      </c>
      <c r="S122" s="437">
        <f t="shared" si="44"/>
        <v>671184.01635432511</v>
      </c>
      <c r="T122" s="437">
        <f t="shared" si="44"/>
        <v>677895.85651786823</v>
      </c>
      <c r="U122" s="437">
        <f t="shared" si="44"/>
        <v>684674.81508304703</v>
      </c>
      <c r="V122" s="437">
        <f t="shared" si="44"/>
        <v>691521.56323387753</v>
      </c>
      <c r="W122" s="437">
        <f t="shared" si="44"/>
        <v>698436.77886621631</v>
      </c>
      <c r="X122" s="437">
        <f t="shared" si="44"/>
        <v>705421.14665487851</v>
      </c>
      <c r="Y122" s="437">
        <f t="shared" si="44"/>
        <v>712475.35812142724</v>
      </c>
      <c r="Z122" s="437">
        <f t="shared" si="44"/>
        <v>719600.11170264147</v>
      </c>
      <c r="AA122" s="437">
        <f t="shared" si="44"/>
        <v>726796.11281966791</v>
      </c>
      <c r="AB122" s="437">
        <f t="shared" si="44"/>
        <v>734064.0739478647</v>
      </c>
      <c r="AC122" s="437">
        <f t="shared" si="44"/>
        <v>741404.71468734322</v>
      </c>
      <c r="AD122" s="437">
        <f t="shared" si="44"/>
        <v>748818.76183421677</v>
      </c>
      <c r="AE122" s="437">
        <f t="shared" si="44"/>
        <v>756306.94945255888</v>
      </c>
      <c r="AF122" s="437">
        <f t="shared" si="44"/>
        <v>763870.01894708455</v>
      </c>
      <c r="AG122" s="437">
        <f t="shared" si="44"/>
        <v>771508.71913655533</v>
      </c>
    </row>
    <row r="123" spans="1:34">
      <c r="A123" s="300" t="s">
        <v>319</v>
      </c>
      <c r="B123" s="300" t="s">
        <v>313</v>
      </c>
      <c r="C123" s="376">
        <f t="shared" ref="C123:AG123" si="45">C115*$C$29</f>
        <v>86580</v>
      </c>
      <c r="D123" s="376">
        <f t="shared" si="45"/>
        <v>86660</v>
      </c>
      <c r="E123" s="376">
        <f t="shared" si="45"/>
        <v>86860</v>
      </c>
      <c r="F123" s="376">
        <f t="shared" si="45"/>
        <v>87180</v>
      </c>
      <c r="G123" s="376">
        <f t="shared" si="45"/>
        <v>87620</v>
      </c>
      <c r="H123" s="376">
        <f t="shared" si="45"/>
        <v>96200</v>
      </c>
      <c r="I123" s="376">
        <f t="shared" si="45"/>
        <v>97380</v>
      </c>
      <c r="J123" s="376">
        <f t="shared" si="45"/>
        <v>98660</v>
      </c>
      <c r="K123" s="376">
        <f t="shared" si="45"/>
        <v>100040</v>
      </c>
      <c r="L123" s="376">
        <f t="shared" si="45"/>
        <v>101520</v>
      </c>
      <c r="M123" s="376">
        <f t="shared" si="45"/>
        <v>103120</v>
      </c>
      <c r="N123" s="376">
        <f t="shared" si="45"/>
        <v>104820</v>
      </c>
      <c r="O123" s="376">
        <f t="shared" si="45"/>
        <v>106620</v>
      </c>
      <c r="P123" s="376">
        <f t="shared" si="45"/>
        <v>108540</v>
      </c>
      <c r="Q123" s="376">
        <f t="shared" si="45"/>
        <v>110560</v>
      </c>
      <c r="R123" s="376">
        <f t="shared" si="45"/>
        <v>112700</v>
      </c>
      <c r="S123" s="376">
        <f t="shared" si="45"/>
        <v>115740</v>
      </c>
      <c r="T123" s="376">
        <f t="shared" si="45"/>
        <v>118900</v>
      </c>
      <c r="U123" s="376">
        <f t="shared" si="45"/>
        <v>122120</v>
      </c>
      <c r="V123" s="376">
        <f t="shared" si="45"/>
        <v>125460</v>
      </c>
      <c r="W123" s="376">
        <f t="shared" si="45"/>
        <v>128880</v>
      </c>
      <c r="X123" s="376">
        <f t="shared" si="45"/>
        <v>132400</v>
      </c>
      <c r="Y123" s="376">
        <f t="shared" si="45"/>
        <v>136040</v>
      </c>
      <c r="Z123" s="376">
        <f t="shared" si="45"/>
        <v>139760</v>
      </c>
      <c r="AA123" s="376">
        <f t="shared" si="45"/>
        <v>143600</v>
      </c>
      <c r="AB123" s="376">
        <f t="shared" si="45"/>
        <v>147560</v>
      </c>
      <c r="AC123" s="376">
        <f t="shared" si="45"/>
        <v>151620</v>
      </c>
      <c r="AD123" s="376">
        <f t="shared" si="45"/>
        <v>155820</v>
      </c>
      <c r="AE123" s="376">
        <f t="shared" si="45"/>
        <v>160120</v>
      </c>
      <c r="AF123" s="376">
        <f t="shared" si="45"/>
        <v>164560</v>
      </c>
      <c r="AG123" s="376">
        <f t="shared" si="45"/>
        <v>169120</v>
      </c>
    </row>
    <row r="124" spans="1:34" s="371" customFormat="1" ht="11.85" customHeight="1">
      <c r="A124" s="428" t="s">
        <v>320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/>
      <c r="AE124" s="428"/>
      <c r="AF124" s="428"/>
      <c r="AG124" s="428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8.7829692473807501</v>
      </c>
      <c r="D125" s="379">
        <f t="shared" si="46"/>
        <v>8.7910847190808017</v>
      </c>
      <c r="E125" s="379">
        <f t="shared" si="46"/>
        <v>8.8113733983309306</v>
      </c>
      <c r="F125" s="379">
        <f t="shared" si="46"/>
        <v>8.8438352851311368</v>
      </c>
      <c r="G125" s="379">
        <f t="shared" si="46"/>
        <v>8.8884703794814204</v>
      </c>
      <c r="H125" s="379">
        <f t="shared" si="46"/>
        <v>9.7588547193119446</v>
      </c>
      <c r="I125" s="379">
        <f t="shared" si="46"/>
        <v>9.8785579268877068</v>
      </c>
      <c r="J125" s="379">
        <f t="shared" si="46"/>
        <v>10.00840547408853</v>
      </c>
      <c r="K125" s="379">
        <f t="shared" si="46"/>
        <v>10.148397360914418</v>
      </c>
      <c r="L125" s="379">
        <f t="shared" si="46"/>
        <v>10.298533587365373</v>
      </c>
      <c r="M125" s="379">
        <f t="shared" si="46"/>
        <v>10.460843021366401</v>
      </c>
      <c r="N125" s="379">
        <f t="shared" si="46"/>
        <v>10.633296794992496</v>
      </c>
      <c r="O125" s="379">
        <f t="shared" si="46"/>
        <v>10.815894908243655</v>
      </c>
      <c r="P125" s="379">
        <f t="shared" si="46"/>
        <v>11.010666229044892</v>
      </c>
      <c r="Q125" s="379">
        <f t="shared" si="46"/>
        <v>11.215581889471192</v>
      </c>
      <c r="R125" s="379">
        <f t="shared" si="46"/>
        <v>11.432670757447569</v>
      </c>
      <c r="S125" s="379">
        <f t="shared" si="46"/>
        <v>11.741058682049527</v>
      </c>
      <c r="T125" s="379">
        <f t="shared" si="46"/>
        <v>12.061619814201562</v>
      </c>
      <c r="U125" s="379">
        <f t="shared" si="46"/>
        <v>12.388267550128635</v>
      </c>
      <c r="V125" s="379">
        <f t="shared" si="46"/>
        <v>12.727088493605788</v>
      </c>
      <c r="W125" s="379">
        <f t="shared" si="46"/>
        <v>13.074024908782988</v>
      </c>
      <c r="X125" s="379">
        <f t="shared" si="46"/>
        <v>13.431105663585255</v>
      </c>
      <c r="Y125" s="379">
        <f t="shared" si="46"/>
        <v>13.800359625937599</v>
      </c>
      <c r="Z125" s="379">
        <f t="shared" si="46"/>
        <v>14.177729059989993</v>
      </c>
      <c r="AA125" s="379">
        <f t="shared" si="46"/>
        <v>14.567271701592468</v>
      </c>
      <c r="AB125" s="379">
        <f t="shared" si="46"/>
        <v>14.968987550745018</v>
      </c>
      <c r="AC125" s="379">
        <f t="shared" si="46"/>
        <v>15.380847739522633</v>
      </c>
      <c r="AD125" s="379">
        <f t="shared" si="46"/>
        <v>15.806910003775336</v>
      </c>
      <c r="AE125" s="379">
        <f t="shared" si="46"/>
        <v>16.243116607653104</v>
      </c>
      <c r="AF125" s="379">
        <f t="shared" si="46"/>
        <v>16.693525287005965</v>
      </c>
      <c r="AG125" s="379">
        <f t="shared" si="46"/>
        <v>17.1561071739089</v>
      </c>
    </row>
    <row r="126" spans="1:34">
      <c r="A126" s="300" t="s">
        <v>321</v>
      </c>
      <c r="B126" s="300" t="s">
        <v>300</v>
      </c>
      <c r="C126" s="379">
        <f t="shared" si="46"/>
        <v>46.25</v>
      </c>
      <c r="D126" s="379">
        <f t="shared" si="46"/>
        <v>45.820512820512825</v>
      </c>
      <c r="E126" s="379">
        <f t="shared" si="46"/>
        <v>45.433878205128202</v>
      </c>
      <c r="F126" s="379">
        <f t="shared" si="46"/>
        <v>45.089140705128209</v>
      </c>
      <c r="G126" s="379">
        <f t="shared" si="46"/>
        <v>44.78539090705128</v>
      </c>
      <c r="H126" s="379">
        <f t="shared" si="46"/>
        <v>44.521763968301293</v>
      </c>
      <c r="I126" s="379">
        <f t="shared" si="46"/>
        <v>41.870196951857693</v>
      </c>
      <c r="J126" s="379">
        <f t="shared" si="46"/>
        <v>40.474682202213842</v>
      </c>
      <c r="K126" s="379">
        <f t="shared" si="46"/>
        <v>39.12558311178735</v>
      </c>
      <c r="L126" s="379">
        <f t="shared" si="46"/>
        <v>37.82114795116884</v>
      </c>
      <c r="M126" s="379">
        <f t="shared" si="46"/>
        <v>36.559697654613153</v>
      </c>
      <c r="N126" s="379">
        <f t="shared" si="46"/>
        <v>35.339622611011428</v>
      </c>
      <c r="O126" s="379">
        <f t="shared" si="46"/>
        <v>34.15937960228252</v>
      </c>
      <c r="P126" s="379">
        <f t="shared" si="46"/>
        <v>33.017488882241096</v>
      </c>
      <c r="Q126" s="379">
        <f t="shared" si="46"/>
        <v>31.912531389332003</v>
      </c>
      <c r="R126" s="379">
        <f t="shared" si="46"/>
        <v>30.843146086936652</v>
      </c>
      <c r="S126" s="379">
        <f t="shared" si="46"/>
        <v>28.476962060072825</v>
      </c>
      <c r="T126" s="379">
        <f t="shared" si="46"/>
        <v>27.668376090996173</v>
      </c>
      <c r="U126" s="379">
        <f t="shared" si="46"/>
        <v>26.888565093494069</v>
      </c>
      <c r="V126" s="379">
        <f t="shared" si="46"/>
        <v>26.136285374961233</v>
      </c>
      <c r="W126" s="379">
        <f t="shared" si="46"/>
        <v>25.410351121481792</v>
      </c>
      <c r="X126" s="379">
        <f t="shared" si="46"/>
        <v>24.70963161761561</v>
      </c>
      <c r="Y126" s="379">
        <f t="shared" si="46"/>
        <v>24.033048601938344</v>
      </c>
      <c r="Z126" s="379">
        <f t="shared" si="46"/>
        <v>23.37957375164352</v>
      </c>
      <c r="AA126" s="379">
        <f t="shared" si="46"/>
        <v>22.748226289846972</v>
      </c>
      <c r="AB126" s="379">
        <f t="shared" si="46"/>
        <v>22.13807070954897</v>
      </c>
      <c r="AC126" s="379">
        <f t="shared" si="46"/>
        <v>21.394212063671031</v>
      </c>
      <c r="AD126" s="379">
        <f t="shared" si="46"/>
        <v>21.467945871154601</v>
      </c>
      <c r="AE126" s="379">
        <f t="shared" si="46"/>
        <v>21.566729288188149</v>
      </c>
      <c r="AF126" s="379">
        <f t="shared" si="46"/>
        <v>21.690159853383751</v>
      </c>
      <c r="AG126" s="379">
        <f t="shared" si="46"/>
        <v>21.837873846668284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13.10537037037037</v>
      </c>
      <c r="D127" s="379">
        <f t="shared" si="47"/>
        <v>13.457777777777778</v>
      </c>
      <c r="E127" s="379">
        <f t="shared" si="47"/>
        <v>13.826365555555556</v>
      </c>
      <c r="F127" s="379">
        <f t="shared" si="47"/>
        <v>14.211350203703706</v>
      </c>
      <c r="G127" s="379">
        <f t="shared" si="47"/>
        <v>14.612956723222222</v>
      </c>
      <c r="H127" s="379">
        <f t="shared" si="47"/>
        <v>15.10567821382037</v>
      </c>
      <c r="I127" s="379">
        <f t="shared" si="47"/>
        <v>15.54586881848136</v>
      </c>
      <c r="J127" s="379">
        <f t="shared" si="47"/>
        <v>16.00322557097876</v>
      </c>
      <c r="K127" s="379">
        <f t="shared" si="47"/>
        <v>16.478010998758819</v>
      </c>
      <c r="L127" s="379">
        <f t="shared" si="47"/>
        <v>16.970497963255045</v>
      </c>
      <c r="M127" s="379">
        <f t="shared" si="47"/>
        <v>17.481155256761774</v>
      </c>
      <c r="N127" s="379">
        <f t="shared" si="47"/>
        <v>18.010092475017785</v>
      </c>
      <c r="O127" s="379">
        <f t="shared" si="47"/>
        <v>18.557616018009824</v>
      </c>
      <c r="P127" s="379">
        <f t="shared" si="47"/>
        <v>19.133488812272567</v>
      </c>
      <c r="Q127" s="379">
        <f t="shared" si="47"/>
        <v>19.728597459100502</v>
      </c>
      <c r="R127" s="379">
        <f t="shared" si="47"/>
        <v>20.352730513115297</v>
      </c>
      <c r="S127" s="379">
        <f t="shared" si="47"/>
        <v>21.004208632699047</v>
      </c>
      <c r="T127" s="379">
        <f t="shared" si="47"/>
        <v>21.68544067716784</v>
      </c>
      <c r="U127" s="379">
        <f t="shared" si="47"/>
        <v>22.386998344110701</v>
      </c>
      <c r="V127" s="379">
        <f t="shared" si="47"/>
        <v>23.119098236648359</v>
      </c>
      <c r="W127" s="379">
        <f t="shared" si="47"/>
        <v>23.881787657808587</v>
      </c>
      <c r="X127" s="379">
        <f t="shared" si="47"/>
        <v>24.675685984806243</v>
      </c>
      <c r="Y127" s="379">
        <f t="shared" si="47"/>
        <v>25.501429772349912</v>
      </c>
      <c r="Z127" s="379">
        <f t="shared" si="47"/>
        <v>26.359117882284252</v>
      </c>
      <c r="AA127" s="379">
        <f t="shared" si="47"/>
        <v>27.249608492473037</v>
      </c>
      <c r="AB127" s="379">
        <f t="shared" si="47"/>
        <v>28.173408726759092</v>
      </c>
      <c r="AC127" s="379">
        <f t="shared" si="47"/>
        <v>29.130860610843939</v>
      </c>
      <c r="AD127" s="379">
        <f t="shared" si="47"/>
        <v>30.132141873790474</v>
      </c>
      <c r="AE127" s="379">
        <f t="shared" si="47"/>
        <v>31.168192707491844</v>
      </c>
      <c r="AF127" s="379">
        <f t="shared" si="47"/>
        <v>32.249235152054695</v>
      </c>
      <c r="AG127" s="379">
        <f t="shared" si="47"/>
        <v>33.37569992324417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1.4315476190476193</v>
      </c>
      <c r="D128" s="379">
        <f t="shared" si="48"/>
        <v>1.4328703703703707</v>
      </c>
      <c r="E128" s="379">
        <f t="shared" si="48"/>
        <v>1.4361772486772491</v>
      </c>
      <c r="F128" s="379">
        <f t="shared" si="48"/>
        <v>1.4414682539682542</v>
      </c>
      <c r="G128" s="379">
        <f t="shared" si="48"/>
        <v>1.4487433862433865</v>
      </c>
      <c r="H128" s="379">
        <f t="shared" si="48"/>
        <v>1.590608465608466</v>
      </c>
      <c r="I128" s="379">
        <f t="shared" si="48"/>
        <v>1.6101190476190479</v>
      </c>
      <c r="J128" s="379">
        <f t="shared" si="48"/>
        <v>1.6312830687830691</v>
      </c>
      <c r="K128" s="379">
        <f t="shared" si="48"/>
        <v>1.6541005291005295</v>
      </c>
      <c r="L128" s="379">
        <f t="shared" si="48"/>
        <v>1.6785714285714288</v>
      </c>
      <c r="M128" s="379">
        <f t="shared" si="48"/>
        <v>1.7050264550264553</v>
      </c>
      <c r="N128" s="379">
        <f t="shared" si="48"/>
        <v>2.4263888888888894</v>
      </c>
      <c r="O128" s="379">
        <f t="shared" si="48"/>
        <v>2.4680555555555563</v>
      </c>
      <c r="P128" s="379">
        <f t="shared" si="48"/>
        <v>2.5125000000000006</v>
      </c>
      <c r="Q128" s="379">
        <f t="shared" si="48"/>
        <v>2.5592592592592598</v>
      </c>
      <c r="R128" s="379">
        <f t="shared" si="48"/>
        <v>2.6087962962962967</v>
      </c>
      <c r="S128" s="379">
        <f t="shared" si="48"/>
        <v>2.6791666666666671</v>
      </c>
      <c r="T128" s="379">
        <f t="shared" si="48"/>
        <v>2.7523148148148153</v>
      </c>
      <c r="U128" s="379">
        <f t="shared" si="48"/>
        <v>2.8268518518518526</v>
      </c>
      <c r="V128" s="379">
        <f t="shared" si="48"/>
        <v>2.9041666666666672</v>
      </c>
      <c r="W128" s="379">
        <f t="shared" si="48"/>
        <v>2.9833333333333338</v>
      </c>
      <c r="X128" s="379">
        <f t="shared" si="48"/>
        <v>3.5026455026455028</v>
      </c>
      <c r="Y128" s="379">
        <f t="shared" si="48"/>
        <v>3.5989417989417989</v>
      </c>
      <c r="Z128" s="379">
        <f t="shared" si="48"/>
        <v>3.6973544973544974</v>
      </c>
      <c r="AA128" s="379">
        <f t="shared" si="48"/>
        <v>3.7989417989417991</v>
      </c>
      <c r="AB128" s="379">
        <f t="shared" si="48"/>
        <v>3.9037037037037039</v>
      </c>
      <c r="AC128" s="379">
        <f t="shared" si="48"/>
        <v>4.0111111111111111</v>
      </c>
      <c r="AD128" s="379">
        <f t="shared" si="48"/>
        <v>4.1222222222222218</v>
      </c>
      <c r="AE128" s="379">
        <f t="shared" si="48"/>
        <v>4.2359788359788357</v>
      </c>
      <c r="AF128" s="379">
        <f t="shared" si="48"/>
        <v>4.3534391534391537</v>
      </c>
      <c r="AG128" s="379">
        <f t="shared" si="48"/>
        <v>4.4740740740740739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66.706791998703494</v>
      </c>
      <c r="D129" s="384">
        <f t="shared" ref="D129:AG129" si="49">SUM(D125:D127)-D128</f>
        <v>66.636504947001029</v>
      </c>
      <c r="E129" s="384">
        <f t="shared" si="49"/>
        <v>66.635439910337439</v>
      </c>
      <c r="F129" s="384">
        <f t="shared" si="49"/>
        <v>66.7028579399948</v>
      </c>
      <c r="G129" s="384">
        <f t="shared" si="49"/>
        <v>66.838074623511531</v>
      </c>
      <c r="H129" s="384">
        <f t="shared" si="49"/>
        <v>67.795688435825141</v>
      </c>
      <c r="I129" s="384">
        <f t="shared" si="49"/>
        <v>65.684504649607717</v>
      </c>
      <c r="J129" s="384">
        <f t="shared" si="49"/>
        <v>64.855030178498069</v>
      </c>
      <c r="K129" s="384">
        <f t="shared" si="49"/>
        <v>64.097890942360053</v>
      </c>
      <c r="L129" s="384">
        <f t="shared" si="49"/>
        <v>63.41160807321782</v>
      </c>
      <c r="M129" s="384">
        <f t="shared" si="49"/>
        <v>62.796669477714872</v>
      </c>
      <c r="N129" s="384">
        <f t="shared" si="49"/>
        <v>61.556622992132823</v>
      </c>
      <c r="O129" s="384">
        <f t="shared" si="49"/>
        <v>61.064834972980442</v>
      </c>
      <c r="P129" s="384">
        <f t="shared" si="49"/>
        <v>60.649143923558555</v>
      </c>
      <c r="Q129" s="384">
        <f t="shared" si="49"/>
        <v>60.29745147864444</v>
      </c>
      <c r="R129" s="384">
        <f t="shared" si="49"/>
        <v>60.019751061203223</v>
      </c>
      <c r="S129" s="384">
        <f t="shared" si="49"/>
        <v>58.543062708154729</v>
      </c>
      <c r="T129" s="384">
        <f t="shared" si="49"/>
        <v>58.663121767550756</v>
      </c>
      <c r="U129" s="384">
        <f t="shared" si="49"/>
        <v>58.836979135881549</v>
      </c>
      <c r="V129" s="384">
        <f t="shared" si="49"/>
        <v>59.078305438548711</v>
      </c>
      <c r="W129" s="384">
        <f t="shared" si="49"/>
        <v>59.382830354740037</v>
      </c>
      <c r="X129" s="384">
        <f t="shared" si="49"/>
        <v>59.313777763361607</v>
      </c>
      <c r="Y129" s="384">
        <f t="shared" si="49"/>
        <v>59.735896201284056</v>
      </c>
      <c r="Z129" s="384">
        <f t="shared" si="49"/>
        <v>60.219066196563269</v>
      </c>
      <c r="AA129" s="384">
        <f t="shared" si="49"/>
        <v>60.766164684970676</v>
      </c>
      <c r="AB129" s="384">
        <f t="shared" si="49"/>
        <v>61.376763283349369</v>
      </c>
      <c r="AC129" s="384">
        <f t="shared" si="49"/>
        <v>61.894809302926497</v>
      </c>
      <c r="AD129" s="384">
        <f t="shared" si="49"/>
        <v>63.284775526498194</v>
      </c>
      <c r="AE129" s="384">
        <f t="shared" si="49"/>
        <v>64.742059767354249</v>
      </c>
      <c r="AF129" s="384">
        <f t="shared" si="49"/>
        <v>66.279481139005256</v>
      </c>
      <c r="AG129" s="384">
        <f t="shared" si="49"/>
        <v>67.895606869747283</v>
      </c>
    </row>
    <row r="130" spans="1:34" s="344" customFormat="1">
      <c r="A130" s="342" t="s">
        <v>182</v>
      </c>
      <c r="B130" s="342"/>
      <c r="H130" s="431">
        <f>H132/H63</f>
        <v>1.8723001031186421</v>
      </c>
      <c r="AB130" s="431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00" t="s">
        <v>329</v>
      </c>
      <c r="B132" s="300" t="s">
        <v>309</v>
      </c>
      <c r="C132" s="376">
        <f>ROUND(('Changing with year'!C130)/1000,0)*1000</f>
        <v>7195000</v>
      </c>
      <c r="D132" s="376">
        <f>ROUND(('Changing with year'!D130)/1000,0)*1000</f>
        <v>7136000</v>
      </c>
      <c r="E132" s="376">
        <f>ROUND(('Changing with year'!E130)/1000,0)*1000</f>
        <v>7084000</v>
      </c>
      <c r="F132" s="376">
        <f>ROUND(('Changing with year'!F130)/1000,0)*1000</f>
        <v>6881000</v>
      </c>
      <c r="G132" s="376">
        <f>ROUND(('Changing with year'!G130)/1000,0)*1000</f>
        <v>6693000</v>
      </c>
      <c r="H132" s="376">
        <f>ROUND(('Changing with year'!H130)/1000,0)*1000</f>
        <v>6718000</v>
      </c>
      <c r="I132" s="376">
        <f>ROUND(('Changing with year'!I130)/1000,0)*1000</f>
        <v>6582000</v>
      </c>
      <c r="J132" s="376">
        <f>ROUND(('Changing with year'!J130)/1000,0)*1000</f>
        <v>6606000</v>
      </c>
      <c r="K132" s="376">
        <f>ROUND(('Changing with year'!K130)/1000,0)*1000</f>
        <v>6635000</v>
      </c>
      <c r="L132" s="376">
        <f>ROUND(('Changing with year'!L130)/1000,0)*1000</f>
        <v>6668000</v>
      </c>
      <c r="M132" s="376">
        <f>ROUND(('Changing with year'!M130)/1000,0)*1000</f>
        <v>6706000</v>
      </c>
      <c r="N132" s="376">
        <f>ROUND(('Changing with year'!N130)/1000,0)*1000</f>
        <v>6749000</v>
      </c>
      <c r="O132" s="376">
        <f>ROUND(('Changing with year'!O130)/1000,0)*1000</f>
        <v>6796000</v>
      </c>
      <c r="P132" s="376">
        <f>ROUND(('Changing with year'!P130)/1000,0)*1000</f>
        <v>6849000</v>
      </c>
      <c r="Q132" s="376">
        <f>ROUND(('Changing with year'!Q130)/1000,0)*1000</f>
        <v>6907000</v>
      </c>
      <c r="R132" s="376">
        <f>ROUND(('Changing with year'!R130)/1000,0)*1000</f>
        <v>6970000</v>
      </c>
      <c r="S132" s="376">
        <f>ROUND(('Changing with year'!S130)/1000,0)*1000</f>
        <v>6970000</v>
      </c>
      <c r="T132" s="376">
        <f>ROUND(('Changing with year'!T130)/1000,0)*1000</f>
        <v>7097000</v>
      </c>
      <c r="U132" s="376">
        <f>ROUND(('Changing with year'!U130)/1000,0)*1000</f>
        <v>7229000</v>
      </c>
      <c r="V132" s="376">
        <f>ROUND(('Changing with year'!V130)/1000,0)*1000</f>
        <v>7365000</v>
      </c>
      <c r="W132" s="376">
        <f>ROUND(('Changing with year'!W130)/1000,0)*1000</f>
        <v>7506000</v>
      </c>
      <c r="X132" s="376">
        <f>ROUND(('Changing with year'!X130)/1000,0)*1000</f>
        <v>7652000</v>
      </c>
      <c r="Y132" s="376">
        <f>ROUND(('Changing with year'!Y130)/1000,0)*1000</f>
        <v>7803000</v>
      </c>
      <c r="Z132" s="376">
        <f>ROUND(('Changing with year'!Z130)/1000,0)*1000</f>
        <v>7958000</v>
      </c>
      <c r="AA132" s="376">
        <f>ROUND(('Changing with year'!AA130)/1000,0)*1000</f>
        <v>8119000</v>
      </c>
      <c r="AB132" s="376">
        <f>ROUND(('Changing with year'!AB130)/1000,0)*1000</f>
        <v>8286000</v>
      </c>
      <c r="AC132" s="376">
        <f>ROUND(('Changing with year'!AC130)/1000,0)*1000</f>
        <v>8490000</v>
      </c>
      <c r="AD132" s="376">
        <f>ROUND(('Changing with year'!AD130)/1000,0)*1000</f>
        <v>8700000</v>
      </c>
      <c r="AE132" s="376">
        <f>ROUND(('Changing with year'!AE130)/1000,0)*1000</f>
        <v>8916000</v>
      </c>
      <c r="AF132" s="376">
        <f>ROUND(('Changing with year'!AF130)/1000,0)*1000</f>
        <v>9138000</v>
      </c>
      <c r="AG132" s="376">
        <f>ROUND(('Changing with year'!AG130)/1000,0)*1000</f>
        <v>9366000</v>
      </c>
    </row>
    <row r="133" spans="1:34">
      <c r="A133" s="300" t="s">
        <v>310</v>
      </c>
      <c r="B133" s="300" t="s">
        <v>309</v>
      </c>
      <c r="C133" s="376">
        <f>(C132*'No change with year'!$AK$5)</f>
        <v>1439000.0000000005</v>
      </c>
      <c r="D133" s="376">
        <f>(D132*'No change with year'!$AK$5)</f>
        <v>1427200.0000000005</v>
      </c>
      <c r="E133" s="376">
        <f>(E132*'No change with year'!$AK$5)</f>
        <v>1416800.0000000005</v>
      </c>
      <c r="F133" s="376">
        <f>(F132*'No change with year'!$AK$5)</f>
        <v>1376200.0000000005</v>
      </c>
      <c r="G133" s="376">
        <f>(G132*'No change with year'!$AK$5)</f>
        <v>1338600.0000000005</v>
      </c>
      <c r="H133" s="376">
        <f>(H132*'No change with year'!$AK$5)</f>
        <v>1343600.0000000005</v>
      </c>
      <c r="I133" s="376">
        <f>(I132*'No change with year'!$AK$5)</f>
        <v>1316400.0000000005</v>
      </c>
      <c r="J133" s="376">
        <f>(J132*'No change with year'!$AK$5)</f>
        <v>1321200.0000000005</v>
      </c>
      <c r="K133" s="376">
        <f>(K132*'No change with year'!$AK$5)</f>
        <v>1327000.0000000005</v>
      </c>
      <c r="L133" s="376">
        <f>(L132*'No change with year'!$AK$5)</f>
        <v>1333600.0000000005</v>
      </c>
      <c r="M133" s="376">
        <f>(M132*'No change with year'!$AK$5)</f>
        <v>1341200.0000000005</v>
      </c>
      <c r="N133" s="376">
        <f>(N132*'No change with year'!$AL$5)</f>
        <v>2024700.0000000002</v>
      </c>
      <c r="O133" s="376">
        <f>(O132*'No change with year'!$AL$5)</f>
        <v>2038800.0000000002</v>
      </c>
      <c r="P133" s="376">
        <f>(P132*'No change with year'!$AL$5)</f>
        <v>2054700.0000000002</v>
      </c>
      <c r="Q133" s="376">
        <f>(Q132*'No change with year'!$AL$5)</f>
        <v>2072100.0000000002</v>
      </c>
      <c r="R133" s="376">
        <f>(R132*'No change with year'!$AL$5)</f>
        <v>2091000.0000000002</v>
      </c>
      <c r="S133" s="376">
        <f>(S132*'No change with year'!$AL$5)</f>
        <v>2091000.0000000002</v>
      </c>
      <c r="T133" s="376">
        <f>(T132*'No change with year'!$AL$5)</f>
        <v>2129100.0000000005</v>
      </c>
      <c r="U133" s="376">
        <f>(U132*'No change with year'!$AL$5)</f>
        <v>2168700.0000000005</v>
      </c>
      <c r="V133" s="376">
        <f>(V132*'No change with year'!$AL$5)</f>
        <v>2209500.0000000005</v>
      </c>
      <c r="W133" s="376">
        <f>(W132*'No change with year'!$AL$5)</f>
        <v>2251800.0000000005</v>
      </c>
      <c r="X133" s="376">
        <f>(X132*'No change with year'!$AM$6)</f>
        <v>3060800</v>
      </c>
      <c r="Y133" s="376">
        <f>(Y132*'No change with year'!$AM$6)</f>
        <v>3121200</v>
      </c>
      <c r="Z133" s="376">
        <f>(Z132*'No change with year'!$AM$6)</f>
        <v>3183200</v>
      </c>
      <c r="AA133" s="376">
        <f>(AA132*'No change with year'!$AM$6)</f>
        <v>3247600</v>
      </c>
      <c r="AB133" s="376">
        <f>(AB132*'No change with year'!$AM$6)</f>
        <v>3314400</v>
      </c>
      <c r="AC133" s="376">
        <f>(AC132*'No change with year'!$AM$6)</f>
        <v>3396000</v>
      </c>
      <c r="AD133" s="376">
        <f>(AD132*'No change with year'!$AM$6)</f>
        <v>3480000</v>
      </c>
      <c r="AE133" s="376">
        <f>(AE132*'No change with year'!$AM$6)</f>
        <v>3566400</v>
      </c>
      <c r="AF133" s="376">
        <f>(AF132*'No change with year'!$AM$6)</f>
        <v>3655200</v>
      </c>
      <c r="AG133" s="376">
        <f>(AG132*'No change with year'!$AM$6)</f>
        <v>3746400</v>
      </c>
    </row>
    <row r="134" spans="1:34" s="371" customFormat="1" ht="11.85" customHeight="1">
      <c r="A134" s="428" t="s">
        <v>311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</row>
    <row r="135" spans="1:34">
      <c r="A135" s="300" t="s">
        <v>325</v>
      </c>
      <c r="B135" s="300" t="s">
        <v>313</v>
      </c>
      <c r="C135" s="376">
        <f>-PMT($C$28,$C$27,C132)</f>
        <v>1576552.1098105072</v>
      </c>
      <c r="D135" s="376">
        <f t="shared" ref="D135:AG135" si="51">-PMT($C$28,$C$27,D132)</f>
        <v>1563624.1633923252</v>
      </c>
      <c r="E135" s="376">
        <f t="shared" si="51"/>
        <v>1552230.0411254528</v>
      </c>
      <c r="F135" s="376">
        <f t="shared" si="51"/>
        <v>1507749.1407374705</v>
      </c>
      <c r="G135" s="376">
        <f t="shared" si="51"/>
        <v>1466555.0063880093</v>
      </c>
      <c r="H135" s="376">
        <f t="shared" si="51"/>
        <v>1472032.9497855438</v>
      </c>
      <c r="I135" s="376">
        <f t="shared" si="51"/>
        <v>1442232.9377029547</v>
      </c>
      <c r="J135" s="376">
        <f t="shared" si="51"/>
        <v>1447491.7633645881</v>
      </c>
      <c r="K135" s="376">
        <f t="shared" si="51"/>
        <v>1453846.1777057284</v>
      </c>
      <c r="L135" s="376">
        <f t="shared" si="51"/>
        <v>1461077.0629904743</v>
      </c>
      <c r="M135" s="376">
        <f t="shared" si="51"/>
        <v>1469403.536954727</v>
      </c>
      <c r="N135" s="376">
        <f t="shared" si="51"/>
        <v>1478825.5995984871</v>
      </c>
      <c r="O135" s="376">
        <f t="shared" si="51"/>
        <v>1489124.1331858523</v>
      </c>
      <c r="P135" s="376">
        <f t="shared" si="51"/>
        <v>1500737.373188626</v>
      </c>
      <c r="Q135" s="376">
        <f t="shared" si="51"/>
        <v>1513446.2018709069</v>
      </c>
      <c r="R135" s="376">
        <f t="shared" si="51"/>
        <v>1527250.6192326944</v>
      </c>
      <c r="S135" s="376">
        <f t="shared" si="51"/>
        <v>1527250.6192326944</v>
      </c>
      <c r="T135" s="376">
        <f t="shared" si="51"/>
        <v>1555078.571692171</v>
      </c>
      <c r="U135" s="376">
        <f t="shared" si="51"/>
        <v>1584002.1128311546</v>
      </c>
      <c r="V135" s="376">
        <f t="shared" si="51"/>
        <v>1613802.1249137439</v>
      </c>
      <c r="W135" s="376">
        <f t="shared" si="51"/>
        <v>1644697.7256758399</v>
      </c>
      <c r="X135" s="376">
        <f t="shared" si="51"/>
        <v>1676688.9151174428</v>
      </c>
      <c r="Y135" s="376">
        <f t="shared" si="51"/>
        <v>1709775.6932385529</v>
      </c>
      <c r="Z135" s="376">
        <f t="shared" si="51"/>
        <v>1743738.9423032685</v>
      </c>
      <c r="AA135" s="376">
        <f t="shared" si="51"/>
        <v>1779016.8977833926</v>
      </c>
      <c r="AB135" s="376">
        <f t="shared" si="51"/>
        <v>1815609.5596789247</v>
      </c>
      <c r="AC135" s="376">
        <f t="shared" si="51"/>
        <v>1860309.5778028085</v>
      </c>
      <c r="AD135" s="376">
        <f t="shared" si="51"/>
        <v>1906324.3023421008</v>
      </c>
      <c r="AE135" s="376">
        <f t="shared" si="51"/>
        <v>1953653.7332968009</v>
      </c>
      <c r="AF135" s="376">
        <f t="shared" si="51"/>
        <v>2002297.8706669097</v>
      </c>
      <c r="AG135" s="376">
        <f t="shared" si="51"/>
        <v>2052256.7144524271</v>
      </c>
    </row>
    <row r="136" spans="1:34">
      <c r="A136" s="300" t="s">
        <v>330</v>
      </c>
      <c r="B136" s="300" t="s">
        <v>313</v>
      </c>
      <c r="C136" s="376">
        <f t="shared" ref="C136:AG136" si="52">$G$37*C51</f>
        <v>1224002.3837119753</v>
      </c>
      <c r="D136" s="376">
        <f t="shared" si="52"/>
        <v>1239392.3837119753</v>
      </c>
      <c r="E136" s="376">
        <f t="shared" si="52"/>
        <v>1245882.5213604399</v>
      </c>
      <c r="F136" s="376">
        <f t="shared" si="52"/>
        <v>1245389.7667485136</v>
      </c>
      <c r="G136" s="376">
        <f t="shared" si="52"/>
        <v>1234190.3962715059</v>
      </c>
      <c r="H136" s="376">
        <f t="shared" si="52"/>
        <v>1243275.7139914939</v>
      </c>
      <c r="I136" s="376">
        <f t="shared" si="52"/>
        <v>1078617.4677699648</v>
      </c>
      <c r="J136" s="376">
        <f t="shared" si="52"/>
        <v>1051790.4846997352</v>
      </c>
      <c r="K136" s="376">
        <f t="shared" si="52"/>
        <v>1006768.2270509219</v>
      </c>
      <c r="L136" s="376">
        <f t="shared" si="52"/>
        <v>968800.60500089813</v>
      </c>
      <c r="M136" s="376">
        <f t="shared" si="52"/>
        <v>938863.59159108845</v>
      </c>
      <c r="N136" s="376">
        <f t="shared" si="52"/>
        <v>928538.90344459366</v>
      </c>
      <c r="O136" s="376">
        <f t="shared" si="52"/>
        <v>918856.53032864339</v>
      </c>
      <c r="P136" s="376">
        <f t="shared" si="52"/>
        <v>906495.71766262979</v>
      </c>
      <c r="Q136" s="376">
        <f t="shared" si="52"/>
        <v>898044.49068811513</v>
      </c>
      <c r="R136" s="376">
        <f t="shared" si="52"/>
        <v>894327.2680528193</v>
      </c>
      <c r="S136" s="376">
        <f t="shared" si="52"/>
        <v>894792.51864724874</v>
      </c>
      <c r="T136" s="376">
        <f t="shared" si="52"/>
        <v>899378.11512828863</v>
      </c>
      <c r="U136" s="376">
        <f t="shared" si="52"/>
        <v>900992.59648343618</v>
      </c>
      <c r="V136" s="376">
        <f t="shared" si="52"/>
        <v>903238.1299923819</v>
      </c>
      <c r="W136" s="376">
        <f t="shared" si="52"/>
        <v>906222.55528442026</v>
      </c>
      <c r="X136" s="376">
        <f t="shared" si="52"/>
        <v>909921.1659004055</v>
      </c>
      <c r="Y136" s="376">
        <f t="shared" si="52"/>
        <v>914304.24024463235</v>
      </c>
      <c r="Z136" s="376">
        <f t="shared" si="52"/>
        <v>919488.36706241185</v>
      </c>
      <c r="AA136" s="376">
        <f t="shared" si="52"/>
        <v>925602.17012131575</v>
      </c>
      <c r="AB136" s="376">
        <f t="shared" si="52"/>
        <v>932545.18683316943</v>
      </c>
      <c r="AC136" s="376">
        <f t="shared" si="52"/>
        <v>957464.01535868587</v>
      </c>
      <c r="AD136" s="376">
        <f t="shared" si="52"/>
        <v>988044.00777608273</v>
      </c>
      <c r="AE136" s="376">
        <f t="shared" si="52"/>
        <v>1019744.8264243442</v>
      </c>
      <c r="AF136" s="376">
        <f t="shared" si="52"/>
        <v>1052985.4604531706</v>
      </c>
      <c r="AG136" s="376">
        <f t="shared" si="52"/>
        <v>1087952.1367733073</v>
      </c>
    </row>
    <row r="137" spans="1:34">
      <c r="A137" s="300" t="s">
        <v>317</v>
      </c>
      <c r="B137" s="300" t="s">
        <v>313</v>
      </c>
      <c r="C137" s="376">
        <f t="shared" ref="C137:AG137" si="53">$C$22*$C$21*C57</f>
        <v>553217.38162448816</v>
      </c>
      <c r="D137" s="376">
        <f t="shared" si="53"/>
        <v>553988.54708387598</v>
      </c>
      <c r="E137" s="376">
        <f t="shared" si="53"/>
        <v>555324.49740677909</v>
      </c>
      <c r="F137" s="376">
        <f t="shared" si="53"/>
        <v>557234.47553160961</v>
      </c>
      <c r="G137" s="376">
        <f t="shared" si="53"/>
        <v>559728.42782571935</v>
      </c>
      <c r="H137" s="376">
        <f t="shared" si="53"/>
        <v>562817.02387977252</v>
      </c>
      <c r="I137" s="376">
        <f t="shared" si="53"/>
        <v>567959.21788188512</v>
      </c>
      <c r="J137" s="376">
        <f t="shared" si="53"/>
        <v>573654.50938314397</v>
      </c>
      <c r="K137" s="376">
        <f t="shared" si="53"/>
        <v>579918.07408873341</v>
      </c>
      <c r="L137" s="376">
        <f t="shared" si="53"/>
        <v>586765.83369594126</v>
      </c>
      <c r="M137" s="376">
        <f t="shared" si="53"/>
        <v>594214.48295456416</v>
      </c>
      <c r="N137" s="376">
        <f t="shared" si="53"/>
        <v>602281.51786531624</v>
      </c>
      <c r="O137" s="376">
        <f t="shared" si="53"/>
        <v>610985.26506064716</v>
      </c>
      <c r="P137" s="376">
        <f t="shared" si="53"/>
        <v>620344.91241417686</v>
      </c>
      <c r="Q137" s="376">
        <f t="shared" si="53"/>
        <v>630380.5409268256</v>
      </c>
      <c r="R137" s="376">
        <f t="shared" si="53"/>
        <v>641113.15793965873</v>
      </c>
      <c r="S137" s="376">
        <f t="shared" si="53"/>
        <v>654930.22381411586</v>
      </c>
      <c r="T137" s="376">
        <f t="shared" si="53"/>
        <v>669418.24692798255</v>
      </c>
      <c r="U137" s="376">
        <f t="shared" si="53"/>
        <v>684602.88282479078</v>
      </c>
      <c r="V137" s="376">
        <f t="shared" si="53"/>
        <v>700510.8250972745</v>
      </c>
      <c r="W137" s="376">
        <f t="shared" si="53"/>
        <v>717169.84679106274</v>
      </c>
      <c r="X137" s="376">
        <f t="shared" si="53"/>
        <v>734608.84346570366</v>
      </c>
      <c r="Y137" s="376">
        <f t="shared" si="53"/>
        <v>752857.87797929987</v>
      </c>
      <c r="Z137" s="376">
        <f t="shared" si="53"/>
        <v>771948.22706569068</v>
      </c>
      <c r="AA137" s="376">
        <f t="shared" si="53"/>
        <v>791912.42977586458</v>
      </c>
      <c r="AB137" s="376">
        <f t="shared" si="53"/>
        <v>812784.33785817015</v>
      </c>
      <c r="AC137" s="376">
        <f t="shared" si="53"/>
        <v>838877.78544191201</v>
      </c>
      <c r="AD137" s="376">
        <f t="shared" si="53"/>
        <v>865950.79166969738</v>
      </c>
      <c r="AE137" s="376">
        <f t="shared" si="53"/>
        <v>894041.8970946956</v>
      </c>
      <c r="AF137" s="376">
        <f t="shared" si="53"/>
        <v>923191.17747427581</v>
      </c>
      <c r="AG137" s="376">
        <f t="shared" si="53"/>
        <v>953440.30511399684</v>
      </c>
    </row>
    <row r="138" spans="1:34">
      <c r="A138" s="300" t="s">
        <v>318</v>
      </c>
      <c r="B138" s="300" t="s">
        <v>313</v>
      </c>
      <c r="C138" s="376">
        <f>'Changing with year'!C299</f>
        <v>460000</v>
      </c>
      <c r="D138" s="376">
        <f>'Changing with year'!D299</f>
        <v>481000</v>
      </c>
      <c r="E138" s="376">
        <f>'Changing with year'!E299</f>
        <v>503000</v>
      </c>
      <c r="F138" s="376">
        <f>'Changing with year'!F299</f>
        <v>526000</v>
      </c>
      <c r="G138" s="376">
        <f>'Changing with year'!G299</f>
        <v>550000</v>
      </c>
      <c r="H138" s="376">
        <f>'Changing with year'!H299</f>
        <v>575000</v>
      </c>
      <c r="I138" s="376">
        <f>'Changing with year'!I299</f>
        <v>601000</v>
      </c>
      <c r="J138" s="376">
        <f>'Changing with year'!J299</f>
        <v>628000</v>
      </c>
      <c r="K138" s="376">
        <f>'Changing with year'!K299</f>
        <v>656000</v>
      </c>
      <c r="L138" s="376">
        <f>'Changing with year'!L299</f>
        <v>686000</v>
      </c>
      <c r="M138" s="376">
        <f>'Changing with year'!M299</f>
        <v>717000</v>
      </c>
      <c r="N138" s="376">
        <f>'Changing with year'!N299</f>
        <v>749000</v>
      </c>
      <c r="O138" s="376">
        <f>'Changing with year'!O299</f>
        <v>783000</v>
      </c>
      <c r="P138" s="376">
        <f>'Changing with year'!P299</f>
        <v>818000</v>
      </c>
      <c r="Q138" s="376">
        <f>'Changing with year'!Q299</f>
        <v>855000</v>
      </c>
      <c r="R138" s="376">
        <f>'Changing with year'!R299</f>
        <v>893000</v>
      </c>
      <c r="S138" s="376">
        <f>'Changing with year'!S299</f>
        <v>933000</v>
      </c>
      <c r="T138" s="376">
        <f>'Changing with year'!T299</f>
        <v>975000</v>
      </c>
      <c r="U138" s="376">
        <f>'Changing with year'!U299</f>
        <v>1019000</v>
      </c>
      <c r="V138" s="376">
        <f>'Changing with year'!V299</f>
        <v>1065000</v>
      </c>
      <c r="W138" s="376">
        <f>'Changing with year'!W299</f>
        <v>1113000</v>
      </c>
      <c r="X138" s="376">
        <f>'Changing with year'!X299</f>
        <v>1163000</v>
      </c>
      <c r="Y138" s="376">
        <f>'Changing with year'!Y299</f>
        <v>1215000</v>
      </c>
      <c r="Z138" s="376">
        <f>'Changing with year'!Z299</f>
        <v>1270000</v>
      </c>
      <c r="AA138" s="376">
        <f>'Changing with year'!AA299</f>
        <v>1327000</v>
      </c>
      <c r="AB138" s="376">
        <f>'Changing with year'!AB299</f>
        <v>1387000</v>
      </c>
      <c r="AC138" s="376">
        <f>'Changing with year'!AC299</f>
        <v>1449000</v>
      </c>
      <c r="AD138" s="376">
        <f>'Changing with year'!AD299</f>
        <v>1514000</v>
      </c>
      <c r="AE138" s="376">
        <f>'Changing with year'!AE299</f>
        <v>1582000</v>
      </c>
      <c r="AF138" s="376">
        <f>'Changing with year'!AF299</f>
        <v>1653000</v>
      </c>
      <c r="AG138" s="376">
        <f>'Changing with year'!AG299</f>
        <v>1727000</v>
      </c>
      <c r="AH138" s="339"/>
    </row>
    <row r="139" spans="1:34">
      <c r="A139" s="300" t="s">
        <v>272</v>
      </c>
      <c r="B139" s="300" t="s">
        <v>313</v>
      </c>
      <c r="C139" s="437">
        <f t="shared" ref="C139:AG139" si="54">C60</f>
        <v>572400</v>
      </c>
      <c r="D139" s="437">
        <f t="shared" si="54"/>
        <v>578124</v>
      </c>
      <c r="E139" s="437">
        <f t="shared" si="54"/>
        <v>583905.24</v>
      </c>
      <c r="F139" s="437">
        <f t="shared" si="54"/>
        <v>589744.29240000003</v>
      </c>
      <c r="G139" s="437">
        <f t="shared" si="54"/>
        <v>595641.73532400001</v>
      </c>
      <c r="H139" s="437">
        <f t="shared" si="54"/>
        <v>601598.15267724008</v>
      </c>
      <c r="I139" s="437">
        <f t="shared" si="54"/>
        <v>607614.13420401246</v>
      </c>
      <c r="J139" s="437">
        <f t="shared" si="54"/>
        <v>613690.27554605249</v>
      </c>
      <c r="K139" s="437">
        <f t="shared" si="54"/>
        <v>619827.17830151308</v>
      </c>
      <c r="L139" s="437">
        <f t="shared" si="54"/>
        <v>626025.45008452807</v>
      </c>
      <c r="M139" s="437">
        <f t="shared" si="54"/>
        <v>632285.7045853734</v>
      </c>
      <c r="N139" s="437">
        <f t="shared" si="54"/>
        <v>638608.56163122714</v>
      </c>
      <c r="O139" s="437">
        <f t="shared" si="54"/>
        <v>644994.64724753937</v>
      </c>
      <c r="P139" s="437">
        <f t="shared" si="54"/>
        <v>651444.59372001479</v>
      </c>
      <c r="Q139" s="437">
        <f t="shared" si="54"/>
        <v>657959.03965721501</v>
      </c>
      <c r="R139" s="437">
        <f t="shared" si="54"/>
        <v>664538.63005378714</v>
      </c>
      <c r="S139" s="437">
        <f t="shared" si="54"/>
        <v>671184.01635432511</v>
      </c>
      <c r="T139" s="437">
        <f t="shared" si="54"/>
        <v>677895.85651786823</v>
      </c>
      <c r="U139" s="437">
        <f t="shared" si="54"/>
        <v>684674.81508304703</v>
      </c>
      <c r="V139" s="437">
        <f t="shared" si="54"/>
        <v>691521.56323387753</v>
      </c>
      <c r="W139" s="437">
        <f t="shared" si="54"/>
        <v>698436.77886621631</v>
      </c>
      <c r="X139" s="437">
        <f t="shared" si="54"/>
        <v>705421.14665487851</v>
      </c>
      <c r="Y139" s="437">
        <f t="shared" si="54"/>
        <v>712475.35812142724</v>
      </c>
      <c r="Z139" s="437">
        <f t="shared" si="54"/>
        <v>719600.11170264147</v>
      </c>
      <c r="AA139" s="437">
        <f t="shared" si="54"/>
        <v>726796.11281966791</v>
      </c>
      <c r="AB139" s="437">
        <f t="shared" si="54"/>
        <v>734064.0739478647</v>
      </c>
      <c r="AC139" s="437">
        <f t="shared" si="54"/>
        <v>741404.71468734322</v>
      </c>
      <c r="AD139" s="437">
        <f t="shared" si="54"/>
        <v>748818.76183421677</v>
      </c>
      <c r="AE139" s="437">
        <f t="shared" si="54"/>
        <v>756306.94945255888</v>
      </c>
      <c r="AF139" s="437">
        <f t="shared" si="54"/>
        <v>763870.01894708455</v>
      </c>
      <c r="AG139" s="437">
        <f t="shared" si="54"/>
        <v>771508.71913655533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143900</v>
      </c>
      <c r="D140" s="386">
        <f t="shared" si="55"/>
        <v>142720</v>
      </c>
      <c r="E140" s="386">
        <f t="shared" si="55"/>
        <v>141680</v>
      </c>
      <c r="F140" s="386">
        <f t="shared" si="55"/>
        <v>137620</v>
      </c>
      <c r="G140" s="386">
        <f t="shared" si="55"/>
        <v>133860</v>
      </c>
      <c r="H140" s="386">
        <f t="shared" si="55"/>
        <v>134360</v>
      </c>
      <c r="I140" s="386">
        <f t="shared" si="55"/>
        <v>131640</v>
      </c>
      <c r="J140" s="386">
        <f t="shared" si="55"/>
        <v>132120</v>
      </c>
      <c r="K140" s="386">
        <f t="shared" si="55"/>
        <v>132700</v>
      </c>
      <c r="L140" s="386">
        <f t="shared" si="55"/>
        <v>133360</v>
      </c>
      <c r="M140" s="386">
        <f t="shared" si="55"/>
        <v>134120</v>
      </c>
      <c r="N140" s="386">
        <f t="shared" si="55"/>
        <v>134980</v>
      </c>
      <c r="O140" s="386">
        <f t="shared" si="55"/>
        <v>135920</v>
      </c>
      <c r="P140" s="386">
        <f t="shared" si="55"/>
        <v>136980</v>
      </c>
      <c r="Q140" s="386">
        <f t="shared" si="55"/>
        <v>138140</v>
      </c>
      <c r="R140" s="386">
        <f t="shared" si="55"/>
        <v>139400</v>
      </c>
      <c r="S140" s="386">
        <f t="shared" si="55"/>
        <v>139400</v>
      </c>
      <c r="T140" s="386">
        <f t="shared" si="55"/>
        <v>141940</v>
      </c>
      <c r="U140" s="386">
        <f t="shared" si="55"/>
        <v>144580</v>
      </c>
      <c r="V140" s="386">
        <f t="shared" si="55"/>
        <v>147300</v>
      </c>
      <c r="W140" s="386">
        <f t="shared" si="55"/>
        <v>150120</v>
      </c>
      <c r="X140" s="386">
        <f t="shared" si="55"/>
        <v>153040</v>
      </c>
      <c r="Y140" s="386">
        <f t="shared" si="55"/>
        <v>156060</v>
      </c>
      <c r="Z140" s="386">
        <f t="shared" si="55"/>
        <v>159160</v>
      </c>
      <c r="AA140" s="386">
        <f t="shared" si="55"/>
        <v>162380</v>
      </c>
      <c r="AB140" s="386">
        <f t="shared" si="55"/>
        <v>165720</v>
      </c>
      <c r="AC140" s="386">
        <f t="shared" si="55"/>
        <v>169800</v>
      </c>
      <c r="AD140" s="386">
        <f t="shared" si="55"/>
        <v>174000</v>
      </c>
      <c r="AE140" s="386">
        <f t="shared" si="55"/>
        <v>178320</v>
      </c>
      <c r="AF140" s="386">
        <f t="shared" si="55"/>
        <v>182760</v>
      </c>
      <c r="AG140" s="386">
        <f t="shared" si="55"/>
        <v>187320</v>
      </c>
    </row>
    <row r="141" spans="1:34" s="371" customFormat="1" ht="11.85" customHeight="1">
      <c r="A141" s="428" t="s">
        <v>320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14.597704720467659</v>
      </c>
      <c r="D142" s="379">
        <f t="shared" si="56"/>
        <v>14.4780015128919</v>
      </c>
      <c r="E142" s="379">
        <f t="shared" si="56"/>
        <v>14.37250038079123</v>
      </c>
      <c r="F142" s="379">
        <f t="shared" si="56"/>
        <v>13.960640192013615</v>
      </c>
      <c r="G142" s="379">
        <f t="shared" si="56"/>
        <v>13.579213022111198</v>
      </c>
      <c r="H142" s="379">
        <f t="shared" si="56"/>
        <v>13.629934720236516</v>
      </c>
      <c r="I142" s="379">
        <f t="shared" si="56"/>
        <v>13.354008682434767</v>
      </c>
      <c r="J142" s="379">
        <f t="shared" si="56"/>
        <v>13.402701512635076</v>
      </c>
      <c r="K142" s="379">
        <f t="shared" si="56"/>
        <v>13.461538682460448</v>
      </c>
      <c r="L142" s="379">
        <f t="shared" si="56"/>
        <v>13.528491323985874</v>
      </c>
      <c r="M142" s="379">
        <f t="shared" si="56"/>
        <v>13.605588305136362</v>
      </c>
      <c r="N142" s="379">
        <f t="shared" si="56"/>
        <v>13.692829625911918</v>
      </c>
      <c r="O142" s="379">
        <f t="shared" si="56"/>
        <v>13.788186418387522</v>
      </c>
      <c r="P142" s="379">
        <f t="shared" si="56"/>
        <v>13.895716418413205</v>
      </c>
      <c r="Q142" s="379">
        <f t="shared" si="56"/>
        <v>14.013390758063952</v>
      </c>
      <c r="R142" s="379">
        <f t="shared" si="56"/>
        <v>14.141209437339763</v>
      </c>
      <c r="S142" s="379">
        <f t="shared" si="56"/>
        <v>14.141209437339763</v>
      </c>
      <c r="T142" s="379">
        <f t="shared" si="56"/>
        <v>14.398875663816398</v>
      </c>
      <c r="U142" s="379">
        <f t="shared" si="56"/>
        <v>14.666686229918097</v>
      </c>
      <c r="V142" s="379">
        <f t="shared" si="56"/>
        <v>14.942612267719852</v>
      </c>
      <c r="W142" s="379">
        <f t="shared" si="56"/>
        <v>15.228682645146666</v>
      </c>
      <c r="X142" s="379">
        <f t="shared" si="56"/>
        <v>15.524897362198544</v>
      </c>
      <c r="Y142" s="379">
        <f t="shared" si="56"/>
        <v>15.831256418875491</v>
      </c>
      <c r="Z142" s="379">
        <f t="shared" si="56"/>
        <v>16.145730947252485</v>
      </c>
      <c r="AA142" s="379">
        <f t="shared" si="56"/>
        <v>16.47237868317956</v>
      </c>
      <c r="AB142" s="379">
        <f t="shared" si="56"/>
        <v>16.811199626656709</v>
      </c>
      <c r="AC142" s="379">
        <f t="shared" si="56"/>
        <v>17.225088683359338</v>
      </c>
      <c r="AD142" s="379">
        <f t="shared" si="56"/>
        <v>17.651150947612045</v>
      </c>
      <c r="AE142" s="379">
        <f t="shared" si="56"/>
        <v>18.089386419414822</v>
      </c>
      <c r="AF142" s="379">
        <f t="shared" si="56"/>
        <v>18.539795098767684</v>
      </c>
      <c r="AG142" s="379">
        <f t="shared" si="56"/>
        <v>19.002376985670622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11.333355404740512</v>
      </c>
      <c r="D143" s="379">
        <f t="shared" si="57"/>
        <v>11.475855404740512</v>
      </c>
      <c r="E143" s="379">
        <f t="shared" si="57"/>
        <v>11.535949271855925</v>
      </c>
      <c r="F143" s="379">
        <f t="shared" si="57"/>
        <v>11.531386729152903</v>
      </c>
      <c r="G143" s="379">
        <f t="shared" si="57"/>
        <v>11.427688854365796</v>
      </c>
      <c r="H143" s="379">
        <f t="shared" si="57"/>
        <v>11.511812166587907</v>
      </c>
      <c r="I143" s="379">
        <f t="shared" si="57"/>
        <v>9.9871987756478227</v>
      </c>
      <c r="J143" s="379">
        <f t="shared" si="57"/>
        <v>9.7388007842568065</v>
      </c>
      <c r="K143" s="379">
        <f t="shared" si="57"/>
        <v>9.3219280282492765</v>
      </c>
      <c r="L143" s="379">
        <f t="shared" si="57"/>
        <v>8.9703759722305385</v>
      </c>
      <c r="M143" s="379">
        <f t="shared" si="57"/>
        <v>8.693181403621189</v>
      </c>
      <c r="N143" s="379">
        <f t="shared" si="57"/>
        <v>8.5975824393017923</v>
      </c>
      <c r="O143" s="379">
        <f t="shared" si="57"/>
        <v>8.5079308363763282</v>
      </c>
      <c r="P143" s="379">
        <f t="shared" si="57"/>
        <v>8.3934788672465714</v>
      </c>
      <c r="Q143" s="379">
        <f t="shared" si="57"/>
        <v>8.3152267656306957</v>
      </c>
      <c r="R143" s="379">
        <f t="shared" si="57"/>
        <v>8.2808080375261053</v>
      </c>
      <c r="S143" s="379">
        <f t="shared" si="57"/>
        <v>8.2851159134004515</v>
      </c>
      <c r="T143" s="379">
        <f t="shared" si="57"/>
        <v>8.3275751400767462</v>
      </c>
      <c r="U143" s="379">
        <f t="shared" si="57"/>
        <v>8.3425240415132986</v>
      </c>
      <c r="V143" s="379">
        <f t="shared" si="57"/>
        <v>8.3633160184479802</v>
      </c>
      <c r="W143" s="379">
        <f t="shared" si="57"/>
        <v>8.3909495859668546</v>
      </c>
      <c r="X143" s="379">
        <f t="shared" si="57"/>
        <v>8.4251959805593106</v>
      </c>
      <c r="Y143" s="379">
        <f t="shared" si="57"/>
        <v>8.4657800022651148</v>
      </c>
      <c r="Z143" s="379">
        <f t="shared" si="57"/>
        <v>8.5137811765038141</v>
      </c>
      <c r="AA143" s="379">
        <f t="shared" si="57"/>
        <v>8.5703904640862572</v>
      </c>
      <c r="AB143" s="379">
        <f t="shared" si="57"/>
        <v>8.6346776558626797</v>
      </c>
      <c r="AC143" s="379">
        <f t="shared" si="57"/>
        <v>8.865407549617462</v>
      </c>
      <c r="AD143" s="379">
        <f t="shared" si="57"/>
        <v>9.1485556275563216</v>
      </c>
      <c r="AE143" s="379">
        <f t="shared" si="57"/>
        <v>9.4420817261513346</v>
      </c>
      <c r="AF143" s="379">
        <f t="shared" si="57"/>
        <v>9.7498653745663937</v>
      </c>
      <c r="AG143" s="379">
        <f t="shared" si="57"/>
        <v>10.073630896049142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16.014049829856372</v>
      </c>
      <c r="D144" s="379">
        <f t="shared" si="58"/>
        <v>16.257708769295149</v>
      </c>
      <c r="E144" s="379">
        <f t="shared" si="58"/>
        <v>16.517682753766472</v>
      </c>
      <c r="F144" s="379">
        <f t="shared" si="58"/>
        <v>16.764803406774167</v>
      </c>
      <c r="G144" s="379">
        <f t="shared" si="58"/>
        <v>17.029908918052957</v>
      </c>
      <c r="H144" s="379">
        <f t="shared" si="58"/>
        <v>17.349770153305673</v>
      </c>
      <c r="I144" s="379">
        <f t="shared" si="58"/>
        <v>17.668642148943498</v>
      </c>
      <c r="J144" s="379">
        <f t="shared" si="58"/>
        <v>18.032081341937005</v>
      </c>
      <c r="K144" s="379">
        <f t="shared" si="58"/>
        <v>18.411530114724503</v>
      </c>
      <c r="L144" s="379">
        <f t="shared" si="58"/>
        <v>18.816215590559899</v>
      </c>
      <c r="M144" s="379">
        <f t="shared" si="58"/>
        <v>19.237223958703126</v>
      </c>
      <c r="N144" s="379">
        <f t="shared" si="58"/>
        <v>19.674722958301327</v>
      </c>
      <c r="O144" s="379">
        <f t="shared" si="58"/>
        <v>20.137962151001727</v>
      </c>
      <c r="P144" s="379">
        <f t="shared" si="58"/>
        <v>20.618236167909181</v>
      </c>
      <c r="Q144" s="379">
        <f t="shared" si="58"/>
        <v>21.124810931333712</v>
      </c>
      <c r="R144" s="379">
        <f t="shared" si="58"/>
        <v>21.648627666605982</v>
      </c>
      <c r="S144" s="379">
        <f t="shared" si="58"/>
        <v>22.208465186744824</v>
      </c>
      <c r="T144" s="379">
        <f t="shared" si="58"/>
        <v>22.817167624498619</v>
      </c>
      <c r="U144" s="379">
        <f t="shared" si="58"/>
        <v>23.452386091739235</v>
      </c>
      <c r="V144" s="379">
        <f t="shared" si="58"/>
        <v>24.114188780844</v>
      </c>
      <c r="W144" s="379">
        <f t="shared" si="58"/>
        <v>24.803024311641472</v>
      </c>
      <c r="X144" s="379">
        <f t="shared" si="58"/>
        <v>25.519166575190578</v>
      </c>
      <c r="Y144" s="379">
        <f t="shared" si="58"/>
        <v>26.262900334265993</v>
      </c>
      <c r="Z144" s="379">
        <f t="shared" si="58"/>
        <v>27.04359572933641</v>
      </c>
      <c r="AA144" s="379">
        <f t="shared" si="58"/>
        <v>27.852671690699378</v>
      </c>
      <c r="AB144" s="379">
        <f t="shared" si="58"/>
        <v>28.699707516722544</v>
      </c>
      <c r="AC144" s="379">
        <f t="shared" si="58"/>
        <v>29.621134260456063</v>
      </c>
      <c r="AD144" s="379">
        <f t="shared" si="58"/>
        <v>30.581199569480688</v>
      </c>
      <c r="AE144" s="379">
        <f t="shared" si="58"/>
        <v>31.580267097659767</v>
      </c>
      <c r="AF144" s="379">
        <f t="shared" si="58"/>
        <v>32.618714781679259</v>
      </c>
      <c r="AG144" s="379">
        <f t="shared" si="58"/>
        <v>33.696935409727331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1.9034391534391542</v>
      </c>
      <c r="D145" s="379">
        <f t="shared" si="59"/>
        <v>1.8878306878306885</v>
      </c>
      <c r="E145" s="379">
        <f t="shared" si="59"/>
        <v>1.8740740740740747</v>
      </c>
      <c r="F145" s="379">
        <f t="shared" si="59"/>
        <v>1.8203703703703711</v>
      </c>
      <c r="G145" s="379">
        <f t="shared" si="59"/>
        <v>1.7706349206349212</v>
      </c>
      <c r="H145" s="379">
        <f t="shared" si="59"/>
        <v>1.777248677248678</v>
      </c>
      <c r="I145" s="379">
        <f t="shared" si="59"/>
        <v>1.741269841269842</v>
      </c>
      <c r="J145" s="379">
        <f t="shared" si="59"/>
        <v>1.7476190476190483</v>
      </c>
      <c r="K145" s="379">
        <f t="shared" si="59"/>
        <v>1.755291005291006</v>
      </c>
      <c r="L145" s="379">
        <f t="shared" si="59"/>
        <v>1.7640211640211647</v>
      </c>
      <c r="M145" s="379">
        <f t="shared" si="59"/>
        <v>1.7740740740740746</v>
      </c>
      <c r="N145" s="379">
        <f t="shared" si="59"/>
        <v>2.6781746031746034</v>
      </c>
      <c r="O145" s="379">
        <f t="shared" si="59"/>
        <v>2.696825396825397</v>
      </c>
      <c r="P145" s="379">
        <f t="shared" si="59"/>
        <v>2.717857142857143</v>
      </c>
      <c r="Q145" s="379">
        <f t="shared" si="59"/>
        <v>2.7408730158730163</v>
      </c>
      <c r="R145" s="379">
        <f t="shared" si="59"/>
        <v>2.7658730158730163</v>
      </c>
      <c r="S145" s="379">
        <f t="shared" si="59"/>
        <v>2.7658730158730163</v>
      </c>
      <c r="T145" s="379">
        <f t="shared" si="59"/>
        <v>2.8162698412698419</v>
      </c>
      <c r="U145" s="379">
        <f t="shared" si="59"/>
        <v>2.8686507936507941</v>
      </c>
      <c r="V145" s="379">
        <f t="shared" si="59"/>
        <v>2.9226190476190483</v>
      </c>
      <c r="W145" s="379">
        <f t="shared" si="59"/>
        <v>2.9785714285714291</v>
      </c>
      <c r="X145" s="379">
        <f t="shared" si="59"/>
        <v>4.0486772486772491</v>
      </c>
      <c r="Y145" s="379">
        <f t="shared" si="59"/>
        <v>4.128571428571429</v>
      </c>
      <c r="Z145" s="379">
        <f t="shared" si="59"/>
        <v>4.2105820105820104</v>
      </c>
      <c r="AA145" s="379">
        <f t="shared" si="59"/>
        <v>4.2957671957671959</v>
      </c>
      <c r="AB145" s="379">
        <f t="shared" si="59"/>
        <v>4.3841269841269845</v>
      </c>
      <c r="AC145" s="379">
        <f t="shared" si="59"/>
        <v>4.4920634920634921</v>
      </c>
      <c r="AD145" s="379">
        <f t="shared" si="59"/>
        <v>4.6031746031746028</v>
      </c>
      <c r="AE145" s="379">
        <f t="shared" si="59"/>
        <v>4.7174603174603176</v>
      </c>
      <c r="AF145" s="379">
        <f t="shared" si="59"/>
        <v>4.8349206349206346</v>
      </c>
      <c r="AG145" s="379">
        <f t="shared" si="59"/>
        <v>4.9555555555555557</v>
      </c>
    </row>
    <row r="146" spans="1:34" s="352" customFormat="1">
      <c r="A146" s="380" t="s">
        <v>323</v>
      </c>
      <c r="B146" s="352" t="s">
        <v>300</v>
      </c>
      <c r="C146" s="429">
        <f>SUM(C142:C144)-C145</f>
        <v>40.041670801625386</v>
      </c>
      <c r="D146" s="429">
        <f t="shared" ref="D146:AG146" si="60">SUM(D142:D144)-D145</f>
        <v>40.323734999096878</v>
      </c>
      <c r="E146" s="429">
        <f t="shared" si="60"/>
        <v>40.552058332339556</v>
      </c>
      <c r="F146" s="429">
        <f t="shared" si="60"/>
        <v>40.436459957570321</v>
      </c>
      <c r="G146" s="429">
        <f t="shared" si="60"/>
        <v>40.266175873895037</v>
      </c>
      <c r="H146" s="429">
        <f t="shared" si="60"/>
        <v>40.714268362881413</v>
      </c>
      <c r="I146" s="429">
        <f t="shared" si="60"/>
        <v>39.268579765756243</v>
      </c>
      <c r="J146" s="429">
        <f t="shared" si="60"/>
        <v>39.425964591209841</v>
      </c>
      <c r="K146" s="429">
        <f t="shared" si="60"/>
        <v>39.439705820143224</v>
      </c>
      <c r="L146" s="429">
        <f t="shared" si="60"/>
        <v>39.551061722755144</v>
      </c>
      <c r="M146" s="429">
        <f t="shared" si="60"/>
        <v>39.761919593386601</v>
      </c>
      <c r="N146" s="429">
        <f t="shared" si="60"/>
        <v>39.286960420340428</v>
      </c>
      <c r="O146" s="429">
        <f t="shared" si="60"/>
        <v>39.737254008940177</v>
      </c>
      <c r="P146" s="429">
        <f t="shared" si="60"/>
        <v>40.189574310711819</v>
      </c>
      <c r="Q146" s="429">
        <f t="shared" si="60"/>
        <v>40.712555439155345</v>
      </c>
      <c r="R146" s="429">
        <f t="shared" si="60"/>
        <v>41.304772125598831</v>
      </c>
      <c r="S146" s="429">
        <f t="shared" si="60"/>
        <v>41.868917521612019</v>
      </c>
      <c r="T146" s="429">
        <f t="shared" si="60"/>
        <v>42.727348587121924</v>
      </c>
      <c r="U146" s="429">
        <f t="shared" si="60"/>
        <v>43.592945569519834</v>
      </c>
      <c r="V146" s="429">
        <f t="shared" si="60"/>
        <v>44.497498019392779</v>
      </c>
      <c r="W146" s="429">
        <f t="shared" si="60"/>
        <v>45.444085114183565</v>
      </c>
      <c r="X146" s="429">
        <f t="shared" si="60"/>
        <v>45.420582669271184</v>
      </c>
      <c r="Y146" s="429">
        <f t="shared" si="60"/>
        <v>46.43136532683517</v>
      </c>
      <c r="Z146" s="429">
        <f t="shared" si="60"/>
        <v>47.492525842510702</v>
      </c>
      <c r="AA146" s="429">
        <f t="shared" si="60"/>
        <v>48.599673642197999</v>
      </c>
      <c r="AB146" s="429">
        <f t="shared" si="60"/>
        <v>49.761457815114944</v>
      </c>
      <c r="AC146" s="429">
        <f t="shared" si="60"/>
        <v>51.21956700136937</v>
      </c>
      <c r="AD146" s="429">
        <f t="shared" si="60"/>
        <v>52.777731541474452</v>
      </c>
      <c r="AE146" s="429">
        <f t="shared" si="60"/>
        <v>54.394274925765608</v>
      </c>
      <c r="AF146" s="429">
        <f t="shared" si="60"/>
        <v>56.073454620092704</v>
      </c>
      <c r="AG146" s="429">
        <f t="shared" si="60"/>
        <v>57.817387735891536</v>
      </c>
    </row>
    <row r="147" spans="1:34" s="344" customFormat="1">
      <c r="A147" s="342" t="s">
        <v>331</v>
      </c>
      <c r="B147" s="342"/>
      <c r="H147" s="431">
        <f>H149/H63</f>
        <v>2.7535464451938352</v>
      </c>
      <c r="AB147" s="431">
        <f>AB149/AB63</f>
        <v>1.5666517505824988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00" t="s">
        <v>332</v>
      </c>
      <c r="B149" s="300" t="s">
        <v>309</v>
      </c>
      <c r="C149" s="376">
        <f>ROUND(('Changing with year'!C143)/1000,0)*1000</f>
        <v>10666000</v>
      </c>
      <c r="D149" s="376">
        <f>ROUND(('Changing with year'!D143)/1000,0)*1000</f>
        <v>10444000</v>
      </c>
      <c r="E149" s="376">
        <f>ROUND(('Changing with year'!E143)/1000,0)*1000</f>
        <v>10234000</v>
      </c>
      <c r="F149" s="376">
        <f>ROUND(('Changing with year'!F143)/1000,0)*1000</f>
        <v>10037000</v>
      </c>
      <c r="G149" s="376">
        <f>ROUND(('Changing with year'!G143)/1000,0)*1000</f>
        <v>9852000</v>
      </c>
      <c r="H149" s="376">
        <f>ROUND(('Changing with year'!H143)/1000,0)*1000</f>
        <v>9880000</v>
      </c>
      <c r="I149" s="376">
        <f>ROUND(('Changing with year'!I143)/1000,0)*1000</f>
        <v>9777000</v>
      </c>
      <c r="J149" s="376">
        <f>ROUND(('Changing with year'!J143)/1000,0)*1000</f>
        <v>9688000</v>
      </c>
      <c r="K149" s="376">
        <f>ROUND(('Changing with year'!K143)/1000,0)*1000</f>
        <v>9608000</v>
      </c>
      <c r="L149" s="376">
        <f>ROUND(('Changing with year'!L143)/1000,0)*1000</f>
        <v>9537000</v>
      </c>
      <c r="M149" s="376">
        <f>ROUND(('Changing with year'!M143)/1000,0)*1000</f>
        <v>9474000</v>
      </c>
      <c r="N149" s="376">
        <f>ROUND(('Changing with year'!N143)/1000,0)*1000</f>
        <v>9419000</v>
      </c>
      <c r="O149" s="376">
        <f>ROUND(('Changing with year'!O143)/1000,0)*1000</f>
        <v>9373000</v>
      </c>
      <c r="P149" s="376">
        <f>ROUND(('Changing with year'!P143)/1000,0)*1000</f>
        <v>9335000</v>
      </c>
      <c r="Q149" s="376">
        <f>ROUND(('Changing with year'!Q143)/1000,0)*1000</f>
        <v>9306000</v>
      </c>
      <c r="R149" s="376">
        <f>ROUND(('Changing with year'!R143)/1000,0)*1000</f>
        <v>9284000</v>
      </c>
      <c r="S149" s="376">
        <f>ROUND(('Changing with year'!S143)/1000,0)*1000</f>
        <v>9211000</v>
      </c>
      <c r="T149" s="376">
        <f>ROUND(('Changing with year'!T143)/1000,0)*1000</f>
        <v>9310000</v>
      </c>
      <c r="U149" s="376">
        <f>ROUND(('Changing with year'!U143)/1000,0)*1000</f>
        <v>9414000</v>
      </c>
      <c r="V149" s="376">
        <f>ROUND(('Changing with year'!V143)/1000,0)*1000</f>
        <v>9525000</v>
      </c>
      <c r="W149" s="376">
        <f>ROUND(('Changing with year'!W143)/1000,0)*1000</f>
        <v>9640000</v>
      </c>
      <c r="X149" s="376">
        <f>ROUND(('Changing with year'!X143)/1000,0)*1000</f>
        <v>9603000</v>
      </c>
      <c r="Y149" s="376">
        <f>ROUND(('Changing with year'!Y143)/1000,0)*1000</f>
        <v>9731000</v>
      </c>
      <c r="Z149" s="376">
        <f>ROUND(('Changing with year'!Z143)/1000,0)*1000</f>
        <v>9865000</v>
      </c>
      <c r="AA149" s="376">
        <f>ROUND(('Changing with year'!AA143)/1000,0)*1000</f>
        <v>10006000</v>
      </c>
      <c r="AB149" s="376">
        <f>ROUND(('Changing with year'!AB143)/1000,0)*1000</f>
        <v>10153000</v>
      </c>
      <c r="AC149" s="376">
        <f>ROUND(('Changing with year'!AC143)/1000,0)*1000</f>
        <v>10220000</v>
      </c>
      <c r="AD149" s="376">
        <f>ROUND(('Changing with year'!AD143)/1000,0)*1000</f>
        <v>10448000</v>
      </c>
      <c r="AE149" s="376">
        <f>ROUND(('Changing with year'!AE143)/1000,0)*1000</f>
        <v>10681000</v>
      </c>
      <c r="AF149" s="376">
        <f>ROUND(('Changing with year'!AF143)/1000,0)*1000</f>
        <v>10921000</v>
      </c>
      <c r="AG149" s="376">
        <f>ROUND(('Changing with year'!AG143)/1000,0)*1000</f>
        <v>11167000</v>
      </c>
    </row>
    <row r="150" spans="1:34">
      <c r="A150" s="300" t="s">
        <v>310</v>
      </c>
      <c r="B150" s="300" t="s">
        <v>309</v>
      </c>
      <c r="C150" s="376">
        <f>(C149*'No change with year'!$AN$5)</f>
        <v>1066600.0000000005</v>
      </c>
      <c r="D150" s="376">
        <f>(D149*'No change with year'!$AN$5)</f>
        <v>1044400.0000000003</v>
      </c>
      <c r="E150" s="376">
        <f>(E149*'No change with year'!$AN$5)</f>
        <v>1023400.0000000003</v>
      </c>
      <c r="F150" s="376">
        <f>(F149*'No change with year'!$AN$5)</f>
        <v>1003700.0000000003</v>
      </c>
      <c r="G150" s="376">
        <f>(G149*'No change with year'!$AN$5)</f>
        <v>985200.00000000035</v>
      </c>
      <c r="H150" s="376">
        <f>(H149*'No change with year'!$AN$5)</f>
        <v>988000.00000000035</v>
      </c>
      <c r="I150" s="376">
        <f>(I149*'No change with year'!$AN$5)</f>
        <v>977700.00000000035</v>
      </c>
      <c r="J150" s="376">
        <f>(J149*'No change with year'!$AN$5)</f>
        <v>968800.00000000035</v>
      </c>
      <c r="K150" s="376">
        <f>(K149*'No change with year'!$AN$5)</f>
        <v>960800.00000000035</v>
      </c>
      <c r="L150" s="376">
        <f>(L149*'No change with year'!$AN$5)</f>
        <v>953700.00000000035</v>
      </c>
      <c r="M150" s="376">
        <f>(M149*'No change with year'!$AN$5)</f>
        <v>947400.00000000035</v>
      </c>
      <c r="N150" s="376">
        <f>(N149*'No change with year'!$AO$5)</f>
        <v>1883800.0000000007</v>
      </c>
      <c r="O150" s="376">
        <f>(O149*'No change with year'!$AO$5)</f>
        <v>1874600.0000000007</v>
      </c>
      <c r="P150" s="376">
        <f>(P149*'No change with year'!$AO$5)</f>
        <v>1867000.0000000007</v>
      </c>
      <c r="Q150" s="376">
        <f>(Q149*'No change with year'!$AO$5)</f>
        <v>1861200.0000000007</v>
      </c>
      <c r="R150" s="376">
        <f>(R149*'No change with year'!$AO$5)</f>
        <v>1856800.0000000007</v>
      </c>
      <c r="S150" s="376">
        <f>(S149*'No change with year'!$AO$5)</f>
        <v>1842200.0000000007</v>
      </c>
      <c r="T150" s="376">
        <f>(T149*'No change with year'!$AO$5)</f>
        <v>1862000.0000000007</v>
      </c>
      <c r="U150" s="376">
        <f>(U149*'No change with year'!$AO$5)</f>
        <v>1882800.0000000007</v>
      </c>
      <c r="V150" s="376">
        <f>(V149*'No change with year'!$AO$5)</f>
        <v>1905000.0000000007</v>
      </c>
      <c r="W150" s="376">
        <f>(W149*'No change with year'!$AO$5)</f>
        <v>1928000.0000000007</v>
      </c>
      <c r="X150" s="376">
        <f>(X149*'No change with year'!$AP$5)</f>
        <v>2880900.0000000005</v>
      </c>
      <c r="Y150" s="376">
        <f>(Y149*'No change with year'!$AP$5)</f>
        <v>2919300.0000000005</v>
      </c>
      <c r="Z150" s="376">
        <f>(Z149*'No change with year'!$AP$5)</f>
        <v>2959500.0000000005</v>
      </c>
      <c r="AA150" s="376">
        <f>(AA149*'No change with year'!$AP$5)</f>
        <v>3001800.0000000005</v>
      </c>
      <c r="AB150" s="376">
        <f>(AB149*'No change with year'!$AP$5)</f>
        <v>3045900.0000000005</v>
      </c>
      <c r="AC150" s="376">
        <f>(AC149*'No change with year'!$AP$5)</f>
        <v>3066000.0000000005</v>
      </c>
      <c r="AD150" s="376">
        <f>(AD149*'No change with year'!$AP$5)</f>
        <v>3134400.0000000005</v>
      </c>
      <c r="AE150" s="376">
        <f>(AE149*'No change with year'!$AP$5)</f>
        <v>3204300.0000000005</v>
      </c>
      <c r="AF150" s="376">
        <f>(AF149*'No change with year'!$AP$5)</f>
        <v>3276300.0000000005</v>
      </c>
      <c r="AG150" s="376">
        <f>(AG149*'No change with year'!$AP$5)</f>
        <v>3350100.0000000005</v>
      </c>
    </row>
    <row r="151" spans="1:34" s="371" customFormat="1" ht="11.85" customHeight="1">
      <c r="A151" s="428" t="s">
        <v>311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spans="1:34">
      <c r="A152" s="300" t="s">
        <v>325</v>
      </c>
      <c r="B152" s="300" t="s">
        <v>313</v>
      </c>
      <c r="C152" s="376">
        <f>-PMT($C$28,$C$27,C149)</f>
        <v>2337109.7711242349</v>
      </c>
      <c r="D152" s="376">
        <f t="shared" ref="D152:AG152" si="62">-PMT($C$28,$C$27,D149)</f>
        <v>2288465.6337541263</v>
      </c>
      <c r="E152" s="376">
        <f t="shared" si="62"/>
        <v>2242450.9092148342</v>
      </c>
      <c r="F152" s="376">
        <f t="shared" si="62"/>
        <v>2199284.7152422601</v>
      </c>
      <c r="G152" s="376">
        <f t="shared" si="62"/>
        <v>2158747.9341005026</v>
      </c>
      <c r="H152" s="376">
        <f t="shared" si="62"/>
        <v>2164883.2307057418</v>
      </c>
      <c r="I152" s="376">
        <f t="shared" si="62"/>
        <v>2142314.1039078985</v>
      </c>
      <c r="J152" s="376">
        <f t="shared" si="62"/>
        <v>2122812.6254126746</v>
      </c>
      <c r="K152" s="376">
        <f t="shared" si="62"/>
        <v>2105283.2065405636</v>
      </c>
      <c r="L152" s="376">
        <f t="shared" si="62"/>
        <v>2089725.8472915646</v>
      </c>
      <c r="M152" s="376">
        <f t="shared" si="62"/>
        <v>2075921.429929777</v>
      </c>
      <c r="N152" s="376">
        <f t="shared" si="62"/>
        <v>2063869.9544552006</v>
      </c>
      <c r="O152" s="376">
        <f t="shared" si="62"/>
        <v>2053790.5386037368</v>
      </c>
      <c r="P152" s="376">
        <f t="shared" si="62"/>
        <v>2045464.0646394838</v>
      </c>
      <c r="Q152" s="376">
        <f t="shared" si="62"/>
        <v>2039109.6502983435</v>
      </c>
      <c r="R152" s="376">
        <f t="shared" si="62"/>
        <v>2034289.0601085131</v>
      </c>
      <c r="S152" s="376">
        <f t="shared" si="62"/>
        <v>2018293.4653877113</v>
      </c>
      <c r="T152" s="376">
        <f t="shared" si="62"/>
        <v>2039986.1212419488</v>
      </c>
      <c r="U152" s="376">
        <f t="shared" si="62"/>
        <v>2062774.3657756939</v>
      </c>
      <c r="V152" s="376">
        <f t="shared" si="62"/>
        <v>2087096.4344607482</v>
      </c>
      <c r="W152" s="376">
        <f t="shared" si="62"/>
        <v>2112294.9740894078</v>
      </c>
      <c r="X152" s="376">
        <f t="shared" si="62"/>
        <v>2104187.6178610567</v>
      </c>
      <c r="Y152" s="376">
        <f t="shared" si="62"/>
        <v>2132234.688056435</v>
      </c>
      <c r="Z152" s="376">
        <f t="shared" si="62"/>
        <v>2161596.4646672211</v>
      </c>
      <c r="AA152" s="376">
        <f t="shared" si="62"/>
        <v>2192492.0654293173</v>
      </c>
      <c r="AB152" s="376">
        <f t="shared" si="62"/>
        <v>2224702.3726068214</v>
      </c>
      <c r="AC152" s="376">
        <f t="shared" si="62"/>
        <v>2239383.2609122149</v>
      </c>
      <c r="AD152" s="376">
        <f t="shared" si="62"/>
        <v>2289342.1046977318</v>
      </c>
      <c r="AE152" s="376">
        <f t="shared" si="62"/>
        <v>2340396.5371627561</v>
      </c>
      <c r="AF152" s="376">
        <f t="shared" si="62"/>
        <v>2392984.7937790896</v>
      </c>
      <c r="AG152" s="376">
        <f t="shared" si="62"/>
        <v>2446887.7568108318</v>
      </c>
    </row>
    <row r="153" spans="1:34">
      <c r="A153" s="300" t="s">
        <v>333</v>
      </c>
      <c r="B153" s="300" t="s">
        <v>313</v>
      </c>
      <c r="C153" s="376">
        <f t="shared" ref="C153:AG153" si="63">$H$37*C50</f>
        <v>3746250</v>
      </c>
      <c r="D153" s="376">
        <f t="shared" si="63"/>
        <v>3711461.538461539</v>
      </c>
      <c r="E153" s="376">
        <f t="shared" si="63"/>
        <v>3680144.134615385</v>
      </c>
      <c r="F153" s="376">
        <f t="shared" si="63"/>
        <v>3652220.3971153852</v>
      </c>
      <c r="G153" s="376">
        <f t="shared" si="63"/>
        <v>3627616.6634711539</v>
      </c>
      <c r="H153" s="376">
        <f t="shared" si="63"/>
        <v>3606262.8814324047</v>
      </c>
      <c r="I153" s="376">
        <f t="shared" si="63"/>
        <v>3391485.9531004732</v>
      </c>
      <c r="J153" s="376">
        <f t="shared" si="63"/>
        <v>3278449.2583793211</v>
      </c>
      <c r="K153" s="376">
        <f t="shared" si="63"/>
        <v>3169172.232054776</v>
      </c>
      <c r="L153" s="376">
        <f t="shared" si="63"/>
        <v>3063512.9840446762</v>
      </c>
      <c r="M153" s="376">
        <f t="shared" si="63"/>
        <v>2961335.5100236651</v>
      </c>
      <c r="N153" s="376">
        <f t="shared" si="63"/>
        <v>2862509.4314919263</v>
      </c>
      <c r="O153" s="376">
        <f t="shared" si="63"/>
        <v>2766909.7477848846</v>
      </c>
      <c r="P153" s="376">
        <f t="shared" si="63"/>
        <v>2674416.5994615289</v>
      </c>
      <c r="Q153" s="376">
        <f t="shared" si="63"/>
        <v>2584915.0425358922</v>
      </c>
      <c r="R153" s="376">
        <f t="shared" si="63"/>
        <v>2498294.8330418691</v>
      </c>
      <c r="S153" s="376">
        <f t="shared" si="63"/>
        <v>2306633.926865899</v>
      </c>
      <c r="T153" s="376">
        <f t="shared" si="63"/>
        <v>2241138.4633706901</v>
      </c>
      <c r="U153" s="376">
        <f t="shared" si="63"/>
        <v>2177973.7725730198</v>
      </c>
      <c r="V153" s="376">
        <f t="shared" si="63"/>
        <v>2117039.1153718601</v>
      </c>
      <c r="W153" s="376">
        <f t="shared" si="63"/>
        <v>2058238.4408400252</v>
      </c>
      <c r="X153" s="376">
        <f t="shared" si="63"/>
        <v>2001480.1610268645</v>
      </c>
      <c r="Y153" s="376">
        <f t="shared" si="63"/>
        <v>1946676.9367570058</v>
      </c>
      <c r="Z153" s="376">
        <f t="shared" si="63"/>
        <v>1893745.4738831252</v>
      </c>
      <c r="AA153" s="376">
        <f t="shared" si="63"/>
        <v>1842606.3294776047</v>
      </c>
      <c r="AB153" s="376">
        <f t="shared" si="63"/>
        <v>1793183.7274734664</v>
      </c>
      <c r="AC153" s="376">
        <f t="shared" si="63"/>
        <v>1732931.1771573536</v>
      </c>
      <c r="AD153" s="376">
        <f t="shared" si="63"/>
        <v>1738903.6155635228</v>
      </c>
      <c r="AE153" s="376">
        <f t="shared" si="63"/>
        <v>1746905.0723432403</v>
      </c>
      <c r="AF153" s="376">
        <f t="shared" si="63"/>
        <v>1756902.9481240842</v>
      </c>
      <c r="AG153" s="376">
        <f t="shared" si="63"/>
        <v>1768867.781580131</v>
      </c>
    </row>
    <row r="154" spans="1:34">
      <c r="A154" s="300" t="s">
        <v>317</v>
      </c>
      <c r="B154" s="300" t="s">
        <v>313</v>
      </c>
      <c r="C154" s="376">
        <f t="shared" ref="C154:AG154" si="64">$C$22*$C$21*C58</f>
        <v>622602.0835685709</v>
      </c>
      <c r="D154" s="376">
        <f t="shared" si="64"/>
        <v>621638.63147935655</v>
      </c>
      <c r="E154" s="376">
        <f t="shared" si="64"/>
        <v>621283.32969237282</v>
      </c>
      <c r="F154" s="376">
        <f t="shared" si="64"/>
        <v>621544.33701006335</v>
      </c>
      <c r="G154" s="376">
        <f t="shared" si="64"/>
        <v>622430.54276721179</v>
      </c>
      <c r="H154" s="376">
        <f t="shared" si="64"/>
        <v>623951.58594772755</v>
      </c>
      <c r="I154" s="376">
        <f t="shared" si="64"/>
        <v>627871.08870848105</v>
      </c>
      <c r="J154" s="376">
        <f t="shared" si="64"/>
        <v>632368.14279320801</v>
      </c>
      <c r="K154" s="376">
        <f t="shared" si="64"/>
        <v>637457.43483059632</v>
      </c>
      <c r="L154" s="376">
        <f t="shared" si="64"/>
        <v>643154.4072229669</v>
      </c>
      <c r="M154" s="376">
        <f t="shared" si="64"/>
        <v>649475.28501104913</v>
      </c>
      <c r="N154" s="376">
        <f t="shared" si="64"/>
        <v>656437.10388067155</v>
      </c>
      <c r="O154" s="376">
        <f t="shared" si="64"/>
        <v>664057.73935569543</v>
      </c>
      <c r="P154" s="376">
        <f t="shared" si="64"/>
        <v>672355.9372233242</v>
      </c>
      <c r="Q154" s="376">
        <f t="shared" si="64"/>
        <v>681351.34523979004</v>
      </c>
      <c r="R154" s="376">
        <f t="shared" si="64"/>
        <v>691064.54616636375</v>
      </c>
      <c r="S154" s="376">
        <f t="shared" si="64"/>
        <v>704382.09815855394</v>
      </c>
      <c r="T154" s="376">
        <f t="shared" si="64"/>
        <v>718375.60252897639</v>
      </c>
      <c r="U154" s="376">
        <f t="shared" si="64"/>
        <v>733070.6648697746</v>
      </c>
      <c r="V154" s="376">
        <f t="shared" si="64"/>
        <v>748493.92932180862</v>
      </c>
      <c r="W154" s="376">
        <f t="shared" si="64"/>
        <v>764673.11997335136</v>
      </c>
      <c r="X154" s="376">
        <f t="shared" si="64"/>
        <v>781637.08391616924</v>
      </c>
      <c r="Y154" s="376">
        <f t="shared" si="64"/>
        <v>799415.83602526097</v>
      </c>
      <c r="Z154" s="376">
        <f t="shared" si="64"/>
        <v>818040.60553119192</v>
      </c>
      <c r="AA154" s="376">
        <f t="shared" si="64"/>
        <v>837543.88445671101</v>
      </c>
      <c r="AB154" s="376">
        <f t="shared" si="64"/>
        <v>857959.47799220809</v>
      </c>
      <c r="AC154" s="376">
        <f t="shared" si="64"/>
        <v>884504.67697729019</v>
      </c>
      <c r="AD154" s="376">
        <f t="shared" si="64"/>
        <v>912033.9521204296</v>
      </c>
      <c r="AE154" s="376">
        <f t="shared" si="64"/>
        <v>940585.88914993498</v>
      </c>
      <c r="AF154" s="376">
        <f t="shared" si="64"/>
        <v>970200.60945006763</v>
      </c>
      <c r="AG154" s="376">
        <f t="shared" si="64"/>
        <v>1000919.8314095467</v>
      </c>
    </row>
    <row r="155" spans="1:34">
      <c r="A155" s="300" t="s">
        <v>318</v>
      </c>
      <c r="B155" s="300" t="s">
        <v>313</v>
      </c>
      <c r="C155" s="376">
        <f>'Changing with year'!C299</f>
        <v>460000</v>
      </c>
      <c r="D155" s="376">
        <f>'Changing with year'!D299</f>
        <v>481000</v>
      </c>
      <c r="E155" s="376">
        <f>'Changing with year'!E299</f>
        <v>503000</v>
      </c>
      <c r="F155" s="376">
        <f>'Changing with year'!F299</f>
        <v>526000</v>
      </c>
      <c r="G155" s="376">
        <f>'Changing with year'!G299</f>
        <v>550000</v>
      </c>
      <c r="H155" s="376">
        <f>'Changing with year'!H299</f>
        <v>575000</v>
      </c>
      <c r="I155" s="376">
        <f>'Changing with year'!I299</f>
        <v>601000</v>
      </c>
      <c r="J155" s="376">
        <f>'Changing with year'!J299</f>
        <v>628000</v>
      </c>
      <c r="K155" s="376">
        <f>'Changing with year'!K299</f>
        <v>656000</v>
      </c>
      <c r="L155" s="376">
        <f>'Changing with year'!L299</f>
        <v>686000</v>
      </c>
      <c r="M155" s="376">
        <f>'Changing with year'!M299</f>
        <v>717000</v>
      </c>
      <c r="N155" s="376">
        <f>'Changing with year'!N299</f>
        <v>749000</v>
      </c>
      <c r="O155" s="376">
        <f>'Changing with year'!O299</f>
        <v>783000</v>
      </c>
      <c r="P155" s="376">
        <f>'Changing with year'!P299</f>
        <v>818000</v>
      </c>
      <c r="Q155" s="376">
        <f>'Changing with year'!Q299</f>
        <v>855000</v>
      </c>
      <c r="R155" s="376">
        <f>'Changing with year'!R299</f>
        <v>893000</v>
      </c>
      <c r="S155" s="376">
        <f>'Changing with year'!S299</f>
        <v>933000</v>
      </c>
      <c r="T155" s="376">
        <f>'Changing with year'!T299</f>
        <v>975000</v>
      </c>
      <c r="U155" s="376">
        <f>'Changing with year'!U299</f>
        <v>1019000</v>
      </c>
      <c r="V155" s="376">
        <f>'Changing with year'!V299</f>
        <v>1065000</v>
      </c>
      <c r="W155" s="376">
        <f>'Changing with year'!W299</f>
        <v>1113000</v>
      </c>
      <c r="X155" s="376">
        <f>'Changing with year'!X299</f>
        <v>1163000</v>
      </c>
      <c r="Y155" s="376">
        <f>'Changing with year'!Y299</f>
        <v>1215000</v>
      </c>
      <c r="Z155" s="376">
        <f>'Changing with year'!Z299</f>
        <v>1270000</v>
      </c>
      <c r="AA155" s="376">
        <f>'Changing with year'!AA299</f>
        <v>1327000</v>
      </c>
      <c r="AB155" s="376">
        <f>'Changing with year'!AB299</f>
        <v>1387000</v>
      </c>
      <c r="AC155" s="376">
        <f>'Changing with year'!AC299</f>
        <v>1449000</v>
      </c>
      <c r="AD155" s="376">
        <f>'Changing with year'!AD299</f>
        <v>1514000</v>
      </c>
      <c r="AE155" s="376">
        <f>'Changing with year'!AE299</f>
        <v>1582000</v>
      </c>
      <c r="AF155" s="376">
        <f>'Changing with year'!AF299</f>
        <v>1653000</v>
      </c>
      <c r="AG155" s="376">
        <f>'Changing with year'!AG299</f>
        <v>1727000</v>
      </c>
      <c r="AH155" s="339"/>
    </row>
    <row r="156" spans="1:34">
      <c r="A156" s="300" t="s">
        <v>272</v>
      </c>
      <c r="B156" s="300" t="s">
        <v>313</v>
      </c>
      <c r="C156" s="437">
        <f t="shared" ref="C156:AG156" si="65">C60</f>
        <v>572400</v>
      </c>
      <c r="D156" s="437">
        <f t="shared" si="65"/>
        <v>578124</v>
      </c>
      <c r="E156" s="437">
        <f t="shared" si="65"/>
        <v>583905.24</v>
      </c>
      <c r="F156" s="437">
        <f t="shared" si="65"/>
        <v>589744.29240000003</v>
      </c>
      <c r="G156" s="437">
        <f t="shared" si="65"/>
        <v>595641.73532400001</v>
      </c>
      <c r="H156" s="437">
        <f t="shared" si="65"/>
        <v>601598.15267724008</v>
      </c>
      <c r="I156" s="437">
        <f t="shared" si="65"/>
        <v>607614.13420401246</v>
      </c>
      <c r="J156" s="437">
        <f t="shared" si="65"/>
        <v>613690.27554605249</v>
      </c>
      <c r="K156" s="437">
        <f t="shared" si="65"/>
        <v>619827.17830151308</v>
      </c>
      <c r="L156" s="437">
        <f t="shared" si="65"/>
        <v>626025.45008452807</v>
      </c>
      <c r="M156" s="437">
        <f t="shared" si="65"/>
        <v>632285.7045853734</v>
      </c>
      <c r="N156" s="437">
        <f t="shared" si="65"/>
        <v>638608.56163122714</v>
      </c>
      <c r="O156" s="437">
        <f t="shared" si="65"/>
        <v>644994.64724753937</v>
      </c>
      <c r="P156" s="437">
        <f t="shared" si="65"/>
        <v>651444.59372001479</v>
      </c>
      <c r="Q156" s="437">
        <f t="shared" si="65"/>
        <v>657959.03965721501</v>
      </c>
      <c r="R156" s="437">
        <f t="shared" si="65"/>
        <v>664538.63005378714</v>
      </c>
      <c r="S156" s="437">
        <f t="shared" si="65"/>
        <v>671184.01635432511</v>
      </c>
      <c r="T156" s="437">
        <f t="shared" si="65"/>
        <v>677895.85651786823</v>
      </c>
      <c r="U156" s="437">
        <f t="shared" si="65"/>
        <v>684674.81508304703</v>
      </c>
      <c r="V156" s="437">
        <f t="shared" si="65"/>
        <v>691521.56323387753</v>
      </c>
      <c r="W156" s="437">
        <f t="shared" si="65"/>
        <v>698436.77886621631</v>
      </c>
      <c r="X156" s="437">
        <f t="shared" si="65"/>
        <v>705421.14665487851</v>
      </c>
      <c r="Y156" s="437">
        <f t="shared" si="65"/>
        <v>712475.35812142724</v>
      </c>
      <c r="Z156" s="437">
        <f t="shared" si="65"/>
        <v>719600.11170264147</v>
      </c>
      <c r="AA156" s="437">
        <f t="shared" si="65"/>
        <v>726796.11281966791</v>
      </c>
      <c r="AB156" s="437">
        <f t="shared" si="65"/>
        <v>734064.0739478647</v>
      </c>
      <c r="AC156" s="437">
        <f t="shared" si="65"/>
        <v>741404.71468734322</v>
      </c>
      <c r="AD156" s="437">
        <f t="shared" si="65"/>
        <v>748818.76183421677</v>
      </c>
      <c r="AE156" s="437">
        <f t="shared" si="65"/>
        <v>756306.94945255888</v>
      </c>
      <c r="AF156" s="437">
        <f t="shared" si="65"/>
        <v>763870.01894708455</v>
      </c>
      <c r="AG156" s="437">
        <f t="shared" si="65"/>
        <v>771508.71913655533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213320</v>
      </c>
      <c r="D157" s="376">
        <f t="shared" si="66"/>
        <v>208880</v>
      </c>
      <c r="E157" s="376">
        <f t="shared" si="66"/>
        <v>204680</v>
      </c>
      <c r="F157" s="376">
        <f t="shared" si="66"/>
        <v>200740</v>
      </c>
      <c r="G157" s="376">
        <f t="shared" si="66"/>
        <v>197040</v>
      </c>
      <c r="H157" s="376">
        <f t="shared" si="66"/>
        <v>197600</v>
      </c>
      <c r="I157" s="376">
        <f t="shared" si="66"/>
        <v>195540</v>
      </c>
      <c r="J157" s="376">
        <f t="shared" si="66"/>
        <v>193760</v>
      </c>
      <c r="K157" s="376">
        <f t="shared" si="66"/>
        <v>192160</v>
      </c>
      <c r="L157" s="376">
        <f t="shared" si="66"/>
        <v>190740</v>
      </c>
      <c r="M157" s="376">
        <f t="shared" si="66"/>
        <v>189480</v>
      </c>
      <c r="N157" s="376">
        <f t="shared" si="66"/>
        <v>188380</v>
      </c>
      <c r="O157" s="376">
        <f t="shared" si="66"/>
        <v>187460</v>
      </c>
      <c r="P157" s="376">
        <f t="shared" si="66"/>
        <v>186700</v>
      </c>
      <c r="Q157" s="376">
        <f t="shared" si="66"/>
        <v>186120</v>
      </c>
      <c r="R157" s="376">
        <f t="shared" si="66"/>
        <v>185680</v>
      </c>
      <c r="S157" s="376">
        <f t="shared" si="66"/>
        <v>184220</v>
      </c>
      <c r="T157" s="376">
        <f t="shared" si="66"/>
        <v>186200</v>
      </c>
      <c r="U157" s="376">
        <f t="shared" si="66"/>
        <v>188280</v>
      </c>
      <c r="V157" s="376">
        <f t="shared" si="66"/>
        <v>190500</v>
      </c>
      <c r="W157" s="376">
        <f t="shared" si="66"/>
        <v>192800</v>
      </c>
      <c r="X157" s="376">
        <f t="shared" si="66"/>
        <v>192060</v>
      </c>
      <c r="Y157" s="376">
        <f t="shared" si="66"/>
        <v>194620</v>
      </c>
      <c r="Z157" s="376">
        <f t="shared" si="66"/>
        <v>197300</v>
      </c>
      <c r="AA157" s="376">
        <f t="shared" si="66"/>
        <v>200120</v>
      </c>
      <c r="AB157" s="376">
        <f t="shared" si="66"/>
        <v>203060</v>
      </c>
      <c r="AC157" s="376">
        <f t="shared" si="66"/>
        <v>204400</v>
      </c>
      <c r="AD157" s="376">
        <f t="shared" si="66"/>
        <v>208960</v>
      </c>
      <c r="AE157" s="376">
        <f t="shared" si="66"/>
        <v>213620</v>
      </c>
      <c r="AF157" s="376">
        <f t="shared" si="66"/>
        <v>218420</v>
      </c>
      <c r="AG157" s="376">
        <f t="shared" si="66"/>
        <v>223340</v>
      </c>
    </row>
    <row r="158" spans="1:34" s="371" customFormat="1" ht="11.85" customHeight="1">
      <c r="A158" s="428" t="s">
        <v>320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21.639905288187361</v>
      </c>
      <c r="D159" s="379">
        <f t="shared" si="67"/>
        <v>21.189496608834503</v>
      </c>
      <c r="E159" s="379">
        <f t="shared" si="67"/>
        <v>20.7634343445818</v>
      </c>
      <c r="F159" s="379">
        <f t="shared" si="67"/>
        <v>20.363747363354261</v>
      </c>
      <c r="G159" s="379">
        <f t="shared" si="67"/>
        <v>19.988406797226876</v>
      </c>
      <c r="H159" s="379">
        <f t="shared" si="67"/>
        <v>20.04521509912724</v>
      </c>
      <c r="I159" s="379">
        <f t="shared" si="67"/>
        <v>19.836241702850913</v>
      </c>
      <c r="J159" s="379">
        <f t="shared" si="67"/>
        <v>19.655672457524766</v>
      </c>
      <c r="K159" s="379">
        <f t="shared" si="67"/>
        <v>19.493363023523738</v>
      </c>
      <c r="L159" s="379">
        <f t="shared" si="67"/>
        <v>19.349313400847819</v>
      </c>
      <c r="M159" s="379">
        <f t="shared" si="67"/>
        <v>19.221494721572011</v>
      </c>
      <c r="N159" s="379">
        <f t="shared" si="67"/>
        <v>19.109906985696302</v>
      </c>
      <c r="O159" s="379">
        <f t="shared" si="67"/>
        <v>19.016579061145713</v>
      </c>
      <c r="P159" s="379">
        <f t="shared" si="67"/>
        <v>18.939482079995219</v>
      </c>
      <c r="Q159" s="379">
        <f t="shared" si="67"/>
        <v>18.880644910169849</v>
      </c>
      <c r="R159" s="379">
        <f t="shared" si="67"/>
        <v>18.836009815819565</v>
      </c>
      <c r="S159" s="379">
        <f t="shared" si="67"/>
        <v>18.687902457293625</v>
      </c>
      <c r="T159" s="379">
        <f t="shared" si="67"/>
        <v>18.888760381869897</v>
      </c>
      <c r="U159" s="379">
        <f t="shared" si="67"/>
        <v>19.099762646071241</v>
      </c>
      <c r="V159" s="379">
        <f t="shared" si="67"/>
        <v>19.324966985747668</v>
      </c>
      <c r="W159" s="379">
        <f t="shared" si="67"/>
        <v>19.558286797124147</v>
      </c>
      <c r="X159" s="379">
        <f t="shared" si="67"/>
        <v>19.483218683898674</v>
      </c>
      <c r="Y159" s="379">
        <f t="shared" si="67"/>
        <v>19.742913778300323</v>
      </c>
      <c r="Z159" s="379">
        <f t="shared" si="67"/>
        <v>20.014782080252047</v>
      </c>
      <c r="AA159" s="379">
        <f t="shared" si="67"/>
        <v>20.300852457678864</v>
      </c>
      <c r="AB159" s="379">
        <f t="shared" si="67"/>
        <v>20.599096042655752</v>
      </c>
      <c r="AC159" s="379">
        <f t="shared" si="67"/>
        <v>20.735030193631619</v>
      </c>
      <c r="AD159" s="379">
        <f t="shared" si="67"/>
        <v>21.197612080534554</v>
      </c>
      <c r="AE159" s="379">
        <f t="shared" si="67"/>
        <v>21.670338307062558</v>
      </c>
      <c r="AF159" s="379">
        <f t="shared" si="67"/>
        <v>22.157266609065644</v>
      </c>
      <c r="AG159" s="379">
        <f t="shared" si="67"/>
        <v>22.656368118618815</v>
      </c>
    </row>
    <row r="160" spans="1:34">
      <c r="A160" s="300" t="s">
        <v>321</v>
      </c>
      <c r="B160" s="300" t="s">
        <v>300</v>
      </c>
      <c r="C160" s="379">
        <f t="shared" si="67"/>
        <v>34.6875</v>
      </c>
      <c r="D160" s="379">
        <f t="shared" si="67"/>
        <v>34.36538461538462</v>
      </c>
      <c r="E160" s="379">
        <f t="shared" si="67"/>
        <v>34.075408653846161</v>
      </c>
      <c r="F160" s="379">
        <f t="shared" si="67"/>
        <v>33.816855528846162</v>
      </c>
      <c r="G160" s="379">
        <f t="shared" si="67"/>
        <v>33.589043180288463</v>
      </c>
      <c r="H160" s="379">
        <f t="shared" si="67"/>
        <v>33.391322976225972</v>
      </c>
      <c r="I160" s="379">
        <f t="shared" si="67"/>
        <v>31.40264771389327</v>
      </c>
      <c r="J160" s="379">
        <f t="shared" si="67"/>
        <v>30.356011651660381</v>
      </c>
      <c r="K160" s="379">
        <f t="shared" si="67"/>
        <v>29.344187333840519</v>
      </c>
      <c r="L160" s="379">
        <f t="shared" si="67"/>
        <v>28.36586096337663</v>
      </c>
      <c r="M160" s="379">
        <f t="shared" si="67"/>
        <v>27.419773240959863</v>
      </c>
      <c r="N160" s="379">
        <f t="shared" si="67"/>
        <v>26.504716958258577</v>
      </c>
      <c r="O160" s="379">
        <f t="shared" si="67"/>
        <v>25.619534701711896</v>
      </c>
      <c r="P160" s="379">
        <f t="shared" si="67"/>
        <v>24.763116661680822</v>
      </c>
      <c r="Q160" s="379">
        <f t="shared" si="67"/>
        <v>23.934398541999002</v>
      </c>
      <c r="R160" s="379">
        <f t="shared" si="67"/>
        <v>23.132359565202492</v>
      </c>
      <c r="S160" s="379">
        <f t="shared" si="67"/>
        <v>21.35772154505462</v>
      </c>
      <c r="T160" s="379">
        <f t="shared" si="67"/>
        <v>20.751282068247132</v>
      </c>
      <c r="U160" s="379">
        <f t="shared" si="67"/>
        <v>20.166423820120553</v>
      </c>
      <c r="V160" s="379">
        <f t="shared" si="67"/>
        <v>19.602214031220928</v>
      </c>
      <c r="W160" s="379">
        <f t="shared" si="67"/>
        <v>19.057763341111343</v>
      </c>
      <c r="X160" s="379">
        <f t="shared" si="67"/>
        <v>18.53222371321171</v>
      </c>
      <c r="Y160" s="379">
        <f t="shared" si="67"/>
        <v>18.024786451453757</v>
      </c>
      <c r="Z160" s="379">
        <f t="shared" si="67"/>
        <v>17.53468031373264</v>
      </c>
      <c r="AA160" s="379">
        <f t="shared" si="67"/>
        <v>17.06116971738523</v>
      </c>
      <c r="AB160" s="379">
        <f t="shared" si="67"/>
        <v>16.603553032161727</v>
      </c>
      <c r="AC160" s="379">
        <f t="shared" si="67"/>
        <v>16.045659047753276</v>
      </c>
      <c r="AD160" s="379">
        <f t="shared" si="67"/>
        <v>16.100959403365952</v>
      </c>
      <c r="AE160" s="379">
        <f t="shared" si="67"/>
        <v>16.175046966141114</v>
      </c>
      <c r="AF160" s="379">
        <f t="shared" si="67"/>
        <v>16.267619890037817</v>
      </c>
      <c r="AG160" s="379">
        <f t="shared" si="67"/>
        <v>16.378405385001212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17.299278551560842</v>
      </c>
      <c r="D161" s="379">
        <f t="shared" si="68"/>
        <v>17.496691032216262</v>
      </c>
      <c r="E161" s="379">
        <f t="shared" si="68"/>
        <v>17.711746015670119</v>
      </c>
      <c r="F161" s="379">
        <f t="shared" si="68"/>
        <v>17.944709531574659</v>
      </c>
      <c r="G161" s="379">
        <f t="shared" si="68"/>
        <v>18.195484056400108</v>
      </c>
      <c r="H161" s="379">
        <f t="shared" si="68"/>
        <v>18.5013864687497</v>
      </c>
      <c r="I161" s="379">
        <f t="shared" si="68"/>
        <v>18.815048360300867</v>
      </c>
      <c r="J161" s="379">
        <f t="shared" si="68"/>
        <v>19.146466836474634</v>
      </c>
      <c r="K161" s="379">
        <f t="shared" si="68"/>
        <v>19.494857529001013</v>
      </c>
      <c r="L161" s="379">
        <f t="shared" si="68"/>
        <v>19.869628308402731</v>
      </c>
      <c r="M161" s="379">
        <f t="shared" si="68"/>
        <v>20.261490644411321</v>
      </c>
      <c r="N161" s="379">
        <f t="shared" si="68"/>
        <v>20.670608013999061</v>
      </c>
      <c r="O161" s="379">
        <f t="shared" si="68"/>
        <v>21.106596172252175</v>
      </c>
      <c r="P161" s="379">
        <f t="shared" si="68"/>
        <v>21.560190101327212</v>
      </c>
      <c r="Q161" s="379">
        <f t="shared" si="68"/>
        <v>22.04102208237968</v>
      </c>
      <c r="R161" s="379">
        <f t="shared" si="68"/>
        <v>22.53965903907547</v>
      </c>
      <c r="S161" s="379">
        <f t="shared" si="68"/>
        <v>23.081352912156287</v>
      </c>
      <c r="T161" s="379">
        <f t="shared" si="68"/>
        <v>23.68029128747078</v>
      </c>
      <c r="U161" s="379">
        <f t="shared" si="68"/>
        <v>24.305791481044643</v>
      </c>
      <c r="V161" s="379">
        <f t="shared" si="68"/>
        <v>24.958476782923022</v>
      </c>
      <c r="W161" s="379">
        <f t="shared" si="68"/>
        <v>25.638054618884887</v>
      </c>
      <c r="X161" s="379">
        <f t="shared" si="68"/>
        <v>26.315909542324512</v>
      </c>
      <c r="Y161" s="379">
        <f t="shared" si="68"/>
        <v>27.051029575432299</v>
      </c>
      <c r="Z161" s="379">
        <f t="shared" si="68"/>
        <v>27.823525159572533</v>
      </c>
      <c r="AA161" s="379">
        <f t="shared" si="68"/>
        <v>28.624629604410917</v>
      </c>
      <c r="AB161" s="379">
        <f t="shared" si="68"/>
        <v>29.463736592037712</v>
      </c>
      <c r="AC161" s="379">
        <f t="shared" si="68"/>
        <v>30.363975848746605</v>
      </c>
      <c r="AD161" s="379">
        <f t="shared" si="68"/>
        <v>31.331599203283766</v>
      </c>
      <c r="AE161" s="379">
        <f t="shared" si="68"/>
        <v>32.338081838911982</v>
      </c>
      <c r="AF161" s="379">
        <f t="shared" si="68"/>
        <v>33.384172485158814</v>
      </c>
      <c r="AG161" s="379">
        <f t="shared" si="68"/>
        <v>34.470079171723164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1.4108465608465615</v>
      </c>
      <c r="D162" s="379">
        <f t="shared" si="69"/>
        <v>1.381481481481482</v>
      </c>
      <c r="E162" s="379">
        <f t="shared" si="69"/>
        <v>1.3537037037037041</v>
      </c>
      <c r="F162" s="379">
        <f t="shared" si="69"/>
        <v>1.3276455026455032</v>
      </c>
      <c r="G162" s="379">
        <f t="shared" si="69"/>
        <v>1.3031746031746037</v>
      </c>
      <c r="H162" s="379">
        <f t="shared" si="69"/>
        <v>1.3068783068783074</v>
      </c>
      <c r="I162" s="379">
        <f t="shared" si="69"/>
        <v>1.2932539682539688</v>
      </c>
      <c r="J162" s="379">
        <f t="shared" si="69"/>
        <v>1.2814814814814819</v>
      </c>
      <c r="K162" s="379">
        <f t="shared" si="69"/>
        <v>1.2708994708994714</v>
      </c>
      <c r="L162" s="379">
        <f t="shared" si="69"/>
        <v>1.2615079365079369</v>
      </c>
      <c r="M162" s="379">
        <f t="shared" si="69"/>
        <v>1.2531746031746036</v>
      </c>
      <c r="N162" s="379">
        <f t="shared" si="69"/>
        <v>2.4917989417989426</v>
      </c>
      <c r="O162" s="379">
        <f t="shared" si="69"/>
        <v>2.4796296296296307</v>
      </c>
      <c r="P162" s="379">
        <f t="shared" si="69"/>
        <v>2.4695767195767204</v>
      </c>
      <c r="Q162" s="379">
        <f t="shared" si="69"/>
        <v>2.4619047619047629</v>
      </c>
      <c r="R162" s="379">
        <f t="shared" si="69"/>
        <v>2.456084656084657</v>
      </c>
      <c r="S162" s="379">
        <f t="shared" si="69"/>
        <v>2.4367724867724876</v>
      </c>
      <c r="T162" s="379">
        <f t="shared" si="69"/>
        <v>2.4629629629629637</v>
      </c>
      <c r="U162" s="379">
        <f t="shared" si="69"/>
        <v>2.4904761904761914</v>
      </c>
      <c r="V162" s="379">
        <f t="shared" si="69"/>
        <v>2.5198412698412707</v>
      </c>
      <c r="W162" s="379">
        <f t="shared" si="69"/>
        <v>2.5502645502645511</v>
      </c>
      <c r="X162" s="379">
        <f t="shared" si="69"/>
        <v>3.8107142857142864</v>
      </c>
      <c r="Y162" s="379">
        <f t="shared" si="69"/>
        <v>3.861507936507937</v>
      </c>
      <c r="Z162" s="379">
        <f t="shared" si="69"/>
        <v>3.9146825396825404</v>
      </c>
      <c r="AA162" s="379">
        <f t="shared" si="69"/>
        <v>3.9706349206349212</v>
      </c>
      <c r="AB162" s="379">
        <f t="shared" si="69"/>
        <v>4.0289682539682543</v>
      </c>
      <c r="AC162" s="379">
        <f t="shared" si="69"/>
        <v>4.0555555555555562</v>
      </c>
      <c r="AD162" s="379">
        <f t="shared" si="69"/>
        <v>4.1460317460317464</v>
      </c>
      <c r="AE162" s="379">
        <f t="shared" si="69"/>
        <v>4.238492063492064</v>
      </c>
      <c r="AF162" s="379">
        <f t="shared" si="69"/>
        <v>4.3337301587301598</v>
      </c>
      <c r="AG162" s="379">
        <f t="shared" si="69"/>
        <v>4.431349206349207</v>
      </c>
    </row>
    <row r="163" spans="1:33">
      <c r="A163" s="380" t="s">
        <v>323</v>
      </c>
      <c r="B163" s="300" t="s">
        <v>300</v>
      </c>
      <c r="C163" s="432">
        <f>SUM(C159:C161)-C162</f>
        <v>72.215837278901645</v>
      </c>
      <c r="D163" s="432">
        <f t="shared" ref="D163:AG163" si="70">SUM(D159:D161)-D162</f>
        <v>71.670090774953891</v>
      </c>
      <c r="E163" s="432">
        <f t="shared" si="70"/>
        <v>71.196885310394379</v>
      </c>
      <c r="F163" s="432">
        <f t="shared" si="70"/>
        <v>70.797666921129576</v>
      </c>
      <c r="G163" s="432">
        <f t="shared" si="70"/>
        <v>70.469759430740851</v>
      </c>
      <c r="H163" s="432">
        <f t="shared" si="70"/>
        <v>70.631046237224609</v>
      </c>
      <c r="I163" s="432">
        <f t="shared" si="70"/>
        <v>68.760683808791086</v>
      </c>
      <c r="J163" s="432">
        <f t="shared" si="70"/>
        <v>67.876669464178306</v>
      </c>
      <c r="K163" s="432">
        <f t="shared" si="70"/>
        <v>67.061508415465809</v>
      </c>
      <c r="L163" s="432">
        <f t="shared" si="70"/>
        <v>66.323294736119237</v>
      </c>
      <c r="M163" s="432">
        <f t="shared" si="70"/>
        <v>65.649584003768595</v>
      </c>
      <c r="N163" s="432">
        <f t="shared" si="70"/>
        <v>63.793433016154999</v>
      </c>
      <c r="O163" s="432">
        <f t="shared" si="70"/>
        <v>63.263080305480159</v>
      </c>
      <c r="P163" s="432">
        <f t="shared" si="70"/>
        <v>62.793212123426528</v>
      </c>
      <c r="Q163" s="432">
        <f t="shared" si="70"/>
        <v>62.394160772643772</v>
      </c>
      <c r="R163" s="432">
        <f t="shared" si="70"/>
        <v>62.051943764012876</v>
      </c>
      <c r="S163" s="432">
        <f t="shared" si="70"/>
        <v>60.690204427732048</v>
      </c>
      <c r="T163" s="432">
        <f t="shared" si="70"/>
        <v>60.857370774624847</v>
      </c>
      <c r="U163" s="432">
        <f t="shared" si="70"/>
        <v>61.081501756760247</v>
      </c>
      <c r="V163" s="432">
        <f t="shared" si="70"/>
        <v>61.365816530050346</v>
      </c>
      <c r="W163" s="432">
        <f t="shared" si="70"/>
        <v>61.703840206855837</v>
      </c>
      <c r="X163" s="432">
        <f t="shared" si="70"/>
        <v>60.520637653720613</v>
      </c>
      <c r="Y163" s="432">
        <f t="shared" si="70"/>
        <v>60.957221868678445</v>
      </c>
      <c r="Z163" s="432">
        <f t="shared" si="70"/>
        <v>61.458305013874671</v>
      </c>
      <c r="AA163" s="432">
        <f t="shared" si="70"/>
        <v>62.016016858840089</v>
      </c>
      <c r="AB163" s="432">
        <f t="shared" si="70"/>
        <v>62.63741741288694</v>
      </c>
      <c r="AC163" s="432">
        <f t="shared" si="70"/>
        <v>63.08910953457594</v>
      </c>
      <c r="AD163" s="432">
        <f t="shared" si="70"/>
        <v>64.484138941152509</v>
      </c>
      <c r="AE163" s="432">
        <f t="shared" si="70"/>
        <v>65.944975048623604</v>
      </c>
      <c r="AF163" s="432">
        <f t="shared" si="70"/>
        <v>67.475328825532117</v>
      </c>
      <c r="AG163" s="432">
        <f t="shared" si="70"/>
        <v>69.073503468993977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33.521745325043042</v>
      </c>
      <c r="D165" s="379">
        <f t="shared" si="72"/>
        <v>35.926523434229019</v>
      </c>
      <c r="E165" s="379">
        <f t="shared" si="72"/>
        <v>36.793136163644689</v>
      </c>
      <c r="F165" s="379">
        <f t="shared" si="72"/>
        <v>37.685873178709031</v>
      </c>
      <c r="G165" s="379">
        <f t="shared" si="72"/>
        <v>38.605384285892569</v>
      </c>
      <c r="H165" s="379">
        <f t="shared" si="72"/>
        <v>40.146648702912103</v>
      </c>
      <c r="I165" s="379">
        <f t="shared" si="72"/>
        <v>41.138647397944553</v>
      </c>
      <c r="J165" s="379">
        <f t="shared" si="72"/>
        <v>42.159435674448034</v>
      </c>
      <c r="K165" s="379">
        <f t="shared" si="72"/>
        <v>43.209411338796556</v>
      </c>
      <c r="L165" s="379">
        <f t="shared" si="72"/>
        <v>44.28913315900575</v>
      </c>
      <c r="M165" s="379">
        <f t="shared" si="72"/>
        <v>45.399321285916855</v>
      </c>
      <c r="N165" s="379">
        <f t="shared" si="72"/>
        <v>47.107131304559651</v>
      </c>
      <c r="O165" s="379">
        <f t="shared" si="72"/>
        <v>48.296719696356739</v>
      </c>
      <c r="P165" s="379">
        <f t="shared" si="72"/>
        <v>49.528344837468048</v>
      </c>
      <c r="Q165" s="379">
        <f t="shared" si="72"/>
        <v>50.793387637634183</v>
      </c>
      <c r="R165" s="379">
        <f t="shared" si="72"/>
        <v>52.101762603347538</v>
      </c>
      <c r="S165" s="379">
        <f t="shared" si="72"/>
        <v>53.44488132383988</v>
      </c>
      <c r="T165" s="379">
        <f t="shared" si="72"/>
        <v>54.832690050460478</v>
      </c>
      <c r="U165" s="379">
        <f t="shared" si="72"/>
        <v>56.256795103538238</v>
      </c>
      <c r="V165" s="379">
        <f t="shared" si="72"/>
        <v>57.727176729638998</v>
      </c>
      <c r="W165" s="379">
        <f t="shared" si="72"/>
        <v>59.24457381013746</v>
      </c>
      <c r="X165" s="379">
        <f t="shared" si="72"/>
        <v>61.571545840922198</v>
      </c>
      <c r="Y165" s="379">
        <f t="shared" si="72"/>
        <v>63.208432888798008</v>
      </c>
      <c r="Z165" s="379">
        <f t="shared" si="72"/>
        <v>64.895677383824307</v>
      </c>
      <c r="AA165" s="379">
        <f t="shared" si="72"/>
        <v>66.634284630920789</v>
      </c>
      <c r="AB165" s="379">
        <f t="shared" si="72"/>
        <v>68.425106098912025</v>
      </c>
      <c r="AC165" s="379">
        <f t="shared" si="72"/>
        <v>70.269015282766347</v>
      </c>
      <c r="AD165" s="379">
        <f t="shared" si="72"/>
        <v>72.176517962277714</v>
      </c>
      <c r="AE165" s="379">
        <f t="shared" si="72"/>
        <v>74.139274798877508</v>
      </c>
      <c r="AF165" s="379">
        <f t="shared" si="72"/>
        <v>76.167664540750152</v>
      </c>
      <c r="AG165" s="379">
        <f t="shared" si="72"/>
        <v>78.262656899619898</v>
      </c>
    </row>
    <row r="166" spans="1:33">
      <c r="A166" s="300" t="s">
        <v>179</v>
      </c>
      <c r="B166" s="300" t="s">
        <v>179</v>
      </c>
      <c r="C166" s="379">
        <f t="shared" ref="C166:AG166" si="73">C95</f>
        <v>33.072847161282027</v>
      </c>
      <c r="D166" s="379">
        <f t="shared" si="73"/>
        <v>34.397588131676038</v>
      </c>
      <c r="E166" s="379">
        <f t="shared" si="73"/>
        <v>35.416590590441139</v>
      </c>
      <c r="F166" s="379">
        <f t="shared" si="73"/>
        <v>36.470446804450667</v>
      </c>
      <c r="G166" s="379">
        <f t="shared" si="73"/>
        <v>37.559968814584188</v>
      </c>
      <c r="H166" s="379">
        <f t="shared" si="73"/>
        <v>39.307066091896594</v>
      </c>
      <c r="I166" s="379">
        <f t="shared" si="73"/>
        <v>40.489094629196167</v>
      </c>
      <c r="J166" s="379">
        <f t="shared" si="73"/>
        <v>41.709946304163168</v>
      </c>
      <c r="K166" s="379">
        <f t="shared" si="73"/>
        <v>42.970561131716536</v>
      </c>
      <c r="L166" s="379">
        <f t="shared" si="73"/>
        <v>44.271909785386676</v>
      </c>
      <c r="M166" s="379">
        <f t="shared" si="73"/>
        <v>45.614994618742543</v>
      </c>
      <c r="N166" s="379">
        <f t="shared" si="73"/>
        <v>47.613327246797787</v>
      </c>
      <c r="O166" s="379">
        <f t="shared" si="73"/>
        <v>49.061397832943221</v>
      </c>
      <c r="P166" s="379">
        <f t="shared" si="73"/>
        <v>50.564222970542851</v>
      </c>
      <c r="Q166" s="379">
        <f t="shared" si="73"/>
        <v>52.113699938415195</v>
      </c>
      <c r="R166" s="379">
        <f t="shared" si="73"/>
        <v>53.720282363105724</v>
      </c>
      <c r="S166" s="379">
        <f t="shared" si="73"/>
        <v>55.375944445596595</v>
      </c>
      <c r="T166" s="379">
        <f t="shared" si="73"/>
        <v>57.091219305193057</v>
      </c>
      <c r="U166" s="379">
        <f t="shared" si="73"/>
        <v>58.858163293939633</v>
      </c>
      <c r="V166" s="379">
        <f t="shared" si="73"/>
        <v>60.687394431268459</v>
      </c>
      <c r="W166" s="379">
        <f t="shared" si="73"/>
        <v>62.580316071600642</v>
      </c>
      <c r="X166" s="379">
        <f t="shared" si="73"/>
        <v>65.361494892648011</v>
      </c>
      <c r="Y166" s="379">
        <f t="shared" si="73"/>
        <v>67.410887021501011</v>
      </c>
      <c r="Z166" s="379">
        <f t="shared" si="73"/>
        <v>69.529203293354342</v>
      </c>
      <c r="AA166" s="379">
        <f t="shared" si="73"/>
        <v>71.718063132541886</v>
      </c>
      <c r="AB166" s="379">
        <f t="shared" si="73"/>
        <v>73.979139228252222</v>
      </c>
      <c r="AC166" s="379">
        <f t="shared" si="73"/>
        <v>76.314159323678169</v>
      </c>
      <c r="AD166" s="379">
        <f t="shared" si="73"/>
        <v>78.734167325787524</v>
      </c>
      <c r="AE166" s="379">
        <f t="shared" si="73"/>
        <v>81.231747441567322</v>
      </c>
      <c r="AF166" s="379">
        <f t="shared" si="73"/>
        <v>83.818063194819104</v>
      </c>
      <c r="AG166" s="379">
        <f t="shared" si="73"/>
        <v>86.495081696180407</v>
      </c>
    </row>
    <row r="167" spans="1:33">
      <c r="A167" s="300" t="s">
        <v>180</v>
      </c>
      <c r="B167" s="300" t="s">
        <v>180</v>
      </c>
      <c r="C167" s="379">
        <f t="shared" ref="C167:AG167" si="74">C112</f>
        <v>33.134496966772872</v>
      </c>
      <c r="D167" s="379">
        <f t="shared" si="74"/>
        <v>34.190389662233791</v>
      </c>
      <c r="E167" s="379">
        <f t="shared" si="74"/>
        <v>35.185211688832737</v>
      </c>
      <c r="F167" s="379">
        <f t="shared" si="74"/>
        <v>36.213028603173498</v>
      </c>
      <c r="G167" s="379">
        <f t="shared" si="74"/>
        <v>37.27605619691245</v>
      </c>
      <c r="H167" s="379">
        <f t="shared" si="74"/>
        <v>38.996050546632297</v>
      </c>
      <c r="I167" s="379">
        <f t="shared" si="74"/>
        <v>40.150209648835002</v>
      </c>
      <c r="J167" s="379">
        <f t="shared" si="74"/>
        <v>41.341703681123711</v>
      </c>
      <c r="K167" s="379">
        <f t="shared" si="74"/>
        <v>42.571288271219558</v>
      </c>
      <c r="L167" s="379">
        <f t="shared" si="74"/>
        <v>43.841296851287979</v>
      </c>
      <c r="M167" s="379">
        <f t="shared" si="74"/>
        <v>45.15253615851973</v>
      </c>
      <c r="N167" s="379">
        <f t="shared" si="74"/>
        <v>47.156668072754989</v>
      </c>
      <c r="O167" s="379">
        <f t="shared" si="74"/>
        <v>48.569201898228116</v>
      </c>
      <c r="P167" s="379">
        <f t="shared" si="74"/>
        <v>50.035339924706221</v>
      </c>
      <c r="Q167" s="379">
        <f t="shared" si="74"/>
        <v>51.54674272618459</v>
      </c>
      <c r="R167" s="379">
        <f t="shared" si="74"/>
        <v>53.113620123240821</v>
      </c>
      <c r="S167" s="379">
        <f t="shared" si="74"/>
        <v>54.727695196710108</v>
      </c>
      <c r="T167" s="379">
        <f t="shared" si="74"/>
        <v>56.400927364727465</v>
      </c>
      <c r="U167" s="379">
        <f t="shared" si="74"/>
        <v>58.125106565973503</v>
      </c>
      <c r="V167" s="379">
        <f t="shared" si="74"/>
        <v>59.908891461534473</v>
      </c>
      <c r="W167" s="379">
        <f t="shared" si="74"/>
        <v>61.753402767893697</v>
      </c>
      <c r="X167" s="379">
        <f t="shared" si="74"/>
        <v>64.519385647837751</v>
      </c>
      <c r="Y167" s="379">
        <f t="shared" si="74"/>
        <v>66.517728038093693</v>
      </c>
      <c r="Z167" s="379">
        <f t="shared" si="74"/>
        <v>68.582736188106665</v>
      </c>
      <c r="AA167" s="379">
        <f t="shared" si="74"/>
        <v>70.717506414269707</v>
      </c>
      <c r="AB167" s="379">
        <f t="shared" si="74"/>
        <v>72.921543632334021</v>
      </c>
      <c r="AC167" s="379">
        <f t="shared" si="74"/>
        <v>75.198031751110179</v>
      </c>
      <c r="AD167" s="379">
        <f t="shared" si="74"/>
        <v>77.55764278360742</v>
      </c>
      <c r="AE167" s="379">
        <f t="shared" si="74"/>
        <v>79.992577886035576</v>
      </c>
      <c r="AF167" s="379">
        <f t="shared" si="74"/>
        <v>82.513606039895521</v>
      </c>
      <c r="AG167" s="379">
        <f t="shared" si="74"/>
        <v>85.122287977255212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40.041670801625386</v>
      </c>
      <c r="D168" s="379">
        <f t="shared" si="75"/>
        <v>40.323734999096878</v>
      </c>
      <c r="E168" s="379">
        <f t="shared" si="75"/>
        <v>40.552058332339556</v>
      </c>
      <c r="F168" s="379">
        <f t="shared" si="75"/>
        <v>40.436459957570321</v>
      </c>
      <c r="G168" s="379">
        <f t="shared" si="75"/>
        <v>40.266175873895037</v>
      </c>
      <c r="H168" s="379">
        <f t="shared" si="75"/>
        <v>40.714268362881413</v>
      </c>
      <c r="I168" s="379">
        <f t="shared" si="75"/>
        <v>39.268579765756243</v>
      </c>
      <c r="J168" s="379">
        <f t="shared" si="75"/>
        <v>39.425964591209841</v>
      </c>
      <c r="K168" s="379">
        <f t="shared" si="75"/>
        <v>39.439705820143224</v>
      </c>
      <c r="L168" s="379">
        <f t="shared" si="75"/>
        <v>39.551061722755144</v>
      </c>
      <c r="M168" s="379">
        <f t="shared" si="75"/>
        <v>39.761919593386601</v>
      </c>
      <c r="N168" s="379">
        <f t="shared" si="75"/>
        <v>39.286960420340428</v>
      </c>
      <c r="O168" s="379">
        <f t="shared" si="75"/>
        <v>39.737254008940177</v>
      </c>
      <c r="P168" s="379">
        <f t="shared" si="75"/>
        <v>40.189574310711819</v>
      </c>
      <c r="Q168" s="379">
        <f t="shared" si="75"/>
        <v>40.712555439155345</v>
      </c>
      <c r="R168" s="379">
        <f t="shared" si="75"/>
        <v>41.304772125598831</v>
      </c>
      <c r="S168" s="379">
        <f t="shared" si="75"/>
        <v>41.868917521612019</v>
      </c>
      <c r="T168" s="379">
        <f t="shared" si="75"/>
        <v>42.727348587121924</v>
      </c>
      <c r="U168" s="379">
        <f t="shared" si="75"/>
        <v>43.592945569519834</v>
      </c>
      <c r="V168" s="379">
        <f t="shared" si="75"/>
        <v>44.497498019392779</v>
      </c>
      <c r="W168" s="379">
        <f t="shared" si="75"/>
        <v>45.444085114183565</v>
      </c>
      <c r="X168" s="379">
        <f t="shared" si="75"/>
        <v>45.420582669271184</v>
      </c>
      <c r="Y168" s="379">
        <f t="shared" si="75"/>
        <v>46.43136532683517</v>
      </c>
      <c r="Z168" s="379">
        <f t="shared" si="75"/>
        <v>47.492525842510702</v>
      </c>
      <c r="AA168" s="379">
        <f t="shared" si="75"/>
        <v>48.599673642197999</v>
      </c>
      <c r="AB168" s="379">
        <f t="shared" si="75"/>
        <v>49.761457815114944</v>
      </c>
      <c r="AC168" s="379">
        <f t="shared" si="75"/>
        <v>51.21956700136937</v>
      </c>
      <c r="AD168" s="379">
        <f t="shared" si="75"/>
        <v>52.777731541474452</v>
      </c>
      <c r="AE168" s="379">
        <f t="shared" si="75"/>
        <v>54.394274925765608</v>
      </c>
      <c r="AF168" s="379">
        <f t="shared" si="75"/>
        <v>56.073454620092704</v>
      </c>
      <c r="AG168" s="379">
        <f t="shared" si="75"/>
        <v>57.817387735891536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66.706791998703494</v>
      </c>
      <c r="D169" s="379">
        <f t="shared" si="76"/>
        <v>66.636504947001029</v>
      </c>
      <c r="E169" s="379">
        <f t="shared" si="76"/>
        <v>66.635439910337439</v>
      </c>
      <c r="F169" s="379">
        <f t="shared" si="76"/>
        <v>66.7028579399948</v>
      </c>
      <c r="G169" s="379">
        <f t="shared" si="76"/>
        <v>66.838074623511531</v>
      </c>
      <c r="H169" s="379">
        <f t="shared" si="76"/>
        <v>67.795688435825141</v>
      </c>
      <c r="I169" s="379">
        <f t="shared" si="76"/>
        <v>65.684504649607717</v>
      </c>
      <c r="J169" s="379">
        <f t="shared" si="76"/>
        <v>64.855030178498069</v>
      </c>
      <c r="K169" s="379">
        <f t="shared" si="76"/>
        <v>64.097890942360053</v>
      </c>
      <c r="L169" s="379">
        <f t="shared" si="76"/>
        <v>63.41160807321782</v>
      </c>
      <c r="M169" s="379">
        <f t="shared" si="76"/>
        <v>62.796669477714872</v>
      </c>
      <c r="N169" s="379">
        <f t="shared" si="76"/>
        <v>61.556622992132823</v>
      </c>
      <c r="O169" s="379">
        <f t="shared" si="76"/>
        <v>61.064834972980442</v>
      </c>
      <c r="P169" s="379">
        <f t="shared" si="76"/>
        <v>60.649143923558555</v>
      </c>
      <c r="Q169" s="379">
        <f t="shared" si="76"/>
        <v>60.29745147864444</v>
      </c>
      <c r="R169" s="379">
        <f t="shared" si="76"/>
        <v>60.019751061203223</v>
      </c>
      <c r="S169" s="379">
        <f t="shared" si="76"/>
        <v>58.543062708154729</v>
      </c>
      <c r="T169" s="379">
        <f t="shared" si="76"/>
        <v>58.663121767550756</v>
      </c>
      <c r="U169" s="379">
        <f t="shared" si="76"/>
        <v>58.836979135881549</v>
      </c>
      <c r="V169" s="379">
        <f t="shared" si="76"/>
        <v>59.078305438548711</v>
      </c>
      <c r="W169" s="379">
        <f t="shared" si="76"/>
        <v>59.382830354740037</v>
      </c>
      <c r="X169" s="379">
        <f t="shared" si="76"/>
        <v>59.313777763361607</v>
      </c>
      <c r="Y169" s="379">
        <f t="shared" si="76"/>
        <v>59.735896201284056</v>
      </c>
      <c r="Z169" s="379">
        <f t="shared" si="76"/>
        <v>60.219066196563269</v>
      </c>
      <c r="AA169" s="379">
        <f t="shared" si="76"/>
        <v>60.766164684970676</v>
      </c>
      <c r="AB169" s="379">
        <f t="shared" si="76"/>
        <v>61.376763283349369</v>
      </c>
      <c r="AC169" s="379">
        <f t="shared" si="76"/>
        <v>61.894809302926497</v>
      </c>
      <c r="AD169" s="379">
        <f t="shared" si="76"/>
        <v>63.284775526498194</v>
      </c>
      <c r="AE169" s="379">
        <f t="shared" si="76"/>
        <v>64.742059767354249</v>
      </c>
      <c r="AF169" s="379">
        <f t="shared" si="76"/>
        <v>66.279481139005256</v>
      </c>
      <c r="AG169" s="379">
        <f t="shared" si="76"/>
        <v>67.895606869747283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72.215837278901645</v>
      </c>
      <c r="D170" s="379">
        <f t="shared" si="78"/>
        <v>71.670090774953891</v>
      </c>
      <c r="E170" s="379">
        <f t="shared" si="78"/>
        <v>71.196885310394379</v>
      </c>
      <c r="F170" s="379">
        <f t="shared" si="78"/>
        <v>70.797666921129576</v>
      </c>
      <c r="G170" s="379">
        <f t="shared" si="78"/>
        <v>70.469759430740851</v>
      </c>
      <c r="H170" s="379">
        <f t="shared" si="78"/>
        <v>70.631046237224609</v>
      </c>
      <c r="I170" s="379">
        <f t="shared" si="78"/>
        <v>68.760683808791086</v>
      </c>
      <c r="J170" s="379">
        <f t="shared" si="78"/>
        <v>67.876669464178306</v>
      </c>
      <c r="K170" s="379">
        <f t="shared" si="78"/>
        <v>67.061508415465809</v>
      </c>
      <c r="L170" s="379">
        <f t="shared" si="78"/>
        <v>66.323294736119237</v>
      </c>
      <c r="M170" s="379">
        <f t="shared" si="78"/>
        <v>65.649584003768595</v>
      </c>
      <c r="N170" s="379">
        <f t="shared" si="78"/>
        <v>63.793433016154999</v>
      </c>
      <c r="O170" s="379">
        <f t="shared" si="78"/>
        <v>63.263080305480159</v>
      </c>
      <c r="P170" s="379">
        <f t="shared" si="78"/>
        <v>62.793212123426528</v>
      </c>
      <c r="Q170" s="379">
        <f t="shared" si="78"/>
        <v>62.394160772643772</v>
      </c>
      <c r="R170" s="379">
        <f t="shared" si="78"/>
        <v>62.051943764012876</v>
      </c>
      <c r="S170" s="379">
        <f t="shared" si="78"/>
        <v>60.690204427732048</v>
      </c>
      <c r="T170" s="379">
        <f t="shared" si="78"/>
        <v>60.857370774624847</v>
      </c>
      <c r="U170" s="379">
        <f t="shared" si="78"/>
        <v>61.081501756760247</v>
      </c>
      <c r="V170" s="379">
        <f t="shared" si="78"/>
        <v>61.365816530050346</v>
      </c>
      <c r="W170" s="379">
        <f t="shared" si="78"/>
        <v>61.703840206855837</v>
      </c>
      <c r="X170" s="379">
        <f t="shared" si="78"/>
        <v>60.520637653720613</v>
      </c>
      <c r="Y170" s="379">
        <f t="shared" si="78"/>
        <v>60.957221868678445</v>
      </c>
      <c r="Z170" s="379">
        <f t="shared" si="78"/>
        <v>61.458305013874671</v>
      </c>
      <c r="AA170" s="379">
        <f t="shared" si="78"/>
        <v>62.016016858840089</v>
      </c>
      <c r="AB170" s="379">
        <f t="shared" si="78"/>
        <v>62.63741741288694</v>
      </c>
      <c r="AC170" s="379">
        <f t="shared" si="78"/>
        <v>63.08910953457594</v>
      </c>
      <c r="AD170" s="379">
        <f t="shared" si="78"/>
        <v>64.484138941152509</v>
      </c>
      <c r="AE170" s="379">
        <f t="shared" si="78"/>
        <v>65.944975048623604</v>
      </c>
      <c r="AF170" s="379">
        <f t="shared" si="78"/>
        <v>67.475328825532117</v>
      </c>
      <c r="AG170" s="379">
        <f t="shared" si="78"/>
        <v>69.073503468993977</v>
      </c>
    </row>
    <row r="171" spans="1:33">
      <c r="A171" s="300" t="s">
        <v>334</v>
      </c>
      <c r="C171" s="379">
        <f t="shared" ref="C171:AG171" si="79">C165*0.9</f>
        <v>30.169570792538739</v>
      </c>
      <c r="D171" s="379">
        <f t="shared" si="79"/>
        <v>32.33387109080612</v>
      </c>
      <c r="E171" s="379">
        <f t="shared" si="79"/>
        <v>33.113822547280222</v>
      </c>
      <c r="F171" s="379">
        <f t="shared" si="79"/>
        <v>33.917285860838128</v>
      </c>
      <c r="G171" s="379">
        <f t="shared" si="79"/>
        <v>34.744845857303311</v>
      </c>
      <c r="H171" s="379">
        <f t="shared" si="79"/>
        <v>36.131983832620897</v>
      </c>
      <c r="I171" s="379">
        <f t="shared" si="79"/>
        <v>37.024782658150102</v>
      </c>
      <c r="J171" s="379">
        <f t="shared" si="79"/>
        <v>37.94349210700323</v>
      </c>
      <c r="K171" s="379">
        <f t="shared" si="79"/>
        <v>38.888470204916899</v>
      </c>
      <c r="L171" s="379">
        <f t="shared" si="79"/>
        <v>39.860219843105178</v>
      </c>
      <c r="M171" s="379">
        <f t="shared" si="79"/>
        <v>40.859389157325168</v>
      </c>
      <c r="N171" s="379">
        <f t="shared" si="79"/>
        <v>42.396418174103687</v>
      </c>
      <c r="O171" s="379">
        <f t="shared" si="79"/>
        <v>43.467047726721063</v>
      </c>
      <c r="P171" s="379">
        <f t="shared" si="79"/>
        <v>44.575510353721242</v>
      </c>
      <c r="Q171" s="379">
        <f t="shared" si="79"/>
        <v>45.714048873870766</v>
      </c>
      <c r="R171" s="379">
        <f t="shared" si="79"/>
        <v>46.891586343012783</v>
      </c>
      <c r="S171" s="379">
        <f t="shared" si="79"/>
        <v>48.100393191455893</v>
      </c>
      <c r="T171" s="379">
        <f t="shared" si="79"/>
        <v>49.349421045414431</v>
      </c>
      <c r="U171" s="379">
        <f t="shared" si="79"/>
        <v>50.631115593184418</v>
      </c>
      <c r="V171" s="379">
        <f t="shared" si="79"/>
        <v>51.954459056675098</v>
      </c>
      <c r="W171" s="379">
        <f t="shared" si="79"/>
        <v>53.320116429123715</v>
      </c>
      <c r="X171" s="379">
        <f t="shared" si="79"/>
        <v>55.41439125682998</v>
      </c>
      <c r="Y171" s="379">
        <f t="shared" si="79"/>
        <v>56.887589599918208</v>
      </c>
      <c r="Z171" s="379">
        <f t="shared" si="79"/>
        <v>58.40610964544188</v>
      </c>
      <c r="AA171" s="379">
        <f t="shared" si="79"/>
        <v>59.970856167828714</v>
      </c>
      <c r="AB171" s="379">
        <f t="shared" si="79"/>
        <v>61.582595489020825</v>
      </c>
      <c r="AC171" s="379">
        <f t="shared" si="79"/>
        <v>63.242113754489715</v>
      </c>
      <c r="AD171" s="379">
        <f t="shared" si="79"/>
        <v>64.958866166049944</v>
      </c>
      <c r="AE171" s="379">
        <f t="shared" si="79"/>
        <v>66.725347318989762</v>
      </c>
      <c r="AF171" s="379">
        <f t="shared" si="79"/>
        <v>68.550898086675133</v>
      </c>
      <c r="AG171" s="379">
        <f t="shared" si="79"/>
        <v>70.436391209657913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3.1925471738136233</v>
      </c>
      <c r="D174" s="379">
        <f t="shared" si="81"/>
        <v>3.4215736604027636</v>
      </c>
      <c r="E174" s="379">
        <f t="shared" si="81"/>
        <v>3.5041082060613991</v>
      </c>
      <c r="F174" s="379">
        <f t="shared" si="81"/>
        <v>3.5891307789246696</v>
      </c>
      <c r="G174" s="379">
        <f t="shared" si="81"/>
        <v>3.676703265323102</v>
      </c>
      <c r="H174" s="379">
        <f t="shared" si="81"/>
        <v>3.8234903526582955</v>
      </c>
      <c r="I174" s="379">
        <f t="shared" si="81"/>
        <v>3.9179664188518624</v>
      </c>
      <c r="J174" s="379">
        <f t="shared" si="81"/>
        <v>4.0151843499474316</v>
      </c>
      <c r="K174" s="379">
        <f t="shared" si="81"/>
        <v>4.1151820322663388</v>
      </c>
      <c r="L174" s="379">
        <f t="shared" si="81"/>
        <v>4.2180126818100714</v>
      </c>
      <c r="M174" s="379">
        <f t="shared" si="81"/>
        <v>4.3237448843730339</v>
      </c>
      <c r="N174" s="379">
        <f t="shared" si="81"/>
        <v>4.4863934575771101</v>
      </c>
      <c r="O174" s="379">
        <f t="shared" si="81"/>
        <v>4.5996875901292134</v>
      </c>
      <c r="P174" s="379">
        <f t="shared" si="81"/>
        <v>4.7169852226160049</v>
      </c>
      <c r="Q174" s="379">
        <f t="shared" si="81"/>
        <v>4.8374654892984932</v>
      </c>
      <c r="R174" s="379">
        <f t="shared" si="81"/>
        <v>4.9620726288902413</v>
      </c>
      <c r="S174" s="379">
        <f t="shared" si="81"/>
        <v>5.0899886975085593</v>
      </c>
      <c r="T174" s="379">
        <f t="shared" si="81"/>
        <v>5.2221609571867118</v>
      </c>
      <c r="U174" s="379">
        <f t="shared" si="81"/>
        <v>5.3577900098607847</v>
      </c>
      <c r="V174" s="379">
        <f t="shared" si="81"/>
        <v>5.4978263552037143</v>
      </c>
      <c r="W174" s="379">
        <f t="shared" si="81"/>
        <v>5.6423403628702342</v>
      </c>
      <c r="X174" s="379">
        <f t="shared" si="81"/>
        <v>5.8639567467544946</v>
      </c>
      <c r="Y174" s="379">
        <f t="shared" si="81"/>
        <v>6.0198507513140962</v>
      </c>
      <c r="Z174" s="379">
        <f t="shared" si="81"/>
        <v>6.1805407032213626</v>
      </c>
      <c r="AA174" s="379">
        <f t="shared" si="81"/>
        <v>6.3461223458019802</v>
      </c>
      <c r="AB174" s="379">
        <f t="shared" si="81"/>
        <v>6.5166767713249545</v>
      </c>
      <c r="AC174" s="379">
        <f t="shared" si="81"/>
        <v>6.6922871697872708</v>
      </c>
      <c r="AD174" s="379">
        <f t="shared" si="81"/>
        <v>6.8739540916454969</v>
      </c>
      <c r="AE174" s="379">
        <f t="shared" si="81"/>
        <v>7.0608833141788105</v>
      </c>
      <c r="AF174" s="379">
        <f t="shared" si="81"/>
        <v>7.254063289595253</v>
      </c>
      <c r="AG174" s="379">
        <f t="shared" si="81"/>
        <v>7.4535863713923716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6.3530278094003334</v>
      </c>
      <c r="D175" s="379">
        <f t="shared" si="83"/>
        <v>6.3463338044762887</v>
      </c>
      <c r="E175" s="379">
        <f t="shared" si="83"/>
        <v>6.3462323724130894</v>
      </c>
      <c r="F175" s="379">
        <f t="shared" si="83"/>
        <v>6.3526531371423625</v>
      </c>
      <c r="G175" s="379">
        <f t="shared" si="83"/>
        <v>6.3655309165249072</v>
      </c>
      <c r="H175" s="379">
        <f t="shared" si="83"/>
        <v>6.4567322319833469</v>
      </c>
      <c r="I175" s="379">
        <f t="shared" si="83"/>
        <v>6.2556671094864491</v>
      </c>
      <c r="J175" s="379">
        <f t="shared" si="83"/>
        <v>6.1766695408093399</v>
      </c>
      <c r="K175" s="379">
        <f t="shared" si="83"/>
        <v>6.1045610421295287</v>
      </c>
      <c r="L175" s="379">
        <f t="shared" si="83"/>
        <v>6.0392007688778877</v>
      </c>
      <c r="M175" s="379">
        <f t="shared" si="83"/>
        <v>5.9806351883537978</v>
      </c>
      <c r="N175" s="379">
        <f t="shared" si="83"/>
        <v>5.8625355230602691</v>
      </c>
      <c r="O175" s="379">
        <f t="shared" si="83"/>
        <v>5.8156985688552796</v>
      </c>
      <c r="P175" s="379">
        <f t="shared" si="83"/>
        <v>5.7761089451008143</v>
      </c>
      <c r="Q175" s="379">
        <f t="shared" si="83"/>
        <v>5.7426144265375658</v>
      </c>
      <c r="R175" s="379">
        <f t="shared" si="83"/>
        <v>5.7161667677336405</v>
      </c>
      <c r="S175" s="379">
        <f t="shared" si="83"/>
        <v>5.5755297817290215</v>
      </c>
      <c r="T175" s="379">
        <f t="shared" si="83"/>
        <v>5.5869639778619771</v>
      </c>
      <c r="U175" s="379">
        <f t="shared" si="83"/>
        <v>5.6035218224649102</v>
      </c>
      <c r="V175" s="379">
        <f t="shared" si="83"/>
        <v>5.6265052798617816</v>
      </c>
      <c r="W175" s="379">
        <f t="shared" si="83"/>
        <v>5.6555076528323847</v>
      </c>
      <c r="X175" s="379">
        <f t="shared" si="83"/>
        <v>5.6489312155582487</v>
      </c>
      <c r="Y175" s="379">
        <f t="shared" si="83"/>
        <v>5.6891329715508627</v>
      </c>
      <c r="Z175" s="379">
        <f t="shared" si="83"/>
        <v>5.7351491615774535</v>
      </c>
      <c r="AA175" s="379">
        <f t="shared" si="83"/>
        <v>5.7872537795210164</v>
      </c>
      <c r="AB175" s="379">
        <f t="shared" si="83"/>
        <v>5.8454060269856543</v>
      </c>
      <c r="AC175" s="379">
        <f t="shared" si="83"/>
        <v>5.8947437431358569</v>
      </c>
      <c r="AD175" s="379">
        <f t="shared" si="83"/>
        <v>6.027121478714113</v>
      </c>
      <c r="AE175" s="379">
        <f t="shared" si="83"/>
        <v>6.1659104540337379</v>
      </c>
      <c r="AF175" s="379">
        <f t="shared" si="83"/>
        <v>6.3123315370481192</v>
      </c>
      <c r="AG175" s="379">
        <f t="shared" si="83"/>
        <v>6.4662482733092652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3.1556663777878926</v>
      </c>
      <c r="D176" s="379">
        <f t="shared" si="84"/>
        <v>3.2562275868794086</v>
      </c>
      <c r="E176" s="379">
        <f t="shared" si="84"/>
        <v>3.3509725417935941</v>
      </c>
      <c r="F176" s="379">
        <f t="shared" si="84"/>
        <v>3.4488598669689043</v>
      </c>
      <c r="G176" s="379">
        <f t="shared" si="84"/>
        <v>3.5501005901821379</v>
      </c>
      <c r="H176" s="379">
        <f t="shared" si="84"/>
        <v>3.7139095758697427</v>
      </c>
      <c r="I176" s="379">
        <f t="shared" si="84"/>
        <v>3.8238294903652386</v>
      </c>
      <c r="J176" s="379">
        <f t="shared" si="84"/>
        <v>3.9373051124879725</v>
      </c>
      <c r="K176" s="379">
        <f t="shared" si="84"/>
        <v>4.054408406782815</v>
      </c>
      <c r="L176" s="379">
        <f t="shared" si="84"/>
        <v>4.1753616048845696</v>
      </c>
      <c r="M176" s="379">
        <f t="shared" si="84"/>
        <v>4.3002415389066417</v>
      </c>
      <c r="N176" s="379">
        <f t="shared" si="84"/>
        <v>4.4911112450242845</v>
      </c>
      <c r="O176" s="379">
        <f t="shared" si="84"/>
        <v>4.6256382760217249</v>
      </c>
      <c r="P176" s="379">
        <f t="shared" si="84"/>
        <v>4.7652704690196401</v>
      </c>
      <c r="Q176" s="379">
        <f t="shared" si="84"/>
        <v>4.9092135929699614</v>
      </c>
      <c r="R176" s="379">
        <f t="shared" si="84"/>
        <v>5.058440011737221</v>
      </c>
      <c r="S176" s="379">
        <f t="shared" si="84"/>
        <v>5.2121614473057241</v>
      </c>
      <c r="T176" s="379">
        <f t="shared" si="84"/>
        <v>5.3715168918788061</v>
      </c>
      <c r="U176" s="379">
        <f t="shared" si="84"/>
        <v>5.5357244348546191</v>
      </c>
      <c r="V176" s="379">
        <f t="shared" si="84"/>
        <v>5.7056087106223305</v>
      </c>
      <c r="W176" s="379">
        <f t="shared" si="84"/>
        <v>5.8812764540851132</v>
      </c>
      <c r="X176" s="379">
        <f t="shared" si="84"/>
        <v>6.1447033950321668</v>
      </c>
      <c r="Y176" s="379">
        <f t="shared" si="84"/>
        <v>6.3350217179136852</v>
      </c>
      <c r="Z176" s="379">
        <f t="shared" si="84"/>
        <v>6.5316891607720633</v>
      </c>
      <c r="AA176" s="379">
        <f t="shared" si="84"/>
        <v>6.7350006108828291</v>
      </c>
      <c r="AB176" s="379">
        <f t="shared" si="84"/>
        <v>6.9449089173651455</v>
      </c>
      <c r="AC176" s="379">
        <f t="shared" si="84"/>
        <v>7.1617173096295401</v>
      </c>
      <c r="AD176" s="379">
        <f t="shared" si="84"/>
        <v>7.3864421698673732</v>
      </c>
      <c r="AE176" s="379">
        <f t="shared" si="84"/>
        <v>7.6183407510510071</v>
      </c>
      <c r="AF176" s="379">
        <f t="shared" si="84"/>
        <v>7.8584386704662403</v>
      </c>
      <c r="AG176" s="379">
        <f t="shared" si="84"/>
        <v>8.1068845692624016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4.4990641350140885</v>
      </c>
      <c r="D177" s="379">
        <f t="shared" si="85"/>
        <v>4.530756741471559</v>
      </c>
      <c r="E177" s="379">
        <f t="shared" si="85"/>
        <v>4.5564110485774778</v>
      </c>
      <c r="F177" s="379">
        <f t="shared" si="85"/>
        <v>4.543422467142733</v>
      </c>
      <c r="G177" s="379">
        <f t="shared" si="85"/>
        <v>4.5242894240331504</v>
      </c>
      <c r="H177" s="379">
        <f t="shared" si="85"/>
        <v>4.5746368947057761</v>
      </c>
      <c r="I177" s="379">
        <f t="shared" si="85"/>
        <v>4.4121999736804769</v>
      </c>
      <c r="J177" s="379">
        <f t="shared" si="85"/>
        <v>4.4298836619336903</v>
      </c>
      <c r="K177" s="379">
        <f t="shared" si="85"/>
        <v>4.4314276202408118</v>
      </c>
      <c r="L177" s="379">
        <f t="shared" si="85"/>
        <v>4.4439395194106899</v>
      </c>
      <c r="M177" s="379">
        <f t="shared" si="85"/>
        <v>4.4676314149872587</v>
      </c>
      <c r="N177" s="379">
        <f t="shared" si="85"/>
        <v>4.4142652157685873</v>
      </c>
      <c r="O177" s="379">
        <f t="shared" si="85"/>
        <v>4.4648600010045145</v>
      </c>
      <c r="P177" s="379">
        <f t="shared" si="85"/>
        <v>4.5156825068215527</v>
      </c>
      <c r="Q177" s="379">
        <f t="shared" si="85"/>
        <v>4.5744444313657686</v>
      </c>
      <c r="R177" s="379">
        <f t="shared" si="85"/>
        <v>4.6409856320897562</v>
      </c>
      <c r="S177" s="379">
        <f t="shared" si="85"/>
        <v>4.7043727552373058</v>
      </c>
      <c r="T177" s="379">
        <f t="shared" si="85"/>
        <v>4.8008256839462833</v>
      </c>
      <c r="U177" s="379">
        <f t="shared" si="85"/>
        <v>4.8980837718561618</v>
      </c>
      <c r="V177" s="379">
        <f t="shared" si="85"/>
        <v>4.9997188785834581</v>
      </c>
      <c r="W177" s="379">
        <f t="shared" si="85"/>
        <v>5.1060769791217488</v>
      </c>
      <c r="X177" s="379">
        <f t="shared" si="85"/>
        <v>5.10343625497429</v>
      </c>
      <c r="Y177" s="379">
        <f t="shared" si="85"/>
        <v>5.217007340093839</v>
      </c>
      <c r="Z177" s="379">
        <f t="shared" si="85"/>
        <v>5.3362388587090672</v>
      </c>
      <c r="AA177" s="379">
        <f t="shared" si="85"/>
        <v>5.4606374878874151</v>
      </c>
      <c r="AB177" s="379">
        <f t="shared" si="85"/>
        <v>5.5911750354061738</v>
      </c>
      <c r="AC177" s="379">
        <f t="shared" si="85"/>
        <v>5.7550075282437492</v>
      </c>
      <c r="AD177" s="379">
        <f t="shared" si="85"/>
        <v>5.9300821956712868</v>
      </c>
      <c r="AE177" s="379">
        <f t="shared" si="85"/>
        <v>6.1117162837938883</v>
      </c>
      <c r="AF177" s="379">
        <f t="shared" si="85"/>
        <v>6.3003881595609776</v>
      </c>
      <c r="AG177" s="379">
        <f t="shared" si="85"/>
        <v>6.4963357006619704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6.8776987884668239</v>
      </c>
      <c r="D178" s="379">
        <f t="shared" si="87"/>
        <v>6.8257229309479897</v>
      </c>
      <c r="E178" s="379">
        <f t="shared" si="87"/>
        <v>6.7806557438470838</v>
      </c>
      <c r="F178" s="379">
        <f t="shared" si="87"/>
        <v>6.7426349448694838</v>
      </c>
      <c r="G178" s="379">
        <f t="shared" si="87"/>
        <v>6.7114056600705574</v>
      </c>
      <c r="H178" s="379">
        <f t="shared" si="87"/>
        <v>6.7267663083071056</v>
      </c>
      <c r="I178" s="379">
        <f t="shared" si="87"/>
        <v>6.5486365532181985</v>
      </c>
      <c r="J178" s="379">
        <f t="shared" si="87"/>
        <v>6.4644447108741243</v>
      </c>
      <c r="K178" s="379">
        <f t="shared" si="87"/>
        <v>6.3868103252824575</v>
      </c>
      <c r="L178" s="379">
        <f t="shared" si="87"/>
        <v>6.3165042605827839</v>
      </c>
      <c r="M178" s="379">
        <f t="shared" si="87"/>
        <v>6.2523413336922475</v>
      </c>
      <c r="N178" s="379">
        <f t="shared" si="87"/>
        <v>6.0755650491576185</v>
      </c>
      <c r="O178" s="379">
        <f t="shared" si="87"/>
        <v>6.0250552671885869</v>
      </c>
      <c r="P178" s="379">
        <f t="shared" si="87"/>
        <v>5.9803059165168122</v>
      </c>
      <c r="Q178" s="379">
        <f t="shared" si="87"/>
        <v>5.9423010259660733</v>
      </c>
      <c r="R178" s="379">
        <f t="shared" si="87"/>
        <v>5.909708929905988</v>
      </c>
      <c r="S178" s="379">
        <f t="shared" si="87"/>
        <v>5.7800194693078142</v>
      </c>
      <c r="T178" s="379">
        <f t="shared" si="87"/>
        <v>5.7959400737737949</v>
      </c>
      <c r="U178" s="379">
        <f t="shared" si="87"/>
        <v>5.8172858815962138</v>
      </c>
      <c r="V178" s="379">
        <f t="shared" si="87"/>
        <v>5.8443634790524142</v>
      </c>
      <c r="W178" s="379">
        <f t="shared" si="87"/>
        <v>5.8765562101767461</v>
      </c>
      <c r="X178" s="379">
        <f t="shared" si="87"/>
        <v>5.7638702527352965</v>
      </c>
      <c r="Y178" s="379">
        <f t="shared" si="87"/>
        <v>5.8054497017788993</v>
      </c>
      <c r="Z178" s="379">
        <f t="shared" si="87"/>
        <v>5.8531719060833023</v>
      </c>
      <c r="AA178" s="379">
        <f t="shared" si="87"/>
        <v>5.9062873198895325</v>
      </c>
      <c r="AB178" s="379">
        <f t="shared" si="87"/>
        <v>5.9654683250368512</v>
      </c>
      <c r="AC178" s="379">
        <f t="shared" si="87"/>
        <v>6.0084866223405662</v>
      </c>
      <c r="AD178" s="379">
        <f t="shared" si="87"/>
        <v>6.1413465658240485</v>
      </c>
      <c r="AE178" s="379">
        <f t="shared" si="87"/>
        <v>6.2804738141546288</v>
      </c>
      <c r="AF178" s="379">
        <f t="shared" si="87"/>
        <v>6.4262217929078203</v>
      </c>
      <c r="AG178" s="379">
        <f t="shared" si="87"/>
        <v>6.5784289018089499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7.5224830498855875</v>
      </c>
      <c r="D179" s="379">
        <f t="shared" si="88"/>
        <v>7.4656344557243637</v>
      </c>
      <c r="E179" s="379">
        <f t="shared" si="88"/>
        <v>7.4163422198327478</v>
      </c>
      <c r="F179" s="379">
        <f t="shared" si="88"/>
        <v>7.3747569709509975</v>
      </c>
      <c r="G179" s="379">
        <f t="shared" si="88"/>
        <v>7.3405999407021723</v>
      </c>
      <c r="H179" s="379">
        <f t="shared" si="88"/>
        <v>7.3574006497108968</v>
      </c>
      <c r="I179" s="379">
        <f t="shared" si="88"/>
        <v>7.1625712300824045</v>
      </c>
      <c r="J179" s="379">
        <f t="shared" si="88"/>
        <v>7.0704864025185739</v>
      </c>
      <c r="K179" s="379">
        <f t="shared" si="88"/>
        <v>6.9855737932776885</v>
      </c>
      <c r="L179" s="379">
        <f t="shared" si="88"/>
        <v>6.9086765350124208</v>
      </c>
      <c r="M179" s="379">
        <f t="shared" si="88"/>
        <v>6.8384983337258953</v>
      </c>
      <c r="N179" s="379">
        <f t="shared" si="88"/>
        <v>6.6451492725161456</v>
      </c>
      <c r="O179" s="379">
        <f t="shared" si="88"/>
        <v>6.5899041984875169</v>
      </c>
      <c r="P179" s="379">
        <f t="shared" si="88"/>
        <v>6.5409595961902633</v>
      </c>
      <c r="Q179" s="379">
        <f t="shared" si="88"/>
        <v>6.4993917471503933</v>
      </c>
      <c r="R179" s="379">
        <f t="shared" si="88"/>
        <v>6.463744142084674</v>
      </c>
      <c r="S179" s="379">
        <f t="shared" si="88"/>
        <v>6.3218962945554216</v>
      </c>
      <c r="T179" s="379">
        <f t="shared" si="88"/>
        <v>6.3393094556900884</v>
      </c>
      <c r="U179" s="379">
        <f t="shared" si="88"/>
        <v>6.362656432995859</v>
      </c>
      <c r="V179" s="379">
        <f t="shared" si="88"/>
        <v>6.3922725552135775</v>
      </c>
      <c r="W179" s="379">
        <f t="shared" si="88"/>
        <v>6.4274833548808159</v>
      </c>
      <c r="X179" s="379">
        <f t="shared" si="88"/>
        <v>6.3042330889292302</v>
      </c>
      <c r="Y179" s="379">
        <f t="shared" si="88"/>
        <v>6.3497106113206714</v>
      </c>
      <c r="Z179" s="379">
        <f t="shared" si="88"/>
        <v>6.4019067722786112</v>
      </c>
      <c r="AA179" s="379">
        <f t="shared" si="88"/>
        <v>6.4600017561291754</v>
      </c>
      <c r="AB179" s="379">
        <f t="shared" si="88"/>
        <v>6.5247309805090561</v>
      </c>
      <c r="AC179" s="379">
        <f t="shared" si="88"/>
        <v>6.5717822431849937</v>
      </c>
      <c r="AD179" s="379">
        <f t="shared" si="88"/>
        <v>6.7170978063700533</v>
      </c>
      <c r="AE179" s="379">
        <f t="shared" si="88"/>
        <v>6.869268234231626</v>
      </c>
      <c r="AF179" s="379">
        <f t="shared" si="88"/>
        <v>7.0286800859929288</v>
      </c>
      <c r="AG179" s="379">
        <f t="shared" si="88"/>
        <v>7.1951566113535392</v>
      </c>
    </row>
    <row r="180" spans="1:33">
      <c r="A180" s="300" t="s">
        <v>334</v>
      </c>
      <c r="C180" s="379">
        <f t="shared" ref="C180:AG180" si="89">C174*0.9</f>
        <v>2.8732924564322611</v>
      </c>
      <c r="D180" s="379">
        <f t="shared" si="89"/>
        <v>3.0794162943624874</v>
      </c>
      <c r="E180" s="379">
        <f t="shared" si="89"/>
        <v>3.153697385455259</v>
      </c>
      <c r="F180" s="379">
        <f t="shared" si="89"/>
        <v>3.2302177010322026</v>
      </c>
      <c r="G180" s="379">
        <f t="shared" si="89"/>
        <v>3.309032938790792</v>
      </c>
      <c r="H180" s="379">
        <f t="shared" si="89"/>
        <v>3.4411413173924661</v>
      </c>
      <c r="I180" s="379">
        <f t="shared" si="89"/>
        <v>3.5261697769666762</v>
      </c>
      <c r="J180" s="379">
        <f t="shared" si="89"/>
        <v>3.6136659149526884</v>
      </c>
      <c r="K180" s="379">
        <f t="shared" si="89"/>
        <v>3.703663829039705</v>
      </c>
      <c r="L180" s="379">
        <f t="shared" si="89"/>
        <v>3.7962114136290643</v>
      </c>
      <c r="M180" s="379">
        <f t="shared" si="89"/>
        <v>3.8913703959357306</v>
      </c>
      <c r="N180" s="379">
        <f t="shared" si="89"/>
        <v>4.0377541118193996</v>
      </c>
      <c r="O180" s="379">
        <f t="shared" si="89"/>
        <v>4.1397188311162925</v>
      </c>
      <c r="P180" s="379">
        <f t="shared" si="89"/>
        <v>4.2452867003544048</v>
      </c>
      <c r="Q180" s="379">
        <f t="shared" si="89"/>
        <v>4.353718940368644</v>
      </c>
      <c r="R180" s="379">
        <f t="shared" si="89"/>
        <v>4.4658653660012169</v>
      </c>
      <c r="S180" s="379">
        <f t="shared" si="89"/>
        <v>4.5809898277577039</v>
      </c>
      <c r="T180" s="379">
        <f t="shared" si="89"/>
        <v>4.6999448614680404</v>
      </c>
      <c r="U180" s="379">
        <f t="shared" si="89"/>
        <v>4.8220110088747061</v>
      </c>
      <c r="V180" s="379">
        <f t="shared" si="89"/>
        <v>4.9480437196833433</v>
      </c>
      <c r="W180" s="379">
        <f t="shared" si="89"/>
        <v>5.0781063265832111</v>
      </c>
      <c r="X180" s="379">
        <f t="shared" si="89"/>
        <v>5.2775610720790453</v>
      </c>
      <c r="Y180" s="379">
        <f t="shared" si="89"/>
        <v>5.4178656761826867</v>
      </c>
      <c r="Z180" s="379">
        <f t="shared" si="89"/>
        <v>5.5624866328992262</v>
      </c>
      <c r="AA180" s="379">
        <f t="shared" si="89"/>
        <v>5.7115101112217825</v>
      </c>
      <c r="AB180" s="379">
        <f t="shared" si="89"/>
        <v>5.8650090941924589</v>
      </c>
      <c r="AC180" s="379">
        <f t="shared" si="89"/>
        <v>6.0230584528085442</v>
      </c>
      <c r="AD180" s="379">
        <f t="shared" si="89"/>
        <v>6.1865586824809471</v>
      </c>
      <c r="AE180" s="379">
        <f t="shared" si="89"/>
        <v>6.3547949827609296</v>
      </c>
      <c r="AF180" s="379">
        <f t="shared" si="89"/>
        <v>6.5286569606357281</v>
      </c>
      <c r="AG180" s="379">
        <f t="shared" si="89"/>
        <v>6.7082277342531347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 t="shared" ref="A183:A188" si="91">A174</f>
        <v xml:space="preserve">Diesel   </v>
      </c>
      <c r="B183" s="300" t="str">
        <f>A183</f>
        <v xml:space="preserve">Diesel   </v>
      </c>
      <c r="C183" s="379">
        <f t="shared" ref="C183:AG183" si="92">C165/($C$17*$C$24)*1000</f>
        <v>3.1925471738136233</v>
      </c>
      <c r="D183" s="379">
        <f t="shared" si="92"/>
        <v>3.4215736604027636</v>
      </c>
      <c r="E183" s="379">
        <f t="shared" si="92"/>
        <v>3.5041082060613991</v>
      </c>
      <c r="F183" s="379">
        <f t="shared" si="92"/>
        <v>3.5891307789246696</v>
      </c>
      <c r="G183" s="379">
        <f t="shared" si="92"/>
        <v>3.676703265323102</v>
      </c>
      <c r="H183" s="379">
        <f t="shared" si="92"/>
        <v>3.8234903526582955</v>
      </c>
      <c r="I183" s="379">
        <f t="shared" si="92"/>
        <v>3.9179664188518624</v>
      </c>
      <c r="J183" s="379">
        <f t="shared" si="92"/>
        <v>4.0151843499474316</v>
      </c>
      <c r="K183" s="379">
        <f t="shared" si="92"/>
        <v>4.1151820322663388</v>
      </c>
      <c r="L183" s="379">
        <f t="shared" si="92"/>
        <v>4.2180126818100714</v>
      </c>
      <c r="M183" s="379">
        <f t="shared" si="92"/>
        <v>4.3237448843730339</v>
      </c>
      <c r="N183" s="379">
        <f t="shared" si="92"/>
        <v>4.4863934575771101</v>
      </c>
      <c r="O183" s="379">
        <f t="shared" si="92"/>
        <v>4.5996875901292134</v>
      </c>
      <c r="P183" s="379">
        <f t="shared" si="92"/>
        <v>4.7169852226160049</v>
      </c>
      <c r="Q183" s="379">
        <f t="shared" si="92"/>
        <v>4.8374654892984932</v>
      </c>
      <c r="R183" s="379">
        <f t="shared" si="92"/>
        <v>4.9620726288902413</v>
      </c>
      <c r="S183" s="379">
        <f t="shared" si="92"/>
        <v>5.0899886975085593</v>
      </c>
      <c r="T183" s="379">
        <f t="shared" si="92"/>
        <v>5.2221609571867118</v>
      </c>
      <c r="U183" s="379">
        <f t="shared" si="92"/>
        <v>5.3577900098607847</v>
      </c>
      <c r="V183" s="379">
        <f t="shared" si="92"/>
        <v>5.4978263552037143</v>
      </c>
      <c r="W183" s="379">
        <f t="shared" si="92"/>
        <v>5.6423403628702342</v>
      </c>
      <c r="X183" s="379">
        <f t="shared" si="92"/>
        <v>5.8639567467544946</v>
      </c>
      <c r="Y183" s="379">
        <f t="shared" si="92"/>
        <v>6.0198507513140962</v>
      </c>
      <c r="Z183" s="379">
        <f t="shared" si="92"/>
        <v>6.1805407032213626</v>
      </c>
      <c r="AA183" s="379">
        <f t="shared" si="92"/>
        <v>6.3461223458019802</v>
      </c>
      <c r="AB183" s="379">
        <f t="shared" si="92"/>
        <v>6.5166767713249545</v>
      </c>
      <c r="AC183" s="379">
        <f t="shared" si="92"/>
        <v>6.6922871697872708</v>
      </c>
      <c r="AD183" s="379">
        <f t="shared" si="92"/>
        <v>6.8739540916454969</v>
      </c>
      <c r="AE183" s="379">
        <f t="shared" si="92"/>
        <v>7.0608833141788105</v>
      </c>
      <c r="AF183" s="379">
        <f t="shared" si="92"/>
        <v>7.254063289595253</v>
      </c>
      <c r="AG183" s="379">
        <f t="shared" si="92"/>
        <v>7.4535863713923716</v>
      </c>
    </row>
    <row r="184" spans="1:33">
      <c r="A184" s="300" t="str">
        <f t="shared" si="91"/>
        <v>CNG</v>
      </c>
      <c r="B184" s="300" t="str">
        <f t="shared" ref="B184:B188" si="93">A184</f>
        <v>CNG</v>
      </c>
      <c r="C184" s="379">
        <f t="shared" ref="C184:AG184" si="94">C169/($C$17*$C$24)*1000</f>
        <v>6.3530278094003334</v>
      </c>
      <c r="D184" s="379">
        <f t="shared" si="94"/>
        <v>6.3463338044762887</v>
      </c>
      <c r="E184" s="379">
        <f t="shared" si="94"/>
        <v>6.3462323724130894</v>
      </c>
      <c r="F184" s="379">
        <f t="shared" si="94"/>
        <v>6.3526531371423625</v>
      </c>
      <c r="G184" s="379">
        <f t="shared" si="94"/>
        <v>6.3655309165249072</v>
      </c>
      <c r="H184" s="379">
        <f t="shared" si="94"/>
        <v>6.4567322319833469</v>
      </c>
      <c r="I184" s="379">
        <f t="shared" si="94"/>
        <v>6.2556671094864491</v>
      </c>
      <c r="J184" s="379">
        <f t="shared" si="94"/>
        <v>6.1766695408093399</v>
      </c>
      <c r="K184" s="379">
        <f t="shared" si="94"/>
        <v>6.1045610421295287</v>
      </c>
      <c r="L184" s="379">
        <f t="shared" si="94"/>
        <v>6.0392007688778877</v>
      </c>
      <c r="M184" s="379">
        <f t="shared" si="94"/>
        <v>5.9806351883537978</v>
      </c>
      <c r="N184" s="379">
        <f t="shared" si="94"/>
        <v>5.8625355230602691</v>
      </c>
      <c r="O184" s="379">
        <f t="shared" si="94"/>
        <v>5.8156985688552796</v>
      </c>
      <c r="P184" s="379">
        <f t="shared" si="94"/>
        <v>5.7761089451008143</v>
      </c>
      <c r="Q184" s="379">
        <f t="shared" si="94"/>
        <v>5.7426144265375658</v>
      </c>
      <c r="R184" s="379">
        <f t="shared" si="94"/>
        <v>5.7161667677336405</v>
      </c>
      <c r="S184" s="379">
        <f t="shared" si="94"/>
        <v>5.5755297817290215</v>
      </c>
      <c r="T184" s="379">
        <f t="shared" si="94"/>
        <v>5.5869639778619771</v>
      </c>
      <c r="U184" s="379">
        <f t="shared" si="94"/>
        <v>5.6035218224649102</v>
      </c>
      <c r="V184" s="379">
        <f t="shared" si="94"/>
        <v>5.6265052798617816</v>
      </c>
      <c r="W184" s="379">
        <f t="shared" si="94"/>
        <v>5.6555076528323847</v>
      </c>
      <c r="X184" s="379">
        <f t="shared" si="94"/>
        <v>5.6489312155582487</v>
      </c>
      <c r="Y184" s="379">
        <f t="shared" si="94"/>
        <v>5.6891329715508627</v>
      </c>
      <c r="Z184" s="379">
        <f t="shared" si="94"/>
        <v>5.7351491615774535</v>
      </c>
      <c r="AA184" s="379">
        <f t="shared" si="94"/>
        <v>5.7872537795210164</v>
      </c>
      <c r="AB184" s="379">
        <f t="shared" si="94"/>
        <v>5.8454060269856543</v>
      </c>
      <c r="AC184" s="379">
        <f t="shared" si="94"/>
        <v>5.8947437431358569</v>
      </c>
      <c r="AD184" s="379">
        <f t="shared" si="94"/>
        <v>6.027121478714113</v>
      </c>
      <c r="AE184" s="379">
        <f t="shared" si="94"/>
        <v>6.1659104540337379</v>
      </c>
      <c r="AF184" s="379">
        <f t="shared" si="94"/>
        <v>6.3123315370481192</v>
      </c>
      <c r="AG184" s="379">
        <f t="shared" si="94"/>
        <v>6.4662482733092652</v>
      </c>
    </row>
    <row r="185" spans="1:33">
      <c r="A185" s="300" t="str">
        <f t="shared" si="91"/>
        <v>LNG</v>
      </c>
      <c r="B185" s="300" t="str">
        <f>A185</f>
        <v>LNG</v>
      </c>
      <c r="C185" s="379">
        <f t="shared" ref="C185:AG185" si="95">C167/($C$17*$C$24)*1000</f>
        <v>3.1556663777878926</v>
      </c>
      <c r="D185" s="379">
        <f t="shared" si="95"/>
        <v>3.2562275868794086</v>
      </c>
      <c r="E185" s="379">
        <f t="shared" si="95"/>
        <v>3.3509725417935941</v>
      </c>
      <c r="F185" s="379">
        <f t="shared" si="95"/>
        <v>3.4488598669689043</v>
      </c>
      <c r="G185" s="379">
        <f t="shared" si="95"/>
        <v>3.5501005901821379</v>
      </c>
      <c r="H185" s="379">
        <f t="shared" si="95"/>
        <v>3.7139095758697427</v>
      </c>
      <c r="I185" s="379">
        <f t="shared" si="95"/>
        <v>3.8238294903652386</v>
      </c>
      <c r="J185" s="379">
        <f t="shared" si="95"/>
        <v>3.9373051124879725</v>
      </c>
      <c r="K185" s="379">
        <f t="shared" si="95"/>
        <v>4.054408406782815</v>
      </c>
      <c r="L185" s="379">
        <f t="shared" si="95"/>
        <v>4.1753616048845696</v>
      </c>
      <c r="M185" s="379">
        <f t="shared" si="95"/>
        <v>4.3002415389066417</v>
      </c>
      <c r="N185" s="379">
        <f t="shared" si="95"/>
        <v>4.4911112450242845</v>
      </c>
      <c r="O185" s="379">
        <f t="shared" si="95"/>
        <v>4.6256382760217249</v>
      </c>
      <c r="P185" s="379">
        <f t="shared" si="95"/>
        <v>4.7652704690196401</v>
      </c>
      <c r="Q185" s="379">
        <f t="shared" si="95"/>
        <v>4.9092135929699614</v>
      </c>
      <c r="R185" s="379">
        <f t="shared" si="95"/>
        <v>5.058440011737221</v>
      </c>
      <c r="S185" s="379">
        <f t="shared" si="95"/>
        <v>5.2121614473057241</v>
      </c>
      <c r="T185" s="379">
        <f t="shared" si="95"/>
        <v>5.3715168918788061</v>
      </c>
      <c r="U185" s="379">
        <f t="shared" si="95"/>
        <v>5.5357244348546191</v>
      </c>
      <c r="V185" s="379">
        <f t="shared" si="95"/>
        <v>5.7056087106223305</v>
      </c>
      <c r="W185" s="379">
        <f t="shared" si="95"/>
        <v>5.8812764540851132</v>
      </c>
      <c r="X185" s="379">
        <f t="shared" si="95"/>
        <v>6.1447033950321668</v>
      </c>
      <c r="Y185" s="379">
        <f t="shared" si="95"/>
        <v>6.3350217179136852</v>
      </c>
      <c r="Z185" s="379">
        <f t="shared" si="95"/>
        <v>6.5316891607720633</v>
      </c>
      <c r="AA185" s="379">
        <f t="shared" si="95"/>
        <v>6.7350006108828291</v>
      </c>
      <c r="AB185" s="379">
        <f t="shared" si="95"/>
        <v>6.9449089173651455</v>
      </c>
      <c r="AC185" s="379">
        <f t="shared" si="95"/>
        <v>7.1617173096295401</v>
      </c>
      <c r="AD185" s="379">
        <f t="shared" si="95"/>
        <v>7.3864421698673732</v>
      </c>
      <c r="AE185" s="379">
        <f t="shared" si="95"/>
        <v>7.6183407510510071</v>
      </c>
      <c r="AF185" s="379">
        <f t="shared" si="95"/>
        <v>7.8584386704662403</v>
      </c>
      <c r="AG185" s="379">
        <f t="shared" si="95"/>
        <v>8.1068845692624016</v>
      </c>
    </row>
    <row r="186" spans="1:33">
      <c r="A186" s="300" t="str">
        <f t="shared" si="91"/>
        <v>BET</v>
      </c>
      <c r="B186" s="300" t="str">
        <f>A186</f>
        <v>BET</v>
      </c>
      <c r="C186" s="379">
        <f t="shared" ref="C186:AG186" si="96">C168/($C$18*$C$24)*1000</f>
        <v>4.4990641350140885</v>
      </c>
      <c r="D186" s="379">
        <f t="shared" si="96"/>
        <v>4.530756741471559</v>
      </c>
      <c r="E186" s="379">
        <f t="shared" si="96"/>
        <v>4.5564110485774778</v>
      </c>
      <c r="F186" s="379">
        <f t="shared" si="96"/>
        <v>4.543422467142733</v>
      </c>
      <c r="G186" s="379">
        <f t="shared" si="96"/>
        <v>4.5242894240331504</v>
      </c>
      <c r="H186" s="379">
        <f t="shared" si="96"/>
        <v>4.5746368947057761</v>
      </c>
      <c r="I186" s="379">
        <f t="shared" si="96"/>
        <v>4.4121999736804769</v>
      </c>
      <c r="J186" s="379">
        <f t="shared" si="96"/>
        <v>4.4298836619336903</v>
      </c>
      <c r="K186" s="379">
        <f t="shared" si="96"/>
        <v>4.4314276202408118</v>
      </c>
      <c r="L186" s="379">
        <f t="shared" si="96"/>
        <v>4.4439395194106899</v>
      </c>
      <c r="M186" s="379">
        <f t="shared" si="96"/>
        <v>4.4676314149872587</v>
      </c>
      <c r="N186" s="379">
        <f t="shared" si="96"/>
        <v>4.4142652157685873</v>
      </c>
      <c r="O186" s="379">
        <f t="shared" si="96"/>
        <v>4.4648600010045145</v>
      </c>
      <c r="P186" s="379">
        <f t="shared" si="96"/>
        <v>4.5156825068215527</v>
      </c>
      <c r="Q186" s="379">
        <f t="shared" si="96"/>
        <v>4.5744444313657686</v>
      </c>
      <c r="R186" s="379">
        <f t="shared" si="96"/>
        <v>4.6409856320897562</v>
      </c>
      <c r="S186" s="379">
        <f t="shared" si="96"/>
        <v>4.7043727552373058</v>
      </c>
      <c r="T186" s="379">
        <f t="shared" si="96"/>
        <v>4.8008256839462833</v>
      </c>
      <c r="U186" s="379">
        <f t="shared" si="96"/>
        <v>4.8980837718561618</v>
      </c>
      <c r="V186" s="379">
        <f t="shared" si="96"/>
        <v>4.9997188785834581</v>
      </c>
      <c r="W186" s="379">
        <f t="shared" si="96"/>
        <v>5.1060769791217488</v>
      </c>
      <c r="X186" s="379">
        <f t="shared" si="96"/>
        <v>5.10343625497429</v>
      </c>
      <c r="Y186" s="379">
        <f t="shared" si="96"/>
        <v>5.217007340093839</v>
      </c>
      <c r="Z186" s="379">
        <f t="shared" si="96"/>
        <v>5.3362388587090672</v>
      </c>
      <c r="AA186" s="379">
        <f t="shared" si="96"/>
        <v>5.4606374878874151</v>
      </c>
      <c r="AB186" s="379">
        <f t="shared" si="96"/>
        <v>5.5911750354061738</v>
      </c>
      <c r="AC186" s="379">
        <f t="shared" si="96"/>
        <v>5.7550075282437492</v>
      </c>
      <c r="AD186" s="379">
        <f t="shared" si="96"/>
        <v>5.9300821956712868</v>
      </c>
      <c r="AE186" s="379">
        <f t="shared" si="96"/>
        <v>6.1117162837938883</v>
      </c>
      <c r="AF186" s="379">
        <f t="shared" si="96"/>
        <v>6.3003881595609776</v>
      </c>
      <c r="AG186" s="379">
        <f t="shared" si="96"/>
        <v>6.4963357006619704</v>
      </c>
    </row>
    <row r="187" spans="1:33">
      <c r="A187" s="300" t="str">
        <f t="shared" si="91"/>
        <v>H2 ICE</v>
      </c>
      <c r="B187" s="300" t="str">
        <f t="shared" ref="B187" si="97">A187</f>
        <v>H2 ICE</v>
      </c>
      <c r="C187" s="379">
        <f t="shared" ref="C187:AG187" si="98">C170/($C$17*$C$24)*1000</f>
        <v>6.8776987884668239</v>
      </c>
      <c r="D187" s="379">
        <f t="shared" si="98"/>
        <v>6.8257229309479897</v>
      </c>
      <c r="E187" s="379">
        <f t="shared" si="98"/>
        <v>6.7806557438470838</v>
      </c>
      <c r="F187" s="379">
        <f t="shared" si="98"/>
        <v>6.7426349448694838</v>
      </c>
      <c r="G187" s="379">
        <f t="shared" si="98"/>
        <v>6.7114056600705574</v>
      </c>
      <c r="H187" s="379">
        <f t="shared" si="98"/>
        <v>6.7267663083071056</v>
      </c>
      <c r="I187" s="379">
        <f t="shared" si="98"/>
        <v>6.5486365532181985</v>
      </c>
      <c r="J187" s="379">
        <f t="shared" si="98"/>
        <v>6.4644447108741243</v>
      </c>
      <c r="K187" s="379">
        <f t="shared" si="98"/>
        <v>6.3868103252824575</v>
      </c>
      <c r="L187" s="379">
        <f t="shared" si="98"/>
        <v>6.3165042605827839</v>
      </c>
      <c r="M187" s="379">
        <f t="shared" si="98"/>
        <v>6.2523413336922475</v>
      </c>
      <c r="N187" s="379">
        <f t="shared" si="98"/>
        <v>6.0755650491576185</v>
      </c>
      <c r="O187" s="379">
        <f t="shared" si="98"/>
        <v>6.0250552671885869</v>
      </c>
      <c r="P187" s="379">
        <f t="shared" si="98"/>
        <v>5.9803059165168122</v>
      </c>
      <c r="Q187" s="379">
        <f t="shared" si="98"/>
        <v>5.9423010259660733</v>
      </c>
      <c r="R187" s="379">
        <f t="shared" si="98"/>
        <v>5.909708929905988</v>
      </c>
      <c r="S187" s="379">
        <f t="shared" si="98"/>
        <v>5.7800194693078142</v>
      </c>
      <c r="T187" s="379">
        <f t="shared" si="98"/>
        <v>5.7959400737737949</v>
      </c>
      <c r="U187" s="379">
        <f t="shared" si="98"/>
        <v>5.8172858815962138</v>
      </c>
      <c r="V187" s="379">
        <f t="shared" si="98"/>
        <v>5.8443634790524142</v>
      </c>
      <c r="W187" s="379">
        <f t="shared" si="98"/>
        <v>5.8765562101767461</v>
      </c>
      <c r="X187" s="379">
        <f t="shared" si="98"/>
        <v>5.7638702527352965</v>
      </c>
      <c r="Y187" s="379">
        <f t="shared" si="98"/>
        <v>5.8054497017788993</v>
      </c>
      <c r="Z187" s="379">
        <f t="shared" si="98"/>
        <v>5.8531719060833023</v>
      </c>
      <c r="AA187" s="379">
        <f t="shared" si="98"/>
        <v>5.9062873198895325</v>
      </c>
      <c r="AB187" s="379">
        <f t="shared" si="98"/>
        <v>5.9654683250368512</v>
      </c>
      <c r="AC187" s="379">
        <f t="shared" si="98"/>
        <v>6.0084866223405662</v>
      </c>
      <c r="AD187" s="379">
        <f t="shared" si="98"/>
        <v>6.1413465658240485</v>
      </c>
      <c r="AE187" s="379">
        <f t="shared" si="98"/>
        <v>6.2804738141546288</v>
      </c>
      <c r="AF187" s="379">
        <f t="shared" si="98"/>
        <v>6.4262217929078203</v>
      </c>
      <c r="AG187" s="379">
        <f t="shared" si="98"/>
        <v>6.5784289018089499</v>
      </c>
    </row>
    <row r="188" spans="1:33">
      <c r="A188" s="300" t="str">
        <f t="shared" si="91"/>
        <v>FCET</v>
      </c>
      <c r="B188" s="300" t="str">
        <f t="shared" si="93"/>
        <v>FCET</v>
      </c>
      <c r="C188" s="379">
        <f t="shared" ref="C188:AG188" si="99">C170/($C$19*$C$24)*1000</f>
        <v>7.5224830498855875</v>
      </c>
      <c r="D188" s="379">
        <f t="shared" si="99"/>
        <v>7.4656344557243637</v>
      </c>
      <c r="E188" s="379">
        <f t="shared" si="99"/>
        <v>7.4163422198327478</v>
      </c>
      <c r="F188" s="379">
        <f t="shared" si="99"/>
        <v>7.3747569709509975</v>
      </c>
      <c r="G188" s="379">
        <f t="shared" si="99"/>
        <v>7.3405999407021723</v>
      </c>
      <c r="H188" s="379">
        <f t="shared" si="99"/>
        <v>7.3574006497108968</v>
      </c>
      <c r="I188" s="379">
        <f t="shared" si="99"/>
        <v>7.1625712300824045</v>
      </c>
      <c r="J188" s="379">
        <f t="shared" si="99"/>
        <v>7.0704864025185739</v>
      </c>
      <c r="K188" s="379">
        <f t="shared" si="99"/>
        <v>6.9855737932776885</v>
      </c>
      <c r="L188" s="379">
        <f t="shared" si="99"/>
        <v>6.9086765350124208</v>
      </c>
      <c r="M188" s="379">
        <f t="shared" si="99"/>
        <v>6.8384983337258953</v>
      </c>
      <c r="N188" s="379">
        <f t="shared" si="99"/>
        <v>6.6451492725161456</v>
      </c>
      <c r="O188" s="379">
        <f t="shared" si="99"/>
        <v>6.5899041984875169</v>
      </c>
      <c r="P188" s="379">
        <f t="shared" si="99"/>
        <v>6.5409595961902633</v>
      </c>
      <c r="Q188" s="379">
        <f t="shared" si="99"/>
        <v>6.4993917471503933</v>
      </c>
      <c r="R188" s="379">
        <f t="shared" si="99"/>
        <v>6.463744142084674</v>
      </c>
      <c r="S188" s="379">
        <f t="shared" si="99"/>
        <v>6.3218962945554216</v>
      </c>
      <c r="T188" s="379">
        <f t="shared" si="99"/>
        <v>6.3393094556900884</v>
      </c>
      <c r="U188" s="379">
        <f t="shared" si="99"/>
        <v>6.362656432995859</v>
      </c>
      <c r="V188" s="379">
        <f t="shared" si="99"/>
        <v>6.3922725552135775</v>
      </c>
      <c r="W188" s="379">
        <f t="shared" si="99"/>
        <v>6.4274833548808159</v>
      </c>
      <c r="X188" s="379">
        <f t="shared" si="99"/>
        <v>6.3042330889292302</v>
      </c>
      <c r="Y188" s="379">
        <f t="shared" si="99"/>
        <v>6.3497106113206714</v>
      </c>
      <c r="Z188" s="379">
        <f t="shared" si="99"/>
        <v>6.4019067722786112</v>
      </c>
      <c r="AA188" s="379">
        <f t="shared" si="99"/>
        <v>6.4600017561291754</v>
      </c>
      <c r="AB188" s="379">
        <f t="shared" si="99"/>
        <v>6.5247309805090561</v>
      </c>
      <c r="AC188" s="379">
        <f t="shared" si="99"/>
        <v>6.5717822431849937</v>
      </c>
      <c r="AD188" s="379">
        <f t="shared" si="99"/>
        <v>6.7170978063700533</v>
      </c>
      <c r="AE188" s="379">
        <f t="shared" si="99"/>
        <v>6.869268234231626</v>
      </c>
      <c r="AF188" s="379">
        <f t="shared" si="99"/>
        <v>7.0286800859929288</v>
      </c>
      <c r="AG188" s="379">
        <f t="shared" si="99"/>
        <v>7.1951566113535392</v>
      </c>
    </row>
    <row r="189" spans="1:33">
      <c r="A189" s="300" t="s">
        <v>334</v>
      </c>
      <c r="C189" s="379">
        <f t="shared" ref="C189:AG189" si="100">C183*0.9</f>
        <v>2.8732924564322611</v>
      </c>
      <c r="D189" s="379">
        <f t="shared" si="100"/>
        <v>3.0794162943624874</v>
      </c>
      <c r="E189" s="379">
        <f t="shared" si="100"/>
        <v>3.153697385455259</v>
      </c>
      <c r="F189" s="379">
        <f t="shared" si="100"/>
        <v>3.2302177010322026</v>
      </c>
      <c r="G189" s="379">
        <f t="shared" si="100"/>
        <v>3.309032938790792</v>
      </c>
      <c r="H189" s="379">
        <f t="shared" si="100"/>
        <v>3.4411413173924661</v>
      </c>
      <c r="I189" s="379">
        <f t="shared" si="100"/>
        <v>3.5261697769666762</v>
      </c>
      <c r="J189" s="379">
        <f t="shared" si="100"/>
        <v>3.6136659149526884</v>
      </c>
      <c r="K189" s="379">
        <f t="shared" si="100"/>
        <v>3.703663829039705</v>
      </c>
      <c r="L189" s="379">
        <f t="shared" si="100"/>
        <v>3.7962114136290643</v>
      </c>
      <c r="M189" s="379">
        <f t="shared" si="100"/>
        <v>3.8913703959357306</v>
      </c>
      <c r="N189" s="379">
        <f t="shared" si="100"/>
        <v>4.0377541118193996</v>
      </c>
      <c r="O189" s="379">
        <f t="shared" si="100"/>
        <v>4.1397188311162925</v>
      </c>
      <c r="P189" s="379">
        <f t="shared" si="100"/>
        <v>4.2452867003544048</v>
      </c>
      <c r="Q189" s="379">
        <f t="shared" si="100"/>
        <v>4.353718940368644</v>
      </c>
      <c r="R189" s="379">
        <f t="shared" si="100"/>
        <v>4.4658653660012169</v>
      </c>
      <c r="S189" s="379">
        <f t="shared" si="100"/>
        <v>4.5809898277577039</v>
      </c>
      <c r="T189" s="379">
        <f t="shared" si="100"/>
        <v>4.6999448614680404</v>
      </c>
      <c r="U189" s="379">
        <f t="shared" si="100"/>
        <v>4.8220110088747061</v>
      </c>
      <c r="V189" s="379">
        <f t="shared" si="100"/>
        <v>4.9480437196833433</v>
      </c>
      <c r="W189" s="379">
        <f t="shared" si="100"/>
        <v>5.0781063265832111</v>
      </c>
      <c r="X189" s="379">
        <f t="shared" si="100"/>
        <v>5.2775610720790453</v>
      </c>
      <c r="Y189" s="379">
        <f t="shared" si="100"/>
        <v>5.4178656761826867</v>
      </c>
      <c r="Z189" s="379">
        <f t="shared" si="100"/>
        <v>5.5624866328992262</v>
      </c>
      <c r="AA189" s="379">
        <f t="shared" si="100"/>
        <v>5.7115101112217825</v>
      </c>
      <c r="AB189" s="379">
        <f t="shared" si="100"/>
        <v>5.8650090941924589</v>
      </c>
      <c r="AC189" s="379">
        <f t="shared" si="100"/>
        <v>6.0230584528085442</v>
      </c>
      <c r="AD189" s="379">
        <f t="shared" si="100"/>
        <v>6.1865586824809471</v>
      </c>
      <c r="AE189" s="379">
        <f t="shared" si="100"/>
        <v>6.3547949827609296</v>
      </c>
      <c r="AF189" s="379">
        <f t="shared" si="100"/>
        <v>6.5286569606357281</v>
      </c>
      <c r="AG189" s="379">
        <f t="shared" si="100"/>
        <v>6.7082277342531347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433">
        <f t="shared" ref="C192:AG192" si="102">C165/C168</f>
        <v>0.83717149294585169</v>
      </c>
      <c r="D192" s="433">
        <f t="shared" si="102"/>
        <v>0.89095227500710583</v>
      </c>
      <c r="E192" s="433">
        <f t="shared" si="102"/>
        <v>0.90730625464460846</v>
      </c>
      <c r="F192" s="433">
        <f t="shared" si="102"/>
        <v>0.93197755733940457</v>
      </c>
      <c r="G192" s="433">
        <f t="shared" si="102"/>
        <v>0.95875467307340756</v>
      </c>
      <c r="H192" s="433">
        <f t="shared" si="102"/>
        <v>0.9860584585504476</v>
      </c>
      <c r="I192" s="433">
        <f t="shared" si="102"/>
        <v>1.0476224921640553</v>
      </c>
      <c r="J192" s="433">
        <f t="shared" si="102"/>
        <v>1.0693317490537093</v>
      </c>
      <c r="K192" s="433">
        <f t="shared" si="102"/>
        <v>1.0955814816632838</v>
      </c>
      <c r="L192" s="433">
        <f t="shared" si="102"/>
        <v>1.1197963146846353</v>
      </c>
      <c r="M192" s="433">
        <f t="shared" si="102"/>
        <v>1.1417789118377448</v>
      </c>
      <c r="N192" s="433">
        <f t="shared" si="102"/>
        <v>1.1990525813284962</v>
      </c>
      <c r="O192" s="433">
        <f t="shared" si="102"/>
        <v>1.2154015394594411</v>
      </c>
      <c r="P192" s="433">
        <f t="shared" si="102"/>
        <v>1.2323679881393306</v>
      </c>
      <c r="Q192" s="433">
        <f t="shared" si="102"/>
        <v>1.2476099102534739</v>
      </c>
      <c r="R192" s="433">
        <f t="shared" si="102"/>
        <v>1.2613981368767127</v>
      </c>
      <c r="S192" s="433">
        <f t="shared" si="102"/>
        <v>1.2764810863871163</v>
      </c>
      <c r="T192" s="433">
        <f t="shared" si="102"/>
        <v>1.2833159993219687</v>
      </c>
      <c r="U192" s="433">
        <f t="shared" si="102"/>
        <v>1.2905022674786391</v>
      </c>
      <c r="V192" s="433">
        <f t="shared" si="102"/>
        <v>1.297312866994915</v>
      </c>
      <c r="W192" s="433">
        <f t="shared" si="102"/>
        <v>1.3036806365730229</v>
      </c>
      <c r="X192" s="433">
        <f t="shared" si="102"/>
        <v>1.3555868776332933</v>
      </c>
      <c r="Y192" s="433">
        <f t="shared" si="102"/>
        <v>1.3613304808908231</v>
      </c>
      <c r="Z192" s="433">
        <f t="shared" si="102"/>
        <v>1.3664397972646043</v>
      </c>
      <c r="AA192" s="433">
        <f t="shared" si="102"/>
        <v>1.3710850225352902</v>
      </c>
      <c r="AB192" s="433">
        <f t="shared" si="102"/>
        <v>1.3750623294265312</v>
      </c>
      <c r="AC192" s="433">
        <f t="shared" si="102"/>
        <v>1.371917401818092</v>
      </c>
      <c r="AD192" s="433">
        <f t="shared" si="102"/>
        <v>1.3675562752362531</v>
      </c>
      <c r="AE192" s="433">
        <f t="shared" si="102"/>
        <v>1.3629977584968054</v>
      </c>
      <c r="AF192" s="433">
        <f t="shared" si="102"/>
        <v>1.35835512644618</v>
      </c>
      <c r="AG192" s="433">
        <f t="shared" si="102"/>
        <v>1.3536180025483315</v>
      </c>
    </row>
    <row r="193" spans="1:33">
      <c r="A193" s="300" t="str">
        <f>A169</f>
        <v>H2-ICE</v>
      </c>
      <c r="C193" s="433">
        <f t="shared" ref="C193:AG193" si="103">C169/C168</f>
        <v>1.6659342795454906</v>
      </c>
      <c r="D193" s="433">
        <f t="shared" si="103"/>
        <v>1.6525380138643773</v>
      </c>
      <c r="E193" s="433">
        <f t="shared" si="103"/>
        <v>1.643207340161001</v>
      </c>
      <c r="F193" s="433">
        <f t="shared" si="103"/>
        <v>1.649572143802539</v>
      </c>
      <c r="G193" s="433">
        <f t="shared" si="103"/>
        <v>1.6599061910630386</v>
      </c>
      <c r="H193" s="433">
        <f t="shared" si="103"/>
        <v>1.6651579694757195</v>
      </c>
      <c r="I193" s="433">
        <f t="shared" si="103"/>
        <v>1.6726987591969702</v>
      </c>
      <c r="J193" s="433">
        <f t="shared" si="103"/>
        <v>1.6449827125588636</v>
      </c>
      <c r="K193" s="433">
        <f t="shared" si="103"/>
        <v>1.6252121969333513</v>
      </c>
      <c r="L193" s="433">
        <f t="shared" si="103"/>
        <v>1.6032845974583496</v>
      </c>
      <c r="M193" s="433">
        <f t="shared" si="103"/>
        <v>1.5793168468697252</v>
      </c>
      <c r="N193" s="433">
        <f t="shared" si="103"/>
        <v>1.5668461579497126</v>
      </c>
      <c r="O193" s="433">
        <f t="shared" si="103"/>
        <v>1.5367150170779778</v>
      </c>
      <c r="P193" s="433">
        <f t="shared" si="103"/>
        <v>1.5090765444458465</v>
      </c>
      <c r="Q193" s="433">
        <f t="shared" si="103"/>
        <v>1.4810529780858044</v>
      </c>
      <c r="R193" s="433">
        <f t="shared" si="103"/>
        <v>1.4530948355966282</v>
      </c>
      <c r="S193" s="433">
        <f t="shared" si="103"/>
        <v>1.3982463883365459</v>
      </c>
      <c r="T193" s="433">
        <f t="shared" si="103"/>
        <v>1.3729642420459456</v>
      </c>
      <c r="U193" s="433">
        <f t="shared" si="103"/>
        <v>1.3496903768994297</v>
      </c>
      <c r="V193" s="433">
        <f t="shared" si="103"/>
        <v>1.3276770170943402</v>
      </c>
      <c r="W193" s="433">
        <f t="shared" si="103"/>
        <v>1.3067229806812866</v>
      </c>
      <c r="X193" s="433">
        <f t="shared" si="103"/>
        <v>1.3058788390112335</v>
      </c>
      <c r="Y193" s="433">
        <f t="shared" si="103"/>
        <v>1.2865418835047584</v>
      </c>
      <c r="Z193" s="433">
        <f t="shared" si="103"/>
        <v>1.2679693305059172</v>
      </c>
      <c r="AA193" s="433">
        <f t="shared" si="103"/>
        <v>1.2503410029529249</v>
      </c>
      <c r="AB193" s="433">
        <f t="shared" si="103"/>
        <v>1.2334197183569309</v>
      </c>
      <c r="AC193" s="433">
        <f t="shared" si="103"/>
        <v>1.2084211742998867</v>
      </c>
      <c r="AD193" s="433">
        <f t="shared" si="103"/>
        <v>1.1990810078066156</v>
      </c>
      <c r="AE193" s="433">
        <f t="shared" si="103"/>
        <v>1.1902366536866378</v>
      </c>
      <c r="AF193" s="433">
        <f t="shared" si="103"/>
        <v>1.1820117306497369</v>
      </c>
      <c r="AG193" s="433">
        <f t="shared" si="103"/>
        <v>1.1743112155099917</v>
      </c>
    </row>
    <row r="194" spans="1:33">
      <c r="A194" s="300" t="str">
        <f>A170</f>
        <v>FCET</v>
      </c>
      <c r="C194" s="433">
        <f t="shared" ref="C194:AG194" si="104">C170/C168</f>
        <v>1.8035170819088358</v>
      </c>
      <c r="D194" s="433">
        <f t="shared" si="104"/>
        <v>1.7773673687856313</v>
      </c>
      <c r="E194" s="433">
        <f t="shared" si="104"/>
        <v>1.7556910361222309</v>
      </c>
      <c r="F194" s="433">
        <f t="shared" si="104"/>
        <v>1.7508374124593757</v>
      </c>
      <c r="G194" s="433">
        <f t="shared" si="104"/>
        <v>1.7500981382348528</v>
      </c>
      <c r="H194" s="433">
        <f t="shared" si="104"/>
        <v>1.7347983662066213</v>
      </c>
      <c r="I194" s="433">
        <f t="shared" si="104"/>
        <v>1.751035668184596</v>
      </c>
      <c r="J194" s="433">
        <f t="shared" si="104"/>
        <v>1.7216235586867963</v>
      </c>
      <c r="K194" s="433">
        <f t="shared" si="104"/>
        <v>1.7003551882786907</v>
      </c>
      <c r="L194" s="433">
        <f t="shared" si="104"/>
        <v>1.6769030171941268</v>
      </c>
      <c r="M194" s="433">
        <f t="shared" si="104"/>
        <v>1.6510667662707048</v>
      </c>
      <c r="N194" s="433">
        <f t="shared" si="104"/>
        <v>1.6237813344074996</v>
      </c>
      <c r="O194" s="433">
        <f t="shared" si="104"/>
        <v>1.592034524862918</v>
      </c>
      <c r="P194" s="433">
        <f t="shared" si="104"/>
        <v>1.5624254100817909</v>
      </c>
      <c r="Q194" s="433">
        <f t="shared" si="104"/>
        <v>1.5325532897558212</v>
      </c>
      <c r="R194" s="433">
        <f t="shared" si="104"/>
        <v>1.502294785099562</v>
      </c>
      <c r="S194" s="433">
        <f t="shared" si="104"/>
        <v>1.4495288634200969</v>
      </c>
      <c r="T194" s="433">
        <f t="shared" si="104"/>
        <v>1.4243189148639879</v>
      </c>
      <c r="U194" s="433">
        <f t="shared" si="104"/>
        <v>1.4011785842585596</v>
      </c>
      <c r="V194" s="433">
        <f t="shared" si="104"/>
        <v>1.3790846510809678</v>
      </c>
      <c r="W194" s="433">
        <f t="shared" si="104"/>
        <v>1.3577969509523129</v>
      </c>
      <c r="X194" s="433">
        <f t="shared" si="104"/>
        <v>1.332449609781541</v>
      </c>
      <c r="Y194" s="433">
        <f t="shared" si="104"/>
        <v>1.3128457765476909</v>
      </c>
      <c r="Z194" s="433">
        <f t="shared" si="104"/>
        <v>1.2940626745706407</v>
      </c>
      <c r="AA194" s="433">
        <f t="shared" si="104"/>
        <v>1.2760582985683464</v>
      </c>
      <c r="AB194" s="433">
        <f t="shared" si="104"/>
        <v>1.258753665248548</v>
      </c>
      <c r="AC194" s="433">
        <f t="shared" si="104"/>
        <v>1.2317384395867548</v>
      </c>
      <c r="AD194" s="433">
        <f t="shared" si="104"/>
        <v>1.2218058082030065</v>
      </c>
      <c r="AE194" s="433">
        <f t="shared" si="104"/>
        <v>1.2123513943079813</v>
      </c>
      <c r="AF194" s="433">
        <f t="shared" si="104"/>
        <v>1.2033381799407414</v>
      </c>
      <c r="AG194" s="433">
        <f t="shared" si="104"/>
        <v>1.194683920769996</v>
      </c>
    </row>
    <row r="195" spans="1:33"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433"/>
      <c r="AD195" s="433"/>
      <c r="AE195" s="433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AL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42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7">
      <c r="G1" s="341" t="s">
        <v>247</v>
      </c>
    </row>
    <row r="2" spans="1:7">
      <c r="A2" s="352" t="s">
        <v>868</v>
      </c>
      <c r="B2" s="352" t="str">
        <f>'No change with year'!B6</f>
        <v>Market Load</v>
      </c>
      <c r="F2" s="341" t="s">
        <v>249</v>
      </c>
      <c r="G2" s="341" t="s">
        <v>250</v>
      </c>
    </row>
    <row r="3" spans="1:7">
      <c r="A3" s="352" t="s">
        <v>4</v>
      </c>
      <c r="B3" s="352" t="str">
        <f>'No change with year'!C6</f>
        <v>28T Rigid</v>
      </c>
      <c r="F3" s="341" t="s">
        <v>252</v>
      </c>
    </row>
    <row r="4" spans="1:7" s="344" customFormat="1">
      <c r="A4" s="342"/>
      <c r="B4" s="342"/>
      <c r="C4" s="421"/>
    </row>
    <row r="5" spans="1:7">
      <c r="A5" s="328" t="s">
        <v>254</v>
      </c>
      <c r="B5" s="300" t="s">
        <v>255</v>
      </c>
      <c r="C5" s="422">
        <f>'No change with year'!AR6</f>
        <v>28000</v>
      </c>
      <c r="D5" s="423" t="s">
        <v>169</v>
      </c>
      <c r="E5" s="423">
        <v>2</v>
      </c>
    </row>
    <row r="6" spans="1:7">
      <c r="A6" s="328" t="s">
        <v>256</v>
      </c>
      <c r="B6" s="300" t="s">
        <v>257</v>
      </c>
      <c r="C6" s="422">
        <f>'Changing with year'!C83</f>
        <v>3600000</v>
      </c>
      <c r="D6" s="423" t="s">
        <v>169</v>
      </c>
      <c r="E6" s="423"/>
    </row>
    <row r="7" spans="1:7">
      <c r="A7" s="328" t="s">
        <v>258</v>
      </c>
      <c r="B7" s="300" t="s">
        <v>257</v>
      </c>
      <c r="C7" s="422">
        <f>'Changing with year'!C94</f>
        <v>3850000</v>
      </c>
      <c r="D7" s="423" t="s">
        <v>169</v>
      </c>
      <c r="E7" s="423">
        <v>4</v>
      </c>
    </row>
    <row r="8" spans="1:7">
      <c r="A8" s="328" t="s">
        <v>259</v>
      </c>
      <c r="B8" s="300" t="s">
        <v>257</v>
      </c>
      <c r="C8" s="422">
        <f>'Changing with year'!C107</f>
        <v>4180375</v>
      </c>
      <c r="D8" s="423" t="s">
        <v>169</v>
      </c>
      <c r="E8" s="423">
        <v>5</v>
      </c>
    </row>
    <row r="9" spans="1:7">
      <c r="A9" s="328" t="s">
        <v>260</v>
      </c>
      <c r="B9" s="300" t="s">
        <v>257</v>
      </c>
      <c r="C9" s="422">
        <f>'Changing with year'!C119</f>
        <v>5179200</v>
      </c>
      <c r="D9" s="423" t="s">
        <v>169</v>
      </c>
      <c r="E9" s="423">
        <v>6</v>
      </c>
    </row>
    <row r="10" spans="1:7">
      <c r="A10" s="328" t="s">
        <v>261</v>
      </c>
      <c r="B10" s="300" t="s">
        <v>257</v>
      </c>
      <c r="C10" s="422">
        <f>'Changing with year'!C131</f>
        <v>8762500</v>
      </c>
      <c r="D10" s="423" t="s">
        <v>169</v>
      </c>
      <c r="E10" s="423">
        <v>8</v>
      </c>
    </row>
    <row r="11" spans="1:7">
      <c r="A11" s="328" t="s">
        <v>262</v>
      </c>
      <c r="B11" s="300" t="s">
        <v>257</v>
      </c>
      <c r="C11" s="422">
        <f>'Changing with year'!C144</f>
        <v>11491400</v>
      </c>
      <c r="D11" s="423" t="s">
        <v>169</v>
      </c>
      <c r="E11" s="423">
        <v>9</v>
      </c>
    </row>
    <row r="12" spans="1:7">
      <c r="A12" s="328" t="s">
        <v>263</v>
      </c>
      <c r="B12" s="300" t="s">
        <v>193</v>
      </c>
      <c r="C12" s="422">
        <f>'No change with year'!G6</f>
        <v>250</v>
      </c>
      <c r="D12" s="423"/>
      <c r="E12" s="423"/>
    </row>
    <row r="13" spans="1:7">
      <c r="A13" s="328" t="s">
        <v>264</v>
      </c>
      <c r="B13" s="300" t="s">
        <v>265</v>
      </c>
      <c r="C13" s="422">
        <f>'No change with year'!D22</f>
        <v>3000</v>
      </c>
      <c r="D13" s="423" t="s">
        <v>169</v>
      </c>
      <c r="E13" s="423">
        <v>10</v>
      </c>
    </row>
    <row r="14" spans="1:7">
      <c r="A14" s="328" t="s">
        <v>266</v>
      </c>
      <c r="B14" s="300" t="s">
        <v>194</v>
      </c>
      <c r="C14" s="422">
        <f>'No change with year'!J6</f>
        <v>80</v>
      </c>
      <c r="D14" s="423" t="s">
        <v>169</v>
      </c>
      <c r="E14" s="423">
        <v>11</v>
      </c>
    </row>
    <row r="15" spans="1:7">
      <c r="A15" s="328" t="s">
        <v>209</v>
      </c>
      <c r="B15" s="300" t="s">
        <v>267</v>
      </c>
      <c r="C15" s="434">
        <f>'No change with year'!D23</f>
        <v>25000</v>
      </c>
      <c r="D15" s="423" t="s">
        <v>169</v>
      </c>
      <c r="E15" s="423">
        <v>12</v>
      </c>
    </row>
    <row r="16" spans="1:7">
      <c r="A16" s="328" t="s">
        <v>268</v>
      </c>
      <c r="B16" s="300" t="s">
        <v>193</v>
      </c>
      <c r="C16" s="422">
        <f>'No change with year'!I6</f>
        <v>70</v>
      </c>
      <c r="D16" s="423"/>
      <c r="E16" s="423"/>
    </row>
    <row r="17" spans="1:5">
      <c r="A17" s="328" t="s">
        <v>269</v>
      </c>
      <c r="B17" s="300" t="s">
        <v>255</v>
      </c>
      <c r="C17" s="422">
        <f>'No change with year'!AX6</f>
        <v>19000</v>
      </c>
      <c r="D17" s="423" t="s">
        <v>169</v>
      </c>
      <c r="E17" s="423">
        <v>13</v>
      </c>
    </row>
    <row r="18" spans="1:5">
      <c r="A18" s="328" t="s">
        <v>270</v>
      </c>
      <c r="B18" s="300" t="s">
        <v>255</v>
      </c>
      <c r="C18" s="422">
        <f>'No change with year'!AY6</f>
        <v>17000</v>
      </c>
      <c r="D18" s="423" t="s">
        <v>169</v>
      </c>
      <c r="E18" s="423">
        <v>14</v>
      </c>
    </row>
    <row r="19" spans="1:5">
      <c r="A19" s="328" t="s">
        <v>271</v>
      </c>
      <c r="B19" s="300" t="s">
        <v>255</v>
      </c>
      <c r="C19" s="422">
        <f>'No change with year'!AZ6</f>
        <v>18100</v>
      </c>
      <c r="D19" s="423" t="s">
        <v>169</v>
      </c>
      <c r="E19" s="423">
        <v>18</v>
      </c>
    </row>
    <row r="20" spans="1:5">
      <c r="A20" s="328" t="s">
        <v>272</v>
      </c>
      <c r="B20" s="300" t="s">
        <v>273</v>
      </c>
      <c r="C20" s="424">
        <f>'Changing with year'!C267</f>
        <v>7</v>
      </c>
      <c r="D20" s="423" t="s">
        <v>169</v>
      </c>
      <c r="E20" s="423">
        <v>19</v>
      </c>
    </row>
    <row r="21" spans="1:5">
      <c r="A21" s="328" t="s">
        <v>274</v>
      </c>
      <c r="B21" s="300" t="s">
        <v>195</v>
      </c>
      <c r="C21" s="422">
        <f>'No change with year'!K6</f>
        <v>360</v>
      </c>
      <c r="D21" s="423" t="s">
        <v>169</v>
      </c>
      <c r="E21" s="423">
        <v>20</v>
      </c>
    </row>
    <row r="22" spans="1:5">
      <c r="A22" s="328" t="s">
        <v>172</v>
      </c>
      <c r="B22" s="300" t="s">
        <v>196</v>
      </c>
      <c r="C22" s="422">
        <f>'No change with year'!L6</f>
        <v>275</v>
      </c>
      <c r="D22" s="423" t="s">
        <v>169</v>
      </c>
      <c r="E22" s="423">
        <v>21</v>
      </c>
    </row>
    <row r="23" spans="1:5">
      <c r="A23" s="328" t="s">
        <v>174</v>
      </c>
      <c r="B23" s="300" t="s">
        <v>197</v>
      </c>
      <c r="C23" s="422">
        <f>'No change with year'!Q6</f>
        <v>9</v>
      </c>
      <c r="D23" s="423" t="s">
        <v>275</v>
      </c>
      <c r="E23" s="423">
        <v>2</v>
      </c>
    </row>
    <row r="24" spans="1:5">
      <c r="A24" s="328" t="s">
        <v>276</v>
      </c>
      <c r="B24" s="300" t="s">
        <v>198</v>
      </c>
      <c r="C24" s="390">
        <f>'No change with year'!O6</f>
        <v>1</v>
      </c>
      <c r="D24" s="423" t="s">
        <v>275</v>
      </c>
      <c r="E24" s="423">
        <v>3</v>
      </c>
    </row>
    <row r="25" spans="1:5">
      <c r="A25" s="328" t="s">
        <v>685</v>
      </c>
      <c r="B25" s="300" t="s">
        <v>277</v>
      </c>
      <c r="C25" s="345">
        <f>'No change with year'!D28</f>
        <v>7</v>
      </c>
      <c r="D25" s="423" t="s">
        <v>275</v>
      </c>
      <c r="E25" s="423">
        <v>4</v>
      </c>
    </row>
    <row r="26" spans="1:5">
      <c r="A26" s="328" t="s">
        <v>686</v>
      </c>
      <c r="B26" s="300" t="s">
        <v>198</v>
      </c>
      <c r="C26" s="325">
        <f>'No change with year'!D27</f>
        <v>0.12</v>
      </c>
      <c r="D26" s="423"/>
      <c r="E26" s="423"/>
    </row>
    <row r="27" spans="1:5">
      <c r="A27" s="328" t="s">
        <v>687</v>
      </c>
      <c r="B27" s="300" t="s">
        <v>277</v>
      </c>
      <c r="C27" s="425">
        <f>'No change with year'!D30</f>
        <v>7</v>
      </c>
      <c r="D27" s="423"/>
      <c r="E27" s="423"/>
    </row>
    <row r="28" spans="1:5">
      <c r="A28" s="328" t="s">
        <v>688</v>
      </c>
      <c r="B28" s="300" t="s">
        <v>198</v>
      </c>
      <c r="C28" s="325">
        <f>'No change with year'!D29</f>
        <v>0.12</v>
      </c>
      <c r="D28" s="423"/>
      <c r="E28" s="423"/>
    </row>
    <row r="29" spans="1:5">
      <c r="A29" s="328" t="s">
        <v>221</v>
      </c>
      <c r="B29" s="300" t="s">
        <v>198</v>
      </c>
      <c r="C29" s="349">
        <f>'No change with year'!D32</f>
        <v>0.02</v>
      </c>
      <c r="D29" s="423"/>
      <c r="E29" s="423"/>
    </row>
    <row r="30" spans="1:5">
      <c r="D30" s="423" t="s">
        <v>275</v>
      </c>
      <c r="E30" s="423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year'!E6</f>
        <v>157.5</v>
      </c>
      <c r="F35" s="355">
        <f>'No change with year'!F6</f>
        <v>28.2</v>
      </c>
      <c r="G35" s="328"/>
      <c r="H35" s="355">
        <f>'No change with year'!H6</f>
        <v>28.2</v>
      </c>
    </row>
    <row r="36" spans="1:38">
      <c r="A36" s="443"/>
      <c r="B36" s="328" t="s">
        <v>282</v>
      </c>
      <c r="C36" s="358">
        <f>'No change with year'!S6</f>
        <v>4.5</v>
      </c>
      <c r="D36" s="358">
        <f>'No change with year'!T6</f>
        <v>4.8</v>
      </c>
      <c r="E36" s="358">
        <f>'No change with year'!U6</f>
        <v>4.6500000000000004</v>
      </c>
      <c r="F36" s="356">
        <f>'No change with year'!V6</f>
        <v>13.5</v>
      </c>
      <c r="G36" s="357">
        <f>'No change with year'!W6</f>
        <v>1.2</v>
      </c>
      <c r="H36" s="356">
        <f>'No change with year'!X6</f>
        <v>18</v>
      </c>
    </row>
    <row r="37" spans="1:38" ht="28.8">
      <c r="A37" s="296" t="s">
        <v>283</v>
      </c>
      <c r="B37" s="296" t="s">
        <v>284</v>
      </c>
      <c r="C37" s="297">
        <f>($C$21*$C$22)/C36</f>
        <v>22000</v>
      </c>
      <c r="D37" s="297">
        <f>($C$21*$C$22)/D36</f>
        <v>20625</v>
      </c>
      <c r="E37" s="297">
        <f>($C$21*$C$22)/E36</f>
        <v>21290.322580645159</v>
      </c>
      <c r="F37" s="297">
        <f>($C$21*$C$22)/F36</f>
        <v>7333.333333333333</v>
      </c>
      <c r="G37" s="435">
        <f>($C$21*$C$22*G36)</f>
        <v>118800</v>
      </c>
      <c r="H37" s="297">
        <f>($C$21*$C$22)/H36</f>
        <v>5500</v>
      </c>
    </row>
    <row r="38" spans="1:38">
      <c r="L38" s="300" t="s">
        <v>285</v>
      </c>
      <c r="M38" s="300" t="s">
        <v>281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B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ref="AC40" si="1">AB40+1</f>
        <v>2051</v>
      </c>
      <c r="AD40" s="360">
        <f t="shared" ref="AD40" si="2">AC40+1</f>
        <v>2052</v>
      </c>
      <c r="AE40" s="360">
        <f t="shared" ref="AE40" si="3">AD40+1</f>
        <v>2053</v>
      </c>
      <c r="AF40" s="360">
        <f t="shared" ref="AF40" si="4">AE40+1</f>
        <v>2054</v>
      </c>
      <c r="AG40" s="360">
        <f t="shared" ref="AG40" si="5">AF40+1</f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426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426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426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426"/>
    </row>
    <row r="45" spans="1:38">
      <c r="A45" s="32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426"/>
      <c r="AK45" s="365"/>
      <c r="AL45" s="365"/>
    </row>
    <row r="46" spans="1:38">
      <c r="A46" s="32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42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6">((C45*(100%-C47)+(C46*C47)))</f>
        <v>546.5</v>
      </c>
      <c r="D48" s="329">
        <f t="shared" si="6"/>
        <v>546.80000000000007</v>
      </c>
      <c r="E48" s="329">
        <f t="shared" si="6"/>
        <v>547.48850000000004</v>
      </c>
      <c r="F48" s="329">
        <f t="shared" si="6"/>
        <v>548.56179500000007</v>
      </c>
      <c r="G48" s="329">
        <f t="shared" si="6"/>
        <v>550.01645015000008</v>
      </c>
      <c r="H48" s="329">
        <f t="shared" si="6"/>
        <v>551.84929582550012</v>
      </c>
      <c r="I48" s="329">
        <f t="shared" si="6"/>
        <v>514.76555703138001</v>
      </c>
      <c r="J48" s="329">
        <f t="shared" si="6"/>
        <v>497.14781239946387</v>
      </c>
      <c r="K48" s="329">
        <f t="shared" si="6"/>
        <v>480.12958348746292</v>
      </c>
      <c r="L48" s="329">
        <f t="shared" si="6"/>
        <v>463.68728037350672</v>
      </c>
      <c r="M48" s="329">
        <f t="shared" si="6"/>
        <v>447.79833457717973</v>
      </c>
      <c r="N48" s="329">
        <f t="shared" si="6"/>
        <v>432.44115236203652</v>
      </c>
      <c r="O48" s="329">
        <f t="shared" si="6"/>
        <v>417.59507023695778</v>
      </c>
      <c r="P48" s="329">
        <f t="shared" si="6"/>
        <v>403.24031255107104</v>
      </c>
      <c r="Q48" s="329">
        <f t="shared" si="6"/>
        <v>389.35795108204587</v>
      </c>
      <c r="R48" s="329">
        <f t="shared" si="6"/>
        <v>375.92986652242445</v>
      </c>
      <c r="S48" s="329">
        <f t="shared" si="6"/>
        <v>342.1740920763624</v>
      </c>
      <c r="T48" s="329">
        <f t="shared" si="6"/>
        <v>332.6221464405898</v>
      </c>
      <c r="U48" s="329">
        <f t="shared" si="6"/>
        <v>323.42723049692546</v>
      </c>
      <c r="V48" s="329">
        <f t="shared" si="6"/>
        <v>314.57269843666074</v>
      </c>
      <c r="W48" s="329">
        <f t="shared" si="6"/>
        <v>306.04272468476341</v>
      </c>
      <c r="X48" s="329">
        <f t="shared" si="6"/>
        <v>297.82226300876158</v>
      </c>
      <c r="Y48" s="329">
        <f t="shared" si="6"/>
        <v>289.89700767097747</v>
      </c>
      <c r="Z48" s="329">
        <f t="shared" si="6"/>
        <v>282.25335652195605</v>
      </c>
      <c r="AA48" s="329">
        <f t="shared" si="6"/>
        <v>274.87837593804039</v>
      </c>
      <c r="AB48" s="329">
        <f t="shared" si="6"/>
        <v>267.75976751089871</v>
      </c>
      <c r="AC48" s="329">
        <f t="shared" si="6"/>
        <v>257.70745534636421</v>
      </c>
      <c r="AD48" s="329">
        <f t="shared" si="6"/>
        <v>260.37854780004602</v>
      </c>
      <c r="AE48" s="329">
        <f t="shared" si="6"/>
        <v>263.40999726156872</v>
      </c>
      <c r="AF48" s="329">
        <f t="shared" si="6"/>
        <v>266.79613367130344</v>
      </c>
      <c r="AG48" s="329">
        <f t="shared" si="6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7">E48+E49</f>
        <v>708.76850000000002</v>
      </c>
      <c r="F50" s="401">
        <f t="shared" si="7"/>
        <v>703.39059500000008</v>
      </c>
      <c r="G50" s="401">
        <f t="shared" si="7"/>
        <v>698.65209815000003</v>
      </c>
      <c r="H50" s="401">
        <f t="shared" si="7"/>
        <v>694.53951790550013</v>
      </c>
      <c r="I50" s="401">
        <f t="shared" si="7"/>
        <v>653.17507244898002</v>
      </c>
      <c r="J50" s="401">
        <f t="shared" si="7"/>
        <v>631.40504235453591</v>
      </c>
      <c r="K50" s="401">
        <f t="shared" si="7"/>
        <v>610.35909654388274</v>
      </c>
      <c r="L50" s="401">
        <f t="shared" si="7"/>
        <v>590.0099080382339</v>
      </c>
      <c r="M50" s="401">
        <f t="shared" si="7"/>
        <v>570.33128341196516</v>
      </c>
      <c r="N50" s="401">
        <f t="shared" si="7"/>
        <v>551.29811273177836</v>
      </c>
      <c r="O50" s="401">
        <f t="shared" si="7"/>
        <v>532.88632179560739</v>
      </c>
      <c r="P50" s="401">
        <f t="shared" si="7"/>
        <v>515.07282656296115</v>
      </c>
      <c r="Q50" s="401">
        <f t="shared" si="7"/>
        <v>497.83548967357922</v>
      </c>
      <c r="R50" s="401">
        <f t="shared" si="7"/>
        <v>481.1530789562118</v>
      </c>
      <c r="S50" s="401">
        <f t="shared" si="7"/>
        <v>444.24060813713612</v>
      </c>
      <c r="T50" s="401">
        <f t="shared" si="7"/>
        <v>431.62666701954032</v>
      </c>
      <c r="U50" s="401">
        <f t="shared" si="7"/>
        <v>419.46161545850748</v>
      </c>
      <c r="V50" s="401">
        <f t="shared" si="7"/>
        <v>407.72605184939528</v>
      </c>
      <c r="W50" s="401">
        <f t="shared" si="7"/>
        <v>396.40147749511596</v>
      </c>
      <c r="X50" s="401">
        <f t="shared" si="7"/>
        <v>385.47025323480352</v>
      </c>
      <c r="Y50" s="401">
        <f t="shared" si="7"/>
        <v>374.91555819023813</v>
      </c>
      <c r="Z50" s="401">
        <f t="shared" si="7"/>
        <v>364.72135052563891</v>
      </c>
      <c r="AA50" s="401">
        <f t="shared" si="7"/>
        <v>354.87233012161278</v>
      </c>
      <c r="AB50" s="401">
        <f t="shared" si="7"/>
        <v>345.35390306896392</v>
      </c>
      <c r="AC50" s="401">
        <f t="shared" si="7"/>
        <v>333.74970819326808</v>
      </c>
      <c r="AD50" s="401">
        <f t="shared" si="7"/>
        <v>334.89995559001181</v>
      </c>
      <c r="AE50" s="401">
        <f t="shared" si="7"/>
        <v>336.44097689573516</v>
      </c>
      <c r="AF50" s="401">
        <f t="shared" si="7"/>
        <v>338.36649371278656</v>
      </c>
      <c r="AG50" s="401">
        <f t="shared" si="7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426"/>
      <c r="AI51" s="426"/>
    </row>
    <row r="52" spans="1:37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K53" s="339"/>
    </row>
    <row r="54" spans="1:37" s="371" customFormat="1" ht="9.75" customHeight="1">
      <c r="A54" s="370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373"/>
    </row>
    <row r="55" spans="1:37">
      <c r="A55" s="328" t="s">
        <v>299</v>
      </c>
      <c r="B55" s="328" t="s">
        <v>300</v>
      </c>
      <c r="C55" s="338">
        <f>'Changing with year'!C154</f>
        <v>4.2</v>
      </c>
      <c r="D55" s="338">
        <f>'Changing with year'!D154</f>
        <v>4.3680000000000003</v>
      </c>
      <c r="E55" s="338">
        <f>'Changing with year'!E154</f>
        <v>4.5427200000000001</v>
      </c>
      <c r="F55" s="338">
        <f>'Changing with year'!F154</f>
        <v>4.7244288000000001</v>
      </c>
      <c r="G55" s="338">
        <f>'Changing with year'!G154</f>
        <v>4.9134059520000006</v>
      </c>
      <c r="H55" s="338">
        <f>'Changing with year'!H154</f>
        <v>5.1099421900800008</v>
      </c>
      <c r="I55" s="338">
        <f>'Changing with year'!I154</f>
        <v>5.3143398776832012</v>
      </c>
      <c r="J55" s="338">
        <f>'Changing with year'!J154</f>
        <v>5.5269134727905298</v>
      </c>
      <c r="K55" s="338">
        <f>'Changing with year'!K154</f>
        <v>5.747990011702151</v>
      </c>
      <c r="L55" s="338">
        <f>'Changing with year'!L154</f>
        <v>5.9779096121702375</v>
      </c>
      <c r="M55" s="338">
        <f>'Changing with year'!M154</f>
        <v>6.2170259966570471</v>
      </c>
      <c r="N55" s="338">
        <f>'Changing with year'!N154</f>
        <v>6.4657070365233293</v>
      </c>
      <c r="O55" s="338">
        <f>'Changing with year'!O154</f>
        <v>6.7243353179842629</v>
      </c>
      <c r="P55" s="338">
        <f>'Changing with year'!P154</f>
        <v>6.9933087307036335</v>
      </c>
      <c r="Q55" s="338">
        <f>'Changing with year'!Q154</f>
        <v>7.2730410799317786</v>
      </c>
      <c r="R55" s="338">
        <f>'Changing with year'!R154</f>
        <v>7.56396272312905</v>
      </c>
      <c r="S55" s="338">
        <f>'Changing with year'!S154</f>
        <v>7.8665212320542119</v>
      </c>
      <c r="T55" s="338">
        <f>'Changing with year'!T154</f>
        <v>8.1811820813363809</v>
      </c>
      <c r="U55" s="338">
        <f>'Changing with year'!U154</f>
        <v>8.508429364589837</v>
      </c>
      <c r="V55" s="338">
        <f>'Changing with year'!V154</f>
        <v>8.8487665391734307</v>
      </c>
      <c r="W55" s="338">
        <f>'Changing with year'!W154</f>
        <v>9.2027172007403681</v>
      </c>
      <c r="X55" s="338">
        <f>'Changing with year'!X154</f>
        <v>9.5708258887699831</v>
      </c>
      <c r="Y55" s="338">
        <f>'Changing with year'!Y154</f>
        <v>9.9536589243207825</v>
      </c>
      <c r="Z55" s="338">
        <f>'Changing with year'!Z154</f>
        <v>10.351805281293615</v>
      </c>
      <c r="AA55" s="338">
        <f>'Changing with year'!AA154</f>
        <v>10.765877492545359</v>
      </c>
      <c r="AB55" s="338">
        <f>'Changing with year'!AB154</f>
        <v>11.196512592247174</v>
      </c>
      <c r="AC55" s="338">
        <f>'Changing with year'!AC154</f>
        <v>11.644373095937061</v>
      </c>
      <c r="AD55" s="338">
        <f>'Changing with year'!AD154</f>
        <v>12.110148019774543</v>
      </c>
      <c r="AE55" s="338">
        <f>'Changing with year'!AE154</f>
        <v>12.594553940565525</v>
      </c>
      <c r="AF55" s="338">
        <f>'Changing with year'!AF154</f>
        <v>13.098336098188147</v>
      </c>
      <c r="AG55" s="338">
        <f>'Changing with year'!AG154</f>
        <v>13.622269542115674</v>
      </c>
      <c r="AH55" s="339"/>
    </row>
    <row r="56" spans="1:37">
      <c r="A56" s="328" t="s">
        <v>301</v>
      </c>
      <c r="B56" s="328" t="s">
        <v>300</v>
      </c>
      <c r="C56" s="338">
        <f>'Changing with year'!C186</f>
        <v>4.7</v>
      </c>
      <c r="D56" s="338">
        <f>'Changing with year'!D186</f>
        <v>4.8880000000000008</v>
      </c>
      <c r="E56" s="338">
        <f>'Changing with year'!E186</f>
        <v>5.0835200000000009</v>
      </c>
      <c r="F56" s="338">
        <f>'Changing with year'!F186</f>
        <v>5.2868608000000012</v>
      </c>
      <c r="G56" s="338">
        <f>'Changing with year'!G186</f>
        <v>5.4983352320000014</v>
      </c>
      <c r="H56" s="338">
        <f>'Changing with year'!H186</f>
        <v>5.7182686412800017</v>
      </c>
      <c r="I56" s="338">
        <f>'Changing with year'!I186</f>
        <v>5.9469993869312017</v>
      </c>
      <c r="J56" s="338">
        <f>'Changing with year'!J186</f>
        <v>6.1848793624084504</v>
      </c>
      <c r="K56" s="338">
        <f>'Changing with year'!K186</f>
        <v>6.4322745369047887</v>
      </c>
      <c r="L56" s="338">
        <f>'Changing with year'!L186</f>
        <v>6.6895655183809808</v>
      </c>
      <c r="M56" s="338">
        <f>'Changing with year'!M186</f>
        <v>6.95714813911622</v>
      </c>
      <c r="N56" s="338">
        <f>'Changing with year'!N186</f>
        <v>7.2354340646808692</v>
      </c>
      <c r="O56" s="338">
        <f>'Changing with year'!O186</f>
        <v>7.5248514272681044</v>
      </c>
      <c r="P56" s="338">
        <f>'Changing with year'!P186</f>
        <v>7.8258454843588288</v>
      </c>
      <c r="Q56" s="338">
        <f>'Changing with year'!Q186</f>
        <v>8.1388793037331819</v>
      </c>
      <c r="R56" s="338">
        <f>'Changing with year'!R186</f>
        <v>8.4644344758825092</v>
      </c>
      <c r="S56" s="338">
        <f>'Changing with year'!S186</f>
        <v>8.8030118549178091</v>
      </c>
      <c r="T56" s="338">
        <f>'Changing with year'!T186</f>
        <v>9.1551323291145223</v>
      </c>
      <c r="U56" s="338">
        <f>'Changing with year'!U186</f>
        <v>9.5213376222791037</v>
      </c>
      <c r="V56" s="338">
        <f>'Changing with year'!V186</f>
        <v>9.9021911271702674</v>
      </c>
      <c r="W56" s="338">
        <f>'Changing with year'!W186</f>
        <v>10.298278772257078</v>
      </c>
      <c r="X56" s="338">
        <f>'Changing with year'!X186</f>
        <v>10.710209923147362</v>
      </c>
      <c r="Y56" s="338">
        <f>'Changing with year'!Y186</f>
        <v>11.138618320073256</v>
      </c>
      <c r="Z56" s="338">
        <f>'Changing with year'!Z186</f>
        <v>11.584163052876187</v>
      </c>
      <c r="AA56" s="338">
        <f>'Changing with year'!AA186</f>
        <v>12.047529574991236</v>
      </c>
      <c r="AB56" s="338">
        <f>'Changing with year'!AB186</f>
        <v>12.529430757990886</v>
      </c>
      <c r="AC56" s="338">
        <f>'Changing with year'!AC186</f>
        <v>13.030607988310521</v>
      </c>
      <c r="AD56" s="338">
        <f>'Changing with year'!AD186</f>
        <v>13.551832307842943</v>
      </c>
      <c r="AE56" s="338">
        <f>'Changing with year'!AE186</f>
        <v>14.093905600156662</v>
      </c>
      <c r="AF56" s="338">
        <f>'Changing with year'!AF186</f>
        <v>14.657661824162929</v>
      </c>
      <c r="AG56" s="338">
        <f>'Changing with year'!AG186</f>
        <v>15.243968297129447</v>
      </c>
      <c r="AH56" s="339"/>
    </row>
    <row r="57" spans="1:37" ht="28.8">
      <c r="A57" s="296" t="s">
        <v>302</v>
      </c>
      <c r="B57" s="328" t="s">
        <v>300</v>
      </c>
      <c r="C57" s="338">
        <f>'Changing with year'!C218</f>
        <v>7.1777952225314179</v>
      </c>
      <c r="D57" s="338">
        <f>'Changing with year'!D218</f>
        <v>7.2141503419681321</v>
      </c>
      <c r="E57" s="338">
        <f>'Changing with year'!E218</f>
        <v>7.2582285834189282</v>
      </c>
      <c r="F57" s="338">
        <f>'Changing with year'!F218</f>
        <v>7.310182148833456</v>
      </c>
      <c r="G57" s="338">
        <f>'Changing with year'!G218</f>
        <v>7.3701732463126186</v>
      </c>
      <c r="H57" s="338">
        <f>'Changing with year'!H218</f>
        <v>7.4383743924028032</v>
      </c>
      <c r="I57" s="338">
        <f>'Changing with year'!I218</f>
        <v>7.5319641627128266</v>
      </c>
      <c r="J57" s="338">
        <f>'Changing with year'!J218</f>
        <v>7.6333764279429746</v>
      </c>
      <c r="K57" s="338">
        <f>'Changing with year'!K218</f>
        <v>7.7428425098078941</v>
      </c>
      <c r="L57" s="338">
        <f>'Changing with year'!L218</f>
        <v>7.8606046144524679</v>
      </c>
      <c r="M57" s="338">
        <f>'Changing with year'!M218</f>
        <v>7.9869162351977785</v>
      </c>
      <c r="N57" s="338">
        <f>'Changing with year'!N218</f>
        <v>8.1220425720495584</v>
      </c>
      <c r="O57" s="338">
        <f>'Changing with year'!O218</f>
        <v>8.2662609686265291</v>
      </c>
      <c r="P57" s="338">
        <f>'Changing with year'!P218</f>
        <v>8.4198613671926807</v>
      </c>
      <c r="Q57" s="338">
        <f>'Changing with year'!Q218</f>
        <v>8.5831467825050574</v>
      </c>
      <c r="R57" s="338">
        <f>'Changing with year'!R218</f>
        <v>8.7564337952174345</v>
      </c>
      <c r="S57" s="338">
        <f>'Changing with year'!S218</f>
        <v>8.9678260791794084</v>
      </c>
      <c r="T57" s="338">
        <f>'Changing with year'!T218</f>
        <v>9.1890627051783298</v>
      </c>
      <c r="U57" s="338">
        <f>'Changing with year'!U218</f>
        <v>9.4205235603888884</v>
      </c>
      <c r="V57" s="338">
        <f>'Changing with year'!V218</f>
        <v>9.662603866337836</v>
      </c>
      <c r="W57" s="338">
        <f>'Changing with year'!W218</f>
        <v>9.9157147908894085</v>
      </c>
      <c r="X57" s="338">
        <f>'Changing with year'!X218</f>
        <v>10.180284084724061</v>
      </c>
      <c r="Y57" s="338">
        <f>'Changing with year'!Y218</f>
        <v>10.456756743290111</v>
      </c>
      <c r="Z57" s="338">
        <f>'Changing with year'!Z218</f>
        <v>10.745595695247031</v>
      </c>
      <c r="AA57" s="338">
        <f>'Changing with year'!AA218</f>
        <v>11.047282518459976</v>
      </c>
      <c r="AB57" s="338">
        <f>'Changing with year'!AB218</f>
        <v>11.362318184647407</v>
      </c>
      <c r="AC57" s="338">
        <f>'Changing with year'!AC218</f>
        <v>11.741458665110029</v>
      </c>
      <c r="AD57" s="338">
        <f>'Changing with year'!AD218</f>
        <v>12.135011242321923</v>
      </c>
      <c r="AE57" s="338">
        <f>'Changing with year'!AE218</f>
        <v>12.543544864928366</v>
      </c>
      <c r="AF57" s="338">
        <f>'Changing with year'!AF218</f>
        <v>12.967651164168206</v>
      </c>
      <c r="AG57" s="338">
        <f>'Changing with year'!AG218</f>
        <v>13.407945360424065</v>
      </c>
      <c r="AH57" s="339"/>
      <c r="AI57" s="339"/>
    </row>
    <row r="58" spans="1:37">
      <c r="A58" s="328" t="s">
        <v>303</v>
      </c>
      <c r="B58" s="374" t="s">
        <v>300</v>
      </c>
      <c r="C58" s="338">
        <f>'Changing with year'!C250</f>
        <v>7.2200000000000015</v>
      </c>
      <c r="D58" s="338">
        <f>'Changing with year'!D250</f>
        <v>7.2553000000000001</v>
      </c>
      <c r="E58" s="338">
        <f>'Changing with year'!E250</f>
        <v>7.2983495000000005</v>
      </c>
      <c r="F58" s="338">
        <f>'Changing with year'!F250</f>
        <v>7.3493000425000004</v>
      </c>
      <c r="G58" s="338">
        <f>'Changing with year'!G250</f>
        <v>7.4083131926374994</v>
      </c>
      <c r="H58" s="338">
        <f>'Changing with year'!H250</f>
        <v>7.4755608400695621</v>
      </c>
      <c r="I58" s="338">
        <f>'Changing with year'!I250</f>
        <v>7.5684068814262506</v>
      </c>
      <c r="J58" s="338">
        <f>'Changing with year'!J250</f>
        <v>7.6690902922821307</v>
      </c>
      <c r="K58" s="338">
        <f>'Changing with year'!K250</f>
        <v>7.777842096860268</v>
      </c>
      <c r="L58" s="338">
        <f>'Changing with year'!L250</f>
        <v>7.8949042097637925</v>
      </c>
      <c r="M58" s="338">
        <f>'Changing with year'!M250</f>
        <v>8.0205298386028776</v>
      </c>
      <c r="N58" s="338">
        <f>'Changing with year'!N250</f>
        <v>8.1549839033865545</v>
      </c>
      <c r="O58" s="338">
        <f>'Changing with year'!O250</f>
        <v>8.2985434733367871</v>
      </c>
      <c r="P58" s="338">
        <f>'Changing with year'!P250</f>
        <v>8.4514982218087322</v>
      </c>
      <c r="Q58" s="338">
        <f>'Changing with year'!Q250</f>
        <v>8.6141509000287879</v>
      </c>
      <c r="R58" s="338">
        <f>'Changing with year'!R250</f>
        <v>8.7868178303906905</v>
      </c>
      <c r="S58" s="338">
        <f>'Changing with year'!S250</f>
        <v>8.9979062740009308</v>
      </c>
      <c r="T58" s="338">
        <f>'Changing with year'!T250</f>
        <v>9.2188420980516366</v>
      </c>
      <c r="U58" s="338">
        <f>'Changing with year'!U250</f>
        <v>9.4500051593334646</v>
      </c>
      <c r="V58" s="338">
        <f>'Changing with year'!V250</f>
        <v>9.6917906492929653</v>
      </c>
      <c r="W58" s="338">
        <f>'Changing with year'!W250</f>
        <v>9.9446097060149867</v>
      </c>
      <c r="X58" s="338">
        <f>'Changing with year'!X250</f>
        <v>10.208890050698383</v>
      </c>
      <c r="Y58" s="338">
        <f>'Changing with year'!Y250</f>
        <v>10.485076649604689</v>
      </c>
      <c r="Z58" s="338">
        <f>'Changing with year'!Z250</f>
        <v>10.773632402498464</v>
      </c>
      <c r="AA58" s="338">
        <f>'Changing with year'!AA250</f>
        <v>11.075038858638894</v>
      </c>
      <c r="AB58" s="338">
        <f>'Changing with year'!AB250</f>
        <v>11.389796961424537</v>
      </c>
      <c r="AC58" s="338">
        <f>'Changing with year'!AC250</f>
        <v>11.769212229654929</v>
      </c>
      <c r="AD58" s="338">
        <f>'Changing with year'!AD250</f>
        <v>12.163042342512274</v>
      </c>
      <c r="AE58" s="338">
        <f>'Changing with year'!AE250</f>
        <v>12.57185627612062</v>
      </c>
      <c r="AF58" s="338">
        <f>'Changing with year'!AF250</f>
        <v>12.996245689472381</v>
      </c>
      <c r="AG58" s="338">
        <f>'Changing with year'!AG250</f>
        <v>13.436825830981281</v>
      </c>
      <c r="AH58" s="339"/>
    </row>
    <row r="59" spans="1:37">
      <c r="A59" s="328" t="s">
        <v>304</v>
      </c>
      <c r="B59" s="374" t="s">
        <v>305</v>
      </c>
      <c r="C59" s="361">
        <f>'Changing with year'!C267*$C$21*$C$22</f>
        <v>693000</v>
      </c>
      <c r="D59" s="361">
        <f>'Changing with year'!D267*$C$21*$C$22</f>
        <v>699930.00000000012</v>
      </c>
      <c r="E59" s="361">
        <f>'Changing with year'!E267*$C$21*$C$22</f>
        <v>706929.3</v>
      </c>
      <c r="F59" s="361">
        <f>'Changing with year'!F267*$C$21*$C$22</f>
        <v>713998.59300000011</v>
      </c>
      <c r="G59" s="361">
        <f>'Changing with year'!G267*$C$21*$C$22</f>
        <v>721138.57892999996</v>
      </c>
      <c r="H59" s="361">
        <f>'Changing with year'!H267*$C$21*$C$22</f>
        <v>728349.96471930004</v>
      </c>
      <c r="I59" s="361">
        <f>'Changing with year'!I267*$C$21*$C$22</f>
        <v>735633.46436649305</v>
      </c>
      <c r="J59" s="361">
        <f>'Changing with year'!J267*$C$21*$C$22</f>
        <v>742989.79901015793</v>
      </c>
      <c r="K59" s="361">
        <f>'Changing with year'!K267*$C$21*$C$22</f>
        <v>750419.69700025953</v>
      </c>
      <c r="L59" s="361">
        <f>'Changing with year'!L267*$C$21*$C$22</f>
        <v>757923.89397026226</v>
      </c>
      <c r="M59" s="361">
        <f>'Changing with year'!M267*$C$21*$C$22</f>
        <v>765503.13290996477</v>
      </c>
      <c r="N59" s="361">
        <f>'Changing with year'!N267*$C$21*$C$22</f>
        <v>773158.16423906432</v>
      </c>
      <c r="O59" s="361">
        <f>'Changing with year'!O267*$C$21*$C$22</f>
        <v>780889.74588145502</v>
      </c>
      <c r="P59" s="361">
        <f>'Changing with year'!P267*$C$21*$C$22</f>
        <v>788698.64334026957</v>
      </c>
      <c r="Q59" s="361">
        <f>'Changing with year'!Q267*$C$21*$C$22</f>
        <v>796585.62977367244</v>
      </c>
      <c r="R59" s="361">
        <f>'Changing with year'!R267*$C$21*$C$22</f>
        <v>804551.48607140908</v>
      </c>
      <c r="S59" s="361">
        <f>'Changing with year'!S267*$C$21*$C$22</f>
        <v>812597.00093212316</v>
      </c>
      <c r="T59" s="361">
        <f>'Changing with year'!T267*$C$21*$C$22</f>
        <v>820722.97094144451</v>
      </c>
      <c r="U59" s="361">
        <f>'Changing with year'!U267*$C$21*$C$22</f>
        <v>828930.20065085881</v>
      </c>
      <c r="V59" s="361">
        <f>'Changing with year'!V267*$C$21*$C$22</f>
        <v>837219.5026573675</v>
      </c>
      <c r="W59" s="361">
        <f>'Changing with year'!W267*$C$21*$C$22</f>
        <v>845591.69768394111</v>
      </c>
      <c r="X59" s="361">
        <f>'Changing with year'!X267*$C$21*$C$22</f>
        <v>854047.61466078053</v>
      </c>
      <c r="Y59" s="361">
        <f>'Changing with year'!Y267*$C$21*$C$22</f>
        <v>862588.09080738842</v>
      </c>
      <c r="Z59" s="361">
        <f>'Changing with year'!Z267*$C$21*$C$22</f>
        <v>871213.97171546239</v>
      </c>
      <c r="AA59" s="361">
        <f>'Changing with year'!AA267*$C$21*$C$22</f>
        <v>879926.11143261695</v>
      </c>
      <c r="AB59" s="361">
        <f>'Changing with year'!AB267*$C$21*$C$22</f>
        <v>888725.37254694325</v>
      </c>
      <c r="AC59" s="361">
        <f>'Changing with year'!AC267*$C$21*$C$22</f>
        <v>897612.62627241272</v>
      </c>
      <c r="AD59" s="361">
        <f>'Changing with year'!AD267*$C$21*$C$22</f>
        <v>906588.75253513677</v>
      </c>
      <c r="AE59" s="361">
        <f>'Changing with year'!AE267*$C$21*$C$22</f>
        <v>915654.64006048813</v>
      </c>
      <c r="AF59" s="361">
        <f>'Changing with year'!AF267*$C$21*$C$22</f>
        <v>924811.18646109302</v>
      </c>
      <c r="AG59" s="361">
        <f>'Changing with year'!AG267*$C$21*$C$22</f>
        <v>934059.29832570395</v>
      </c>
      <c r="AH59" s="339"/>
      <c r="AI59" s="376"/>
      <c r="AJ59" s="376"/>
    </row>
    <row r="60" spans="1:37">
      <c r="A60" s="328" t="s">
        <v>306</v>
      </c>
      <c r="B60" s="374"/>
      <c r="C60" s="361">
        <f>'Changing with year'!C278*$C$21*$C$22</f>
        <v>693000</v>
      </c>
      <c r="D60" s="361">
        <f>'Changing with year'!D278*$C$21*$C$22</f>
        <v>699930.00000000012</v>
      </c>
      <c r="E60" s="361">
        <f>'Changing with year'!E278*$C$21*$C$22</f>
        <v>706929.3</v>
      </c>
      <c r="F60" s="361">
        <f>'Changing with year'!F278*$C$21*$C$22</f>
        <v>713998.59300000011</v>
      </c>
      <c r="G60" s="361">
        <f>'Changing with year'!G278*$C$21*$C$22</f>
        <v>721138.57892999996</v>
      </c>
      <c r="H60" s="361">
        <f>'Changing with year'!H278*$C$21*$C$22</f>
        <v>728349.96471930004</v>
      </c>
      <c r="I60" s="361">
        <f>'Changing with year'!I278*$C$21*$C$22</f>
        <v>735633.46436649305</v>
      </c>
      <c r="J60" s="361">
        <f>'Changing with year'!J278*$C$21*$C$22</f>
        <v>742989.79901015793</v>
      </c>
      <c r="K60" s="361">
        <f>'Changing with year'!K278*$C$21*$C$22</f>
        <v>750419.69700025953</v>
      </c>
      <c r="L60" s="361">
        <f>'Changing with year'!L278*$C$21*$C$22</f>
        <v>757923.89397026226</v>
      </c>
      <c r="M60" s="361">
        <f>'Changing with year'!M278*$C$21*$C$22</f>
        <v>765503.13290996477</v>
      </c>
      <c r="N60" s="361">
        <f>'Changing with year'!N278*$C$21*$C$22</f>
        <v>773158.16423906432</v>
      </c>
      <c r="O60" s="361">
        <f>'Changing with year'!O278*$C$21*$C$22</f>
        <v>780889.74588145502</v>
      </c>
      <c r="P60" s="361">
        <f>'Changing with year'!P278*$C$21*$C$22</f>
        <v>788698.64334026957</v>
      </c>
      <c r="Q60" s="361">
        <f>'Changing with year'!Q278*$C$21*$C$22</f>
        <v>796585.62977367244</v>
      </c>
      <c r="R60" s="361">
        <f>'Changing with year'!R278*$C$21*$C$22</f>
        <v>804551.48607140908</v>
      </c>
      <c r="S60" s="361">
        <f>'Changing with year'!S278*$C$21*$C$22</f>
        <v>812597.00093212316</v>
      </c>
      <c r="T60" s="361">
        <f>'Changing with year'!T278*$C$21*$C$22</f>
        <v>820722.97094144451</v>
      </c>
      <c r="U60" s="361">
        <f>'Changing with year'!U278*$C$21*$C$22</f>
        <v>828930.20065085881</v>
      </c>
      <c r="V60" s="361">
        <f>'Changing with year'!V278*$C$21*$C$22</f>
        <v>837219.5026573675</v>
      </c>
      <c r="W60" s="361">
        <f>'Changing with year'!W278*$C$21*$C$22</f>
        <v>845591.69768394111</v>
      </c>
      <c r="X60" s="361">
        <f>'Changing with year'!X278*$C$21*$C$22</f>
        <v>854047.61466078053</v>
      </c>
      <c r="Y60" s="361">
        <f>'Changing with year'!Y278*$C$21*$C$22</f>
        <v>862588.09080738842</v>
      </c>
      <c r="Z60" s="361">
        <f>'Changing with year'!Z278*$C$21*$C$22</f>
        <v>871213.97171546239</v>
      </c>
      <c r="AA60" s="361">
        <f>'Changing with year'!AA278*$C$21*$C$22</f>
        <v>879926.11143261695</v>
      </c>
      <c r="AB60" s="361">
        <f>'Changing with year'!AB278*$C$21*$C$22</f>
        <v>888725.37254694325</v>
      </c>
      <c r="AC60" s="361">
        <f>'Changing with year'!AC278*$C$21*$C$22</f>
        <v>897612.62627241272</v>
      </c>
      <c r="AD60" s="361">
        <f>'Changing with year'!AD278*$C$21*$C$22</f>
        <v>906588.75253513677</v>
      </c>
      <c r="AE60" s="361">
        <f>'Changing with year'!AE278*$C$21*$C$22</f>
        <v>915654.64006048813</v>
      </c>
      <c r="AF60" s="361">
        <f>'Changing with year'!AF278*$C$21*$C$22</f>
        <v>924811.18646109302</v>
      </c>
      <c r="AG60" s="361">
        <f>'Changing with year'!AG278*$C$21*$C$22</f>
        <v>934059.29832570395</v>
      </c>
      <c r="AH60" s="339"/>
      <c r="AI60" s="376"/>
      <c r="AJ60" s="376"/>
    </row>
    <row r="61" spans="1:37">
      <c r="C61" s="380"/>
      <c r="D61" s="380"/>
      <c r="E61" s="380"/>
      <c r="F61" s="380"/>
      <c r="G61" s="380"/>
    </row>
    <row r="62" spans="1:37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B62" si="8">D62+1</f>
        <v>2027</v>
      </c>
      <c r="F62" s="360">
        <f t="shared" si="8"/>
        <v>2028</v>
      </c>
      <c r="G62" s="360">
        <f t="shared" si="8"/>
        <v>2029</v>
      </c>
      <c r="H62" s="360">
        <f t="shared" si="8"/>
        <v>2030</v>
      </c>
      <c r="I62" s="360">
        <f t="shared" si="8"/>
        <v>2031</v>
      </c>
      <c r="J62" s="360">
        <f t="shared" si="8"/>
        <v>2032</v>
      </c>
      <c r="K62" s="360">
        <f t="shared" si="8"/>
        <v>2033</v>
      </c>
      <c r="L62" s="360">
        <f t="shared" si="8"/>
        <v>2034</v>
      </c>
      <c r="M62" s="360">
        <f t="shared" si="8"/>
        <v>2035</v>
      </c>
      <c r="N62" s="360">
        <f t="shared" si="8"/>
        <v>2036</v>
      </c>
      <c r="O62" s="360">
        <f t="shared" si="8"/>
        <v>2037</v>
      </c>
      <c r="P62" s="360">
        <f t="shared" si="8"/>
        <v>2038</v>
      </c>
      <c r="Q62" s="360">
        <f t="shared" si="8"/>
        <v>2039</v>
      </c>
      <c r="R62" s="360">
        <f t="shared" si="8"/>
        <v>2040</v>
      </c>
      <c r="S62" s="360">
        <f t="shared" si="8"/>
        <v>2041</v>
      </c>
      <c r="T62" s="360">
        <f t="shared" si="8"/>
        <v>2042</v>
      </c>
      <c r="U62" s="360">
        <f t="shared" si="8"/>
        <v>2043</v>
      </c>
      <c r="V62" s="360">
        <f t="shared" si="8"/>
        <v>2044</v>
      </c>
      <c r="W62" s="360">
        <f t="shared" si="8"/>
        <v>2045</v>
      </c>
      <c r="X62" s="360">
        <f t="shared" si="8"/>
        <v>2046</v>
      </c>
      <c r="Y62" s="360">
        <f t="shared" si="8"/>
        <v>2047</v>
      </c>
      <c r="Z62" s="360">
        <f t="shared" si="8"/>
        <v>2048</v>
      </c>
      <c r="AA62" s="360">
        <f t="shared" si="8"/>
        <v>2049</v>
      </c>
      <c r="AB62" s="360">
        <f t="shared" si="8"/>
        <v>2050</v>
      </c>
      <c r="AC62" s="360">
        <f t="shared" ref="AC62" si="9">AB62+1</f>
        <v>2051</v>
      </c>
      <c r="AD62" s="360">
        <f t="shared" ref="AD62" si="10">AC62+1</f>
        <v>2052</v>
      </c>
      <c r="AE62" s="360">
        <f t="shared" ref="AE62" si="11">AD62+1</f>
        <v>2053</v>
      </c>
      <c r="AF62" s="360">
        <f t="shared" ref="AF62" si="12">AE62+1</f>
        <v>2054</v>
      </c>
      <c r="AG62" s="360">
        <f t="shared" ref="AG62" si="13">AF62+1</f>
        <v>2055</v>
      </c>
    </row>
    <row r="63" spans="1:37">
      <c r="A63" s="300" t="s">
        <v>308</v>
      </c>
      <c r="B63" s="300" t="s">
        <v>309</v>
      </c>
      <c r="C63" s="376">
        <f>'Changing with year'!C83</f>
        <v>3600000</v>
      </c>
      <c r="D63" s="376">
        <f>'Changing with year'!D83</f>
        <v>3708000</v>
      </c>
      <c r="E63" s="376">
        <f>'Changing with year'!E83</f>
        <v>3819200</v>
      </c>
      <c r="F63" s="376">
        <f>'Changing with year'!F83</f>
        <v>3933800</v>
      </c>
      <c r="G63" s="376">
        <f>'Changing with year'!G83</f>
        <v>4051800</v>
      </c>
      <c r="H63" s="376">
        <f>'Changing with year'!H83</f>
        <v>4573400</v>
      </c>
      <c r="I63" s="376">
        <f>'Changing with year'!I83</f>
        <v>4710600</v>
      </c>
      <c r="J63" s="376">
        <f>'Changing with year'!J83</f>
        <v>4851900</v>
      </c>
      <c r="K63" s="376">
        <f>'Changing with year'!K83</f>
        <v>4997500</v>
      </c>
      <c r="L63" s="376">
        <f>'Changing with year'!L83</f>
        <v>5147400</v>
      </c>
      <c r="M63" s="376">
        <f>'Changing with year'!M83</f>
        <v>5301800</v>
      </c>
      <c r="N63" s="376">
        <f>'Changing with year'!N83</f>
        <v>5460900</v>
      </c>
      <c r="O63" s="376">
        <f>'Changing with year'!O83</f>
        <v>5624700</v>
      </c>
      <c r="P63" s="376">
        <f>'Changing with year'!P83</f>
        <v>5793400</v>
      </c>
      <c r="Q63" s="376">
        <f>'Changing with year'!Q83</f>
        <v>5967200</v>
      </c>
      <c r="R63" s="376">
        <f>'Changing with year'!R83</f>
        <v>6146200</v>
      </c>
      <c r="S63" s="376">
        <f>'Changing with year'!S83</f>
        <v>6330600</v>
      </c>
      <c r="T63" s="376">
        <f>'Changing with year'!T83</f>
        <v>6520500</v>
      </c>
      <c r="U63" s="376">
        <f>'Changing with year'!U83</f>
        <v>6716100</v>
      </c>
      <c r="V63" s="376">
        <f>'Changing with year'!V83</f>
        <v>6917600</v>
      </c>
      <c r="W63" s="376">
        <f>'Changing with year'!W83</f>
        <v>7125100</v>
      </c>
      <c r="X63" s="376">
        <f>'Changing with year'!X83</f>
        <v>7338900</v>
      </c>
      <c r="Y63" s="376">
        <f>'Changing with year'!Y83</f>
        <v>7559100</v>
      </c>
      <c r="Z63" s="376">
        <f>'Changing with year'!Z83</f>
        <v>7785900</v>
      </c>
      <c r="AA63" s="376">
        <f>'Changing with year'!AA83</f>
        <v>8019500</v>
      </c>
      <c r="AB63" s="376">
        <f>'Changing with year'!AB83</f>
        <v>8260100</v>
      </c>
      <c r="AC63" s="376">
        <f>'Changing with year'!AC83</f>
        <v>8507900</v>
      </c>
      <c r="AD63" s="376">
        <f>'Changing with year'!AD83</f>
        <v>8763100</v>
      </c>
      <c r="AE63" s="376">
        <f>'Changing with year'!AE83</f>
        <v>9026000</v>
      </c>
      <c r="AF63" s="376">
        <f>'Changing with year'!AF83</f>
        <v>9296800</v>
      </c>
      <c r="AG63" s="376">
        <f>'Changing with year'!AG83</f>
        <v>9575700</v>
      </c>
    </row>
    <row r="64" spans="1:37">
      <c r="A64" s="300" t="s">
        <v>310</v>
      </c>
      <c r="B64" s="300" t="s">
        <v>309</v>
      </c>
      <c r="C64" s="376">
        <f>(C63*'No change with year'!$Y$6)</f>
        <v>1980000.0000000002</v>
      </c>
      <c r="D64" s="376">
        <f>(D63*'No change with year'!$Y$6)</f>
        <v>2039400.0000000002</v>
      </c>
      <c r="E64" s="376">
        <f>(E63*'No change with year'!$Y$6)</f>
        <v>2100560</v>
      </c>
      <c r="F64" s="376">
        <f>(F63*'No change with year'!$Y$6)</f>
        <v>2163590</v>
      </c>
      <c r="G64" s="376">
        <f>(G63*'No change with year'!$Y$6)</f>
        <v>2228490</v>
      </c>
      <c r="H64" s="376">
        <f>(H63*'No change with year'!$Y$6)</f>
        <v>2515370</v>
      </c>
      <c r="I64" s="376">
        <f>(I63*'No change with year'!$Y$6)</f>
        <v>2590830</v>
      </c>
      <c r="J64" s="376">
        <f>(J63*'No change with year'!$Y$6)</f>
        <v>2668545</v>
      </c>
      <c r="K64" s="376">
        <f>(K63*'No change with year'!$Y$6)</f>
        <v>2748625</v>
      </c>
      <c r="L64" s="376">
        <f>(L63*'No change with year'!$Y$6)</f>
        <v>2831070</v>
      </c>
      <c r="M64" s="376">
        <f>(M63*'No change with year'!$Y$6)</f>
        <v>2915990.0000000005</v>
      </c>
      <c r="N64" s="376">
        <f>(N63*'No change with year'!$Z$6)</f>
        <v>2457405.0000000005</v>
      </c>
      <c r="O64" s="376">
        <f>(O63*'No change with year'!$Z$6)</f>
        <v>2531115.0000000005</v>
      </c>
      <c r="P64" s="376">
        <f>(P63*'No change with year'!$Z$6)</f>
        <v>2607030.0000000005</v>
      </c>
      <c r="Q64" s="376">
        <f>(Q63*'No change with year'!$Z$6)</f>
        <v>2685240.0000000005</v>
      </c>
      <c r="R64" s="376">
        <f>(R63*'No change with year'!$Z$6)</f>
        <v>2765790.0000000005</v>
      </c>
      <c r="S64" s="376">
        <f>(S63*'No change with year'!$Z$6)</f>
        <v>2848770.0000000005</v>
      </c>
      <c r="T64" s="376">
        <f>(T63*'No change with year'!$Z$6)</f>
        <v>2934225.0000000005</v>
      </c>
      <c r="U64" s="376">
        <f>(U63*'No change with year'!$Z$6)</f>
        <v>3022245.0000000005</v>
      </c>
      <c r="V64" s="376">
        <f>(V63*'No change with year'!$Z$6)</f>
        <v>3112920.0000000005</v>
      </c>
      <c r="W64" s="376">
        <f>(W63*'No change with year'!$Z$6)</f>
        <v>3206295.0000000005</v>
      </c>
      <c r="X64" s="376">
        <f>(X63*'No change with year'!$AA$6)</f>
        <v>2568615.0000000005</v>
      </c>
      <c r="Y64" s="376">
        <f>(Y63*'No change with year'!$AA$6)</f>
        <v>2645685.0000000005</v>
      </c>
      <c r="Z64" s="376">
        <f>(Z63*'No change with year'!$AA$6)</f>
        <v>2725065.0000000005</v>
      </c>
      <c r="AA64" s="376">
        <f>(AA63*'No change with year'!$AA$6)</f>
        <v>2806825.0000000005</v>
      </c>
      <c r="AB64" s="376">
        <f>(AB63*'No change with year'!$AA$6)</f>
        <v>2891035.0000000005</v>
      </c>
      <c r="AC64" s="376">
        <f>(AC63*'No change with year'!$AA$6)</f>
        <v>2977765.0000000005</v>
      </c>
      <c r="AD64" s="376">
        <f>(AD63*'No change with year'!$AA$6)</f>
        <v>3067085.0000000005</v>
      </c>
      <c r="AE64" s="376">
        <f>(AE63*'No change with year'!$AA$6)</f>
        <v>3159100.0000000005</v>
      </c>
      <c r="AF64" s="376">
        <f>(AF63*'No change with year'!$AA$6)</f>
        <v>3253880.0000000005</v>
      </c>
      <c r="AG64" s="376">
        <f>(AG63*'No change with year'!$AA$6)</f>
        <v>3351495.0000000005</v>
      </c>
    </row>
    <row r="65" spans="1:35" s="371" customFormat="1" ht="11.85" customHeight="1">
      <c r="A65" s="428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00" t="s">
        <v>312</v>
      </c>
      <c r="B66" s="300" t="s">
        <v>313</v>
      </c>
      <c r="C66" s="376">
        <f t="shared" ref="C66:AG66" si="14">-PMT($C$26,$C$25,C63)</f>
        <v>788823.84924500715</v>
      </c>
      <c r="D66" s="376">
        <f t="shared" si="14"/>
        <v>812488.56472235743</v>
      </c>
      <c r="E66" s="376">
        <f t="shared" si="14"/>
        <v>836854.45695459202</v>
      </c>
      <c r="F66" s="376">
        <f t="shared" si="14"/>
        <v>861965.34948889131</v>
      </c>
      <c r="G66" s="376">
        <f t="shared" si="14"/>
        <v>887821.24232525553</v>
      </c>
      <c r="H66" s="376">
        <f t="shared" si="14"/>
        <v>1002113.0533714209</v>
      </c>
      <c r="I66" s="376">
        <f t="shared" si="14"/>
        <v>1032176.0067370918</v>
      </c>
      <c r="J66" s="376">
        <f t="shared" si="14"/>
        <v>1063137.3428199585</v>
      </c>
      <c r="K66" s="376">
        <f t="shared" si="14"/>
        <v>1095040.8851672008</v>
      </c>
      <c r="L66" s="376">
        <f t="shared" si="14"/>
        <v>1127886.6337788193</v>
      </c>
      <c r="M66" s="376">
        <f t="shared" si="14"/>
        <v>1161718.4122019941</v>
      </c>
      <c r="N66" s="376">
        <f t="shared" si="14"/>
        <v>1196580.0439839053</v>
      </c>
      <c r="O66" s="376">
        <f t="shared" si="14"/>
        <v>1232471.5291245531</v>
      </c>
      <c r="P66" s="376">
        <f t="shared" si="14"/>
        <v>1269436.6911711181</v>
      </c>
      <c r="Q66" s="376">
        <f t="shared" si="14"/>
        <v>1307519.3536707796</v>
      </c>
      <c r="R66" s="376">
        <f t="shared" si="14"/>
        <v>1346741.4283971286</v>
      </c>
      <c r="S66" s="376">
        <f t="shared" si="14"/>
        <v>1387146.738897345</v>
      </c>
      <c r="T66" s="376">
        <f t="shared" si="14"/>
        <v>1428757.1969450191</v>
      </c>
      <c r="U66" s="376">
        <f t="shared" si="14"/>
        <v>1471616.6260873312</v>
      </c>
      <c r="V66" s="376">
        <f t="shared" si="14"/>
        <v>1515768.8498714615</v>
      </c>
      <c r="W66" s="376">
        <f t="shared" si="14"/>
        <v>1561235.7800710001</v>
      </c>
      <c r="X66" s="376">
        <f t="shared" si="14"/>
        <v>1608083.1520067176</v>
      </c>
      <c r="Y66" s="376">
        <f t="shared" si="14"/>
        <v>1656332.8774522038</v>
      </c>
      <c r="Z66" s="376">
        <f t="shared" si="14"/>
        <v>1706028.779954639</v>
      </c>
      <c r="AA66" s="376">
        <f t="shared" si="14"/>
        <v>1757214.6830612042</v>
      </c>
      <c r="AB66" s="376">
        <f t="shared" si="14"/>
        <v>1809934.4103190787</v>
      </c>
      <c r="AC66" s="376">
        <f t="shared" si="14"/>
        <v>1864231.7852754435</v>
      </c>
      <c r="AD66" s="376">
        <f t="shared" si="14"/>
        <v>1920150.6314774784</v>
      </c>
      <c r="AE66" s="376">
        <f t="shared" si="14"/>
        <v>1977756.684245954</v>
      </c>
      <c r="AF66" s="376">
        <f t="shared" si="14"/>
        <v>2037093.7671280508</v>
      </c>
      <c r="AG66" s="376">
        <f t="shared" si="14"/>
        <v>2098205.7036709487</v>
      </c>
    </row>
    <row r="67" spans="1:35">
      <c r="A67" s="300" t="s">
        <v>314</v>
      </c>
      <c r="B67" s="300" t="s">
        <v>313</v>
      </c>
      <c r="C67" s="376">
        <f t="shared" ref="C67:AG67" si="15">C41*$C$37</f>
        <v>1956378.514388571</v>
      </c>
      <c r="D67" s="376">
        <f t="shared" si="15"/>
        <v>2178000</v>
      </c>
      <c r="E67" s="376">
        <f t="shared" si="15"/>
        <v>2221560</v>
      </c>
      <c r="F67" s="376">
        <f t="shared" si="15"/>
        <v>2265991.2000000002</v>
      </c>
      <c r="G67" s="376">
        <f t="shared" si="15"/>
        <v>2311311.0240000002</v>
      </c>
      <c r="H67" s="376">
        <f t="shared" si="15"/>
        <v>2357537.2444800003</v>
      </c>
      <c r="I67" s="376">
        <f t="shared" si="15"/>
        <v>2404687.9893696001</v>
      </c>
      <c r="J67" s="376">
        <f t="shared" si="15"/>
        <v>2452781.749156992</v>
      </c>
      <c r="K67" s="376">
        <f t="shared" si="15"/>
        <v>2501837.384140132</v>
      </c>
      <c r="L67" s="376">
        <f t="shared" si="15"/>
        <v>2551874.1318229348</v>
      </c>
      <c r="M67" s="376">
        <f t="shared" si="15"/>
        <v>2602911.6144593935</v>
      </c>
      <c r="N67" s="376">
        <f t="shared" si="15"/>
        <v>2654969.8467485812</v>
      </c>
      <c r="O67" s="376">
        <f t="shared" si="15"/>
        <v>2708069.2436835528</v>
      </c>
      <c r="P67" s="376">
        <f t="shared" si="15"/>
        <v>2762230.6285572238</v>
      </c>
      <c r="Q67" s="376">
        <f t="shared" si="15"/>
        <v>2817475.2411283688</v>
      </c>
      <c r="R67" s="376">
        <f t="shared" si="15"/>
        <v>2873824.7459509359</v>
      </c>
      <c r="S67" s="376">
        <f t="shared" si="15"/>
        <v>2931301.2408699552</v>
      </c>
      <c r="T67" s="376">
        <f t="shared" si="15"/>
        <v>2989927.2656873544</v>
      </c>
      <c r="U67" s="376">
        <f t="shared" si="15"/>
        <v>3049725.8110011015</v>
      </c>
      <c r="V67" s="376">
        <f t="shared" si="15"/>
        <v>3110720.327221124</v>
      </c>
      <c r="W67" s="376">
        <f t="shared" si="15"/>
        <v>3172934.7337655462</v>
      </c>
      <c r="X67" s="376">
        <f t="shared" si="15"/>
        <v>3236393.4284408572</v>
      </c>
      <c r="Y67" s="376">
        <f t="shared" si="15"/>
        <v>3301121.2970096744</v>
      </c>
      <c r="Z67" s="376">
        <f t="shared" si="15"/>
        <v>3367143.7229498676</v>
      </c>
      <c r="AA67" s="376">
        <f t="shared" si="15"/>
        <v>3434486.5974088651</v>
      </c>
      <c r="AB67" s="376">
        <f t="shared" si="15"/>
        <v>3503176.3293570424</v>
      </c>
      <c r="AC67" s="376">
        <f t="shared" si="15"/>
        <v>3573239.8559441832</v>
      </c>
      <c r="AD67" s="376">
        <f t="shared" si="15"/>
        <v>3644704.6530630668</v>
      </c>
      <c r="AE67" s="376">
        <f t="shared" si="15"/>
        <v>3717598.7461243281</v>
      </c>
      <c r="AF67" s="376">
        <f t="shared" si="15"/>
        <v>3791950.7210468152</v>
      </c>
      <c r="AG67" s="376">
        <f t="shared" si="15"/>
        <v>3867789.7354677515</v>
      </c>
    </row>
    <row r="68" spans="1:35">
      <c r="A68" s="300" t="s">
        <v>315</v>
      </c>
      <c r="B68" s="300" t="s">
        <v>313</v>
      </c>
      <c r="C68" s="329">
        <f t="shared" ref="C68:AG68" si="16">$C$37*$AH$68*C42</f>
        <v>60500</v>
      </c>
      <c r="D68" s="329">
        <f t="shared" si="16"/>
        <v>62012.499999999993</v>
      </c>
      <c r="E68" s="329">
        <f t="shared" si="16"/>
        <v>63562.812499999985</v>
      </c>
      <c r="F68" s="329">
        <f t="shared" si="16"/>
        <v>65151.882812499978</v>
      </c>
      <c r="G68" s="329">
        <f t="shared" si="16"/>
        <v>66780.679882812474</v>
      </c>
      <c r="H68" s="329">
        <f t="shared" si="16"/>
        <v>68450.196879882787</v>
      </c>
      <c r="I68" s="329">
        <f t="shared" si="16"/>
        <v>70161.451801879841</v>
      </c>
      <c r="J68" s="329">
        <f t="shared" si="16"/>
        <v>71915.488096926827</v>
      </c>
      <c r="K68" s="329">
        <f t="shared" si="16"/>
        <v>73713.375299349995</v>
      </c>
      <c r="L68" s="329">
        <f t="shared" si="16"/>
        <v>75556.209681833745</v>
      </c>
      <c r="M68" s="329">
        <f t="shared" si="16"/>
        <v>77445.114923879577</v>
      </c>
      <c r="N68" s="329">
        <f t="shared" si="16"/>
        <v>79381.242796976556</v>
      </c>
      <c r="O68" s="329">
        <f t="shared" si="16"/>
        <v>81365.77386690097</v>
      </c>
      <c r="P68" s="329">
        <f t="shared" si="16"/>
        <v>83399.918213573503</v>
      </c>
      <c r="Q68" s="329">
        <f t="shared" si="16"/>
        <v>85484.916168912823</v>
      </c>
      <c r="R68" s="329">
        <f t="shared" si="16"/>
        <v>87622.039073135646</v>
      </c>
      <c r="S68" s="329">
        <f t="shared" si="16"/>
        <v>89812.590049964027</v>
      </c>
      <c r="T68" s="329">
        <f t="shared" si="16"/>
        <v>92057.904801213124</v>
      </c>
      <c r="U68" s="329">
        <f t="shared" si="16"/>
        <v>94359.352421243442</v>
      </c>
      <c r="V68" s="329">
        <f t="shared" si="16"/>
        <v>96718.33623177452</v>
      </c>
      <c r="W68" s="329">
        <f t="shared" si="16"/>
        <v>99136.294637568877</v>
      </c>
      <c r="X68" s="329">
        <f t="shared" si="16"/>
        <v>101614.70200350809</v>
      </c>
      <c r="Y68" s="329">
        <f t="shared" si="16"/>
        <v>104155.06955359579</v>
      </c>
      <c r="Z68" s="329">
        <f t="shared" si="16"/>
        <v>106758.94629243568</v>
      </c>
      <c r="AA68" s="329">
        <f t="shared" si="16"/>
        <v>109427.91994974656</v>
      </c>
      <c r="AB68" s="329">
        <f t="shared" si="16"/>
        <v>112163.61794849021</v>
      </c>
      <c r="AC68" s="329">
        <f t="shared" si="16"/>
        <v>114967.70839720246</v>
      </c>
      <c r="AD68" s="329">
        <f t="shared" si="16"/>
        <v>117841.90110713251</v>
      </c>
      <c r="AE68" s="329">
        <f t="shared" si="16"/>
        <v>120787.94863481082</v>
      </c>
      <c r="AF68" s="329">
        <f t="shared" si="16"/>
        <v>123807.64735068107</v>
      </c>
      <c r="AG68" s="329">
        <f t="shared" si="16"/>
        <v>126902.83853444808</v>
      </c>
      <c r="AH68" s="439">
        <f>'No change with year'!D20</f>
        <v>0.05</v>
      </c>
      <c r="AI68" s="300" t="s">
        <v>316</v>
      </c>
    </row>
    <row r="69" spans="1:35">
      <c r="A69" s="300" t="s">
        <v>317</v>
      </c>
      <c r="B69" s="300" t="s">
        <v>313</v>
      </c>
      <c r="C69" s="376">
        <f t="shared" ref="C69:AG69" si="17">$C$22*$C$21*C55</f>
        <v>415800</v>
      </c>
      <c r="D69" s="376">
        <f t="shared" si="17"/>
        <v>432432.00000000006</v>
      </c>
      <c r="E69" s="376">
        <f t="shared" si="17"/>
        <v>449729.28000000003</v>
      </c>
      <c r="F69" s="376">
        <f t="shared" si="17"/>
        <v>467718.45120000001</v>
      </c>
      <c r="G69" s="376">
        <f t="shared" si="17"/>
        <v>486427.18924800004</v>
      </c>
      <c r="H69" s="376">
        <f t="shared" si="17"/>
        <v>505884.27681792009</v>
      </c>
      <c r="I69" s="376">
        <f t="shared" si="17"/>
        <v>526119.64789063693</v>
      </c>
      <c r="J69" s="376">
        <f t="shared" si="17"/>
        <v>547164.43380626244</v>
      </c>
      <c r="K69" s="376">
        <f t="shared" si="17"/>
        <v>569051.01115851291</v>
      </c>
      <c r="L69" s="376">
        <f t="shared" si="17"/>
        <v>591813.05160485348</v>
      </c>
      <c r="M69" s="376">
        <f t="shared" si="17"/>
        <v>615485.57366904768</v>
      </c>
      <c r="N69" s="376">
        <f t="shared" si="17"/>
        <v>640104.99661580962</v>
      </c>
      <c r="O69" s="376">
        <f t="shared" si="17"/>
        <v>665709.19648044207</v>
      </c>
      <c r="P69" s="376">
        <f t="shared" si="17"/>
        <v>692337.56433965976</v>
      </c>
      <c r="Q69" s="376">
        <f t="shared" si="17"/>
        <v>720031.06691324606</v>
      </c>
      <c r="R69" s="376">
        <f t="shared" si="17"/>
        <v>748832.30958977598</v>
      </c>
      <c r="S69" s="376">
        <f t="shared" si="17"/>
        <v>778785.60197336704</v>
      </c>
      <c r="T69" s="376">
        <f t="shared" si="17"/>
        <v>809937.02605230175</v>
      </c>
      <c r="U69" s="376">
        <f t="shared" si="17"/>
        <v>842334.50709439383</v>
      </c>
      <c r="V69" s="376">
        <f t="shared" si="17"/>
        <v>876027.88737816969</v>
      </c>
      <c r="W69" s="376">
        <f t="shared" si="17"/>
        <v>911069.0028732965</v>
      </c>
      <c r="X69" s="376">
        <f t="shared" si="17"/>
        <v>947511.76298822835</v>
      </c>
      <c r="Y69" s="376">
        <f t="shared" si="17"/>
        <v>985412.23350775742</v>
      </c>
      <c r="Z69" s="376">
        <f t="shared" si="17"/>
        <v>1024828.7228480679</v>
      </c>
      <c r="AA69" s="376">
        <f t="shared" si="17"/>
        <v>1065821.8717619905</v>
      </c>
      <c r="AB69" s="376">
        <f t="shared" si="17"/>
        <v>1108454.7466324703</v>
      </c>
      <c r="AC69" s="376">
        <f t="shared" si="17"/>
        <v>1152792.9364977691</v>
      </c>
      <c r="AD69" s="376">
        <f t="shared" si="17"/>
        <v>1198904.6539576799</v>
      </c>
      <c r="AE69" s="376">
        <f t="shared" si="17"/>
        <v>1246860.840115987</v>
      </c>
      <c r="AF69" s="376">
        <f t="shared" si="17"/>
        <v>1296735.2737206265</v>
      </c>
      <c r="AG69" s="376">
        <f t="shared" si="17"/>
        <v>1348604.6846694518</v>
      </c>
    </row>
    <row r="70" spans="1:35">
      <c r="A70" s="300" t="s">
        <v>318</v>
      </c>
      <c r="B70" s="300" t="s">
        <v>313</v>
      </c>
      <c r="C70" s="376">
        <f>'Changing with year'!C289</f>
        <v>450000</v>
      </c>
      <c r="D70" s="376">
        <f>'Changing with year'!D289</f>
        <v>470000</v>
      </c>
      <c r="E70" s="376">
        <f>'Changing with year'!E289</f>
        <v>491000</v>
      </c>
      <c r="F70" s="376">
        <f>'Changing with year'!F289</f>
        <v>513000</v>
      </c>
      <c r="G70" s="376">
        <f>'Changing with year'!G289</f>
        <v>536000</v>
      </c>
      <c r="H70" s="376">
        <f>'Changing with year'!H289</f>
        <v>560000</v>
      </c>
      <c r="I70" s="376">
        <f>'Changing with year'!I289</f>
        <v>585000</v>
      </c>
      <c r="J70" s="376">
        <f>'Changing with year'!J289</f>
        <v>611000</v>
      </c>
      <c r="K70" s="376">
        <f>'Changing with year'!K289</f>
        <v>638000</v>
      </c>
      <c r="L70" s="376">
        <f>'Changing with year'!L289</f>
        <v>667000</v>
      </c>
      <c r="M70" s="376">
        <f>'Changing with year'!M289</f>
        <v>697000</v>
      </c>
      <c r="N70" s="376">
        <f>'Changing with year'!N289</f>
        <v>728000</v>
      </c>
      <c r="O70" s="376">
        <f>'Changing with year'!O289</f>
        <v>761000</v>
      </c>
      <c r="P70" s="376">
        <f>'Changing with year'!P289</f>
        <v>795000</v>
      </c>
      <c r="Q70" s="376">
        <f>'Changing with year'!Q289</f>
        <v>831000</v>
      </c>
      <c r="R70" s="376">
        <f>'Changing with year'!R289</f>
        <v>868000</v>
      </c>
      <c r="S70" s="376">
        <f>'Changing with year'!S289</f>
        <v>907000</v>
      </c>
      <c r="T70" s="376">
        <f>'Changing with year'!T289</f>
        <v>948000</v>
      </c>
      <c r="U70" s="376">
        <f>'Changing with year'!U289</f>
        <v>991000</v>
      </c>
      <c r="V70" s="376">
        <f>'Changing with year'!V289</f>
        <v>1036000</v>
      </c>
      <c r="W70" s="376">
        <f>'Changing with year'!W289</f>
        <v>1083000</v>
      </c>
      <c r="X70" s="376">
        <f>'Changing with year'!X289</f>
        <v>1132000</v>
      </c>
      <c r="Y70" s="376">
        <f>'Changing with year'!Y289</f>
        <v>1183000</v>
      </c>
      <c r="Z70" s="376">
        <f>'Changing with year'!Z289</f>
        <v>1236000</v>
      </c>
      <c r="AA70" s="376">
        <f>'Changing with year'!AA289</f>
        <v>1292000</v>
      </c>
      <c r="AB70" s="376">
        <f>'Changing with year'!AB289</f>
        <v>1350000</v>
      </c>
      <c r="AC70" s="376">
        <f>'Changing with year'!AC289</f>
        <v>1411000</v>
      </c>
      <c r="AD70" s="376">
        <f>'Changing with year'!AD289</f>
        <v>1474000</v>
      </c>
      <c r="AE70" s="376">
        <f>'Changing with year'!AE289</f>
        <v>1540000</v>
      </c>
      <c r="AF70" s="376">
        <f>'Changing with year'!AF289</f>
        <v>1609000</v>
      </c>
      <c r="AG70" s="376">
        <f>'Changing with year'!AG289</f>
        <v>1681000</v>
      </c>
      <c r="AH70" s="339"/>
    </row>
    <row r="71" spans="1:35">
      <c r="A71" s="300" t="s">
        <v>272</v>
      </c>
      <c r="B71" s="300" t="s">
        <v>313</v>
      </c>
      <c r="C71" s="376">
        <f t="shared" ref="C71:AG71" si="18">C59</f>
        <v>693000</v>
      </c>
      <c r="D71" s="376">
        <f t="shared" si="18"/>
        <v>699930.00000000012</v>
      </c>
      <c r="E71" s="376">
        <f t="shared" si="18"/>
        <v>706929.3</v>
      </c>
      <c r="F71" s="376">
        <f t="shared" si="18"/>
        <v>713998.59300000011</v>
      </c>
      <c r="G71" s="376">
        <f t="shared" si="18"/>
        <v>721138.57892999996</v>
      </c>
      <c r="H71" s="376">
        <f t="shared" si="18"/>
        <v>728349.96471930004</v>
      </c>
      <c r="I71" s="376">
        <f t="shared" si="18"/>
        <v>735633.46436649305</v>
      </c>
      <c r="J71" s="376">
        <f t="shared" si="18"/>
        <v>742989.79901015793</v>
      </c>
      <c r="K71" s="376">
        <f t="shared" si="18"/>
        <v>750419.69700025953</v>
      </c>
      <c r="L71" s="376">
        <f t="shared" si="18"/>
        <v>757923.89397026226</v>
      </c>
      <c r="M71" s="376">
        <f t="shared" si="18"/>
        <v>765503.13290996477</v>
      </c>
      <c r="N71" s="376">
        <f t="shared" si="18"/>
        <v>773158.16423906432</v>
      </c>
      <c r="O71" s="376">
        <f t="shared" si="18"/>
        <v>780889.74588145502</v>
      </c>
      <c r="P71" s="376">
        <f t="shared" si="18"/>
        <v>788698.64334026957</v>
      </c>
      <c r="Q71" s="376">
        <f t="shared" si="18"/>
        <v>796585.62977367244</v>
      </c>
      <c r="R71" s="376">
        <f t="shared" si="18"/>
        <v>804551.48607140908</v>
      </c>
      <c r="S71" s="376">
        <f t="shared" si="18"/>
        <v>812597.00093212316</v>
      </c>
      <c r="T71" s="376">
        <f t="shared" si="18"/>
        <v>820722.97094144451</v>
      </c>
      <c r="U71" s="376">
        <f t="shared" si="18"/>
        <v>828930.20065085881</v>
      </c>
      <c r="V71" s="376">
        <f t="shared" si="18"/>
        <v>837219.5026573675</v>
      </c>
      <c r="W71" s="376">
        <f t="shared" si="18"/>
        <v>845591.69768394111</v>
      </c>
      <c r="X71" s="376">
        <f t="shared" si="18"/>
        <v>854047.61466078053</v>
      </c>
      <c r="Y71" s="376">
        <f t="shared" si="18"/>
        <v>862588.09080738842</v>
      </c>
      <c r="Z71" s="376">
        <f t="shared" si="18"/>
        <v>871213.97171546239</v>
      </c>
      <c r="AA71" s="376">
        <f t="shared" si="18"/>
        <v>879926.11143261695</v>
      </c>
      <c r="AB71" s="376">
        <f t="shared" si="18"/>
        <v>888725.37254694325</v>
      </c>
      <c r="AC71" s="376">
        <f t="shared" si="18"/>
        <v>897612.62627241272</v>
      </c>
      <c r="AD71" s="376">
        <f t="shared" si="18"/>
        <v>906588.75253513677</v>
      </c>
      <c r="AE71" s="376">
        <f t="shared" si="18"/>
        <v>915654.64006048813</v>
      </c>
      <c r="AF71" s="376">
        <f t="shared" si="18"/>
        <v>924811.18646109302</v>
      </c>
      <c r="AG71" s="376">
        <f t="shared" si="18"/>
        <v>934059.29832570395</v>
      </c>
    </row>
    <row r="72" spans="1:35">
      <c r="A72" s="300" t="s">
        <v>319</v>
      </c>
      <c r="B72" s="300" t="s">
        <v>313</v>
      </c>
      <c r="C72" s="376">
        <f t="shared" ref="C72:AG72" si="19">C63*$C$29</f>
        <v>72000</v>
      </c>
      <c r="D72" s="376">
        <f t="shared" si="19"/>
        <v>74160</v>
      </c>
      <c r="E72" s="376">
        <f t="shared" si="19"/>
        <v>76384</v>
      </c>
      <c r="F72" s="376">
        <f t="shared" si="19"/>
        <v>78676</v>
      </c>
      <c r="G72" s="376">
        <f t="shared" si="19"/>
        <v>81036</v>
      </c>
      <c r="H72" s="376">
        <f t="shared" si="19"/>
        <v>91468</v>
      </c>
      <c r="I72" s="376">
        <f t="shared" si="19"/>
        <v>94212</v>
      </c>
      <c r="J72" s="376">
        <f t="shared" si="19"/>
        <v>97038</v>
      </c>
      <c r="K72" s="376">
        <f t="shared" si="19"/>
        <v>99950</v>
      </c>
      <c r="L72" s="376">
        <f t="shared" si="19"/>
        <v>102948</v>
      </c>
      <c r="M72" s="376">
        <f t="shared" si="19"/>
        <v>106036</v>
      </c>
      <c r="N72" s="376">
        <f t="shared" si="19"/>
        <v>109218</v>
      </c>
      <c r="O72" s="376">
        <f t="shared" si="19"/>
        <v>112494</v>
      </c>
      <c r="P72" s="376">
        <f t="shared" si="19"/>
        <v>115868</v>
      </c>
      <c r="Q72" s="376">
        <f t="shared" si="19"/>
        <v>119344</v>
      </c>
      <c r="R72" s="376">
        <f t="shared" si="19"/>
        <v>122924</v>
      </c>
      <c r="S72" s="376">
        <f t="shared" si="19"/>
        <v>126612</v>
      </c>
      <c r="T72" s="376">
        <f t="shared" si="19"/>
        <v>130410</v>
      </c>
      <c r="U72" s="376">
        <f t="shared" si="19"/>
        <v>134322</v>
      </c>
      <c r="V72" s="376">
        <f t="shared" si="19"/>
        <v>138352</v>
      </c>
      <c r="W72" s="376">
        <f t="shared" si="19"/>
        <v>142502</v>
      </c>
      <c r="X72" s="376">
        <f t="shared" si="19"/>
        <v>146778</v>
      </c>
      <c r="Y72" s="376">
        <f t="shared" si="19"/>
        <v>151182</v>
      </c>
      <c r="Z72" s="376">
        <f t="shared" si="19"/>
        <v>155718</v>
      </c>
      <c r="AA72" s="376">
        <f t="shared" si="19"/>
        <v>160390</v>
      </c>
      <c r="AB72" s="376">
        <f t="shared" si="19"/>
        <v>165202</v>
      </c>
      <c r="AC72" s="376">
        <f t="shared" si="19"/>
        <v>170158</v>
      </c>
      <c r="AD72" s="376">
        <f t="shared" si="19"/>
        <v>175262</v>
      </c>
      <c r="AE72" s="376">
        <f t="shared" si="19"/>
        <v>180520</v>
      </c>
      <c r="AF72" s="376">
        <f t="shared" si="19"/>
        <v>185936</v>
      </c>
      <c r="AG72" s="376">
        <f t="shared" si="19"/>
        <v>191514</v>
      </c>
    </row>
    <row r="73" spans="1:35" s="371" customFormat="1" ht="11.85" customHeight="1">
      <c r="A73" s="428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20">C66/($C$22*$C$21)</f>
        <v>7.9679176691414861</v>
      </c>
      <c r="D74" s="379">
        <f t="shared" si="20"/>
        <v>8.2069551992157308</v>
      </c>
      <c r="E74" s="379">
        <f t="shared" si="20"/>
        <v>8.4530753227736568</v>
      </c>
      <c r="F74" s="379">
        <f t="shared" si="20"/>
        <v>8.7067207019079937</v>
      </c>
      <c r="G74" s="379">
        <f t="shared" si="20"/>
        <v>8.9678913366187434</v>
      </c>
      <c r="H74" s="379">
        <f t="shared" si="20"/>
        <v>10.122354074458798</v>
      </c>
      <c r="I74" s="379">
        <f t="shared" si="20"/>
        <v>10.426020270071634</v>
      </c>
      <c r="J74" s="379">
        <f t="shared" si="20"/>
        <v>10.738761038585439</v>
      </c>
      <c r="K74" s="379">
        <f t="shared" si="20"/>
        <v>11.061019042092937</v>
      </c>
      <c r="L74" s="379">
        <f t="shared" si="20"/>
        <v>11.392794280594135</v>
      </c>
      <c r="M74" s="379">
        <f t="shared" si="20"/>
        <v>11.734529416181758</v>
      </c>
      <c r="N74" s="379">
        <f t="shared" si="20"/>
        <v>12.08666711094854</v>
      </c>
      <c r="O74" s="379">
        <f t="shared" si="20"/>
        <v>12.449207364894475</v>
      </c>
      <c r="P74" s="379">
        <f t="shared" si="20"/>
        <v>12.822592840112303</v>
      </c>
      <c r="Q74" s="379">
        <f t="shared" si="20"/>
        <v>13.207266198694743</v>
      </c>
      <c r="R74" s="379">
        <f t="shared" si="20"/>
        <v>13.603448771688168</v>
      </c>
      <c r="S74" s="379">
        <f t="shared" si="20"/>
        <v>14.011583221185303</v>
      </c>
      <c r="T74" s="379">
        <f t="shared" si="20"/>
        <v>14.431890878232515</v>
      </c>
      <c r="U74" s="379">
        <f t="shared" si="20"/>
        <v>14.864814404922537</v>
      </c>
      <c r="V74" s="379">
        <f t="shared" si="20"/>
        <v>15.310796463348096</v>
      </c>
      <c r="W74" s="379">
        <f t="shared" si="20"/>
        <v>15.770058384555556</v>
      </c>
      <c r="X74" s="379">
        <f t="shared" si="20"/>
        <v>16.243264161684017</v>
      </c>
      <c r="Y74" s="379">
        <f t="shared" si="20"/>
        <v>16.730635125779838</v>
      </c>
      <c r="Z74" s="379">
        <f t="shared" si="20"/>
        <v>17.232613938935749</v>
      </c>
      <c r="AA74" s="379">
        <f t="shared" si="20"/>
        <v>17.749643263244486</v>
      </c>
      <c r="AB74" s="379">
        <f t="shared" si="20"/>
        <v>18.282165760798776</v>
      </c>
      <c r="AC74" s="379">
        <f t="shared" si="20"/>
        <v>18.830624093691348</v>
      </c>
      <c r="AD74" s="379">
        <f t="shared" si="20"/>
        <v>19.395460924014934</v>
      </c>
      <c r="AE74" s="379">
        <f t="shared" si="20"/>
        <v>19.977340244908628</v>
      </c>
      <c r="AF74" s="379">
        <f t="shared" si="20"/>
        <v>20.576704718465159</v>
      </c>
      <c r="AG74" s="379">
        <f t="shared" si="20"/>
        <v>21.193997006777259</v>
      </c>
    </row>
    <row r="75" spans="1:35">
      <c r="A75" s="300" t="s">
        <v>321</v>
      </c>
      <c r="B75" s="300" t="s">
        <v>300</v>
      </c>
      <c r="C75" s="379">
        <f t="shared" ref="C75:AG75" si="21">(C67+C68)/($C$22*$C$21)</f>
        <v>20.372510246349201</v>
      </c>
      <c r="D75" s="379">
        <f t="shared" si="21"/>
        <v>22.62638888888889</v>
      </c>
      <c r="E75" s="379">
        <f t="shared" si="21"/>
        <v>23.082048611111112</v>
      </c>
      <c r="F75" s="379">
        <f t="shared" si="21"/>
        <v>23.546899826388891</v>
      </c>
      <c r="G75" s="379">
        <f t="shared" si="21"/>
        <v>24.021128322048611</v>
      </c>
      <c r="H75" s="379">
        <f t="shared" si="21"/>
        <v>24.50492365009983</v>
      </c>
      <c r="I75" s="379">
        <f t="shared" si="21"/>
        <v>24.998479203752321</v>
      </c>
      <c r="J75" s="379">
        <f t="shared" si="21"/>
        <v>25.50199229549413</v>
      </c>
      <c r="K75" s="379">
        <f t="shared" si="21"/>
        <v>26.015664236762444</v>
      </c>
      <c r="L75" s="379">
        <f t="shared" si="21"/>
        <v>26.539700419240084</v>
      </c>
      <c r="M75" s="379">
        <f t="shared" si="21"/>
        <v>27.074310397810837</v>
      </c>
      <c r="N75" s="379">
        <f t="shared" si="21"/>
        <v>27.619707975207653</v>
      </c>
      <c r="O75" s="379">
        <f t="shared" si="21"/>
        <v>28.176111288388423</v>
      </c>
      <c r="P75" s="379">
        <f t="shared" si="21"/>
        <v>28.743742896674718</v>
      </c>
      <c r="Q75" s="379">
        <f t="shared" si="21"/>
        <v>29.322829871689713</v>
      </c>
      <c r="R75" s="379">
        <f t="shared" si="21"/>
        <v>29.913603889132037</v>
      </c>
      <c r="S75" s="379">
        <f t="shared" si="21"/>
        <v>30.516301322423423</v>
      </c>
      <c r="T75" s="379">
        <f t="shared" si="21"/>
        <v>31.131163338268358</v>
      </c>
      <c r="U75" s="379">
        <f t="shared" si="21"/>
        <v>31.758435994165104</v>
      </c>
      <c r="V75" s="379">
        <f t="shared" si="21"/>
        <v>32.398370337908069</v>
      </c>
      <c r="W75" s="379">
        <f t="shared" si="21"/>
        <v>33.051222509122375</v>
      </c>
      <c r="X75" s="379">
        <f t="shared" si="21"/>
        <v>33.717253842872374</v>
      </c>
      <c r="Y75" s="379">
        <f t="shared" si="21"/>
        <v>34.396730975386568</v>
      </c>
      <c r="Z75" s="379">
        <f t="shared" si="21"/>
        <v>35.089925951942455</v>
      </c>
      <c r="AA75" s="379">
        <f t="shared" si="21"/>
        <v>35.797116336955675</v>
      </c>
      <c r="AB75" s="379">
        <f t="shared" si="21"/>
        <v>36.518585326318508</v>
      </c>
      <c r="AC75" s="379">
        <f t="shared" si="21"/>
        <v>37.254621862034199</v>
      </c>
      <c r="AD75" s="379">
        <f t="shared" si="21"/>
        <v>38.005520749193934</v>
      </c>
      <c r="AE75" s="379">
        <f t="shared" si="21"/>
        <v>38.771582775344839</v>
      </c>
      <c r="AF75" s="379">
        <f t="shared" si="21"/>
        <v>39.553114832297943</v>
      </c>
      <c r="AG75" s="379">
        <f t="shared" si="21"/>
        <v>40.350430040426261</v>
      </c>
    </row>
    <row r="76" spans="1:35">
      <c r="A76" s="300" t="s">
        <v>322</v>
      </c>
      <c r="B76" s="300" t="s">
        <v>300</v>
      </c>
      <c r="C76" s="379">
        <f t="shared" ref="C76:AG76" si="22">(C69+C70+C71+C72)/($C$22*$C$21)</f>
        <v>16.472727272727273</v>
      </c>
      <c r="D76" s="379">
        <f t="shared" si="22"/>
        <v>16.934565656565656</v>
      </c>
      <c r="E76" s="379">
        <f t="shared" si="22"/>
        <v>17.414571515151515</v>
      </c>
      <c r="F76" s="379">
        <f t="shared" si="22"/>
        <v>17.913061052525254</v>
      </c>
      <c r="G76" s="379">
        <f t="shared" si="22"/>
        <v>18.430320890686868</v>
      </c>
      <c r="H76" s="379">
        <f t="shared" si="22"/>
        <v>19.047497389264851</v>
      </c>
      <c r="I76" s="379">
        <f t="shared" si="22"/>
        <v>19.605708204617475</v>
      </c>
      <c r="J76" s="379">
        <f t="shared" si="22"/>
        <v>20.18375992743859</v>
      </c>
      <c r="K76" s="379">
        <f t="shared" si="22"/>
        <v>20.782027355139114</v>
      </c>
      <c r="L76" s="379">
        <f t="shared" si="22"/>
        <v>21.410959046213289</v>
      </c>
      <c r="M76" s="379">
        <f t="shared" si="22"/>
        <v>22.060855622010227</v>
      </c>
      <c r="N76" s="379">
        <f t="shared" si="22"/>
        <v>22.732132937928021</v>
      </c>
      <c r="O76" s="379">
        <f t="shared" si="22"/>
        <v>23.435282246079765</v>
      </c>
      <c r="P76" s="379">
        <f t="shared" si="22"/>
        <v>24.160648562423528</v>
      </c>
      <c r="Q76" s="379">
        <f t="shared" si="22"/>
        <v>24.918794916029483</v>
      </c>
      <c r="R76" s="379">
        <f t="shared" si="22"/>
        <v>25.700078744052373</v>
      </c>
      <c r="S76" s="379">
        <f t="shared" si="22"/>
        <v>26.515096999045355</v>
      </c>
      <c r="T76" s="379">
        <f t="shared" si="22"/>
        <v>27.364343403977234</v>
      </c>
      <c r="U76" s="379">
        <f t="shared" si="22"/>
        <v>28.248350583285379</v>
      </c>
      <c r="V76" s="379">
        <f t="shared" si="22"/>
        <v>29.167670606419566</v>
      </c>
      <c r="W76" s="379">
        <f t="shared" si="22"/>
        <v>30.122855561184217</v>
      </c>
      <c r="X76" s="379">
        <f t="shared" si="22"/>
        <v>31.114518966151604</v>
      </c>
      <c r="Y76" s="379">
        <f t="shared" si="22"/>
        <v>32.143255801163093</v>
      </c>
      <c r="Z76" s="379">
        <f t="shared" si="22"/>
        <v>33.209703985490208</v>
      </c>
      <c r="AA76" s="379">
        <f t="shared" si="22"/>
        <v>34.324626092874823</v>
      </c>
      <c r="AB76" s="379">
        <f t="shared" si="22"/>
        <v>35.478607264438523</v>
      </c>
      <c r="AC76" s="379">
        <f t="shared" si="22"/>
        <v>36.682460230001844</v>
      </c>
      <c r="AD76" s="379">
        <f t="shared" si="22"/>
        <v>37.926822287806232</v>
      </c>
      <c r="AE76" s="379">
        <f t="shared" si="22"/>
        <v>39.222580607843177</v>
      </c>
      <c r="AF76" s="379">
        <f t="shared" si="22"/>
        <v>40.570529900825449</v>
      </c>
      <c r="AG76" s="379">
        <f t="shared" si="22"/>
        <v>41.971494777728843</v>
      </c>
    </row>
    <row r="77" spans="1:35">
      <c r="A77" s="300" t="s">
        <v>310</v>
      </c>
      <c r="B77" s="300" t="s">
        <v>300</v>
      </c>
      <c r="C77" s="379">
        <f t="shared" ref="C77:AG77" si="23">C64/($C$22*$C$21*7)</f>
        <v>2.8571428571428577</v>
      </c>
      <c r="D77" s="379">
        <f t="shared" si="23"/>
        <v>2.9428571428571431</v>
      </c>
      <c r="E77" s="379">
        <f t="shared" si="23"/>
        <v>3.0311111111111111</v>
      </c>
      <c r="F77" s="379">
        <f t="shared" si="23"/>
        <v>3.122063492063492</v>
      </c>
      <c r="G77" s="379">
        <f t="shared" si="23"/>
        <v>3.2157142857142857</v>
      </c>
      <c r="H77" s="379">
        <f t="shared" si="23"/>
        <v>3.6296825396825398</v>
      </c>
      <c r="I77" s="379">
        <f t="shared" si="23"/>
        <v>3.7385714285714284</v>
      </c>
      <c r="J77" s="379">
        <f t="shared" si="23"/>
        <v>3.8507142857142855</v>
      </c>
      <c r="K77" s="379">
        <f t="shared" si="23"/>
        <v>3.9662698412698414</v>
      </c>
      <c r="L77" s="379">
        <f t="shared" si="23"/>
        <v>4.0852380952380951</v>
      </c>
      <c r="M77" s="379">
        <f t="shared" si="23"/>
        <v>4.2077777777777783</v>
      </c>
      <c r="N77" s="379">
        <f t="shared" si="23"/>
        <v>3.5460389610389615</v>
      </c>
      <c r="O77" s="379">
        <f t="shared" si="23"/>
        <v>3.652402597402598</v>
      </c>
      <c r="P77" s="379">
        <f t="shared" si="23"/>
        <v>3.7619480519480528</v>
      </c>
      <c r="Q77" s="379">
        <f t="shared" si="23"/>
        <v>3.8748051948051954</v>
      </c>
      <c r="R77" s="379">
        <f t="shared" si="23"/>
        <v>3.9910389610389618</v>
      </c>
      <c r="S77" s="379">
        <f t="shared" si="23"/>
        <v>4.1107792207792215</v>
      </c>
      <c r="T77" s="379">
        <f t="shared" si="23"/>
        <v>4.2340909090909093</v>
      </c>
      <c r="U77" s="379">
        <f t="shared" si="23"/>
        <v>4.3611038961038968</v>
      </c>
      <c r="V77" s="379">
        <f t="shared" si="23"/>
        <v>4.4919480519480528</v>
      </c>
      <c r="W77" s="379">
        <f t="shared" si="23"/>
        <v>4.6266883116883122</v>
      </c>
      <c r="X77" s="379">
        <f t="shared" si="23"/>
        <v>3.706515151515152</v>
      </c>
      <c r="Y77" s="379">
        <f t="shared" si="23"/>
        <v>3.8177272727272733</v>
      </c>
      <c r="Z77" s="379">
        <f t="shared" si="23"/>
        <v>3.932272727272728</v>
      </c>
      <c r="AA77" s="379">
        <f t="shared" si="23"/>
        <v>4.0502525252525263</v>
      </c>
      <c r="AB77" s="379">
        <f t="shared" si="23"/>
        <v>4.1717676767676775</v>
      </c>
      <c r="AC77" s="379">
        <f t="shared" si="23"/>
        <v>4.2969191919191925</v>
      </c>
      <c r="AD77" s="379">
        <f t="shared" si="23"/>
        <v>4.4258080808080811</v>
      </c>
      <c r="AE77" s="379">
        <f t="shared" si="23"/>
        <v>4.5585858585858592</v>
      </c>
      <c r="AF77" s="379">
        <f t="shared" si="23"/>
        <v>4.6953535353535356</v>
      </c>
      <c r="AG77" s="379">
        <f t="shared" si="23"/>
        <v>4.8362121212121219</v>
      </c>
    </row>
    <row r="78" spans="1:35" s="352" customFormat="1">
      <c r="A78" s="380" t="s">
        <v>323</v>
      </c>
      <c r="B78" s="352" t="s">
        <v>300</v>
      </c>
      <c r="C78" s="429">
        <f>SUM(C74:C76)-C77</f>
        <v>41.956012331075101</v>
      </c>
      <c r="D78" s="429">
        <f t="shared" ref="D78:AG78" si="24">SUM(D74:D76)-D77</f>
        <v>44.825052601813134</v>
      </c>
      <c r="E78" s="429">
        <f t="shared" si="24"/>
        <v>45.918584337925175</v>
      </c>
      <c r="F78" s="429">
        <f t="shared" si="24"/>
        <v>47.044618088758654</v>
      </c>
      <c r="G78" s="429">
        <f t="shared" si="24"/>
        <v>48.203626263639933</v>
      </c>
      <c r="H78" s="429">
        <f t="shared" si="24"/>
        <v>50.045092574140931</v>
      </c>
      <c r="I78" s="429">
        <f t="shared" si="24"/>
        <v>51.291636249870002</v>
      </c>
      <c r="J78" s="429">
        <f t="shared" si="24"/>
        <v>52.573798975803875</v>
      </c>
      <c r="K78" s="429">
        <f t="shared" si="24"/>
        <v>53.892440792724656</v>
      </c>
      <c r="L78" s="429">
        <f t="shared" si="24"/>
        <v>55.258215650809419</v>
      </c>
      <c r="M78" s="429">
        <f t="shared" si="24"/>
        <v>56.661917658225036</v>
      </c>
      <c r="N78" s="429">
        <f t="shared" si="24"/>
        <v>58.892469063045255</v>
      </c>
      <c r="O78" s="429">
        <f t="shared" si="24"/>
        <v>60.40819830196007</v>
      </c>
      <c r="P78" s="429">
        <f t="shared" si="24"/>
        <v>61.965036247262503</v>
      </c>
      <c r="Q78" s="429">
        <f t="shared" si="24"/>
        <v>63.574085791608745</v>
      </c>
      <c r="R78" s="429">
        <f t="shared" si="24"/>
        <v>65.226092443833608</v>
      </c>
      <c r="S78" s="429">
        <f t="shared" si="24"/>
        <v>66.932202321874854</v>
      </c>
      <c r="T78" s="429">
        <f t="shared" si="24"/>
        <v>68.693306711387194</v>
      </c>
      <c r="U78" s="429">
        <f t="shared" si="24"/>
        <v>70.510497086269126</v>
      </c>
      <c r="V78" s="429">
        <f t="shared" si="24"/>
        <v>72.38488935572768</v>
      </c>
      <c r="W78" s="429">
        <f t="shared" si="24"/>
        <v>74.317448143173834</v>
      </c>
      <c r="X78" s="429">
        <f t="shared" si="24"/>
        <v>77.36852181919285</v>
      </c>
      <c r="Y78" s="429">
        <f t="shared" si="24"/>
        <v>79.452894629602227</v>
      </c>
      <c r="Z78" s="429">
        <f t="shared" si="24"/>
        <v>81.59997114909568</v>
      </c>
      <c r="AA78" s="429">
        <f t="shared" si="24"/>
        <v>83.821133167822452</v>
      </c>
      <c r="AB78" s="429">
        <f t="shared" si="24"/>
        <v>86.107590674788128</v>
      </c>
      <c r="AC78" s="429">
        <f t="shared" si="24"/>
        <v>88.470786993808204</v>
      </c>
      <c r="AD78" s="429">
        <f t="shared" si="24"/>
        <v>90.901995880207011</v>
      </c>
      <c r="AE78" s="429">
        <f t="shared" si="24"/>
        <v>93.412917769510798</v>
      </c>
      <c r="AF78" s="429">
        <f t="shared" si="24"/>
        <v>96.004995916235018</v>
      </c>
      <c r="AG78" s="429">
        <f t="shared" si="24"/>
        <v>98.679709703720235</v>
      </c>
    </row>
    <row r="79" spans="1:35" s="344" customFormat="1">
      <c r="A79" s="342" t="s">
        <v>179</v>
      </c>
      <c r="B79" s="342"/>
      <c r="H79" s="430">
        <f>H81/K58</f>
        <v>625237.68667958421</v>
      </c>
      <c r="AB79" s="430">
        <f>AB81/AE58</f>
        <v>698623.95871345641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" si="25">D80+1</f>
        <v>2027</v>
      </c>
      <c r="F80" s="360">
        <f t="shared" ref="F80" si="26">E80+1</f>
        <v>2028</v>
      </c>
      <c r="G80" s="360">
        <f t="shared" ref="G80" si="27">F80+1</f>
        <v>2029</v>
      </c>
      <c r="H80" s="360">
        <f t="shared" ref="H80" si="28">G80+1</f>
        <v>2030</v>
      </c>
      <c r="I80" s="360">
        <f t="shared" ref="I80" si="29">H80+1</f>
        <v>2031</v>
      </c>
      <c r="J80" s="360">
        <f t="shared" ref="J80" si="30">I80+1</f>
        <v>2032</v>
      </c>
      <c r="K80" s="360">
        <f t="shared" ref="K80" si="31">J80+1</f>
        <v>2033</v>
      </c>
      <c r="L80" s="360">
        <f t="shared" ref="L80" si="32">K80+1</f>
        <v>2034</v>
      </c>
      <c r="M80" s="360">
        <f t="shared" ref="M80" si="33">L80+1</f>
        <v>2035</v>
      </c>
      <c r="N80" s="360">
        <f t="shared" ref="N80" si="34">M80+1</f>
        <v>2036</v>
      </c>
      <c r="O80" s="360">
        <f t="shared" ref="O80" si="35">N80+1</f>
        <v>2037</v>
      </c>
      <c r="P80" s="360">
        <f t="shared" ref="P80" si="36">O80+1</f>
        <v>2038</v>
      </c>
      <c r="Q80" s="360">
        <f t="shared" ref="Q80" si="37">P80+1</f>
        <v>2039</v>
      </c>
      <c r="R80" s="360">
        <f t="shared" ref="R80" si="38">Q80+1</f>
        <v>2040</v>
      </c>
      <c r="S80" s="360">
        <f t="shared" ref="S80" si="39">R80+1</f>
        <v>2041</v>
      </c>
      <c r="T80" s="360">
        <f t="shared" ref="T80" si="40">S80+1</f>
        <v>2042</v>
      </c>
      <c r="U80" s="360">
        <f t="shared" ref="U80" si="41">T80+1</f>
        <v>2043</v>
      </c>
      <c r="V80" s="360">
        <f t="shared" ref="V80" si="42">U80+1</f>
        <v>2044</v>
      </c>
      <c r="W80" s="360">
        <f t="shared" ref="W80" si="43">V80+1</f>
        <v>2045</v>
      </c>
      <c r="X80" s="360">
        <f t="shared" ref="X80" si="44">W80+1</f>
        <v>2046</v>
      </c>
      <c r="Y80" s="360">
        <f t="shared" ref="Y80" si="45">X80+1</f>
        <v>2047</v>
      </c>
      <c r="Z80" s="360">
        <f t="shared" ref="Z80" si="46">Y80+1</f>
        <v>2048</v>
      </c>
      <c r="AA80" s="360">
        <f t="shared" ref="AA80" si="47">Z80+1</f>
        <v>2049</v>
      </c>
      <c r="AB80" s="360">
        <f t="shared" ref="AB80" si="48">AA80+1</f>
        <v>2050</v>
      </c>
      <c r="AC80" s="360">
        <f t="shared" ref="AC80" si="49">AB80+1</f>
        <v>2051</v>
      </c>
      <c r="AD80" s="360">
        <f t="shared" ref="AD80" si="50">AC80+1</f>
        <v>2052</v>
      </c>
      <c r="AE80" s="360">
        <f t="shared" ref="AE80" si="51">AD80+1</f>
        <v>2053</v>
      </c>
      <c r="AF80" s="360">
        <f t="shared" ref="AF80" si="52">AE80+1</f>
        <v>2054</v>
      </c>
      <c r="AG80" s="360">
        <f t="shared" ref="AG80" si="53">AF80+1</f>
        <v>2055</v>
      </c>
    </row>
    <row r="81" spans="1:34">
      <c r="A81" s="300" t="s">
        <v>324</v>
      </c>
      <c r="B81" s="300" t="s">
        <v>309</v>
      </c>
      <c r="C81" s="376">
        <f>'Changing with year'!C94</f>
        <v>3850000</v>
      </c>
      <c r="D81" s="376">
        <f>ROUND(('Changing with year'!D94)/1000,0)*1000</f>
        <v>3966000</v>
      </c>
      <c r="E81" s="376">
        <f>ROUND(('Changing with year'!E94)/1000,0)*1000</f>
        <v>4084000</v>
      </c>
      <c r="F81" s="376">
        <f>ROUND(('Changing with year'!F94)/1000,0)*1000</f>
        <v>4207000</v>
      </c>
      <c r="G81" s="376">
        <f>ROUND(('Changing with year'!G94)/1000,0)*1000</f>
        <v>4333000</v>
      </c>
      <c r="H81" s="376">
        <f>ROUND(('Changing with year'!H94)/1000,0)*1000</f>
        <v>4863000</v>
      </c>
      <c r="I81" s="376">
        <f>ROUND(('Changing with year'!I94)/1000,0)*1000</f>
        <v>5009000</v>
      </c>
      <c r="J81" s="376">
        <f>ROUND(('Changing with year'!J94)/1000,0)*1000</f>
        <v>5159000</v>
      </c>
      <c r="K81" s="376">
        <f>ROUND(('Changing with year'!K94)/1000,0)*1000</f>
        <v>5314000</v>
      </c>
      <c r="L81" s="376">
        <f>ROUND(('Changing with year'!L94)/1000,0)*1000</f>
        <v>5474000</v>
      </c>
      <c r="M81" s="376">
        <f>ROUND(('Changing with year'!M94)/1000,0)*1000</f>
        <v>5638000</v>
      </c>
      <c r="N81" s="376">
        <f>ROUND(('Changing with year'!N94)/1000,0)*1000</f>
        <v>5807000</v>
      </c>
      <c r="O81" s="376">
        <f>ROUND(('Changing with year'!O94)/1000,0)*1000</f>
        <v>5981000</v>
      </c>
      <c r="P81" s="376">
        <f>ROUND(('Changing with year'!P94)/1000,0)*1000</f>
        <v>6161000</v>
      </c>
      <c r="Q81" s="376">
        <f>ROUND(('Changing with year'!Q94)/1000,0)*1000</f>
        <v>6345000</v>
      </c>
      <c r="R81" s="376">
        <f>ROUND(('Changing with year'!R94)/1000,0)*1000</f>
        <v>6536000</v>
      </c>
      <c r="S81" s="376">
        <f>ROUND(('Changing with year'!S94)/1000,0)*1000</f>
        <v>6732000</v>
      </c>
      <c r="T81" s="376">
        <f>ROUND(('Changing with year'!T94)/1000,0)*1000</f>
        <v>6934000</v>
      </c>
      <c r="U81" s="376">
        <f>ROUND(('Changing with year'!U94)/1000,0)*1000</f>
        <v>7142000</v>
      </c>
      <c r="V81" s="376">
        <f>ROUND(('Changing with year'!V94)/1000,0)*1000</f>
        <v>7356000</v>
      </c>
      <c r="W81" s="376">
        <f>ROUND(('Changing with year'!W94)/1000,0)*1000</f>
        <v>7577000</v>
      </c>
      <c r="X81" s="376">
        <f>ROUND(('Changing with year'!X94)/1000,0)*1000</f>
        <v>7804000</v>
      </c>
      <c r="Y81" s="376">
        <f>ROUND(('Changing with year'!Y94)/1000,0)*1000</f>
        <v>8038000</v>
      </c>
      <c r="Z81" s="376">
        <f>ROUND(('Changing with year'!Z94)/1000,0)*1000</f>
        <v>8279000</v>
      </c>
      <c r="AA81" s="376">
        <f>ROUND(('Changing with year'!AA94)/1000,0)*1000</f>
        <v>8528000</v>
      </c>
      <c r="AB81" s="376">
        <f>ROUND(('Changing with year'!AB94)/1000,0)*1000</f>
        <v>8783000</v>
      </c>
      <c r="AC81" s="376">
        <f>ROUND(('Changing with year'!AC94)/1000,0)*1000</f>
        <v>9047000</v>
      </c>
      <c r="AD81" s="376">
        <f>ROUND(('Changing with year'!AD94)/1000,0)*1000</f>
        <v>9318000</v>
      </c>
      <c r="AE81" s="376">
        <f>ROUND(('Changing with year'!AE94)/1000,0)*1000</f>
        <v>9598000</v>
      </c>
      <c r="AF81" s="376">
        <f>ROUND(('Changing with year'!AF94)/1000,0)*1000</f>
        <v>9886000</v>
      </c>
      <c r="AG81" s="376">
        <f>ROUND(('Changing with year'!AG94)/1000,0)*1000</f>
        <v>10182000</v>
      </c>
    </row>
    <row r="82" spans="1:34">
      <c r="A82" s="300" t="s">
        <v>310</v>
      </c>
      <c r="B82" s="300" t="s">
        <v>309</v>
      </c>
      <c r="C82" s="376">
        <f>(C81*'No change with year'!$AB$6)</f>
        <v>1925000</v>
      </c>
      <c r="D82" s="376">
        <f>(D81*'No change with year'!$AB$6)</f>
        <v>1983000</v>
      </c>
      <c r="E82" s="376">
        <f>(E81*'No change with year'!$AB$6)</f>
        <v>2042000</v>
      </c>
      <c r="F82" s="376">
        <f>(F81*'No change with year'!$AB$6)</f>
        <v>2103500</v>
      </c>
      <c r="G82" s="376">
        <f>(G81*'No change with year'!$AB$6)</f>
        <v>2166500</v>
      </c>
      <c r="H82" s="376">
        <f>(H81*'No change with year'!$AB$6)</f>
        <v>2431500</v>
      </c>
      <c r="I82" s="376">
        <f>(I81*'No change with year'!$AB$6)</f>
        <v>2504500</v>
      </c>
      <c r="J82" s="376">
        <f>(J81*'No change with year'!$AB$6)</f>
        <v>2579500</v>
      </c>
      <c r="K82" s="376">
        <f>(K81*'No change with year'!$AB$6)</f>
        <v>2657000</v>
      </c>
      <c r="L82" s="376">
        <f>(L81*'No change with year'!$AB$6)</f>
        <v>2737000</v>
      </c>
      <c r="M82" s="376">
        <f>(M81*'No change with year'!$AB$6)</f>
        <v>2819000</v>
      </c>
      <c r="N82" s="376">
        <f>(N81*'No change with year'!$AC$6)</f>
        <v>2322800.0000000005</v>
      </c>
      <c r="O82" s="376">
        <f>(O81*'No change with year'!$AC$6)</f>
        <v>2392400.0000000005</v>
      </c>
      <c r="P82" s="376">
        <f>(P81*'No change with year'!$AC$6)</f>
        <v>2464400.0000000005</v>
      </c>
      <c r="Q82" s="376">
        <f>(Q81*'No change with year'!$AC$6)</f>
        <v>2538000.0000000005</v>
      </c>
      <c r="R82" s="376">
        <f>(R81*'No change with year'!$AC$6)</f>
        <v>2614400.0000000005</v>
      </c>
      <c r="S82" s="376">
        <f>(S81*'No change with year'!$AC$6)</f>
        <v>2692800.0000000005</v>
      </c>
      <c r="T82" s="376">
        <f>(T81*'No change with year'!$AC$6)</f>
        <v>2773600.0000000005</v>
      </c>
      <c r="U82" s="376">
        <f>(U81*'No change with year'!$AC$6)</f>
        <v>2856800.0000000005</v>
      </c>
      <c r="V82" s="376">
        <f>(V81*'No change with year'!$AC$6)</f>
        <v>2942400.0000000005</v>
      </c>
      <c r="W82" s="376">
        <f>(W81*'No change with year'!$AC$6)</f>
        <v>3030800.0000000005</v>
      </c>
      <c r="X82" s="376">
        <f>(X81*'No change with year'!$AD$6)</f>
        <v>2341200.0000000005</v>
      </c>
      <c r="Y82" s="376">
        <f>(Y81*'No change with year'!$AD$6)</f>
        <v>2411400.0000000005</v>
      </c>
      <c r="Z82" s="376">
        <f>(Z81*'No change with year'!$AD$6)</f>
        <v>2483700.0000000005</v>
      </c>
      <c r="AA82" s="376">
        <f>(AA81*'No change with year'!$AD$6)</f>
        <v>2558400.0000000005</v>
      </c>
      <c r="AB82" s="376">
        <f>(AB81*'No change with year'!$AD$6)</f>
        <v>2634900.0000000005</v>
      </c>
      <c r="AC82" s="376">
        <f>(AC81*'No change with year'!$AD$6)</f>
        <v>2714100.0000000005</v>
      </c>
      <c r="AD82" s="376">
        <f>(AD81*'No change with year'!$AD$6)</f>
        <v>2795400.0000000005</v>
      </c>
      <c r="AE82" s="376">
        <f>(AE81*'No change with year'!$AD$6)</f>
        <v>2879400.0000000005</v>
      </c>
      <c r="AF82" s="376">
        <f>(AF81*'No change with year'!$AD$6)</f>
        <v>2965800.0000000005</v>
      </c>
      <c r="AG82" s="376">
        <f>(AG81*'No change with year'!$AD$6)</f>
        <v>3054600.0000000005</v>
      </c>
    </row>
    <row r="83" spans="1:34" s="371" customFormat="1" ht="11.85" customHeight="1">
      <c r="A83" s="428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00" t="s">
        <v>312</v>
      </c>
      <c r="B84" s="300" t="s">
        <v>313</v>
      </c>
      <c r="C84" s="376">
        <f t="shared" ref="C84:AG84" si="54">-PMT($C$26,$C$25,C81)</f>
        <v>843603.28322035482</v>
      </c>
      <c r="D84" s="376">
        <f t="shared" si="54"/>
        <v>869020.94058491627</v>
      </c>
      <c r="E84" s="376">
        <f t="shared" si="54"/>
        <v>894876.83342128026</v>
      </c>
      <c r="F84" s="376">
        <f t="shared" si="54"/>
        <v>921828.3149371515</v>
      </c>
      <c r="G84" s="376">
        <f t="shared" si="54"/>
        <v>949437.14966072666</v>
      </c>
      <c r="H84" s="376">
        <f t="shared" si="54"/>
        <v>1065569.5496884638</v>
      </c>
      <c r="I84" s="376">
        <f t="shared" si="54"/>
        <v>1097560.7391300667</v>
      </c>
      <c r="J84" s="376">
        <f t="shared" si="54"/>
        <v>1130428.3995152756</v>
      </c>
      <c r="K84" s="376">
        <f t="shared" si="54"/>
        <v>1164391.6485799912</v>
      </c>
      <c r="L84" s="376">
        <f t="shared" si="54"/>
        <v>1199450.4863242134</v>
      </c>
      <c r="M84" s="376">
        <f t="shared" si="54"/>
        <v>1235385.7950120417</v>
      </c>
      <c r="N84" s="376">
        <f t="shared" si="54"/>
        <v>1272416.6923793769</v>
      </c>
      <c r="O84" s="376">
        <f t="shared" si="54"/>
        <v>1310543.1784262189</v>
      </c>
      <c r="P84" s="376">
        <f t="shared" si="54"/>
        <v>1349984.3708884693</v>
      </c>
      <c r="Q84" s="376">
        <f t="shared" si="54"/>
        <v>1390302.0342943249</v>
      </c>
      <c r="R84" s="376">
        <f t="shared" si="54"/>
        <v>1432153.5218514907</v>
      </c>
      <c r="S84" s="376">
        <f t="shared" si="54"/>
        <v>1475100.5980881634</v>
      </c>
      <c r="T84" s="376">
        <f t="shared" si="54"/>
        <v>1519362.3807402444</v>
      </c>
      <c r="U84" s="376">
        <f t="shared" si="54"/>
        <v>1564938.8698077337</v>
      </c>
      <c r="V84" s="376">
        <f t="shared" si="54"/>
        <v>1611830.0652906313</v>
      </c>
      <c r="W84" s="376">
        <f t="shared" si="54"/>
        <v>1660255.0849248385</v>
      </c>
      <c r="X84" s="376">
        <f t="shared" si="54"/>
        <v>1709994.8109744543</v>
      </c>
      <c r="Y84" s="376">
        <f t="shared" si="54"/>
        <v>1761268.3611753797</v>
      </c>
      <c r="Z84" s="376">
        <f t="shared" si="54"/>
        <v>1814075.7355276151</v>
      </c>
      <c r="AA84" s="376">
        <f t="shared" si="54"/>
        <v>1868636.0517670615</v>
      </c>
      <c r="AB84" s="376">
        <f t="shared" si="54"/>
        <v>1924511.0744219162</v>
      </c>
      <c r="AC84" s="376">
        <f t="shared" si="54"/>
        <v>1982358.1566998831</v>
      </c>
      <c r="AD84" s="376">
        <f t="shared" si="54"/>
        <v>2041739.0631291603</v>
      </c>
      <c r="AE84" s="376">
        <f t="shared" si="54"/>
        <v>2103092.0291815493</v>
      </c>
      <c r="AF84" s="376">
        <f t="shared" si="54"/>
        <v>2166197.9371211501</v>
      </c>
      <c r="AG84" s="376">
        <f t="shared" si="54"/>
        <v>2231056.7869479619</v>
      </c>
    </row>
    <row r="85" spans="1:34">
      <c r="A85" s="300" t="s">
        <v>321</v>
      </c>
      <c r="B85" s="300" t="s">
        <v>309</v>
      </c>
      <c r="C85" s="376">
        <f t="shared" ref="C85:AG85" si="55">C43*$D$37</f>
        <v>1794375</v>
      </c>
      <c r="D85" s="376">
        <f t="shared" si="55"/>
        <v>1887187.5</v>
      </c>
      <c r="E85" s="376">
        <f t="shared" si="55"/>
        <v>1943803.125</v>
      </c>
      <c r="F85" s="376">
        <f t="shared" si="55"/>
        <v>2002117.21875</v>
      </c>
      <c r="G85" s="376">
        <f t="shared" si="55"/>
        <v>2062180.7353125</v>
      </c>
      <c r="H85" s="376">
        <f t="shared" si="55"/>
        <v>2124046.1573718749</v>
      </c>
      <c r="I85" s="376">
        <f t="shared" si="55"/>
        <v>2187767.5420930311</v>
      </c>
      <c r="J85" s="376">
        <f t="shared" si="55"/>
        <v>2253400.5683558225</v>
      </c>
      <c r="K85" s="376">
        <f t="shared" si="55"/>
        <v>2321002.5854064971</v>
      </c>
      <c r="L85" s="376">
        <f t="shared" si="55"/>
        <v>2390632.6629686919</v>
      </c>
      <c r="M85" s="376">
        <f t="shared" si="55"/>
        <v>2462351.6428577527</v>
      </c>
      <c r="N85" s="376">
        <f t="shared" si="55"/>
        <v>2536222.1921434854</v>
      </c>
      <c r="O85" s="376">
        <f t="shared" si="55"/>
        <v>2612308.8579077898</v>
      </c>
      <c r="P85" s="376">
        <f t="shared" si="55"/>
        <v>2690678.1236450234</v>
      </c>
      <c r="Q85" s="376">
        <f t="shared" si="55"/>
        <v>2771398.467354374</v>
      </c>
      <c r="R85" s="376">
        <f t="shared" si="55"/>
        <v>2854540.4213750055</v>
      </c>
      <c r="S85" s="376">
        <f t="shared" si="55"/>
        <v>2940176.6340162554</v>
      </c>
      <c r="T85" s="376">
        <f t="shared" si="55"/>
        <v>3028381.9330367432</v>
      </c>
      <c r="U85" s="376">
        <f t="shared" si="55"/>
        <v>3119233.3910278454</v>
      </c>
      <c r="V85" s="376">
        <f t="shared" si="55"/>
        <v>3212810.392758681</v>
      </c>
      <c r="W85" s="376">
        <f t="shared" si="55"/>
        <v>3309194.7045414415</v>
      </c>
      <c r="X85" s="376">
        <f t="shared" si="55"/>
        <v>3408470.5456776842</v>
      </c>
      <c r="Y85" s="376">
        <f t="shared" si="55"/>
        <v>3510724.6620480148</v>
      </c>
      <c r="Z85" s="376">
        <f t="shared" si="55"/>
        <v>3616046.4019094552</v>
      </c>
      <c r="AA85" s="376">
        <f t="shared" si="55"/>
        <v>3724527.793966739</v>
      </c>
      <c r="AB85" s="376">
        <f t="shared" si="55"/>
        <v>3836263.6277857409</v>
      </c>
      <c r="AC85" s="376">
        <f t="shared" si="55"/>
        <v>3951351.5366193135</v>
      </c>
      <c r="AD85" s="376">
        <f t="shared" si="55"/>
        <v>4069892.0827178932</v>
      </c>
      <c r="AE85" s="376">
        <f t="shared" si="55"/>
        <v>4191988.8451994299</v>
      </c>
      <c r="AF85" s="376">
        <f t="shared" si="55"/>
        <v>4317748.5105554126</v>
      </c>
      <c r="AG85" s="376">
        <f t="shared" si="55"/>
        <v>4447280.9658720754</v>
      </c>
    </row>
    <row r="86" spans="1:34">
      <c r="A86" s="300" t="s">
        <v>317</v>
      </c>
      <c r="B86" s="300" t="s">
        <v>309</v>
      </c>
      <c r="C86" s="376">
        <f t="shared" ref="C86:AG86" si="56">C56*$C$21*$C$22</f>
        <v>465300</v>
      </c>
      <c r="D86" s="376">
        <f t="shared" si="56"/>
        <v>483912.00000000006</v>
      </c>
      <c r="E86" s="376">
        <f t="shared" si="56"/>
        <v>503268.4800000001</v>
      </c>
      <c r="F86" s="376">
        <f t="shared" si="56"/>
        <v>523399.21920000011</v>
      </c>
      <c r="G86" s="376">
        <f t="shared" si="56"/>
        <v>544335.18796800019</v>
      </c>
      <c r="H86" s="376">
        <f t="shared" si="56"/>
        <v>566108.59548672021</v>
      </c>
      <c r="I86" s="376">
        <f t="shared" si="56"/>
        <v>588752.93930618896</v>
      </c>
      <c r="J86" s="376">
        <f t="shared" si="56"/>
        <v>612303.05687843659</v>
      </c>
      <c r="K86" s="376">
        <f t="shared" si="56"/>
        <v>636795.17915357416</v>
      </c>
      <c r="L86" s="376">
        <f t="shared" si="56"/>
        <v>662266.98631971714</v>
      </c>
      <c r="M86" s="376">
        <f t="shared" si="56"/>
        <v>688757.6657725058</v>
      </c>
      <c r="N86" s="376">
        <f t="shared" si="56"/>
        <v>716307.97240340605</v>
      </c>
      <c r="O86" s="376">
        <f t="shared" si="56"/>
        <v>744960.2912995423</v>
      </c>
      <c r="P86" s="376">
        <f t="shared" si="56"/>
        <v>774758.70295152406</v>
      </c>
      <c r="Q86" s="376">
        <f t="shared" si="56"/>
        <v>805749.05106958502</v>
      </c>
      <c r="R86" s="376">
        <f t="shared" si="56"/>
        <v>837979.01311236841</v>
      </c>
      <c r="S86" s="376">
        <f t="shared" si="56"/>
        <v>871498.17363686312</v>
      </c>
      <c r="T86" s="376">
        <f t="shared" si="56"/>
        <v>906358.10058233771</v>
      </c>
      <c r="U86" s="376">
        <f t="shared" si="56"/>
        <v>942612.42460563127</v>
      </c>
      <c r="V86" s="376">
        <f t="shared" si="56"/>
        <v>980316.92158985639</v>
      </c>
      <c r="W86" s="376">
        <f t="shared" si="56"/>
        <v>1019529.5984534506</v>
      </c>
      <c r="X86" s="376">
        <f t="shared" si="56"/>
        <v>1060310.7823915889</v>
      </c>
      <c r="Y86" s="376">
        <f t="shared" si="56"/>
        <v>1102723.2136872525</v>
      </c>
      <c r="Z86" s="376">
        <f t="shared" si="56"/>
        <v>1146832.1422347426</v>
      </c>
      <c r="AA86" s="376">
        <f t="shared" si="56"/>
        <v>1192705.4279241322</v>
      </c>
      <c r="AB86" s="376">
        <f t="shared" si="56"/>
        <v>1240413.6450410977</v>
      </c>
      <c r="AC86" s="376">
        <f t="shared" si="56"/>
        <v>1290030.1908427416</v>
      </c>
      <c r="AD86" s="376">
        <f t="shared" si="56"/>
        <v>1341631.3984764514</v>
      </c>
      <c r="AE86" s="376">
        <f t="shared" si="56"/>
        <v>1395296.6544155094</v>
      </c>
      <c r="AF86" s="376">
        <f t="shared" si="56"/>
        <v>1451108.52059213</v>
      </c>
      <c r="AG86" s="376">
        <f t="shared" si="56"/>
        <v>1509152.8614158151</v>
      </c>
    </row>
    <row r="87" spans="1:34">
      <c r="A87" s="300" t="s">
        <v>318</v>
      </c>
      <c r="B87" s="300" t="s">
        <v>313</v>
      </c>
      <c r="C87" s="376">
        <f>'Changing with year'!C289</f>
        <v>450000</v>
      </c>
      <c r="D87" s="376">
        <f>'Changing with year'!D289</f>
        <v>470000</v>
      </c>
      <c r="E87" s="376">
        <f>'Changing with year'!E289</f>
        <v>491000</v>
      </c>
      <c r="F87" s="376">
        <f>'Changing with year'!F289</f>
        <v>513000</v>
      </c>
      <c r="G87" s="376">
        <f>'Changing with year'!G289</f>
        <v>536000</v>
      </c>
      <c r="H87" s="376">
        <f>'Changing with year'!H289</f>
        <v>560000</v>
      </c>
      <c r="I87" s="376">
        <f>'Changing with year'!I289</f>
        <v>585000</v>
      </c>
      <c r="J87" s="376">
        <f>'Changing with year'!J289</f>
        <v>611000</v>
      </c>
      <c r="K87" s="376">
        <f>'Changing with year'!K289</f>
        <v>638000</v>
      </c>
      <c r="L87" s="376">
        <f>'Changing with year'!L289</f>
        <v>667000</v>
      </c>
      <c r="M87" s="376">
        <f>'Changing with year'!M289</f>
        <v>697000</v>
      </c>
      <c r="N87" s="376">
        <f>'Changing with year'!N289</f>
        <v>728000</v>
      </c>
      <c r="O87" s="376">
        <f>'Changing with year'!O289</f>
        <v>761000</v>
      </c>
      <c r="P87" s="376">
        <f>'Changing with year'!P289</f>
        <v>795000</v>
      </c>
      <c r="Q87" s="376">
        <f>'Changing with year'!Q289</f>
        <v>831000</v>
      </c>
      <c r="R87" s="376">
        <f>'Changing with year'!R289</f>
        <v>868000</v>
      </c>
      <c r="S87" s="376">
        <f>'Changing with year'!S289</f>
        <v>907000</v>
      </c>
      <c r="T87" s="376">
        <f>'Changing with year'!T289</f>
        <v>948000</v>
      </c>
      <c r="U87" s="376">
        <f>'Changing with year'!U289</f>
        <v>991000</v>
      </c>
      <c r="V87" s="376">
        <f>'Changing with year'!V289</f>
        <v>1036000</v>
      </c>
      <c r="W87" s="376">
        <f>'Changing with year'!W289</f>
        <v>1083000</v>
      </c>
      <c r="X87" s="376">
        <f>'Changing with year'!X289</f>
        <v>1132000</v>
      </c>
      <c r="Y87" s="376">
        <f>'Changing with year'!Y289</f>
        <v>1183000</v>
      </c>
      <c r="Z87" s="376">
        <f>'Changing with year'!Z289</f>
        <v>1236000</v>
      </c>
      <c r="AA87" s="376">
        <f>'Changing with year'!AA289</f>
        <v>1292000</v>
      </c>
      <c r="AB87" s="376">
        <f>'Changing with year'!AB289</f>
        <v>1350000</v>
      </c>
      <c r="AC87" s="376">
        <f>'Changing with year'!AC289</f>
        <v>1411000</v>
      </c>
      <c r="AD87" s="376">
        <f>'Changing with year'!AD289</f>
        <v>1474000</v>
      </c>
      <c r="AE87" s="376">
        <f>'Changing with year'!AE289</f>
        <v>1540000</v>
      </c>
      <c r="AF87" s="376">
        <f>'Changing with year'!AF289</f>
        <v>1609000</v>
      </c>
      <c r="AG87" s="376">
        <f>'Changing with year'!AG289</f>
        <v>1681000</v>
      </c>
      <c r="AH87" s="339"/>
    </row>
    <row r="88" spans="1:34">
      <c r="A88" s="300" t="s">
        <v>272</v>
      </c>
      <c r="B88" s="300" t="s">
        <v>313</v>
      </c>
      <c r="C88" s="376">
        <f t="shared" ref="C88:AG88" si="57">C59</f>
        <v>693000</v>
      </c>
      <c r="D88" s="376">
        <f t="shared" si="57"/>
        <v>699930.00000000012</v>
      </c>
      <c r="E88" s="376">
        <f t="shared" si="57"/>
        <v>706929.3</v>
      </c>
      <c r="F88" s="376">
        <f t="shared" si="57"/>
        <v>713998.59300000011</v>
      </c>
      <c r="G88" s="376">
        <f t="shared" si="57"/>
        <v>721138.57892999996</v>
      </c>
      <c r="H88" s="376">
        <f t="shared" si="57"/>
        <v>728349.96471930004</v>
      </c>
      <c r="I88" s="376">
        <f t="shared" si="57"/>
        <v>735633.46436649305</v>
      </c>
      <c r="J88" s="376">
        <f t="shared" si="57"/>
        <v>742989.79901015793</v>
      </c>
      <c r="K88" s="376">
        <f t="shared" si="57"/>
        <v>750419.69700025953</v>
      </c>
      <c r="L88" s="376">
        <f t="shared" si="57"/>
        <v>757923.89397026226</v>
      </c>
      <c r="M88" s="376">
        <f t="shared" si="57"/>
        <v>765503.13290996477</v>
      </c>
      <c r="N88" s="376">
        <f t="shared" si="57"/>
        <v>773158.16423906432</v>
      </c>
      <c r="O88" s="376">
        <f t="shared" si="57"/>
        <v>780889.74588145502</v>
      </c>
      <c r="P88" s="376">
        <f t="shared" si="57"/>
        <v>788698.64334026957</v>
      </c>
      <c r="Q88" s="376">
        <f t="shared" si="57"/>
        <v>796585.62977367244</v>
      </c>
      <c r="R88" s="376">
        <f t="shared" si="57"/>
        <v>804551.48607140908</v>
      </c>
      <c r="S88" s="376">
        <f t="shared" si="57"/>
        <v>812597.00093212316</v>
      </c>
      <c r="T88" s="376">
        <f t="shared" si="57"/>
        <v>820722.97094144451</v>
      </c>
      <c r="U88" s="376">
        <f t="shared" si="57"/>
        <v>828930.20065085881</v>
      </c>
      <c r="V88" s="376">
        <f t="shared" si="57"/>
        <v>837219.5026573675</v>
      </c>
      <c r="W88" s="376">
        <f t="shared" si="57"/>
        <v>845591.69768394111</v>
      </c>
      <c r="X88" s="376">
        <f t="shared" si="57"/>
        <v>854047.61466078053</v>
      </c>
      <c r="Y88" s="376">
        <f t="shared" si="57"/>
        <v>862588.09080738842</v>
      </c>
      <c r="Z88" s="376">
        <f t="shared" si="57"/>
        <v>871213.97171546239</v>
      </c>
      <c r="AA88" s="376">
        <f t="shared" si="57"/>
        <v>879926.11143261695</v>
      </c>
      <c r="AB88" s="376">
        <f t="shared" si="57"/>
        <v>888725.37254694325</v>
      </c>
      <c r="AC88" s="376">
        <f t="shared" si="57"/>
        <v>897612.62627241272</v>
      </c>
      <c r="AD88" s="376">
        <f t="shared" si="57"/>
        <v>906588.75253513677</v>
      </c>
      <c r="AE88" s="376">
        <f t="shared" si="57"/>
        <v>915654.64006048813</v>
      </c>
      <c r="AF88" s="376">
        <f t="shared" si="57"/>
        <v>924811.18646109302</v>
      </c>
      <c r="AG88" s="376">
        <f t="shared" si="57"/>
        <v>934059.29832570395</v>
      </c>
    </row>
    <row r="89" spans="1:34">
      <c r="A89" s="300" t="s">
        <v>319</v>
      </c>
      <c r="B89" s="300" t="s">
        <v>309</v>
      </c>
      <c r="C89" s="376">
        <f t="shared" ref="C89:AG89" si="58">C81*$C$29</f>
        <v>77000</v>
      </c>
      <c r="D89" s="376">
        <f t="shared" si="58"/>
        <v>79320</v>
      </c>
      <c r="E89" s="376">
        <f t="shared" si="58"/>
        <v>81680</v>
      </c>
      <c r="F89" s="376">
        <f t="shared" si="58"/>
        <v>84140</v>
      </c>
      <c r="G89" s="376">
        <f t="shared" si="58"/>
        <v>86660</v>
      </c>
      <c r="H89" s="376">
        <f t="shared" si="58"/>
        <v>97260</v>
      </c>
      <c r="I89" s="376">
        <f t="shared" si="58"/>
        <v>100180</v>
      </c>
      <c r="J89" s="376">
        <f t="shared" si="58"/>
        <v>103180</v>
      </c>
      <c r="K89" s="376">
        <f t="shared" si="58"/>
        <v>106280</v>
      </c>
      <c r="L89" s="376">
        <f t="shared" si="58"/>
        <v>109480</v>
      </c>
      <c r="M89" s="376">
        <f t="shared" si="58"/>
        <v>112760</v>
      </c>
      <c r="N89" s="376">
        <f t="shared" si="58"/>
        <v>116140</v>
      </c>
      <c r="O89" s="376">
        <f t="shared" si="58"/>
        <v>119620</v>
      </c>
      <c r="P89" s="376">
        <f t="shared" si="58"/>
        <v>123220</v>
      </c>
      <c r="Q89" s="376">
        <f t="shared" si="58"/>
        <v>126900</v>
      </c>
      <c r="R89" s="376">
        <f t="shared" si="58"/>
        <v>130720</v>
      </c>
      <c r="S89" s="376">
        <f t="shared" si="58"/>
        <v>134640</v>
      </c>
      <c r="T89" s="376">
        <f t="shared" si="58"/>
        <v>138680</v>
      </c>
      <c r="U89" s="376">
        <f t="shared" si="58"/>
        <v>142840</v>
      </c>
      <c r="V89" s="376">
        <f t="shared" si="58"/>
        <v>147120</v>
      </c>
      <c r="W89" s="376">
        <f t="shared" si="58"/>
        <v>151540</v>
      </c>
      <c r="X89" s="376">
        <f t="shared" si="58"/>
        <v>156080</v>
      </c>
      <c r="Y89" s="376">
        <f t="shared" si="58"/>
        <v>160760</v>
      </c>
      <c r="Z89" s="376">
        <f t="shared" si="58"/>
        <v>165580</v>
      </c>
      <c r="AA89" s="376">
        <f t="shared" si="58"/>
        <v>170560</v>
      </c>
      <c r="AB89" s="376">
        <f t="shared" si="58"/>
        <v>175660</v>
      </c>
      <c r="AC89" s="376">
        <f t="shared" si="58"/>
        <v>180940</v>
      </c>
      <c r="AD89" s="376">
        <f t="shared" si="58"/>
        <v>186360</v>
      </c>
      <c r="AE89" s="376">
        <f t="shared" si="58"/>
        <v>191960</v>
      </c>
      <c r="AF89" s="376">
        <f t="shared" si="58"/>
        <v>197720</v>
      </c>
      <c r="AG89" s="376">
        <f t="shared" si="58"/>
        <v>203640</v>
      </c>
    </row>
    <row r="90" spans="1:34" s="371" customFormat="1" ht="11.85" customHeight="1">
      <c r="A90" s="428" t="s">
        <v>320</v>
      </c>
    </row>
    <row r="91" spans="1:34">
      <c r="A91" s="300" t="s">
        <v>325</v>
      </c>
      <c r="B91" s="300" t="s">
        <v>300</v>
      </c>
      <c r="C91" s="379">
        <f t="shared" ref="C91:AG91" si="59">C84/($C$22*$C$21)</f>
        <v>8.5212452850540892</v>
      </c>
      <c r="D91" s="379">
        <f t="shared" si="59"/>
        <v>8.7779892988375376</v>
      </c>
      <c r="E91" s="379">
        <f t="shared" si="59"/>
        <v>9.0391599335482855</v>
      </c>
      <c r="F91" s="379">
        <f t="shared" si="59"/>
        <v>9.3113971205772881</v>
      </c>
      <c r="G91" s="379">
        <f t="shared" si="59"/>
        <v>9.5902742389972389</v>
      </c>
      <c r="H91" s="379">
        <f t="shared" si="59"/>
        <v>10.763328784731957</v>
      </c>
      <c r="I91" s="379">
        <f t="shared" si="59"/>
        <v>11.086472112424916</v>
      </c>
      <c r="J91" s="379">
        <f t="shared" si="59"/>
        <v>11.418468681972481</v>
      </c>
      <c r="K91" s="379">
        <f t="shared" si="59"/>
        <v>11.761531803838295</v>
      </c>
      <c r="L91" s="379">
        <f t="shared" si="59"/>
        <v>12.115661478022359</v>
      </c>
      <c r="M91" s="379">
        <f t="shared" si="59"/>
        <v>12.478644394061027</v>
      </c>
      <c r="N91" s="379">
        <f t="shared" si="59"/>
        <v>12.852693862417947</v>
      </c>
      <c r="O91" s="379">
        <f t="shared" si="59"/>
        <v>13.237809883093121</v>
      </c>
      <c r="P91" s="379">
        <f t="shared" si="59"/>
        <v>13.636205766550194</v>
      </c>
      <c r="Q91" s="379">
        <f t="shared" si="59"/>
        <v>14.043454891861868</v>
      </c>
      <c r="R91" s="379">
        <f t="shared" si="59"/>
        <v>14.466197190419098</v>
      </c>
      <c r="S91" s="379">
        <f t="shared" si="59"/>
        <v>14.90000604129458</v>
      </c>
      <c r="T91" s="379">
        <f t="shared" si="59"/>
        <v>15.347094754951964</v>
      </c>
      <c r="U91" s="379">
        <f t="shared" si="59"/>
        <v>15.807463331391249</v>
      </c>
      <c r="V91" s="379">
        <f t="shared" si="59"/>
        <v>16.281111770612437</v>
      </c>
      <c r="W91" s="379">
        <f t="shared" si="59"/>
        <v>16.770253383079176</v>
      </c>
      <c r="X91" s="379">
        <f t="shared" si="59"/>
        <v>17.272674858327822</v>
      </c>
      <c r="Y91" s="379">
        <f t="shared" si="59"/>
        <v>17.790589506822016</v>
      </c>
      <c r="Z91" s="379">
        <f t="shared" si="59"/>
        <v>18.323997328561767</v>
      </c>
      <c r="AA91" s="379">
        <f t="shared" si="59"/>
        <v>18.875111634010722</v>
      </c>
      <c r="AB91" s="379">
        <f t="shared" si="59"/>
        <v>19.439505802241577</v>
      </c>
      <c r="AC91" s="379">
        <f t="shared" si="59"/>
        <v>20.023819764645282</v>
      </c>
      <c r="AD91" s="379">
        <f t="shared" si="59"/>
        <v>20.62362690029455</v>
      </c>
      <c r="AE91" s="379">
        <f t="shared" si="59"/>
        <v>21.243353830116661</v>
      </c>
      <c r="AF91" s="379">
        <f t="shared" si="59"/>
        <v>21.88078724364798</v>
      </c>
      <c r="AG91" s="379">
        <f t="shared" si="59"/>
        <v>22.535927140888504</v>
      </c>
    </row>
    <row r="92" spans="1:34">
      <c r="A92" s="300" t="s">
        <v>321</v>
      </c>
      <c r="B92" s="300" t="s">
        <v>300</v>
      </c>
      <c r="C92" s="379">
        <f t="shared" ref="C92:AG92" si="60">(C85)/($C$22*$C$21)</f>
        <v>18.125</v>
      </c>
      <c r="D92" s="379">
        <f t="shared" si="60"/>
        <v>19.0625</v>
      </c>
      <c r="E92" s="379">
        <f t="shared" si="60"/>
        <v>19.634374999999999</v>
      </c>
      <c r="F92" s="379">
        <f t="shared" si="60"/>
        <v>20.22340625</v>
      </c>
      <c r="G92" s="379">
        <f t="shared" si="60"/>
        <v>20.830108437500002</v>
      </c>
      <c r="H92" s="379">
        <f t="shared" si="60"/>
        <v>21.455011690625</v>
      </c>
      <c r="I92" s="379">
        <f t="shared" si="60"/>
        <v>22.098662041343747</v>
      </c>
      <c r="J92" s="379">
        <f t="shared" si="60"/>
        <v>22.761621902584064</v>
      </c>
      <c r="K92" s="379">
        <f t="shared" si="60"/>
        <v>23.444470559661585</v>
      </c>
      <c r="L92" s="379">
        <f t="shared" si="60"/>
        <v>24.147804676451432</v>
      </c>
      <c r="M92" s="379">
        <f t="shared" si="60"/>
        <v>24.872238816744979</v>
      </c>
      <c r="N92" s="379">
        <f t="shared" si="60"/>
        <v>25.618405981247328</v>
      </c>
      <c r="O92" s="379">
        <f t="shared" si="60"/>
        <v>26.386958160684745</v>
      </c>
      <c r="P92" s="379">
        <f t="shared" si="60"/>
        <v>27.178566905505289</v>
      </c>
      <c r="Q92" s="379">
        <f t="shared" si="60"/>
        <v>27.993923912670443</v>
      </c>
      <c r="R92" s="379">
        <f t="shared" si="60"/>
        <v>28.833741630050561</v>
      </c>
      <c r="S92" s="379">
        <f t="shared" si="60"/>
        <v>29.698753878952076</v>
      </c>
      <c r="T92" s="379">
        <f t="shared" si="60"/>
        <v>30.589716495320637</v>
      </c>
      <c r="U92" s="379">
        <f t="shared" si="60"/>
        <v>31.507407990180258</v>
      </c>
      <c r="V92" s="379">
        <f t="shared" si="60"/>
        <v>32.452630229885663</v>
      </c>
      <c r="W92" s="379">
        <f t="shared" si="60"/>
        <v>33.426209136782241</v>
      </c>
      <c r="X92" s="379">
        <f t="shared" si="60"/>
        <v>34.428995410885697</v>
      </c>
      <c r="Y92" s="379">
        <f t="shared" si="60"/>
        <v>35.461865273212268</v>
      </c>
      <c r="Z92" s="379">
        <f t="shared" si="60"/>
        <v>36.525721231408639</v>
      </c>
      <c r="AA92" s="379">
        <f t="shared" si="60"/>
        <v>37.621492868350899</v>
      </c>
      <c r="AB92" s="379">
        <f t="shared" si="60"/>
        <v>38.750137654401421</v>
      </c>
      <c r="AC92" s="379">
        <f t="shared" si="60"/>
        <v>39.912641784033468</v>
      </c>
      <c r="AD92" s="379">
        <f t="shared" si="60"/>
        <v>41.110021037554475</v>
      </c>
      <c r="AE92" s="379">
        <f t="shared" si="60"/>
        <v>42.343321668681114</v>
      </c>
      <c r="AF92" s="379">
        <f t="shared" si="60"/>
        <v>43.613621318741544</v>
      </c>
      <c r="AG92" s="379">
        <f t="shared" si="60"/>
        <v>44.922029958303789</v>
      </c>
    </row>
    <row r="93" spans="1:34">
      <c r="A93" s="300" t="s">
        <v>322</v>
      </c>
      <c r="B93" s="300" t="s">
        <v>300</v>
      </c>
      <c r="C93" s="379">
        <f t="shared" ref="C93:AG93" si="61">(C87+C86+C88+C89)/($C$22*$C$21)</f>
        <v>17.023232323232325</v>
      </c>
      <c r="D93" s="379">
        <f t="shared" si="61"/>
        <v>17.50668686868687</v>
      </c>
      <c r="E93" s="379">
        <f t="shared" si="61"/>
        <v>18.008866464646466</v>
      </c>
      <c r="F93" s="379">
        <f t="shared" si="61"/>
        <v>18.530684971717175</v>
      </c>
      <c r="G93" s="379">
        <f t="shared" si="61"/>
        <v>19.072058251494951</v>
      </c>
      <c r="H93" s="379">
        <f t="shared" si="61"/>
        <v>19.714328890969902</v>
      </c>
      <c r="I93" s="379">
        <f t="shared" si="61"/>
        <v>20.298650542148302</v>
      </c>
      <c r="J93" s="379">
        <f t="shared" si="61"/>
        <v>20.903766221096912</v>
      </c>
      <c r="K93" s="379">
        <f t="shared" si="61"/>
        <v>21.530251274281149</v>
      </c>
      <c r="L93" s="379">
        <f t="shared" si="61"/>
        <v>22.18859475040383</v>
      </c>
      <c r="M93" s="379">
        <f t="shared" si="61"/>
        <v>22.868896956388593</v>
      </c>
      <c r="N93" s="379">
        <f t="shared" si="61"/>
        <v>23.571779158004752</v>
      </c>
      <c r="O93" s="379">
        <f t="shared" si="61"/>
        <v>24.30777815334341</v>
      </c>
      <c r="P93" s="379">
        <f t="shared" si="61"/>
        <v>25.067447942341349</v>
      </c>
      <c r="Q93" s="379">
        <f t="shared" si="61"/>
        <v>25.860956372154114</v>
      </c>
      <c r="R93" s="379">
        <f t="shared" si="61"/>
        <v>26.679297971553311</v>
      </c>
      <c r="S93" s="379">
        <f t="shared" si="61"/>
        <v>27.53267853099986</v>
      </c>
      <c r="T93" s="379">
        <f t="shared" si="61"/>
        <v>28.421829005290732</v>
      </c>
      <c r="U93" s="379">
        <f t="shared" si="61"/>
        <v>29.347299245015051</v>
      </c>
      <c r="V93" s="379">
        <f t="shared" si="61"/>
        <v>30.309660850982059</v>
      </c>
      <c r="W93" s="379">
        <f t="shared" si="61"/>
        <v>31.309710061993854</v>
      </c>
      <c r="X93" s="379">
        <f t="shared" si="61"/>
        <v>32.347862596488582</v>
      </c>
      <c r="Y93" s="379">
        <f t="shared" si="61"/>
        <v>33.424962671663039</v>
      </c>
      <c r="Z93" s="379">
        <f t="shared" si="61"/>
        <v>34.54167791868894</v>
      </c>
      <c r="AA93" s="379">
        <f t="shared" si="61"/>
        <v>35.709005448047968</v>
      </c>
      <c r="AB93" s="379">
        <f t="shared" si="61"/>
        <v>36.9171617938186</v>
      </c>
      <c r="AC93" s="379">
        <f t="shared" si="61"/>
        <v>38.177604213284383</v>
      </c>
      <c r="AD93" s="379">
        <f t="shared" si="61"/>
        <v>39.48060758597564</v>
      </c>
      <c r="AE93" s="379">
        <f t="shared" si="61"/>
        <v>40.837487822989878</v>
      </c>
      <c r="AF93" s="379">
        <f t="shared" si="61"/>
        <v>42.248885929830536</v>
      </c>
      <c r="AG93" s="379">
        <f t="shared" si="61"/>
        <v>43.715678381227463</v>
      </c>
    </row>
    <row r="94" spans="1:34">
      <c r="A94" s="300" t="s">
        <v>310</v>
      </c>
      <c r="B94" s="300" t="s">
        <v>300</v>
      </c>
      <c r="C94" s="379">
        <f t="shared" ref="C94:AG94" si="62">C82/($C$22*$C$21*7)</f>
        <v>2.7777777777777777</v>
      </c>
      <c r="D94" s="379">
        <f t="shared" si="62"/>
        <v>2.8614718614718613</v>
      </c>
      <c r="E94" s="379">
        <f t="shared" si="62"/>
        <v>2.9466089466089467</v>
      </c>
      <c r="F94" s="379">
        <f t="shared" si="62"/>
        <v>3.0353535353535355</v>
      </c>
      <c r="G94" s="379">
        <f t="shared" si="62"/>
        <v>3.1262626262626263</v>
      </c>
      <c r="H94" s="379">
        <f t="shared" si="62"/>
        <v>3.5086580086580086</v>
      </c>
      <c r="I94" s="379">
        <f t="shared" si="62"/>
        <v>3.6139971139971139</v>
      </c>
      <c r="J94" s="379">
        <f t="shared" si="62"/>
        <v>3.7222222222222223</v>
      </c>
      <c r="K94" s="379">
        <f t="shared" si="62"/>
        <v>3.8340548340548342</v>
      </c>
      <c r="L94" s="379">
        <f t="shared" si="62"/>
        <v>3.9494949494949494</v>
      </c>
      <c r="M94" s="379">
        <f t="shared" si="62"/>
        <v>4.0678210678210682</v>
      </c>
      <c r="N94" s="379">
        <f t="shared" si="62"/>
        <v>3.3518037518037525</v>
      </c>
      <c r="O94" s="379">
        <f t="shared" si="62"/>
        <v>3.4522366522366528</v>
      </c>
      <c r="P94" s="379">
        <f t="shared" si="62"/>
        <v>3.5561327561327567</v>
      </c>
      <c r="Q94" s="379">
        <f t="shared" si="62"/>
        <v>3.6623376623376629</v>
      </c>
      <c r="R94" s="379">
        <f t="shared" si="62"/>
        <v>3.7725829725829731</v>
      </c>
      <c r="S94" s="379">
        <f t="shared" si="62"/>
        <v>3.8857142857142866</v>
      </c>
      <c r="T94" s="379">
        <f t="shared" si="62"/>
        <v>4.0023088023088027</v>
      </c>
      <c r="U94" s="379">
        <f t="shared" si="62"/>
        <v>4.1223665223665229</v>
      </c>
      <c r="V94" s="379">
        <f t="shared" si="62"/>
        <v>4.2458874458874467</v>
      </c>
      <c r="W94" s="379">
        <f t="shared" si="62"/>
        <v>4.3734487734487741</v>
      </c>
      <c r="X94" s="379">
        <f t="shared" si="62"/>
        <v>3.3783549783549791</v>
      </c>
      <c r="Y94" s="379">
        <f t="shared" si="62"/>
        <v>3.4796536796536803</v>
      </c>
      <c r="Z94" s="379">
        <f t="shared" si="62"/>
        <v>3.5839826839826845</v>
      </c>
      <c r="AA94" s="379">
        <f t="shared" si="62"/>
        <v>3.6917748917748923</v>
      </c>
      <c r="AB94" s="379">
        <f t="shared" si="62"/>
        <v>3.8021645021645027</v>
      </c>
      <c r="AC94" s="379">
        <f t="shared" si="62"/>
        <v>3.9164502164502171</v>
      </c>
      <c r="AD94" s="379">
        <f t="shared" si="62"/>
        <v>4.0337662337662348</v>
      </c>
      <c r="AE94" s="379">
        <f t="shared" si="62"/>
        <v>4.1549783549783559</v>
      </c>
      <c r="AF94" s="379">
        <f t="shared" si="62"/>
        <v>4.2796536796536806</v>
      </c>
      <c r="AG94" s="379">
        <f t="shared" si="62"/>
        <v>4.407792207792208</v>
      </c>
    </row>
    <row r="95" spans="1:34" s="352" customFormat="1">
      <c r="A95" s="380" t="s">
        <v>323</v>
      </c>
      <c r="B95" s="352" t="s">
        <v>300</v>
      </c>
      <c r="C95" s="429">
        <f>SUM(C91:C93)-C94</f>
        <v>40.891699830508635</v>
      </c>
      <c r="D95" s="429">
        <f t="shared" ref="D95" si="63">SUM(D91:D93)-D94</f>
        <v>42.485704306052547</v>
      </c>
      <c r="E95" s="429">
        <f t="shared" ref="E95" si="64">SUM(E91:E93)-E94</f>
        <v>43.735792451585802</v>
      </c>
      <c r="F95" s="429">
        <f t="shared" ref="F95" si="65">SUM(F91:F93)-F94</f>
        <v>45.030134806940922</v>
      </c>
      <c r="G95" s="429">
        <f t="shared" ref="G95" si="66">SUM(G91:G93)-G94</f>
        <v>46.366178301729562</v>
      </c>
      <c r="H95" s="429">
        <f t="shared" ref="H95" si="67">SUM(H91:H93)-H94</f>
        <v>48.424011357668846</v>
      </c>
      <c r="I95" s="429">
        <f t="shared" ref="I95" si="68">SUM(I91:I93)-I94</f>
        <v>49.869787581919852</v>
      </c>
      <c r="J95" s="429">
        <f t="shared" ref="J95" si="69">SUM(J91:J93)-J94</f>
        <v>51.361634583431233</v>
      </c>
      <c r="K95" s="429">
        <f t="shared" ref="K95" si="70">SUM(K91:K93)-K94</f>
        <v>52.902198803726193</v>
      </c>
      <c r="L95" s="429">
        <f t="shared" ref="L95" si="71">SUM(L91:L93)-L94</f>
        <v>54.502565955382671</v>
      </c>
      <c r="M95" s="429">
        <f t="shared" ref="M95" si="72">SUM(M91:M93)-M94</f>
        <v>56.151959099373528</v>
      </c>
      <c r="N95" s="429">
        <f t="shared" ref="N95" si="73">SUM(N91:N93)-N94</f>
        <v>58.691075249866273</v>
      </c>
      <c r="O95" s="429">
        <f t="shared" ref="O95" si="74">SUM(O91:O93)-O94</f>
        <v>60.480309544884619</v>
      </c>
      <c r="P95" s="429">
        <f t="shared" ref="P95" si="75">SUM(P91:P93)-P94</f>
        <v>62.326087858264074</v>
      </c>
      <c r="Q95" s="429">
        <f t="shared" ref="Q95" si="76">SUM(Q91:Q93)-Q94</f>
        <v>64.235997514348767</v>
      </c>
      <c r="R95" s="429">
        <f t="shared" ref="R95" si="77">SUM(R91:R93)-R94</f>
        <v>66.206653819440007</v>
      </c>
      <c r="S95" s="429">
        <f t="shared" ref="S95" si="78">SUM(S91:S93)-S94</f>
        <v>68.245724165532224</v>
      </c>
      <c r="T95" s="429">
        <f t="shared" ref="T95" si="79">SUM(T91:T93)-T94</f>
        <v>70.356331453254526</v>
      </c>
      <c r="U95" s="429">
        <f t="shared" ref="U95" si="80">SUM(U91:U93)-U94</f>
        <v>72.539804044220034</v>
      </c>
      <c r="V95" s="429">
        <f t="shared" ref="V95" si="81">SUM(V91:V93)-V94</f>
        <v>74.797515405592705</v>
      </c>
      <c r="W95" s="429">
        <f t="shared" ref="W95" si="82">SUM(W91:W93)-W94</f>
        <v>77.132723808406496</v>
      </c>
      <c r="X95" s="429">
        <f t="shared" ref="X95" si="83">SUM(X91:X93)-X94</f>
        <v>80.671177887347127</v>
      </c>
      <c r="Y95" s="429">
        <f t="shared" ref="Y95" si="84">SUM(Y91:Y93)-Y94</f>
        <v>83.197763772043643</v>
      </c>
      <c r="Z95" s="429">
        <f t="shared" ref="Z95" si="85">SUM(Z91:Z93)-Z94</f>
        <v>85.807413794676663</v>
      </c>
      <c r="AA95" s="429">
        <f t="shared" ref="AA95" si="86">SUM(AA91:AA93)-AA94</f>
        <v>88.513835058634683</v>
      </c>
      <c r="AB95" s="429">
        <f t="shared" ref="AB95" si="87">SUM(AB91:AB93)-AB94</f>
        <v>91.304640748297103</v>
      </c>
      <c r="AC95" s="429">
        <f t="shared" ref="AC95" si="88">SUM(AC91:AC93)-AC94</f>
        <v>94.197615545512917</v>
      </c>
      <c r="AD95" s="429">
        <f t="shared" ref="AD95" si="89">SUM(AD91:AD93)-AD94</f>
        <v>97.180489290058446</v>
      </c>
      <c r="AE95" s="429">
        <f t="shared" ref="AE95" si="90">SUM(AE91:AE93)-AE94</f>
        <v>100.26918496680931</v>
      </c>
      <c r="AF95" s="429">
        <f t="shared" ref="AF95" si="91">SUM(AF91:AF93)-AF94</f>
        <v>103.46364081256638</v>
      </c>
      <c r="AG95" s="429">
        <f t="shared" ref="AG95" si="92">SUM(AG91:AG93)-AG94</f>
        <v>106.76584327262755</v>
      </c>
    </row>
    <row r="96" spans="1:34" s="344" customFormat="1">
      <c r="A96" s="342" t="s">
        <v>180</v>
      </c>
      <c r="B96" s="342"/>
      <c r="H96" s="430">
        <f>H98/H63</f>
        <v>1.1332925176017843</v>
      </c>
      <c r="AB96" s="430">
        <f>AB98/AB63</f>
        <v>1.0900594423796321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C97" si="93">D97+1</f>
        <v>2027</v>
      </c>
      <c r="F97" s="360">
        <f t="shared" si="93"/>
        <v>2028</v>
      </c>
      <c r="G97" s="360">
        <f t="shared" si="93"/>
        <v>2029</v>
      </c>
      <c r="H97" s="360">
        <f t="shared" si="93"/>
        <v>2030</v>
      </c>
      <c r="I97" s="360">
        <f t="shared" si="93"/>
        <v>2031</v>
      </c>
      <c r="J97" s="360">
        <f t="shared" si="93"/>
        <v>2032</v>
      </c>
      <c r="K97" s="360">
        <f t="shared" si="93"/>
        <v>2033</v>
      </c>
      <c r="L97" s="360">
        <f t="shared" si="93"/>
        <v>2034</v>
      </c>
      <c r="M97" s="360">
        <f t="shared" si="93"/>
        <v>2035</v>
      </c>
      <c r="N97" s="360">
        <f t="shared" si="93"/>
        <v>2036</v>
      </c>
      <c r="O97" s="360">
        <f t="shared" si="93"/>
        <v>2037</v>
      </c>
      <c r="P97" s="360">
        <f t="shared" si="93"/>
        <v>2038</v>
      </c>
      <c r="Q97" s="360">
        <f t="shared" si="93"/>
        <v>2039</v>
      </c>
      <c r="R97" s="360">
        <f t="shared" si="93"/>
        <v>2040</v>
      </c>
      <c r="S97" s="360">
        <f t="shared" si="93"/>
        <v>2041</v>
      </c>
      <c r="T97" s="360">
        <f t="shared" si="93"/>
        <v>2042</v>
      </c>
      <c r="U97" s="360">
        <f t="shared" si="93"/>
        <v>2043</v>
      </c>
      <c r="V97" s="360">
        <f t="shared" si="93"/>
        <v>2044</v>
      </c>
      <c r="W97" s="360">
        <f t="shared" si="93"/>
        <v>2045</v>
      </c>
      <c r="X97" s="360">
        <f t="shared" si="93"/>
        <v>2046</v>
      </c>
      <c r="Y97" s="360">
        <f t="shared" si="93"/>
        <v>2047</v>
      </c>
      <c r="Z97" s="360">
        <f t="shared" si="93"/>
        <v>2048</v>
      </c>
      <c r="AA97" s="360">
        <f t="shared" si="93"/>
        <v>2049</v>
      </c>
      <c r="AB97" s="360">
        <f t="shared" si="93"/>
        <v>2050</v>
      </c>
      <c r="AC97" s="360">
        <f t="shared" si="93"/>
        <v>2051</v>
      </c>
      <c r="AD97" s="360">
        <f t="shared" ref="AD97" si="94">AC97+1</f>
        <v>2052</v>
      </c>
      <c r="AE97" s="360">
        <f t="shared" ref="AE97" si="95">AD97+1</f>
        <v>2053</v>
      </c>
      <c r="AF97" s="360">
        <f t="shared" ref="AF97" si="96">AE97+1</f>
        <v>2054</v>
      </c>
      <c r="AG97" s="360">
        <f t="shared" ref="AG97" si="97">AF97+1</f>
        <v>2055</v>
      </c>
    </row>
    <row r="98" spans="1:34">
      <c r="A98" s="300" t="s">
        <v>326</v>
      </c>
      <c r="B98" s="300" t="s">
        <v>309</v>
      </c>
      <c r="C98" s="376">
        <f>ROUND(('Changing with year'!C107)/1000,0)*1000</f>
        <v>4180000</v>
      </c>
      <c r="D98" s="376">
        <f>ROUND(('Changing with year'!D107)/1000,0)*1000</f>
        <v>4294000</v>
      </c>
      <c r="E98" s="376">
        <f>ROUND(('Changing with year'!E107)/1000,0)*1000</f>
        <v>4411000</v>
      </c>
      <c r="F98" s="376">
        <f>ROUND(('Changing with year'!F107)/1000,0)*1000</f>
        <v>4532000</v>
      </c>
      <c r="G98" s="376">
        <f>ROUND(('Changing with year'!G107)/1000,0)*1000</f>
        <v>4656000</v>
      </c>
      <c r="H98" s="376">
        <f>ROUND(('Changing with year'!H107)/1000,0)*1000</f>
        <v>5183000</v>
      </c>
      <c r="I98" s="376">
        <f>ROUND(('Changing with year'!I107)/1000,0)*1000</f>
        <v>5327000</v>
      </c>
      <c r="J98" s="376">
        <f>ROUND(('Changing with year'!J107)/1000,0)*1000</f>
        <v>5474000</v>
      </c>
      <c r="K98" s="376">
        <f>ROUND(('Changing with year'!K107)/1000,0)*1000</f>
        <v>5626000</v>
      </c>
      <c r="L98" s="376">
        <f>ROUND(('Changing with year'!L107)/1000,0)*1000</f>
        <v>5782000</v>
      </c>
      <c r="M98" s="376">
        <f>ROUND(('Changing with year'!M107)/1000,0)*1000</f>
        <v>5943000</v>
      </c>
      <c r="N98" s="376">
        <f>ROUND(('Changing with year'!N107)/1000,0)*1000</f>
        <v>6108000</v>
      </c>
      <c r="O98" s="376">
        <f>ROUND(('Changing with year'!O107)/1000,0)*1000</f>
        <v>6279000</v>
      </c>
      <c r="P98" s="376">
        <f>ROUND(('Changing with year'!P107)/1000,0)*1000</f>
        <v>6454000</v>
      </c>
      <c r="Q98" s="376">
        <f>ROUND(('Changing with year'!Q107)/1000,0)*1000</f>
        <v>6634000</v>
      </c>
      <c r="R98" s="376">
        <f>ROUND(('Changing with year'!R107)/1000,0)*1000</f>
        <v>6820000</v>
      </c>
      <c r="S98" s="376">
        <f>ROUND(('Changing with year'!S107)/1000,0)*1000</f>
        <v>7011000</v>
      </c>
      <c r="T98" s="376">
        <f>ROUND(('Changing with year'!T107)/1000,0)*1000</f>
        <v>7208000</v>
      </c>
      <c r="U98" s="376">
        <f>ROUND(('Changing with year'!U107)/1000,0)*1000</f>
        <v>7410000</v>
      </c>
      <c r="V98" s="376">
        <f>ROUND(('Changing with year'!V107)/1000,0)*1000</f>
        <v>7619000</v>
      </c>
      <c r="W98" s="376">
        <f>ROUND(('Changing with year'!W107)/1000,0)*1000</f>
        <v>7833000</v>
      </c>
      <c r="X98" s="376">
        <f>ROUND(('Changing with year'!X107)/1000,0)*1000</f>
        <v>8054000</v>
      </c>
      <c r="Y98" s="376">
        <f>ROUND(('Changing with year'!Y107)/1000,0)*1000</f>
        <v>8282000</v>
      </c>
      <c r="Z98" s="376">
        <f>ROUND(('Changing with year'!Z107)/1000,0)*1000</f>
        <v>8516000</v>
      </c>
      <c r="AA98" s="376">
        <f>ROUND(('Changing with year'!AA107)/1000,0)*1000</f>
        <v>8756000</v>
      </c>
      <c r="AB98" s="376">
        <f>ROUND(('Changing with year'!AB107)/1000,0)*1000</f>
        <v>9004000</v>
      </c>
      <c r="AC98" s="376">
        <f>ROUND(('Changing with year'!AC107)/1000,0)*1000</f>
        <v>9260000</v>
      </c>
      <c r="AD98" s="376">
        <f>ROUND(('Changing with year'!AD107)/1000,0)*1000</f>
        <v>9522000</v>
      </c>
      <c r="AE98" s="376">
        <f>ROUND(('Changing with year'!AE107)/1000,0)*1000</f>
        <v>9793000</v>
      </c>
      <c r="AF98" s="376">
        <f>ROUND(('Changing with year'!AF107)/1000,0)*1000</f>
        <v>10071000</v>
      </c>
      <c r="AG98" s="376">
        <f>ROUND(('Changing with year'!AG107)/1000,0)*1000</f>
        <v>10358000</v>
      </c>
    </row>
    <row r="99" spans="1:34">
      <c r="A99" s="300" t="s">
        <v>310</v>
      </c>
      <c r="B99" s="300" t="s">
        <v>309</v>
      </c>
      <c r="C99" s="376">
        <f>(C98*'No change with year'!$AE$6)</f>
        <v>2090000</v>
      </c>
      <c r="D99" s="376">
        <f>(D98*'No change with year'!$AE$6)</f>
        <v>2147000</v>
      </c>
      <c r="E99" s="376">
        <f>(E98*'No change with year'!$AE$6)</f>
        <v>2205500</v>
      </c>
      <c r="F99" s="376">
        <f>(F98*'No change with year'!$AE$6)</f>
        <v>2266000</v>
      </c>
      <c r="G99" s="376">
        <f>(G98*'No change with year'!$AE$6)</f>
        <v>2328000</v>
      </c>
      <c r="H99" s="376">
        <f>(H98*'No change with year'!$AE$6)</f>
        <v>2591500</v>
      </c>
      <c r="I99" s="376">
        <f>(I98*'No change with year'!$AE$6)</f>
        <v>2663500</v>
      </c>
      <c r="J99" s="376">
        <f>(J98*'No change with year'!$AE$6)</f>
        <v>2737000</v>
      </c>
      <c r="K99" s="376">
        <f>(K98*'No change with year'!$AE$6)</f>
        <v>2813000</v>
      </c>
      <c r="L99" s="376">
        <f>(L98*'No change with year'!$AE$6)</f>
        <v>2891000</v>
      </c>
      <c r="M99" s="376">
        <f>(M98*'No change with year'!$AE$6)</f>
        <v>2971500</v>
      </c>
      <c r="N99" s="376">
        <f>(N98*'No change with year'!$AF$6)</f>
        <v>2443200.0000000005</v>
      </c>
      <c r="O99" s="376">
        <f>(O98*'No change with year'!$AF$6)</f>
        <v>2511600.0000000005</v>
      </c>
      <c r="P99" s="376">
        <f>(P98*'No change with year'!$AF$6)</f>
        <v>2581600.0000000005</v>
      </c>
      <c r="Q99" s="376">
        <f>(Q98*'No change with year'!$AF$6)</f>
        <v>2653600.0000000005</v>
      </c>
      <c r="R99" s="376">
        <f>(R98*'No change with year'!$AF$6)</f>
        <v>2728000.0000000005</v>
      </c>
      <c r="S99" s="376">
        <f>(S98*'No change with year'!$AF$6)</f>
        <v>2804400.0000000005</v>
      </c>
      <c r="T99" s="376">
        <f>(T98*'No change with year'!$AF$6)</f>
        <v>2883200.0000000005</v>
      </c>
      <c r="U99" s="376">
        <f>(U98*'No change with year'!$AF$6)</f>
        <v>2964000.0000000005</v>
      </c>
      <c r="V99" s="376">
        <f>(V98*'No change with year'!$AF$6)</f>
        <v>3047600.0000000005</v>
      </c>
      <c r="W99" s="376">
        <f>(W98*'No change with year'!$AF$6)</f>
        <v>3133200.0000000005</v>
      </c>
      <c r="X99" s="376">
        <f>(X98*'No change with year'!$AG$6)</f>
        <v>2416200.0000000005</v>
      </c>
      <c r="Y99" s="376">
        <f>(Y98*'No change with year'!$AG$6)</f>
        <v>2484600.0000000005</v>
      </c>
      <c r="Z99" s="376">
        <f>(Z98*'No change with year'!$AG$6)</f>
        <v>2554800.0000000005</v>
      </c>
      <c r="AA99" s="376">
        <f>(AA98*'No change with year'!$AG$6)</f>
        <v>2626800.0000000005</v>
      </c>
      <c r="AB99" s="376">
        <f>(AB98*'No change with year'!$AG$6)</f>
        <v>2701200.0000000005</v>
      </c>
      <c r="AC99" s="376">
        <f>(AC98*'No change with year'!$AG$6)</f>
        <v>2778000.0000000005</v>
      </c>
      <c r="AD99" s="376">
        <f>(AD98*'No change with year'!$AG$6)</f>
        <v>2856600.0000000005</v>
      </c>
      <c r="AE99" s="376">
        <f>(AE98*'No change with year'!$AG$6)</f>
        <v>2937900.0000000005</v>
      </c>
      <c r="AF99" s="376">
        <f>(AF98*'No change with year'!$AG$6)</f>
        <v>3021300.0000000005</v>
      </c>
      <c r="AG99" s="376">
        <f>(AG98*'No change with year'!$AG$6)</f>
        <v>3107400.0000000005</v>
      </c>
    </row>
    <row r="100" spans="1:34" s="371" customFormat="1" ht="11.85" customHeight="1">
      <c r="A100" s="428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00" t="s">
        <v>312</v>
      </c>
      <c r="B101" s="300" t="s">
        <v>313</v>
      </c>
      <c r="C101" s="376">
        <f t="shared" ref="C101:AG101" si="98">-PMT($C$26,$C$25,C98)</f>
        <v>915912.13606781384</v>
      </c>
      <c r="D101" s="376">
        <f t="shared" si="98"/>
        <v>940891.55796057242</v>
      </c>
      <c r="E101" s="376">
        <f t="shared" si="98"/>
        <v>966528.33306103514</v>
      </c>
      <c r="F101" s="376">
        <f t="shared" si="98"/>
        <v>993041.57910510339</v>
      </c>
      <c r="G101" s="376">
        <f t="shared" si="98"/>
        <v>1020212.178356876</v>
      </c>
      <c r="H101" s="376">
        <f t="shared" si="98"/>
        <v>1135687.225176909</v>
      </c>
      <c r="I101" s="376">
        <f t="shared" si="98"/>
        <v>1167240.1791467092</v>
      </c>
      <c r="J101" s="376">
        <f t="shared" si="98"/>
        <v>1199450.4863242134</v>
      </c>
      <c r="K101" s="376">
        <f t="shared" si="98"/>
        <v>1232756.3821812251</v>
      </c>
      <c r="L101" s="376">
        <f t="shared" si="98"/>
        <v>1266938.7489818421</v>
      </c>
      <c r="M101" s="376">
        <f t="shared" si="98"/>
        <v>1302216.7044619659</v>
      </c>
      <c r="N101" s="376">
        <f t="shared" si="98"/>
        <v>1338371.1308856956</v>
      </c>
      <c r="O101" s="376">
        <f t="shared" si="98"/>
        <v>1375840.2637248333</v>
      </c>
      <c r="P101" s="376">
        <f t="shared" si="98"/>
        <v>1414185.8675075767</v>
      </c>
      <c r="Q101" s="376">
        <f t="shared" si="98"/>
        <v>1453627.0599698271</v>
      </c>
      <c r="R101" s="376">
        <f t="shared" si="98"/>
        <v>1494382.9588474857</v>
      </c>
      <c r="S101" s="376">
        <f t="shared" si="98"/>
        <v>1536234.4464046515</v>
      </c>
      <c r="T101" s="376">
        <f t="shared" si="98"/>
        <v>1579400.6403772254</v>
      </c>
      <c r="U101" s="376">
        <f t="shared" si="98"/>
        <v>1623662.4230293063</v>
      </c>
      <c r="V101" s="376">
        <f t="shared" si="98"/>
        <v>1669458.0298326972</v>
      </c>
      <c r="W101" s="376">
        <f t="shared" si="98"/>
        <v>1716349.2253155948</v>
      </c>
      <c r="X101" s="376">
        <f t="shared" si="98"/>
        <v>1764774.2449498021</v>
      </c>
      <c r="Y101" s="376">
        <f t="shared" si="98"/>
        <v>1814733.0887353192</v>
      </c>
      <c r="Z101" s="376">
        <f t="shared" si="98"/>
        <v>1866006.6389362446</v>
      </c>
      <c r="AA101" s="376">
        <f t="shared" si="98"/>
        <v>1918594.8955525784</v>
      </c>
      <c r="AB101" s="376">
        <f t="shared" si="98"/>
        <v>1972936.0940561234</v>
      </c>
      <c r="AC101" s="376">
        <f t="shared" si="98"/>
        <v>2029030.2344468795</v>
      </c>
      <c r="AD101" s="376">
        <f t="shared" si="98"/>
        <v>2086439.0812530438</v>
      </c>
      <c r="AE101" s="376">
        <f t="shared" si="98"/>
        <v>2145819.9876823211</v>
      </c>
      <c r="AF101" s="376">
        <f t="shared" si="98"/>
        <v>2206734.7182629076</v>
      </c>
      <c r="AG101" s="376">
        <f t="shared" si="98"/>
        <v>2269621.508466607</v>
      </c>
    </row>
    <row r="102" spans="1:34">
      <c r="A102" s="300" t="s">
        <v>321</v>
      </c>
      <c r="B102" s="300" t="s">
        <v>309</v>
      </c>
      <c r="C102" s="376">
        <f t="shared" ref="C102:AG102" si="99">$E$37*C44</f>
        <v>1767096.7741935481</v>
      </c>
      <c r="D102" s="376">
        <f t="shared" si="99"/>
        <v>1830967.7419354836</v>
      </c>
      <c r="E102" s="376">
        <f t="shared" si="99"/>
        <v>1885896.7741935481</v>
      </c>
      <c r="F102" s="376">
        <f t="shared" si="99"/>
        <v>1942473.6774193544</v>
      </c>
      <c r="G102" s="376">
        <f t="shared" si="99"/>
        <v>2000747.8877419352</v>
      </c>
      <c r="H102" s="376">
        <f t="shared" si="99"/>
        <v>2060770.3243741933</v>
      </c>
      <c r="I102" s="376">
        <f t="shared" si="99"/>
        <v>2122593.4341054191</v>
      </c>
      <c r="J102" s="376">
        <f t="shared" si="99"/>
        <v>2186271.2371285819</v>
      </c>
      <c r="K102" s="376">
        <f t="shared" si="99"/>
        <v>2251859.3742424394</v>
      </c>
      <c r="L102" s="376">
        <f t="shared" si="99"/>
        <v>2319415.1554697128</v>
      </c>
      <c r="M102" s="376">
        <f t="shared" si="99"/>
        <v>2388997.6101338039</v>
      </c>
      <c r="N102" s="376">
        <f t="shared" si="99"/>
        <v>2460667.5384378182</v>
      </c>
      <c r="O102" s="376">
        <f t="shared" si="99"/>
        <v>2534487.5645909528</v>
      </c>
      <c r="P102" s="376">
        <f t="shared" si="99"/>
        <v>2610522.1915286817</v>
      </c>
      <c r="Q102" s="376">
        <f t="shared" si="99"/>
        <v>2688837.8572745421</v>
      </c>
      <c r="R102" s="376">
        <f t="shared" si="99"/>
        <v>2769502.9929927783</v>
      </c>
      <c r="S102" s="376">
        <f t="shared" si="99"/>
        <v>2852588.0827825614</v>
      </c>
      <c r="T102" s="376">
        <f t="shared" si="99"/>
        <v>2938165.7252660384</v>
      </c>
      <c r="U102" s="376">
        <f t="shared" si="99"/>
        <v>3026310.6970240199</v>
      </c>
      <c r="V102" s="376">
        <f t="shared" si="99"/>
        <v>3117100.0179347405</v>
      </c>
      <c r="W102" s="376">
        <f t="shared" si="99"/>
        <v>3210613.0184727828</v>
      </c>
      <c r="X102" s="376">
        <f t="shared" si="99"/>
        <v>3306931.4090269664</v>
      </c>
      <c r="Y102" s="376">
        <f t="shared" si="99"/>
        <v>3406139.3512977757</v>
      </c>
      <c r="Z102" s="376">
        <f t="shared" si="99"/>
        <v>3508323.531836709</v>
      </c>
      <c r="AA102" s="376">
        <f t="shared" si="99"/>
        <v>3613573.2377918102</v>
      </c>
      <c r="AB102" s="376">
        <f t="shared" si="99"/>
        <v>3721980.4349255646</v>
      </c>
      <c r="AC102" s="376">
        <f t="shared" si="99"/>
        <v>3833639.8479733318</v>
      </c>
      <c r="AD102" s="376">
        <f t="shared" si="99"/>
        <v>3948649.0434125317</v>
      </c>
      <c r="AE102" s="376">
        <f t="shared" si="99"/>
        <v>4067108.5147149079</v>
      </c>
      <c r="AF102" s="376">
        <f t="shared" si="99"/>
        <v>4189121.7701563551</v>
      </c>
      <c r="AG102" s="376">
        <f t="shared" si="99"/>
        <v>4314795.4232610455</v>
      </c>
    </row>
    <row r="103" spans="1:34">
      <c r="A103" s="300" t="s">
        <v>317</v>
      </c>
      <c r="B103" s="300" t="s">
        <v>309</v>
      </c>
      <c r="C103" s="376">
        <f t="shared" ref="C103:AG103" si="100">C56*$C$21*$C$22</f>
        <v>465300</v>
      </c>
      <c r="D103" s="376">
        <f t="shared" si="100"/>
        <v>483912.00000000006</v>
      </c>
      <c r="E103" s="376">
        <f t="shared" si="100"/>
        <v>503268.4800000001</v>
      </c>
      <c r="F103" s="376">
        <f t="shared" si="100"/>
        <v>523399.21920000011</v>
      </c>
      <c r="G103" s="376">
        <f t="shared" si="100"/>
        <v>544335.18796800019</v>
      </c>
      <c r="H103" s="376">
        <f t="shared" si="100"/>
        <v>566108.59548672021</v>
      </c>
      <c r="I103" s="376">
        <f t="shared" si="100"/>
        <v>588752.93930618896</v>
      </c>
      <c r="J103" s="376">
        <f t="shared" si="100"/>
        <v>612303.05687843659</v>
      </c>
      <c r="K103" s="376">
        <f t="shared" si="100"/>
        <v>636795.17915357416</v>
      </c>
      <c r="L103" s="376">
        <f t="shared" si="100"/>
        <v>662266.98631971714</v>
      </c>
      <c r="M103" s="376">
        <f t="shared" si="100"/>
        <v>688757.6657725058</v>
      </c>
      <c r="N103" s="376">
        <f t="shared" si="100"/>
        <v>716307.97240340605</v>
      </c>
      <c r="O103" s="376">
        <f t="shared" si="100"/>
        <v>744960.2912995423</v>
      </c>
      <c r="P103" s="376">
        <f t="shared" si="100"/>
        <v>774758.70295152406</v>
      </c>
      <c r="Q103" s="376">
        <f t="shared" si="100"/>
        <v>805749.05106958502</v>
      </c>
      <c r="R103" s="376">
        <f t="shared" si="100"/>
        <v>837979.01311236841</v>
      </c>
      <c r="S103" s="376">
        <f t="shared" si="100"/>
        <v>871498.17363686312</v>
      </c>
      <c r="T103" s="376">
        <f t="shared" si="100"/>
        <v>906358.10058233771</v>
      </c>
      <c r="U103" s="376">
        <f t="shared" si="100"/>
        <v>942612.42460563127</v>
      </c>
      <c r="V103" s="376">
        <f t="shared" si="100"/>
        <v>980316.92158985639</v>
      </c>
      <c r="W103" s="376">
        <f t="shared" si="100"/>
        <v>1019529.5984534506</v>
      </c>
      <c r="X103" s="376">
        <f t="shared" si="100"/>
        <v>1060310.7823915889</v>
      </c>
      <c r="Y103" s="376">
        <f t="shared" si="100"/>
        <v>1102723.2136872525</v>
      </c>
      <c r="Z103" s="376">
        <f t="shared" si="100"/>
        <v>1146832.1422347426</v>
      </c>
      <c r="AA103" s="376">
        <f t="shared" si="100"/>
        <v>1192705.4279241322</v>
      </c>
      <c r="AB103" s="376">
        <f t="shared" si="100"/>
        <v>1240413.6450410977</v>
      </c>
      <c r="AC103" s="376">
        <f t="shared" si="100"/>
        <v>1290030.1908427416</v>
      </c>
      <c r="AD103" s="376">
        <f t="shared" si="100"/>
        <v>1341631.3984764514</v>
      </c>
      <c r="AE103" s="376">
        <f t="shared" si="100"/>
        <v>1395296.6544155094</v>
      </c>
      <c r="AF103" s="376">
        <f t="shared" si="100"/>
        <v>1451108.52059213</v>
      </c>
      <c r="AG103" s="376">
        <f t="shared" si="100"/>
        <v>1509152.8614158151</v>
      </c>
    </row>
    <row r="104" spans="1:34">
      <c r="A104" s="300" t="s">
        <v>318</v>
      </c>
      <c r="B104" s="300" t="s">
        <v>313</v>
      </c>
      <c r="C104" s="376">
        <f>'Changing with year'!C289</f>
        <v>450000</v>
      </c>
      <c r="D104" s="376">
        <f>'Changing with year'!D289</f>
        <v>470000</v>
      </c>
      <c r="E104" s="376">
        <f>'Changing with year'!E289</f>
        <v>491000</v>
      </c>
      <c r="F104" s="376">
        <f>'Changing with year'!F289</f>
        <v>513000</v>
      </c>
      <c r="G104" s="376">
        <f>'Changing with year'!G289</f>
        <v>536000</v>
      </c>
      <c r="H104" s="376">
        <f>'Changing with year'!H289</f>
        <v>560000</v>
      </c>
      <c r="I104" s="376">
        <f>'Changing with year'!I289</f>
        <v>585000</v>
      </c>
      <c r="J104" s="376">
        <f>'Changing with year'!J289</f>
        <v>611000</v>
      </c>
      <c r="K104" s="376">
        <f>'Changing with year'!K289</f>
        <v>638000</v>
      </c>
      <c r="L104" s="376">
        <f>'Changing with year'!L289</f>
        <v>667000</v>
      </c>
      <c r="M104" s="376">
        <f>'Changing with year'!M289</f>
        <v>697000</v>
      </c>
      <c r="N104" s="376">
        <f>'Changing with year'!N289</f>
        <v>728000</v>
      </c>
      <c r="O104" s="376">
        <f>'Changing with year'!O289</f>
        <v>761000</v>
      </c>
      <c r="P104" s="376">
        <f>'Changing with year'!P289</f>
        <v>795000</v>
      </c>
      <c r="Q104" s="376">
        <f>'Changing with year'!Q289</f>
        <v>831000</v>
      </c>
      <c r="R104" s="376">
        <f>'Changing with year'!R289</f>
        <v>868000</v>
      </c>
      <c r="S104" s="376">
        <f>'Changing with year'!S289</f>
        <v>907000</v>
      </c>
      <c r="T104" s="376">
        <f>'Changing with year'!T289</f>
        <v>948000</v>
      </c>
      <c r="U104" s="376">
        <f>'Changing with year'!U289</f>
        <v>991000</v>
      </c>
      <c r="V104" s="376">
        <f>'Changing with year'!V289</f>
        <v>1036000</v>
      </c>
      <c r="W104" s="376">
        <f>'Changing with year'!W289</f>
        <v>1083000</v>
      </c>
      <c r="X104" s="376">
        <f>'Changing with year'!X289</f>
        <v>1132000</v>
      </c>
      <c r="Y104" s="376">
        <f>'Changing with year'!Y289</f>
        <v>1183000</v>
      </c>
      <c r="Z104" s="376">
        <f>'Changing with year'!Z289</f>
        <v>1236000</v>
      </c>
      <c r="AA104" s="376">
        <f>'Changing with year'!AA289</f>
        <v>1292000</v>
      </c>
      <c r="AB104" s="376">
        <f>'Changing with year'!AB289</f>
        <v>1350000</v>
      </c>
      <c r="AC104" s="376">
        <f>'Changing with year'!AC289</f>
        <v>1411000</v>
      </c>
      <c r="AD104" s="376">
        <f>'Changing with year'!AD289</f>
        <v>1474000</v>
      </c>
      <c r="AE104" s="376">
        <f>'Changing with year'!AE289</f>
        <v>1540000</v>
      </c>
      <c r="AF104" s="376">
        <f>'Changing with year'!AF289</f>
        <v>1609000</v>
      </c>
      <c r="AG104" s="376">
        <f>'Changing with year'!AG289</f>
        <v>1681000</v>
      </c>
      <c r="AH104" s="339"/>
    </row>
    <row r="105" spans="1:34">
      <c r="A105" s="300" t="s">
        <v>272</v>
      </c>
      <c r="B105" s="300" t="s">
        <v>313</v>
      </c>
      <c r="C105" s="376">
        <f t="shared" ref="C105:AG105" si="101">C59</f>
        <v>693000</v>
      </c>
      <c r="D105" s="376">
        <f t="shared" si="101"/>
        <v>699930.00000000012</v>
      </c>
      <c r="E105" s="376">
        <f t="shared" si="101"/>
        <v>706929.3</v>
      </c>
      <c r="F105" s="376">
        <f t="shared" si="101"/>
        <v>713998.59300000011</v>
      </c>
      <c r="G105" s="376">
        <f t="shared" si="101"/>
        <v>721138.57892999996</v>
      </c>
      <c r="H105" s="376">
        <f t="shared" si="101"/>
        <v>728349.96471930004</v>
      </c>
      <c r="I105" s="376">
        <f t="shared" si="101"/>
        <v>735633.46436649305</v>
      </c>
      <c r="J105" s="376">
        <f t="shared" si="101"/>
        <v>742989.79901015793</v>
      </c>
      <c r="K105" s="376">
        <f t="shared" si="101"/>
        <v>750419.69700025953</v>
      </c>
      <c r="L105" s="376">
        <f t="shared" si="101"/>
        <v>757923.89397026226</v>
      </c>
      <c r="M105" s="376">
        <f t="shared" si="101"/>
        <v>765503.13290996477</v>
      </c>
      <c r="N105" s="376">
        <f t="shared" si="101"/>
        <v>773158.16423906432</v>
      </c>
      <c r="O105" s="376">
        <f t="shared" si="101"/>
        <v>780889.74588145502</v>
      </c>
      <c r="P105" s="376">
        <f t="shared" si="101"/>
        <v>788698.64334026957</v>
      </c>
      <c r="Q105" s="376">
        <f t="shared" si="101"/>
        <v>796585.62977367244</v>
      </c>
      <c r="R105" s="376">
        <f t="shared" si="101"/>
        <v>804551.48607140908</v>
      </c>
      <c r="S105" s="376">
        <f t="shared" si="101"/>
        <v>812597.00093212316</v>
      </c>
      <c r="T105" s="376">
        <f t="shared" si="101"/>
        <v>820722.97094144451</v>
      </c>
      <c r="U105" s="376">
        <f t="shared" si="101"/>
        <v>828930.20065085881</v>
      </c>
      <c r="V105" s="376">
        <f t="shared" si="101"/>
        <v>837219.5026573675</v>
      </c>
      <c r="W105" s="376">
        <f t="shared" si="101"/>
        <v>845591.69768394111</v>
      </c>
      <c r="X105" s="376">
        <f t="shared" si="101"/>
        <v>854047.61466078053</v>
      </c>
      <c r="Y105" s="376">
        <f t="shared" si="101"/>
        <v>862588.09080738842</v>
      </c>
      <c r="Z105" s="376">
        <f t="shared" si="101"/>
        <v>871213.97171546239</v>
      </c>
      <c r="AA105" s="376">
        <f t="shared" si="101"/>
        <v>879926.11143261695</v>
      </c>
      <c r="AB105" s="376">
        <f t="shared" si="101"/>
        <v>888725.37254694325</v>
      </c>
      <c r="AC105" s="376">
        <f t="shared" si="101"/>
        <v>897612.62627241272</v>
      </c>
      <c r="AD105" s="376">
        <f t="shared" si="101"/>
        <v>906588.75253513677</v>
      </c>
      <c r="AE105" s="376">
        <f t="shared" si="101"/>
        <v>915654.64006048813</v>
      </c>
      <c r="AF105" s="376">
        <f t="shared" si="101"/>
        <v>924811.18646109302</v>
      </c>
      <c r="AG105" s="376">
        <f t="shared" si="101"/>
        <v>934059.29832570395</v>
      </c>
    </row>
    <row r="106" spans="1:34">
      <c r="A106" s="300" t="s">
        <v>319</v>
      </c>
      <c r="B106" s="300" t="s">
        <v>309</v>
      </c>
      <c r="C106" s="376">
        <f t="shared" ref="C106:AG106" si="102">C98*$C$29</f>
        <v>83600</v>
      </c>
      <c r="D106" s="376">
        <f t="shared" si="102"/>
        <v>85880</v>
      </c>
      <c r="E106" s="376">
        <f t="shared" si="102"/>
        <v>88220</v>
      </c>
      <c r="F106" s="376">
        <f t="shared" si="102"/>
        <v>90640</v>
      </c>
      <c r="G106" s="376">
        <f t="shared" si="102"/>
        <v>93120</v>
      </c>
      <c r="H106" s="376">
        <f t="shared" si="102"/>
        <v>103660</v>
      </c>
      <c r="I106" s="376">
        <f t="shared" si="102"/>
        <v>106540</v>
      </c>
      <c r="J106" s="376">
        <f t="shared" si="102"/>
        <v>109480</v>
      </c>
      <c r="K106" s="376">
        <f t="shared" si="102"/>
        <v>112520</v>
      </c>
      <c r="L106" s="376">
        <f t="shared" si="102"/>
        <v>115640</v>
      </c>
      <c r="M106" s="376">
        <f t="shared" si="102"/>
        <v>118860</v>
      </c>
      <c r="N106" s="376">
        <f t="shared" si="102"/>
        <v>122160</v>
      </c>
      <c r="O106" s="376">
        <f t="shared" si="102"/>
        <v>125580</v>
      </c>
      <c r="P106" s="376">
        <f t="shared" si="102"/>
        <v>129080</v>
      </c>
      <c r="Q106" s="376">
        <f t="shared" si="102"/>
        <v>132680</v>
      </c>
      <c r="R106" s="376">
        <f t="shared" si="102"/>
        <v>136400</v>
      </c>
      <c r="S106" s="376">
        <f t="shared" si="102"/>
        <v>140220</v>
      </c>
      <c r="T106" s="376">
        <f t="shared" si="102"/>
        <v>144160</v>
      </c>
      <c r="U106" s="376">
        <f t="shared" si="102"/>
        <v>148200</v>
      </c>
      <c r="V106" s="376">
        <f t="shared" si="102"/>
        <v>152380</v>
      </c>
      <c r="W106" s="376">
        <f t="shared" si="102"/>
        <v>156660</v>
      </c>
      <c r="X106" s="376">
        <f t="shared" si="102"/>
        <v>161080</v>
      </c>
      <c r="Y106" s="376">
        <f t="shared" si="102"/>
        <v>165640</v>
      </c>
      <c r="Z106" s="376">
        <f t="shared" si="102"/>
        <v>170320</v>
      </c>
      <c r="AA106" s="376">
        <f t="shared" si="102"/>
        <v>175120</v>
      </c>
      <c r="AB106" s="376">
        <f t="shared" si="102"/>
        <v>180080</v>
      </c>
      <c r="AC106" s="376">
        <f t="shared" si="102"/>
        <v>185200</v>
      </c>
      <c r="AD106" s="376">
        <f t="shared" si="102"/>
        <v>190440</v>
      </c>
      <c r="AE106" s="376">
        <f t="shared" si="102"/>
        <v>195860</v>
      </c>
      <c r="AF106" s="376">
        <f t="shared" si="102"/>
        <v>201420</v>
      </c>
      <c r="AG106" s="376">
        <f t="shared" si="102"/>
        <v>207160</v>
      </c>
    </row>
    <row r="107" spans="1:34" s="371" customFormat="1" ht="11.85" customHeight="1">
      <c r="A107" s="428" t="s">
        <v>320</v>
      </c>
    </row>
    <row r="108" spans="1:34">
      <c r="A108" s="300" t="s">
        <v>325</v>
      </c>
      <c r="B108" s="300" t="s">
        <v>300</v>
      </c>
      <c r="C108" s="379">
        <f t="shared" ref="C108:AG108" si="103">C101/($C$22*$C$21)</f>
        <v>9.2516377380587258</v>
      </c>
      <c r="D108" s="379">
        <f t="shared" si="103"/>
        <v>9.5039551309148731</v>
      </c>
      <c r="E108" s="379">
        <f t="shared" si="103"/>
        <v>9.7629124551619704</v>
      </c>
      <c r="F108" s="379">
        <f t="shared" si="103"/>
        <v>10.03072302126367</v>
      </c>
      <c r="G108" s="379">
        <f t="shared" si="103"/>
        <v>10.305173518756323</v>
      </c>
      <c r="H108" s="379">
        <f t="shared" si="103"/>
        <v>11.471588133100092</v>
      </c>
      <c r="I108" s="379">
        <f t="shared" si="103"/>
        <v>11.790304839865749</v>
      </c>
      <c r="J108" s="379">
        <f t="shared" si="103"/>
        <v>12.115661478022359</v>
      </c>
      <c r="K108" s="379">
        <f t="shared" si="103"/>
        <v>12.452084668497223</v>
      </c>
      <c r="L108" s="379">
        <f t="shared" si="103"/>
        <v>12.797361100826688</v>
      </c>
      <c r="M108" s="379">
        <f t="shared" si="103"/>
        <v>13.153704085474404</v>
      </c>
      <c r="N108" s="379">
        <f t="shared" si="103"/>
        <v>13.518900311976722</v>
      </c>
      <c r="O108" s="379">
        <f t="shared" si="103"/>
        <v>13.897376401260942</v>
      </c>
      <c r="P108" s="379">
        <f t="shared" si="103"/>
        <v>14.284705732399765</v>
      </c>
      <c r="Q108" s="379">
        <f t="shared" si="103"/>
        <v>14.68310161585684</v>
      </c>
      <c r="R108" s="379">
        <f t="shared" si="103"/>
        <v>15.094777362095815</v>
      </c>
      <c r="S108" s="379">
        <f t="shared" si="103"/>
        <v>15.517519660653045</v>
      </c>
      <c r="T108" s="379">
        <f t="shared" si="103"/>
        <v>15.953541821992175</v>
      </c>
      <c r="U108" s="379">
        <f t="shared" si="103"/>
        <v>16.400630535649558</v>
      </c>
      <c r="V108" s="379">
        <f t="shared" si="103"/>
        <v>16.863212422552497</v>
      </c>
      <c r="W108" s="379">
        <f t="shared" si="103"/>
        <v>17.336860861773683</v>
      </c>
      <c r="X108" s="379">
        <f t="shared" si="103"/>
        <v>17.826002474240425</v>
      </c>
      <c r="Y108" s="379">
        <f t="shared" si="103"/>
        <v>18.33063725995272</v>
      </c>
      <c r="Z108" s="379">
        <f t="shared" si="103"/>
        <v>18.848551908446915</v>
      </c>
      <c r="AA108" s="379">
        <f t="shared" si="103"/>
        <v>19.379746419723013</v>
      </c>
      <c r="AB108" s="379">
        <f t="shared" si="103"/>
        <v>19.928647414708315</v>
      </c>
      <c r="AC108" s="379">
        <f t="shared" si="103"/>
        <v>20.495254893402823</v>
      </c>
      <c r="AD108" s="379">
        <f t="shared" si="103"/>
        <v>21.07514223487923</v>
      </c>
      <c r="AE108" s="379">
        <f t="shared" si="103"/>
        <v>21.674949370528495</v>
      </c>
      <c r="AF108" s="379">
        <f t="shared" si="103"/>
        <v>22.290249679423308</v>
      </c>
      <c r="AG108" s="379">
        <f t="shared" si="103"/>
        <v>22.925469782490978</v>
      </c>
    </row>
    <row r="109" spans="1:34">
      <c r="A109" s="300" t="s">
        <v>321</v>
      </c>
      <c r="B109" s="300" t="s">
        <v>300</v>
      </c>
      <c r="C109" s="379">
        <f t="shared" ref="C109:AG109" si="104">C102/($C$22*$C$21)</f>
        <v>17.849462365591396</v>
      </c>
      <c r="D109" s="379">
        <f t="shared" si="104"/>
        <v>18.494623655913976</v>
      </c>
      <c r="E109" s="379">
        <f t="shared" si="104"/>
        <v>19.049462365591395</v>
      </c>
      <c r="F109" s="379">
        <f t="shared" si="104"/>
        <v>19.620946236559135</v>
      </c>
      <c r="G109" s="379">
        <f t="shared" si="104"/>
        <v>20.209574623655911</v>
      </c>
      <c r="H109" s="379">
        <f t="shared" si="104"/>
        <v>20.81586186236559</v>
      </c>
      <c r="I109" s="379">
        <f t="shared" si="104"/>
        <v>21.440337718236556</v>
      </c>
      <c r="J109" s="379">
        <f t="shared" si="104"/>
        <v>22.083547849783656</v>
      </c>
      <c r="K109" s="379">
        <f t="shared" si="104"/>
        <v>22.746054285277165</v>
      </c>
      <c r="L109" s="379">
        <f t="shared" si="104"/>
        <v>23.428435913835482</v>
      </c>
      <c r="M109" s="379">
        <f t="shared" si="104"/>
        <v>24.131288991250546</v>
      </c>
      <c r="N109" s="379">
        <f t="shared" si="104"/>
        <v>24.855227660988064</v>
      </c>
      <c r="O109" s="379">
        <f t="shared" si="104"/>
        <v>25.600884490817705</v>
      </c>
      <c r="P109" s="379">
        <f t="shared" si="104"/>
        <v>26.368911025542239</v>
      </c>
      <c r="Q109" s="379">
        <f t="shared" si="104"/>
        <v>27.159978356308507</v>
      </c>
      <c r="R109" s="379">
        <f t="shared" si="104"/>
        <v>27.974777706997759</v>
      </c>
      <c r="S109" s="379">
        <f t="shared" si="104"/>
        <v>28.814021038207692</v>
      </c>
      <c r="T109" s="379">
        <f t="shared" si="104"/>
        <v>29.678441669353923</v>
      </c>
      <c r="U109" s="379">
        <f t="shared" si="104"/>
        <v>30.568794919434545</v>
      </c>
      <c r="V109" s="379">
        <f t="shared" si="104"/>
        <v>31.485858767017582</v>
      </c>
      <c r="W109" s="379">
        <f t="shared" si="104"/>
        <v>32.430434530028108</v>
      </c>
      <c r="X109" s="379">
        <f t="shared" si="104"/>
        <v>33.403347565928954</v>
      </c>
      <c r="Y109" s="379">
        <f t="shared" si="104"/>
        <v>34.405447992906822</v>
      </c>
      <c r="Z109" s="379">
        <f t="shared" si="104"/>
        <v>35.437611432694034</v>
      </c>
      <c r="AA109" s="379">
        <f t="shared" si="104"/>
        <v>36.500739775674852</v>
      </c>
      <c r="AB109" s="379">
        <f t="shared" si="104"/>
        <v>37.595761968945098</v>
      </c>
      <c r="AC109" s="379">
        <f t="shared" si="104"/>
        <v>38.723634828013452</v>
      </c>
      <c r="AD109" s="379">
        <f t="shared" si="104"/>
        <v>39.885343872853859</v>
      </c>
      <c r="AE109" s="379">
        <f t="shared" si="104"/>
        <v>41.08190418903947</v>
      </c>
      <c r="AF109" s="379">
        <f t="shared" si="104"/>
        <v>42.314361314710659</v>
      </c>
      <c r="AG109" s="379">
        <f t="shared" si="104"/>
        <v>43.583792154151972</v>
      </c>
    </row>
    <row r="110" spans="1:34">
      <c r="A110" s="300" t="s">
        <v>322</v>
      </c>
      <c r="B110" s="300" t="s">
        <v>300</v>
      </c>
      <c r="C110" s="379">
        <f t="shared" ref="C110:AG110" si="105">(C103+C104+C105+C106)/($C$22*$C$21)</f>
        <v>17.089898989898991</v>
      </c>
      <c r="D110" s="379">
        <f t="shared" si="105"/>
        <v>17.572949494949494</v>
      </c>
      <c r="E110" s="379">
        <f t="shared" si="105"/>
        <v>18.074927070707073</v>
      </c>
      <c r="F110" s="379">
        <f t="shared" si="105"/>
        <v>18.596341537373739</v>
      </c>
      <c r="G110" s="379">
        <f t="shared" si="105"/>
        <v>19.137310776747476</v>
      </c>
      <c r="H110" s="379">
        <f t="shared" si="105"/>
        <v>19.778975355616367</v>
      </c>
      <c r="I110" s="379">
        <f t="shared" si="105"/>
        <v>20.362892966390728</v>
      </c>
      <c r="J110" s="379">
        <f t="shared" si="105"/>
        <v>20.967402584733279</v>
      </c>
      <c r="K110" s="379">
        <f t="shared" si="105"/>
        <v>21.593281577311451</v>
      </c>
      <c r="L110" s="379">
        <f t="shared" si="105"/>
        <v>22.250816972626055</v>
      </c>
      <c r="M110" s="379">
        <f t="shared" si="105"/>
        <v>22.930513118004754</v>
      </c>
      <c r="N110" s="379">
        <f t="shared" si="105"/>
        <v>23.632587238812832</v>
      </c>
      <c r="O110" s="379">
        <f t="shared" si="105"/>
        <v>24.36798017354543</v>
      </c>
      <c r="P110" s="379">
        <f t="shared" si="105"/>
        <v>25.126639861533267</v>
      </c>
      <c r="Q110" s="379">
        <f t="shared" si="105"/>
        <v>25.919340210537953</v>
      </c>
      <c r="R110" s="379">
        <f t="shared" si="105"/>
        <v>26.736671708927048</v>
      </c>
      <c r="S110" s="379">
        <f t="shared" si="105"/>
        <v>27.589042167363495</v>
      </c>
      <c r="T110" s="379">
        <f t="shared" si="105"/>
        <v>28.477182540644264</v>
      </c>
      <c r="U110" s="379">
        <f t="shared" si="105"/>
        <v>29.401440659156464</v>
      </c>
      <c r="V110" s="379">
        <f t="shared" si="105"/>
        <v>30.362792164113372</v>
      </c>
      <c r="W110" s="379">
        <f t="shared" si="105"/>
        <v>31.361427233711026</v>
      </c>
      <c r="X110" s="379">
        <f t="shared" si="105"/>
        <v>32.398367646993634</v>
      </c>
      <c r="Y110" s="379">
        <f t="shared" si="105"/>
        <v>33.474255600955971</v>
      </c>
      <c r="Z110" s="379">
        <f t="shared" si="105"/>
        <v>34.589556706567727</v>
      </c>
      <c r="AA110" s="379">
        <f t="shared" si="105"/>
        <v>35.755066054108575</v>
      </c>
      <c r="AB110" s="379">
        <f t="shared" si="105"/>
        <v>36.961808258465062</v>
      </c>
      <c r="AC110" s="379">
        <f t="shared" si="105"/>
        <v>38.220634516314689</v>
      </c>
      <c r="AD110" s="379">
        <f t="shared" si="105"/>
        <v>39.52181970718776</v>
      </c>
      <c r="AE110" s="379">
        <f t="shared" si="105"/>
        <v>40.876881762383817</v>
      </c>
      <c r="AF110" s="379">
        <f t="shared" si="105"/>
        <v>42.28625966720427</v>
      </c>
      <c r="AG110" s="379">
        <f t="shared" si="105"/>
        <v>43.751233936783024</v>
      </c>
    </row>
    <row r="111" spans="1:34">
      <c r="A111" s="300" t="s">
        <v>310</v>
      </c>
      <c r="B111" s="300" t="s">
        <v>300</v>
      </c>
      <c r="C111" s="379">
        <f t="shared" ref="C111:AG111" si="106">C99/($C$22*$C$21*7)</f>
        <v>3.0158730158730158</v>
      </c>
      <c r="D111" s="379">
        <f t="shared" si="106"/>
        <v>3.0981240981240981</v>
      </c>
      <c r="E111" s="379">
        <f t="shared" si="106"/>
        <v>3.1825396825396823</v>
      </c>
      <c r="F111" s="379">
        <f t="shared" si="106"/>
        <v>3.2698412698412698</v>
      </c>
      <c r="G111" s="379">
        <f t="shared" si="106"/>
        <v>3.3593073593073592</v>
      </c>
      <c r="H111" s="379">
        <f t="shared" si="106"/>
        <v>3.7395382395382395</v>
      </c>
      <c r="I111" s="379">
        <f t="shared" si="106"/>
        <v>3.8434343434343434</v>
      </c>
      <c r="J111" s="379">
        <f t="shared" si="106"/>
        <v>3.9494949494949494</v>
      </c>
      <c r="K111" s="379">
        <f t="shared" si="106"/>
        <v>4.0591630591630592</v>
      </c>
      <c r="L111" s="379">
        <f t="shared" si="106"/>
        <v>4.1717171717171722</v>
      </c>
      <c r="M111" s="379">
        <f t="shared" si="106"/>
        <v>4.2878787878787881</v>
      </c>
      <c r="N111" s="379">
        <f t="shared" si="106"/>
        <v>3.5255411255411264</v>
      </c>
      <c r="O111" s="379">
        <f t="shared" si="106"/>
        <v>3.6242424242424249</v>
      </c>
      <c r="P111" s="379">
        <f t="shared" si="106"/>
        <v>3.7252525252525257</v>
      </c>
      <c r="Q111" s="379">
        <f t="shared" si="106"/>
        <v>3.8291486291486296</v>
      </c>
      <c r="R111" s="379">
        <f t="shared" si="106"/>
        <v>3.9365079365079372</v>
      </c>
      <c r="S111" s="379">
        <f t="shared" si="106"/>
        <v>4.046753246753247</v>
      </c>
      <c r="T111" s="379">
        <f t="shared" si="106"/>
        <v>4.1604617604617609</v>
      </c>
      <c r="U111" s="379">
        <f t="shared" si="106"/>
        <v>4.2770562770562774</v>
      </c>
      <c r="V111" s="379">
        <f t="shared" si="106"/>
        <v>4.3976911976911985</v>
      </c>
      <c r="W111" s="379">
        <f t="shared" si="106"/>
        <v>4.5212121212121215</v>
      </c>
      <c r="X111" s="379">
        <f t="shared" si="106"/>
        <v>3.4865800865800871</v>
      </c>
      <c r="Y111" s="379">
        <f t="shared" si="106"/>
        <v>3.5852813852813861</v>
      </c>
      <c r="Z111" s="379">
        <f t="shared" si="106"/>
        <v>3.6865800865800873</v>
      </c>
      <c r="AA111" s="379">
        <f t="shared" si="106"/>
        <v>3.7904761904761912</v>
      </c>
      <c r="AB111" s="379">
        <f t="shared" si="106"/>
        <v>3.8978354978354983</v>
      </c>
      <c r="AC111" s="379">
        <f t="shared" si="106"/>
        <v>4.008658008658009</v>
      </c>
      <c r="AD111" s="379">
        <f t="shared" si="106"/>
        <v>4.1220779220779225</v>
      </c>
      <c r="AE111" s="379">
        <f t="shared" si="106"/>
        <v>4.2393939393939402</v>
      </c>
      <c r="AF111" s="379">
        <f t="shared" si="106"/>
        <v>4.3597402597402608</v>
      </c>
      <c r="AG111" s="379">
        <f t="shared" si="106"/>
        <v>4.4839826839826848</v>
      </c>
    </row>
    <row r="112" spans="1:34" s="352" customFormat="1">
      <c r="A112" s="380" t="s">
        <v>323</v>
      </c>
      <c r="B112" s="352" t="s">
        <v>300</v>
      </c>
      <c r="C112" s="429">
        <f>SUM(C108:C110)-C111</f>
        <v>41.175126077676097</v>
      </c>
      <c r="D112" s="429">
        <f t="shared" ref="D112" si="107">SUM(D108:D110)-D111</f>
        <v>42.473404183654246</v>
      </c>
      <c r="E112" s="429">
        <f t="shared" ref="E112" si="108">SUM(E108:E110)-E111</f>
        <v>43.704762208920755</v>
      </c>
      <c r="F112" s="429">
        <f t="shared" ref="F112" si="109">SUM(F108:F110)-F111</f>
        <v>44.97816952535527</v>
      </c>
      <c r="G112" s="429">
        <f t="shared" ref="G112" si="110">SUM(G108:G110)-G111</f>
        <v>46.292751559852356</v>
      </c>
      <c r="H112" s="429">
        <f t="shared" ref="H112" si="111">SUM(H108:H110)-H111</f>
        <v>48.326887111543805</v>
      </c>
      <c r="I112" s="429">
        <f t="shared" ref="I112" si="112">SUM(I108:I110)-I111</f>
        <v>49.750101181058689</v>
      </c>
      <c r="J112" s="429">
        <f t="shared" ref="J112" si="113">SUM(J108:J110)-J111</f>
        <v>51.217116963044347</v>
      </c>
      <c r="K112" s="429">
        <f t="shared" ref="K112" si="114">SUM(K108:K110)-K111</f>
        <v>52.732257471922779</v>
      </c>
      <c r="L112" s="429">
        <f t="shared" ref="L112" si="115">SUM(L108:L110)-L111</f>
        <v>54.304896815571055</v>
      </c>
      <c r="M112" s="429">
        <f t="shared" ref="M112" si="116">SUM(M108:M110)-M111</f>
        <v>55.927627406850917</v>
      </c>
      <c r="N112" s="429">
        <f t="shared" ref="N112" si="117">SUM(N108:N110)-N111</f>
        <v>58.481174086236493</v>
      </c>
      <c r="O112" s="429">
        <f t="shared" ref="O112" si="118">SUM(O108:O110)-O111</f>
        <v>60.241998641381656</v>
      </c>
      <c r="P112" s="429">
        <f t="shared" ref="P112" si="119">SUM(P108:P110)-P111</f>
        <v>62.055004094222738</v>
      </c>
      <c r="Q112" s="429">
        <f t="shared" ref="Q112" si="120">SUM(Q108:Q110)-Q111</f>
        <v>63.933271553554668</v>
      </c>
      <c r="R112" s="429">
        <f t="shared" ref="R112" si="121">SUM(R108:R110)-R111</f>
        <v>65.869718841512693</v>
      </c>
      <c r="S112" s="429">
        <f t="shared" ref="S112" si="122">SUM(S108:S110)-S111</f>
        <v>67.873829619470996</v>
      </c>
      <c r="T112" s="429">
        <f t="shared" ref="T112" si="123">SUM(T108:T110)-T111</f>
        <v>69.948704271528598</v>
      </c>
      <c r="U112" s="429">
        <f t="shared" ref="U112" si="124">SUM(U108:U110)-U111</f>
        <v>72.093809837184295</v>
      </c>
      <c r="V112" s="429">
        <f t="shared" ref="V112" si="125">SUM(V108:V110)-V111</f>
        <v>74.314172155992253</v>
      </c>
      <c r="W112" s="429">
        <f t="shared" ref="W112" si="126">SUM(W108:W110)-W111</f>
        <v>76.607510504300706</v>
      </c>
      <c r="X112" s="429">
        <f t="shared" ref="X112" si="127">SUM(X108:X110)-X111</f>
        <v>80.141137600582923</v>
      </c>
      <c r="Y112" s="429">
        <f t="shared" ref="Y112" si="128">SUM(Y108:Y110)-Y111</f>
        <v>82.625059468534118</v>
      </c>
      <c r="Z112" s="429">
        <f t="shared" ref="Z112" si="129">SUM(Z108:Z110)-Z111</f>
        <v>85.189139961128589</v>
      </c>
      <c r="AA112" s="429">
        <f t="shared" ref="AA112" si="130">SUM(AA108:AA110)-AA111</f>
        <v>87.845076059030248</v>
      </c>
      <c r="AB112" s="429">
        <f t="shared" ref="AB112" si="131">SUM(AB108:AB110)-AB111</f>
        <v>90.588382144282974</v>
      </c>
      <c r="AC112" s="429">
        <f t="shared" ref="AC112" si="132">SUM(AC108:AC110)-AC111</f>
        <v>93.430866229072961</v>
      </c>
      <c r="AD112" s="429">
        <f t="shared" ref="AD112" si="133">SUM(AD108:AD110)-AD111</f>
        <v>96.360227892842929</v>
      </c>
      <c r="AE112" s="429">
        <f t="shared" ref="AE112" si="134">SUM(AE108:AE110)-AE111</f>
        <v>99.39434138255784</v>
      </c>
      <c r="AF112" s="429">
        <f t="shared" ref="AF112" si="135">SUM(AF108:AF110)-AF111</f>
        <v>102.53113040159796</v>
      </c>
      <c r="AG112" s="429">
        <f t="shared" ref="AG112" si="136">SUM(AG108:AG110)-AG111</f>
        <v>105.77651318944329</v>
      </c>
    </row>
    <row r="113" spans="1:34" s="344" customFormat="1">
      <c r="A113" s="342" t="s">
        <v>327</v>
      </c>
      <c r="B113" s="342"/>
      <c r="H113" s="430">
        <f>H115/H63</f>
        <v>1.267109808894914</v>
      </c>
      <c r="AB113" s="430">
        <f>AB115/AB63</f>
        <v>1.1085822205542306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B114" si="137">D114+1</f>
        <v>2027</v>
      </c>
      <c r="F114" s="360">
        <f t="shared" si="137"/>
        <v>2028</v>
      </c>
      <c r="G114" s="360">
        <f t="shared" si="137"/>
        <v>2029</v>
      </c>
      <c r="H114" s="360">
        <f t="shared" si="137"/>
        <v>2030</v>
      </c>
      <c r="I114" s="360">
        <f t="shared" si="137"/>
        <v>2031</v>
      </c>
      <c r="J114" s="360">
        <f t="shared" si="137"/>
        <v>2032</v>
      </c>
      <c r="K114" s="360">
        <f t="shared" si="137"/>
        <v>2033</v>
      </c>
      <c r="L114" s="360">
        <f t="shared" si="137"/>
        <v>2034</v>
      </c>
      <c r="M114" s="360">
        <f t="shared" si="137"/>
        <v>2035</v>
      </c>
      <c r="N114" s="360">
        <f t="shared" si="137"/>
        <v>2036</v>
      </c>
      <c r="O114" s="360">
        <f t="shared" si="137"/>
        <v>2037</v>
      </c>
      <c r="P114" s="360">
        <f t="shared" si="137"/>
        <v>2038</v>
      </c>
      <c r="Q114" s="360">
        <f t="shared" si="137"/>
        <v>2039</v>
      </c>
      <c r="R114" s="360">
        <f t="shared" si="137"/>
        <v>2040</v>
      </c>
      <c r="S114" s="360">
        <f t="shared" si="137"/>
        <v>2041</v>
      </c>
      <c r="T114" s="360">
        <f t="shared" si="137"/>
        <v>2042</v>
      </c>
      <c r="U114" s="360">
        <f t="shared" si="137"/>
        <v>2043</v>
      </c>
      <c r="V114" s="360">
        <f t="shared" si="137"/>
        <v>2044</v>
      </c>
      <c r="W114" s="360">
        <f t="shared" si="137"/>
        <v>2045</v>
      </c>
      <c r="X114" s="360">
        <f t="shared" si="137"/>
        <v>2046</v>
      </c>
      <c r="Y114" s="360">
        <f t="shared" si="137"/>
        <v>2047</v>
      </c>
      <c r="Z114" s="360">
        <f t="shared" si="137"/>
        <v>2048</v>
      </c>
      <c r="AA114" s="360">
        <f t="shared" si="137"/>
        <v>2049</v>
      </c>
      <c r="AB114" s="360">
        <f t="shared" si="137"/>
        <v>2050</v>
      </c>
      <c r="AC114" s="360">
        <f t="shared" ref="AC114" si="138">AB114+1</f>
        <v>2051</v>
      </c>
      <c r="AD114" s="360">
        <f t="shared" ref="AD114" si="139">AC114+1</f>
        <v>2052</v>
      </c>
      <c r="AE114" s="360">
        <f t="shared" ref="AE114" si="140">AD114+1</f>
        <v>2053</v>
      </c>
      <c r="AF114" s="360">
        <f t="shared" ref="AF114" si="141">AE114+1</f>
        <v>2054</v>
      </c>
      <c r="AG114" s="360">
        <f t="shared" ref="AG114" si="142">AF114+1</f>
        <v>2055</v>
      </c>
    </row>
    <row r="115" spans="1:34">
      <c r="A115" s="300" t="s">
        <v>328</v>
      </c>
      <c r="B115" s="300" t="s">
        <v>309</v>
      </c>
      <c r="C115" s="376">
        <f>ROUND(('Changing with year'!C119)/1000,0)*1000</f>
        <v>5179000</v>
      </c>
      <c r="D115" s="376">
        <f>ROUND(('Changing with year'!D119)/1000,0)*1000</f>
        <v>5208000</v>
      </c>
      <c r="E115" s="376">
        <f>ROUND(('Changing with year'!E119)/1000,0)*1000</f>
        <v>5244000</v>
      </c>
      <c r="F115" s="376">
        <f>ROUND(('Changing with year'!F119)/1000,0)*1000</f>
        <v>5288000</v>
      </c>
      <c r="G115" s="376">
        <f>ROUND(('Changing with year'!G119)/1000,0)*1000</f>
        <v>5338000</v>
      </c>
      <c r="H115" s="376">
        <f>ROUND(('Changing with year'!H119)/1000,0)*1000</f>
        <v>5795000</v>
      </c>
      <c r="I115" s="376">
        <f>ROUND(('Changing with year'!I119)/1000,0)*1000</f>
        <v>5884000</v>
      </c>
      <c r="J115" s="376">
        <f>ROUND(('Changing with year'!J119)/1000,0)*1000</f>
        <v>5978000</v>
      </c>
      <c r="K115" s="376">
        <f>ROUND(('Changing with year'!K119)/1000,0)*1000</f>
        <v>6079000</v>
      </c>
      <c r="L115" s="376">
        <f>ROUND(('Changing with year'!L119)/1000,0)*1000</f>
        <v>6185000</v>
      </c>
      <c r="M115" s="376">
        <f>ROUND(('Changing with year'!M119)/1000,0)*1000</f>
        <v>6298000</v>
      </c>
      <c r="N115" s="376">
        <f>ROUND(('Changing with year'!N119)/1000,0)*1000</f>
        <v>6417000</v>
      </c>
      <c r="O115" s="376">
        <f>ROUND(('Changing with year'!O119)/1000,0)*1000</f>
        <v>6543000</v>
      </c>
      <c r="P115" s="376">
        <f>ROUND(('Changing with year'!P119)/1000,0)*1000</f>
        <v>6675000</v>
      </c>
      <c r="Q115" s="376">
        <f>ROUND(('Changing with year'!Q119)/1000,0)*1000</f>
        <v>6813000</v>
      </c>
      <c r="R115" s="376">
        <f>ROUND(('Changing with year'!R119)/1000,0)*1000</f>
        <v>6959000</v>
      </c>
      <c r="S115" s="376">
        <f>ROUND(('Changing with year'!S119)/1000,0)*1000</f>
        <v>7151000</v>
      </c>
      <c r="T115" s="376">
        <f>ROUND(('Changing with year'!T119)/1000,0)*1000</f>
        <v>7349000</v>
      </c>
      <c r="U115" s="376">
        <f>ROUND(('Changing with year'!U119)/1000,0)*1000</f>
        <v>7553000</v>
      </c>
      <c r="V115" s="376">
        <f>ROUND(('Changing with year'!V119)/1000,0)*1000</f>
        <v>7763000</v>
      </c>
      <c r="W115" s="376">
        <f>ROUND(('Changing with year'!W119)/1000,0)*1000</f>
        <v>7979000</v>
      </c>
      <c r="X115" s="376">
        <f>ROUND(('Changing with year'!X119)/1000,0)*1000</f>
        <v>8201000</v>
      </c>
      <c r="Y115" s="376">
        <f>ROUND(('Changing with year'!Y119)/1000,0)*1000</f>
        <v>8430000</v>
      </c>
      <c r="Z115" s="376">
        <f>ROUND(('Changing with year'!Z119)/1000,0)*1000</f>
        <v>8666000</v>
      </c>
      <c r="AA115" s="376">
        <f>ROUND(('Changing with year'!AA119)/1000,0)*1000</f>
        <v>8908000</v>
      </c>
      <c r="AB115" s="376">
        <f>ROUND(('Changing with year'!AB119)/1000,0)*1000</f>
        <v>9157000</v>
      </c>
      <c r="AC115" s="376">
        <f>ROUND(('Changing with year'!AC119)/1000,0)*1000</f>
        <v>9414000</v>
      </c>
      <c r="AD115" s="376">
        <f>ROUND(('Changing with year'!AD119)/1000,0)*1000</f>
        <v>9679000</v>
      </c>
      <c r="AE115" s="376">
        <f>ROUND(('Changing with year'!AE119)/1000,0)*1000</f>
        <v>9951000</v>
      </c>
      <c r="AF115" s="376">
        <f>ROUND(('Changing with year'!AF119)/1000,0)*1000</f>
        <v>10231000</v>
      </c>
      <c r="AG115" s="376">
        <f>ROUND(('Changing with year'!AG119)/1000,0)*1000</f>
        <v>10519000</v>
      </c>
    </row>
    <row r="116" spans="1:34">
      <c r="A116" s="300" t="s">
        <v>310</v>
      </c>
      <c r="B116" s="300" t="s">
        <v>309</v>
      </c>
      <c r="C116" s="376">
        <f>(C115*'No change with year'!$AH$6)</f>
        <v>1294750.0000000002</v>
      </c>
      <c r="D116" s="376">
        <f>(D115*'No change with year'!$AH$6)</f>
        <v>1302000.0000000002</v>
      </c>
      <c r="E116" s="376">
        <f>(E115*'No change with year'!$AH$6)</f>
        <v>1311000.0000000002</v>
      </c>
      <c r="F116" s="376">
        <f>(F115*'No change with year'!$AH$6)</f>
        <v>1322000.0000000002</v>
      </c>
      <c r="G116" s="376">
        <f>(G115*'No change with year'!$AH$6)</f>
        <v>1334500.0000000002</v>
      </c>
      <c r="H116" s="376">
        <f>(H115*'No change with year'!$AH$6)</f>
        <v>1448750.0000000002</v>
      </c>
      <c r="I116" s="376">
        <f>(I115*'No change with year'!$AH$6)</f>
        <v>1471000.0000000002</v>
      </c>
      <c r="J116" s="376">
        <f>(J115*'No change with year'!$AH$6)</f>
        <v>1494500.0000000002</v>
      </c>
      <c r="K116" s="376">
        <f>(K115*'No change with year'!$AH$6)</f>
        <v>1519750.0000000002</v>
      </c>
      <c r="L116" s="376">
        <f>(L115*'No change with year'!$AH$6)</f>
        <v>1546250.0000000002</v>
      </c>
      <c r="M116" s="376">
        <f>(M115*'No change with year'!$AH$6)</f>
        <v>1574500.0000000005</v>
      </c>
      <c r="N116" s="376">
        <f>(N115*'No change with year'!$AI$6)</f>
        <v>2245950.0000000005</v>
      </c>
      <c r="O116" s="376">
        <f>(O115*'No change with year'!$AI$6)</f>
        <v>2290050.0000000005</v>
      </c>
      <c r="P116" s="376">
        <f>(P115*'No change with year'!$AI$6)</f>
        <v>2336250.0000000005</v>
      </c>
      <c r="Q116" s="376">
        <f>(Q115*'No change with year'!$AI$6)</f>
        <v>2384550.0000000005</v>
      </c>
      <c r="R116" s="376">
        <f>(R115*'No change with year'!$AI$6)</f>
        <v>2435650.0000000005</v>
      </c>
      <c r="S116" s="376">
        <f>(S115*'No change with year'!$AI$6)</f>
        <v>2502850.0000000005</v>
      </c>
      <c r="T116" s="376">
        <f>(T115*'No change with year'!$AI$6)</f>
        <v>2572150.0000000005</v>
      </c>
      <c r="U116" s="376">
        <f>(U115*'No change with year'!$AI$6)</f>
        <v>2643550.0000000005</v>
      </c>
      <c r="V116" s="376">
        <f>(V115*'No change with year'!$AI$6)</f>
        <v>2717050.0000000005</v>
      </c>
      <c r="W116" s="376">
        <f>(W115*'No change with year'!$AI$6)</f>
        <v>2792650.0000000009</v>
      </c>
      <c r="X116" s="376">
        <f>(X115*'No change with year'!$AJ$6)</f>
        <v>3280400</v>
      </c>
      <c r="Y116" s="376">
        <f>(Y115*'No change with year'!$AJ$6)</f>
        <v>3372000</v>
      </c>
      <c r="Z116" s="376">
        <f>(Z115*'No change with year'!$AJ$6)</f>
        <v>3466400</v>
      </c>
      <c r="AA116" s="376">
        <f>(AA115*'No change with year'!$AJ$6)</f>
        <v>3563200</v>
      </c>
      <c r="AB116" s="376">
        <f>(AB115*'No change with year'!$AJ$6)</f>
        <v>3662800</v>
      </c>
      <c r="AC116" s="376">
        <f>(AC115*'No change with year'!$AJ$6)</f>
        <v>3765600</v>
      </c>
      <c r="AD116" s="376">
        <f>(AD115*'No change with year'!$AJ$6)</f>
        <v>3871600</v>
      </c>
      <c r="AE116" s="376">
        <f>(AE115*'No change with year'!$AJ$6)</f>
        <v>3980400</v>
      </c>
      <c r="AF116" s="376">
        <f>(AF115*'No change with year'!$AJ$6)</f>
        <v>4092400</v>
      </c>
      <c r="AG116" s="376">
        <f>(AG115*'No change with year'!$AJ$6)</f>
        <v>4207600</v>
      </c>
    </row>
    <row r="117" spans="1:34" s="371" customFormat="1" ht="11.85" customHeight="1">
      <c r="A117" s="428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00" t="s">
        <v>312</v>
      </c>
      <c r="B118" s="300" t="s">
        <v>313</v>
      </c>
      <c r="C118" s="376">
        <f t="shared" ref="C118:N118" si="143">-PMT($C$26,$C$25,C115)</f>
        <v>1134810.7542333035</v>
      </c>
      <c r="D118" s="376">
        <f t="shared" si="143"/>
        <v>1141165.1685744436</v>
      </c>
      <c r="E118" s="376">
        <f t="shared" si="143"/>
        <v>1149053.4070668938</v>
      </c>
      <c r="F118" s="376">
        <f t="shared" si="143"/>
        <v>1158694.5874465548</v>
      </c>
      <c r="G118" s="376">
        <f t="shared" si="143"/>
        <v>1169650.4742416246</v>
      </c>
      <c r="H118" s="376">
        <f t="shared" si="143"/>
        <v>1269787.2795485603</v>
      </c>
      <c r="I118" s="376">
        <f t="shared" si="143"/>
        <v>1289288.7580437839</v>
      </c>
      <c r="J118" s="376">
        <f t="shared" si="143"/>
        <v>1309885.8252185148</v>
      </c>
      <c r="K118" s="376">
        <f t="shared" si="143"/>
        <v>1332016.716544555</v>
      </c>
      <c r="L118" s="376">
        <f t="shared" si="143"/>
        <v>1355243.1965501027</v>
      </c>
      <c r="M118" s="376">
        <f t="shared" si="143"/>
        <v>1380003.5007069597</v>
      </c>
      <c r="N118" s="376">
        <f t="shared" si="143"/>
        <v>1406078.5112792251</v>
      </c>
      <c r="O118" s="376">
        <f>-PMT($C$28,$C$27,O115)</f>
        <v>1433687.3460028004</v>
      </c>
      <c r="P118" s="376">
        <f t="shared" ref="P118:AG118" si="144">-PMT($C$28,$C$27,P115)</f>
        <v>1462610.887141784</v>
      </c>
      <c r="Q118" s="376">
        <f t="shared" si="144"/>
        <v>1492849.1346961758</v>
      </c>
      <c r="R118" s="376">
        <f t="shared" si="144"/>
        <v>1524840.3241377792</v>
      </c>
      <c r="S118" s="376">
        <f t="shared" si="144"/>
        <v>1566910.9294308461</v>
      </c>
      <c r="T118" s="376">
        <f t="shared" si="144"/>
        <v>1610296.2411393216</v>
      </c>
      <c r="U118" s="376">
        <f t="shared" si="144"/>
        <v>1654996.2592632051</v>
      </c>
      <c r="V118" s="376">
        <f t="shared" si="144"/>
        <v>1701010.9838024972</v>
      </c>
      <c r="W118" s="376">
        <f t="shared" si="144"/>
        <v>1748340.4147571977</v>
      </c>
      <c r="X118" s="376">
        <f t="shared" si="144"/>
        <v>1796984.5521273066</v>
      </c>
      <c r="Y118" s="376">
        <f t="shared" si="144"/>
        <v>1847162.5136487251</v>
      </c>
      <c r="Z118" s="376">
        <f t="shared" si="144"/>
        <v>1898874.2993214533</v>
      </c>
      <c r="AA118" s="376">
        <f t="shared" si="144"/>
        <v>1951900.7914095898</v>
      </c>
      <c r="AB118" s="376">
        <f t="shared" si="144"/>
        <v>2006461.1076490362</v>
      </c>
      <c r="AC118" s="376">
        <f t="shared" si="144"/>
        <v>2062774.3657756939</v>
      </c>
      <c r="AD118" s="376">
        <f t="shared" si="144"/>
        <v>2120840.5657895622</v>
      </c>
      <c r="AE118" s="376">
        <f t="shared" si="144"/>
        <v>2180440.5899547408</v>
      </c>
      <c r="AF118" s="376">
        <f t="shared" si="144"/>
        <v>2241793.5560071301</v>
      </c>
      <c r="AG118" s="376">
        <f t="shared" si="144"/>
        <v>2304899.4639467304</v>
      </c>
    </row>
    <row r="119" spans="1:34">
      <c r="A119" s="300" t="s">
        <v>321</v>
      </c>
      <c r="B119" s="300" t="s">
        <v>313</v>
      </c>
      <c r="C119" s="376">
        <f t="shared" ref="C119:AG119" si="145">$F$37*C50</f>
        <v>5291000</v>
      </c>
      <c r="D119" s="376">
        <f t="shared" si="145"/>
        <v>5241866.666666667</v>
      </c>
      <c r="E119" s="376">
        <f t="shared" si="145"/>
        <v>5197635.666666667</v>
      </c>
      <c r="F119" s="376">
        <f t="shared" si="145"/>
        <v>5158197.6966666672</v>
      </c>
      <c r="G119" s="376">
        <f t="shared" si="145"/>
        <v>5123448.7197666671</v>
      </c>
      <c r="H119" s="376">
        <f t="shared" si="145"/>
        <v>5093289.7979736673</v>
      </c>
      <c r="I119" s="376">
        <f t="shared" si="145"/>
        <v>4789950.5312925195</v>
      </c>
      <c r="J119" s="376">
        <f t="shared" si="145"/>
        <v>4630303.6439332627</v>
      </c>
      <c r="K119" s="376">
        <f t="shared" si="145"/>
        <v>4475966.7079884736</v>
      </c>
      <c r="L119" s="376">
        <f t="shared" si="145"/>
        <v>4326739.3256137148</v>
      </c>
      <c r="M119" s="376">
        <f t="shared" si="145"/>
        <v>4182429.4116877443</v>
      </c>
      <c r="N119" s="376">
        <f t="shared" si="145"/>
        <v>4042852.8266997077</v>
      </c>
      <c r="O119" s="376">
        <f t="shared" si="145"/>
        <v>3907833.0265011205</v>
      </c>
      <c r="P119" s="376">
        <f t="shared" si="145"/>
        <v>3777200.7281283815</v>
      </c>
      <c r="Q119" s="376">
        <f t="shared" si="145"/>
        <v>3650793.5909395809</v>
      </c>
      <c r="R119" s="376">
        <f t="shared" si="145"/>
        <v>3528455.9123455533</v>
      </c>
      <c r="S119" s="376">
        <f t="shared" si="145"/>
        <v>3257764.4596723313</v>
      </c>
      <c r="T119" s="376">
        <f t="shared" si="145"/>
        <v>3165262.2248099623</v>
      </c>
      <c r="U119" s="376">
        <f t="shared" si="145"/>
        <v>3076051.8466957216</v>
      </c>
      <c r="V119" s="376">
        <f t="shared" si="145"/>
        <v>2989991.0468955655</v>
      </c>
      <c r="W119" s="376">
        <f t="shared" si="145"/>
        <v>2906944.1682975171</v>
      </c>
      <c r="X119" s="376">
        <f t="shared" si="145"/>
        <v>2826781.8570552259</v>
      </c>
      <c r="Y119" s="376">
        <f t="shared" si="145"/>
        <v>2749380.760061746</v>
      </c>
      <c r="Z119" s="376">
        <f t="shared" si="145"/>
        <v>2674623.2371880184</v>
      </c>
      <c r="AA119" s="376">
        <f t="shared" si="145"/>
        <v>2602397.0875584935</v>
      </c>
      <c r="AB119" s="376">
        <f t="shared" si="145"/>
        <v>2532595.2891724021</v>
      </c>
      <c r="AC119" s="376">
        <f t="shared" si="145"/>
        <v>2447497.8600839656</v>
      </c>
      <c r="AD119" s="376">
        <f t="shared" si="145"/>
        <v>2455933.0076600867</v>
      </c>
      <c r="AE119" s="376">
        <f t="shared" si="145"/>
        <v>2467233.8305687243</v>
      </c>
      <c r="AF119" s="376">
        <f t="shared" si="145"/>
        <v>2481354.2872271012</v>
      </c>
      <c r="AG119" s="376">
        <f t="shared" si="145"/>
        <v>2498252.7680588514</v>
      </c>
    </row>
    <row r="120" spans="1:34">
      <c r="A120" s="300" t="s">
        <v>317</v>
      </c>
      <c r="B120" s="300" t="s">
        <v>313</v>
      </c>
      <c r="C120" s="376">
        <f t="shared" ref="C120:AG120" si="146">$C$22*$C$21*C56</f>
        <v>465300</v>
      </c>
      <c r="D120" s="376">
        <f t="shared" si="146"/>
        <v>483912.00000000006</v>
      </c>
      <c r="E120" s="376">
        <f t="shared" si="146"/>
        <v>503268.4800000001</v>
      </c>
      <c r="F120" s="376">
        <f t="shared" si="146"/>
        <v>523399.21920000011</v>
      </c>
      <c r="G120" s="376">
        <f t="shared" si="146"/>
        <v>544335.18796800019</v>
      </c>
      <c r="H120" s="376">
        <f t="shared" si="146"/>
        <v>566108.59548672021</v>
      </c>
      <c r="I120" s="376">
        <f t="shared" si="146"/>
        <v>588752.93930618896</v>
      </c>
      <c r="J120" s="376">
        <f t="shared" si="146"/>
        <v>612303.05687843659</v>
      </c>
      <c r="K120" s="376">
        <f t="shared" si="146"/>
        <v>636795.17915357405</v>
      </c>
      <c r="L120" s="376">
        <f t="shared" si="146"/>
        <v>662266.98631971714</v>
      </c>
      <c r="M120" s="376">
        <f t="shared" si="146"/>
        <v>688757.6657725058</v>
      </c>
      <c r="N120" s="376">
        <f t="shared" si="146"/>
        <v>716307.97240340605</v>
      </c>
      <c r="O120" s="376">
        <f t="shared" si="146"/>
        <v>744960.2912995423</v>
      </c>
      <c r="P120" s="376">
        <f t="shared" si="146"/>
        <v>774758.70295152406</v>
      </c>
      <c r="Q120" s="376">
        <f t="shared" si="146"/>
        <v>805749.05106958502</v>
      </c>
      <c r="R120" s="376">
        <f t="shared" si="146"/>
        <v>837979.01311236841</v>
      </c>
      <c r="S120" s="376">
        <f t="shared" si="146"/>
        <v>871498.17363686312</v>
      </c>
      <c r="T120" s="376">
        <f t="shared" si="146"/>
        <v>906358.10058233771</v>
      </c>
      <c r="U120" s="376">
        <f t="shared" si="146"/>
        <v>942612.42460563127</v>
      </c>
      <c r="V120" s="376">
        <f t="shared" si="146"/>
        <v>980316.9215898565</v>
      </c>
      <c r="W120" s="376">
        <f t="shared" si="146"/>
        <v>1019529.5984534507</v>
      </c>
      <c r="X120" s="376">
        <f t="shared" si="146"/>
        <v>1060310.7823915889</v>
      </c>
      <c r="Y120" s="376">
        <f t="shared" si="146"/>
        <v>1102723.2136872523</v>
      </c>
      <c r="Z120" s="376">
        <f t="shared" si="146"/>
        <v>1146832.1422347426</v>
      </c>
      <c r="AA120" s="376">
        <f t="shared" si="146"/>
        <v>1192705.4279241324</v>
      </c>
      <c r="AB120" s="376">
        <f t="shared" si="146"/>
        <v>1240413.6450410977</v>
      </c>
      <c r="AC120" s="376">
        <f t="shared" si="146"/>
        <v>1290030.1908427416</v>
      </c>
      <c r="AD120" s="376">
        <f t="shared" si="146"/>
        <v>1341631.3984764514</v>
      </c>
      <c r="AE120" s="376">
        <f t="shared" si="146"/>
        <v>1395296.6544155094</v>
      </c>
      <c r="AF120" s="376">
        <f t="shared" si="146"/>
        <v>1451108.52059213</v>
      </c>
      <c r="AG120" s="376">
        <f t="shared" si="146"/>
        <v>1509152.8614158153</v>
      </c>
    </row>
    <row r="121" spans="1:34">
      <c r="A121" s="300" t="s">
        <v>318</v>
      </c>
      <c r="B121" s="300" t="s">
        <v>313</v>
      </c>
      <c r="C121" s="376">
        <f>'Changing with year'!C289</f>
        <v>450000</v>
      </c>
      <c r="D121" s="376">
        <f>'Changing with year'!D289</f>
        <v>470000</v>
      </c>
      <c r="E121" s="376">
        <f>'Changing with year'!E289</f>
        <v>491000</v>
      </c>
      <c r="F121" s="376">
        <f>'Changing with year'!F289</f>
        <v>513000</v>
      </c>
      <c r="G121" s="376">
        <f>'Changing with year'!G289</f>
        <v>536000</v>
      </c>
      <c r="H121" s="376">
        <f>'Changing with year'!H289</f>
        <v>560000</v>
      </c>
      <c r="I121" s="376">
        <f>'Changing with year'!I289</f>
        <v>585000</v>
      </c>
      <c r="J121" s="376">
        <f>'Changing with year'!J289</f>
        <v>611000</v>
      </c>
      <c r="K121" s="376">
        <f>'Changing with year'!K289</f>
        <v>638000</v>
      </c>
      <c r="L121" s="376">
        <f>'Changing with year'!L289</f>
        <v>667000</v>
      </c>
      <c r="M121" s="376">
        <f>'Changing with year'!M289</f>
        <v>697000</v>
      </c>
      <c r="N121" s="376">
        <f>'Changing with year'!N289</f>
        <v>728000</v>
      </c>
      <c r="O121" s="376">
        <f>'Changing with year'!O289</f>
        <v>761000</v>
      </c>
      <c r="P121" s="376">
        <f>'Changing with year'!P289</f>
        <v>795000</v>
      </c>
      <c r="Q121" s="376">
        <f>'Changing with year'!Q289</f>
        <v>831000</v>
      </c>
      <c r="R121" s="376">
        <f>'Changing with year'!R289</f>
        <v>868000</v>
      </c>
      <c r="S121" s="376">
        <f>'Changing with year'!S289</f>
        <v>907000</v>
      </c>
      <c r="T121" s="376">
        <f>'Changing with year'!T289</f>
        <v>948000</v>
      </c>
      <c r="U121" s="376">
        <f>'Changing with year'!U289</f>
        <v>991000</v>
      </c>
      <c r="V121" s="376">
        <f>'Changing with year'!V289</f>
        <v>1036000</v>
      </c>
      <c r="W121" s="376">
        <f>'Changing with year'!W289</f>
        <v>1083000</v>
      </c>
      <c r="X121" s="376">
        <f>'Changing with year'!X289</f>
        <v>1132000</v>
      </c>
      <c r="Y121" s="376">
        <f>'Changing with year'!Y289</f>
        <v>1183000</v>
      </c>
      <c r="Z121" s="376">
        <f>'Changing with year'!Z289</f>
        <v>1236000</v>
      </c>
      <c r="AA121" s="376">
        <f>'Changing with year'!AA289</f>
        <v>1292000</v>
      </c>
      <c r="AB121" s="376">
        <f>'Changing with year'!AB289</f>
        <v>1350000</v>
      </c>
      <c r="AC121" s="376">
        <f>'Changing with year'!AC289</f>
        <v>1411000</v>
      </c>
      <c r="AD121" s="376">
        <f>'Changing with year'!AD289</f>
        <v>1474000</v>
      </c>
      <c r="AE121" s="376">
        <f>'Changing with year'!AE289</f>
        <v>1540000</v>
      </c>
      <c r="AF121" s="376">
        <f>'Changing with year'!AF289</f>
        <v>1609000</v>
      </c>
      <c r="AG121" s="376">
        <f>'Changing with year'!AG289</f>
        <v>1681000</v>
      </c>
      <c r="AH121" s="339"/>
    </row>
    <row r="122" spans="1:34">
      <c r="A122" s="300" t="s">
        <v>272</v>
      </c>
      <c r="B122" s="300" t="s">
        <v>313</v>
      </c>
      <c r="C122" s="376">
        <f t="shared" ref="C122:AG122" si="147">C60</f>
        <v>693000</v>
      </c>
      <c r="D122" s="376">
        <f t="shared" si="147"/>
        <v>699930.00000000012</v>
      </c>
      <c r="E122" s="376">
        <f t="shared" si="147"/>
        <v>706929.3</v>
      </c>
      <c r="F122" s="376">
        <f t="shared" si="147"/>
        <v>713998.59300000011</v>
      </c>
      <c r="G122" s="376">
        <f t="shared" si="147"/>
        <v>721138.57892999996</v>
      </c>
      <c r="H122" s="376">
        <f t="shared" si="147"/>
        <v>728349.96471930004</v>
      </c>
      <c r="I122" s="376">
        <f t="shared" si="147"/>
        <v>735633.46436649305</v>
      </c>
      <c r="J122" s="376">
        <f t="shared" si="147"/>
        <v>742989.79901015793</v>
      </c>
      <c r="K122" s="376">
        <f t="shared" si="147"/>
        <v>750419.69700025953</v>
      </c>
      <c r="L122" s="376">
        <f t="shared" si="147"/>
        <v>757923.89397026226</v>
      </c>
      <c r="M122" s="376">
        <f t="shared" si="147"/>
        <v>765503.13290996477</v>
      </c>
      <c r="N122" s="376">
        <f t="shared" si="147"/>
        <v>773158.16423906432</v>
      </c>
      <c r="O122" s="376">
        <f t="shared" si="147"/>
        <v>780889.74588145502</v>
      </c>
      <c r="P122" s="376">
        <f t="shared" si="147"/>
        <v>788698.64334026957</v>
      </c>
      <c r="Q122" s="376">
        <f t="shared" si="147"/>
        <v>796585.62977367244</v>
      </c>
      <c r="R122" s="376">
        <f t="shared" si="147"/>
        <v>804551.48607140908</v>
      </c>
      <c r="S122" s="376">
        <f t="shared" si="147"/>
        <v>812597.00093212316</v>
      </c>
      <c r="T122" s="376">
        <f t="shared" si="147"/>
        <v>820722.97094144451</v>
      </c>
      <c r="U122" s="376">
        <f t="shared" si="147"/>
        <v>828930.20065085881</v>
      </c>
      <c r="V122" s="376">
        <f t="shared" si="147"/>
        <v>837219.5026573675</v>
      </c>
      <c r="W122" s="376">
        <f t="shared" si="147"/>
        <v>845591.69768394111</v>
      </c>
      <c r="X122" s="376">
        <f t="shared" si="147"/>
        <v>854047.61466078053</v>
      </c>
      <c r="Y122" s="376">
        <f t="shared" si="147"/>
        <v>862588.09080738842</v>
      </c>
      <c r="Z122" s="376">
        <f t="shared" si="147"/>
        <v>871213.97171546239</v>
      </c>
      <c r="AA122" s="376">
        <f t="shared" si="147"/>
        <v>879926.11143261695</v>
      </c>
      <c r="AB122" s="376">
        <f t="shared" si="147"/>
        <v>888725.37254694325</v>
      </c>
      <c r="AC122" s="376">
        <f t="shared" si="147"/>
        <v>897612.62627241272</v>
      </c>
      <c r="AD122" s="376">
        <f t="shared" si="147"/>
        <v>906588.75253513677</v>
      </c>
      <c r="AE122" s="376">
        <f t="shared" si="147"/>
        <v>915654.64006048813</v>
      </c>
      <c r="AF122" s="376">
        <f t="shared" si="147"/>
        <v>924811.18646109302</v>
      </c>
      <c r="AG122" s="376">
        <f t="shared" si="147"/>
        <v>934059.29832570395</v>
      </c>
    </row>
    <row r="123" spans="1:34">
      <c r="A123" s="300" t="s">
        <v>319</v>
      </c>
      <c r="B123" s="300" t="s">
        <v>313</v>
      </c>
      <c r="C123" s="376">
        <f t="shared" ref="C123:AG123" si="148">C115*$C$29</f>
        <v>103580</v>
      </c>
      <c r="D123" s="376">
        <f t="shared" si="148"/>
        <v>104160</v>
      </c>
      <c r="E123" s="376">
        <f t="shared" si="148"/>
        <v>104880</v>
      </c>
      <c r="F123" s="376">
        <f t="shared" si="148"/>
        <v>105760</v>
      </c>
      <c r="G123" s="376">
        <f t="shared" si="148"/>
        <v>106760</v>
      </c>
      <c r="H123" s="376">
        <f t="shared" si="148"/>
        <v>115900</v>
      </c>
      <c r="I123" s="376">
        <f t="shared" si="148"/>
        <v>117680</v>
      </c>
      <c r="J123" s="376">
        <f t="shared" si="148"/>
        <v>119560</v>
      </c>
      <c r="K123" s="376">
        <f t="shared" si="148"/>
        <v>121580</v>
      </c>
      <c r="L123" s="376">
        <f t="shared" si="148"/>
        <v>123700</v>
      </c>
      <c r="M123" s="376">
        <f t="shared" si="148"/>
        <v>125960</v>
      </c>
      <c r="N123" s="376">
        <f t="shared" si="148"/>
        <v>128340</v>
      </c>
      <c r="O123" s="376">
        <f t="shared" si="148"/>
        <v>130860</v>
      </c>
      <c r="P123" s="376">
        <f t="shared" si="148"/>
        <v>133500</v>
      </c>
      <c r="Q123" s="376">
        <f t="shared" si="148"/>
        <v>136260</v>
      </c>
      <c r="R123" s="376">
        <f t="shared" si="148"/>
        <v>139180</v>
      </c>
      <c r="S123" s="376">
        <f t="shared" si="148"/>
        <v>143020</v>
      </c>
      <c r="T123" s="376">
        <f t="shared" si="148"/>
        <v>146980</v>
      </c>
      <c r="U123" s="376">
        <f t="shared" si="148"/>
        <v>151060</v>
      </c>
      <c r="V123" s="376">
        <f t="shared" si="148"/>
        <v>155260</v>
      </c>
      <c r="W123" s="376">
        <f t="shared" si="148"/>
        <v>159580</v>
      </c>
      <c r="X123" s="376">
        <f t="shared" si="148"/>
        <v>164020</v>
      </c>
      <c r="Y123" s="376">
        <f t="shared" si="148"/>
        <v>168600</v>
      </c>
      <c r="Z123" s="376">
        <f t="shared" si="148"/>
        <v>173320</v>
      </c>
      <c r="AA123" s="376">
        <f t="shared" si="148"/>
        <v>178160</v>
      </c>
      <c r="AB123" s="376">
        <f t="shared" si="148"/>
        <v>183140</v>
      </c>
      <c r="AC123" s="376">
        <f t="shared" si="148"/>
        <v>188280</v>
      </c>
      <c r="AD123" s="376">
        <f t="shared" si="148"/>
        <v>193580</v>
      </c>
      <c r="AE123" s="376">
        <f t="shared" si="148"/>
        <v>199020</v>
      </c>
      <c r="AF123" s="376">
        <f t="shared" si="148"/>
        <v>204620</v>
      </c>
      <c r="AG123" s="376">
        <f t="shared" si="148"/>
        <v>210380</v>
      </c>
    </row>
    <row r="124" spans="1:34" s="371" customFormat="1" ht="11.85" customHeight="1">
      <c r="A124" s="428" t="s">
        <v>320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/>
      <c r="AE124" s="428"/>
      <c r="AF124" s="428"/>
      <c r="AG124" s="428"/>
    </row>
    <row r="125" spans="1:34">
      <c r="A125" s="300" t="s">
        <v>325</v>
      </c>
      <c r="B125" s="300" t="s">
        <v>300</v>
      </c>
      <c r="C125" s="379">
        <f t="shared" ref="C125:AG125" si="149">C118/($C$22*$C$21)</f>
        <v>11.462734891245489</v>
      </c>
      <c r="D125" s="379">
        <f t="shared" si="149"/>
        <v>11.526920894691349</v>
      </c>
      <c r="E125" s="379">
        <f t="shared" si="149"/>
        <v>11.606600071382765</v>
      </c>
      <c r="F125" s="379">
        <f t="shared" si="149"/>
        <v>11.703985731783382</v>
      </c>
      <c r="G125" s="379">
        <f t="shared" si="149"/>
        <v>11.814651254965906</v>
      </c>
      <c r="H125" s="379">
        <f t="shared" si="149"/>
        <v>12.826134136854144</v>
      </c>
      <c r="I125" s="379">
        <f t="shared" si="149"/>
        <v>13.02311876811903</v>
      </c>
      <c r="J125" s="379">
        <f t="shared" si="149"/>
        <v>13.231169951702169</v>
      </c>
      <c r="K125" s="379">
        <f t="shared" si="149"/>
        <v>13.454714308530859</v>
      </c>
      <c r="L125" s="379">
        <f t="shared" si="149"/>
        <v>13.689325217677805</v>
      </c>
      <c r="M125" s="379">
        <f t="shared" si="149"/>
        <v>13.9394293000703</v>
      </c>
      <c r="N125" s="379">
        <f t="shared" si="149"/>
        <v>14.202813245244698</v>
      </c>
      <c r="O125" s="379">
        <f t="shared" si="149"/>
        <v>14.481690363664651</v>
      </c>
      <c r="P125" s="379">
        <f t="shared" si="149"/>
        <v>14.773847344866505</v>
      </c>
      <c r="Q125" s="379">
        <f t="shared" si="149"/>
        <v>15.079284188850261</v>
      </c>
      <c r="R125" s="379">
        <f t="shared" si="149"/>
        <v>15.402427516543224</v>
      </c>
      <c r="S125" s="379">
        <f t="shared" si="149"/>
        <v>15.827383125564102</v>
      </c>
      <c r="T125" s="379">
        <f t="shared" si="149"/>
        <v>16.265618597366885</v>
      </c>
      <c r="U125" s="379">
        <f t="shared" si="149"/>
        <v>16.717133931951565</v>
      </c>
      <c r="V125" s="379">
        <f t="shared" si="149"/>
        <v>17.181929129318153</v>
      </c>
      <c r="W125" s="379">
        <f t="shared" si="149"/>
        <v>17.660004189466644</v>
      </c>
      <c r="X125" s="379">
        <f t="shared" si="149"/>
        <v>18.151359112397035</v>
      </c>
      <c r="Y125" s="379">
        <f t="shared" si="149"/>
        <v>18.658207208572982</v>
      </c>
      <c r="Z125" s="379">
        <f t="shared" si="149"/>
        <v>19.180548477994478</v>
      </c>
      <c r="AA125" s="379">
        <f t="shared" si="149"/>
        <v>19.716169610197877</v>
      </c>
      <c r="AB125" s="379">
        <f t="shared" si="149"/>
        <v>20.267283915646832</v>
      </c>
      <c r="AC125" s="379">
        <f t="shared" si="149"/>
        <v>20.836104704804988</v>
      </c>
      <c r="AD125" s="379">
        <f t="shared" si="149"/>
        <v>21.422631977672346</v>
      </c>
      <c r="AE125" s="379">
        <f t="shared" si="149"/>
        <v>22.024652423785263</v>
      </c>
      <c r="AF125" s="379">
        <f t="shared" si="149"/>
        <v>22.644379353607373</v>
      </c>
      <c r="AG125" s="379">
        <f t="shared" si="149"/>
        <v>23.281812767138689</v>
      </c>
    </row>
    <row r="126" spans="1:34">
      <c r="A126" s="300" t="s">
        <v>321</v>
      </c>
      <c r="B126" s="300" t="s">
        <v>300</v>
      </c>
      <c r="C126" s="379">
        <f t="shared" ref="C126:AG126" si="150">C119/($C$22*$C$21)</f>
        <v>53.444444444444443</v>
      </c>
      <c r="D126" s="379">
        <f t="shared" si="150"/>
        <v>52.94814814814815</v>
      </c>
      <c r="E126" s="379">
        <f t="shared" si="150"/>
        <v>52.501370370370374</v>
      </c>
      <c r="F126" s="379">
        <f t="shared" si="150"/>
        <v>52.103007037037045</v>
      </c>
      <c r="G126" s="379">
        <f t="shared" si="150"/>
        <v>51.752007270370378</v>
      </c>
      <c r="H126" s="379">
        <f t="shared" si="150"/>
        <v>51.447371696703712</v>
      </c>
      <c r="I126" s="379">
        <f t="shared" si="150"/>
        <v>48.383338699924437</v>
      </c>
      <c r="J126" s="379">
        <f t="shared" si="150"/>
        <v>46.770743878113763</v>
      </c>
      <c r="K126" s="379">
        <f t="shared" si="150"/>
        <v>45.211784929176503</v>
      </c>
      <c r="L126" s="379">
        <f t="shared" si="150"/>
        <v>43.704437632461769</v>
      </c>
      <c r="M126" s="379">
        <f t="shared" si="150"/>
        <v>42.246761734219639</v>
      </c>
      <c r="N126" s="379">
        <f t="shared" si="150"/>
        <v>40.836897239390986</v>
      </c>
      <c r="O126" s="379">
        <f t="shared" si="150"/>
        <v>39.473060873748693</v>
      </c>
      <c r="P126" s="379">
        <f t="shared" si="150"/>
        <v>38.153542708367489</v>
      </c>
      <c r="Q126" s="379">
        <f t="shared" si="150"/>
        <v>36.876702938783644</v>
      </c>
      <c r="R126" s="379">
        <f t="shared" si="150"/>
        <v>35.640968811571248</v>
      </c>
      <c r="S126" s="379">
        <f t="shared" si="150"/>
        <v>32.906711713861931</v>
      </c>
      <c r="T126" s="379">
        <f t="shared" si="150"/>
        <v>31.972345705151135</v>
      </c>
      <c r="U126" s="379">
        <f t="shared" si="150"/>
        <v>31.071230774704258</v>
      </c>
      <c r="V126" s="379">
        <f t="shared" si="150"/>
        <v>30.201929766621873</v>
      </c>
      <c r="W126" s="379">
        <f t="shared" si="150"/>
        <v>29.363072407045628</v>
      </c>
      <c r="X126" s="379">
        <f t="shared" si="150"/>
        <v>28.553352091466927</v>
      </c>
      <c r="Y126" s="379">
        <f t="shared" si="150"/>
        <v>27.771522828906527</v>
      </c>
      <c r="Z126" s="379">
        <f t="shared" si="150"/>
        <v>27.01639633523251</v>
      </c>
      <c r="AA126" s="379">
        <f t="shared" si="150"/>
        <v>26.28683926826761</v>
      </c>
      <c r="AB126" s="379">
        <f t="shared" si="150"/>
        <v>25.581770597701031</v>
      </c>
      <c r="AC126" s="379">
        <f t="shared" si="150"/>
        <v>24.722200606908743</v>
      </c>
      <c r="AD126" s="379">
        <f t="shared" si="150"/>
        <v>24.807404117778653</v>
      </c>
      <c r="AE126" s="379">
        <f t="shared" si="150"/>
        <v>24.921553844128528</v>
      </c>
      <c r="AF126" s="379">
        <f t="shared" si="150"/>
        <v>25.064184719465668</v>
      </c>
      <c r="AG126" s="379">
        <f t="shared" si="150"/>
        <v>25.234876445038903</v>
      </c>
    </row>
    <row r="127" spans="1:34">
      <c r="A127" s="300" t="s">
        <v>322</v>
      </c>
      <c r="B127" s="300" t="s">
        <v>300</v>
      </c>
      <c r="C127" s="379">
        <f t="shared" ref="C127:AG127" si="151">(C120+C121+C122+C123)/($C$22*$C$21)</f>
        <v>17.29171717171717</v>
      </c>
      <c r="D127" s="379">
        <f t="shared" si="151"/>
        <v>17.75759595959596</v>
      </c>
      <c r="E127" s="379">
        <f t="shared" si="151"/>
        <v>18.243209898989903</v>
      </c>
      <c r="F127" s="379">
        <f t="shared" si="151"/>
        <v>18.749068810101011</v>
      </c>
      <c r="G127" s="379">
        <f t="shared" si="151"/>
        <v>19.275088554525254</v>
      </c>
      <c r="H127" s="379">
        <f t="shared" si="151"/>
        <v>19.902611719252729</v>
      </c>
      <c r="I127" s="379">
        <f t="shared" si="151"/>
        <v>20.47541821891598</v>
      </c>
      <c r="J127" s="379">
        <f t="shared" si="151"/>
        <v>21.06922076655146</v>
      </c>
      <c r="K127" s="379">
        <f t="shared" si="151"/>
        <v>21.684796728826601</v>
      </c>
      <c r="L127" s="379">
        <f t="shared" si="151"/>
        <v>22.332231114040194</v>
      </c>
      <c r="M127" s="379">
        <f t="shared" si="151"/>
        <v>23.002230289721929</v>
      </c>
      <c r="N127" s="379">
        <f t="shared" si="151"/>
        <v>23.695011481237074</v>
      </c>
      <c r="O127" s="379">
        <f t="shared" si="151"/>
        <v>24.421313506878761</v>
      </c>
      <c r="P127" s="379">
        <f t="shared" si="151"/>
        <v>25.171286326179732</v>
      </c>
      <c r="Q127" s="379">
        <f t="shared" si="151"/>
        <v>25.955501826699567</v>
      </c>
      <c r="R127" s="379">
        <f t="shared" si="151"/>
        <v>26.764752517007857</v>
      </c>
      <c r="S127" s="379">
        <f t="shared" si="151"/>
        <v>27.617324995646324</v>
      </c>
      <c r="T127" s="379">
        <f t="shared" si="151"/>
        <v>28.505667389129115</v>
      </c>
      <c r="U127" s="379">
        <f t="shared" si="151"/>
        <v>29.430329548045354</v>
      </c>
      <c r="V127" s="379">
        <f t="shared" si="151"/>
        <v>30.39188307320428</v>
      </c>
      <c r="W127" s="379">
        <f t="shared" si="151"/>
        <v>31.39092218320598</v>
      </c>
      <c r="X127" s="379">
        <f t="shared" si="151"/>
        <v>32.428064616690598</v>
      </c>
      <c r="Y127" s="379">
        <f t="shared" si="151"/>
        <v>33.504154590854959</v>
      </c>
      <c r="Z127" s="379">
        <f t="shared" si="151"/>
        <v>34.619859736870758</v>
      </c>
      <c r="AA127" s="379">
        <f t="shared" si="151"/>
        <v>35.785773124815648</v>
      </c>
      <c r="AB127" s="379">
        <f t="shared" si="151"/>
        <v>36.992717349374153</v>
      </c>
      <c r="AC127" s="379">
        <f t="shared" si="151"/>
        <v>38.251745627425798</v>
      </c>
      <c r="AD127" s="379">
        <f t="shared" si="151"/>
        <v>39.553536878904936</v>
      </c>
      <c r="AE127" s="379">
        <f t="shared" si="151"/>
        <v>40.908800954303011</v>
      </c>
      <c r="AF127" s="379">
        <f t="shared" si="151"/>
        <v>42.318582899527499</v>
      </c>
      <c r="AG127" s="379">
        <f t="shared" si="151"/>
        <v>43.78375918930827</v>
      </c>
    </row>
    <row r="128" spans="1:34">
      <c r="A128" s="300" t="s">
        <v>310</v>
      </c>
      <c r="B128" s="300" t="s">
        <v>300</v>
      </c>
      <c r="C128" s="379">
        <f t="shared" ref="C128:AG128" si="152">C116/($C$22*$C$21*7)</f>
        <v>1.8683261183261186</v>
      </c>
      <c r="D128" s="379">
        <f t="shared" si="152"/>
        <v>1.8787878787878791</v>
      </c>
      <c r="E128" s="379">
        <f t="shared" si="152"/>
        <v>1.8917748917748922</v>
      </c>
      <c r="F128" s="379">
        <f t="shared" si="152"/>
        <v>1.907647907647908</v>
      </c>
      <c r="G128" s="379">
        <f t="shared" si="152"/>
        <v>1.9256854256854261</v>
      </c>
      <c r="H128" s="379">
        <f t="shared" si="152"/>
        <v>2.0905483405483407</v>
      </c>
      <c r="I128" s="379">
        <f t="shared" si="152"/>
        <v>2.1226551226551229</v>
      </c>
      <c r="J128" s="379">
        <f t="shared" si="152"/>
        <v>2.156565656565657</v>
      </c>
      <c r="K128" s="379">
        <f t="shared" si="152"/>
        <v>2.1930014430014433</v>
      </c>
      <c r="L128" s="379">
        <f t="shared" si="152"/>
        <v>2.2312409812409815</v>
      </c>
      <c r="M128" s="379">
        <f t="shared" si="152"/>
        <v>2.2720057720057727</v>
      </c>
      <c r="N128" s="379">
        <f t="shared" si="152"/>
        <v>3.2409090909090916</v>
      </c>
      <c r="O128" s="379">
        <f t="shared" si="152"/>
        <v>3.3045454545454551</v>
      </c>
      <c r="P128" s="379">
        <f t="shared" si="152"/>
        <v>3.371212121212122</v>
      </c>
      <c r="Q128" s="379">
        <f t="shared" si="152"/>
        <v>3.4409090909090914</v>
      </c>
      <c r="R128" s="379">
        <f t="shared" si="152"/>
        <v>3.5146464646464652</v>
      </c>
      <c r="S128" s="379">
        <f t="shared" si="152"/>
        <v>3.6116161616161624</v>
      </c>
      <c r="T128" s="379">
        <f t="shared" si="152"/>
        <v>3.7116161616161625</v>
      </c>
      <c r="U128" s="379">
        <f t="shared" si="152"/>
        <v>3.8146464646464655</v>
      </c>
      <c r="V128" s="379">
        <f t="shared" si="152"/>
        <v>3.9207070707070715</v>
      </c>
      <c r="W128" s="379">
        <f t="shared" si="152"/>
        <v>4.0297979797979808</v>
      </c>
      <c r="X128" s="379">
        <f t="shared" si="152"/>
        <v>4.7336219336219338</v>
      </c>
      <c r="Y128" s="379">
        <f t="shared" si="152"/>
        <v>4.8658008658008658</v>
      </c>
      <c r="Z128" s="379">
        <f t="shared" si="152"/>
        <v>5.0020202020202023</v>
      </c>
      <c r="AA128" s="379">
        <f t="shared" si="152"/>
        <v>5.1417027417027414</v>
      </c>
      <c r="AB128" s="379">
        <f t="shared" si="152"/>
        <v>5.2854256854256851</v>
      </c>
      <c r="AC128" s="379">
        <f t="shared" si="152"/>
        <v>5.4337662337662334</v>
      </c>
      <c r="AD128" s="379">
        <f t="shared" si="152"/>
        <v>5.586724386724387</v>
      </c>
      <c r="AE128" s="379">
        <f t="shared" si="152"/>
        <v>5.7437229437229433</v>
      </c>
      <c r="AF128" s="379">
        <f t="shared" si="152"/>
        <v>5.9053391053391051</v>
      </c>
      <c r="AG128" s="379">
        <f t="shared" si="152"/>
        <v>6.0715728715728714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80.330570389080975</v>
      </c>
      <c r="D129" s="384">
        <f t="shared" ref="D129:AG129" si="153">SUM(D125:D127)-D128</f>
        <v>80.353877123647578</v>
      </c>
      <c r="E129" s="384">
        <f t="shared" si="153"/>
        <v>80.459405448968155</v>
      </c>
      <c r="F129" s="384">
        <f t="shared" si="153"/>
        <v>80.648413671273531</v>
      </c>
      <c r="G129" s="384">
        <f t="shared" si="153"/>
        <v>80.916061654176104</v>
      </c>
      <c r="H129" s="384">
        <f t="shared" si="153"/>
        <v>82.085569212262257</v>
      </c>
      <c r="I129" s="384">
        <f t="shared" si="153"/>
        <v>79.759220564304329</v>
      </c>
      <c r="J129" s="384">
        <f t="shared" si="153"/>
        <v>78.914568939801725</v>
      </c>
      <c r="K129" s="384">
        <f t="shared" si="153"/>
        <v>78.158294523532518</v>
      </c>
      <c r="L129" s="384">
        <f t="shared" si="153"/>
        <v>77.494752982938778</v>
      </c>
      <c r="M129" s="384">
        <f t="shared" si="153"/>
        <v>76.9164155520061</v>
      </c>
      <c r="N129" s="384">
        <f t="shared" si="153"/>
        <v>75.493812874963666</v>
      </c>
      <c r="O129" s="384">
        <f t="shared" si="153"/>
        <v>75.071519289746647</v>
      </c>
      <c r="P129" s="384">
        <f t="shared" si="153"/>
        <v>74.727464258201593</v>
      </c>
      <c r="Q129" s="384">
        <f t="shared" si="153"/>
        <v>74.470579863424376</v>
      </c>
      <c r="R129" s="384">
        <f t="shared" si="153"/>
        <v>74.293502380475871</v>
      </c>
      <c r="S129" s="384">
        <f t="shared" si="153"/>
        <v>72.739803673456194</v>
      </c>
      <c r="T129" s="384">
        <f t="shared" si="153"/>
        <v>73.032015530030975</v>
      </c>
      <c r="U129" s="384">
        <f t="shared" si="153"/>
        <v>73.404047790054705</v>
      </c>
      <c r="V129" s="384">
        <f t="shared" si="153"/>
        <v>73.855034898437239</v>
      </c>
      <c r="W129" s="384">
        <f t="shared" si="153"/>
        <v>74.384200799920265</v>
      </c>
      <c r="X129" s="384">
        <f t="shared" si="153"/>
        <v>74.399153886932638</v>
      </c>
      <c r="Y129" s="384">
        <f t="shared" si="153"/>
        <v>75.068083762533604</v>
      </c>
      <c r="Z129" s="384">
        <f t="shared" si="153"/>
        <v>75.814784348077538</v>
      </c>
      <c r="AA129" s="384">
        <f t="shared" si="153"/>
        <v>76.647079261578398</v>
      </c>
      <c r="AB129" s="384">
        <f t="shared" si="153"/>
        <v>77.556346177296348</v>
      </c>
      <c r="AC129" s="384">
        <f t="shared" si="153"/>
        <v>78.376284705373294</v>
      </c>
      <c r="AD129" s="384">
        <f t="shared" si="153"/>
        <v>80.19684858763155</v>
      </c>
      <c r="AE129" s="384">
        <f t="shared" si="153"/>
        <v>82.111284278493869</v>
      </c>
      <c r="AF129" s="384">
        <f t="shared" si="153"/>
        <v>84.121807867261438</v>
      </c>
      <c r="AG129" s="384">
        <f t="shared" si="153"/>
        <v>86.228875529912997</v>
      </c>
    </row>
    <row r="130" spans="1:34" s="344" customFormat="1">
      <c r="A130" s="342" t="s">
        <v>182</v>
      </c>
      <c r="B130" s="342"/>
      <c r="H130" s="431">
        <f>H132/H63</f>
        <v>1.8137490707132549</v>
      </c>
      <c r="AB130" s="431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B131" si="154">D131+1</f>
        <v>2027</v>
      </c>
      <c r="F131" s="360">
        <f t="shared" si="154"/>
        <v>2028</v>
      </c>
      <c r="G131" s="360">
        <f t="shared" si="154"/>
        <v>2029</v>
      </c>
      <c r="H131" s="360">
        <f t="shared" si="154"/>
        <v>2030</v>
      </c>
      <c r="I131" s="360">
        <f t="shared" si="154"/>
        <v>2031</v>
      </c>
      <c r="J131" s="360">
        <f t="shared" si="154"/>
        <v>2032</v>
      </c>
      <c r="K131" s="360">
        <f t="shared" si="154"/>
        <v>2033</v>
      </c>
      <c r="L131" s="360">
        <f t="shared" si="154"/>
        <v>2034</v>
      </c>
      <c r="M131" s="360">
        <f t="shared" si="154"/>
        <v>2035</v>
      </c>
      <c r="N131" s="360">
        <f t="shared" si="154"/>
        <v>2036</v>
      </c>
      <c r="O131" s="360">
        <f t="shared" si="154"/>
        <v>2037</v>
      </c>
      <c r="P131" s="360">
        <f t="shared" si="154"/>
        <v>2038</v>
      </c>
      <c r="Q131" s="360">
        <f t="shared" si="154"/>
        <v>2039</v>
      </c>
      <c r="R131" s="360">
        <f t="shared" si="154"/>
        <v>2040</v>
      </c>
      <c r="S131" s="360">
        <f t="shared" si="154"/>
        <v>2041</v>
      </c>
      <c r="T131" s="360">
        <f t="shared" si="154"/>
        <v>2042</v>
      </c>
      <c r="U131" s="360">
        <f t="shared" si="154"/>
        <v>2043</v>
      </c>
      <c r="V131" s="360">
        <f t="shared" si="154"/>
        <v>2044</v>
      </c>
      <c r="W131" s="360">
        <f t="shared" si="154"/>
        <v>2045</v>
      </c>
      <c r="X131" s="360">
        <f t="shared" si="154"/>
        <v>2046</v>
      </c>
      <c r="Y131" s="360">
        <f t="shared" si="154"/>
        <v>2047</v>
      </c>
      <c r="Z131" s="360">
        <f t="shared" si="154"/>
        <v>2048</v>
      </c>
      <c r="AA131" s="360">
        <f t="shared" si="154"/>
        <v>2049</v>
      </c>
      <c r="AB131" s="360">
        <f t="shared" si="154"/>
        <v>2050</v>
      </c>
      <c r="AC131" s="360">
        <f t="shared" ref="AC131" si="155">AB131+1</f>
        <v>2051</v>
      </c>
      <c r="AD131" s="360">
        <f t="shared" ref="AD131" si="156">AC131+1</f>
        <v>2052</v>
      </c>
      <c r="AE131" s="360">
        <f t="shared" ref="AE131" si="157">AD131+1</f>
        <v>2053</v>
      </c>
      <c r="AF131" s="360">
        <f t="shared" ref="AF131" si="158">AE131+1</f>
        <v>2054</v>
      </c>
      <c r="AG131" s="360">
        <f t="shared" ref="AG131" si="159">AF131+1</f>
        <v>2055</v>
      </c>
    </row>
    <row r="132" spans="1:34">
      <c r="A132" s="300" t="s">
        <v>329</v>
      </c>
      <c r="B132" s="300" t="s">
        <v>309</v>
      </c>
      <c r="C132" s="376">
        <f>ROUND(('Changing with year'!C131)/1000,0)*1000</f>
        <v>8763000</v>
      </c>
      <c r="D132" s="376">
        <f>ROUND(('Changing with year'!D131)/1000,0)*1000</f>
        <v>8718000</v>
      </c>
      <c r="E132" s="376">
        <f>ROUND(('Changing with year'!E131)/1000,0)*1000</f>
        <v>8680000</v>
      </c>
      <c r="F132" s="376">
        <f>ROUND(('Changing with year'!F131)/1000,0)*1000</f>
        <v>8470000</v>
      </c>
      <c r="G132" s="376">
        <f>ROUND(('Changing with year'!G131)/1000,0)*1000</f>
        <v>8275000</v>
      </c>
      <c r="H132" s="376">
        <f>ROUND(('Changing with year'!H131)/1000,0)*1000</f>
        <v>8295000</v>
      </c>
      <c r="I132" s="376">
        <f>ROUND(('Changing with year'!I131)/1000,0)*1000</f>
        <v>8150000</v>
      </c>
      <c r="J132" s="376">
        <f>ROUND(('Changing with year'!J131)/1000,0)*1000</f>
        <v>8190000</v>
      </c>
      <c r="K132" s="376">
        <f>ROUND(('Changing with year'!K131)/1000,0)*1000</f>
        <v>8235000</v>
      </c>
      <c r="L132" s="376">
        <f>ROUND(('Changing with year'!L131)/1000,0)*1000</f>
        <v>8286000</v>
      </c>
      <c r="M132" s="376">
        <f>ROUND(('Changing with year'!M131)/1000,0)*1000</f>
        <v>8343000</v>
      </c>
      <c r="N132" s="376">
        <f>ROUND(('Changing with year'!N131)/1000,0)*1000</f>
        <v>8407000</v>
      </c>
      <c r="O132" s="376">
        <f>ROUND(('Changing with year'!O131)/1000,0)*1000</f>
        <v>8476000</v>
      </c>
      <c r="P132" s="376">
        <f>ROUND(('Changing with year'!P131)/1000,0)*1000</f>
        <v>8552000</v>
      </c>
      <c r="Q132" s="376">
        <f>ROUND(('Changing with year'!Q131)/1000,0)*1000</f>
        <v>8635000</v>
      </c>
      <c r="R132" s="376">
        <f>ROUND(('Changing with year'!R131)/1000,0)*1000</f>
        <v>8724000</v>
      </c>
      <c r="S132" s="376">
        <f>ROUND(('Changing with year'!S131)/1000,0)*1000</f>
        <v>8740000</v>
      </c>
      <c r="T132" s="376">
        <f>ROUND(('Changing with year'!T131)/1000,0)*1000</f>
        <v>8903000</v>
      </c>
      <c r="U132" s="376">
        <f>ROUND(('Changing with year'!U131)/1000,0)*1000</f>
        <v>9072000</v>
      </c>
      <c r="V132" s="376">
        <f>ROUND(('Changing with year'!V131)/1000,0)*1000</f>
        <v>9247000</v>
      </c>
      <c r="W132" s="376">
        <f>ROUND(('Changing with year'!W131)/1000,0)*1000</f>
        <v>9427000</v>
      </c>
      <c r="X132" s="376">
        <f>ROUND(('Changing with year'!X131)/1000,0)*1000</f>
        <v>9614000</v>
      </c>
      <c r="Y132" s="376">
        <f>ROUND(('Changing with year'!Y131)/1000,0)*1000</f>
        <v>9807000</v>
      </c>
      <c r="Z132" s="376">
        <f>ROUND(('Changing with year'!Z131)/1000,0)*1000</f>
        <v>10007000</v>
      </c>
      <c r="AA132" s="376">
        <f>ROUND(('Changing with year'!AA131)/1000,0)*1000</f>
        <v>10214000</v>
      </c>
      <c r="AB132" s="376">
        <f>ROUND(('Changing with year'!AB131)/1000,0)*1000</f>
        <v>10427000</v>
      </c>
      <c r="AC132" s="376">
        <f>ROUND(('Changing with year'!AC131)/1000,0)*1000</f>
        <v>10688000</v>
      </c>
      <c r="AD132" s="376">
        <f>ROUND(('Changing with year'!AD131)/1000,0)*1000</f>
        <v>10956000</v>
      </c>
      <c r="AE132" s="376">
        <f>ROUND(('Changing with year'!AE131)/1000,0)*1000</f>
        <v>11232000</v>
      </c>
      <c r="AF132" s="376">
        <f>ROUND(('Changing with year'!AF131)/1000,0)*1000</f>
        <v>11516000</v>
      </c>
      <c r="AG132" s="376">
        <f>ROUND(('Changing with year'!AG131)/1000,0)*1000</f>
        <v>11807000</v>
      </c>
    </row>
    <row r="133" spans="1:34">
      <c r="A133" s="300" t="s">
        <v>310</v>
      </c>
      <c r="B133" s="300" t="s">
        <v>309</v>
      </c>
      <c r="C133" s="376">
        <f>(C132*'No change with year'!$AK$6)</f>
        <v>1752600.0000000007</v>
      </c>
      <c r="D133" s="376">
        <f>(D132*'No change with year'!$AK$6)</f>
        <v>1743600.0000000005</v>
      </c>
      <c r="E133" s="376">
        <f>(E132*'No change with year'!$AK$6)</f>
        <v>1736000.0000000005</v>
      </c>
      <c r="F133" s="376">
        <f>(F132*'No change with year'!$AK$6)</f>
        <v>1694000.0000000005</v>
      </c>
      <c r="G133" s="376">
        <f>(G132*'No change with year'!$AK$6)</f>
        <v>1655000.0000000005</v>
      </c>
      <c r="H133" s="376">
        <f>(H132*'No change with year'!$AK$6)</f>
        <v>1659000.0000000005</v>
      </c>
      <c r="I133" s="376">
        <f>(I132*'No change with year'!$AK$6)</f>
        <v>1630000.0000000005</v>
      </c>
      <c r="J133" s="376">
        <f>(J132*'No change with year'!$AK$6)</f>
        <v>1638000.0000000005</v>
      </c>
      <c r="K133" s="376">
        <f>(K132*'No change with year'!$AK$6)</f>
        <v>1647000.0000000005</v>
      </c>
      <c r="L133" s="376">
        <f>(L132*'No change with year'!$AK$6)</f>
        <v>1657200.0000000005</v>
      </c>
      <c r="M133" s="376">
        <f>(M132*'No change with year'!$AK$6)</f>
        <v>1668600.0000000005</v>
      </c>
      <c r="N133" s="376">
        <f>(N132*'No change with year'!$AL$6)</f>
        <v>2522100.0000000005</v>
      </c>
      <c r="O133" s="376">
        <f>(O132*'No change with year'!$AL$6)</f>
        <v>2542800.0000000005</v>
      </c>
      <c r="P133" s="376">
        <f>(P132*'No change with year'!$AL$6)</f>
        <v>2565600.0000000005</v>
      </c>
      <c r="Q133" s="376">
        <f>(Q132*'No change with year'!$AL$6)</f>
        <v>2590500.0000000005</v>
      </c>
      <c r="R133" s="376">
        <f>(R132*'No change with year'!$AL$6)</f>
        <v>2617200.0000000005</v>
      </c>
      <c r="S133" s="376">
        <f>(S132*'No change with year'!$AL$6)</f>
        <v>2622000.0000000005</v>
      </c>
      <c r="T133" s="376">
        <f>(T132*'No change with year'!$AL$6)</f>
        <v>2670900.0000000005</v>
      </c>
      <c r="U133" s="376">
        <f>(U132*'No change with year'!$AL$6)</f>
        <v>2721600.0000000005</v>
      </c>
      <c r="V133" s="376">
        <f>(V132*'No change with year'!$AL$6)</f>
        <v>2774100.0000000005</v>
      </c>
      <c r="W133" s="376">
        <f>(W132*'No change with year'!$AL$6)</f>
        <v>2828100.0000000005</v>
      </c>
      <c r="X133" s="376">
        <f>(X132*'No change with year'!$AM$6)</f>
        <v>3845600</v>
      </c>
      <c r="Y133" s="376">
        <f>(Y132*'No change with year'!$AM$6)</f>
        <v>3922800</v>
      </c>
      <c r="Z133" s="376">
        <f>(Z132*'No change with year'!$AM$6)</f>
        <v>4002800</v>
      </c>
      <c r="AA133" s="376">
        <f>(AA132*'No change with year'!$AM$6)</f>
        <v>4085600</v>
      </c>
      <c r="AB133" s="376">
        <f>(AB132*'No change with year'!$AM$6)</f>
        <v>4170800</v>
      </c>
      <c r="AC133" s="376">
        <f>(AC132*'No change with year'!$AM$6)</f>
        <v>4275200</v>
      </c>
      <c r="AD133" s="376">
        <f>(AD132*'No change with year'!$AM$6)</f>
        <v>4382400</v>
      </c>
      <c r="AE133" s="376">
        <f>(AE132*'No change with year'!$AM$6)</f>
        <v>4492800</v>
      </c>
      <c r="AF133" s="376">
        <f>(AF132*'No change with year'!$AM$6)</f>
        <v>4606400</v>
      </c>
      <c r="AG133" s="376">
        <f>(AG132*'No change with year'!$AM$6)</f>
        <v>4722800</v>
      </c>
    </row>
    <row r="134" spans="1:34" s="371" customFormat="1" ht="11.85" customHeight="1">
      <c r="A134" s="428" t="s">
        <v>311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</row>
    <row r="135" spans="1:34">
      <c r="A135" s="300" t="s">
        <v>325</v>
      </c>
      <c r="B135" s="300" t="s">
        <v>313</v>
      </c>
      <c r="C135" s="376">
        <f>-PMT($C$28,$C$27,C132)</f>
        <v>1920128.7197038883</v>
      </c>
      <c r="D135" s="376">
        <f t="shared" ref="D135:AG135" si="160">-PMT($C$28,$C$27,D132)</f>
        <v>1910268.4215883256</v>
      </c>
      <c r="E135" s="376">
        <f t="shared" si="160"/>
        <v>1901941.9476240729</v>
      </c>
      <c r="F135" s="376">
        <f t="shared" si="160"/>
        <v>1855927.2230847806</v>
      </c>
      <c r="G135" s="376">
        <f t="shared" si="160"/>
        <v>1813199.2645840095</v>
      </c>
      <c r="H135" s="376">
        <f t="shared" si="160"/>
        <v>1817581.6193020374</v>
      </c>
      <c r="I135" s="376">
        <f t="shared" si="160"/>
        <v>1785809.5475963356</v>
      </c>
      <c r="J135" s="376">
        <f t="shared" si="160"/>
        <v>1794574.2570323911</v>
      </c>
      <c r="K135" s="376">
        <f t="shared" si="160"/>
        <v>1804434.555147954</v>
      </c>
      <c r="L135" s="376">
        <f t="shared" si="160"/>
        <v>1815609.5596789247</v>
      </c>
      <c r="M135" s="376">
        <f t="shared" si="160"/>
        <v>1828099.270625304</v>
      </c>
      <c r="N135" s="376">
        <f t="shared" si="160"/>
        <v>1842122.8057229931</v>
      </c>
      <c r="O135" s="376">
        <f t="shared" si="160"/>
        <v>1857241.9295001891</v>
      </c>
      <c r="P135" s="376">
        <f t="shared" si="160"/>
        <v>1873894.8774286949</v>
      </c>
      <c r="Q135" s="376">
        <f t="shared" si="160"/>
        <v>1892081.6495085103</v>
      </c>
      <c r="R135" s="376">
        <f t="shared" si="160"/>
        <v>1911583.1280037342</v>
      </c>
      <c r="S135" s="376">
        <f t="shared" si="160"/>
        <v>1915089.0117781563</v>
      </c>
      <c r="T135" s="376">
        <f t="shared" si="160"/>
        <v>1950805.2027300829</v>
      </c>
      <c r="U135" s="376">
        <f t="shared" si="160"/>
        <v>1987836.1000974181</v>
      </c>
      <c r="V135" s="376">
        <f t="shared" si="160"/>
        <v>2026181.7038801613</v>
      </c>
      <c r="W135" s="376">
        <f t="shared" si="160"/>
        <v>2065622.8963424116</v>
      </c>
      <c r="X135" s="376">
        <f t="shared" si="160"/>
        <v>2106597.9129559719</v>
      </c>
      <c r="Y135" s="376">
        <f t="shared" si="160"/>
        <v>2148887.6359849405</v>
      </c>
      <c r="Z135" s="376">
        <f t="shared" si="160"/>
        <v>2192711.1831652187</v>
      </c>
      <c r="AA135" s="376">
        <f t="shared" si="160"/>
        <v>2238068.5544968066</v>
      </c>
      <c r="AB135" s="376">
        <f t="shared" si="160"/>
        <v>2284740.6322438028</v>
      </c>
      <c r="AC135" s="376">
        <f t="shared" si="160"/>
        <v>2341930.3613140658</v>
      </c>
      <c r="AD135" s="376">
        <f t="shared" si="160"/>
        <v>2400653.9145356384</v>
      </c>
      <c r="AE135" s="376">
        <f t="shared" si="160"/>
        <v>2461130.4096444226</v>
      </c>
      <c r="AF135" s="376">
        <f t="shared" si="160"/>
        <v>2523359.8466404174</v>
      </c>
      <c r="AG135" s="376">
        <f t="shared" si="160"/>
        <v>2587123.1077877218</v>
      </c>
    </row>
    <row r="136" spans="1:34">
      <c r="A136" s="300" t="s">
        <v>330</v>
      </c>
      <c r="B136" s="300" t="s">
        <v>313</v>
      </c>
      <c r="C136" s="376">
        <f t="shared" ref="C136:AG136" si="161">$G$37*C51</f>
        <v>1417265.9179822872</v>
      </c>
      <c r="D136" s="376">
        <f t="shared" si="161"/>
        <v>1435085.9179822872</v>
      </c>
      <c r="E136" s="376">
        <f t="shared" si="161"/>
        <v>1442600.8142068253</v>
      </c>
      <c r="F136" s="376">
        <f t="shared" si="161"/>
        <v>1442030.2562351211</v>
      </c>
      <c r="G136" s="376">
        <f t="shared" si="161"/>
        <v>1429062.5641038488</v>
      </c>
      <c r="H136" s="376">
        <f t="shared" si="161"/>
        <v>1439582.4056743614</v>
      </c>
      <c r="I136" s="376">
        <f t="shared" si="161"/>
        <v>1248925.4889968014</v>
      </c>
      <c r="J136" s="376">
        <f t="shared" si="161"/>
        <v>1217862.66649443</v>
      </c>
      <c r="K136" s="376">
        <f t="shared" si="161"/>
        <v>1165731.6313221201</v>
      </c>
      <c r="L136" s="376">
        <f t="shared" si="161"/>
        <v>1121769.1215799872</v>
      </c>
      <c r="M136" s="376">
        <f t="shared" si="161"/>
        <v>1087105.2113159972</v>
      </c>
      <c r="N136" s="376">
        <f t="shared" si="161"/>
        <v>1075150.3092516349</v>
      </c>
      <c r="O136" s="376">
        <f t="shared" si="161"/>
        <v>1063939.1403805346</v>
      </c>
      <c r="P136" s="376">
        <f t="shared" si="161"/>
        <v>1049626.6204514662</v>
      </c>
      <c r="Q136" s="376">
        <f t="shared" si="161"/>
        <v>1039840.9892178174</v>
      </c>
      <c r="R136" s="376">
        <f t="shared" si="161"/>
        <v>1035536.8366927382</v>
      </c>
      <c r="S136" s="376">
        <f t="shared" si="161"/>
        <v>1036075.5479073407</v>
      </c>
      <c r="T136" s="376">
        <f t="shared" si="161"/>
        <v>1041385.1859380185</v>
      </c>
      <c r="U136" s="376">
        <f t="shared" si="161"/>
        <v>1043254.5854018735</v>
      </c>
      <c r="V136" s="376">
        <f t="shared" si="161"/>
        <v>1045854.6768332843</v>
      </c>
      <c r="W136" s="376">
        <f t="shared" si="161"/>
        <v>1049310.3271714339</v>
      </c>
      <c r="X136" s="376">
        <f t="shared" si="161"/>
        <v>1053592.9289373117</v>
      </c>
      <c r="Y136" s="376">
        <f t="shared" si="161"/>
        <v>1058668.0676516795</v>
      </c>
      <c r="Z136" s="376">
        <f t="shared" si="161"/>
        <v>1064670.7408091084</v>
      </c>
      <c r="AA136" s="376">
        <f t="shared" si="161"/>
        <v>1071749.8811931023</v>
      </c>
      <c r="AB136" s="376">
        <f t="shared" si="161"/>
        <v>1079789.1637015645</v>
      </c>
      <c r="AC136" s="376">
        <f t="shared" si="161"/>
        <v>1108642.5440995309</v>
      </c>
      <c r="AD136" s="376">
        <f t="shared" si="161"/>
        <v>1144050.9563723064</v>
      </c>
      <c r="AE136" s="376">
        <f t="shared" si="161"/>
        <v>1180757.1674387143</v>
      </c>
      <c r="AF136" s="376">
        <f t="shared" si="161"/>
        <v>1219246.322629987</v>
      </c>
      <c r="AG136" s="376">
        <f t="shared" si="161"/>
        <v>1259734.0531059348</v>
      </c>
    </row>
    <row r="137" spans="1:34">
      <c r="A137" s="300" t="s">
        <v>317</v>
      </c>
      <c r="B137" s="300" t="s">
        <v>313</v>
      </c>
      <c r="C137" s="376">
        <f t="shared" ref="C137:AG137" si="162">$C$22*$C$21*C57</f>
        <v>710601.72703061032</v>
      </c>
      <c r="D137" s="376">
        <f t="shared" si="162"/>
        <v>714200.88385484507</v>
      </c>
      <c r="E137" s="376">
        <f t="shared" si="162"/>
        <v>718564.62975847383</v>
      </c>
      <c r="F137" s="376">
        <f t="shared" si="162"/>
        <v>723708.03273451212</v>
      </c>
      <c r="G137" s="376">
        <f t="shared" si="162"/>
        <v>729647.15138494922</v>
      </c>
      <c r="H137" s="376">
        <f t="shared" si="162"/>
        <v>736399.06484787748</v>
      </c>
      <c r="I137" s="376">
        <f t="shared" si="162"/>
        <v>745664.45210856979</v>
      </c>
      <c r="J137" s="376">
        <f t="shared" si="162"/>
        <v>755704.26636635442</v>
      </c>
      <c r="K137" s="376">
        <f t="shared" si="162"/>
        <v>766541.40847098152</v>
      </c>
      <c r="L137" s="376">
        <f t="shared" si="162"/>
        <v>778199.85683079436</v>
      </c>
      <c r="M137" s="376">
        <f t="shared" si="162"/>
        <v>790704.7072845801</v>
      </c>
      <c r="N137" s="376">
        <f t="shared" si="162"/>
        <v>804082.21463290625</v>
      </c>
      <c r="O137" s="376">
        <f t="shared" si="162"/>
        <v>818359.83589402633</v>
      </c>
      <c r="P137" s="376">
        <f t="shared" si="162"/>
        <v>833566.27535207535</v>
      </c>
      <c r="Q137" s="376">
        <f t="shared" si="162"/>
        <v>849731.53146800073</v>
      </c>
      <c r="R137" s="376">
        <f t="shared" si="162"/>
        <v>866886.94572652597</v>
      </c>
      <c r="S137" s="376">
        <f t="shared" si="162"/>
        <v>887814.78183876141</v>
      </c>
      <c r="T137" s="376">
        <f t="shared" si="162"/>
        <v>909717.20781265467</v>
      </c>
      <c r="U137" s="376">
        <f t="shared" si="162"/>
        <v>932631.83247849997</v>
      </c>
      <c r="V137" s="376">
        <f t="shared" si="162"/>
        <v>956597.78276744578</v>
      </c>
      <c r="W137" s="376">
        <f t="shared" si="162"/>
        <v>981655.76429805148</v>
      </c>
      <c r="X137" s="376">
        <f t="shared" si="162"/>
        <v>1007848.1243876821</v>
      </c>
      <c r="Y137" s="376">
        <f t="shared" si="162"/>
        <v>1035218.917585721</v>
      </c>
      <c r="Z137" s="376">
        <f t="shared" si="162"/>
        <v>1063813.9738294561</v>
      </c>
      <c r="AA137" s="376">
        <f t="shared" si="162"/>
        <v>1093680.9693275376</v>
      </c>
      <c r="AB137" s="376">
        <f t="shared" si="162"/>
        <v>1124869.5002800932</v>
      </c>
      <c r="AC137" s="376">
        <f t="shared" si="162"/>
        <v>1162404.4078458929</v>
      </c>
      <c r="AD137" s="376">
        <f t="shared" si="162"/>
        <v>1201366.1129898704</v>
      </c>
      <c r="AE137" s="376">
        <f t="shared" si="162"/>
        <v>1241810.9416279083</v>
      </c>
      <c r="AF137" s="376">
        <f t="shared" si="162"/>
        <v>1283797.4652526523</v>
      </c>
      <c r="AG137" s="376">
        <f t="shared" si="162"/>
        <v>1327386.5906819825</v>
      </c>
    </row>
    <row r="138" spans="1:34">
      <c r="A138" s="300" t="s">
        <v>318</v>
      </c>
      <c r="B138" s="300" t="s">
        <v>313</v>
      </c>
      <c r="C138" s="376">
        <f>'Changing with year'!C300</f>
        <v>510000</v>
      </c>
      <c r="D138" s="376">
        <f>'Changing with year'!D300</f>
        <v>533000</v>
      </c>
      <c r="E138" s="376">
        <f>'Changing with year'!E300</f>
        <v>557000</v>
      </c>
      <c r="F138" s="376">
        <f>'Changing with year'!F300</f>
        <v>582000</v>
      </c>
      <c r="G138" s="376">
        <f>'Changing with year'!G300</f>
        <v>608000</v>
      </c>
      <c r="H138" s="376">
        <f>'Changing with year'!H300</f>
        <v>635000</v>
      </c>
      <c r="I138" s="376">
        <f>'Changing with year'!I300</f>
        <v>664000</v>
      </c>
      <c r="J138" s="376">
        <f>'Changing with year'!J300</f>
        <v>694000</v>
      </c>
      <c r="K138" s="376">
        <f>'Changing with year'!K300</f>
        <v>725000</v>
      </c>
      <c r="L138" s="376">
        <f>'Changing with year'!L300</f>
        <v>758000</v>
      </c>
      <c r="M138" s="376">
        <f>'Changing with year'!M300</f>
        <v>792000</v>
      </c>
      <c r="N138" s="376">
        <f>'Changing with year'!N300</f>
        <v>828000</v>
      </c>
      <c r="O138" s="376">
        <f>'Changing with year'!O300</f>
        <v>865000</v>
      </c>
      <c r="P138" s="376">
        <f>'Changing with year'!P300</f>
        <v>904000</v>
      </c>
      <c r="Q138" s="376">
        <f>'Changing with year'!Q300</f>
        <v>945000</v>
      </c>
      <c r="R138" s="376">
        <f>'Changing with year'!R300</f>
        <v>988000</v>
      </c>
      <c r="S138" s="376">
        <f>'Changing with year'!S300</f>
        <v>1032000</v>
      </c>
      <c r="T138" s="376">
        <f>'Changing with year'!T300</f>
        <v>1078000</v>
      </c>
      <c r="U138" s="376">
        <f>'Changing with year'!U300</f>
        <v>1127000</v>
      </c>
      <c r="V138" s="376">
        <f>'Changing with year'!V300</f>
        <v>1178000</v>
      </c>
      <c r="W138" s="376">
        <f>'Changing with year'!W300</f>
        <v>1231000</v>
      </c>
      <c r="X138" s="376">
        <f>'Changing with year'!X300</f>
        <v>1286000</v>
      </c>
      <c r="Y138" s="376">
        <f>'Changing with year'!Y300</f>
        <v>1344000</v>
      </c>
      <c r="Z138" s="376">
        <f>'Changing with year'!Z300</f>
        <v>1404000</v>
      </c>
      <c r="AA138" s="376">
        <f>'Changing with year'!AA300</f>
        <v>1467000</v>
      </c>
      <c r="AB138" s="376">
        <f>'Changing with year'!AB300</f>
        <v>1533000</v>
      </c>
      <c r="AC138" s="376">
        <f>'Changing with year'!AC300</f>
        <v>1602000</v>
      </c>
      <c r="AD138" s="376">
        <f>'Changing with year'!AD300</f>
        <v>1674000</v>
      </c>
      <c r="AE138" s="376">
        <f>'Changing with year'!AE300</f>
        <v>1749000</v>
      </c>
      <c r="AF138" s="376">
        <f>'Changing with year'!AF300</f>
        <v>1828000</v>
      </c>
      <c r="AG138" s="376">
        <f>'Changing with year'!AG300</f>
        <v>1910000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163">C60</f>
        <v>693000</v>
      </c>
      <c r="D139" s="376">
        <f t="shared" si="163"/>
        <v>699930.00000000012</v>
      </c>
      <c r="E139" s="376">
        <f t="shared" si="163"/>
        <v>706929.3</v>
      </c>
      <c r="F139" s="376">
        <f t="shared" si="163"/>
        <v>713998.59300000011</v>
      </c>
      <c r="G139" s="376">
        <f t="shared" si="163"/>
        <v>721138.57892999996</v>
      </c>
      <c r="H139" s="376">
        <f t="shared" si="163"/>
        <v>728349.96471930004</v>
      </c>
      <c r="I139" s="376">
        <f t="shared" si="163"/>
        <v>735633.46436649305</v>
      </c>
      <c r="J139" s="376">
        <f t="shared" si="163"/>
        <v>742989.79901015793</v>
      </c>
      <c r="K139" s="376">
        <f t="shared" si="163"/>
        <v>750419.69700025953</v>
      </c>
      <c r="L139" s="376">
        <f t="shared" si="163"/>
        <v>757923.89397026226</v>
      </c>
      <c r="M139" s="376">
        <f t="shared" si="163"/>
        <v>765503.13290996477</v>
      </c>
      <c r="N139" s="376">
        <f t="shared" si="163"/>
        <v>773158.16423906432</v>
      </c>
      <c r="O139" s="376">
        <f t="shared" si="163"/>
        <v>780889.74588145502</v>
      </c>
      <c r="P139" s="376">
        <f t="shared" si="163"/>
        <v>788698.64334026957</v>
      </c>
      <c r="Q139" s="376">
        <f t="shared" si="163"/>
        <v>796585.62977367244</v>
      </c>
      <c r="R139" s="376">
        <f t="shared" si="163"/>
        <v>804551.48607140908</v>
      </c>
      <c r="S139" s="376">
        <f t="shared" si="163"/>
        <v>812597.00093212316</v>
      </c>
      <c r="T139" s="376">
        <f t="shared" si="163"/>
        <v>820722.97094144451</v>
      </c>
      <c r="U139" s="376">
        <f t="shared" si="163"/>
        <v>828930.20065085881</v>
      </c>
      <c r="V139" s="376">
        <f t="shared" si="163"/>
        <v>837219.5026573675</v>
      </c>
      <c r="W139" s="376">
        <f t="shared" si="163"/>
        <v>845591.69768394111</v>
      </c>
      <c r="X139" s="376">
        <f t="shared" si="163"/>
        <v>854047.61466078053</v>
      </c>
      <c r="Y139" s="376">
        <f t="shared" si="163"/>
        <v>862588.09080738842</v>
      </c>
      <c r="Z139" s="376">
        <f t="shared" si="163"/>
        <v>871213.97171546239</v>
      </c>
      <c r="AA139" s="376">
        <f t="shared" si="163"/>
        <v>879926.11143261695</v>
      </c>
      <c r="AB139" s="376">
        <f t="shared" si="163"/>
        <v>888725.37254694325</v>
      </c>
      <c r="AC139" s="376">
        <f t="shared" si="163"/>
        <v>897612.62627241272</v>
      </c>
      <c r="AD139" s="376">
        <f t="shared" si="163"/>
        <v>906588.75253513677</v>
      </c>
      <c r="AE139" s="376">
        <f t="shared" si="163"/>
        <v>915654.64006048813</v>
      </c>
      <c r="AF139" s="376">
        <f t="shared" si="163"/>
        <v>924811.18646109302</v>
      </c>
      <c r="AG139" s="376">
        <f t="shared" si="163"/>
        <v>934059.29832570395</v>
      </c>
    </row>
    <row r="140" spans="1:34">
      <c r="A140" s="300" t="s">
        <v>319</v>
      </c>
      <c r="B140" s="300" t="s">
        <v>313</v>
      </c>
      <c r="C140" s="386">
        <f t="shared" ref="C140:AG140" si="164">((C132)*$C$29)</f>
        <v>175260</v>
      </c>
      <c r="D140" s="386">
        <f t="shared" si="164"/>
        <v>174360</v>
      </c>
      <c r="E140" s="386">
        <f t="shared" si="164"/>
        <v>173600</v>
      </c>
      <c r="F140" s="386">
        <f t="shared" si="164"/>
        <v>169400</v>
      </c>
      <c r="G140" s="386">
        <f t="shared" si="164"/>
        <v>165500</v>
      </c>
      <c r="H140" s="386">
        <f t="shared" si="164"/>
        <v>165900</v>
      </c>
      <c r="I140" s="386">
        <f t="shared" si="164"/>
        <v>163000</v>
      </c>
      <c r="J140" s="386">
        <f t="shared" si="164"/>
        <v>163800</v>
      </c>
      <c r="K140" s="386">
        <f t="shared" si="164"/>
        <v>164700</v>
      </c>
      <c r="L140" s="386">
        <f t="shared" si="164"/>
        <v>165720</v>
      </c>
      <c r="M140" s="386">
        <f t="shared" si="164"/>
        <v>166860</v>
      </c>
      <c r="N140" s="386">
        <f t="shared" si="164"/>
        <v>168140</v>
      </c>
      <c r="O140" s="386">
        <f t="shared" si="164"/>
        <v>169520</v>
      </c>
      <c r="P140" s="386">
        <f t="shared" si="164"/>
        <v>171040</v>
      </c>
      <c r="Q140" s="386">
        <f t="shared" si="164"/>
        <v>172700</v>
      </c>
      <c r="R140" s="386">
        <f t="shared" si="164"/>
        <v>174480</v>
      </c>
      <c r="S140" s="386">
        <f t="shared" si="164"/>
        <v>174800</v>
      </c>
      <c r="T140" s="386">
        <f t="shared" si="164"/>
        <v>178060</v>
      </c>
      <c r="U140" s="386">
        <f t="shared" si="164"/>
        <v>181440</v>
      </c>
      <c r="V140" s="386">
        <f t="shared" si="164"/>
        <v>184940</v>
      </c>
      <c r="W140" s="386">
        <f t="shared" si="164"/>
        <v>188540</v>
      </c>
      <c r="X140" s="386">
        <f t="shared" si="164"/>
        <v>192280</v>
      </c>
      <c r="Y140" s="386">
        <f t="shared" si="164"/>
        <v>196140</v>
      </c>
      <c r="Z140" s="386">
        <f t="shared" si="164"/>
        <v>200140</v>
      </c>
      <c r="AA140" s="386">
        <f t="shared" si="164"/>
        <v>204280</v>
      </c>
      <c r="AB140" s="386">
        <f t="shared" si="164"/>
        <v>208540</v>
      </c>
      <c r="AC140" s="386">
        <f t="shared" si="164"/>
        <v>213760</v>
      </c>
      <c r="AD140" s="386">
        <f t="shared" si="164"/>
        <v>219120</v>
      </c>
      <c r="AE140" s="386">
        <f t="shared" si="164"/>
        <v>224640</v>
      </c>
      <c r="AF140" s="386">
        <f t="shared" si="164"/>
        <v>230320</v>
      </c>
      <c r="AG140" s="386">
        <f t="shared" si="164"/>
        <v>236140</v>
      </c>
    </row>
    <row r="141" spans="1:34" s="371" customFormat="1" ht="11.85" customHeight="1">
      <c r="A141" s="428" t="s">
        <v>320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spans="1:34">
      <c r="A142" s="300" t="s">
        <v>325</v>
      </c>
      <c r="B142" s="300" t="s">
        <v>300</v>
      </c>
      <c r="C142" s="379">
        <f t="shared" ref="C142:AG142" si="165">(C135)/($C$22*$C$21)</f>
        <v>19.395239592968569</v>
      </c>
      <c r="D142" s="379">
        <f t="shared" si="165"/>
        <v>19.295640622104301</v>
      </c>
      <c r="E142" s="379">
        <f t="shared" si="165"/>
        <v>19.211534824485586</v>
      </c>
      <c r="F142" s="379">
        <f t="shared" si="165"/>
        <v>18.746739627118995</v>
      </c>
      <c r="G142" s="379">
        <f t="shared" si="165"/>
        <v>18.315144086707168</v>
      </c>
      <c r="H142" s="379">
        <f t="shared" si="165"/>
        <v>18.359410295980176</v>
      </c>
      <c r="I142" s="379">
        <f t="shared" si="165"/>
        <v>18.038480278750864</v>
      </c>
      <c r="J142" s="379">
        <f t="shared" si="165"/>
        <v>18.12701269729688</v>
      </c>
      <c r="K142" s="379">
        <f t="shared" si="165"/>
        <v>18.226611668161151</v>
      </c>
      <c r="L142" s="379">
        <f t="shared" si="165"/>
        <v>18.339490501807319</v>
      </c>
      <c r="M142" s="379">
        <f t="shared" si="165"/>
        <v>18.465649198235393</v>
      </c>
      <c r="N142" s="379">
        <f t="shared" si="165"/>
        <v>18.60730106790902</v>
      </c>
      <c r="O142" s="379">
        <f t="shared" si="165"/>
        <v>18.760019489900902</v>
      </c>
      <c r="P142" s="379">
        <f t="shared" si="165"/>
        <v>18.928231085138332</v>
      </c>
      <c r="Q142" s="379">
        <f t="shared" si="165"/>
        <v>19.111935853621315</v>
      </c>
      <c r="R142" s="379">
        <f t="shared" si="165"/>
        <v>19.308920484886205</v>
      </c>
      <c r="S142" s="379">
        <f t="shared" si="165"/>
        <v>19.34433345230461</v>
      </c>
      <c r="T142" s="379">
        <f t="shared" si="165"/>
        <v>19.705103057879626</v>
      </c>
      <c r="U142" s="379">
        <f t="shared" si="165"/>
        <v>20.079152526236545</v>
      </c>
      <c r="V142" s="379">
        <f t="shared" si="165"/>
        <v>20.466481857375367</v>
      </c>
      <c r="W142" s="379">
        <f t="shared" si="165"/>
        <v>20.864877740832441</v>
      </c>
      <c r="X142" s="379">
        <f t="shared" si="165"/>
        <v>21.27876679753507</v>
      </c>
      <c r="Y142" s="379">
        <f t="shared" si="165"/>
        <v>21.705935717019599</v>
      </c>
      <c r="Z142" s="379">
        <f t="shared" si="165"/>
        <v>22.148597809749685</v>
      </c>
      <c r="AA142" s="379">
        <f t="shared" si="165"/>
        <v>22.606753075725319</v>
      </c>
      <c r="AB142" s="379">
        <f t="shared" si="165"/>
        <v>23.078188204482856</v>
      </c>
      <c r="AC142" s="379">
        <f t="shared" si="165"/>
        <v>23.655862235495615</v>
      </c>
      <c r="AD142" s="379">
        <f t="shared" si="165"/>
        <v>24.249029439753922</v>
      </c>
      <c r="AE142" s="379">
        <f t="shared" si="165"/>
        <v>24.859903127721442</v>
      </c>
      <c r="AF142" s="379">
        <f t="shared" si="165"/>
        <v>25.488483299398155</v>
      </c>
      <c r="AG142" s="379">
        <f t="shared" si="165"/>
        <v>26.132556644320424</v>
      </c>
    </row>
    <row r="143" spans="1:34">
      <c r="A143" s="300" t="s">
        <v>321</v>
      </c>
      <c r="B143" s="300" t="s">
        <v>300</v>
      </c>
      <c r="C143" s="379">
        <f t="shared" ref="C143:AG143" si="166">C136/($C$22*$C$21)</f>
        <v>14.315817353356437</v>
      </c>
      <c r="D143" s="379">
        <f t="shared" si="166"/>
        <v>14.495817353356436</v>
      </c>
      <c r="E143" s="379">
        <f t="shared" si="166"/>
        <v>14.571725396028539</v>
      </c>
      <c r="F143" s="379">
        <f t="shared" si="166"/>
        <v>14.565962184193141</v>
      </c>
      <c r="G143" s="379">
        <f t="shared" si="166"/>
        <v>14.434975394988371</v>
      </c>
      <c r="H143" s="379">
        <f t="shared" si="166"/>
        <v>14.541236420953146</v>
      </c>
      <c r="I143" s="379">
        <f t="shared" si="166"/>
        <v>12.615408979765672</v>
      </c>
      <c r="J143" s="379">
        <f t="shared" si="166"/>
        <v>12.301643095903334</v>
      </c>
      <c r="K143" s="379">
        <f t="shared" si="166"/>
        <v>11.775066983051717</v>
      </c>
      <c r="L143" s="379">
        <f t="shared" si="166"/>
        <v>11.331001228080678</v>
      </c>
      <c r="M143" s="379">
        <f t="shared" si="166"/>
        <v>10.980860720363609</v>
      </c>
      <c r="N143" s="379">
        <f t="shared" si="166"/>
        <v>10.860104133854898</v>
      </c>
      <c r="O143" s="379">
        <f t="shared" si="166"/>
        <v>10.746860003843784</v>
      </c>
      <c r="P143" s="379">
        <f t="shared" si="166"/>
        <v>10.602289095469356</v>
      </c>
      <c r="Q143" s="379">
        <f t="shared" si="166"/>
        <v>10.50344433553351</v>
      </c>
      <c r="R143" s="379">
        <f t="shared" si="166"/>
        <v>10.459968047401397</v>
      </c>
      <c r="S143" s="379">
        <f t="shared" si="166"/>
        <v>10.465409574821622</v>
      </c>
      <c r="T143" s="379">
        <f t="shared" si="166"/>
        <v>10.519042282202207</v>
      </c>
      <c r="U143" s="379">
        <f t="shared" si="166"/>
        <v>10.537925105069428</v>
      </c>
      <c r="V143" s="379">
        <f t="shared" si="166"/>
        <v>10.56418865488166</v>
      </c>
      <c r="W143" s="379">
        <f t="shared" si="166"/>
        <v>10.599094213852869</v>
      </c>
      <c r="X143" s="379">
        <f t="shared" si="166"/>
        <v>10.642352817548604</v>
      </c>
      <c r="Y143" s="379">
        <f t="shared" si="166"/>
        <v>10.69361684496646</v>
      </c>
      <c r="Z143" s="379">
        <f t="shared" si="166"/>
        <v>10.754249907162711</v>
      </c>
      <c r="AA143" s="379">
        <f t="shared" si="166"/>
        <v>10.825756375687902</v>
      </c>
      <c r="AB143" s="379">
        <f t="shared" si="166"/>
        <v>10.906961249510752</v>
      </c>
      <c r="AC143" s="379">
        <f t="shared" si="166"/>
        <v>11.198409536358898</v>
      </c>
      <c r="AD143" s="379">
        <f t="shared" si="166"/>
        <v>11.556070266386934</v>
      </c>
      <c r="AE143" s="379">
        <f t="shared" si="166"/>
        <v>11.926840075138529</v>
      </c>
      <c r="AF143" s="379">
        <f t="shared" si="166"/>
        <v>12.31561942050492</v>
      </c>
      <c r="AG143" s="379">
        <f t="shared" si="166"/>
        <v>12.724586395009442</v>
      </c>
    </row>
    <row r="144" spans="1:34">
      <c r="A144" s="300" t="s">
        <v>322</v>
      </c>
      <c r="B144" s="300" t="s">
        <v>300</v>
      </c>
      <c r="C144" s="379">
        <f t="shared" ref="C144:AG144" si="167">(C137+C138+C139+C140)/($C$22*$C$21)</f>
        <v>21.099613404349597</v>
      </c>
      <c r="D144" s="379">
        <f t="shared" si="167"/>
        <v>21.429200847018638</v>
      </c>
      <c r="E144" s="379">
        <f t="shared" si="167"/>
        <v>21.77872656321691</v>
      </c>
      <c r="F144" s="379">
        <f t="shared" si="167"/>
        <v>22.112188138732446</v>
      </c>
      <c r="G144" s="379">
        <f t="shared" si="167"/>
        <v>22.46753262944393</v>
      </c>
      <c r="H144" s="379">
        <f t="shared" si="167"/>
        <v>22.885343733001793</v>
      </c>
      <c r="I144" s="379">
        <f t="shared" si="167"/>
        <v>23.316140570455183</v>
      </c>
      <c r="J144" s="379">
        <f t="shared" si="167"/>
        <v>23.802970357338509</v>
      </c>
      <c r="K144" s="379">
        <f t="shared" si="167"/>
        <v>24.309708136073144</v>
      </c>
      <c r="L144" s="379">
        <f t="shared" si="167"/>
        <v>24.846906573748047</v>
      </c>
      <c r="M144" s="379">
        <f t="shared" si="167"/>
        <v>25.404725658530754</v>
      </c>
      <c r="N144" s="379">
        <f t="shared" si="167"/>
        <v>25.993741200726976</v>
      </c>
      <c r="O144" s="379">
        <f t="shared" si="167"/>
        <v>26.603733149247287</v>
      </c>
      <c r="P144" s="379">
        <f t="shared" si="167"/>
        <v>27.245504229215605</v>
      </c>
      <c r="Q144" s="379">
        <f t="shared" si="167"/>
        <v>27.919365265067402</v>
      </c>
      <c r="R144" s="379">
        <f t="shared" si="167"/>
        <v>28.625438705029648</v>
      </c>
      <c r="S144" s="379">
        <f t="shared" si="167"/>
        <v>29.365775583544291</v>
      </c>
      <c r="T144" s="379">
        <f t="shared" si="167"/>
        <v>30.166668472263627</v>
      </c>
      <c r="U144" s="379">
        <f t="shared" si="167"/>
        <v>31.010121546761198</v>
      </c>
      <c r="V144" s="379">
        <f t="shared" si="167"/>
        <v>31.886437226513266</v>
      </c>
      <c r="W144" s="379">
        <f t="shared" si="167"/>
        <v>32.795832949313059</v>
      </c>
      <c r="X144" s="379">
        <f t="shared" si="167"/>
        <v>33.739148879277394</v>
      </c>
      <c r="Y144" s="379">
        <f t="shared" si="167"/>
        <v>34.726737458516261</v>
      </c>
      <c r="Z144" s="379">
        <f t="shared" si="167"/>
        <v>35.749171167120387</v>
      </c>
      <c r="AA144" s="379">
        <f t="shared" si="167"/>
        <v>36.817041219799542</v>
      </c>
      <c r="AB144" s="379">
        <f t="shared" si="167"/>
        <v>37.930655281081179</v>
      </c>
      <c r="AC144" s="379">
        <f t="shared" si="167"/>
        <v>39.149262970891982</v>
      </c>
      <c r="AD144" s="379">
        <f t="shared" si="167"/>
        <v>40.414897631565729</v>
      </c>
      <c r="AE144" s="379">
        <f t="shared" si="167"/>
        <v>41.728339208973701</v>
      </c>
      <c r="AF144" s="379">
        <f t="shared" si="167"/>
        <v>43.100289411249953</v>
      </c>
      <c r="AG144" s="379">
        <f t="shared" si="167"/>
        <v>44.521069585936218</v>
      </c>
    </row>
    <row r="145" spans="1:34">
      <c r="A145" s="300" t="s">
        <v>310</v>
      </c>
      <c r="B145" s="300" t="s">
        <v>300</v>
      </c>
      <c r="C145" s="379">
        <f t="shared" ref="C145:AG145" si="168">C133/($C$22*$C$21*7)</f>
        <v>2.52900432900433</v>
      </c>
      <c r="D145" s="379">
        <f t="shared" si="168"/>
        <v>2.5160173160173165</v>
      </c>
      <c r="E145" s="379">
        <f t="shared" si="168"/>
        <v>2.5050505050505056</v>
      </c>
      <c r="F145" s="379">
        <f t="shared" si="168"/>
        <v>2.4444444444444451</v>
      </c>
      <c r="G145" s="379">
        <f t="shared" si="168"/>
        <v>2.388167388167389</v>
      </c>
      <c r="H145" s="379">
        <f t="shared" si="168"/>
        <v>2.3939393939393945</v>
      </c>
      <c r="I145" s="379">
        <f t="shared" si="168"/>
        <v>2.3520923520923529</v>
      </c>
      <c r="J145" s="379">
        <f t="shared" si="168"/>
        <v>2.3636363636363642</v>
      </c>
      <c r="K145" s="379">
        <f t="shared" si="168"/>
        <v>2.3766233766233773</v>
      </c>
      <c r="L145" s="379">
        <f t="shared" si="168"/>
        <v>2.3913419913419922</v>
      </c>
      <c r="M145" s="379">
        <f t="shared" si="168"/>
        <v>2.4077922077922085</v>
      </c>
      <c r="N145" s="379">
        <f t="shared" si="168"/>
        <v>3.6393939393939401</v>
      </c>
      <c r="O145" s="379">
        <f t="shared" si="168"/>
        <v>3.6692640692640701</v>
      </c>
      <c r="P145" s="379">
        <f t="shared" si="168"/>
        <v>3.7021645021645027</v>
      </c>
      <c r="Q145" s="379">
        <f t="shared" si="168"/>
        <v>3.7380952380952386</v>
      </c>
      <c r="R145" s="379">
        <f t="shared" si="168"/>
        <v>3.7766233766233772</v>
      </c>
      <c r="S145" s="379">
        <f t="shared" si="168"/>
        <v>3.7835497835497844</v>
      </c>
      <c r="T145" s="379">
        <f t="shared" si="168"/>
        <v>3.8541125541125547</v>
      </c>
      <c r="U145" s="379">
        <f t="shared" si="168"/>
        <v>3.9272727272727281</v>
      </c>
      <c r="V145" s="379">
        <f t="shared" si="168"/>
        <v>4.0030303030303038</v>
      </c>
      <c r="W145" s="379">
        <f t="shared" si="168"/>
        <v>4.0809523809523816</v>
      </c>
      <c r="X145" s="379">
        <f t="shared" si="168"/>
        <v>5.549206349206349</v>
      </c>
      <c r="Y145" s="379">
        <f t="shared" si="168"/>
        <v>5.6606060606060602</v>
      </c>
      <c r="Z145" s="379">
        <f t="shared" si="168"/>
        <v>5.7760461760461759</v>
      </c>
      <c r="AA145" s="379">
        <f t="shared" si="168"/>
        <v>5.8955266955266952</v>
      </c>
      <c r="AB145" s="379">
        <f t="shared" si="168"/>
        <v>6.0184704184704181</v>
      </c>
      <c r="AC145" s="379">
        <f t="shared" si="168"/>
        <v>6.169119769119769</v>
      </c>
      <c r="AD145" s="379">
        <f t="shared" si="168"/>
        <v>6.3238095238095235</v>
      </c>
      <c r="AE145" s="379">
        <f t="shared" si="168"/>
        <v>6.4831168831168835</v>
      </c>
      <c r="AF145" s="379">
        <f t="shared" si="168"/>
        <v>6.6470418470418471</v>
      </c>
      <c r="AG145" s="379">
        <f t="shared" si="168"/>
        <v>6.8150072150072152</v>
      </c>
    </row>
    <row r="146" spans="1:34" s="352" customFormat="1">
      <c r="A146" s="380" t="s">
        <v>323</v>
      </c>
      <c r="B146" s="352" t="s">
        <v>300</v>
      </c>
      <c r="C146" s="429">
        <f>SUM(C142:C144)-C145</f>
        <v>52.281666021670269</v>
      </c>
      <c r="D146" s="429">
        <f t="shared" ref="D146:AG146" si="169">SUM(D142:D144)-D145</f>
        <v>52.70464150646206</v>
      </c>
      <c r="E146" s="429">
        <f t="shared" si="169"/>
        <v>53.056936278680524</v>
      </c>
      <c r="F146" s="429">
        <f t="shared" si="169"/>
        <v>52.980445505600144</v>
      </c>
      <c r="G146" s="429">
        <f t="shared" si="169"/>
        <v>52.829484722972076</v>
      </c>
      <c r="H146" s="429">
        <f t="shared" si="169"/>
        <v>53.392051055995722</v>
      </c>
      <c r="I146" s="429">
        <f t="shared" si="169"/>
        <v>51.617937476879362</v>
      </c>
      <c r="J146" s="429">
        <f t="shared" si="169"/>
        <v>51.867989786902356</v>
      </c>
      <c r="K146" s="429">
        <f t="shared" si="169"/>
        <v>51.934763410662633</v>
      </c>
      <c r="L146" s="429">
        <f t="shared" si="169"/>
        <v>52.126056312294054</v>
      </c>
      <c r="M146" s="429">
        <f t="shared" si="169"/>
        <v>52.443443369337551</v>
      </c>
      <c r="N146" s="429">
        <f t="shared" si="169"/>
        <v>51.821752463096956</v>
      </c>
      <c r="O146" s="429">
        <f t="shared" si="169"/>
        <v>52.441348573727893</v>
      </c>
      <c r="P146" s="429">
        <f t="shared" si="169"/>
        <v>53.073859907658793</v>
      </c>
      <c r="Q146" s="429">
        <f t="shared" si="169"/>
        <v>53.796650216126991</v>
      </c>
      <c r="R146" s="429">
        <f t="shared" si="169"/>
        <v>54.617703860693872</v>
      </c>
      <c r="S146" s="429">
        <f t="shared" si="169"/>
        <v>55.391968827120735</v>
      </c>
      <c r="T146" s="429">
        <f t="shared" si="169"/>
        <v>56.536701258232902</v>
      </c>
      <c r="U146" s="429">
        <f t="shared" si="169"/>
        <v>57.699926450794443</v>
      </c>
      <c r="V146" s="429">
        <f t="shared" si="169"/>
        <v>58.914077435739983</v>
      </c>
      <c r="W146" s="429">
        <f t="shared" si="169"/>
        <v>60.17885252304599</v>
      </c>
      <c r="X146" s="429">
        <f t="shared" si="169"/>
        <v>60.111062145154726</v>
      </c>
      <c r="Y146" s="429">
        <f t="shared" si="169"/>
        <v>61.465683959896268</v>
      </c>
      <c r="Z146" s="429">
        <f t="shared" si="169"/>
        <v>62.875972707986605</v>
      </c>
      <c r="AA146" s="429">
        <f t="shared" si="169"/>
        <v>64.354023975686076</v>
      </c>
      <c r="AB146" s="429">
        <f t="shared" si="169"/>
        <v>65.897334316604372</v>
      </c>
      <c r="AC146" s="429">
        <f t="shared" si="169"/>
        <v>67.834414973626721</v>
      </c>
      <c r="AD146" s="429">
        <f t="shared" si="169"/>
        <v>69.896187813897058</v>
      </c>
      <c r="AE146" s="429">
        <f t="shared" si="169"/>
        <v>72.031965528716796</v>
      </c>
      <c r="AF146" s="429">
        <f t="shared" si="169"/>
        <v>74.257350284111183</v>
      </c>
      <c r="AG146" s="429">
        <f t="shared" si="169"/>
        <v>76.563205410258874</v>
      </c>
    </row>
    <row r="147" spans="1:34" s="344" customFormat="1">
      <c r="A147" s="342" t="s">
        <v>331</v>
      </c>
      <c r="B147" s="342"/>
      <c r="H147" s="431">
        <f>H149/H63</f>
        <v>2.3697905278348714</v>
      </c>
      <c r="AB147" s="431">
        <f>AB149/AB63</f>
        <v>1.4395709495042432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B148" si="170">D148+1</f>
        <v>2027</v>
      </c>
      <c r="F148" s="360">
        <f t="shared" si="170"/>
        <v>2028</v>
      </c>
      <c r="G148" s="360">
        <f t="shared" si="170"/>
        <v>2029</v>
      </c>
      <c r="H148" s="360">
        <f t="shared" si="170"/>
        <v>2030</v>
      </c>
      <c r="I148" s="360">
        <f t="shared" si="170"/>
        <v>2031</v>
      </c>
      <c r="J148" s="360">
        <f t="shared" si="170"/>
        <v>2032</v>
      </c>
      <c r="K148" s="360">
        <f t="shared" si="170"/>
        <v>2033</v>
      </c>
      <c r="L148" s="360">
        <f t="shared" si="170"/>
        <v>2034</v>
      </c>
      <c r="M148" s="360">
        <f t="shared" si="170"/>
        <v>2035</v>
      </c>
      <c r="N148" s="360">
        <f t="shared" si="170"/>
        <v>2036</v>
      </c>
      <c r="O148" s="360">
        <f t="shared" si="170"/>
        <v>2037</v>
      </c>
      <c r="P148" s="360">
        <f t="shared" si="170"/>
        <v>2038</v>
      </c>
      <c r="Q148" s="360">
        <f t="shared" si="170"/>
        <v>2039</v>
      </c>
      <c r="R148" s="360">
        <f t="shared" si="170"/>
        <v>2040</v>
      </c>
      <c r="S148" s="360">
        <f t="shared" si="170"/>
        <v>2041</v>
      </c>
      <c r="T148" s="360">
        <f t="shared" si="170"/>
        <v>2042</v>
      </c>
      <c r="U148" s="360">
        <f t="shared" si="170"/>
        <v>2043</v>
      </c>
      <c r="V148" s="360">
        <f t="shared" si="170"/>
        <v>2044</v>
      </c>
      <c r="W148" s="360">
        <f t="shared" si="170"/>
        <v>2045</v>
      </c>
      <c r="X148" s="360">
        <f t="shared" si="170"/>
        <v>2046</v>
      </c>
      <c r="Y148" s="360">
        <f t="shared" si="170"/>
        <v>2047</v>
      </c>
      <c r="Z148" s="360">
        <f t="shared" si="170"/>
        <v>2048</v>
      </c>
      <c r="AA148" s="360">
        <f t="shared" si="170"/>
        <v>2049</v>
      </c>
      <c r="AB148" s="360">
        <f t="shared" si="170"/>
        <v>2050</v>
      </c>
      <c r="AC148" s="360">
        <f t="shared" ref="AC148" si="171">AB148+1</f>
        <v>2051</v>
      </c>
      <c r="AD148" s="360">
        <f t="shared" ref="AD148" si="172">AC148+1</f>
        <v>2052</v>
      </c>
      <c r="AE148" s="360">
        <f t="shared" ref="AE148" si="173">AD148+1</f>
        <v>2053</v>
      </c>
      <c r="AF148" s="360">
        <f t="shared" ref="AF148" si="174">AE148+1</f>
        <v>2054</v>
      </c>
      <c r="AG148" s="360">
        <f t="shared" ref="AG148" si="175">AF148+1</f>
        <v>2055</v>
      </c>
    </row>
    <row r="149" spans="1:34">
      <c r="A149" s="300" t="s">
        <v>332</v>
      </c>
      <c r="B149" s="300" t="s">
        <v>309</v>
      </c>
      <c r="C149" s="376">
        <f>ROUND(('Changing with year'!C144)/1000,0)*1000</f>
        <v>11491000</v>
      </c>
      <c r="D149" s="376">
        <f>ROUND(('Changing with year'!D144)/1000,0)*1000</f>
        <v>11294000</v>
      </c>
      <c r="E149" s="376">
        <f>ROUND(('Changing with year'!E144)/1000,0)*1000</f>
        <v>11110000</v>
      </c>
      <c r="F149" s="376">
        <f>ROUND(('Changing with year'!F144)/1000,0)*1000</f>
        <v>10939000</v>
      </c>
      <c r="G149" s="376">
        <f>ROUND(('Changing with year'!G144)/1000,0)*1000</f>
        <v>10782000</v>
      </c>
      <c r="H149" s="376">
        <f>ROUND(('Changing with year'!H144)/1000,0)*1000</f>
        <v>10838000</v>
      </c>
      <c r="I149" s="376">
        <f>ROUND(('Changing with year'!I144)/1000,0)*1000</f>
        <v>10763000</v>
      </c>
      <c r="J149" s="376">
        <f>ROUND(('Changing with year'!J144)/1000,0)*1000</f>
        <v>10705000</v>
      </c>
      <c r="K149" s="376">
        <f>ROUND(('Changing with year'!K144)/1000,0)*1000</f>
        <v>10656000</v>
      </c>
      <c r="L149" s="376">
        <f>ROUND(('Changing with year'!L144)/1000,0)*1000</f>
        <v>10616000</v>
      </c>
      <c r="M149" s="376">
        <f>ROUND(('Changing with year'!M144)/1000,0)*1000</f>
        <v>10586000</v>
      </c>
      <c r="N149" s="376">
        <f>ROUND(('Changing with year'!N144)/1000,0)*1000</f>
        <v>10565000</v>
      </c>
      <c r="O149" s="376">
        <f>ROUND(('Changing with year'!O144)/1000,0)*1000</f>
        <v>10553000</v>
      </c>
      <c r="P149" s="376">
        <f>ROUND(('Changing with year'!P144)/1000,0)*1000</f>
        <v>10551000</v>
      </c>
      <c r="Q149" s="376">
        <f>ROUND(('Changing with year'!Q144)/1000,0)*1000</f>
        <v>10558000</v>
      </c>
      <c r="R149" s="376">
        <f>ROUND(('Changing with year'!R144)/1000,0)*1000</f>
        <v>10575000</v>
      </c>
      <c r="S149" s="376">
        <f>ROUND(('Changing with year'!S144)/1000,0)*1000</f>
        <v>10540000</v>
      </c>
      <c r="T149" s="376">
        <f>ROUND(('Changing with year'!T144)/1000,0)*1000</f>
        <v>10679000</v>
      </c>
      <c r="U149" s="376">
        <f>ROUND(('Changing with year'!U144)/1000,0)*1000</f>
        <v>10825000</v>
      </c>
      <c r="V149" s="376">
        <f>ROUND(('Changing with year'!V144)/1000,0)*1000</f>
        <v>10978000</v>
      </c>
      <c r="W149" s="376">
        <f>ROUND(('Changing with year'!W144)/1000,0)*1000</f>
        <v>11138000</v>
      </c>
      <c r="X149" s="376">
        <f>ROUND(('Changing with year'!X144)/1000,0)*1000</f>
        <v>11146000</v>
      </c>
      <c r="Y149" s="376">
        <f>ROUND(('Changing with year'!Y144)/1000,0)*1000</f>
        <v>11321000</v>
      </c>
      <c r="Z149" s="376">
        <f>ROUND(('Changing with year'!Z144)/1000,0)*1000</f>
        <v>11503000</v>
      </c>
      <c r="AA149" s="376">
        <f>ROUND(('Changing with year'!AA144)/1000,0)*1000</f>
        <v>11693000</v>
      </c>
      <c r="AB149" s="376">
        <f>ROUND(('Changing with year'!AB144)/1000,0)*1000</f>
        <v>11891000</v>
      </c>
      <c r="AC149" s="376">
        <f>ROUND(('Changing with year'!AC144)/1000,0)*1000</f>
        <v>12011000</v>
      </c>
      <c r="AD149" s="376">
        <f>ROUND(('Changing with year'!AD144)/1000,0)*1000</f>
        <v>12293000</v>
      </c>
      <c r="AE149" s="376">
        <f>ROUND(('Changing with year'!AE144)/1000,0)*1000</f>
        <v>12582000</v>
      </c>
      <c r="AF149" s="376">
        <f>ROUND(('Changing with year'!AF144)/1000,0)*1000</f>
        <v>12879000</v>
      </c>
      <c r="AG149" s="376">
        <f>ROUND(('Changing with year'!AG144)/1000,0)*1000</f>
        <v>13184000</v>
      </c>
    </row>
    <row r="150" spans="1:34">
      <c r="A150" s="300" t="s">
        <v>310</v>
      </c>
      <c r="B150" s="300" t="s">
        <v>309</v>
      </c>
      <c r="C150" s="376">
        <f>(C149*'No change with year'!$AN$6)</f>
        <v>1149100.0000000005</v>
      </c>
      <c r="D150" s="376">
        <f>(D149*'No change with year'!$AN$6)</f>
        <v>1129400.0000000005</v>
      </c>
      <c r="E150" s="376">
        <f>(E149*'No change with year'!$AN$6)</f>
        <v>1111000.0000000005</v>
      </c>
      <c r="F150" s="376">
        <f>(F149*'No change with year'!$AN$6)</f>
        <v>1093900.0000000005</v>
      </c>
      <c r="G150" s="376">
        <f>(G149*'No change with year'!$AN$6)</f>
        <v>1078200.0000000005</v>
      </c>
      <c r="H150" s="376">
        <f>(H149*'No change with year'!$AN$6)</f>
        <v>1083800.0000000005</v>
      </c>
      <c r="I150" s="376">
        <f>(I149*'No change with year'!$AN$6)</f>
        <v>1076300.0000000005</v>
      </c>
      <c r="J150" s="376">
        <f>(J149*'No change with year'!$AN$6)</f>
        <v>1070500.0000000005</v>
      </c>
      <c r="K150" s="376">
        <f>(K149*'No change with year'!$AN$6)</f>
        <v>1065600.0000000005</v>
      </c>
      <c r="L150" s="376">
        <f>(L149*'No change with year'!$AN$6)</f>
        <v>1061600.0000000005</v>
      </c>
      <c r="M150" s="376">
        <f>(M149*'No change with year'!$AN$6)</f>
        <v>1058600.0000000005</v>
      </c>
      <c r="N150" s="376">
        <f>(N149*'No change with year'!$AO$6)</f>
        <v>2113000.0000000009</v>
      </c>
      <c r="O150" s="376">
        <f>(O149*'No change with year'!$AO$6)</f>
        <v>2110600.0000000009</v>
      </c>
      <c r="P150" s="376">
        <f>(P149*'No change with year'!$AO$6)</f>
        <v>2110200.0000000009</v>
      </c>
      <c r="Q150" s="376">
        <f>(Q149*'No change with year'!$AO$6)</f>
        <v>2111600.0000000009</v>
      </c>
      <c r="R150" s="376">
        <f>(R149*'No change with year'!$AO$6)</f>
        <v>2115000.0000000009</v>
      </c>
      <c r="S150" s="376">
        <f>(S149*'No change with year'!$AO$6)</f>
        <v>2108000.0000000009</v>
      </c>
      <c r="T150" s="376">
        <f>(T149*'No change with year'!$AO$6)</f>
        <v>2135800.0000000009</v>
      </c>
      <c r="U150" s="376">
        <f>(U149*'No change with year'!$AO$6)</f>
        <v>2165000.0000000009</v>
      </c>
      <c r="V150" s="376">
        <f>(V149*'No change with year'!$AO$6)</f>
        <v>2195600.0000000009</v>
      </c>
      <c r="W150" s="376">
        <f>(W149*'No change with year'!$AO$6)</f>
        <v>2227600.0000000009</v>
      </c>
      <c r="X150" s="376">
        <f>(X149*'No change with year'!$AP$6)</f>
        <v>3343800.0000000005</v>
      </c>
      <c r="Y150" s="376">
        <f>(Y149*'No change with year'!$AP$6)</f>
        <v>3396300.0000000005</v>
      </c>
      <c r="Z150" s="376">
        <f>(Z149*'No change with year'!$AP$6)</f>
        <v>3450900.0000000005</v>
      </c>
      <c r="AA150" s="376">
        <f>(AA149*'No change with year'!$AP$6)</f>
        <v>3507900.0000000005</v>
      </c>
      <c r="AB150" s="376">
        <f>(AB149*'No change with year'!$AP$6)</f>
        <v>3567300.0000000005</v>
      </c>
      <c r="AC150" s="376">
        <f>(AC149*'No change with year'!$AP$6)</f>
        <v>3603300.0000000005</v>
      </c>
      <c r="AD150" s="376">
        <f>(AD149*'No change with year'!$AP$6)</f>
        <v>3687900.0000000005</v>
      </c>
      <c r="AE150" s="376">
        <f>(AE149*'No change with year'!$AP$6)</f>
        <v>3774600.0000000005</v>
      </c>
      <c r="AF150" s="376">
        <f>(AF149*'No change with year'!$AP$6)</f>
        <v>3863700.0000000005</v>
      </c>
      <c r="AG150" s="376">
        <f>(AG149*'No change with year'!$AP$6)</f>
        <v>3955200.0000000005</v>
      </c>
    </row>
    <row r="151" spans="1:34" s="371" customFormat="1" ht="11.85" customHeight="1">
      <c r="A151" s="428" t="s">
        <v>311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spans="1:34">
      <c r="A152" s="300" t="s">
        <v>325</v>
      </c>
      <c r="B152" s="300" t="s">
        <v>313</v>
      </c>
      <c r="C152" s="376">
        <f>-PMT($C$28,$C$27,C149)</f>
        <v>2517881.9032428823</v>
      </c>
      <c r="D152" s="376">
        <f t="shared" ref="D152:AG152" si="176">-PMT($C$28,$C$27,D149)</f>
        <v>2474715.7092703087</v>
      </c>
      <c r="E152" s="376">
        <f t="shared" si="176"/>
        <v>2434398.0458644526</v>
      </c>
      <c r="F152" s="376">
        <f t="shared" si="176"/>
        <v>2396928.9130253149</v>
      </c>
      <c r="G152" s="376">
        <f t="shared" si="176"/>
        <v>2362527.4284887961</v>
      </c>
      <c r="H152" s="376">
        <f t="shared" si="176"/>
        <v>2374798.021699274</v>
      </c>
      <c r="I152" s="376">
        <f t="shared" si="176"/>
        <v>2358364.1915066703</v>
      </c>
      <c r="J152" s="376">
        <f t="shared" si="176"/>
        <v>2345655.3628243892</v>
      </c>
      <c r="K152" s="376">
        <f t="shared" si="176"/>
        <v>2334918.5937652211</v>
      </c>
      <c r="L152" s="376">
        <f t="shared" si="176"/>
        <v>2326153.8843291653</v>
      </c>
      <c r="M152" s="376">
        <f t="shared" si="176"/>
        <v>2319580.3522521239</v>
      </c>
      <c r="N152" s="376">
        <f t="shared" si="176"/>
        <v>2314978.8797981949</v>
      </c>
      <c r="O152" s="376">
        <f t="shared" si="176"/>
        <v>2312349.4669673778</v>
      </c>
      <c r="P152" s="376">
        <f t="shared" si="176"/>
        <v>2311911.231495575</v>
      </c>
      <c r="Q152" s="376">
        <f t="shared" si="176"/>
        <v>2313445.0556468847</v>
      </c>
      <c r="R152" s="376">
        <f t="shared" si="176"/>
        <v>2317170.0571572082</v>
      </c>
      <c r="S152" s="376">
        <f t="shared" si="176"/>
        <v>2309500.9364006598</v>
      </c>
      <c r="T152" s="376">
        <f t="shared" si="176"/>
        <v>2339958.3016909529</v>
      </c>
      <c r="U152" s="376">
        <f t="shared" si="176"/>
        <v>2371949.4911325565</v>
      </c>
      <c r="V152" s="376">
        <f t="shared" si="176"/>
        <v>2405474.5047254693</v>
      </c>
      <c r="W152" s="376">
        <f t="shared" si="176"/>
        <v>2440533.3424696918</v>
      </c>
      <c r="X152" s="376">
        <f t="shared" si="176"/>
        <v>2442286.2843569028</v>
      </c>
      <c r="Y152" s="376">
        <f t="shared" si="176"/>
        <v>2480631.888139646</v>
      </c>
      <c r="Z152" s="376">
        <f t="shared" si="176"/>
        <v>2520511.3160736994</v>
      </c>
      <c r="AA152" s="376">
        <f t="shared" si="176"/>
        <v>2562143.6858949638</v>
      </c>
      <c r="AB152" s="376">
        <f t="shared" si="176"/>
        <v>2605528.9976034388</v>
      </c>
      <c r="AC152" s="376">
        <f t="shared" si="176"/>
        <v>2631823.125911606</v>
      </c>
      <c r="AD152" s="376">
        <f t="shared" si="176"/>
        <v>2693614.327435798</v>
      </c>
      <c r="AE152" s="376">
        <f t="shared" si="176"/>
        <v>2756939.3531113002</v>
      </c>
      <c r="AF152" s="376">
        <f t="shared" si="176"/>
        <v>2822017.3206740129</v>
      </c>
      <c r="AG152" s="376">
        <f t="shared" si="176"/>
        <v>2888848.2301239371</v>
      </c>
    </row>
    <row r="153" spans="1:34">
      <c r="A153" s="300" t="s">
        <v>333</v>
      </c>
      <c r="B153" s="300" t="s">
        <v>313</v>
      </c>
      <c r="C153" s="376">
        <f t="shared" ref="C153:AG153" si="177">$H$37*C50</f>
        <v>3968250</v>
      </c>
      <c r="D153" s="376">
        <f t="shared" si="177"/>
        <v>3931400.0000000005</v>
      </c>
      <c r="E153" s="376">
        <f t="shared" si="177"/>
        <v>3898226.75</v>
      </c>
      <c r="F153" s="376">
        <f t="shared" si="177"/>
        <v>3868648.2725000004</v>
      </c>
      <c r="G153" s="376">
        <f t="shared" si="177"/>
        <v>3842586.5398250003</v>
      </c>
      <c r="H153" s="376">
        <f t="shared" si="177"/>
        <v>3819967.3484802507</v>
      </c>
      <c r="I153" s="376">
        <f t="shared" si="177"/>
        <v>3592462.8984693899</v>
      </c>
      <c r="J153" s="376">
        <f t="shared" si="177"/>
        <v>3472727.7329499475</v>
      </c>
      <c r="K153" s="376">
        <f t="shared" si="177"/>
        <v>3356975.030991355</v>
      </c>
      <c r="L153" s="376">
        <f t="shared" si="177"/>
        <v>3245054.4942102865</v>
      </c>
      <c r="M153" s="376">
        <f t="shared" si="177"/>
        <v>3136822.0587658086</v>
      </c>
      <c r="N153" s="376">
        <f t="shared" si="177"/>
        <v>3032139.6200247812</v>
      </c>
      <c r="O153" s="376">
        <f t="shared" si="177"/>
        <v>2930874.7698758407</v>
      </c>
      <c r="P153" s="376">
        <f t="shared" si="177"/>
        <v>2832900.5460962863</v>
      </c>
      <c r="Q153" s="376">
        <f t="shared" si="177"/>
        <v>2738095.1932046856</v>
      </c>
      <c r="R153" s="376">
        <f t="shared" si="177"/>
        <v>2646341.9342591651</v>
      </c>
      <c r="S153" s="376">
        <f t="shared" si="177"/>
        <v>2443323.3447542489</v>
      </c>
      <c r="T153" s="376">
        <f t="shared" si="177"/>
        <v>2373946.668607472</v>
      </c>
      <c r="U153" s="376">
        <f t="shared" si="177"/>
        <v>2307038.8850217913</v>
      </c>
      <c r="V153" s="376">
        <f t="shared" si="177"/>
        <v>2242493.2851716741</v>
      </c>
      <c r="W153" s="376">
        <f t="shared" si="177"/>
        <v>2180208.1262231376</v>
      </c>
      <c r="X153" s="376">
        <f t="shared" si="177"/>
        <v>2120086.3927914193</v>
      </c>
      <c r="Y153" s="376">
        <f t="shared" si="177"/>
        <v>2062035.5700463096</v>
      </c>
      <c r="Z153" s="376">
        <f t="shared" si="177"/>
        <v>2005967.4278910139</v>
      </c>
      <c r="AA153" s="376">
        <f t="shared" si="177"/>
        <v>1951797.8156688702</v>
      </c>
      <c r="AB153" s="376">
        <f t="shared" si="177"/>
        <v>1899446.4668793015</v>
      </c>
      <c r="AC153" s="376">
        <f t="shared" si="177"/>
        <v>1835623.3950629744</v>
      </c>
      <c r="AD153" s="376">
        <f t="shared" si="177"/>
        <v>1841949.7557450649</v>
      </c>
      <c r="AE153" s="376">
        <f t="shared" si="177"/>
        <v>1850425.3729265435</v>
      </c>
      <c r="AF153" s="376">
        <f t="shared" si="177"/>
        <v>1861015.7154203262</v>
      </c>
      <c r="AG153" s="376">
        <f t="shared" si="177"/>
        <v>1873689.5760441388</v>
      </c>
    </row>
    <row r="154" spans="1:34">
      <c r="A154" s="300" t="s">
        <v>317</v>
      </c>
      <c r="B154" s="300" t="s">
        <v>313</v>
      </c>
      <c r="C154" s="376">
        <f t="shared" ref="C154:AG154" si="178">$C$22*$C$21*C58</f>
        <v>714780.00000000012</v>
      </c>
      <c r="D154" s="376">
        <f t="shared" si="178"/>
        <v>718274.7</v>
      </c>
      <c r="E154" s="376">
        <f t="shared" si="178"/>
        <v>722536.60050000006</v>
      </c>
      <c r="F154" s="376">
        <f t="shared" si="178"/>
        <v>727580.70420749998</v>
      </c>
      <c r="G154" s="376">
        <f t="shared" si="178"/>
        <v>733423.00607111247</v>
      </c>
      <c r="H154" s="376">
        <f t="shared" si="178"/>
        <v>740080.52316688665</v>
      </c>
      <c r="I154" s="376">
        <f t="shared" si="178"/>
        <v>749272.2812611988</v>
      </c>
      <c r="J154" s="376">
        <f t="shared" si="178"/>
        <v>759239.93893593096</v>
      </c>
      <c r="K154" s="376">
        <f t="shared" si="178"/>
        <v>770006.3675891665</v>
      </c>
      <c r="L154" s="376">
        <f t="shared" si="178"/>
        <v>781595.51676661544</v>
      </c>
      <c r="M154" s="376">
        <f t="shared" si="178"/>
        <v>794032.45402168483</v>
      </c>
      <c r="N154" s="376">
        <f t="shared" si="178"/>
        <v>807343.40643526893</v>
      </c>
      <c r="O154" s="376">
        <f t="shared" si="178"/>
        <v>821555.8038603419</v>
      </c>
      <c r="P154" s="376">
        <f t="shared" si="178"/>
        <v>836698.32395906444</v>
      </c>
      <c r="Q154" s="376">
        <f t="shared" si="178"/>
        <v>852800.93910285004</v>
      </c>
      <c r="R154" s="376">
        <f t="shared" si="178"/>
        <v>869894.96520867839</v>
      </c>
      <c r="S154" s="376">
        <f t="shared" si="178"/>
        <v>890792.72112609213</v>
      </c>
      <c r="T154" s="376">
        <f t="shared" si="178"/>
        <v>912665.36770711199</v>
      </c>
      <c r="U154" s="376">
        <f t="shared" si="178"/>
        <v>935550.510774013</v>
      </c>
      <c r="V154" s="376">
        <f t="shared" si="178"/>
        <v>959487.27428000362</v>
      </c>
      <c r="W154" s="376">
        <f t="shared" si="178"/>
        <v>984516.36089548364</v>
      </c>
      <c r="X154" s="376">
        <f t="shared" si="178"/>
        <v>1010680.1150191398</v>
      </c>
      <c r="Y154" s="376">
        <f t="shared" si="178"/>
        <v>1038022.5883108643</v>
      </c>
      <c r="Z154" s="376">
        <f t="shared" si="178"/>
        <v>1066589.6078473479</v>
      </c>
      <c r="AA154" s="376">
        <f t="shared" si="178"/>
        <v>1096428.8470052506</v>
      </c>
      <c r="AB154" s="376">
        <f t="shared" si="178"/>
        <v>1127589.8991810291</v>
      </c>
      <c r="AC154" s="376">
        <f t="shared" si="178"/>
        <v>1165152.010735838</v>
      </c>
      <c r="AD154" s="376">
        <f t="shared" si="178"/>
        <v>1204141.1919087151</v>
      </c>
      <c r="AE154" s="376">
        <f t="shared" si="178"/>
        <v>1244613.7713359413</v>
      </c>
      <c r="AF154" s="376">
        <f t="shared" si="178"/>
        <v>1286628.3232577657</v>
      </c>
      <c r="AG154" s="376">
        <f t="shared" si="178"/>
        <v>1330245.7572671468</v>
      </c>
    </row>
    <row r="155" spans="1:34">
      <c r="A155" s="300" t="s">
        <v>318</v>
      </c>
      <c r="B155" s="300" t="s">
        <v>313</v>
      </c>
      <c r="C155" s="376">
        <f>'Changing with year'!C300</f>
        <v>510000</v>
      </c>
      <c r="D155" s="376">
        <f>'Changing with year'!D300</f>
        <v>533000</v>
      </c>
      <c r="E155" s="376">
        <f>'Changing with year'!E300</f>
        <v>557000</v>
      </c>
      <c r="F155" s="376">
        <f>'Changing with year'!F300</f>
        <v>582000</v>
      </c>
      <c r="G155" s="376">
        <f>'Changing with year'!G300</f>
        <v>608000</v>
      </c>
      <c r="H155" s="376">
        <f>'Changing with year'!H300</f>
        <v>635000</v>
      </c>
      <c r="I155" s="376">
        <f>'Changing with year'!I300</f>
        <v>664000</v>
      </c>
      <c r="J155" s="376">
        <f>'Changing with year'!J300</f>
        <v>694000</v>
      </c>
      <c r="K155" s="376">
        <f>'Changing with year'!K300</f>
        <v>725000</v>
      </c>
      <c r="L155" s="376">
        <f>'Changing with year'!L300</f>
        <v>758000</v>
      </c>
      <c r="M155" s="376">
        <f>'Changing with year'!M300</f>
        <v>792000</v>
      </c>
      <c r="N155" s="376">
        <f>'Changing with year'!N300</f>
        <v>828000</v>
      </c>
      <c r="O155" s="376">
        <f>'Changing with year'!O300</f>
        <v>865000</v>
      </c>
      <c r="P155" s="376">
        <f>'Changing with year'!P300</f>
        <v>904000</v>
      </c>
      <c r="Q155" s="376">
        <f>'Changing with year'!Q300</f>
        <v>945000</v>
      </c>
      <c r="R155" s="376">
        <f>'Changing with year'!R300</f>
        <v>988000</v>
      </c>
      <c r="S155" s="376">
        <f>'Changing with year'!S300</f>
        <v>1032000</v>
      </c>
      <c r="T155" s="376">
        <f>'Changing with year'!T300</f>
        <v>1078000</v>
      </c>
      <c r="U155" s="376">
        <f>'Changing with year'!U300</f>
        <v>1127000</v>
      </c>
      <c r="V155" s="376">
        <f>'Changing with year'!V300</f>
        <v>1178000</v>
      </c>
      <c r="W155" s="376">
        <f>'Changing with year'!W300</f>
        <v>1231000</v>
      </c>
      <c r="X155" s="376">
        <f>'Changing with year'!X300</f>
        <v>1286000</v>
      </c>
      <c r="Y155" s="376">
        <f>'Changing with year'!Y300</f>
        <v>1344000</v>
      </c>
      <c r="Z155" s="376">
        <f>'Changing with year'!Z300</f>
        <v>1404000</v>
      </c>
      <c r="AA155" s="376">
        <f>'Changing with year'!AA300</f>
        <v>1467000</v>
      </c>
      <c r="AB155" s="376">
        <f>'Changing with year'!AB300</f>
        <v>1533000</v>
      </c>
      <c r="AC155" s="376">
        <f>'Changing with year'!AC300</f>
        <v>1602000</v>
      </c>
      <c r="AD155" s="376">
        <f>'Changing with year'!AD300</f>
        <v>1674000</v>
      </c>
      <c r="AE155" s="376">
        <f>'Changing with year'!AE300</f>
        <v>1749000</v>
      </c>
      <c r="AF155" s="376">
        <f>'Changing with year'!AF300</f>
        <v>1828000</v>
      </c>
      <c r="AG155" s="376">
        <f>'Changing with year'!AG300</f>
        <v>1910000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179">C60</f>
        <v>693000</v>
      </c>
      <c r="D156" s="376">
        <f t="shared" si="179"/>
        <v>699930.00000000012</v>
      </c>
      <c r="E156" s="376">
        <f t="shared" si="179"/>
        <v>706929.3</v>
      </c>
      <c r="F156" s="376">
        <f t="shared" si="179"/>
        <v>713998.59300000011</v>
      </c>
      <c r="G156" s="376">
        <f t="shared" si="179"/>
        <v>721138.57892999996</v>
      </c>
      <c r="H156" s="376">
        <f t="shared" si="179"/>
        <v>728349.96471930004</v>
      </c>
      <c r="I156" s="376">
        <f t="shared" si="179"/>
        <v>735633.46436649305</v>
      </c>
      <c r="J156" s="376">
        <f t="shared" si="179"/>
        <v>742989.79901015793</v>
      </c>
      <c r="K156" s="376">
        <f t="shared" si="179"/>
        <v>750419.69700025953</v>
      </c>
      <c r="L156" s="376">
        <f t="shared" si="179"/>
        <v>757923.89397026226</v>
      </c>
      <c r="M156" s="376">
        <f t="shared" si="179"/>
        <v>765503.13290996477</v>
      </c>
      <c r="N156" s="376">
        <f t="shared" si="179"/>
        <v>773158.16423906432</v>
      </c>
      <c r="O156" s="376">
        <f t="shared" si="179"/>
        <v>780889.74588145502</v>
      </c>
      <c r="P156" s="376">
        <f t="shared" si="179"/>
        <v>788698.64334026957</v>
      </c>
      <c r="Q156" s="376">
        <f t="shared" si="179"/>
        <v>796585.62977367244</v>
      </c>
      <c r="R156" s="376">
        <f t="shared" si="179"/>
        <v>804551.48607140908</v>
      </c>
      <c r="S156" s="376">
        <f t="shared" si="179"/>
        <v>812597.00093212316</v>
      </c>
      <c r="T156" s="376">
        <f t="shared" si="179"/>
        <v>820722.97094144451</v>
      </c>
      <c r="U156" s="376">
        <f t="shared" si="179"/>
        <v>828930.20065085881</v>
      </c>
      <c r="V156" s="376">
        <f t="shared" si="179"/>
        <v>837219.5026573675</v>
      </c>
      <c r="W156" s="376">
        <f t="shared" si="179"/>
        <v>845591.69768394111</v>
      </c>
      <c r="X156" s="376">
        <f t="shared" si="179"/>
        <v>854047.61466078053</v>
      </c>
      <c r="Y156" s="376">
        <f t="shared" si="179"/>
        <v>862588.09080738842</v>
      </c>
      <c r="Z156" s="376">
        <f t="shared" si="179"/>
        <v>871213.97171546239</v>
      </c>
      <c r="AA156" s="376">
        <f t="shared" si="179"/>
        <v>879926.11143261695</v>
      </c>
      <c r="AB156" s="376">
        <f t="shared" si="179"/>
        <v>888725.37254694325</v>
      </c>
      <c r="AC156" s="376">
        <f t="shared" si="179"/>
        <v>897612.62627241272</v>
      </c>
      <c r="AD156" s="376">
        <f t="shared" si="179"/>
        <v>906588.75253513677</v>
      </c>
      <c r="AE156" s="376">
        <f t="shared" si="179"/>
        <v>915654.64006048813</v>
      </c>
      <c r="AF156" s="376">
        <f t="shared" si="179"/>
        <v>924811.18646109302</v>
      </c>
      <c r="AG156" s="376">
        <f t="shared" si="179"/>
        <v>934059.29832570395</v>
      </c>
    </row>
    <row r="157" spans="1:34">
      <c r="A157" s="300" t="s">
        <v>319</v>
      </c>
      <c r="B157" s="300" t="s">
        <v>313</v>
      </c>
      <c r="C157" s="376">
        <f t="shared" ref="C157:AG157" si="180">C149*$C$29</f>
        <v>229820</v>
      </c>
      <c r="D157" s="376">
        <f t="shared" si="180"/>
        <v>225880</v>
      </c>
      <c r="E157" s="376">
        <f t="shared" si="180"/>
        <v>222200</v>
      </c>
      <c r="F157" s="376">
        <f t="shared" si="180"/>
        <v>218780</v>
      </c>
      <c r="G157" s="376">
        <f t="shared" si="180"/>
        <v>215640</v>
      </c>
      <c r="H157" s="376">
        <f t="shared" si="180"/>
        <v>216760</v>
      </c>
      <c r="I157" s="376">
        <f t="shared" si="180"/>
        <v>215260</v>
      </c>
      <c r="J157" s="376">
        <f t="shared" si="180"/>
        <v>214100</v>
      </c>
      <c r="K157" s="376">
        <f t="shared" si="180"/>
        <v>213120</v>
      </c>
      <c r="L157" s="376">
        <f t="shared" si="180"/>
        <v>212320</v>
      </c>
      <c r="M157" s="376">
        <f t="shared" si="180"/>
        <v>211720</v>
      </c>
      <c r="N157" s="376">
        <f t="shared" si="180"/>
        <v>211300</v>
      </c>
      <c r="O157" s="376">
        <f t="shared" si="180"/>
        <v>211060</v>
      </c>
      <c r="P157" s="376">
        <f t="shared" si="180"/>
        <v>211020</v>
      </c>
      <c r="Q157" s="376">
        <f t="shared" si="180"/>
        <v>211160</v>
      </c>
      <c r="R157" s="376">
        <f t="shared" si="180"/>
        <v>211500</v>
      </c>
      <c r="S157" s="376">
        <f t="shared" si="180"/>
        <v>210800</v>
      </c>
      <c r="T157" s="376">
        <f t="shared" si="180"/>
        <v>213580</v>
      </c>
      <c r="U157" s="376">
        <f t="shared" si="180"/>
        <v>216500</v>
      </c>
      <c r="V157" s="376">
        <f t="shared" si="180"/>
        <v>219560</v>
      </c>
      <c r="W157" s="376">
        <f t="shared" si="180"/>
        <v>222760</v>
      </c>
      <c r="X157" s="376">
        <f t="shared" si="180"/>
        <v>222920</v>
      </c>
      <c r="Y157" s="376">
        <f t="shared" si="180"/>
        <v>226420</v>
      </c>
      <c r="Z157" s="376">
        <f t="shared" si="180"/>
        <v>230060</v>
      </c>
      <c r="AA157" s="376">
        <f t="shared" si="180"/>
        <v>233860</v>
      </c>
      <c r="AB157" s="376">
        <f t="shared" si="180"/>
        <v>237820</v>
      </c>
      <c r="AC157" s="376">
        <f t="shared" si="180"/>
        <v>240220</v>
      </c>
      <c r="AD157" s="376">
        <f t="shared" si="180"/>
        <v>245860</v>
      </c>
      <c r="AE157" s="376">
        <f t="shared" si="180"/>
        <v>251640</v>
      </c>
      <c r="AF157" s="376">
        <f t="shared" si="180"/>
        <v>257580</v>
      </c>
      <c r="AG157" s="376">
        <f t="shared" si="180"/>
        <v>263680</v>
      </c>
    </row>
    <row r="158" spans="1:34" s="371" customFormat="1" ht="11.85" customHeight="1">
      <c r="A158" s="428" t="s">
        <v>320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spans="1:34">
      <c r="A159" s="300" t="s">
        <v>325</v>
      </c>
      <c r="B159" s="300" t="s">
        <v>300</v>
      </c>
      <c r="C159" s="379">
        <f t="shared" ref="C159:AG159" si="181">C152/($C$22*$C$21)</f>
        <v>25.433150537806892</v>
      </c>
      <c r="D159" s="379">
        <f t="shared" si="181"/>
        <v>24.997128376467764</v>
      </c>
      <c r="E159" s="379">
        <f t="shared" si="181"/>
        <v>24.589879251156088</v>
      </c>
      <c r="F159" s="379">
        <f t="shared" si="181"/>
        <v>24.211403161871868</v>
      </c>
      <c r="G159" s="379">
        <f t="shared" si="181"/>
        <v>23.863913419078749</v>
      </c>
      <c r="H159" s="379">
        <f t="shared" si="181"/>
        <v>23.987858805043171</v>
      </c>
      <c r="I159" s="379">
        <f t="shared" si="181"/>
        <v>23.821860520269396</v>
      </c>
      <c r="J159" s="379">
        <f t="shared" si="181"/>
        <v>23.69348851337767</v>
      </c>
      <c r="K159" s="379">
        <f t="shared" si="181"/>
        <v>23.5850363006588</v>
      </c>
      <c r="L159" s="379">
        <f t="shared" si="181"/>
        <v>23.49650388211278</v>
      </c>
      <c r="M159" s="379">
        <f t="shared" si="181"/>
        <v>23.430104568203273</v>
      </c>
      <c r="N159" s="379">
        <f t="shared" si="181"/>
        <v>23.383625048466616</v>
      </c>
      <c r="O159" s="379">
        <f t="shared" si="181"/>
        <v>23.357065322902805</v>
      </c>
      <c r="P159" s="379">
        <f t="shared" si="181"/>
        <v>23.352638701975504</v>
      </c>
      <c r="Q159" s="379">
        <f t="shared" si="181"/>
        <v>23.368131875221057</v>
      </c>
      <c r="R159" s="379">
        <f t="shared" si="181"/>
        <v>23.405758153103115</v>
      </c>
      <c r="S159" s="379">
        <f t="shared" si="181"/>
        <v>23.328292286875353</v>
      </c>
      <c r="T159" s="379">
        <f t="shared" si="181"/>
        <v>23.635942441322754</v>
      </c>
      <c r="U159" s="379">
        <f t="shared" si="181"/>
        <v>23.959085769015722</v>
      </c>
      <c r="V159" s="379">
        <f t="shared" si="181"/>
        <v>24.297722269954235</v>
      </c>
      <c r="W159" s="379">
        <f t="shared" si="181"/>
        <v>24.651851944138301</v>
      </c>
      <c r="X159" s="379">
        <f t="shared" si="181"/>
        <v>24.669558427847502</v>
      </c>
      <c r="Y159" s="379">
        <f t="shared" si="181"/>
        <v>25.056887758986324</v>
      </c>
      <c r="Z159" s="379">
        <f t="shared" si="181"/>
        <v>25.459710263370702</v>
      </c>
      <c r="AA159" s="379">
        <f t="shared" si="181"/>
        <v>25.880239251464282</v>
      </c>
      <c r="AB159" s="379">
        <f t="shared" si="181"/>
        <v>26.318474723267059</v>
      </c>
      <c r="AC159" s="379">
        <f t="shared" si="181"/>
        <v>26.584071978905111</v>
      </c>
      <c r="AD159" s="379">
        <f t="shared" si="181"/>
        <v>27.208225529654527</v>
      </c>
      <c r="AE159" s="379">
        <f t="shared" si="181"/>
        <v>27.847872253649495</v>
      </c>
      <c r="AF159" s="379">
        <f t="shared" si="181"/>
        <v>28.505225461353664</v>
      </c>
      <c r="AG159" s="379">
        <f t="shared" si="181"/>
        <v>29.180285152767041</v>
      </c>
    </row>
    <row r="160" spans="1:34">
      <c r="A160" s="300" t="s">
        <v>321</v>
      </c>
      <c r="B160" s="300" t="s">
        <v>300</v>
      </c>
      <c r="C160" s="379">
        <f t="shared" ref="C160:AG160" si="182">C153/($C$22*$C$21)</f>
        <v>40.083333333333336</v>
      </c>
      <c r="D160" s="379">
        <f t="shared" si="182"/>
        <v>39.711111111111116</v>
      </c>
      <c r="E160" s="379">
        <f t="shared" si="182"/>
        <v>39.376027777777779</v>
      </c>
      <c r="F160" s="379">
        <f t="shared" si="182"/>
        <v>39.07725527777778</v>
      </c>
      <c r="G160" s="379">
        <f t="shared" si="182"/>
        <v>38.814005452777778</v>
      </c>
      <c r="H160" s="379">
        <f t="shared" si="182"/>
        <v>38.585528772527788</v>
      </c>
      <c r="I160" s="379">
        <f t="shared" si="182"/>
        <v>36.287504024943331</v>
      </c>
      <c r="J160" s="379">
        <f t="shared" si="182"/>
        <v>35.078057908585329</v>
      </c>
      <c r="K160" s="379">
        <f t="shared" si="182"/>
        <v>33.90883869688237</v>
      </c>
      <c r="L160" s="379">
        <f t="shared" si="182"/>
        <v>32.778328224346332</v>
      </c>
      <c r="M160" s="379">
        <f t="shared" si="182"/>
        <v>31.685071300664735</v>
      </c>
      <c r="N160" s="379">
        <f t="shared" si="182"/>
        <v>30.627672929543245</v>
      </c>
      <c r="O160" s="379">
        <f t="shared" si="182"/>
        <v>29.604795655311523</v>
      </c>
      <c r="P160" s="379">
        <f t="shared" si="182"/>
        <v>28.615157031275618</v>
      </c>
      <c r="Q160" s="379">
        <f t="shared" si="182"/>
        <v>27.657527204087732</v>
      </c>
      <c r="R160" s="379">
        <f t="shared" si="182"/>
        <v>26.730726608678435</v>
      </c>
      <c r="S160" s="379">
        <f t="shared" si="182"/>
        <v>24.680033785396454</v>
      </c>
      <c r="T160" s="379">
        <f t="shared" si="182"/>
        <v>23.979259278863353</v>
      </c>
      <c r="U160" s="379">
        <f t="shared" si="182"/>
        <v>23.303423081028196</v>
      </c>
      <c r="V160" s="379">
        <f t="shared" si="182"/>
        <v>22.651447324966405</v>
      </c>
      <c r="W160" s="379">
        <f t="shared" si="182"/>
        <v>22.022304305284219</v>
      </c>
      <c r="X160" s="379">
        <f t="shared" si="182"/>
        <v>21.415014068600193</v>
      </c>
      <c r="Y160" s="379">
        <f t="shared" si="182"/>
        <v>20.828642121679895</v>
      </c>
      <c r="Z160" s="379">
        <f t="shared" si="182"/>
        <v>20.262297251424382</v>
      </c>
      <c r="AA160" s="379">
        <f t="shared" si="182"/>
        <v>19.71512945120071</v>
      </c>
      <c r="AB160" s="379">
        <f t="shared" si="182"/>
        <v>19.186327948275771</v>
      </c>
      <c r="AC160" s="379">
        <f t="shared" si="182"/>
        <v>18.541650455181561</v>
      </c>
      <c r="AD160" s="379">
        <f t="shared" si="182"/>
        <v>18.605553088333988</v>
      </c>
      <c r="AE160" s="379">
        <f t="shared" si="182"/>
        <v>18.691165383096397</v>
      </c>
      <c r="AF160" s="379">
        <f t="shared" si="182"/>
        <v>18.798138539599254</v>
      </c>
      <c r="AG160" s="379">
        <f t="shared" si="182"/>
        <v>18.92615733377918</v>
      </c>
    </row>
    <row r="161" spans="1:33">
      <c r="A161" s="300" t="s">
        <v>322</v>
      </c>
      <c r="B161" s="300" t="s">
        <v>300</v>
      </c>
      <c r="C161" s="379">
        <f t="shared" ref="C161:AG161" si="183">(C154+C155+C156+C157)/($C$22*$C$21)</f>
        <v>21.692929292929293</v>
      </c>
      <c r="D161" s="379">
        <f t="shared" si="183"/>
        <v>21.990754545454546</v>
      </c>
      <c r="E161" s="379">
        <f t="shared" si="183"/>
        <v>22.309756570707076</v>
      </c>
      <c r="F161" s="379">
        <f t="shared" si="183"/>
        <v>22.650093911186868</v>
      </c>
      <c r="G161" s="379">
        <f t="shared" si="183"/>
        <v>23.012137222233459</v>
      </c>
      <c r="H161" s="379">
        <f t="shared" si="183"/>
        <v>23.436267554405926</v>
      </c>
      <c r="I161" s="379">
        <f t="shared" si="183"/>
        <v>23.880462077047394</v>
      </c>
      <c r="J161" s="379">
        <f t="shared" si="183"/>
        <v>24.346765029758473</v>
      </c>
      <c r="K161" s="379">
        <f t="shared" si="183"/>
        <v>24.833798632216425</v>
      </c>
      <c r="L161" s="379">
        <f t="shared" si="183"/>
        <v>25.351913239766439</v>
      </c>
      <c r="M161" s="379">
        <f t="shared" si="183"/>
        <v>25.891470575067167</v>
      </c>
      <c r="N161" s="379">
        <f t="shared" si="183"/>
        <v>26.462642128023568</v>
      </c>
      <c r="O161" s="379">
        <f t="shared" si="183"/>
        <v>27.055611613553506</v>
      </c>
      <c r="P161" s="379">
        <f t="shared" si="183"/>
        <v>27.680979467670038</v>
      </c>
      <c r="Q161" s="379">
        <f t="shared" si="183"/>
        <v>28.338854231075985</v>
      </c>
      <c r="R161" s="379">
        <f t="shared" si="183"/>
        <v>29.029762134142299</v>
      </c>
      <c r="S161" s="379">
        <f t="shared" si="183"/>
        <v>29.759492142002173</v>
      </c>
      <c r="T161" s="379">
        <f t="shared" si="183"/>
        <v>30.555235743924811</v>
      </c>
      <c r="U161" s="379">
        <f t="shared" si="183"/>
        <v>31.393744559847189</v>
      </c>
      <c r="V161" s="379">
        <f t="shared" si="183"/>
        <v>32.265320979165367</v>
      </c>
      <c r="W161" s="379">
        <f t="shared" si="183"/>
        <v>33.170384430095197</v>
      </c>
      <c r="X161" s="379">
        <f t="shared" si="183"/>
        <v>34.07724979474667</v>
      </c>
      <c r="Y161" s="379">
        <f t="shared" si="183"/>
        <v>35.06091595068942</v>
      </c>
      <c r="Z161" s="379">
        <f t="shared" si="183"/>
        <v>36.079430096594045</v>
      </c>
      <c r="AA161" s="379">
        <f t="shared" si="183"/>
        <v>37.143585438766344</v>
      </c>
      <c r="AB161" s="379">
        <f t="shared" si="183"/>
        <v>38.253891633615879</v>
      </c>
      <c r="AC161" s="379">
        <f t="shared" si="183"/>
        <v>39.444289262709603</v>
      </c>
      <c r="AD161" s="379">
        <f t="shared" si="183"/>
        <v>40.713029741857092</v>
      </c>
      <c r="AE161" s="379">
        <f t="shared" si="183"/>
        <v>42.02937789289323</v>
      </c>
      <c r="AF161" s="379">
        <f t="shared" si="183"/>
        <v>43.404237471907663</v>
      </c>
      <c r="AG161" s="379">
        <f t="shared" si="183"/>
        <v>44.828131874675258</v>
      </c>
    </row>
    <row r="162" spans="1:33">
      <c r="A162" s="300" t="s">
        <v>310</v>
      </c>
      <c r="B162" s="300" t="s">
        <v>300</v>
      </c>
      <c r="C162" s="379">
        <f t="shared" ref="C162:AG162" si="184">C150/($C$22*$C$21*7)</f>
        <v>1.6581529581529588</v>
      </c>
      <c r="D162" s="379">
        <f t="shared" si="184"/>
        <v>1.6297258297258304</v>
      </c>
      <c r="E162" s="379">
        <f t="shared" si="184"/>
        <v>1.6031746031746039</v>
      </c>
      <c r="F162" s="379">
        <f t="shared" si="184"/>
        <v>1.5784992784992791</v>
      </c>
      <c r="G162" s="379">
        <f t="shared" si="184"/>
        <v>1.5558441558441565</v>
      </c>
      <c r="H162" s="379">
        <f t="shared" si="184"/>
        <v>1.5639249639249646</v>
      </c>
      <c r="I162" s="379">
        <f t="shared" si="184"/>
        <v>1.5531024531024538</v>
      </c>
      <c r="J162" s="379">
        <f t="shared" si="184"/>
        <v>1.5447330447330454</v>
      </c>
      <c r="K162" s="379">
        <f t="shared" si="184"/>
        <v>1.5376623376623384</v>
      </c>
      <c r="L162" s="379">
        <f t="shared" si="184"/>
        <v>1.5318903318903325</v>
      </c>
      <c r="M162" s="379">
        <f t="shared" si="184"/>
        <v>1.5275613275613282</v>
      </c>
      <c r="N162" s="379">
        <f t="shared" si="184"/>
        <v>3.0490620490620506</v>
      </c>
      <c r="O162" s="379">
        <f t="shared" si="184"/>
        <v>3.045598845598847</v>
      </c>
      <c r="P162" s="379">
        <f t="shared" si="184"/>
        <v>3.0450216450216465</v>
      </c>
      <c r="Q162" s="379">
        <f t="shared" si="184"/>
        <v>3.0470418470418483</v>
      </c>
      <c r="R162" s="379">
        <f t="shared" si="184"/>
        <v>3.0519480519480533</v>
      </c>
      <c r="S162" s="379">
        <f t="shared" si="184"/>
        <v>3.0418470418470434</v>
      </c>
      <c r="T162" s="379">
        <f t="shared" si="184"/>
        <v>3.0819624819624831</v>
      </c>
      <c r="U162" s="379">
        <f t="shared" si="184"/>
        <v>3.1240981240981256</v>
      </c>
      <c r="V162" s="379">
        <f t="shared" si="184"/>
        <v>3.1682539682539694</v>
      </c>
      <c r="W162" s="379">
        <f t="shared" si="184"/>
        <v>3.214430014430016</v>
      </c>
      <c r="X162" s="379">
        <f t="shared" si="184"/>
        <v>4.8251082251082256</v>
      </c>
      <c r="Y162" s="379">
        <f t="shared" si="184"/>
        <v>4.9008658008658017</v>
      </c>
      <c r="Z162" s="379">
        <f t="shared" si="184"/>
        <v>4.9796536796536799</v>
      </c>
      <c r="AA162" s="379">
        <f t="shared" si="184"/>
        <v>5.0619047619047626</v>
      </c>
      <c r="AB162" s="379">
        <f t="shared" si="184"/>
        <v>5.147619047619048</v>
      </c>
      <c r="AC162" s="379">
        <f t="shared" si="184"/>
        <v>5.1995670995671004</v>
      </c>
      <c r="AD162" s="379">
        <f t="shared" si="184"/>
        <v>5.321645021645022</v>
      </c>
      <c r="AE162" s="379">
        <f t="shared" si="184"/>
        <v>5.4467532467532473</v>
      </c>
      <c r="AF162" s="379">
        <f t="shared" si="184"/>
        <v>5.5753246753246763</v>
      </c>
      <c r="AG162" s="379">
        <f t="shared" si="184"/>
        <v>5.7073593073593081</v>
      </c>
    </row>
    <row r="163" spans="1:33">
      <c r="A163" s="380" t="s">
        <v>323</v>
      </c>
      <c r="B163" s="300" t="s">
        <v>300</v>
      </c>
      <c r="C163" s="432">
        <f>SUM(C159:C161)-C162</f>
        <v>85.551260205916563</v>
      </c>
      <c r="D163" s="432">
        <f t="shared" ref="D163:AG163" si="185">SUM(D159:D161)-D162</f>
        <v>85.069268203307601</v>
      </c>
      <c r="E163" s="432">
        <f t="shared" si="185"/>
        <v>84.672488996466342</v>
      </c>
      <c r="F163" s="432">
        <f t="shared" si="185"/>
        <v>84.360253072337244</v>
      </c>
      <c r="G163" s="432">
        <f t="shared" si="185"/>
        <v>84.134211938245826</v>
      </c>
      <c r="H163" s="432">
        <f t="shared" si="185"/>
        <v>84.445730168051924</v>
      </c>
      <c r="I163" s="432">
        <f t="shared" si="185"/>
        <v>82.436724169157671</v>
      </c>
      <c r="J163" s="432">
        <f t="shared" si="185"/>
        <v>81.573578406988418</v>
      </c>
      <c r="K163" s="432">
        <f t="shared" si="185"/>
        <v>80.790011292095258</v>
      </c>
      <c r="L163" s="432">
        <f t="shared" si="185"/>
        <v>80.094855014335224</v>
      </c>
      <c r="M163" s="432">
        <f t="shared" si="185"/>
        <v>79.479085116373852</v>
      </c>
      <c r="N163" s="432">
        <f t="shared" si="185"/>
        <v>77.424878056971394</v>
      </c>
      <c r="O163" s="432">
        <f t="shared" si="185"/>
        <v>76.971873746168995</v>
      </c>
      <c r="P163" s="432">
        <f t="shared" si="185"/>
        <v>76.603753555899516</v>
      </c>
      <c r="Q163" s="432">
        <f t="shared" si="185"/>
        <v>76.317471463342926</v>
      </c>
      <c r="R163" s="432">
        <f t="shared" si="185"/>
        <v>76.114298843975789</v>
      </c>
      <c r="S163" s="432">
        <f t="shared" si="185"/>
        <v>74.725971172426924</v>
      </c>
      <c r="T163" s="432">
        <f t="shared" si="185"/>
        <v>75.088474982148441</v>
      </c>
      <c r="U163" s="432">
        <f t="shared" si="185"/>
        <v>75.532155285792982</v>
      </c>
      <c r="V163" s="432">
        <f t="shared" si="185"/>
        <v>76.046236605832036</v>
      </c>
      <c r="W163" s="432">
        <f t="shared" si="185"/>
        <v>76.630110665087699</v>
      </c>
      <c r="X163" s="432">
        <f t="shared" si="185"/>
        <v>75.336714066086145</v>
      </c>
      <c r="Y163" s="432">
        <f t="shared" si="185"/>
        <v>76.045580030489845</v>
      </c>
      <c r="Z163" s="432">
        <f t="shared" si="185"/>
        <v>76.821783931735453</v>
      </c>
      <c r="AA163" s="432">
        <f t="shared" si="185"/>
        <v>77.677049379526579</v>
      </c>
      <c r="AB163" s="432">
        <f t="shared" si="185"/>
        <v>78.611075257539667</v>
      </c>
      <c r="AC163" s="432">
        <f t="shared" si="185"/>
        <v>79.370444597229167</v>
      </c>
      <c r="AD163" s="432">
        <f t="shared" si="185"/>
        <v>81.205163338200578</v>
      </c>
      <c r="AE163" s="432">
        <f t="shared" si="185"/>
        <v>83.121662282885865</v>
      </c>
      <c r="AF163" s="432">
        <f t="shared" si="185"/>
        <v>85.132276797535894</v>
      </c>
      <c r="AG163" s="432">
        <f t="shared" si="185"/>
        <v>87.227215053862167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B164" si="186">D164+1</f>
        <v>2027</v>
      </c>
      <c r="F164" s="360">
        <f t="shared" si="186"/>
        <v>2028</v>
      </c>
      <c r="G164" s="360">
        <f t="shared" si="186"/>
        <v>2029</v>
      </c>
      <c r="H164" s="360">
        <f t="shared" si="186"/>
        <v>2030</v>
      </c>
      <c r="I164" s="360">
        <f t="shared" si="186"/>
        <v>2031</v>
      </c>
      <c r="J164" s="360">
        <f t="shared" si="186"/>
        <v>2032</v>
      </c>
      <c r="K164" s="360">
        <f t="shared" si="186"/>
        <v>2033</v>
      </c>
      <c r="L164" s="360">
        <f t="shared" si="186"/>
        <v>2034</v>
      </c>
      <c r="M164" s="360">
        <f t="shared" si="186"/>
        <v>2035</v>
      </c>
      <c r="N164" s="360">
        <f t="shared" si="186"/>
        <v>2036</v>
      </c>
      <c r="O164" s="360">
        <f t="shared" si="186"/>
        <v>2037</v>
      </c>
      <c r="P164" s="360">
        <f t="shared" si="186"/>
        <v>2038</v>
      </c>
      <c r="Q164" s="360">
        <f t="shared" si="186"/>
        <v>2039</v>
      </c>
      <c r="R164" s="360">
        <f t="shared" si="186"/>
        <v>2040</v>
      </c>
      <c r="S164" s="360">
        <f t="shared" si="186"/>
        <v>2041</v>
      </c>
      <c r="T164" s="360">
        <f t="shared" si="186"/>
        <v>2042</v>
      </c>
      <c r="U164" s="360">
        <f t="shared" si="186"/>
        <v>2043</v>
      </c>
      <c r="V164" s="360">
        <f t="shared" si="186"/>
        <v>2044</v>
      </c>
      <c r="W164" s="360">
        <f t="shared" si="186"/>
        <v>2045</v>
      </c>
      <c r="X164" s="360">
        <f t="shared" si="186"/>
        <v>2046</v>
      </c>
      <c r="Y164" s="360">
        <f t="shared" si="186"/>
        <v>2047</v>
      </c>
      <c r="Z164" s="360">
        <f t="shared" si="186"/>
        <v>2048</v>
      </c>
      <c r="AA164" s="360">
        <f t="shared" si="186"/>
        <v>2049</v>
      </c>
      <c r="AB164" s="360">
        <f t="shared" si="186"/>
        <v>2050</v>
      </c>
      <c r="AC164" s="360">
        <f t="shared" ref="AC164" si="187">AB164+1</f>
        <v>2051</v>
      </c>
      <c r="AD164" s="360">
        <f t="shared" ref="AD164" si="188">AC164+1</f>
        <v>2052</v>
      </c>
      <c r="AE164" s="360">
        <f t="shared" ref="AE164" si="189">AD164+1</f>
        <v>2053</v>
      </c>
      <c r="AF164" s="360">
        <f t="shared" ref="AF164" si="190">AE164+1</f>
        <v>2054</v>
      </c>
      <c r="AG164" s="360">
        <f t="shared" ref="AG164" si="191">AF164+1</f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192">C78</f>
        <v>41.956012331075101</v>
      </c>
      <c r="D165" s="379">
        <f t="shared" si="192"/>
        <v>44.825052601813134</v>
      </c>
      <c r="E165" s="379">
        <f t="shared" si="192"/>
        <v>45.918584337925175</v>
      </c>
      <c r="F165" s="379">
        <f t="shared" si="192"/>
        <v>47.044618088758654</v>
      </c>
      <c r="G165" s="379">
        <f t="shared" si="192"/>
        <v>48.203626263639933</v>
      </c>
      <c r="H165" s="379">
        <f t="shared" si="192"/>
        <v>50.045092574140931</v>
      </c>
      <c r="I165" s="379">
        <f t="shared" si="192"/>
        <v>51.291636249870002</v>
      </c>
      <c r="J165" s="379">
        <f t="shared" si="192"/>
        <v>52.573798975803875</v>
      </c>
      <c r="K165" s="379">
        <f t="shared" si="192"/>
        <v>53.892440792724656</v>
      </c>
      <c r="L165" s="379">
        <f t="shared" si="192"/>
        <v>55.258215650809419</v>
      </c>
      <c r="M165" s="379">
        <f t="shared" si="192"/>
        <v>56.661917658225036</v>
      </c>
      <c r="N165" s="379">
        <f t="shared" si="192"/>
        <v>58.892469063045255</v>
      </c>
      <c r="O165" s="379">
        <f t="shared" si="192"/>
        <v>60.40819830196007</v>
      </c>
      <c r="P165" s="379">
        <f t="shared" si="192"/>
        <v>61.965036247262503</v>
      </c>
      <c r="Q165" s="379">
        <f t="shared" si="192"/>
        <v>63.574085791608745</v>
      </c>
      <c r="R165" s="379">
        <f t="shared" si="192"/>
        <v>65.226092443833608</v>
      </c>
      <c r="S165" s="379">
        <f t="shared" si="192"/>
        <v>66.932202321874854</v>
      </c>
      <c r="T165" s="379">
        <f t="shared" si="192"/>
        <v>68.693306711387194</v>
      </c>
      <c r="U165" s="379">
        <f t="shared" si="192"/>
        <v>70.510497086269126</v>
      </c>
      <c r="V165" s="379">
        <f t="shared" si="192"/>
        <v>72.38488935572768</v>
      </c>
      <c r="W165" s="379">
        <f t="shared" si="192"/>
        <v>74.317448143173834</v>
      </c>
      <c r="X165" s="379">
        <f t="shared" si="192"/>
        <v>77.36852181919285</v>
      </c>
      <c r="Y165" s="379">
        <f t="shared" si="192"/>
        <v>79.452894629602227</v>
      </c>
      <c r="Z165" s="379">
        <f t="shared" si="192"/>
        <v>81.59997114909568</v>
      </c>
      <c r="AA165" s="379">
        <f t="shared" si="192"/>
        <v>83.821133167822452</v>
      </c>
      <c r="AB165" s="379">
        <f t="shared" si="192"/>
        <v>86.107590674788128</v>
      </c>
      <c r="AC165" s="379">
        <f t="shared" si="192"/>
        <v>88.470786993808204</v>
      </c>
      <c r="AD165" s="379">
        <f t="shared" si="192"/>
        <v>90.901995880207011</v>
      </c>
      <c r="AE165" s="379">
        <f t="shared" si="192"/>
        <v>93.412917769510798</v>
      </c>
      <c r="AF165" s="379">
        <f t="shared" si="192"/>
        <v>96.004995916235018</v>
      </c>
      <c r="AG165" s="379">
        <f t="shared" si="192"/>
        <v>98.679709703720235</v>
      </c>
    </row>
    <row r="166" spans="1:33">
      <c r="A166" s="300" t="s">
        <v>179</v>
      </c>
      <c r="B166" s="300" t="s">
        <v>179</v>
      </c>
      <c r="C166" s="379">
        <f t="shared" ref="C166:AG166" si="193">C95</f>
        <v>40.891699830508635</v>
      </c>
      <c r="D166" s="379">
        <f t="shared" si="193"/>
        <v>42.485704306052547</v>
      </c>
      <c r="E166" s="379">
        <f t="shared" si="193"/>
        <v>43.735792451585802</v>
      </c>
      <c r="F166" s="379">
        <f t="shared" si="193"/>
        <v>45.030134806940922</v>
      </c>
      <c r="G166" s="379">
        <f t="shared" si="193"/>
        <v>46.366178301729562</v>
      </c>
      <c r="H166" s="379">
        <f t="shared" si="193"/>
        <v>48.424011357668846</v>
      </c>
      <c r="I166" s="379">
        <f t="shared" si="193"/>
        <v>49.869787581919852</v>
      </c>
      <c r="J166" s="379">
        <f t="shared" si="193"/>
        <v>51.361634583431233</v>
      </c>
      <c r="K166" s="379">
        <f t="shared" si="193"/>
        <v>52.902198803726193</v>
      </c>
      <c r="L166" s="379">
        <f t="shared" si="193"/>
        <v>54.502565955382671</v>
      </c>
      <c r="M166" s="379">
        <f t="shared" si="193"/>
        <v>56.151959099373528</v>
      </c>
      <c r="N166" s="379">
        <f t="shared" si="193"/>
        <v>58.691075249866273</v>
      </c>
      <c r="O166" s="379">
        <f t="shared" si="193"/>
        <v>60.480309544884619</v>
      </c>
      <c r="P166" s="379">
        <f t="shared" si="193"/>
        <v>62.326087858264074</v>
      </c>
      <c r="Q166" s="379">
        <f t="shared" si="193"/>
        <v>64.235997514348767</v>
      </c>
      <c r="R166" s="379">
        <f t="shared" si="193"/>
        <v>66.206653819440007</v>
      </c>
      <c r="S166" s="379">
        <f t="shared" si="193"/>
        <v>68.245724165532224</v>
      </c>
      <c r="T166" s="379">
        <f t="shared" si="193"/>
        <v>70.356331453254526</v>
      </c>
      <c r="U166" s="379">
        <f t="shared" si="193"/>
        <v>72.539804044220034</v>
      </c>
      <c r="V166" s="379">
        <f t="shared" si="193"/>
        <v>74.797515405592705</v>
      </c>
      <c r="W166" s="379">
        <f t="shared" si="193"/>
        <v>77.132723808406496</v>
      </c>
      <c r="X166" s="379">
        <f t="shared" si="193"/>
        <v>80.671177887347127</v>
      </c>
      <c r="Y166" s="379">
        <f t="shared" si="193"/>
        <v>83.197763772043643</v>
      </c>
      <c r="Z166" s="379">
        <f t="shared" si="193"/>
        <v>85.807413794676663</v>
      </c>
      <c r="AA166" s="379">
        <f t="shared" si="193"/>
        <v>88.513835058634683</v>
      </c>
      <c r="AB166" s="379">
        <f t="shared" si="193"/>
        <v>91.304640748297103</v>
      </c>
      <c r="AC166" s="379">
        <f t="shared" si="193"/>
        <v>94.197615545512917</v>
      </c>
      <c r="AD166" s="379">
        <f t="shared" si="193"/>
        <v>97.180489290058446</v>
      </c>
      <c r="AE166" s="379">
        <f t="shared" si="193"/>
        <v>100.26918496680931</v>
      </c>
      <c r="AF166" s="379">
        <f t="shared" si="193"/>
        <v>103.46364081256638</v>
      </c>
      <c r="AG166" s="379">
        <f t="shared" si="193"/>
        <v>106.76584327262755</v>
      </c>
    </row>
    <row r="167" spans="1:33">
      <c r="A167" s="300" t="s">
        <v>180</v>
      </c>
      <c r="B167" s="300" t="s">
        <v>180</v>
      </c>
      <c r="C167" s="379">
        <f t="shared" ref="C167:AG167" si="194">C112</f>
        <v>41.175126077676097</v>
      </c>
      <c r="D167" s="379">
        <f t="shared" si="194"/>
        <v>42.473404183654246</v>
      </c>
      <c r="E167" s="379">
        <f t="shared" si="194"/>
        <v>43.704762208920755</v>
      </c>
      <c r="F167" s="379">
        <f t="shared" si="194"/>
        <v>44.97816952535527</v>
      </c>
      <c r="G167" s="379">
        <f t="shared" si="194"/>
        <v>46.292751559852356</v>
      </c>
      <c r="H167" s="379">
        <f t="shared" si="194"/>
        <v>48.326887111543805</v>
      </c>
      <c r="I167" s="379">
        <f t="shared" si="194"/>
        <v>49.750101181058689</v>
      </c>
      <c r="J167" s="379">
        <f t="shared" si="194"/>
        <v>51.217116963044347</v>
      </c>
      <c r="K167" s="379">
        <f t="shared" si="194"/>
        <v>52.732257471922779</v>
      </c>
      <c r="L167" s="379">
        <f t="shared" si="194"/>
        <v>54.304896815571055</v>
      </c>
      <c r="M167" s="379">
        <f t="shared" si="194"/>
        <v>55.927627406850917</v>
      </c>
      <c r="N167" s="379">
        <f t="shared" si="194"/>
        <v>58.481174086236493</v>
      </c>
      <c r="O167" s="379">
        <f t="shared" si="194"/>
        <v>60.241998641381656</v>
      </c>
      <c r="P167" s="379">
        <f t="shared" si="194"/>
        <v>62.055004094222738</v>
      </c>
      <c r="Q167" s="379">
        <f t="shared" si="194"/>
        <v>63.933271553554668</v>
      </c>
      <c r="R167" s="379">
        <f t="shared" si="194"/>
        <v>65.869718841512693</v>
      </c>
      <c r="S167" s="379">
        <f t="shared" si="194"/>
        <v>67.873829619470996</v>
      </c>
      <c r="T167" s="379">
        <f t="shared" si="194"/>
        <v>69.948704271528598</v>
      </c>
      <c r="U167" s="379">
        <f t="shared" si="194"/>
        <v>72.093809837184295</v>
      </c>
      <c r="V167" s="379">
        <f t="shared" si="194"/>
        <v>74.314172155992253</v>
      </c>
      <c r="W167" s="379">
        <f t="shared" si="194"/>
        <v>76.607510504300706</v>
      </c>
      <c r="X167" s="379">
        <f t="shared" si="194"/>
        <v>80.141137600582923</v>
      </c>
      <c r="Y167" s="379">
        <f t="shared" si="194"/>
        <v>82.625059468534118</v>
      </c>
      <c r="Z167" s="379">
        <f t="shared" si="194"/>
        <v>85.189139961128589</v>
      </c>
      <c r="AA167" s="379">
        <f t="shared" si="194"/>
        <v>87.845076059030248</v>
      </c>
      <c r="AB167" s="379">
        <f t="shared" si="194"/>
        <v>90.588382144282974</v>
      </c>
      <c r="AC167" s="379">
        <f t="shared" si="194"/>
        <v>93.430866229072961</v>
      </c>
      <c r="AD167" s="379">
        <f t="shared" si="194"/>
        <v>96.360227892842929</v>
      </c>
      <c r="AE167" s="379">
        <f t="shared" si="194"/>
        <v>99.39434138255784</v>
      </c>
      <c r="AF167" s="379">
        <f t="shared" si="194"/>
        <v>102.53113040159796</v>
      </c>
      <c r="AG167" s="379">
        <f t="shared" si="194"/>
        <v>105.77651318944329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195">C146</f>
        <v>52.281666021670269</v>
      </c>
      <c r="D168" s="379">
        <f t="shared" si="195"/>
        <v>52.70464150646206</v>
      </c>
      <c r="E168" s="379">
        <f t="shared" si="195"/>
        <v>53.056936278680524</v>
      </c>
      <c r="F168" s="379">
        <f t="shared" si="195"/>
        <v>52.980445505600144</v>
      </c>
      <c r="G168" s="379">
        <f t="shared" si="195"/>
        <v>52.829484722972076</v>
      </c>
      <c r="H168" s="379">
        <f t="shared" si="195"/>
        <v>53.392051055995722</v>
      </c>
      <c r="I168" s="379">
        <f t="shared" si="195"/>
        <v>51.617937476879362</v>
      </c>
      <c r="J168" s="379">
        <f t="shared" si="195"/>
        <v>51.867989786902356</v>
      </c>
      <c r="K168" s="379">
        <f t="shared" si="195"/>
        <v>51.934763410662633</v>
      </c>
      <c r="L168" s="379">
        <f t="shared" si="195"/>
        <v>52.126056312294054</v>
      </c>
      <c r="M168" s="379">
        <f t="shared" si="195"/>
        <v>52.443443369337551</v>
      </c>
      <c r="N168" s="379">
        <f t="shared" si="195"/>
        <v>51.821752463096956</v>
      </c>
      <c r="O168" s="379">
        <f t="shared" si="195"/>
        <v>52.441348573727893</v>
      </c>
      <c r="P168" s="496">
        <f t="shared" si="195"/>
        <v>53.073859907658793</v>
      </c>
      <c r="Q168" s="379">
        <f t="shared" si="195"/>
        <v>53.796650216126991</v>
      </c>
      <c r="R168" s="379">
        <f t="shared" si="195"/>
        <v>54.617703860693872</v>
      </c>
      <c r="S168" s="379">
        <f t="shared" si="195"/>
        <v>55.391968827120735</v>
      </c>
      <c r="T168" s="379">
        <f t="shared" si="195"/>
        <v>56.536701258232902</v>
      </c>
      <c r="U168" s="379">
        <f t="shared" si="195"/>
        <v>57.699926450794443</v>
      </c>
      <c r="V168" s="379">
        <f t="shared" si="195"/>
        <v>58.914077435739983</v>
      </c>
      <c r="W168" s="379">
        <f t="shared" si="195"/>
        <v>60.17885252304599</v>
      </c>
      <c r="X168" s="379">
        <f t="shared" si="195"/>
        <v>60.111062145154726</v>
      </c>
      <c r="Y168" s="379">
        <f t="shared" si="195"/>
        <v>61.465683959896268</v>
      </c>
      <c r="Z168" s="379">
        <f t="shared" si="195"/>
        <v>62.875972707986605</v>
      </c>
      <c r="AA168" s="379">
        <f t="shared" si="195"/>
        <v>64.354023975686076</v>
      </c>
      <c r="AB168" s="379">
        <f t="shared" si="195"/>
        <v>65.897334316604372</v>
      </c>
      <c r="AC168" s="379">
        <f t="shared" si="195"/>
        <v>67.834414973626721</v>
      </c>
      <c r="AD168" s="379">
        <f t="shared" si="195"/>
        <v>69.896187813897058</v>
      </c>
      <c r="AE168" s="379">
        <f t="shared" si="195"/>
        <v>72.031965528716796</v>
      </c>
      <c r="AF168" s="379">
        <f t="shared" si="195"/>
        <v>74.257350284111183</v>
      </c>
      <c r="AG168" s="379">
        <f t="shared" si="195"/>
        <v>76.563205410258874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196">C129</f>
        <v>80.330570389080975</v>
      </c>
      <c r="D169" s="379">
        <f t="shared" si="196"/>
        <v>80.353877123647578</v>
      </c>
      <c r="E169" s="379">
        <f t="shared" si="196"/>
        <v>80.459405448968155</v>
      </c>
      <c r="F169" s="379">
        <f t="shared" si="196"/>
        <v>80.648413671273531</v>
      </c>
      <c r="G169" s="379">
        <f t="shared" si="196"/>
        <v>80.916061654176104</v>
      </c>
      <c r="H169" s="379">
        <f t="shared" si="196"/>
        <v>82.085569212262257</v>
      </c>
      <c r="I169" s="379">
        <f t="shared" si="196"/>
        <v>79.759220564304329</v>
      </c>
      <c r="J169" s="379">
        <f t="shared" si="196"/>
        <v>78.914568939801725</v>
      </c>
      <c r="K169" s="379">
        <f t="shared" si="196"/>
        <v>78.158294523532518</v>
      </c>
      <c r="L169" s="379">
        <f t="shared" si="196"/>
        <v>77.494752982938778</v>
      </c>
      <c r="M169" s="379">
        <f t="shared" si="196"/>
        <v>76.9164155520061</v>
      </c>
      <c r="N169" s="379">
        <f t="shared" si="196"/>
        <v>75.493812874963666</v>
      </c>
      <c r="O169" s="379">
        <f t="shared" si="196"/>
        <v>75.071519289746647</v>
      </c>
      <c r="P169" s="379">
        <f t="shared" si="196"/>
        <v>74.727464258201593</v>
      </c>
      <c r="Q169" s="379">
        <f t="shared" si="196"/>
        <v>74.470579863424376</v>
      </c>
      <c r="R169" s="379">
        <f t="shared" si="196"/>
        <v>74.293502380475871</v>
      </c>
      <c r="S169" s="379">
        <f t="shared" si="196"/>
        <v>72.739803673456194</v>
      </c>
      <c r="T169" s="379">
        <f t="shared" si="196"/>
        <v>73.032015530030975</v>
      </c>
      <c r="U169" s="379">
        <f t="shared" si="196"/>
        <v>73.404047790054705</v>
      </c>
      <c r="V169" s="379">
        <f t="shared" si="196"/>
        <v>73.855034898437239</v>
      </c>
      <c r="W169" s="379">
        <f t="shared" si="196"/>
        <v>74.384200799920265</v>
      </c>
      <c r="X169" s="379">
        <f t="shared" si="196"/>
        <v>74.399153886932638</v>
      </c>
      <c r="Y169" s="379">
        <f t="shared" si="196"/>
        <v>75.068083762533604</v>
      </c>
      <c r="Z169" s="496">
        <f t="shared" si="196"/>
        <v>75.814784348077538</v>
      </c>
      <c r="AA169" s="379">
        <f t="shared" si="196"/>
        <v>76.647079261578398</v>
      </c>
      <c r="AB169" s="379">
        <f t="shared" si="196"/>
        <v>77.556346177296348</v>
      </c>
      <c r="AC169" s="379">
        <f t="shared" si="196"/>
        <v>78.376284705373294</v>
      </c>
      <c r="AD169" s="379">
        <f t="shared" si="196"/>
        <v>80.19684858763155</v>
      </c>
      <c r="AE169" s="379">
        <f t="shared" si="196"/>
        <v>82.111284278493869</v>
      </c>
      <c r="AF169" s="379">
        <f t="shared" si="196"/>
        <v>84.121807867261438</v>
      </c>
      <c r="AG169" s="379">
        <f t="shared" si="196"/>
        <v>86.228875529912997</v>
      </c>
    </row>
    <row r="170" spans="1:33">
      <c r="A170" s="300" t="str">
        <f>A147</f>
        <v>FCET</v>
      </c>
      <c r="B170" s="300" t="str">
        <f t="shared" ref="B170" si="197">A170</f>
        <v>FCET</v>
      </c>
      <c r="C170" s="379">
        <f t="shared" ref="C170:AG170" si="198">C163</f>
        <v>85.551260205916563</v>
      </c>
      <c r="D170" s="379">
        <f t="shared" si="198"/>
        <v>85.069268203307601</v>
      </c>
      <c r="E170" s="379">
        <f t="shared" si="198"/>
        <v>84.672488996466342</v>
      </c>
      <c r="F170" s="379">
        <f t="shared" si="198"/>
        <v>84.360253072337244</v>
      </c>
      <c r="G170" s="379">
        <f t="shared" si="198"/>
        <v>84.134211938245826</v>
      </c>
      <c r="H170" s="379">
        <f t="shared" si="198"/>
        <v>84.445730168051924</v>
      </c>
      <c r="I170" s="379">
        <f t="shared" si="198"/>
        <v>82.436724169157671</v>
      </c>
      <c r="J170" s="379">
        <f t="shared" si="198"/>
        <v>81.573578406988418</v>
      </c>
      <c r="K170" s="379">
        <f t="shared" si="198"/>
        <v>80.790011292095258</v>
      </c>
      <c r="L170" s="379">
        <f t="shared" si="198"/>
        <v>80.094855014335224</v>
      </c>
      <c r="M170" s="379">
        <f t="shared" si="198"/>
        <v>79.479085116373852</v>
      </c>
      <c r="N170" s="379">
        <f t="shared" si="198"/>
        <v>77.424878056971394</v>
      </c>
      <c r="O170" s="379">
        <f t="shared" si="198"/>
        <v>76.971873746168995</v>
      </c>
      <c r="P170" s="379">
        <f t="shared" si="198"/>
        <v>76.603753555899516</v>
      </c>
      <c r="Q170" s="379">
        <f t="shared" si="198"/>
        <v>76.317471463342926</v>
      </c>
      <c r="R170" s="379">
        <f t="shared" si="198"/>
        <v>76.114298843975789</v>
      </c>
      <c r="S170" s="379">
        <f t="shared" si="198"/>
        <v>74.725971172426924</v>
      </c>
      <c r="T170" s="379">
        <f t="shared" si="198"/>
        <v>75.088474982148441</v>
      </c>
      <c r="U170" s="379">
        <f t="shared" si="198"/>
        <v>75.532155285792982</v>
      </c>
      <c r="V170" s="379">
        <f t="shared" si="198"/>
        <v>76.046236605832036</v>
      </c>
      <c r="W170" s="379">
        <f t="shared" si="198"/>
        <v>76.630110665087699</v>
      </c>
      <c r="X170" s="379">
        <f t="shared" si="198"/>
        <v>75.336714066086145</v>
      </c>
      <c r="Y170" s="379">
        <f t="shared" si="198"/>
        <v>76.045580030489845</v>
      </c>
      <c r="Z170" s="496">
        <f t="shared" si="198"/>
        <v>76.821783931735453</v>
      </c>
      <c r="AA170" s="379">
        <f t="shared" si="198"/>
        <v>77.677049379526579</v>
      </c>
      <c r="AB170" s="379">
        <f t="shared" si="198"/>
        <v>78.611075257539667</v>
      </c>
      <c r="AC170" s="379">
        <f t="shared" si="198"/>
        <v>79.370444597229167</v>
      </c>
      <c r="AD170" s="379">
        <f t="shared" si="198"/>
        <v>81.205163338200578</v>
      </c>
      <c r="AE170" s="379">
        <f t="shared" si="198"/>
        <v>83.121662282885865</v>
      </c>
      <c r="AF170" s="379">
        <f t="shared" si="198"/>
        <v>85.132276797535894</v>
      </c>
      <c r="AG170" s="379">
        <f t="shared" si="198"/>
        <v>87.227215053862167</v>
      </c>
    </row>
    <row r="171" spans="1:33">
      <c r="A171" s="300" t="s">
        <v>334</v>
      </c>
      <c r="C171" s="379">
        <f t="shared" ref="C171:AG171" si="199">C165*0.9</f>
        <v>37.760411097967591</v>
      </c>
      <c r="D171" s="379">
        <f t="shared" si="199"/>
        <v>40.342547341631821</v>
      </c>
      <c r="E171" s="379">
        <f t="shared" si="199"/>
        <v>41.326725904132658</v>
      </c>
      <c r="F171" s="379">
        <f t="shared" si="199"/>
        <v>42.340156279882791</v>
      </c>
      <c r="G171" s="379">
        <f t="shared" si="199"/>
        <v>43.383263637275938</v>
      </c>
      <c r="H171" s="379">
        <f t="shared" si="199"/>
        <v>45.040583316726838</v>
      </c>
      <c r="I171" s="379">
        <f t="shared" si="199"/>
        <v>46.162472624883002</v>
      </c>
      <c r="J171" s="379">
        <f t="shared" si="199"/>
        <v>47.31641907822349</v>
      </c>
      <c r="K171" s="379">
        <f t="shared" si="199"/>
        <v>48.503196713452191</v>
      </c>
      <c r="L171" s="379">
        <f t="shared" si="199"/>
        <v>49.73239408572848</v>
      </c>
      <c r="M171" s="379">
        <f t="shared" si="199"/>
        <v>50.995725892402533</v>
      </c>
      <c r="N171" s="379">
        <f t="shared" si="199"/>
        <v>53.003222156740733</v>
      </c>
      <c r="O171" s="379">
        <f t="shared" si="199"/>
        <v>54.367378471764063</v>
      </c>
      <c r="P171" s="379">
        <f t="shared" si="199"/>
        <v>55.768532622536256</v>
      </c>
      <c r="Q171" s="379">
        <f t="shared" si="199"/>
        <v>57.21667721244787</v>
      </c>
      <c r="R171" s="379">
        <f t="shared" si="199"/>
        <v>58.703483199450247</v>
      </c>
      <c r="S171" s="379">
        <f t="shared" si="199"/>
        <v>60.238982089687369</v>
      </c>
      <c r="T171" s="379">
        <f t="shared" si="199"/>
        <v>61.823976040248475</v>
      </c>
      <c r="U171" s="379">
        <f t="shared" si="199"/>
        <v>63.459447377642213</v>
      </c>
      <c r="V171" s="379">
        <f t="shared" si="199"/>
        <v>65.146400420154919</v>
      </c>
      <c r="W171" s="379">
        <f t="shared" si="199"/>
        <v>66.885703328856451</v>
      </c>
      <c r="X171" s="379">
        <f t="shared" si="199"/>
        <v>69.631669637273561</v>
      </c>
      <c r="Y171" s="379">
        <f t="shared" si="199"/>
        <v>71.507605166642008</v>
      </c>
      <c r="Z171" s="379">
        <f t="shared" si="199"/>
        <v>73.439974034186108</v>
      </c>
      <c r="AA171" s="379">
        <f t="shared" si="199"/>
        <v>75.439019851040214</v>
      </c>
      <c r="AB171" s="379">
        <f t="shared" si="199"/>
        <v>77.496831607309318</v>
      </c>
      <c r="AC171" s="379">
        <f t="shared" si="199"/>
        <v>79.623708294427388</v>
      </c>
      <c r="AD171" s="379">
        <f t="shared" si="199"/>
        <v>81.811796292186315</v>
      </c>
      <c r="AE171" s="379">
        <f t="shared" si="199"/>
        <v>84.071625992559717</v>
      </c>
      <c r="AF171" s="379">
        <f t="shared" si="199"/>
        <v>86.404496324611515</v>
      </c>
      <c r="AG171" s="379">
        <f t="shared" si="199"/>
        <v>88.811738733348207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B173" si="200">D173+1</f>
        <v>2027</v>
      </c>
      <c r="F173" s="360">
        <f t="shared" si="200"/>
        <v>2028</v>
      </c>
      <c r="G173" s="360">
        <f t="shared" si="200"/>
        <v>2029</v>
      </c>
      <c r="H173" s="360">
        <f t="shared" si="200"/>
        <v>2030</v>
      </c>
      <c r="I173" s="360">
        <f t="shared" si="200"/>
        <v>2031</v>
      </c>
      <c r="J173" s="360">
        <f t="shared" si="200"/>
        <v>2032</v>
      </c>
      <c r="K173" s="360">
        <f t="shared" si="200"/>
        <v>2033</v>
      </c>
      <c r="L173" s="360">
        <f t="shared" si="200"/>
        <v>2034</v>
      </c>
      <c r="M173" s="360">
        <f t="shared" si="200"/>
        <v>2035</v>
      </c>
      <c r="N173" s="360">
        <f t="shared" si="200"/>
        <v>2036</v>
      </c>
      <c r="O173" s="360">
        <f t="shared" si="200"/>
        <v>2037</v>
      </c>
      <c r="P173" s="360">
        <f t="shared" si="200"/>
        <v>2038</v>
      </c>
      <c r="Q173" s="360">
        <f t="shared" si="200"/>
        <v>2039</v>
      </c>
      <c r="R173" s="360">
        <f t="shared" si="200"/>
        <v>2040</v>
      </c>
      <c r="S173" s="360">
        <f t="shared" si="200"/>
        <v>2041</v>
      </c>
      <c r="T173" s="360">
        <f t="shared" si="200"/>
        <v>2042</v>
      </c>
      <c r="U173" s="360">
        <f t="shared" si="200"/>
        <v>2043</v>
      </c>
      <c r="V173" s="360">
        <f t="shared" si="200"/>
        <v>2044</v>
      </c>
      <c r="W173" s="360">
        <f t="shared" si="200"/>
        <v>2045</v>
      </c>
      <c r="X173" s="360">
        <f t="shared" si="200"/>
        <v>2046</v>
      </c>
      <c r="Y173" s="360">
        <f t="shared" si="200"/>
        <v>2047</v>
      </c>
      <c r="Z173" s="360">
        <f t="shared" si="200"/>
        <v>2048</v>
      </c>
      <c r="AA173" s="360">
        <f t="shared" si="200"/>
        <v>2049</v>
      </c>
      <c r="AB173" s="360">
        <f t="shared" si="200"/>
        <v>2050</v>
      </c>
      <c r="AC173" s="360">
        <f t="shared" ref="AC173" si="201">AB173+1</f>
        <v>2051</v>
      </c>
      <c r="AD173" s="360">
        <f t="shared" ref="AD173" si="202">AC173+1</f>
        <v>2052</v>
      </c>
      <c r="AE173" s="360">
        <f t="shared" ref="AE173" si="203">AD173+1</f>
        <v>2053</v>
      </c>
      <c r="AF173" s="360">
        <f t="shared" ref="AF173" si="204">AE173+1</f>
        <v>2054</v>
      </c>
      <c r="AG173" s="360">
        <f t="shared" ref="AG173" si="205">AF173+1</f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206">C165/($C$17)*1000</f>
        <v>2.2082111753197422</v>
      </c>
      <c r="D174" s="379">
        <f t="shared" si="206"/>
        <v>2.3592132948322702</v>
      </c>
      <c r="E174" s="379">
        <f t="shared" si="206"/>
        <v>2.4167675967329036</v>
      </c>
      <c r="F174" s="379">
        <f t="shared" si="206"/>
        <v>2.4760325309872977</v>
      </c>
      <c r="G174" s="379">
        <f t="shared" si="206"/>
        <v>2.5370329612442069</v>
      </c>
      <c r="H174" s="379">
        <f t="shared" si="206"/>
        <v>2.6339522407442595</v>
      </c>
      <c r="I174" s="379">
        <f t="shared" si="206"/>
        <v>2.6995598026247367</v>
      </c>
      <c r="J174" s="379">
        <f t="shared" si="206"/>
        <v>2.7670420513580987</v>
      </c>
      <c r="K174" s="379">
        <f t="shared" si="206"/>
        <v>2.8364442522486661</v>
      </c>
      <c r="L174" s="379">
        <f t="shared" si="206"/>
        <v>2.9083271395162851</v>
      </c>
      <c r="M174" s="379">
        <f t="shared" si="206"/>
        <v>2.9822061925381598</v>
      </c>
      <c r="N174" s="379">
        <f t="shared" si="206"/>
        <v>3.0996036348971185</v>
      </c>
      <c r="O174" s="379">
        <f t="shared" si="206"/>
        <v>3.1793788579978983</v>
      </c>
      <c r="P174" s="379">
        <f t="shared" si="206"/>
        <v>3.2613176972243423</v>
      </c>
      <c r="Q174" s="379">
        <f t="shared" si="206"/>
        <v>3.3460045153478286</v>
      </c>
      <c r="R174" s="379">
        <f t="shared" si="206"/>
        <v>3.4329522338859797</v>
      </c>
      <c r="S174" s="379">
        <f t="shared" si="206"/>
        <v>3.522747490624992</v>
      </c>
      <c r="T174" s="379">
        <f t="shared" si="206"/>
        <v>3.6154371953361681</v>
      </c>
      <c r="U174" s="379">
        <f t="shared" si="206"/>
        <v>3.7110787940141643</v>
      </c>
      <c r="V174" s="379">
        <f t="shared" si="206"/>
        <v>3.8097310187225095</v>
      </c>
      <c r="W174" s="379">
        <f t="shared" si="206"/>
        <v>3.9114446391144124</v>
      </c>
      <c r="X174" s="379">
        <f t="shared" si="206"/>
        <v>4.0720274641680447</v>
      </c>
      <c r="Y174" s="379">
        <f t="shared" si="206"/>
        <v>4.1817312962948545</v>
      </c>
      <c r="Z174" s="379">
        <f t="shared" si="206"/>
        <v>4.2947353236366146</v>
      </c>
      <c r="AA174" s="379">
        <f t="shared" si="206"/>
        <v>4.4116385877801294</v>
      </c>
      <c r="AB174" s="379">
        <f t="shared" si="206"/>
        <v>4.5319784565677965</v>
      </c>
      <c r="AC174" s="379">
        <f t="shared" si="206"/>
        <v>4.6563572102004311</v>
      </c>
      <c r="AD174" s="379">
        <f t="shared" si="206"/>
        <v>4.7843155726424742</v>
      </c>
      <c r="AE174" s="379">
        <f t="shared" si="206"/>
        <v>4.9164693562900421</v>
      </c>
      <c r="AF174" s="379">
        <f t="shared" si="206"/>
        <v>5.0528945219071062</v>
      </c>
      <c r="AG174" s="379">
        <f t="shared" si="206"/>
        <v>5.1936689317747495</v>
      </c>
    </row>
    <row r="175" spans="1:33">
      <c r="A175" s="300" t="s">
        <v>179</v>
      </c>
      <c r="B175" s="300" t="str">
        <f t="shared" ref="B175:B179" si="207">A175</f>
        <v>CNG</v>
      </c>
      <c r="C175" s="379">
        <f t="shared" ref="C175:AG175" si="208">C169/($C$17)*1000</f>
        <v>4.2279247573200518</v>
      </c>
      <c r="D175" s="379">
        <f t="shared" si="208"/>
        <v>4.2291514275603994</v>
      </c>
      <c r="E175" s="379">
        <f t="shared" si="208"/>
        <v>4.2347055499456925</v>
      </c>
      <c r="F175" s="379">
        <f t="shared" si="208"/>
        <v>4.2446533511196591</v>
      </c>
      <c r="G175" s="379">
        <f t="shared" si="208"/>
        <v>4.2587400870618994</v>
      </c>
      <c r="H175" s="379">
        <f t="shared" si="208"/>
        <v>4.3202931164348559</v>
      </c>
      <c r="I175" s="379">
        <f t="shared" si="208"/>
        <v>4.1978537139107539</v>
      </c>
      <c r="J175" s="379">
        <f t="shared" si="208"/>
        <v>4.1533983652527224</v>
      </c>
      <c r="K175" s="379">
        <f t="shared" si="208"/>
        <v>4.1135944486069747</v>
      </c>
      <c r="L175" s="379">
        <f t="shared" si="208"/>
        <v>4.0786712096283573</v>
      </c>
      <c r="M175" s="379">
        <f t="shared" si="208"/>
        <v>4.0482323974740053</v>
      </c>
      <c r="N175" s="379">
        <f t="shared" si="208"/>
        <v>3.973358572366509</v>
      </c>
      <c r="O175" s="379">
        <f t="shared" si="208"/>
        <v>3.9511325941971918</v>
      </c>
      <c r="P175" s="379">
        <f t="shared" si="208"/>
        <v>3.933024434642189</v>
      </c>
      <c r="Q175" s="379">
        <f t="shared" si="208"/>
        <v>3.9195042033381249</v>
      </c>
      <c r="R175" s="379">
        <f t="shared" si="208"/>
        <v>3.910184335814519</v>
      </c>
      <c r="S175" s="379">
        <f t="shared" si="208"/>
        <v>3.8284107196555892</v>
      </c>
      <c r="T175" s="379">
        <f t="shared" si="208"/>
        <v>3.8437902910542618</v>
      </c>
      <c r="U175" s="379">
        <f t="shared" si="208"/>
        <v>3.8633709363186686</v>
      </c>
      <c r="V175" s="379">
        <f t="shared" si="208"/>
        <v>3.8871070999177495</v>
      </c>
      <c r="W175" s="379">
        <f t="shared" si="208"/>
        <v>3.9149579368379088</v>
      </c>
      <c r="X175" s="379">
        <f t="shared" si="208"/>
        <v>3.9157449414175072</v>
      </c>
      <c r="Y175" s="379">
        <f t="shared" si="208"/>
        <v>3.9509517769754532</v>
      </c>
      <c r="Z175" s="379">
        <f t="shared" si="208"/>
        <v>3.9902518077935545</v>
      </c>
      <c r="AA175" s="379">
        <f t="shared" si="208"/>
        <v>4.0340568032409676</v>
      </c>
      <c r="AB175" s="379">
        <f t="shared" si="208"/>
        <v>4.0819129566998082</v>
      </c>
      <c r="AC175" s="379">
        <f t="shared" si="208"/>
        <v>4.125067616072279</v>
      </c>
      <c r="AD175" s="379">
        <f t="shared" si="208"/>
        <v>4.2208867677700823</v>
      </c>
      <c r="AE175" s="379">
        <f t="shared" si="208"/>
        <v>4.3216465409733615</v>
      </c>
      <c r="AF175" s="379">
        <f t="shared" si="208"/>
        <v>4.4274635719611286</v>
      </c>
      <c r="AG175" s="379">
        <f t="shared" si="208"/>
        <v>4.5383618699954207</v>
      </c>
    </row>
    <row r="176" spans="1:33">
      <c r="A176" s="300" t="s">
        <v>180</v>
      </c>
      <c r="B176" s="300" t="str">
        <f>A176</f>
        <v>LNG</v>
      </c>
      <c r="C176" s="379">
        <f t="shared" ref="C176:AG176" si="209">C167/($C$17)*1000</f>
        <v>2.1671118988250577</v>
      </c>
      <c r="D176" s="379">
        <f t="shared" si="209"/>
        <v>2.2354423254554865</v>
      </c>
      <c r="E176" s="379">
        <f t="shared" si="209"/>
        <v>2.3002506425747766</v>
      </c>
      <c r="F176" s="379">
        <f t="shared" si="209"/>
        <v>2.3672720802818565</v>
      </c>
      <c r="G176" s="379">
        <f t="shared" si="209"/>
        <v>2.4364606084132818</v>
      </c>
      <c r="H176" s="379">
        <f t="shared" si="209"/>
        <v>2.5435203742917789</v>
      </c>
      <c r="I176" s="379">
        <f t="shared" si="209"/>
        <v>2.6184263779504575</v>
      </c>
      <c r="J176" s="379">
        <f t="shared" si="209"/>
        <v>2.6956377348970708</v>
      </c>
      <c r="K176" s="379">
        <f t="shared" si="209"/>
        <v>2.7753819722064619</v>
      </c>
      <c r="L176" s="379">
        <f t="shared" si="209"/>
        <v>2.8581524639774241</v>
      </c>
      <c r="M176" s="379">
        <f t="shared" si="209"/>
        <v>2.94355933720268</v>
      </c>
      <c r="N176" s="379">
        <f t="shared" si="209"/>
        <v>3.0779565308545522</v>
      </c>
      <c r="O176" s="379">
        <f t="shared" si="209"/>
        <v>3.1706315074411395</v>
      </c>
      <c r="P176" s="379">
        <f t="shared" si="209"/>
        <v>3.2660528470643548</v>
      </c>
      <c r="Q176" s="379">
        <f t="shared" si="209"/>
        <v>3.3649090291344561</v>
      </c>
      <c r="R176" s="379">
        <f t="shared" si="209"/>
        <v>3.4668273074480367</v>
      </c>
      <c r="S176" s="379">
        <f t="shared" si="209"/>
        <v>3.572306822077421</v>
      </c>
      <c r="T176" s="379">
        <f t="shared" si="209"/>
        <v>3.681510751133084</v>
      </c>
      <c r="U176" s="379">
        <f t="shared" si="209"/>
        <v>3.7944110440623313</v>
      </c>
      <c r="V176" s="379">
        <f t="shared" si="209"/>
        <v>3.9112722187364346</v>
      </c>
      <c r="W176" s="379">
        <f t="shared" si="209"/>
        <v>4.0319742370684581</v>
      </c>
      <c r="X176" s="379">
        <f t="shared" si="209"/>
        <v>4.2179546105569958</v>
      </c>
      <c r="Y176" s="379">
        <f t="shared" si="209"/>
        <v>4.3486873404491639</v>
      </c>
      <c r="Z176" s="379">
        <f t="shared" si="209"/>
        <v>4.4836389453225571</v>
      </c>
      <c r="AA176" s="379">
        <f t="shared" si="209"/>
        <v>4.6234250557384344</v>
      </c>
      <c r="AB176" s="379">
        <f t="shared" si="209"/>
        <v>4.7678095865412091</v>
      </c>
      <c r="AC176" s="379">
        <f t="shared" si="209"/>
        <v>4.9174140120564713</v>
      </c>
      <c r="AD176" s="379">
        <f t="shared" si="209"/>
        <v>5.0715909417285756</v>
      </c>
      <c r="AE176" s="379">
        <f t="shared" si="209"/>
        <v>5.2312811253977802</v>
      </c>
      <c r="AF176" s="379">
        <f t="shared" si="209"/>
        <v>5.3963752842946295</v>
      </c>
      <c r="AG176" s="379">
        <f t="shared" si="209"/>
        <v>5.5671849047075419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210">C168/($C$18)*1000</f>
        <v>3.0753921189217808</v>
      </c>
      <c r="D177" s="379">
        <f t="shared" si="210"/>
        <v>3.1002730297918859</v>
      </c>
      <c r="E177" s="379">
        <f t="shared" si="210"/>
        <v>3.1209962516870897</v>
      </c>
      <c r="F177" s="379">
        <f t="shared" si="210"/>
        <v>3.1164967944470674</v>
      </c>
      <c r="G177" s="379">
        <f t="shared" si="210"/>
        <v>3.107616748410122</v>
      </c>
      <c r="H177" s="379">
        <f t="shared" si="210"/>
        <v>3.1407088856468071</v>
      </c>
      <c r="I177" s="379">
        <f t="shared" si="210"/>
        <v>3.0363492633458451</v>
      </c>
      <c r="J177" s="379">
        <f t="shared" si="210"/>
        <v>3.0510582227589622</v>
      </c>
      <c r="K177" s="379">
        <f t="shared" si="210"/>
        <v>3.0549860829801547</v>
      </c>
      <c r="L177" s="379">
        <f t="shared" si="210"/>
        <v>3.0662386066055327</v>
      </c>
      <c r="M177" s="379">
        <f t="shared" si="210"/>
        <v>3.084908433490444</v>
      </c>
      <c r="N177" s="379">
        <f t="shared" si="210"/>
        <v>3.048338380182174</v>
      </c>
      <c r="O177" s="379">
        <f t="shared" si="210"/>
        <v>3.0847852102192879</v>
      </c>
      <c r="P177" s="379">
        <f t="shared" si="210"/>
        <v>3.1219917592740467</v>
      </c>
      <c r="Q177" s="379">
        <f t="shared" si="210"/>
        <v>3.164508836242764</v>
      </c>
      <c r="R177" s="379">
        <f t="shared" si="210"/>
        <v>3.2128061094525804</v>
      </c>
      <c r="S177" s="379">
        <f t="shared" si="210"/>
        <v>3.2583511074776905</v>
      </c>
      <c r="T177" s="379">
        <f t="shared" si="210"/>
        <v>3.325688309307818</v>
      </c>
      <c r="U177" s="379">
        <f t="shared" si="210"/>
        <v>3.3941133206349674</v>
      </c>
      <c r="V177" s="379">
        <f t="shared" si="210"/>
        <v>3.4655339668082346</v>
      </c>
      <c r="W177" s="379">
        <f t="shared" si="210"/>
        <v>3.5399325013556466</v>
      </c>
      <c r="X177" s="379">
        <f t="shared" si="210"/>
        <v>3.535944832067925</v>
      </c>
      <c r="Y177" s="379">
        <f t="shared" si="210"/>
        <v>3.6156284682291919</v>
      </c>
      <c r="Z177" s="379">
        <f t="shared" si="210"/>
        <v>3.6985866298815653</v>
      </c>
      <c r="AA177" s="379">
        <f t="shared" si="210"/>
        <v>3.7855308220991808</v>
      </c>
      <c r="AB177" s="379">
        <f t="shared" si="210"/>
        <v>3.8763137833296692</v>
      </c>
      <c r="AC177" s="379">
        <f t="shared" si="210"/>
        <v>3.9902597043309838</v>
      </c>
      <c r="AD177" s="379">
        <f t="shared" si="210"/>
        <v>4.1115404596410032</v>
      </c>
      <c r="AE177" s="379">
        <f t="shared" si="210"/>
        <v>4.2371744428656939</v>
      </c>
      <c r="AF177" s="379">
        <f t="shared" si="210"/>
        <v>4.3680794284771283</v>
      </c>
      <c r="AG177" s="379">
        <f t="shared" si="210"/>
        <v>4.5037179653093453</v>
      </c>
    </row>
    <row r="178" spans="1:33">
      <c r="A178" s="300" t="s">
        <v>181</v>
      </c>
      <c r="B178" s="300" t="str">
        <f t="shared" ref="B178" si="211">A178</f>
        <v>H2 ICE</v>
      </c>
      <c r="C178" s="379">
        <f t="shared" ref="C178:AG178" si="212">C170/($C$17)*1000</f>
        <v>4.5026979055745562</v>
      </c>
      <c r="D178" s="379">
        <f t="shared" si="212"/>
        <v>4.4773299054372417</v>
      </c>
      <c r="E178" s="379">
        <f t="shared" si="212"/>
        <v>4.4564467892877024</v>
      </c>
      <c r="F178" s="379">
        <f t="shared" si="212"/>
        <v>4.4400133195966971</v>
      </c>
      <c r="G178" s="379">
        <f t="shared" si="212"/>
        <v>4.4281164178024115</v>
      </c>
      <c r="H178" s="379">
        <f t="shared" si="212"/>
        <v>4.4445121141079955</v>
      </c>
      <c r="I178" s="379">
        <f t="shared" si="212"/>
        <v>4.3387749562714566</v>
      </c>
      <c r="J178" s="379">
        <f t="shared" si="212"/>
        <v>4.2933462319467584</v>
      </c>
      <c r="K178" s="379">
        <f t="shared" si="212"/>
        <v>4.2521058574786972</v>
      </c>
      <c r="L178" s="379">
        <f t="shared" si="212"/>
        <v>4.2155186849650113</v>
      </c>
      <c r="M178" s="379">
        <f t="shared" si="212"/>
        <v>4.1831097429670443</v>
      </c>
      <c r="N178" s="379">
        <f t="shared" si="212"/>
        <v>4.0749935819458631</v>
      </c>
      <c r="O178" s="379">
        <f t="shared" si="212"/>
        <v>4.0511512497983677</v>
      </c>
      <c r="P178" s="379">
        <f t="shared" si="212"/>
        <v>4.0317765029420798</v>
      </c>
      <c r="Q178" s="379">
        <f t="shared" si="212"/>
        <v>4.0167090243864694</v>
      </c>
      <c r="R178" s="379">
        <f t="shared" si="212"/>
        <v>4.0060157286303042</v>
      </c>
      <c r="S178" s="379">
        <f t="shared" si="212"/>
        <v>3.9329458511803641</v>
      </c>
      <c r="T178" s="379">
        <f t="shared" si="212"/>
        <v>3.9520249990604439</v>
      </c>
      <c r="U178" s="379">
        <f t="shared" si="212"/>
        <v>3.9753765939891044</v>
      </c>
      <c r="V178" s="379">
        <f t="shared" si="212"/>
        <v>4.0024335055701075</v>
      </c>
      <c r="W178" s="379">
        <f t="shared" si="212"/>
        <v>4.0331637192151417</v>
      </c>
      <c r="X178" s="379">
        <f t="shared" si="212"/>
        <v>3.9650902140045337</v>
      </c>
      <c r="Y178" s="379">
        <f t="shared" si="212"/>
        <v>4.0023989489731502</v>
      </c>
      <c r="Z178" s="379">
        <f t="shared" si="212"/>
        <v>4.0432517858808126</v>
      </c>
      <c r="AA178" s="379">
        <f t="shared" si="212"/>
        <v>4.0882657568171883</v>
      </c>
      <c r="AB178" s="379">
        <f t="shared" si="212"/>
        <v>4.1374250135547195</v>
      </c>
      <c r="AC178" s="379">
        <f t="shared" si="212"/>
        <v>4.1773918209067986</v>
      </c>
      <c r="AD178" s="379">
        <f t="shared" si="212"/>
        <v>4.2739559651684518</v>
      </c>
      <c r="AE178" s="379">
        <f t="shared" si="212"/>
        <v>4.3748243306782042</v>
      </c>
      <c r="AF178" s="379">
        <f t="shared" si="212"/>
        <v>4.4806461472387316</v>
      </c>
      <c r="AG178" s="379">
        <f t="shared" si="212"/>
        <v>4.59090605546643</v>
      </c>
    </row>
    <row r="179" spans="1:33">
      <c r="A179" s="300" t="str">
        <f>A170</f>
        <v>FCET</v>
      </c>
      <c r="B179" s="300" t="str">
        <f t="shared" si="207"/>
        <v>FCET</v>
      </c>
      <c r="C179" s="379">
        <f t="shared" ref="C179:AG179" si="213">C170/($C$19)*1000</f>
        <v>4.7265889616528485</v>
      </c>
      <c r="D179" s="379">
        <f t="shared" si="213"/>
        <v>4.6999595692435134</v>
      </c>
      <c r="E179" s="379">
        <f t="shared" si="213"/>
        <v>4.6780380661031122</v>
      </c>
      <c r="F179" s="379">
        <f t="shared" si="213"/>
        <v>4.6607874625600685</v>
      </c>
      <c r="G179" s="379">
        <f t="shared" si="213"/>
        <v>4.6482990021130295</v>
      </c>
      <c r="H179" s="379">
        <f t="shared" si="213"/>
        <v>4.6655099540360174</v>
      </c>
      <c r="I179" s="379">
        <f t="shared" si="213"/>
        <v>4.5545151474672751</v>
      </c>
      <c r="J179" s="379">
        <f t="shared" si="213"/>
        <v>4.5068275362977026</v>
      </c>
      <c r="K179" s="379">
        <f t="shared" si="213"/>
        <v>4.4635365354748764</v>
      </c>
      <c r="L179" s="379">
        <f t="shared" si="213"/>
        <v>4.4251301112892385</v>
      </c>
      <c r="M179" s="379">
        <f t="shared" si="213"/>
        <v>4.3911096749377814</v>
      </c>
      <c r="N179" s="379">
        <f t="shared" si="213"/>
        <v>4.2776175722083645</v>
      </c>
      <c r="O179" s="379">
        <f t="shared" si="213"/>
        <v>4.252589709733094</v>
      </c>
      <c r="P179" s="379">
        <f t="shared" si="213"/>
        <v>4.2322515776740062</v>
      </c>
      <c r="Q179" s="379">
        <f t="shared" si="213"/>
        <v>4.2164348874775097</v>
      </c>
      <c r="R179" s="379">
        <f t="shared" si="213"/>
        <v>4.2052098808826397</v>
      </c>
      <c r="S179" s="379">
        <f t="shared" si="213"/>
        <v>4.1285066946092224</v>
      </c>
      <c r="T179" s="379">
        <f t="shared" si="213"/>
        <v>4.1485345294004663</v>
      </c>
      <c r="U179" s="379">
        <f t="shared" si="213"/>
        <v>4.1730472533587282</v>
      </c>
      <c r="V179" s="379">
        <f t="shared" si="213"/>
        <v>4.201449536233814</v>
      </c>
      <c r="W179" s="379">
        <f t="shared" si="213"/>
        <v>4.2337077715518063</v>
      </c>
      <c r="X179" s="379">
        <f t="shared" si="213"/>
        <v>4.162249395916362</v>
      </c>
      <c r="Y179" s="379">
        <f t="shared" si="213"/>
        <v>4.2014132613530295</v>
      </c>
      <c r="Z179" s="379">
        <f t="shared" si="213"/>
        <v>4.2442974547920143</v>
      </c>
      <c r="AA179" s="379">
        <f t="shared" si="213"/>
        <v>4.2915496894766063</v>
      </c>
      <c r="AB179" s="379">
        <f t="shared" si="213"/>
        <v>4.3431533291458377</v>
      </c>
      <c r="AC179" s="379">
        <f t="shared" si="213"/>
        <v>4.3851074363110039</v>
      </c>
      <c r="AD179" s="379">
        <f t="shared" si="213"/>
        <v>4.4864731126077659</v>
      </c>
      <c r="AE179" s="379">
        <f t="shared" si="213"/>
        <v>4.5923570322036387</v>
      </c>
      <c r="AF179" s="379">
        <f t="shared" si="213"/>
        <v>4.7034407070461821</v>
      </c>
      <c r="AG179" s="379">
        <f t="shared" si="213"/>
        <v>4.8191831521470805</v>
      </c>
    </row>
    <row r="180" spans="1:33">
      <c r="A180" s="300" t="s">
        <v>334</v>
      </c>
      <c r="C180" s="379">
        <f t="shared" ref="C180:AG180" si="214">C174*0.9</f>
        <v>1.9873900577877681</v>
      </c>
      <c r="D180" s="379">
        <f t="shared" si="214"/>
        <v>2.1232919653490434</v>
      </c>
      <c r="E180" s="379">
        <f t="shared" si="214"/>
        <v>2.1750908370596131</v>
      </c>
      <c r="F180" s="379">
        <f t="shared" si="214"/>
        <v>2.2284292778885679</v>
      </c>
      <c r="G180" s="379">
        <f t="shared" si="214"/>
        <v>2.2833296651197861</v>
      </c>
      <c r="H180" s="379">
        <f t="shared" si="214"/>
        <v>2.3705570166698338</v>
      </c>
      <c r="I180" s="379">
        <f t="shared" si="214"/>
        <v>2.4296038223622629</v>
      </c>
      <c r="J180" s="379">
        <f t="shared" si="214"/>
        <v>2.4903378462222889</v>
      </c>
      <c r="K180" s="379">
        <f t="shared" si="214"/>
        <v>2.5527998270237995</v>
      </c>
      <c r="L180" s="379">
        <f t="shared" si="214"/>
        <v>2.6174944255646566</v>
      </c>
      <c r="M180" s="379">
        <f t="shared" si="214"/>
        <v>2.6839855732843438</v>
      </c>
      <c r="N180" s="379">
        <f t="shared" si="214"/>
        <v>2.7896432714074066</v>
      </c>
      <c r="O180" s="379">
        <f t="shared" si="214"/>
        <v>2.8614409721981087</v>
      </c>
      <c r="P180" s="379">
        <f t="shared" si="214"/>
        <v>2.9351859275019083</v>
      </c>
      <c r="Q180" s="379">
        <f t="shared" si="214"/>
        <v>3.0114040638130457</v>
      </c>
      <c r="R180" s="379">
        <f t="shared" si="214"/>
        <v>3.089657010497382</v>
      </c>
      <c r="S180" s="379">
        <f t="shared" si="214"/>
        <v>3.1704727415624929</v>
      </c>
      <c r="T180" s="379">
        <f t="shared" si="214"/>
        <v>3.2538934758025513</v>
      </c>
      <c r="U180" s="379">
        <f t="shared" si="214"/>
        <v>3.3399709146127479</v>
      </c>
      <c r="V180" s="379">
        <f t="shared" si="214"/>
        <v>3.4287579168502584</v>
      </c>
      <c r="W180" s="379">
        <f t="shared" si="214"/>
        <v>3.5203001752029714</v>
      </c>
      <c r="X180" s="379">
        <f t="shared" si="214"/>
        <v>3.6648247177512405</v>
      </c>
      <c r="Y180" s="379">
        <f t="shared" si="214"/>
        <v>3.7635581666653692</v>
      </c>
      <c r="Z180" s="379">
        <f t="shared" si="214"/>
        <v>3.8652617912729532</v>
      </c>
      <c r="AA180" s="379">
        <f t="shared" si="214"/>
        <v>3.9704747290021167</v>
      </c>
      <c r="AB180" s="379">
        <f t="shared" si="214"/>
        <v>4.078780610911017</v>
      </c>
      <c r="AC180" s="379">
        <f t="shared" si="214"/>
        <v>4.1907214891803886</v>
      </c>
      <c r="AD180" s="379">
        <f t="shared" si="214"/>
        <v>4.3058840153782265</v>
      </c>
      <c r="AE180" s="379">
        <f t="shared" si="214"/>
        <v>4.4248224206610383</v>
      </c>
      <c r="AF180" s="379">
        <f t="shared" si="214"/>
        <v>4.5476050697163961</v>
      </c>
      <c r="AG180" s="379">
        <f t="shared" si="214"/>
        <v>4.6743020385972747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" si="215">D182+1</f>
        <v>2027</v>
      </c>
      <c r="F182" s="360">
        <f t="shared" ref="F182" si="216">E182+1</f>
        <v>2028</v>
      </c>
      <c r="G182" s="360">
        <f t="shared" ref="G182" si="217">F182+1</f>
        <v>2029</v>
      </c>
      <c r="H182" s="360">
        <f t="shared" ref="H182" si="218">G182+1</f>
        <v>2030</v>
      </c>
      <c r="I182" s="360">
        <f t="shared" ref="I182" si="219">H182+1</f>
        <v>2031</v>
      </c>
      <c r="J182" s="360">
        <f t="shared" ref="J182" si="220">I182+1</f>
        <v>2032</v>
      </c>
      <c r="K182" s="360">
        <f t="shared" ref="K182" si="221">J182+1</f>
        <v>2033</v>
      </c>
      <c r="L182" s="360">
        <f t="shared" ref="L182" si="222">K182+1</f>
        <v>2034</v>
      </c>
      <c r="M182" s="360">
        <f t="shared" ref="M182" si="223">L182+1</f>
        <v>2035</v>
      </c>
      <c r="N182" s="360">
        <f t="shared" ref="N182" si="224">M182+1</f>
        <v>2036</v>
      </c>
      <c r="O182" s="360">
        <f t="shared" ref="O182" si="225">N182+1</f>
        <v>2037</v>
      </c>
      <c r="P182" s="360">
        <f t="shared" ref="P182" si="226">O182+1</f>
        <v>2038</v>
      </c>
      <c r="Q182" s="360">
        <f t="shared" ref="Q182" si="227">P182+1</f>
        <v>2039</v>
      </c>
      <c r="R182" s="360">
        <f t="shared" ref="R182" si="228">Q182+1</f>
        <v>2040</v>
      </c>
      <c r="S182" s="360">
        <f t="shared" ref="S182" si="229">R182+1</f>
        <v>2041</v>
      </c>
      <c r="T182" s="360">
        <f t="shared" ref="T182" si="230">S182+1</f>
        <v>2042</v>
      </c>
      <c r="U182" s="360">
        <f t="shared" ref="U182" si="231">T182+1</f>
        <v>2043</v>
      </c>
      <c r="V182" s="360">
        <f t="shared" ref="V182" si="232">U182+1</f>
        <v>2044</v>
      </c>
      <c r="W182" s="360">
        <f t="shared" ref="W182" si="233">V182+1</f>
        <v>2045</v>
      </c>
      <c r="X182" s="360">
        <f t="shared" ref="X182" si="234">W182+1</f>
        <v>2046</v>
      </c>
      <c r="Y182" s="360">
        <f t="shared" ref="Y182" si="235">X182+1</f>
        <v>2047</v>
      </c>
      <c r="Z182" s="360">
        <f t="shared" ref="Z182" si="236">Y182+1</f>
        <v>2048</v>
      </c>
      <c r="AA182" s="360">
        <f t="shared" ref="AA182" si="237">Z182+1</f>
        <v>2049</v>
      </c>
      <c r="AB182" s="360">
        <f t="shared" ref="AB182" si="238">AA182+1</f>
        <v>2050</v>
      </c>
      <c r="AC182" s="360">
        <f t="shared" ref="AC182" si="239">AB182+1</f>
        <v>2051</v>
      </c>
      <c r="AD182" s="360">
        <f t="shared" ref="AD182" si="240">AC182+1</f>
        <v>2052</v>
      </c>
      <c r="AE182" s="360">
        <f t="shared" ref="AE182" si="241">AD182+1</f>
        <v>2053</v>
      </c>
      <c r="AF182" s="360">
        <f t="shared" ref="AF182" si="242">AE182+1</f>
        <v>2054</v>
      </c>
      <c r="AG182" s="360">
        <f t="shared" ref="AG182" si="243">AF182+1</f>
        <v>2055</v>
      </c>
    </row>
    <row r="183" spans="1:33">
      <c r="A183" s="300" t="str">
        <f t="shared" ref="A183:A188" si="244">A174</f>
        <v xml:space="preserve">Diesel   </v>
      </c>
      <c r="B183" s="300" t="str">
        <f>A183</f>
        <v xml:space="preserve">Diesel   </v>
      </c>
      <c r="C183" s="379">
        <f t="shared" ref="C183:AG183" si="245">C165/($C$17*$C$24)*1000</f>
        <v>2.2082111753197422</v>
      </c>
      <c r="D183" s="379">
        <f t="shared" si="245"/>
        <v>2.3592132948322702</v>
      </c>
      <c r="E183" s="379">
        <f t="shared" si="245"/>
        <v>2.4167675967329036</v>
      </c>
      <c r="F183" s="379">
        <f t="shared" si="245"/>
        <v>2.4760325309872977</v>
      </c>
      <c r="G183" s="379">
        <f t="shared" si="245"/>
        <v>2.5370329612442069</v>
      </c>
      <c r="H183" s="379">
        <f t="shared" si="245"/>
        <v>2.6339522407442595</v>
      </c>
      <c r="I183" s="379">
        <f t="shared" si="245"/>
        <v>2.6995598026247367</v>
      </c>
      <c r="J183" s="379">
        <f t="shared" si="245"/>
        <v>2.7670420513580987</v>
      </c>
      <c r="K183" s="379">
        <f t="shared" si="245"/>
        <v>2.8364442522486661</v>
      </c>
      <c r="L183" s="379">
        <f t="shared" si="245"/>
        <v>2.9083271395162851</v>
      </c>
      <c r="M183" s="379">
        <f t="shared" si="245"/>
        <v>2.9822061925381598</v>
      </c>
      <c r="N183" s="379">
        <f t="shared" si="245"/>
        <v>3.0996036348971185</v>
      </c>
      <c r="O183" s="379">
        <f t="shared" si="245"/>
        <v>3.1793788579978983</v>
      </c>
      <c r="P183" s="379">
        <f t="shared" si="245"/>
        <v>3.2613176972243423</v>
      </c>
      <c r="Q183" s="379">
        <f t="shared" si="245"/>
        <v>3.3460045153478286</v>
      </c>
      <c r="R183" s="379">
        <f t="shared" si="245"/>
        <v>3.4329522338859797</v>
      </c>
      <c r="S183" s="379">
        <f t="shared" si="245"/>
        <v>3.522747490624992</v>
      </c>
      <c r="T183" s="379">
        <f t="shared" si="245"/>
        <v>3.6154371953361681</v>
      </c>
      <c r="U183" s="379">
        <f t="shared" si="245"/>
        <v>3.7110787940141643</v>
      </c>
      <c r="V183" s="379">
        <f t="shared" si="245"/>
        <v>3.8097310187225095</v>
      </c>
      <c r="W183" s="379">
        <f t="shared" si="245"/>
        <v>3.9114446391144124</v>
      </c>
      <c r="X183" s="379">
        <f t="shared" si="245"/>
        <v>4.0720274641680447</v>
      </c>
      <c r="Y183" s="379">
        <f t="shared" si="245"/>
        <v>4.1817312962948545</v>
      </c>
      <c r="Z183" s="379">
        <f t="shared" si="245"/>
        <v>4.2947353236366146</v>
      </c>
      <c r="AA183" s="379">
        <f t="shared" si="245"/>
        <v>4.4116385877801294</v>
      </c>
      <c r="AB183" s="379">
        <f t="shared" si="245"/>
        <v>4.5319784565677965</v>
      </c>
      <c r="AC183" s="379">
        <f t="shared" si="245"/>
        <v>4.6563572102004311</v>
      </c>
      <c r="AD183" s="379">
        <f t="shared" si="245"/>
        <v>4.7843155726424742</v>
      </c>
      <c r="AE183" s="379">
        <f t="shared" si="245"/>
        <v>4.9164693562900421</v>
      </c>
      <c r="AF183" s="379">
        <f t="shared" si="245"/>
        <v>5.0528945219071062</v>
      </c>
      <c r="AG183" s="379">
        <f t="shared" si="245"/>
        <v>5.1936689317747495</v>
      </c>
    </row>
    <row r="184" spans="1:33">
      <c r="A184" s="300" t="str">
        <f t="shared" si="244"/>
        <v>CNG</v>
      </c>
      <c r="B184" s="300" t="str">
        <f t="shared" ref="B184:B188" si="246">A184</f>
        <v>CNG</v>
      </c>
      <c r="C184" s="379">
        <f t="shared" ref="C184:AG184" si="247">C169/($C$17*$C$24)*1000</f>
        <v>4.2279247573200518</v>
      </c>
      <c r="D184" s="379">
        <f t="shared" si="247"/>
        <v>4.2291514275603994</v>
      </c>
      <c r="E184" s="379">
        <f t="shared" si="247"/>
        <v>4.2347055499456925</v>
      </c>
      <c r="F184" s="379">
        <f t="shared" si="247"/>
        <v>4.2446533511196591</v>
      </c>
      <c r="G184" s="379">
        <f t="shared" si="247"/>
        <v>4.2587400870618994</v>
      </c>
      <c r="H184" s="379">
        <f t="shared" si="247"/>
        <v>4.3202931164348559</v>
      </c>
      <c r="I184" s="379">
        <f t="shared" si="247"/>
        <v>4.1978537139107539</v>
      </c>
      <c r="J184" s="379">
        <f t="shared" si="247"/>
        <v>4.1533983652527224</v>
      </c>
      <c r="K184" s="379">
        <f t="shared" si="247"/>
        <v>4.1135944486069747</v>
      </c>
      <c r="L184" s="379">
        <f t="shared" si="247"/>
        <v>4.0786712096283573</v>
      </c>
      <c r="M184" s="379">
        <f t="shared" si="247"/>
        <v>4.0482323974740053</v>
      </c>
      <c r="N184" s="379">
        <f t="shared" si="247"/>
        <v>3.973358572366509</v>
      </c>
      <c r="O184" s="379">
        <f t="shared" si="247"/>
        <v>3.9511325941971918</v>
      </c>
      <c r="P184" s="379">
        <f t="shared" si="247"/>
        <v>3.933024434642189</v>
      </c>
      <c r="Q184" s="379">
        <f t="shared" si="247"/>
        <v>3.9195042033381249</v>
      </c>
      <c r="R184" s="379">
        <f t="shared" si="247"/>
        <v>3.910184335814519</v>
      </c>
      <c r="S184" s="379">
        <f t="shared" si="247"/>
        <v>3.8284107196555892</v>
      </c>
      <c r="T184" s="379">
        <f t="shared" si="247"/>
        <v>3.8437902910542618</v>
      </c>
      <c r="U184" s="379">
        <f t="shared" si="247"/>
        <v>3.8633709363186686</v>
      </c>
      <c r="V184" s="379">
        <f t="shared" si="247"/>
        <v>3.8871070999177495</v>
      </c>
      <c r="W184" s="379">
        <f t="shared" si="247"/>
        <v>3.9149579368379088</v>
      </c>
      <c r="X184" s="379">
        <f t="shared" si="247"/>
        <v>3.9157449414175072</v>
      </c>
      <c r="Y184" s="379">
        <f t="shared" si="247"/>
        <v>3.9509517769754532</v>
      </c>
      <c r="Z184" s="379">
        <f t="shared" si="247"/>
        <v>3.9902518077935545</v>
      </c>
      <c r="AA184" s="379">
        <f t="shared" si="247"/>
        <v>4.0340568032409676</v>
      </c>
      <c r="AB184" s="379">
        <f t="shared" si="247"/>
        <v>4.0819129566998082</v>
      </c>
      <c r="AC184" s="379">
        <f t="shared" si="247"/>
        <v>4.125067616072279</v>
      </c>
      <c r="AD184" s="379">
        <f t="shared" si="247"/>
        <v>4.2208867677700823</v>
      </c>
      <c r="AE184" s="379">
        <f t="shared" si="247"/>
        <v>4.3216465409733615</v>
      </c>
      <c r="AF184" s="379">
        <f t="shared" si="247"/>
        <v>4.4274635719611286</v>
      </c>
      <c r="AG184" s="379">
        <f t="shared" si="247"/>
        <v>4.5383618699954207</v>
      </c>
    </row>
    <row r="185" spans="1:33">
      <c r="A185" s="300" t="str">
        <f t="shared" si="244"/>
        <v>LNG</v>
      </c>
      <c r="B185" s="300" t="str">
        <f>A185</f>
        <v>LNG</v>
      </c>
      <c r="C185" s="379">
        <f t="shared" ref="C185:AG185" si="248">C167/($C$17*$C$24)*1000</f>
        <v>2.1671118988250577</v>
      </c>
      <c r="D185" s="379">
        <f t="shared" si="248"/>
        <v>2.2354423254554865</v>
      </c>
      <c r="E185" s="379">
        <f t="shared" si="248"/>
        <v>2.3002506425747766</v>
      </c>
      <c r="F185" s="379">
        <f t="shared" si="248"/>
        <v>2.3672720802818565</v>
      </c>
      <c r="G185" s="379">
        <f t="shared" si="248"/>
        <v>2.4364606084132818</v>
      </c>
      <c r="H185" s="379">
        <f t="shared" si="248"/>
        <v>2.5435203742917789</v>
      </c>
      <c r="I185" s="379">
        <f t="shared" si="248"/>
        <v>2.6184263779504575</v>
      </c>
      <c r="J185" s="379">
        <f t="shared" si="248"/>
        <v>2.6956377348970708</v>
      </c>
      <c r="K185" s="379">
        <f t="shared" si="248"/>
        <v>2.7753819722064619</v>
      </c>
      <c r="L185" s="379">
        <f t="shared" si="248"/>
        <v>2.8581524639774241</v>
      </c>
      <c r="M185" s="379">
        <f t="shared" si="248"/>
        <v>2.94355933720268</v>
      </c>
      <c r="N185" s="379">
        <f t="shared" si="248"/>
        <v>3.0779565308545522</v>
      </c>
      <c r="O185" s="379">
        <f t="shared" si="248"/>
        <v>3.1706315074411395</v>
      </c>
      <c r="P185" s="379">
        <f t="shared" si="248"/>
        <v>3.2660528470643548</v>
      </c>
      <c r="Q185" s="379">
        <f t="shared" si="248"/>
        <v>3.3649090291344561</v>
      </c>
      <c r="R185" s="379">
        <f t="shared" si="248"/>
        <v>3.4668273074480367</v>
      </c>
      <c r="S185" s="379">
        <f t="shared" si="248"/>
        <v>3.572306822077421</v>
      </c>
      <c r="T185" s="379">
        <f t="shared" si="248"/>
        <v>3.681510751133084</v>
      </c>
      <c r="U185" s="379">
        <f t="shared" si="248"/>
        <v>3.7944110440623313</v>
      </c>
      <c r="V185" s="379">
        <f t="shared" si="248"/>
        <v>3.9112722187364346</v>
      </c>
      <c r="W185" s="379">
        <f t="shared" si="248"/>
        <v>4.0319742370684581</v>
      </c>
      <c r="X185" s="379">
        <f t="shared" si="248"/>
        <v>4.2179546105569958</v>
      </c>
      <c r="Y185" s="379">
        <f t="shared" si="248"/>
        <v>4.3486873404491639</v>
      </c>
      <c r="Z185" s="379">
        <f t="shared" si="248"/>
        <v>4.4836389453225571</v>
      </c>
      <c r="AA185" s="379">
        <f t="shared" si="248"/>
        <v>4.6234250557384344</v>
      </c>
      <c r="AB185" s="379">
        <f t="shared" si="248"/>
        <v>4.7678095865412091</v>
      </c>
      <c r="AC185" s="379">
        <f t="shared" si="248"/>
        <v>4.9174140120564713</v>
      </c>
      <c r="AD185" s="379">
        <f t="shared" si="248"/>
        <v>5.0715909417285756</v>
      </c>
      <c r="AE185" s="379">
        <f t="shared" si="248"/>
        <v>5.2312811253977802</v>
      </c>
      <c r="AF185" s="379">
        <f t="shared" si="248"/>
        <v>5.3963752842946295</v>
      </c>
      <c r="AG185" s="379">
        <f t="shared" si="248"/>
        <v>5.5671849047075419</v>
      </c>
    </row>
    <row r="186" spans="1:33">
      <c r="A186" s="300" t="str">
        <f t="shared" si="244"/>
        <v>BET</v>
      </c>
      <c r="B186" s="300" t="str">
        <f>A186</f>
        <v>BET</v>
      </c>
      <c r="C186" s="379">
        <f t="shared" ref="C186:AG186" si="249">C168/($C$18*$C$24)*1000</f>
        <v>3.0753921189217808</v>
      </c>
      <c r="D186" s="379">
        <f t="shared" si="249"/>
        <v>3.1002730297918859</v>
      </c>
      <c r="E186" s="379">
        <f t="shared" si="249"/>
        <v>3.1209962516870897</v>
      </c>
      <c r="F186" s="379">
        <f t="shared" si="249"/>
        <v>3.1164967944470674</v>
      </c>
      <c r="G186" s="379">
        <f t="shared" si="249"/>
        <v>3.107616748410122</v>
      </c>
      <c r="H186" s="379">
        <f t="shared" si="249"/>
        <v>3.1407088856468071</v>
      </c>
      <c r="I186" s="379">
        <f t="shared" si="249"/>
        <v>3.0363492633458451</v>
      </c>
      <c r="J186" s="379">
        <f t="shared" si="249"/>
        <v>3.0510582227589622</v>
      </c>
      <c r="K186" s="379">
        <f t="shared" si="249"/>
        <v>3.0549860829801547</v>
      </c>
      <c r="L186" s="379">
        <f t="shared" si="249"/>
        <v>3.0662386066055327</v>
      </c>
      <c r="M186" s="379">
        <f t="shared" si="249"/>
        <v>3.084908433490444</v>
      </c>
      <c r="N186" s="379">
        <f t="shared" si="249"/>
        <v>3.048338380182174</v>
      </c>
      <c r="O186" s="379">
        <f t="shared" si="249"/>
        <v>3.0847852102192879</v>
      </c>
      <c r="P186" s="379">
        <f t="shared" si="249"/>
        <v>3.1219917592740467</v>
      </c>
      <c r="Q186" s="379">
        <f t="shared" si="249"/>
        <v>3.164508836242764</v>
      </c>
      <c r="R186" s="379">
        <f t="shared" si="249"/>
        <v>3.2128061094525804</v>
      </c>
      <c r="S186" s="379">
        <f t="shared" si="249"/>
        <v>3.2583511074776905</v>
      </c>
      <c r="T186" s="379">
        <f t="shared" si="249"/>
        <v>3.325688309307818</v>
      </c>
      <c r="U186" s="379">
        <f t="shared" si="249"/>
        <v>3.3941133206349674</v>
      </c>
      <c r="V186" s="379">
        <f t="shared" si="249"/>
        <v>3.4655339668082346</v>
      </c>
      <c r="W186" s="379">
        <f t="shared" si="249"/>
        <v>3.5399325013556466</v>
      </c>
      <c r="X186" s="379">
        <f t="shared" si="249"/>
        <v>3.535944832067925</v>
      </c>
      <c r="Y186" s="379">
        <f t="shared" si="249"/>
        <v>3.6156284682291919</v>
      </c>
      <c r="Z186" s="379">
        <f t="shared" si="249"/>
        <v>3.6985866298815653</v>
      </c>
      <c r="AA186" s="379">
        <f t="shared" si="249"/>
        <v>3.7855308220991808</v>
      </c>
      <c r="AB186" s="379">
        <f t="shared" si="249"/>
        <v>3.8763137833296692</v>
      </c>
      <c r="AC186" s="379">
        <f t="shared" si="249"/>
        <v>3.9902597043309838</v>
      </c>
      <c r="AD186" s="379">
        <f t="shared" si="249"/>
        <v>4.1115404596410032</v>
      </c>
      <c r="AE186" s="379">
        <f t="shared" si="249"/>
        <v>4.2371744428656939</v>
      </c>
      <c r="AF186" s="379">
        <f t="shared" si="249"/>
        <v>4.3680794284771283</v>
      </c>
      <c r="AG186" s="379">
        <f t="shared" si="249"/>
        <v>4.5037179653093453</v>
      </c>
    </row>
    <row r="187" spans="1:33">
      <c r="A187" s="300" t="str">
        <f t="shared" si="244"/>
        <v>H2 ICE</v>
      </c>
      <c r="B187" s="300" t="str">
        <f t="shared" ref="B187" si="250">A187</f>
        <v>H2 ICE</v>
      </c>
      <c r="C187" s="379">
        <f t="shared" ref="C187:AG187" si="251">C170/($C$17*$C$24)*1000</f>
        <v>4.5026979055745562</v>
      </c>
      <c r="D187" s="379">
        <f t="shared" si="251"/>
        <v>4.4773299054372417</v>
      </c>
      <c r="E187" s="379">
        <f t="shared" si="251"/>
        <v>4.4564467892877024</v>
      </c>
      <c r="F187" s="379">
        <f t="shared" si="251"/>
        <v>4.4400133195966971</v>
      </c>
      <c r="G187" s="379">
        <f t="shared" si="251"/>
        <v>4.4281164178024115</v>
      </c>
      <c r="H187" s="379">
        <f t="shared" si="251"/>
        <v>4.4445121141079955</v>
      </c>
      <c r="I187" s="379">
        <f t="shared" si="251"/>
        <v>4.3387749562714566</v>
      </c>
      <c r="J187" s="379">
        <f t="shared" si="251"/>
        <v>4.2933462319467584</v>
      </c>
      <c r="K187" s="379">
        <f t="shared" si="251"/>
        <v>4.2521058574786972</v>
      </c>
      <c r="L187" s="379">
        <f t="shared" si="251"/>
        <v>4.2155186849650113</v>
      </c>
      <c r="M187" s="379">
        <f t="shared" si="251"/>
        <v>4.1831097429670443</v>
      </c>
      <c r="N187" s="379">
        <f t="shared" si="251"/>
        <v>4.0749935819458631</v>
      </c>
      <c r="O187" s="379">
        <f t="shared" si="251"/>
        <v>4.0511512497983677</v>
      </c>
      <c r="P187" s="379">
        <f t="shared" si="251"/>
        <v>4.0317765029420798</v>
      </c>
      <c r="Q187" s="379">
        <f t="shared" si="251"/>
        <v>4.0167090243864694</v>
      </c>
      <c r="R187" s="379">
        <f t="shared" si="251"/>
        <v>4.0060157286303042</v>
      </c>
      <c r="S187" s="379">
        <f t="shared" si="251"/>
        <v>3.9329458511803641</v>
      </c>
      <c r="T187" s="379">
        <f t="shared" si="251"/>
        <v>3.9520249990604439</v>
      </c>
      <c r="U187" s="379">
        <f t="shared" si="251"/>
        <v>3.9753765939891044</v>
      </c>
      <c r="V187" s="379">
        <f t="shared" si="251"/>
        <v>4.0024335055701075</v>
      </c>
      <c r="W187" s="379">
        <f t="shared" si="251"/>
        <v>4.0331637192151417</v>
      </c>
      <c r="X187" s="379">
        <f t="shared" si="251"/>
        <v>3.9650902140045337</v>
      </c>
      <c r="Y187" s="379">
        <f t="shared" si="251"/>
        <v>4.0023989489731502</v>
      </c>
      <c r="Z187" s="379">
        <f t="shared" si="251"/>
        <v>4.0432517858808126</v>
      </c>
      <c r="AA187" s="379">
        <f t="shared" si="251"/>
        <v>4.0882657568171883</v>
      </c>
      <c r="AB187" s="379">
        <f t="shared" si="251"/>
        <v>4.1374250135547195</v>
      </c>
      <c r="AC187" s="379">
        <f t="shared" si="251"/>
        <v>4.1773918209067986</v>
      </c>
      <c r="AD187" s="379">
        <f t="shared" si="251"/>
        <v>4.2739559651684518</v>
      </c>
      <c r="AE187" s="379">
        <f t="shared" si="251"/>
        <v>4.3748243306782042</v>
      </c>
      <c r="AF187" s="379">
        <f t="shared" si="251"/>
        <v>4.4806461472387316</v>
      </c>
      <c r="AG187" s="379">
        <f t="shared" si="251"/>
        <v>4.59090605546643</v>
      </c>
    </row>
    <row r="188" spans="1:33">
      <c r="A188" s="300" t="str">
        <f t="shared" si="244"/>
        <v>FCET</v>
      </c>
      <c r="B188" s="300" t="str">
        <f t="shared" si="246"/>
        <v>FCET</v>
      </c>
      <c r="C188" s="379">
        <f t="shared" ref="C188:AG188" si="252">C170/($C$19*$C$24)*1000</f>
        <v>4.7265889616528485</v>
      </c>
      <c r="D188" s="379">
        <f t="shared" si="252"/>
        <v>4.6999595692435134</v>
      </c>
      <c r="E188" s="379">
        <f t="shared" si="252"/>
        <v>4.6780380661031122</v>
      </c>
      <c r="F188" s="379">
        <f t="shared" si="252"/>
        <v>4.6607874625600685</v>
      </c>
      <c r="G188" s="379">
        <f t="shared" si="252"/>
        <v>4.6482990021130295</v>
      </c>
      <c r="H188" s="379">
        <f t="shared" si="252"/>
        <v>4.6655099540360174</v>
      </c>
      <c r="I188" s="379">
        <f t="shared" si="252"/>
        <v>4.5545151474672751</v>
      </c>
      <c r="J188" s="379">
        <f t="shared" si="252"/>
        <v>4.5068275362977026</v>
      </c>
      <c r="K188" s="379">
        <f t="shared" si="252"/>
        <v>4.4635365354748764</v>
      </c>
      <c r="L188" s="379">
        <f t="shared" si="252"/>
        <v>4.4251301112892385</v>
      </c>
      <c r="M188" s="379">
        <f t="shared" si="252"/>
        <v>4.3911096749377814</v>
      </c>
      <c r="N188" s="379">
        <f t="shared" si="252"/>
        <v>4.2776175722083645</v>
      </c>
      <c r="O188" s="379">
        <f t="shared" si="252"/>
        <v>4.252589709733094</v>
      </c>
      <c r="P188" s="379">
        <f t="shared" si="252"/>
        <v>4.2322515776740062</v>
      </c>
      <c r="Q188" s="379">
        <f t="shared" si="252"/>
        <v>4.2164348874775097</v>
      </c>
      <c r="R188" s="379">
        <f t="shared" si="252"/>
        <v>4.2052098808826397</v>
      </c>
      <c r="S188" s="379">
        <f t="shared" si="252"/>
        <v>4.1285066946092224</v>
      </c>
      <c r="T188" s="379">
        <f t="shared" si="252"/>
        <v>4.1485345294004663</v>
      </c>
      <c r="U188" s="379">
        <f t="shared" si="252"/>
        <v>4.1730472533587282</v>
      </c>
      <c r="V188" s="379">
        <f t="shared" si="252"/>
        <v>4.201449536233814</v>
      </c>
      <c r="W188" s="379">
        <f t="shared" si="252"/>
        <v>4.2337077715518063</v>
      </c>
      <c r="X188" s="379">
        <f t="shared" si="252"/>
        <v>4.162249395916362</v>
      </c>
      <c r="Y188" s="379">
        <f t="shared" si="252"/>
        <v>4.2014132613530295</v>
      </c>
      <c r="Z188" s="379">
        <f t="shared" si="252"/>
        <v>4.2442974547920143</v>
      </c>
      <c r="AA188" s="379">
        <f t="shared" si="252"/>
        <v>4.2915496894766063</v>
      </c>
      <c r="AB188" s="379">
        <f t="shared" si="252"/>
        <v>4.3431533291458377</v>
      </c>
      <c r="AC188" s="379">
        <f t="shared" si="252"/>
        <v>4.3851074363110039</v>
      </c>
      <c r="AD188" s="379">
        <f t="shared" si="252"/>
        <v>4.4864731126077659</v>
      </c>
      <c r="AE188" s="379">
        <f t="shared" si="252"/>
        <v>4.5923570322036387</v>
      </c>
      <c r="AF188" s="379">
        <f t="shared" si="252"/>
        <v>4.7034407070461821</v>
      </c>
      <c r="AG188" s="379">
        <f t="shared" si="252"/>
        <v>4.8191831521470805</v>
      </c>
    </row>
    <row r="189" spans="1:33">
      <c r="A189" s="300" t="s">
        <v>334</v>
      </c>
      <c r="C189" s="379">
        <f t="shared" ref="C189:AG189" si="253">C183*0.9</f>
        <v>1.9873900577877681</v>
      </c>
      <c r="D189" s="379">
        <f t="shared" si="253"/>
        <v>2.1232919653490434</v>
      </c>
      <c r="E189" s="379">
        <f t="shared" si="253"/>
        <v>2.1750908370596131</v>
      </c>
      <c r="F189" s="379">
        <f t="shared" si="253"/>
        <v>2.2284292778885679</v>
      </c>
      <c r="G189" s="379">
        <f t="shared" si="253"/>
        <v>2.2833296651197861</v>
      </c>
      <c r="H189" s="379">
        <f t="shared" si="253"/>
        <v>2.3705570166698338</v>
      </c>
      <c r="I189" s="379">
        <f t="shared" si="253"/>
        <v>2.4296038223622629</v>
      </c>
      <c r="J189" s="379">
        <f t="shared" si="253"/>
        <v>2.4903378462222889</v>
      </c>
      <c r="K189" s="379">
        <f t="shared" si="253"/>
        <v>2.5527998270237995</v>
      </c>
      <c r="L189" s="379">
        <f t="shared" si="253"/>
        <v>2.6174944255646566</v>
      </c>
      <c r="M189" s="379">
        <f t="shared" si="253"/>
        <v>2.6839855732843438</v>
      </c>
      <c r="N189" s="379">
        <f t="shared" si="253"/>
        <v>2.7896432714074066</v>
      </c>
      <c r="O189" s="379">
        <f t="shared" si="253"/>
        <v>2.8614409721981087</v>
      </c>
      <c r="P189" s="379">
        <f t="shared" si="253"/>
        <v>2.9351859275019083</v>
      </c>
      <c r="Q189" s="379">
        <f t="shared" si="253"/>
        <v>3.0114040638130457</v>
      </c>
      <c r="R189" s="379">
        <f t="shared" si="253"/>
        <v>3.089657010497382</v>
      </c>
      <c r="S189" s="379">
        <f t="shared" si="253"/>
        <v>3.1704727415624929</v>
      </c>
      <c r="T189" s="379">
        <f t="shared" si="253"/>
        <v>3.2538934758025513</v>
      </c>
      <c r="U189" s="379">
        <f t="shared" si="253"/>
        <v>3.3399709146127479</v>
      </c>
      <c r="V189" s="379">
        <f t="shared" si="253"/>
        <v>3.4287579168502584</v>
      </c>
      <c r="W189" s="379">
        <f t="shared" si="253"/>
        <v>3.5203001752029714</v>
      </c>
      <c r="X189" s="379">
        <f t="shared" si="253"/>
        <v>3.6648247177512405</v>
      </c>
      <c r="Y189" s="379">
        <f t="shared" si="253"/>
        <v>3.7635581666653692</v>
      </c>
      <c r="Z189" s="379">
        <f t="shared" si="253"/>
        <v>3.8652617912729532</v>
      </c>
      <c r="AA189" s="379">
        <f t="shared" si="253"/>
        <v>3.9704747290021167</v>
      </c>
      <c r="AB189" s="379">
        <f t="shared" si="253"/>
        <v>4.078780610911017</v>
      </c>
      <c r="AC189" s="379">
        <f t="shared" si="253"/>
        <v>4.1907214891803886</v>
      </c>
      <c r="AD189" s="379">
        <f t="shared" si="253"/>
        <v>4.3058840153782265</v>
      </c>
      <c r="AE189" s="379">
        <f t="shared" si="253"/>
        <v>4.4248224206610383</v>
      </c>
      <c r="AF189" s="379">
        <f t="shared" si="253"/>
        <v>4.5476050697163961</v>
      </c>
      <c r="AG189" s="379">
        <f t="shared" si="253"/>
        <v>4.6743020385972747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B191" si="254">D191+1</f>
        <v>2027</v>
      </c>
      <c r="F191" s="360">
        <f t="shared" si="254"/>
        <v>2028</v>
      </c>
      <c r="G191" s="360">
        <f t="shared" si="254"/>
        <v>2029</v>
      </c>
      <c r="H191" s="360">
        <f t="shared" si="254"/>
        <v>2030</v>
      </c>
      <c r="I191" s="360">
        <f t="shared" si="254"/>
        <v>2031</v>
      </c>
      <c r="J191" s="360">
        <f t="shared" si="254"/>
        <v>2032</v>
      </c>
      <c r="K191" s="360">
        <f t="shared" si="254"/>
        <v>2033</v>
      </c>
      <c r="L191" s="360">
        <f t="shared" si="254"/>
        <v>2034</v>
      </c>
      <c r="M191" s="360">
        <f t="shared" si="254"/>
        <v>2035</v>
      </c>
      <c r="N191" s="360">
        <f t="shared" si="254"/>
        <v>2036</v>
      </c>
      <c r="O191" s="360">
        <f t="shared" si="254"/>
        <v>2037</v>
      </c>
      <c r="P191" s="360">
        <f t="shared" si="254"/>
        <v>2038</v>
      </c>
      <c r="Q191" s="360">
        <f t="shared" si="254"/>
        <v>2039</v>
      </c>
      <c r="R191" s="360">
        <f t="shared" si="254"/>
        <v>2040</v>
      </c>
      <c r="S191" s="360">
        <f t="shared" si="254"/>
        <v>2041</v>
      </c>
      <c r="T191" s="360">
        <f t="shared" si="254"/>
        <v>2042</v>
      </c>
      <c r="U191" s="360">
        <f t="shared" si="254"/>
        <v>2043</v>
      </c>
      <c r="V191" s="360">
        <f t="shared" si="254"/>
        <v>2044</v>
      </c>
      <c r="W191" s="360">
        <f t="shared" si="254"/>
        <v>2045</v>
      </c>
      <c r="X191" s="360">
        <f t="shared" si="254"/>
        <v>2046</v>
      </c>
      <c r="Y191" s="360">
        <f t="shared" si="254"/>
        <v>2047</v>
      </c>
      <c r="Z191" s="360">
        <f t="shared" si="254"/>
        <v>2048</v>
      </c>
      <c r="AA191" s="360">
        <f t="shared" si="254"/>
        <v>2049</v>
      </c>
      <c r="AB191" s="360">
        <f t="shared" si="254"/>
        <v>2050</v>
      </c>
      <c r="AC191" s="360">
        <f t="shared" ref="AC191" si="255">AB191+1</f>
        <v>2051</v>
      </c>
      <c r="AD191" s="360">
        <f t="shared" ref="AD191" si="256">AC191+1</f>
        <v>2052</v>
      </c>
      <c r="AE191" s="360">
        <f t="shared" ref="AE191" si="257">AD191+1</f>
        <v>2053</v>
      </c>
      <c r="AF191" s="360">
        <f t="shared" ref="AF191" si="258">AE191+1</f>
        <v>2054</v>
      </c>
      <c r="AG191" s="360">
        <f t="shared" ref="AG191" si="259">AF191+1</f>
        <v>2055</v>
      </c>
    </row>
    <row r="192" spans="1:33">
      <c r="A192" s="300" t="str">
        <f>A165</f>
        <v xml:space="preserve">Diesel   </v>
      </c>
      <c r="C192" s="433">
        <f t="shared" ref="C192:AG192" si="260">C165/C168</f>
        <v>0.80249952849024975</v>
      </c>
      <c r="D192" s="433">
        <f t="shared" si="260"/>
        <v>0.85049535146382094</v>
      </c>
      <c r="E192" s="433">
        <f t="shared" si="260"/>
        <v>0.86545864798409589</v>
      </c>
      <c r="F192" s="433">
        <f t="shared" si="260"/>
        <v>0.88796191953096992</v>
      </c>
      <c r="G192" s="433">
        <f t="shared" si="260"/>
        <v>0.91243794097956321</v>
      </c>
      <c r="H192" s="433">
        <f t="shared" si="260"/>
        <v>0.93731354357702767</v>
      </c>
      <c r="I192" s="433">
        <f t="shared" si="260"/>
        <v>0.9936785303140887</v>
      </c>
      <c r="J192" s="433">
        <f t="shared" si="260"/>
        <v>1.0136077991802133</v>
      </c>
      <c r="K192" s="433">
        <f t="shared" si="260"/>
        <v>1.0376949321321083</v>
      </c>
      <c r="L192" s="433">
        <f t="shared" si="260"/>
        <v>1.0600881701034544</v>
      </c>
      <c r="M192" s="433">
        <f t="shared" si="260"/>
        <v>1.0804385451805387</v>
      </c>
      <c r="N192" s="433">
        <f t="shared" si="260"/>
        <v>1.1364430237086918</v>
      </c>
      <c r="O192" s="433">
        <f t="shared" si="260"/>
        <v>1.1519192382520731</v>
      </c>
      <c r="P192" s="433">
        <f t="shared" si="260"/>
        <v>1.1675245847027733</v>
      </c>
      <c r="Q192" s="433">
        <f t="shared" si="260"/>
        <v>1.1817480370283484</v>
      </c>
      <c r="R192" s="433">
        <f t="shared" si="260"/>
        <v>1.1942298528366762</v>
      </c>
      <c r="S192" s="433">
        <f t="shared" si="260"/>
        <v>1.2083376658946965</v>
      </c>
      <c r="T192" s="433">
        <f t="shared" si="260"/>
        <v>1.2150214848515599</v>
      </c>
      <c r="U192" s="433">
        <f t="shared" si="260"/>
        <v>1.2220205713156207</v>
      </c>
      <c r="V192" s="433">
        <f t="shared" si="260"/>
        <v>1.22865183511837</v>
      </c>
      <c r="W192" s="433">
        <f t="shared" si="260"/>
        <v>1.2349429247543953</v>
      </c>
      <c r="X192" s="433">
        <f t="shared" si="260"/>
        <v>1.2870929086623895</v>
      </c>
      <c r="Y192" s="433">
        <f t="shared" si="260"/>
        <v>1.2926382578194664</v>
      </c>
      <c r="Z192" s="433">
        <f t="shared" si="260"/>
        <v>1.2977925849047058</v>
      </c>
      <c r="AA192" s="433">
        <f t="shared" si="260"/>
        <v>1.3025002632234985</v>
      </c>
      <c r="AB192" s="433">
        <f t="shared" si="260"/>
        <v>1.306693078980758</v>
      </c>
      <c r="AC192" s="433">
        <f t="shared" si="260"/>
        <v>1.304216849636054</v>
      </c>
      <c r="AD192" s="433">
        <f t="shared" si="260"/>
        <v>1.3005286657727202</v>
      </c>
      <c r="AE192" s="433">
        <f t="shared" si="260"/>
        <v>1.2968258895041551</v>
      </c>
      <c r="AF192" s="433">
        <f t="shared" si="260"/>
        <v>1.2928685921180407</v>
      </c>
      <c r="AG192" s="433">
        <f t="shared" si="260"/>
        <v>1.2888659660335737</v>
      </c>
    </row>
    <row r="193" spans="1:33">
      <c r="A193" s="300" t="str">
        <f>A169</f>
        <v>H2-ICE</v>
      </c>
      <c r="C193" s="433">
        <f t="shared" ref="C193:AG193" si="261">C169/C168</f>
        <v>1.5364959937539997</v>
      </c>
      <c r="D193" s="433">
        <f t="shared" si="261"/>
        <v>1.5246072229482004</v>
      </c>
      <c r="E193" s="433">
        <f t="shared" si="261"/>
        <v>1.5164728891686601</v>
      </c>
      <c r="F193" s="433">
        <f t="shared" si="261"/>
        <v>1.5222298133138352</v>
      </c>
      <c r="G193" s="433">
        <f t="shared" si="261"/>
        <v>1.5316458617471811</v>
      </c>
      <c r="H193" s="433">
        <f t="shared" si="261"/>
        <v>1.5374117979879396</v>
      </c>
      <c r="I193" s="433">
        <f t="shared" si="261"/>
        <v>1.545184183308951</v>
      </c>
      <c r="J193" s="433">
        <f t="shared" si="261"/>
        <v>1.5214503061333049</v>
      </c>
      <c r="K193" s="433">
        <f t="shared" si="261"/>
        <v>1.5049321377573848</v>
      </c>
      <c r="L193" s="433">
        <f t="shared" si="261"/>
        <v>1.4866797618192622</v>
      </c>
      <c r="M193" s="433">
        <f t="shared" si="261"/>
        <v>1.4666545636661479</v>
      </c>
      <c r="N193" s="433">
        <f t="shared" si="261"/>
        <v>1.4567977593718764</v>
      </c>
      <c r="O193" s="433">
        <f t="shared" si="261"/>
        <v>1.4315329664759238</v>
      </c>
      <c r="P193" s="433">
        <f t="shared" si="261"/>
        <v>1.4079900046504454</v>
      </c>
      <c r="Q193" s="433">
        <f t="shared" si="261"/>
        <v>1.3842977130405012</v>
      </c>
      <c r="R193" s="433">
        <f t="shared" si="261"/>
        <v>1.3602458018002084</v>
      </c>
      <c r="S193" s="433">
        <f t="shared" si="261"/>
        <v>1.3131832143478839</v>
      </c>
      <c r="T193" s="433">
        <f t="shared" si="261"/>
        <v>1.2917629416766869</v>
      </c>
      <c r="U193" s="433">
        <f t="shared" si="261"/>
        <v>1.2721688276787055</v>
      </c>
      <c r="V193" s="433">
        <f t="shared" si="261"/>
        <v>1.2536058971473154</v>
      </c>
      <c r="W193" s="433">
        <f t="shared" si="261"/>
        <v>1.2360521625339105</v>
      </c>
      <c r="X193" s="433">
        <f t="shared" si="261"/>
        <v>1.2376948806406942</v>
      </c>
      <c r="Y193" s="433">
        <f t="shared" si="261"/>
        <v>1.2213007149080506</v>
      </c>
      <c r="Z193" s="433">
        <f t="shared" si="261"/>
        <v>1.2057830850614806</v>
      </c>
      <c r="AA193" s="433">
        <f t="shared" si="261"/>
        <v>1.191022325045856</v>
      </c>
      <c r="AB193" s="433">
        <f t="shared" si="261"/>
        <v>1.1769269118637811</v>
      </c>
      <c r="AC193" s="433">
        <f t="shared" si="261"/>
        <v>1.1554059209598126</v>
      </c>
      <c r="AD193" s="433">
        <f t="shared" si="261"/>
        <v>1.1473708523440598</v>
      </c>
      <c r="AE193" s="433">
        <f t="shared" si="261"/>
        <v>1.1399284147780027</v>
      </c>
      <c r="AF193" s="433">
        <f t="shared" si="261"/>
        <v>1.1328414971098282</v>
      </c>
      <c r="AG193" s="433">
        <f t="shared" si="261"/>
        <v>1.1262443241222893</v>
      </c>
    </row>
    <row r="194" spans="1:33">
      <c r="A194" s="300" t="str">
        <f>A170</f>
        <v>FCET</v>
      </c>
      <c r="C194" s="433">
        <f t="shared" ref="C194:AG194" si="262">C170/C168</f>
        <v>1.6363529840547995</v>
      </c>
      <c r="D194" s="433">
        <f t="shared" si="262"/>
        <v>1.6140754546803502</v>
      </c>
      <c r="E194" s="433">
        <f t="shared" si="262"/>
        <v>1.5958797272372784</v>
      </c>
      <c r="F194" s="433">
        <f t="shared" si="262"/>
        <v>1.5922903680268259</v>
      </c>
      <c r="G194" s="433">
        <f t="shared" si="262"/>
        <v>1.592561660963189</v>
      </c>
      <c r="H194" s="433">
        <f t="shared" si="262"/>
        <v>1.5816161488062743</v>
      </c>
      <c r="I194" s="433">
        <f t="shared" si="262"/>
        <v>1.5970557561716334</v>
      </c>
      <c r="J194" s="433">
        <f t="shared" si="262"/>
        <v>1.5727152477304467</v>
      </c>
      <c r="K194" s="433">
        <f t="shared" si="262"/>
        <v>1.5556056480563154</v>
      </c>
      <c r="L194" s="433">
        <f t="shared" si="262"/>
        <v>1.5365608043408545</v>
      </c>
      <c r="M194" s="433">
        <f t="shared" si="262"/>
        <v>1.5155199584557295</v>
      </c>
      <c r="N194" s="433">
        <f t="shared" si="262"/>
        <v>1.4940613618211156</v>
      </c>
      <c r="O194" s="433">
        <f t="shared" si="262"/>
        <v>1.4677706779022541</v>
      </c>
      <c r="P194" s="433">
        <f t="shared" si="262"/>
        <v>1.443342422977705</v>
      </c>
      <c r="Q194" s="433">
        <f t="shared" si="262"/>
        <v>1.4186286907593497</v>
      </c>
      <c r="R194" s="433">
        <f t="shared" si="262"/>
        <v>1.3935829129344293</v>
      </c>
      <c r="S194" s="433">
        <f t="shared" si="262"/>
        <v>1.3490398112702571</v>
      </c>
      <c r="T194" s="433">
        <f t="shared" si="262"/>
        <v>1.3281368263631055</v>
      </c>
      <c r="U194" s="433">
        <f t="shared" si="262"/>
        <v>1.30905115364758</v>
      </c>
      <c r="V194" s="433">
        <f t="shared" si="262"/>
        <v>1.2907990741054853</v>
      </c>
      <c r="W194" s="433">
        <f t="shared" si="262"/>
        <v>1.2733727456126147</v>
      </c>
      <c r="X194" s="433">
        <f t="shared" si="262"/>
        <v>1.2532920127773635</v>
      </c>
      <c r="Y194" s="433">
        <f t="shared" si="262"/>
        <v>1.2372038368613345</v>
      </c>
      <c r="Z194" s="433">
        <f t="shared" si="262"/>
        <v>1.2217987352421098</v>
      </c>
      <c r="AA194" s="433">
        <f t="shared" si="262"/>
        <v>1.207027075865126</v>
      </c>
      <c r="AB194" s="433">
        <f t="shared" si="262"/>
        <v>1.1929325529292583</v>
      </c>
      <c r="AC194" s="433">
        <f t="shared" si="262"/>
        <v>1.1700616070483918</v>
      </c>
      <c r="AD194" s="433">
        <f t="shared" si="262"/>
        <v>1.1617967428268674</v>
      </c>
      <c r="AE194" s="433">
        <f t="shared" si="262"/>
        <v>1.1539552151988406</v>
      </c>
      <c r="AF194" s="433">
        <f t="shared" si="262"/>
        <v>1.1464491591986095</v>
      </c>
      <c r="AG194" s="433">
        <f t="shared" si="262"/>
        <v>1.1392837406226777</v>
      </c>
    </row>
    <row r="195" spans="1:33"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433"/>
      <c r="AD195" s="433"/>
      <c r="AE195" s="433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honeticPr fontId="13" type="noConversion"/>
  <pageMargins left="0.7" right="0.7" top="0.75" bottom="0.75" header="0.3" footer="0.3"/>
  <pageSetup orientation="portrait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21CC-9B8E-480D-A593-3616D8285BFA}">
  <sheetPr>
    <tabColor rgb="FF0070C0"/>
  </sheetPr>
  <dimension ref="A1:AL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42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7">
      <c r="G1" s="341" t="s">
        <v>247</v>
      </c>
    </row>
    <row r="2" spans="1:7">
      <c r="A2" s="300" t="s">
        <v>868</v>
      </c>
      <c r="B2" s="300" t="str">
        <f>'No change with year'!B7</f>
        <v>Market Load</v>
      </c>
      <c r="F2" s="341" t="s">
        <v>249</v>
      </c>
      <c r="G2" s="341" t="s">
        <v>250</v>
      </c>
    </row>
    <row r="3" spans="1:7">
      <c r="A3" s="300" t="s">
        <v>4</v>
      </c>
      <c r="B3" s="300" t="str">
        <f>'No change with year'!C7</f>
        <v>48T Rigid</v>
      </c>
      <c r="F3" s="341" t="s">
        <v>252</v>
      </c>
    </row>
    <row r="4" spans="1:7" s="344" customFormat="1">
      <c r="A4" s="342"/>
      <c r="B4" s="342"/>
      <c r="C4" s="421"/>
    </row>
    <row r="5" spans="1:7">
      <c r="A5" s="328" t="s">
        <v>254</v>
      </c>
      <c r="B5" s="300" t="s">
        <v>255</v>
      </c>
      <c r="C5" s="422">
        <f>'No change with year'!AR7</f>
        <v>47500</v>
      </c>
      <c r="D5" s="423" t="s">
        <v>169</v>
      </c>
      <c r="E5" s="423">
        <v>2</v>
      </c>
    </row>
    <row r="6" spans="1:7">
      <c r="A6" s="328" t="s">
        <v>256</v>
      </c>
      <c r="B6" s="300" t="s">
        <v>257</v>
      </c>
      <c r="C6" s="422">
        <f>'Changing with year'!C85</f>
        <v>4700000</v>
      </c>
      <c r="D6" s="423" t="s">
        <v>169</v>
      </c>
      <c r="E6" s="423"/>
    </row>
    <row r="7" spans="1:7">
      <c r="A7" s="328" t="s">
        <v>258</v>
      </c>
      <c r="B7" s="300" t="s">
        <v>257</v>
      </c>
      <c r="C7" s="422">
        <f>'Changing with year'!C96</f>
        <v>4950000</v>
      </c>
      <c r="D7" s="423" t="s">
        <v>169</v>
      </c>
      <c r="E7" s="423">
        <v>4</v>
      </c>
    </row>
    <row r="8" spans="1:7">
      <c r="A8" s="328" t="s">
        <v>259</v>
      </c>
      <c r="B8" s="300" t="s">
        <v>257</v>
      </c>
      <c r="C8" s="422">
        <f>'Changing with year'!C109</f>
        <v>5280375</v>
      </c>
      <c r="D8" s="423" t="s">
        <v>169</v>
      </c>
      <c r="E8" s="423">
        <v>5</v>
      </c>
    </row>
    <row r="9" spans="1:7">
      <c r="A9" s="328" t="s">
        <v>260</v>
      </c>
      <c r="B9" s="300" t="s">
        <v>257</v>
      </c>
      <c r="C9" s="422">
        <f>'Changing with year'!C121</f>
        <v>6279200</v>
      </c>
      <c r="D9" s="423" t="s">
        <v>169</v>
      </c>
      <c r="E9" s="423">
        <v>6</v>
      </c>
    </row>
    <row r="10" spans="1:7">
      <c r="A10" s="328" t="s">
        <v>261</v>
      </c>
      <c r="B10" s="300" t="s">
        <v>257</v>
      </c>
      <c r="C10" s="422">
        <f>'Changing with year'!C133</f>
        <v>11697500</v>
      </c>
      <c r="D10" s="423" t="s">
        <v>169</v>
      </c>
      <c r="E10" s="423">
        <v>8</v>
      </c>
    </row>
    <row r="11" spans="1:7">
      <c r="A11" s="328" t="s">
        <v>262</v>
      </c>
      <c r="B11" s="300" t="s">
        <v>257</v>
      </c>
      <c r="C11" s="422">
        <f>'Changing with year'!C146</f>
        <v>15066000</v>
      </c>
      <c r="D11" s="423" t="s">
        <v>169</v>
      </c>
      <c r="E11" s="423">
        <v>9</v>
      </c>
    </row>
    <row r="12" spans="1:7">
      <c r="A12" s="328" t="s">
        <v>263</v>
      </c>
      <c r="B12" s="300" t="s">
        <v>193</v>
      </c>
      <c r="C12" s="422">
        <f>'No change with year'!G7</f>
        <v>350</v>
      </c>
      <c r="D12" s="423"/>
      <c r="E12" s="423"/>
    </row>
    <row r="13" spans="1:7">
      <c r="A13" s="328" t="s">
        <v>264</v>
      </c>
      <c r="B13" s="300" t="s">
        <v>265</v>
      </c>
      <c r="C13" s="422">
        <f>'No change with year'!D22</f>
        <v>3000</v>
      </c>
      <c r="D13" s="423" t="s">
        <v>169</v>
      </c>
      <c r="E13" s="423">
        <v>10</v>
      </c>
    </row>
    <row r="14" spans="1:7">
      <c r="A14" s="328" t="s">
        <v>266</v>
      </c>
      <c r="B14" s="300" t="s">
        <v>194</v>
      </c>
      <c r="C14" s="422">
        <f>'No change with year'!J7</f>
        <v>120</v>
      </c>
      <c r="D14" s="423" t="s">
        <v>169</v>
      </c>
      <c r="E14" s="423">
        <v>11</v>
      </c>
    </row>
    <row r="15" spans="1:7">
      <c r="A15" s="328" t="s">
        <v>209</v>
      </c>
      <c r="B15" s="300" t="s">
        <v>267</v>
      </c>
      <c r="C15" s="434">
        <f>'No change with year'!D23</f>
        <v>25000</v>
      </c>
      <c r="D15" s="423" t="s">
        <v>169</v>
      </c>
      <c r="E15" s="423">
        <v>12</v>
      </c>
    </row>
    <row r="16" spans="1:7">
      <c r="A16" s="328" t="s">
        <v>268</v>
      </c>
      <c r="B16" s="300" t="s">
        <v>193</v>
      </c>
      <c r="C16" s="422">
        <f>'No change with year'!I7</f>
        <v>80</v>
      </c>
      <c r="D16" s="423"/>
      <c r="E16" s="423"/>
    </row>
    <row r="17" spans="1:5">
      <c r="A17" s="328" t="s">
        <v>269</v>
      </c>
      <c r="B17" s="300" t="s">
        <v>255</v>
      </c>
      <c r="C17" s="422">
        <f>'No change with year'!AX7</f>
        <v>35000</v>
      </c>
      <c r="D17" s="423" t="s">
        <v>169</v>
      </c>
      <c r="E17" s="423">
        <v>13</v>
      </c>
    </row>
    <row r="18" spans="1:5">
      <c r="A18" s="328" t="s">
        <v>270</v>
      </c>
      <c r="B18" s="300" t="s">
        <v>255</v>
      </c>
      <c r="C18" s="422">
        <f>'No change with year'!AY7</f>
        <v>32200</v>
      </c>
      <c r="D18" s="423" t="s">
        <v>169</v>
      </c>
      <c r="E18" s="423">
        <v>14</v>
      </c>
    </row>
    <row r="19" spans="1:5">
      <c r="A19" s="328" t="s">
        <v>271</v>
      </c>
      <c r="B19" s="300" t="s">
        <v>255</v>
      </c>
      <c r="C19" s="422">
        <f>'No change with year'!AZ7</f>
        <v>33900</v>
      </c>
      <c r="D19" s="423" t="s">
        <v>169</v>
      </c>
      <c r="E19" s="423">
        <v>18</v>
      </c>
    </row>
    <row r="20" spans="1:5">
      <c r="A20" s="328" t="s">
        <v>272</v>
      </c>
      <c r="B20" s="300" t="s">
        <v>273</v>
      </c>
      <c r="C20" s="424">
        <f>'Changing with year'!C269</f>
        <v>9</v>
      </c>
      <c r="D20" s="423" t="s">
        <v>169</v>
      </c>
      <c r="E20" s="423">
        <v>19</v>
      </c>
    </row>
    <row r="21" spans="1:5">
      <c r="A21" s="328" t="s">
        <v>274</v>
      </c>
      <c r="B21" s="300" t="s">
        <v>195</v>
      </c>
      <c r="C21" s="422">
        <f>'No change with year'!K6</f>
        <v>360</v>
      </c>
      <c r="D21" s="423" t="s">
        <v>169</v>
      </c>
      <c r="E21" s="423">
        <v>20</v>
      </c>
    </row>
    <row r="22" spans="1:5">
      <c r="A22" s="328" t="s">
        <v>172</v>
      </c>
      <c r="B22" s="300" t="s">
        <v>196</v>
      </c>
      <c r="C22" s="422">
        <f>'No change with year'!L7</f>
        <v>300</v>
      </c>
      <c r="D22" s="423" t="s">
        <v>169</v>
      </c>
      <c r="E22" s="423">
        <v>21</v>
      </c>
    </row>
    <row r="23" spans="1:5">
      <c r="A23" s="328" t="s">
        <v>174</v>
      </c>
      <c r="B23" s="300" t="s">
        <v>197</v>
      </c>
      <c r="C23" s="422">
        <f>'No change with year'!Q7</f>
        <v>9</v>
      </c>
      <c r="D23" s="423" t="s">
        <v>275</v>
      </c>
      <c r="E23" s="423">
        <v>2</v>
      </c>
    </row>
    <row r="24" spans="1:5">
      <c r="A24" s="328" t="s">
        <v>276</v>
      </c>
      <c r="B24" s="300" t="s">
        <v>198</v>
      </c>
      <c r="C24" s="390">
        <f>'No change with year'!O7</f>
        <v>1</v>
      </c>
      <c r="D24" s="423" t="s">
        <v>275</v>
      </c>
      <c r="E24" s="423">
        <v>3</v>
      </c>
    </row>
    <row r="25" spans="1:5">
      <c r="A25" s="328" t="s">
        <v>685</v>
      </c>
      <c r="B25" s="300" t="s">
        <v>277</v>
      </c>
      <c r="C25" s="345">
        <f>'No change with year'!D28</f>
        <v>7</v>
      </c>
      <c r="D25" s="423" t="s">
        <v>275</v>
      </c>
      <c r="E25" s="423">
        <v>4</v>
      </c>
    </row>
    <row r="26" spans="1:5">
      <c r="A26" s="328" t="s">
        <v>686</v>
      </c>
      <c r="B26" s="300" t="s">
        <v>198</v>
      </c>
      <c r="C26" s="325">
        <f>'No change with year'!D27</f>
        <v>0.12</v>
      </c>
      <c r="D26" s="423"/>
      <c r="E26" s="423"/>
    </row>
    <row r="27" spans="1:5">
      <c r="A27" s="328" t="s">
        <v>687</v>
      </c>
      <c r="B27" s="300" t="s">
        <v>277</v>
      </c>
      <c r="C27" s="425">
        <f>'No change with year'!D30</f>
        <v>7</v>
      </c>
      <c r="D27" s="423"/>
      <c r="E27" s="423"/>
    </row>
    <row r="28" spans="1:5">
      <c r="A28" s="328" t="s">
        <v>688</v>
      </c>
      <c r="B28" s="300" t="s">
        <v>198</v>
      </c>
      <c r="C28" s="325">
        <f>'No change with year'!D29</f>
        <v>0.12</v>
      </c>
      <c r="D28" s="423"/>
      <c r="E28" s="423"/>
    </row>
    <row r="29" spans="1:5">
      <c r="A29" s="328" t="s">
        <v>221</v>
      </c>
      <c r="B29" s="300" t="s">
        <v>198</v>
      </c>
      <c r="C29" s="349">
        <f>'No change with year'!D32</f>
        <v>0.02</v>
      </c>
      <c r="D29" s="423"/>
      <c r="E29" s="423"/>
    </row>
    <row r="30" spans="1:5">
      <c r="D30" s="423" t="s">
        <v>275</v>
      </c>
      <c r="E30" s="423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year'!E7</f>
        <v>157.5</v>
      </c>
      <c r="F35" s="355">
        <f>'No change with year'!F7</f>
        <v>28.2</v>
      </c>
      <c r="G35" s="328"/>
      <c r="H35" s="355">
        <f>'No change with year'!H7</f>
        <v>28.2</v>
      </c>
    </row>
    <row r="36" spans="1:38">
      <c r="A36" s="443"/>
      <c r="B36" s="328" t="s">
        <v>282</v>
      </c>
      <c r="C36" s="358">
        <f>'No change with year'!S7</f>
        <v>2.9</v>
      </c>
      <c r="D36" s="358">
        <f>'No change with year'!T7</f>
        <v>3.1</v>
      </c>
      <c r="E36" s="358">
        <f>'No change with year'!U7</f>
        <v>3</v>
      </c>
      <c r="F36" s="358">
        <f>'No change with year'!V7</f>
        <v>8.6999999999999993</v>
      </c>
      <c r="G36" s="358">
        <f>'No change with year'!W7</f>
        <v>1.35</v>
      </c>
      <c r="H36" s="358">
        <f>'No change with year'!X7</f>
        <v>11.6</v>
      </c>
    </row>
    <row r="37" spans="1:38" ht="28.8">
      <c r="A37" s="296" t="s">
        <v>283</v>
      </c>
      <c r="B37" s="296" t="s">
        <v>284</v>
      </c>
      <c r="C37" s="297">
        <f>($C$21*$C$22)/C36</f>
        <v>37241.379310344826</v>
      </c>
      <c r="D37" s="297">
        <f>($C$21*$C$22)/D36</f>
        <v>34838.709677419356</v>
      </c>
      <c r="E37" s="297">
        <f>($C$21*$C$22)/E36</f>
        <v>36000</v>
      </c>
      <c r="F37" s="297">
        <f>($C$21*$C$22)/F36</f>
        <v>12413.793103448277</v>
      </c>
      <c r="G37" s="435">
        <f>($C$21*$C$22*G36)</f>
        <v>145800</v>
      </c>
      <c r="H37" s="297">
        <f>($C$21*$C$22)/H36</f>
        <v>9310.3448275862065</v>
      </c>
    </row>
    <row r="38" spans="1:38">
      <c r="L38" s="300" t="s">
        <v>285</v>
      </c>
      <c r="M38" s="300" t="s">
        <v>281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426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426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426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426"/>
    </row>
    <row r="45" spans="1:38">
      <c r="A45" s="32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426"/>
      <c r="AK45" s="365"/>
      <c r="AL45" s="365"/>
    </row>
    <row r="46" spans="1:38">
      <c r="A46" s="32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42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426"/>
      <c r="AI51" s="426"/>
    </row>
    <row r="52" spans="1:37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K53" s="339"/>
    </row>
    <row r="54" spans="1:37" s="371" customFormat="1" ht="9.75" customHeight="1">
      <c r="A54" s="370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373"/>
    </row>
    <row r="55" spans="1:37">
      <c r="A55" s="328" t="s">
        <v>299</v>
      </c>
      <c r="B55" s="328" t="s">
        <v>300</v>
      </c>
      <c r="C55" s="338">
        <f>'Changing with year'!C155</f>
        <v>7.7</v>
      </c>
      <c r="D55" s="338">
        <f>'Changing with year'!D155</f>
        <v>8.0080000000000009</v>
      </c>
      <c r="E55" s="338">
        <f>'Changing with year'!E155</f>
        <v>8.3283200000000015</v>
      </c>
      <c r="F55" s="338">
        <f>'Changing with year'!F155</f>
        <v>8.6614528000000011</v>
      </c>
      <c r="G55" s="338">
        <f>'Changing with year'!G155</f>
        <v>9.0079109120000016</v>
      </c>
      <c r="H55" s="338">
        <f>'Changing with year'!H155</f>
        <v>9.3682273484800014</v>
      </c>
      <c r="I55" s="338">
        <f>'Changing with year'!I155</f>
        <v>9.7429564424192012</v>
      </c>
      <c r="J55" s="338">
        <f>'Changing with year'!J155</f>
        <v>10.13267470011597</v>
      </c>
      <c r="K55" s="338">
        <f>'Changing with year'!K155</f>
        <v>10.53798168812061</v>
      </c>
      <c r="L55" s="338">
        <f>'Changing with year'!L155</f>
        <v>10.959500955645435</v>
      </c>
      <c r="M55" s="338">
        <f>'Changing with year'!M155</f>
        <v>11.397880993871253</v>
      </c>
      <c r="N55" s="338">
        <f>'Changing with year'!N155</f>
        <v>11.853796233626102</v>
      </c>
      <c r="O55" s="338">
        <f>'Changing with year'!O155</f>
        <v>12.327948082971147</v>
      </c>
      <c r="P55" s="338">
        <f>'Changing with year'!P155</f>
        <v>12.821066006289994</v>
      </c>
      <c r="Q55" s="338">
        <f>'Changing with year'!Q155</f>
        <v>13.333908646541595</v>
      </c>
      <c r="R55" s="338">
        <f>'Changing with year'!R155</f>
        <v>13.867264992403259</v>
      </c>
      <c r="S55" s="338">
        <f>'Changing with year'!S155</f>
        <v>14.421955592099389</v>
      </c>
      <c r="T55" s="338">
        <f>'Changing with year'!T155</f>
        <v>14.998833815783366</v>
      </c>
      <c r="U55" s="338">
        <f>'Changing with year'!U155</f>
        <v>15.598787168414701</v>
      </c>
      <c r="V55" s="338">
        <f>'Changing with year'!V155</f>
        <v>16.222738655151289</v>
      </c>
      <c r="W55" s="338">
        <f>'Changing with year'!W155</f>
        <v>16.871648201357342</v>
      </c>
      <c r="X55" s="338">
        <f>'Changing with year'!X155</f>
        <v>17.546514129411637</v>
      </c>
      <c r="Y55" s="338">
        <f>'Changing with year'!Y155</f>
        <v>18.248374694588104</v>
      </c>
      <c r="Z55" s="338">
        <f>'Changing with year'!Z155</f>
        <v>18.978309682371631</v>
      </c>
      <c r="AA55" s="338">
        <f>'Changing with year'!AA155</f>
        <v>19.737442069666496</v>
      </c>
      <c r="AB55" s="338">
        <f>'Changing with year'!AB155</f>
        <v>20.526939752453156</v>
      </c>
      <c r="AC55" s="338">
        <f>'Changing with year'!AC155</f>
        <v>21.348017342551284</v>
      </c>
      <c r="AD55" s="338">
        <f>'Changing with year'!AD155</f>
        <v>22.201938036253335</v>
      </c>
      <c r="AE55" s="338">
        <f>'Changing with year'!AE155</f>
        <v>23.09001555770347</v>
      </c>
      <c r="AF55" s="338">
        <f>'Changing with year'!AF155</f>
        <v>24.01361618001161</v>
      </c>
      <c r="AG55" s="338">
        <f>'Changing with year'!AG155</f>
        <v>24.974160827212074</v>
      </c>
      <c r="AH55" s="339"/>
    </row>
    <row r="56" spans="1:37">
      <c r="A56" s="328" t="s">
        <v>301</v>
      </c>
      <c r="B56" s="328" t="s">
        <v>300</v>
      </c>
      <c r="C56" s="338">
        <f>'Changing with year'!C187</f>
        <v>8.1999999999999993</v>
      </c>
      <c r="D56" s="338">
        <f>'Changing with year'!D187</f>
        <v>8.5279999999999987</v>
      </c>
      <c r="E56" s="338">
        <f>'Changing with year'!E187</f>
        <v>8.8691199999999988</v>
      </c>
      <c r="F56" s="338">
        <f>'Changing with year'!F187</f>
        <v>9.2238847999999987</v>
      </c>
      <c r="G56" s="338">
        <f>'Changing with year'!G187</f>
        <v>9.5928401919999988</v>
      </c>
      <c r="H56" s="338">
        <f>'Changing with year'!H187</f>
        <v>9.9765537996799996</v>
      </c>
      <c r="I56" s="338">
        <f>'Changing with year'!I187</f>
        <v>10.3756159516672</v>
      </c>
      <c r="J56" s="338">
        <f>'Changing with year'!J187</f>
        <v>10.790640589733888</v>
      </c>
      <c r="K56" s="338">
        <f>'Changing with year'!K187</f>
        <v>11.222266213323245</v>
      </c>
      <c r="L56" s="338">
        <f>'Changing with year'!L187</f>
        <v>11.671156861856176</v>
      </c>
      <c r="M56" s="338">
        <f>'Changing with year'!M187</f>
        <v>12.138003136330424</v>
      </c>
      <c r="N56" s="338">
        <f>'Changing with year'!N187</f>
        <v>12.623523261783641</v>
      </c>
      <c r="O56" s="338">
        <f>'Changing with year'!O187</f>
        <v>13.128464192254986</v>
      </c>
      <c r="P56" s="338">
        <f>'Changing with year'!P187</f>
        <v>13.653602759945187</v>
      </c>
      <c r="Q56" s="338">
        <f>'Changing with year'!Q187</f>
        <v>14.199746870342995</v>
      </c>
      <c r="R56" s="338">
        <f>'Changing with year'!R187</f>
        <v>14.767736745156716</v>
      </c>
      <c r="S56" s="338">
        <f>'Changing with year'!S187</f>
        <v>15.358446214962985</v>
      </c>
      <c r="T56" s="338">
        <f>'Changing with year'!T187</f>
        <v>15.972784063561505</v>
      </c>
      <c r="U56" s="338">
        <f>'Changing with year'!U187</f>
        <v>16.611695426103967</v>
      </c>
      <c r="V56" s="338">
        <f>'Changing with year'!V187</f>
        <v>17.276163243148126</v>
      </c>
      <c r="W56" s="338">
        <f>'Changing with year'!W187</f>
        <v>17.967209772874053</v>
      </c>
      <c r="X56" s="338">
        <f>'Changing with year'!X187</f>
        <v>18.685898163789016</v>
      </c>
      <c r="Y56" s="338">
        <f>'Changing with year'!Y187</f>
        <v>19.433334090340576</v>
      </c>
      <c r="Z56" s="338">
        <f>'Changing with year'!Z187</f>
        <v>20.210667453954201</v>
      </c>
      <c r="AA56" s="338">
        <f>'Changing with year'!AA187</f>
        <v>21.01909415211237</v>
      </c>
      <c r="AB56" s="338">
        <f>'Changing with year'!AB187</f>
        <v>21.859857918196866</v>
      </c>
      <c r="AC56" s="338">
        <f>'Changing with year'!AC187</f>
        <v>22.734252234924742</v>
      </c>
      <c r="AD56" s="338">
        <f>'Changing with year'!AD187</f>
        <v>23.643622324321733</v>
      </c>
      <c r="AE56" s="338">
        <f>'Changing with year'!AE187</f>
        <v>24.589367217294601</v>
      </c>
      <c r="AF56" s="338">
        <f>'Changing with year'!AF187</f>
        <v>25.572941905986387</v>
      </c>
      <c r="AG56" s="338">
        <f>'Changing with year'!AG187</f>
        <v>26.595859582225842</v>
      </c>
      <c r="AH56" s="339"/>
    </row>
    <row r="57" spans="1:37" ht="28.8">
      <c r="A57" s="296" t="s">
        <v>302</v>
      </c>
      <c r="B57" s="328" t="s">
        <v>300</v>
      </c>
      <c r="C57" s="338">
        <f>'Changing with year'!C219</f>
        <v>11.471053019844952</v>
      </c>
      <c r="D57" s="338">
        <f>'Changing with year'!D219</f>
        <v>11.617176694348826</v>
      </c>
      <c r="E57" s="338">
        <f>'Changing with year'!E219</f>
        <v>11.776963276990108</v>
      </c>
      <c r="F57" s="338">
        <f>'Changing with year'!F219</f>
        <v>11.950763835065354</v>
      </c>
      <c r="G57" s="338">
        <f>'Changing with year'!G219</f>
        <v>12.138948364788721</v>
      </c>
      <c r="H57" s="338">
        <f>'Changing with year'!H219</f>
        <v>12.341906426293001</v>
      </c>
      <c r="I57" s="338">
        <f>'Changing with year'!I219</f>
        <v>12.581242797566182</v>
      </c>
      <c r="J57" s="338">
        <f>'Changing with year'!J219</f>
        <v>12.835239421405861</v>
      </c>
      <c r="K57" s="338">
        <f>'Changing with year'!K219</f>
        <v>13.104380971960385</v>
      </c>
      <c r="L57" s="338">
        <f>'Changing with year'!L219</f>
        <v>13.389173545063127</v>
      </c>
      <c r="M57" s="338">
        <f>'Changing with year'!M219</f>
        <v>13.690145474405488</v>
      </c>
      <c r="N57" s="338">
        <f>'Changing with year'!N219</f>
        <v>14.00784818117075</v>
      </c>
      <c r="O57" s="338">
        <f>'Changing with year'!O219</f>
        <v>14.342857058450839</v>
      </c>
      <c r="P57" s="338">
        <f>'Changing with year'!P219</f>
        <v>14.695772391821471</v>
      </c>
      <c r="Q57" s="338">
        <f>'Changing with year'!Q219</f>
        <v>15.067220317506274</v>
      </c>
      <c r="R57" s="338">
        <f>'Changing with year'!R219</f>
        <v>15.457853819618229</v>
      </c>
      <c r="S57" s="338">
        <f>'Changing with year'!S219</f>
        <v>15.90298946875585</v>
      </c>
      <c r="T57" s="338">
        <f>'Changing with year'!T219</f>
        <v>16.367662328895445</v>
      </c>
      <c r="U57" s="338">
        <f>'Changing with year'!U219</f>
        <v>16.852636570626736</v>
      </c>
      <c r="V57" s="338">
        <f>'Changing with year'!V219</f>
        <v>17.358707104541516</v>
      </c>
      <c r="W57" s="338">
        <f>'Changing with year'!W219</f>
        <v>17.886700809101999</v>
      </c>
      <c r="X57" s="338">
        <f>'Changing with year'!X219</f>
        <v>18.437477807641109</v>
      </c>
      <c r="Y57" s="338">
        <f>'Changing with year'!Y219</f>
        <v>19.011932796460034</v>
      </c>
      <c r="Z57" s="338">
        <f>'Changing with year'!Z219</f>
        <v>19.610996426066585</v>
      </c>
      <c r="AA57" s="338">
        <f>'Changing with year'!AA219</f>
        <v>20.235636737679911</v>
      </c>
      <c r="AB57" s="338">
        <f>'Changing with year'!AB219</f>
        <v>20.886860657212065</v>
      </c>
      <c r="AC57" s="338">
        <f>'Changing with year'!AC219</f>
        <v>21.628363362815374</v>
      </c>
      <c r="AD57" s="338">
        <f>'Changing with year'!AD219</f>
        <v>22.398586459435961</v>
      </c>
      <c r="AE57" s="338">
        <f>'Changing with year'!AE219</f>
        <v>23.198669365542454</v>
      </c>
      <c r="AF57" s="338">
        <f>'Changing with year'!AF219</f>
        <v>24.029796982370499</v>
      </c>
      <c r="AG57" s="338">
        <f>'Changing with year'!AG219</f>
        <v>24.893201512293725</v>
      </c>
      <c r="AH57" s="339"/>
      <c r="AI57" s="339"/>
    </row>
    <row r="58" spans="1:37">
      <c r="A58" s="328" t="s">
        <v>303</v>
      </c>
      <c r="B58" s="374" t="s">
        <v>300</v>
      </c>
      <c r="C58" s="338">
        <f>'Changing with year'!C251</f>
        <v>11.878285714285717</v>
      </c>
      <c r="D58" s="338">
        <f>'Changing with year'!D251</f>
        <v>12.014228571428573</v>
      </c>
      <c r="E58" s="338">
        <f>'Changing with year'!E251</f>
        <v>12.164088857142859</v>
      </c>
      <c r="F58" s="338">
        <f>'Changing with year'!F251</f>
        <v>12.328211275714287</v>
      </c>
      <c r="G58" s="338">
        <f>'Changing with year'!G251</f>
        <v>12.50695961942143</v>
      </c>
      <c r="H58" s="338">
        <f>'Changing with year'!H251</f>
        <v>12.700717399559894</v>
      </c>
      <c r="I58" s="338">
        <f>'Changing with year'!I251</f>
        <v>12.932877551367737</v>
      </c>
      <c r="J58" s="338">
        <f>'Changing with year'!J251</f>
        <v>13.179841480131385</v>
      </c>
      <c r="K58" s="338">
        <f>'Changing with year'!K251</f>
        <v>13.442090989511399</v>
      </c>
      <c r="L58" s="338">
        <f>'Changing with year'!L251</f>
        <v>13.720129362263121</v>
      </c>
      <c r="M58" s="338">
        <f>'Changing with year'!M251</f>
        <v>14.014482175261483</v>
      </c>
      <c r="N58" s="338">
        <f>'Changing with year'!N251</f>
        <v>14.325698148009623</v>
      </c>
      <c r="O58" s="338">
        <f>'Changing with year'!O251</f>
        <v>14.654350025952937</v>
      </c>
      <c r="P58" s="338">
        <f>'Changing with year'!P251</f>
        <v>15.001035499973522</v>
      </c>
      <c r="Q58" s="338">
        <f>'Changing with year'!Q251</f>
        <v>15.366378163495286</v>
      </c>
      <c r="R58" s="338">
        <f>'Changing with year'!R251</f>
        <v>15.751028508687462</v>
      </c>
      <c r="S58" s="338">
        <f>'Changing with year'!S251</f>
        <v>16.193232410934385</v>
      </c>
      <c r="T58" s="338">
        <f>'Changing with year'!T251</f>
        <v>16.655002841652202</v>
      </c>
      <c r="U58" s="338">
        <f>'Changing with year'!U251</f>
        <v>17.137103678255922</v>
      </c>
      <c r="V58" s="338">
        <f>'Changing with year'!V251</f>
        <v>17.640329541094417</v>
      </c>
      <c r="W58" s="338">
        <f>'Changing with year'!W251</f>
        <v>18.165507021289365</v>
      </c>
      <c r="X58" s="338">
        <f>'Changing with year'!X251</f>
        <v>18.713495957706602</v>
      </c>
      <c r="Y58" s="338">
        <f>'Changing with year'!Y251</f>
        <v>19.285190765024872</v>
      </c>
      <c r="Z58" s="338">
        <f>'Changing with year'!Z251</f>
        <v>19.881521814945771</v>
      </c>
      <c r="AA58" s="338">
        <f>'Changing with year'!AA251</f>
        <v>20.503456872670309</v>
      </c>
      <c r="AB58" s="338">
        <f>'Changing with year'!AB251</f>
        <v>21.152002590852558</v>
      </c>
      <c r="AC58" s="338">
        <f>'Changing with year'!AC251</f>
        <v>21.896156715792273</v>
      </c>
      <c r="AD58" s="338">
        <f>'Changing with year'!AD251</f>
        <v>22.669057745942631</v>
      </c>
      <c r="AE58" s="338">
        <f>'Changing with year'!AE251</f>
        <v>23.471845364914188</v>
      </c>
      <c r="AF58" s="338">
        <f>'Changing with year'!AF251</f>
        <v>24.305704741735951</v>
      </c>
      <c r="AG58" s="338">
        <f>'Changing with year'!AG251</f>
        <v>25.171868349252833</v>
      </c>
      <c r="AH58" s="339"/>
    </row>
    <row r="59" spans="1:37">
      <c r="A59" s="328" t="s">
        <v>304</v>
      </c>
      <c r="B59" s="374" t="s">
        <v>305</v>
      </c>
      <c r="C59" s="361">
        <f>'Changing with year'!C269*$C$21*$C$22</f>
        <v>972000</v>
      </c>
      <c r="D59" s="361">
        <f>'Changing with year'!D269*$C$21*$C$22</f>
        <v>981720</v>
      </c>
      <c r="E59" s="361">
        <f>'Changing with year'!E269*$C$21*$C$22</f>
        <v>991537.2</v>
      </c>
      <c r="F59" s="361">
        <f>'Changing with year'!F269*$C$21*$C$22</f>
        <v>1001452.5719999999</v>
      </c>
      <c r="G59" s="361">
        <f>'Changing with year'!G269*$C$21*$C$22</f>
        <v>1011467.0977199998</v>
      </c>
      <c r="H59" s="361">
        <f>'Changing with year'!H269*$C$21*$C$22</f>
        <v>1021581.7686972</v>
      </c>
      <c r="I59" s="361">
        <f>'Changing with year'!I269*$C$21*$C$22</f>
        <v>1031797.586384172</v>
      </c>
      <c r="J59" s="361">
        <f>'Changing with year'!J269*$C$21*$C$22</f>
        <v>1042115.5622480137</v>
      </c>
      <c r="K59" s="361">
        <f>'Changing with year'!K269*$C$21*$C$22</f>
        <v>1052536.7178704939</v>
      </c>
      <c r="L59" s="361">
        <f>'Changing with year'!L269*$C$21*$C$22</f>
        <v>1063062.0850491989</v>
      </c>
      <c r="M59" s="361">
        <f>'Changing with year'!M269*$C$21*$C$22</f>
        <v>1073692.705899691</v>
      </c>
      <c r="N59" s="361">
        <f>'Changing with year'!N269*$C$21*$C$22</f>
        <v>1084429.6329586878</v>
      </c>
      <c r="O59" s="361">
        <f>'Changing with year'!O269*$C$21*$C$22</f>
        <v>1095273.9292882748</v>
      </c>
      <c r="P59" s="361">
        <f>'Changing with year'!P269*$C$21*$C$22</f>
        <v>1106226.6685811577</v>
      </c>
      <c r="Q59" s="361">
        <f>'Changing with year'!Q269*$C$21*$C$22</f>
        <v>1117288.9352669693</v>
      </c>
      <c r="R59" s="361">
        <f>'Changing with year'!R269*$C$21*$C$22</f>
        <v>1128461.824619639</v>
      </c>
      <c r="S59" s="361">
        <f>'Changing with year'!S269*$C$21*$C$22</f>
        <v>1139746.4428658355</v>
      </c>
      <c r="T59" s="361">
        <f>'Changing with year'!T269*$C$21*$C$22</f>
        <v>1151143.9072944939</v>
      </c>
      <c r="U59" s="361">
        <f>'Changing with year'!U269*$C$21*$C$22</f>
        <v>1162655.3463674388</v>
      </c>
      <c r="V59" s="361">
        <f>'Changing with year'!V269*$C$21*$C$22</f>
        <v>1174281.8998311132</v>
      </c>
      <c r="W59" s="361">
        <f>'Changing with year'!W269*$C$21*$C$22</f>
        <v>1186024.7188294244</v>
      </c>
      <c r="X59" s="361">
        <f>'Changing with year'!X269*$C$21*$C$22</f>
        <v>1197884.9660177184</v>
      </c>
      <c r="Y59" s="361">
        <f>'Changing with year'!Y269*$C$21*$C$22</f>
        <v>1209863.8156778959</v>
      </c>
      <c r="Z59" s="361">
        <f>'Changing with year'!Z269*$C$21*$C$22</f>
        <v>1221962.4538346748</v>
      </c>
      <c r="AA59" s="361">
        <f>'Changing with year'!AA269*$C$21*$C$22</f>
        <v>1234182.0783730214</v>
      </c>
      <c r="AB59" s="361">
        <f>'Changing with year'!AB269*$C$21*$C$22</f>
        <v>1246523.8991567518</v>
      </c>
      <c r="AC59" s="361">
        <f>'Changing with year'!AC269*$C$21*$C$22</f>
        <v>1258989.1381483194</v>
      </c>
      <c r="AD59" s="361">
        <f>'Changing with year'!AD269*$C$21*$C$22</f>
        <v>1271579.0295298027</v>
      </c>
      <c r="AE59" s="361">
        <f>'Changing with year'!AE269*$C$21*$C$22</f>
        <v>1284294.8198251007</v>
      </c>
      <c r="AF59" s="361">
        <f>'Changing with year'!AF269*$C$21*$C$22</f>
        <v>1297137.7680233517</v>
      </c>
      <c r="AG59" s="361">
        <f>'Changing with year'!AG269*$C$21*$C$22</f>
        <v>1310109.1457035851</v>
      </c>
      <c r="AH59" s="339"/>
      <c r="AI59" s="376"/>
      <c r="AJ59" s="376"/>
    </row>
    <row r="60" spans="1:37">
      <c r="A60" s="328" t="s">
        <v>306</v>
      </c>
      <c r="B60" s="374"/>
      <c r="C60" s="361">
        <f>'Changing with year'!C280*$C$21*$C$22</f>
        <v>972000</v>
      </c>
      <c r="D60" s="361">
        <f>'Changing with year'!D280*$C$21*$C$22</f>
        <v>981720</v>
      </c>
      <c r="E60" s="361">
        <f>'Changing with year'!E280*$C$21*$C$22</f>
        <v>991537.2</v>
      </c>
      <c r="F60" s="361">
        <f>'Changing with year'!F280*$C$21*$C$22</f>
        <v>1001452.5719999999</v>
      </c>
      <c r="G60" s="361">
        <f>'Changing with year'!G280*$C$21*$C$22</f>
        <v>1011467.0977199998</v>
      </c>
      <c r="H60" s="361">
        <f>'Changing with year'!H280*$C$21*$C$22</f>
        <v>1021581.7686972</v>
      </c>
      <c r="I60" s="361">
        <f>'Changing with year'!I280*$C$21*$C$22</f>
        <v>1031797.586384172</v>
      </c>
      <c r="J60" s="361">
        <f>'Changing with year'!J280*$C$21*$C$22</f>
        <v>1042115.5622480137</v>
      </c>
      <c r="K60" s="361">
        <f>'Changing with year'!K280*$C$21*$C$22</f>
        <v>1052536.7178704939</v>
      </c>
      <c r="L60" s="361">
        <f>'Changing with year'!L280*$C$21*$C$22</f>
        <v>1063062.0850491989</v>
      </c>
      <c r="M60" s="361">
        <f>'Changing with year'!M280*$C$21*$C$22</f>
        <v>1073692.705899691</v>
      </c>
      <c r="N60" s="361">
        <f>'Changing with year'!N280*$C$21*$C$22</f>
        <v>1084429.6329586878</v>
      </c>
      <c r="O60" s="361">
        <f>'Changing with year'!O280*$C$21*$C$22</f>
        <v>1095273.9292882748</v>
      </c>
      <c r="P60" s="361">
        <f>'Changing with year'!P280*$C$21*$C$22</f>
        <v>1106226.6685811577</v>
      </c>
      <c r="Q60" s="361">
        <f>'Changing with year'!Q280*$C$21*$C$22</f>
        <v>1117288.9352669693</v>
      </c>
      <c r="R60" s="361">
        <f>'Changing with year'!R280*$C$21*$C$22</f>
        <v>1128461.824619639</v>
      </c>
      <c r="S60" s="361">
        <f>'Changing with year'!S280*$C$21*$C$22</f>
        <v>1139746.4428658355</v>
      </c>
      <c r="T60" s="361">
        <f>'Changing with year'!T280*$C$21*$C$22</f>
        <v>1151143.9072944939</v>
      </c>
      <c r="U60" s="361">
        <f>'Changing with year'!U280*$C$21*$C$22</f>
        <v>1162655.3463674388</v>
      </c>
      <c r="V60" s="361">
        <f>'Changing with year'!V280*$C$21*$C$22</f>
        <v>1174281.8998311132</v>
      </c>
      <c r="W60" s="361">
        <f>'Changing with year'!W280*$C$21*$C$22</f>
        <v>1186024.7188294244</v>
      </c>
      <c r="X60" s="361">
        <f>'Changing with year'!X280*$C$21*$C$22</f>
        <v>1197884.9660177184</v>
      </c>
      <c r="Y60" s="361">
        <f>'Changing with year'!Y280*$C$21*$C$22</f>
        <v>1209863.8156778959</v>
      </c>
      <c r="Z60" s="361">
        <f>'Changing with year'!Z280*$C$21*$C$22</f>
        <v>1221962.4538346748</v>
      </c>
      <c r="AA60" s="361">
        <f>'Changing with year'!AA280*$C$21*$C$22</f>
        <v>1234182.0783730214</v>
      </c>
      <c r="AB60" s="361">
        <f>'Changing with year'!AB280*$C$21*$C$22</f>
        <v>1246523.8991567518</v>
      </c>
      <c r="AC60" s="361">
        <f>'Changing with year'!AC280*$C$21*$C$22</f>
        <v>1258989.1381483194</v>
      </c>
      <c r="AD60" s="361">
        <f>'Changing with year'!AD280*$C$21*$C$22</f>
        <v>1271579.0295298027</v>
      </c>
      <c r="AE60" s="361">
        <f>'Changing with year'!AE280*$C$21*$C$22</f>
        <v>1284294.8198251007</v>
      </c>
      <c r="AF60" s="361">
        <f>'Changing with year'!AF280*$C$21*$C$22</f>
        <v>1297137.7680233517</v>
      </c>
      <c r="AG60" s="361">
        <f>'Changing with year'!AG280*$C$21*$C$22</f>
        <v>1310109.1457035851</v>
      </c>
      <c r="AH60" s="339"/>
      <c r="AI60" s="376"/>
      <c r="AJ60" s="376"/>
    </row>
    <row r="61" spans="1:37">
      <c r="C61" s="380"/>
      <c r="D61" s="380"/>
      <c r="E61" s="380"/>
      <c r="F61" s="380"/>
      <c r="G61" s="380"/>
    </row>
    <row r="62" spans="1:37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7">
      <c r="A63" s="300" t="s">
        <v>308</v>
      </c>
      <c r="B63" s="300" t="s">
        <v>309</v>
      </c>
      <c r="C63" s="376">
        <f>'Changing with year'!C85</f>
        <v>4700000</v>
      </c>
      <c r="D63" s="376">
        <f>'Changing with year'!D85</f>
        <v>4841000</v>
      </c>
      <c r="E63" s="376">
        <f>'Changing with year'!E85</f>
        <v>4986200</v>
      </c>
      <c r="F63" s="376">
        <f>'Changing with year'!F85</f>
        <v>5135800</v>
      </c>
      <c r="G63" s="376">
        <f>'Changing with year'!G85</f>
        <v>5289900</v>
      </c>
      <c r="H63" s="376">
        <f>'Changing with year'!H85</f>
        <v>5848600</v>
      </c>
      <c r="I63" s="376">
        <f>'Changing with year'!I85</f>
        <v>6024100</v>
      </c>
      <c r="J63" s="376">
        <f>'Changing with year'!J85</f>
        <v>6204800</v>
      </c>
      <c r="K63" s="376">
        <f>'Changing with year'!K85</f>
        <v>6390900</v>
      </c>
      <c r="L63" s="376">
        <f>'Changing with year'!L85</f>
        <v>6582600</v>
      </c>
      <c r="M63" s="376">
        <f>'Changing with year'!M85</f>
        <v>6780100</v>
      </c>
      <c r="N63" s="376">
        <f>'Changing with year'!N85</f>
        <v>6983500</v>
      </c>
      <c r="O63" s="376">
        <f>'Changing with year'!O85</f>
        <v>7193000</v>
      </c>
      <c r="P63" s="376">
        <f>'Changing with year'!P85</f>
        <v>7408800</v>
      </c>
      <c r="Q63" s="376">
        <f>'Changing with year'!Q85</f>
        <v>7631100</v>
      </c>
      <c r="R63" s="376">
        <f>'Changing with year'!R85</f>
        <v>7860000</v>
      </c>
      <c r="S63" s="376">
        <f>'Changing with year'!S85</f>
        <v>8095800</v>
      </c>
      <c r="T63" s="376">
        <f>'Changing with year'!T85</f>
        <v>8338700</v>
      </c>
      <c r="U63" s="376">
        <f>'Changing with year'!U85</f>
        <v>8588900</v>
      </c>
      <c r="V63" s="376">
        <f>'Changing with year'!V85</f>
        <v>8846600</v>
      </c>
      <c r="W63" s="376">
        <f>'Changing with year'!W85</f>
        <v>9112000</v>
      </c>
      <c r="X63" s="376">
        <f>'Changing with year'!X85</f>
        <v>9385400</v>
      </c>
      <c r="Y63" s="376">
        <f>'Changing with year'!Y85</f>
        <v>9667000</v>
      </c>
      <c r="Z63" s="376">
        <f>'Changing with year'!Z85</f>
        <v>9957000</v>
      </c>
      <c r="AA63" s="376">
        <f>'Changing with year'!AA85</f>
        <v>10255700</v>
      </c>
      <c r="AB63" s="376">
        <f>'Changing with year'!AB85</f>
        <v>10563400</v>
      </c>
      <c r="AC63" s="376">
        <f>'Changing with year'!AC85</f>
        <v>10880300</v>
      </c>
      <c r="AD63" s="376">
        <f>'Changing with year'!AD85</f>
        <v>11206700</v>
      </c>
      <c r="AE63" s="376">
        <f>'Changing with year'!AE85</f>
        <v>11542900</v>
      </c>
      <c r="AF63" s="376">
        <f>'Changing with year'!AF85</f>
        <v>11889200</v>
      </c>
      <c r="AG63" s="376">
        <f>'Changing with year'!AG85</f>
        <v>12245900</v>
      </c>
    </row>
    <row r="64" spans="1:37">
      <c r="A64" s="300" t="s">
        <v>310</v>
      </c>
      <c r="B64" s="300" t="s">
        <v>309</v>
      </c>
      <c r="C64" s="376">
        <f>(C63*'No change with year'!$Y$7)</f>
        <v>2350000</v>
      </c>
      <c r="D64" s="376">
        <f>(D63*'No change with year'!$Y$7)</f>
        <v>2420500</v>
      </c>
      <c r="E64" s="376">
        <f>(E63*'No change with year'!$Y$7)</f>
        <v>2493100</v>
      </c>
      <c r="F64" s="376">
        <f>(F63*'No change with year'!$Y$7)</f>
        <v>2567900</v>
      </c>
      <c r="G64" s="376">
        <f>(G63*'No change with year'!$Y$7)</f>
        <v>2644950</v>
      </c>
      <c r="H64" s="376">
        <f>(H63*'No change with year'!$Y$7)</f>
        <v>2924300</v>
      </c>
      <c r="I64" s="376">
        <f>(I63*'No change with year'!$Y$7)</f>
        <v>3012050</v>
      </c>
      <c r="J64" s="376">
        <f>(J63*'No change with year'!$Y$7)</f>
        <v>3102400</v>
      </c>
      <c r="K64" s="376">
        <f>(K63*'No change with year'!$Y$7)</f>
        <v>3195450</v>
      </c>
      <c r="L64" s="376">
        <f>(L63*'No change with year'!$Y$7)</f>
        <v>3291300</v>
      </c>
      <c r="M64" s="376">
        <f>(M63*'No change with year'!$Y$7)</f>
        <v>3390050</v>
      </c>
      <c r="N64" s="376">
        <f>(N63*'No change with year'!$Z$7)</f>
        <v>2793400</v>
      </c>
      <c r="O64" s="376">
        <f>(O63*'No change with year'!$Z$7)</f>
        <v>2877200</v>
      </c>
      <c r="P64" s="376">
        <f>(P63*'No change with year'!$Z$7)</f>
        <v>2963520</v>
      </c>
      <c r="Q64" s="376">
        <f>(Q63*'No change with year'!$Z$7)</f>
        <v>3052440</v>
      </c>
      <c r="R64" s="376">
        <f>(R63*'No change with year'!$Z$7)</f>
        <v>3144000</v>
      </c>
      <c r="S64" s="376">
        <f>(S63*'No change with year'!$Z$7)</f>
        <v>3238320</v>
      </c>
      <c r="T64" s="376">
        <f>(T63*'No change with year'!$Z$7)</f>
        <v>3335480</v>
      </c>
      <c r="U64" s="376">
        <f>(U63*'No change with year'!$Z$7)</f>
        <v>3435560</v>
      </c>
      <c r="V64" s="376">
        <f>(V63*'No change with year'!$Z$7)</f>
        <v>3538640</v>
      </c>
      <c r="W64" s="376">
        <f>(W63*'No change with year'!$Z$7)</f>
        <v>3644800</v>
      </c>
      <c r="X64" s="376">
        <f>(X63*'No change with year'!$AA$7)</f>
        <v>2815620</v>
      </c>
      <c r="Y64" s="376">
        <f>(Y63*'No change with year'!$AA$7)</f>
        <v>2900100</v>
      </c>
      <c r="Z64" s="376">
        <f>(Z63*'No change with year'!$AA$7)</f>
        <v>2987100</v>
      </c>
      <c r="AA64" s="376">
        <f>(AA63*'No change with year'!$AA$7)</f>
        <v>3076710</v>
      </c>
      <c r="AB64" s="376">
        <f>(AB63*'No change with year'!$AA$7)</f>
        <v>3169020</v>
      </c>
      <c r="AC64" s="376">
        <f>(AC63*'No change with year'!$AA$7)</f>
        <v>3264090</v>
      </c>
      <c r="AD64" s="376">
        <f>(AD63*'No change with year'!$AA$7)</f>
        <v>3362010</v>
      </c>
      <c r="AE64" s="376">
        <f>(AE63*'No change with year'!$AA$7)</f>
        <v>3462870</v>
      </c>
      <c r="AF64" s="376">
        <f>(AF63*'No change with year'!$AA$7)</f>
        <v>3566760</v>
      </c>
      <c r="AG64" s="376">
        <f>(AG63*'No change with year'!$AA$7)</f>
        <v>3673770</v>
      </c>
    </row>
    <row r="65" spans="1:35" s="371" customFormat="1" ht="11.85" customHeight="1">
      <c r="A65" s="428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00" t="s">
        <v>312</v>
      </c>
      <c r="B66" s="300" t="s">
        <v>313</v>
      </c>
      <c r="C66" s="376">
        <f t="shared" ref="C66:AG66" si="4">-PMT($C$26,$C$25,C63)</f>
        <v>1029853.3587365372</v>
      </c>
      <c r="D66" s="376">
        <f t="shared" si="4"/>
        <v>1060748.9594986332</v>
      </c>
      <c r="E66" s="376">
        <f t="shared" si="4"/>
        <v>1092564.8547515152</v>
      </c>
      <c r="F66" s="376">
        <f t="shared" si="4"/>
        <v>1125344.8680423633</v>
      </c>
      <c r="G66" s="376">
        <f t="shared" si="4"/>
        <v>1159110.9111447674</v>
      </c>
      <c r="H66" s="376">
        <f t="shared" si="4"/>
        <v>1281531.9901928748</v>
      </c>
      <c r="I66" s="376">
        <f t="shared" si="4"/>
        <v>1319987.1528435687</v>
      </c>
      <c r="J66" s="376">
        <f t="shared" si="4"/>
        <v>1359581.7277209503</v>
      </c>
      <c r="K66" s="376">
        <f t="shared" si="4"/>
        <v>1400359.5383721988</v>
      </c>
      <c r="L66" s="376">
        <f t="shared" si="4"/>
        <v>1442364.4083444956</v>
      </c>
      <c r="M66" s="376">
        <f t="shared" si="4"/>
        <v>1485640.1611850201</v>
      </c>
      <c r="N66" s="376">
        <f t="shared" si="4"/>
        <v>1530208.7086673633</v>
      </c>
      <c r="O66" s="376">
        <f t="shared" si="4"/>
        <v>1576113.8743387046</v>
      </c>
      <c r="P66" s="376">
        <f t="shared" si="4"/>
        <v>1623399.4817462247</v>
      </c>
      <c r="Q66" s="376">
        <f t="shared" si="4"/>
        <v>1672109.354437104</v>
      </c>
      <c r="R66" s="376">
        <f t="shared" si="4"/>
        <v>1722265.4041849324</v>
      </c>
      <c r="S66" s="376">
        <f t="shared" si="4"/>
        <v>1773933.3663104803</v>
      </c>
      <c r="T66" s="376">
        <f t="shared" si="4"/>
        <v>1827157.064360928</v>
      </c>
      <c r="U66" s="376">
        <f t="shared" si="4"/>
        <v>1881980.3218834561</v>
      </c>
      <c r="V66" s="376">
        <f t="shared" si="4"/>
        <v>1938446.9624252445</v>
      </c>
      <c r="W66" s="376">
        <f t="shared" si="4"/>
        <v>1996600.8095334736</v>
      </c>
      <c r="X66" s="376">
        <f t="shared" si="4"/>
        <v>2056507.5985289142</v>
      </c>
      <c r="Y66" s="376">
        <f t="shared" si="4"/>
        <v>2118211.1529587456</v>
      </c>
      <c r="Z66" s="376">
        <f t="shared" si="4"/>
        <v>2181755.2963701487</v>
      </c>
      <c r="AA66" s="376">
        <f t="shared" si="4"/>
        <v>2247205.7640838944</v>
      </c>
      <c r="AB66" s="376">
        <f t="shared" si="4"/>
        <v>2314628.2914207526</v>
      </c>
      <c r="AC66" s="376">
        <f t="shared" si="4"/>
        <v>2384066.7019279031</v>
      </c>
      <c r="AD66" s="376">
        <f t="shared" si="4"/>
        <v>2455586.7309261169</v>
      </c>
      <c r="AE66" s="376">
        <f t="shared" si="4"/>
        <v>2529254.1137361648</v>
      </c>
      <c r="AF66" s="376">
        <f t="shared" si="4"/>
        <v>2605134.5856788163</v>
      </c>
      <c r="AG66" s="376">
        <f t="shared" si="4"/>
        <v>2683293.8820748427</v>
      </c>
    </row>
    <row r="67" spans="1:35">
      <c r="A67" s="300" t="s">
        <v>314</v>
      </c>
      <c r="B67" s="300" t="s">
        <v>313</v>
      </c>
      <c r="C67" s="376">
        <f t="shared" ref="C67:AG67" si="5">C41*$C$37</f>
        <v>3311737.924043349</v>
      </c>
      <c r="D67" s="376">
        <f t="shared" si="5"/>
        <v>3686896.5517241377</v>
      </c>
      <c r="E67" s="376">
        <f t="shared" si="5"/>
        <v>3760634.4827586208</v>
      </c>
      <c r="F67" s="376">
        <f t="shared" si="5"/>
        <v>3835847.1724137929</v>
      </c>
      <c r="G67" s="376">
        <f t="shared" si="5"/>
        <v>3912564.1158620692</v>
      </c>
      <c r="H67" s="376">
        <f t="shared" si="5"/>
        <v>3990815.3981793104</v>
      </c>
      <c r="I67" s="376">
        <f t="shared" si="5"/>
        <v>4070631.7061428968</v>
      </c>
      <c r="J67" s="376">
        <f t="shared" si="5"/>
        <v>4152044.3402657546</v>
      </c>
      <c r="K67" s="376">
        <f t="shared" si="5"/>
        <v>4235085.2270710701</v>
      </c>
      <c r="L67" s="376">
        <f t="shared" si="5"/>
        <v>4319786.9316124916</v>
      </c>
      <c r="M67" s="376">
        <f t="shared" si="5"/>
        <v>4406182.6702447413</v>
      </c>
      <c r="N67" s="376">
        <f t="shared" si="5"/>
        <v>4494306.3236496355</v>
      </c>
      <c r="O67" s="376">
        <f t="shared" si="5"/>
        <v>4584192.4501226284</v>
      </c>
      <c r="P67" s="376">
        <f t="shared" si="5"/>
        <v>4675876.2991250809</v>
      </c>
      <c r="Q67" s="376">
        <f t="shared" si="5"/>
        <v>4769393.8251075828</v>
      </c>
      <c r="R67" s="376">
        <f t="shared" si="5"/>
        <v>4864781.7016097344</v>
      </c>
      <c r="S67" s="376">
        <f t="shared" si="5"/>
        <v>4962077.3356419299</v>
      </c>
      <c r="T67" s="376">
        <f t="shared" si="5"/>
        <v>5061318.8823547689</v>
      </c>
      <c r="U67" s="376">
        <f t="shared" si="5"/>
        <v>5162545.2600018643</v>
      </c>
      <c r="V67" s="376">
        <f t="shared" si="5"/>
        <v>5265796.1652019024</v>
      </c>
      <c r="W67" s="376">
        <f t="shared" si="5"/>
        <v>5371112.0885059396</v>
      </c>
      <c r="X67" s="376">
        <f t="shared" si="5"/>
        <v>5478534.330276059</v>
      </c>
      <c r="Y67" s="376">
        <f t="shared" si="5"/>
        <v>5588105.0168815795</v>
      </c>
      <c r="Z67" s="376">
        <f t="shared" si="5"/>
        <v>5699867.1172192115</v>
      </c>
      <c r="AA67" s="376">
        <f t="shared" si="5"/>
        <v>5813864.4595635962</v>
      </c>
      <c r="AB67" s="376">
        <f t="shared" si="5"/>
        <v>5930141.7487548683</v>
      </c>
      <c r="AC67" s="376">
        <f t="shared" si="5"/>
        <v>6048744.5837299647</v>
      </c>
      <c r="AD67" s="376">
        <f t="shared" si="5"/>
        <v>6169719.4754045643</v>
      </c>
      <c r="AE67" s="376">
        <f t="shared" si="5"/>
        <v>6293113.8649126552</v>
      </c>
      <c r="AF67" s="376">
        <f t="shared" si="5"/>
        <v>6418976.1422109092</v>
      </c>
      <c r="AG67" s="376">
        <f t="shared" si="5"/>
        <v>6547355.6650551278</v>
      </c>
    </row>
    <row r="68" spans="1:35">
      <c r="A68" s="300" t="s">
        <v>315</v>
      </c>
      <c r="B68" s="300" t="s">
        <v>313</v>
      </c>
      <c r="C68" s="329">
        <f t="shared" ref="C68:AG68" si="6">$C$37*$AH$68*C42</f>
        <v>102413.79310344828</v>
      </c>
      <c r="D68" s="329">
        <f t="shared" si="6"/>
        <v>104974.13793103446</v>
      </c>
      <c r="E68" s="329">
        <f t="shared" si="6"/>
        <v>107598.49137931033</v>
      </c>
      <c r="F68" s="329">
        <f t="shared" si="6"/>
        <v>110288.45366379307</v>
      </c>
      <c r="G68" s="329">
        <f t="shared" si="6"/>
        <v>113045.66500538788</v>
      </c>
      <c r="H68" s="329">
        <f t="shared" si="6"/>
        <v>115871.80663052258</v>
      </c>
      <c r="I68" s="329">
        <f t="shared" si="6"/>
        <v>118768.60179628563</v>
      </c>
      <c r="J68" s="329">
        <f t="shared" si="6"/>
        <v>121737.81684119276</v>
      </c>
      <c r="K68" s="329">
        <f t="shared" si="6"/>
        <v>124781.26226222258</v>
      </c>
      <c r="L68" s="329">
        <f t="shared" si="6"/>
        <v>127900.79381877814</v>
      </c>
      <c r="M68" s="329">
        <f t="shared" si="6"/>
        <v>131098.31366424757</v>
      </c>
      <c r="N68" s="329">
        <f t="shared" si="6"/>
        <v>134375.77150585374</v>
      </c>
      <c r="O68" s="329">
        <f t="shared" si="6"/>
        <v>137735.16579350008</v>
      </c>
      <c r="P68" s="329">
        <f t="shared" si="6"/>
        <v>141178.54493833758</v>
      </c>
      <c r="Q68" s="329">
        <f t="shared" si="6"/>
        <v>144708.00856179601</v>
      </c>
      <c r="R68" s="329">
        <f t="shared" si="6"/>
        <v>148325.7087758409</v>
      </c>
      <c r="S68" s="329">
        <f t="shared" si="6"/>
        <v>152033.85149523692</v>
      </c>
      <c r="T68" s="329">
        <f t="shared" si="6"/>
        <v>155834.69778261782</v>
      </c>
      <c r="U68" s="329">
        <f t="shared" si="6"/>
        <v>159730.56522718325</v>
      </c>
      <c r="V68" s="329">
        <f t="shared" si="6"/>
        <v>163723.82935786282</v>
      </c>
      <c r="W68" s="329">
        <f t="shared" si="6"/>
        <v>167816.92509180939</v>
      </c>
      <c r="X68" s="329">
        <f t="shared" si="6"/>
        <v>172012.34821910461</v>
      </c>
      <c r="Y68" s="329">
        <f t="shared" si="6"/>
        <v>176312.65692458223</v>
      </c>
      <c r="Z68" s="329">
        <f t="shared" si="6"/>
        <v>180720.47334769677</v>
      </c>
      <c r="AA68" s="329">
        <f t="shared" si="6"/>
        <v>185238.48518138914</v>
      </c>
      <c r="AB68" s="329">
        <f t="shared" si="6"/>
        <v>189869.44731092389</v>
      </c>
      <c r="AC68" s="329">
        <f t="shared" si="6"/>
        <v>194616.18349369694</v>
      </c>
      <c r="AD68" s="329">
        <f t="shared" si="6"/>
        <v>199481.58808103937</v>
      </c>
      <c r="AE68" s="329">
        <f t="shared" si="6"/>
        <v>204468.62778306534</v>
      </c>
      <c r="AF68" s="329">
        <f t="shared" si="6"/>
        <v>209580.34347764193</v>
      </c>
      <c r="AG68" s="329">
        <f t="shared" si="6"/>
        <v>214819.85206458296</v>
      </c>
      <c r="AH68" s="439">
        <f>'No change with year'!D20</f>
        <v>0.05</v>
      </c>
      <c r="AI68" s="300" t="s">
        <v>316</v>
      </c>
    </row>
    <row r="69" spans="1:35">
      <c r="A69" s="300" t="s">
        <v>317</v>
      </c>
      <c r="B69" s="300" t="s">
        <v>313</v>
      </c>
      <c r="C69" s="376">
        <f t="shared" ref="C69:AG69" si="7">$C$22*$C$21*C55</f>
        <v>831600</v>
      </c>
      <c r="D69" s="376">
        <f t="shared" si="7"/>
        <v>864864.00000000012</v>
      </c>
      <c r="E69" s="376">
        <f t="shared" si="7"/>
        <v>899458.56000000017</v>
      </c>
      <c r="F69" s="376">
        <f t="shared" si="7"/>
        <v>935436.90240000014</v>
      </c>
      <c r="G69" s="376">
        <f t="shared" si="7"/>
        <v>972854.37849600019</v>
      </c>
      <c r="H69" s="376">
        <f t="shared" si="7"/>
        <v>1011768.5536358402</v>
      </c>
      <c r="I69" s="376">
        <f t="shared" si="7"/>
        <v>1052239.2957812736</v>
      </c>
      <c r="J69" s="376">
        <f t="shared" si="7"/>
        <v>1094328.8676125249</v>
      </c>
      <c r="K69" s="376">
        <f t="shared" si="7"/>
        <v>1138102.0223170258</v>
      </c>
      <c r="L69" s="376">
        <f t="shared" si="7"/>
        <v>1183626.103209707</v>
      </c>
      <c r="M69" s="376">
        <f t="shared" si="7"/>
        <v>1230971.1473380954</v>
      </c>
      <c r="N69" s="376">
        <f t="shared" si="7"/>
        <v>1280209.993231619</v>
      </c>
      <c r="O69" s="376">
        <f t="shared" si="7"/>
        <v>1331418.3929608839</v>
      </c>
      <c r="P69" s="376">
        <f t="shared" si="7"/>
        <v>1384675.1286793193</v>
      </c>
      <c r="Q69" s="376">
        <f t="shared" si="7"/>
        <v>1440062.1338264921</v>
      </c>
      <c r="R69" s="376">
        <f t="shared" si="7"/>
        <v>1497664.619179552</v>
      </c>
      <c r="S69" s="376">
        <f t="shared" si="7"/>
        <v>1557571.2039467341</v>
      </c>
      <c r="T69" s="376">
        <f t="shared" si="7"/>
        <v>1619874.0521046035</v>
      </c>
      <c r="U69" s="376">
        <f t="shared" si="7"/>
        <v>1684669.0141887877</v>
      </c>
      <c r="V69" s="376">
        <f t="shared" si="7"/>
        <v>1752055.7747563391</v>
      </c>
      <c r="W69" s="376">
        <f t="shared" si="7"/>
        <v>1822138.005746593</v>
      </c>
      <c r="X69" s="376">
        <f t="shared" si="7"/>
        <v>1895023.5259764567</v>
      </c>
      <c r="Y69" s="376">
        <f t="shared" si="7"/>
        <v>1970824.4670155153</v>
      </c>
      <c r="Z69" s="376">
        <f t="shared" si="7"/>
        <v>2049657.4456961362</v>
      </c>
      <c r="AA69" s="376">
        <f t="shared" si="7"/>
        <v>2131643.7435239814</v>
      </c>
      <c r="AB69" s="376">
        <f t="shared" si="7"/>
        <v>2216909.493264941</v>
      </c>
      <c r="AC69" s="376">
        <f t="shared" si="7"/>
        <v>2305585.8729955386</v>
      </c>
      <c r="AD69" s="376">
        <f t="shared" si="7"/>
        <v>2397809.3079153602</v>
      </c>
      <c r="AE69" s="376">
        <f t="shared" si="7"/>
        <v>2493721.6802319749</v>
      </c>
      <c r="AF69" s="376">
        <f t="shared" si="7"/>
        <v>2593470.5474412539</v>
      </c>
      <c r="AG69" s="376">
        <f t="shared" si="7"/>
        <v>2697209.369338904</v>
      </c>
    </row>
    <row r="70" spans="1:35">
      <c r="A70" s="300" t="s">
        <v>318</v>
      </c>
      <c r="B70" s="300" t="s">
        <v>313</v>
      </c>
      <c r="C70" s="376">
        <f>'Changing with year'!C291</f>
        <v>600000</v>
      </c>
      <c r="D70" s="376">
        <f>'Changing with year'!D291</f>
        <v>627000</v>
      </c>
      <c r="E70" s="376">
        <f>'Changing with year'!E291</f>
        <v>655000</v>
      </c>
      <c r="F70" s="376">
        <f>'Changing with year'!F291</f>
        <v>684000</v>
      </c>
      <c r="G70" s="376">
        <f>'Changing with year'!G291</f>
        <v>715000</v>
      </c>
      <c r="H70" s="376">
        <f>'Changing with year'!H291</f>
        <v>747000</v>
      </c>
      <c r="I70" s="376">
        <f>'Changing with year'!I291</f>
        <v>781000</v>
      </c>
      <c r="J70" s="376">
        <f>'Changing with year'!J291</f>
        <v>816000</v>
      </c>
      <c r="K70" s="376">
        <f>'Changing with year'!K291</f>
        <v>853000</v>
      </c>
      <c r="L70" s="376">
        <f>'Changing with year'!L291</f>
        <v>891000</v>
      </c>
      <c r="M70" s="376">
        <f>'Changing with year'!M291</f>
        <v>931000</v>
      </c>
      <c r="N70" s="376">
        <f>'Changing with year'!N291</f>
        <v>973000</v>
      </c>
      <c r="O70" s="376">
        <f>'Changing with year'!O291</f>
        <v>1017000</v>
      </c>
      <c r="P70" s="376">
        <f>'Changing with year'!P291</f>
        <v>1063000</v>
      </c>
      <c r="Q70" s="376">
        <f>'Changing with year'!Q291</f>
        <v>1111000</v>
      </c>
      <c r="R70" s="376">
        <f>'Changing with year'!R291</f>
        <v>1161000</v>
      </c>
      <c r="S70" s="376">
        <f>'Changing with year'!S291</f>
        <v>1213000</v>
      </c>
      <c r="T70" s="376">
        <f>'Changing with year'!T291</f>
        <v>1268000</v>
      </c>
      <c r="U70" s="376">
        <f>'Changing with year'!U291</f>
        <v>1325000</v>
      </c>
      <c r="V70" s="376">
        <f>'Changing with year'!V291</f>
        <v>1385000</v>
      </c>
      <c r="W70" s="376">
        <f>'Changing with year'!W291</f>
        <v>1447000</v>
      </c>
      <c r="X70" s="376">
        <f>'Changing with year'!X291</f>
        <v>1512000</v>
      </c>
      <c r="Y70" s="376">
        <f>'Changing with year'!Y291</f>
        <v>1580000</v>
      </c>
      <c r="Z70" s="376">
        <f>'Changing with year'!Z291</f>
        <v>1651000</v>
      </c>
      <c r="AA70" s="376">
        <f>'Changing with year'!AA291</f>
        <v>1725000</v>
      </c>
      <c r="AB70" s="376">
        <f>'Changing with year'!AB291</f>
        <v>1803000</v>
      </c>
      <c r="AC70" s="376">
        <f>'Changing with year'!AC291</f>
        <v>1884000</v>
      </c>
      <c r="AD70" s="376">
        <f>'Changing with year'!AD291</f>
        <v>1969000</v>
      </c>
      <c r="AE70" s="376">
        <f>'Changing with year'!AE291</f>
        <v>2058000</v>
      </c>
      <c r="AF70" s="376">
        <f>'Changing with year'!AF291</f>
        <v>2151000</v>
      </c>
      <c r="AG70" s="376">
        <f>'Changing with year'!AG291</f>
        <v>2248000</v>
      </c>
      <c r="AH70" s="339"/>
    </row>
    <row r="71" spans="1:35">
      <c r="A71" s="300" t="s">
        <v>272</v>
      </c>
      <c r="B71" s="300" t="s">
        <v>313</v>
      </c>
      <c r="C71" s="376">
        <f t="shared" ref="C71:AG71" si="8">C59</f>
        <v>972000</v>
      </c>
      <c r="D71" s="376">
        <f t="shared" si="8"/>
        <v>981720</v>
      </c>
      <c r="E71" s="376">
        <f t="shared" si="8"/>
        <v>991537.2</v>
      </c>
      <c r="F71" s="376">
        <f t="shared" si="8"/>
        <v>1001452.5719999999</v>
      </c>
      <c r="G71" s="376">
        <f t="shared" si="8"/>
        <v>1011467.0977199998</v>
      </c>
      <c r="H71" s="376">
        <f t="shared" si="8"/>
        <v>1021581.7686972</v>
      </c>
      <c r="I71" s="376">
        <f t="shared" si="8"/>
        <v>1031797.586384172</v>
      </c>
      <c r="J71" s="376">
        <f t="shared" si="8"/>
        <v>1042115.5622480137</v>
      </c>
      <c r="K71" s="376">
        <f t="shared" si="8"/>
        <v>1052536.7178704939</v>
      </c>
      <c r="L71" s="376">
        <f t="shared" si="8"/>
        <v>1063062.0850491989</v>
      </c>
      <c r="M71" s="376">
        <f t="shared" si="8"/>
        <v>1073692.705899691</v>
      </c>
      <c r="N71" s="376">
        <f t="shared" si="8"/>
        <v>1084429.6329586878</v>
      </c>
      <c r="O71" s="376">
        <f t="shared" si="8"/>
        <v>1095273.9292882748</v>
      </c>
      <c r="P71" s="376">
        <f t="shared" si="8"/>
        <v>1106226.6685811577</v>
      </c>
      <c r="Q71" s="376">
        <f t="shared" si="8"/>
        <v>1117288.9352669693</v>
      </c>
      <c r="R71" s="376">
        <f t="shared" si="8"/>
        <v>1128461.824619639</v>
      </c>
      <c r="S71" s="376">
        <f t="shared" si="8"/>
        <v>1139746.4428658355</v>
      </c>
      <c r="T71" s="376">
        <f t="shared" si="8"/>
        <v>1151143.9072944939</v>
      </c>
      <c r="U71" s="376">
        <f t="shared" si="8"/>
        <v>1162655.3463674388</v>
      </c>
      <c r="V71" s="376">
        <f t="shared" si="8"/>
        <v>1174281.8998311132</v>
      </c>
      <c r="W71" s="376">
        <f t="shared" si="8"/>
        <v>1186024.7188294244</v>
      </c>
      <c r="X71" s="376">
        <f t="shared" si="8"/>
        <v>1197884.9660177184</v>
      </c>
      <c r="Y71" s="376">
        <f t="shared" si="8"/>
        <v>1209863.8156778959</v>
      </c>
      <c r="Z71" s="376">
        <f t="shared" si="8"/>
        <v>1221962.4538346748</v>
      </c>
      <c r="AA71" s="376">
        <f t="shared" si="8"/>
        <v>1234182.0783730214</v>
      </c>
      <c r="AB71" s="376">
        <f t="shared" si="8"/>
        <v>1246523.8991567518</v>
      </c>
      <c r="AC71" s="376">
        <f t="shared" si="8"/>
        <v>1258989.1381483194</v>
      </c>
      <c r="AD71" s="376">
        <f t="shared" si="8"/>
        <v>1271579.0295298027</v>
      </c>
      <c r="AE71" s="376">
        <f t="shared" si="8"/>
        <v>1284294.8198251007</v>
      </c>
      <c r="AF71" s="376">
        <f t="shared" si="8"/>
        <v>1297137.7680233517</v>
      </c>
      <c r="AG71" s="376">
        <f t="shared" si="8"/>
        <v>1310109.1457035851</v>
      </c>
    </row>
    <row r="72" spans="1:35">
      <c r="A72" s="300" t="s">
        <v>319</v>
      </c>
      <c r="B72" s="300" t="s">
        <v>313</v>
      </c>
      <c r="C72" s="376">
        <f t="shared" ref="C72:AG72" si="9">C63*$C$29</f>
        <v>94000</v>
      </c>
      <c r="D72" s="376">
        <f t="shared" si="9"/>
        <v>96820</v>
      </c>
      <c r="E72" s="376">
        <f t="shared" si="9"/>
        <v>99724</v>
      </c>
      <c r="F72" s="376">
        <f t="shared" si="9"/>
        <v>102716</v>
      </c>
      <c r="G72" s="376">
        <f t="shared" si="9"/>
        <v>105798</v>
      </c>
      <c r="H72" s="376">
        <f t="shared" si="9"/>
        <v>116972</v>
      </c>
      <c r="I72" s="376">
        <f t="shared" si="9"/>
        <v>120482</v>
      </c>
      <c r="J72" s="376">
        <f t="shared" si="9"/>
        <v>124096</v>
      </c>
      <c r="K72" s="376">
        <f t="shared" si="9"/>
        <v>127818</v>
      </c>
      <c r="L72" s="376">
        <f t="shared" si="9"/>
        <v>131652</v>
      </c>
      <c r="M72" s="376">
        <f t="shared" si="9"/>
        <v>135602</v>
      </c>
      <c r="N72" s="376">
        <f t="shared" si="9"/>
        <v>139670</v>
      </c>
      <c r="O72" s="376">
        <f t="shared" si="9"/>
        <v>143860</v>
      </c>
      <c r="P72" s="376">
        <f t="shared" si="9"/>
        <v>148176</v>
      </c>
      <c r="Q72" s="376">
        <f t="shared" si="9"/>
        <v>152622</v>
      </c>
      <c r="R72" s="376">
        <f t="shared" si="9"/>
        <v>157200</v>
      </c>
      <c r="S72" s="376">
        <f t="shared" si="9"/>
        <v>161916</v>
      </c>
      <c r="T72" s="376">
        <f t="shared" si="9"/>
        <v>166774</v>
      </c>
      <c r="U72" s="376">
        <f t="shared" si="9"/>
        <v>171778</v>
      </c>
      <c r="V72" s="376">
        <f t="shared" si="9"/>
        <v>176932</v>
      </c>
      <c r="W72" s="376">
        <f t="shared" si="9"/>
        <v>182240</v>
      </c>
      <c r="X72" s="376">
        <f t="shared" si="9"/>
        <v>187708</v>
      </c>
      <c r="Y72" s="376">
        <f t="shared" si="9"/>
        <v>193340</v>
      </c>
      <c r="Z72" s="376">
        <f t="shared" si="9"/>
        <v>199140</v>
      </c>
      <c r="AA72" s="376">
        <f t="shared" si="9"/>
        <v>205114</v>
      </c>
      <c r="AB72" s="376">
        <f t="shared" si="9"/>
        <v>211268</v>
      </c>
      <c r="AC72" s="376">
        <f t="shared" si="9"/>
        <v>217606</v>
      </c>
      <c r="AD72" s="376">
        <f t="shared" si="9"/>
        <v>224134</v>
      </c>
      <c r="AE72" s="376">
        <f t="shared" si="9"/>
        <v>230858</v>
      </c>
      <c r="AF72" s="376">
        <f t="shared" si="9"/>
        <v>237784</v>
      </c>
      <c r="AG72" s="376">
        <f t="shared" si="9"/>
        <v>244918</v>
      </c>
    </row>
    <row r="73" spans="1:35" s="371" customFormat="1" ht="11.85" customHeight="1">
      <c r="A73" s="428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9.5356792475605285</v>
      </c>
      <c r="D74" s="379">
        <f t="shared" si="10"/>
        <v>9.8217496249873442</v>
      </c>
      <c r="E74" s="379">
        <f t="shared" si="10"/>
        <v>10.116341247699214</v>
      </c>
      <c r="F74" s="379">
        <f t="shared" si="10"/>
        <v>10.419859889281142</v>
      </c>
      <c r="G74" s="379">
        <f t="shared" si="10"/>
        <v>10.732508436525624</v>
      </c>
      <c r="H74" s="379">
        <f t="shared" si="10"/>
        <v>11.866036946230322</v>
      </c>
      <c r="I74" s="379">
        <f t="shared" si="10"/>
        <v>12.22210326707008</v>
      </c>
      <c r="J74" s="379">
        <f t="shared" si="10"/>
        <v>12.58871970111991</v>
      </c>
      <c r="K74" s="379">
        <f t="shared" si="10"/>
        <v>12.966292021964804</v>
      </c>
      <c r="L74" s="379">
        <f t="shared" si="10"/>
        <v>13.355226003189774</v>
      </c>
      <c r="M74" s="379">
        <f t="shared" si="10"/>
        <v>13.755927418379816</v>
      </c>
      <c r="N74" s="379">
        <f t="shared" si="10"/>
        <v>14.168599154327438</v>
      </c>
      <c r="O74" s="379">
        <f t="shared" si="10"/>
        <v>14.593646984617635</v>
      </c>
      <c r="P74" s="379">
        <f t="shared" si="10"/>
        <v>15.031476682835414</v>
      </c>
      <c r="Q74" s="379">
        <f t="shared" si="10"/>
        <v>15.482494022565778</v>
      </c>
      <c r="R74" s="379">
        <f t="shared" si="10"/>
        <v>15.946901890601225</v>
      </c>
      <c r="S74" s="379">
        <f t="shared" si="10"/>
        <v>16.425308947319262</v>
      </c>
      <c r="T74" s="379">
        <f t="shared" si="10"/>
        <v>16.91812096630489</v>
      </c>
      <c r="U74" s="379">
        <f t="shared" si="10"/>
        <v>17.42574372114311</v>
      </c>
      <c r="V74" s="379">
        <f t="shared" si="10"/>
        <v>17.94858298541893</v>
      </c>
      <c r="W74" s="379">
        <f t="shared" si="10"/>
        <v>18.487044532717348</v>
      </c>
      <c r="X74" s="379">
        <f t="shared" si="10"/>
        <v>19.041737023415873</v>
      </c>
      <c r="Y74" s="379">
        <f t="shared" si="10"/>
        <v>19.613066231099495</v>
      </c>
      <c r="Z74" s="379">
        <f t="shared" si="10"/>
        <v>20.201437929353229</v>
      </c>
      <c r="AA74" s="379">
        <f t="shared" si="10"/>
        <v>20.807460778554578</v>
      </c>
      <c r="AB74" s="379">
        <f t="shared" si="10"/>
        <v>21.431743439081043</v>
      </c>
      <c r="AC74" s="379">
        <f t="shared" si="10"/>
        <v>22.074691684517621</v>
      </c>
      <c r="AD74" s="379">
        <f t="shared" si="10"/>
        <v>22.736914175241825</v>
      </c>
      <c r="AE74" s="379">
        <f t="shared" si="10"/>
        <v>23.419019571631154</v>
      </c>
      <c r="AF74" s="379">
        <f t="shared" si="10"/>
        <v>24.121616534063115</v>
      </c>
      <c r="AG74" s="379">
        <f t="shared" si="10"/>
        <v>24.845313722915211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31.612515899507379</v>
      </c>
      <c r="D75" s="379">
        <f t="shared" si="11"/>
        <v>35.109913793103445</v>
      </c>
      <c r="E75" s="379">
        <f t="shared" si="11"/>
        <v>35.816971982758623</v>
      </c>
      <c r="F75" s="379">
        <f t="shared" si="11"/>
        <v>36.538292834051724</v>
      </c>
      <c r="G75" s="379">
        <f t="shared" si="11"/>
        <v>37.274164637661642</v>
      </c>
      <c r="H75" s="379">
        <f t="shared" si="11"/>
        <v>38.024881526016969</v>
      </c>
      <c r="I75" s="379">
        <f t="shared" si="11"/>
        <v>38.790743592029465</v>
      </c>
      <c r="J75" s="379">
        <f t="shared" si="11"/>
        <v>39.572057010249509</v>
      </c>
      <c r="K75" s="379">
        <f t="shared" si="11"/>
        <v>40.369134160493452</v>
      </c>
      <c r="L75" s="379">
        <f t="shared" si="11"/>
        <v>41.182293753993243</v>
      </c>
      <c r="M75" s="379">
        <f t="shared" si="11"/>
        <v>42.011860962120267</v>
      </c>
      <c r="N75" s="379">
        <f t="shared" si="11"/>
        <v>42.858167547736016</v>
      </c>
      <c r="O75" s="379">
        <f t="shared" si="11"/>
        <v>43.721551999223408</v>
      </c>
      <c r="P75" s="379">
        <f t="shared" si="11"/>
        <v>44.602359667253879</v>
      </c>
      <c r="Q75" s="379">
        <f t="shared" si="11"/>
        <v>45.500942904346097</v>
      </c>
      <c r="R75" s="379">
        <f t="shared" si="11"/>
        <v>46.417661207273845</v>
      </c>
      <c r="S75" s="379">
        <f t="shared" si="11"/>
        <v>47.352881362381176</v>
      </c>
      <c r="T75" s="379">
        <f t="shared" si="11"/>
        <v>48.306977593864694</v>
      </c>
      <c r="U75" s="379">
        <f t="shared" si="11"/>
        <v>49.280331715083776</v>
      </c>
      <c r="V75" s="379">
        <f t="shared" si="11"/>
        <v>50.273333282960785</v>
      </c>
      <c r="W75" s="379">
        <f t="shared" si="11"/>
        <v>51.286379755534718</v>
      </c>
      <c r="X75" s="379">
        <f t="shared" si="11"/>
        <v>52.319876652733001</v>
      </c>
      <c r="Y75" s="379">
        <f t="shared" si="11"/>
        <v>53.374237720427423</v>
      </c>
      <c r="Z75" s="379">
        <f t="shared" si="11"/>
        <v>54.449885097841744</v>
      </c>
      <c r="AA75" s="379">
        <f t="shared" si="11"/>
        <v>55.547249488379499</v>
      </c>
      <c r="AB75" s="379">
        <f t="shared" si="11"/>
        <v>56.666770333942516</v>
      </c>
      <c r="AC75" s="379">
        <f t="shared" si="11"/>
        <v>57.808895992811685</v>
      </c>
      <c r="AD75" s="379">
        <f t="shared" si="11"/>
        <v>58.974083921163</v>
      </c>
      <c r="AE75" s="379">
        <f t="shared" si="11"/>
        <v>60.162800858293714</v>
      </c>
      <c r="AF75" s="379">
        <f t="shared" si="11"/>
        <v>61.375523015634734</v>
      </c>
      <c r="AG75" s="379">
        <f t="shared" si="11"/>
        <v>62.61273626962695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23.125925925925927</v>
      </c>
      <c r="D76" s="379">
        <f t="shared" si="12"/>
        <v>23.800037037037036</v>
      </c>
      <c r="E76" s="379">
        <f t="shared" si="12"/>
        <v>24.497405185185183</v>
      </c>
      <c r="F76" s="379">
        <f t="shared" si="12"/>
        <v>25.218569207407405</v>
      </c>
      <c r="G76" s="379">
        <f t="shared" si="12"/>
        <v>25.973328483481481</v>
      </c>
      <c r="H76" s="379">
        <f t="shared" si="12"/>
        <v>26.827058540120742</v>
      </c>
      <c r="I76" s="379">
        <f t="shared" si="12"/>
        <v>27.643693353383753</v>
      </c>
      <c r="J76" s="379">
        <f t="shared" si="12"/>
        <v>28.486485461671656</v>
      </c>
      <c r="K76" s="379">
        <f t="shared" si="12"/>
        <v>29.365340186921479</v>
      </c>
      <c r="L76" s="379">
        <f t="shared" si="12"/>
        <v>30.271668409804683</v>
      </c>
      <c r="M76" s="379">
        <f t="shared" si="12"/>
        <v>31.215424567016541</v>
      </c>
      <c r="N76" s="379">
        <f t="shared" si="12"/>
        <v>32.197311353613948</v>
      </c>
      <c r="O76" s="379">
        <f t="shared" si="12"/>
        <v>33.21807705786258</v>
      </c>
      <c r="P76" s="379">
        <f t="shared" si="12"/>
        <v>34.278498122782196</v>
      </c>
      <c r="Q76" s="379">
        <f t="shared" si="12"/>
        <v>35.379380269383901</v>
      </c>
      <c r="R76" s="379">
        <f t="shared" si="12"/>
        <v>36.521541146288804</v>
      </c>
      <c r="S76" s="379">
        <f t="shared" si="12"/>
        <v>37.705867100116386</v>
      </c>
      <c r="T76" s="379">
        <f t="shared" si="12"/>
        <v>38.942518142584234</v>
      </c>
      <c r="U76" s="379">
        <f t="shared" si="12"/>
        <v>40.223170005150244</v>
      </c>
      <c r="V76" s="379">
        <f t="shared" si="12"/>
        <v>41.558052542476418</v>
      </c>
      <c r="W76" s="379">
        <f t="shared" si="12"/>
        <v>42.9389141164446</v>
      </c>
      <c r="X76" s="379">
        <f t="shared" si="12"/>
        <v>44.376078629575694</v>
      </c>
      <c r="Y76" s="379">
        <f t="shared" si="12"/>
        <v>45.870632247161218</v>
      </c>
      <c r="Z76" s="379">
        <f t="shared" si="12"/>
        <v>47.42370277343344</v>
      </c>
      <c r="AA76" s="379">
        <f t="shared" si="12"/>
        <v>49.036479832379655</v>
      </c>
      <c r="AB76" s="379">
        <f t="shared" si="12"/>
        <v>50.719457337237891</v>
      </c>
      <c r="AC76" s="379">
        <f t="shared" si="12"/>
        <v>52.464638992072757</v>
      </c>
      <c r="AD76" s="379">
        <f t="shared" si="12"/>
        <v>54.282614235603354</v>
      </c>
      <c r="AE76" s="379">
        <f t="shared" si="12"/>
        <v>56.17476388941737</v>
      </c>
      <c r="AF76" s="379">
        <f t="shared" si="12"/>
        <v>58.142521439487084</v>
      </c>
      <c r="AG76" s="379">
        <f t="shared" si="12"/>
        <v>60.187375139282302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3.1084656084656084</v>
      </c>
      <c r="D77" s="379">
        <f t="shared" si="13"/>
        <v>3.2017195767195767</v>
      </c>
      <c r="E77" s="379">
        <f t="shared" si="13"/>
        <v>3.2977513227513229</v>
      </c>
      <c r="F77" s="379">
        <f t="shared" si="13"/>
        <v>3.3966931216931218</v>
      </c>
      <c r="G77" s="379">
        <f t="shared" si="13"/>
        <v>3.4986111111111109</v>
      </c>
      <c r="H77" s="379">
        <f t="shared" si="13"/>
        <v>3.8681216931216933</v>
      </c>
      <c r="I77" s="379">
        <f t="shared" si="13"/>
        <v>3.9841931216931217</v>
      </c>
      <c r="J77" s="379">
        <f t="shared" si="13"/>
        <v>4.1037037037037036</v>
      </c>
      <c r="K77" s="379">
        <f t="shared" si="13"/>
        <v>4.2267857142857146</v>
      </c>
      <c r="L77" s="379">
        <f t="shared" si="13"/>
        <v>4.3535714285714286</v>
      </c>
      <c r="M77" s="379">
        <f t="shared" si="13"/>
        <v>4.4841931216931217</v>
      </c>
      <c r="N77" s="379">
        <f t="shared" si="13"/>
        <v>3.694973544973545</v>
      </c>
      <c r="O77" s="379">
        <f t="shared" si="13"/>
        <v>3.8058201058201058</v>
      </c>
      <c r="P77" s="379">
        <f t="shared" si="13"/>
        <v>3.92</v>
      </c>
      <c r="Q77" s="379">
        <f t="shared" si="13"/>
        <v>4.0376190476190477</v>
      </c>
      <c r="R77" s="379">
        <f t="shared" si="13"/>
        <v>4.1587301587301591</v>
      </c>
      <c r="S77" s="379">
        <f t="shared" si="13"/>
        <v>4.2834920634920639</v>
      </c>
      <c r="T77" s="379">
        <f t="shared" si="13"/>
        <v>4.4120105820105824</v>
      </c>
      <c r="U77" s="379">
        <f t="shared" si="13"/>
        <v>4.5443915343915346</v>
      </c>
      <c r="V77" s="379">
        <f t="shared" si="13"/>
        <v>4.6807407407407409</v>
      </c>
      <c r="W77" s="379">
        <f t="shared" si="13"/>
        <v>4.8211640211640212</v>
      </c>
      <c r="X77" s="379">
        <f t="shared" si="13"/>
        <v>3.7243650793650795</v>
      </c>
      <c r="Y77" s="379">
        <f t="shared" si="13"/>
        <v>3.8361111111111112</v>
      </c>
      <c r="Z77" s="379">
        <f t="shared" si="13"/>
        <v>3.9511904761904764</v>
      </c>
      <c r="AA77" s="379">
        <f t="shared" si="13"/>
        <v>4.0697222222222225</v>
      </c>
      <c r="AB77" s="379">
        <f t="shared" si="13"/>
        <v>4.1918253968253971</v>
      </c>
      <c r="AC77" s="379">
        <f t="shared" si="13"/>
        <v>4.3175793650793652</v>
      </c>
      <c r="AD77" s="379">
        <f t="shared" si="13"/>
        <v>4.4471031746031748</v>
      </c>
      <c r="AE77" s="379">
        <f t="shared" si="13"/>
        <v>4.580515873015873</v>
      </c>
      <c r="AF77" s="379">
        <f t="shared" si="13"/>
        <v>4.7179365079365079</v>
      </c>
      <c r="AG77" s="379">
        <f t="shared" si="13"/>
        <v>4.8594841269841274</v>
      </c>
    </row>
    <row r="78" spans="1:35" s="352" customFormat="1">
      <c r="A78" s="380" t="s">
        <v>323</v>
      </c>
      <c r="B78" s="352" t="s">
        <v>300</v>
      </c>
      <c r="C78" s="429">
        <f>SUM(C74:C76)-C77</f>
        <v>61.165655464528228</v>
      </c>
      <c r="D78" s="429">
        <f t="shared" ref="D78:AG78" si="14">SUM(D74:D76)-D77</f>
        <v>65.529980878408239</v>
      </c>
      <c r="E78" s="429">
        <f t="shared" si="14"/>
        <v>67.132967092891704</v>
      </c>
      <c r="F78" s="429">
        <f t="shared" si="14"/>
        <v>68.780028809047153</v>
      </c>
      <c r="G78" s="429">
        <f t="shared" si="14"/>
        <v>70.481390446557626</v>
      </c>
      <c r="H78" s="429">
        <f t="shared" si="14"/>
        <v>72.849855319246345</v>
      </c>
      <c r="I78" s="429">
        <f t="shared" si="14"/>
        <v>74.672347090790169</v>
      </c>
      <c r="J78" s="429">
        <f t="shared" si="14"/>
        <v>76.54355846933737</v>
      </c>
      <c r="K78" s="429">
        <f t="shared" si="14"/>
        <v>78.473980655094024</v>
      </c>
      <c r="L78" s="429">
        <f t="shared" si="14"/>
        <v>80.455616738416268</v>
      </c>
      <c r="M78" s="429">
        <f t="shared" si="14"/>
        <v>82.499019825823495</v>
      </c>
      <c r="N78" s="429">
        <f t="shared" si="14"/>
        <v>85.52910451070386</v>
      </c>
      <c r="O78" s="429">
        <f t="shared" si="14"/>
        <v>87.727455935883526</v>
      </c>
      <c r="P78" s="429">
        <f t="shared" si="14"/>
        <v>89.992334472871491</v>
      </c>
      <c r="Q78" s="429">
        <f t="shared" si="14"/>
        <v>92.325198148676733</v>
      </c>
      <c r="R78" s="429">
        <f t="shared" si="14"/>
        <v>94.727374085433709</v>
      </c>
      <c r="S78" s="429">
        <f t="shared" si="14"/>
        <v>97.200565346324751</v>
      </c>
      <c r="T78" s="429">
        <f t="shared" si="14"/>
        <v>99.755606120743238</v>
      </c>
      <c r="U78" s="429">
        <f t="shared" si="14"/>
        <v>102.3848539069856</v>
      </c>
      <c r="V78" s="429">
        <f t="shared" si="14"/>
        <v>105.09922807011539</v>
      </c>
      <c r="W78" s="429">
        <f t="shared" si="14"/>
        <v>107.89117438353266</v>
      </c>
      <c r="X78" s="429">
        <f t="shared" si="14"/>
        <v>112.01332722635949</v>
      </c>
      <c r="Y78" s="429">
        <f t="shared" si="14"/>
        <v>115.02182508757701</v>
      </c>
      <c r="Z78" s="429">
        <f t="shared" si="14"/>
        <v>118.12383532443795</v>
      </c>
      <c r="AA78" s="429">
        <f t="shared" si="14"/>
        <v>121.32146787709151</v>
      </c>
      <c r="AB78" s="429">
        <f t="shared" si="14"/>
        <v>124.62614571343606</v>
      </c>
      <c r="AC78" s="429">
        <f t="shared" si="14"/>
        <v>128.03064730432271</v>
      </c>
      <c r="AD78" s="429">
        <f t="shared" si="14"/>
        <v>131.54650915740501</v>
      </c>
      <c r="AE78" s="429">
        <f t="shared" si="14"/>
        <v>135.17606844632635</v>
      </c>
      <c r="AF78" s="429">
        <f t="shared" si="14"/>
        <v>138.92172448124842</v>
      </c>
      <c r="AG78" s="429">
        <f t="shared" si="14"/>
        <v>142.78594100484034</v>
      </c>
    </row>
    <row r="79" spans="1:35" s="344" customFormat="1">
      <c r="A79" s="342" t="s">
        <v>179</v>
      </c>
      <c r="B79" s="342"/>
      <c r="H79" s="430">
        <f>H81/K58</f>
        <v>456625.38698699191</v>
      </c>
      <c r="AB79" s="430">
        <f>AB81/AE58</f>
        <v>472353.14597687719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00" t="s">
        <v>324</v>
      </c>
      <c r="B81" s="300" t="s">
        <v>309</v>
      </c>
      <c r="C81" s="376">
        <f>ROUND(('Changing with year'!C96)/1000,0)*1000</f>
        <v>4950000</v>
      </c>
      <c r="D81" s="376">
        <f>ROUND(('Changing with year'!D96)/1000,0)*1000</f>
        <v>5099000</v>
      </c>
      <c r="E81" s="376">
        <f>ROUND(('Changing with year'!E96)/1000,0)*1000</f>
        <v>5251000</v>
      </c>
      <c r="F81" s="376">
        <f>ROUND(('Changing with year'!F96)/1000,0)*1000</f>
        <v>5409000</v>
      </c>
      <c r="G81" s="376">
        <f>ROUND(('Changing with year'!G96)/1000,0)*1000</f>
        <v>5571000</v>
      </c>
      <c r="H81" s="376">
        <f>ROUND(('Changing with year'!H96)/1000,0)*1000</f>
        <v>6138000</v>
      </c>
      <c r="I81" s="376">
        <f>ROUND(('Changing with year'!I96)/1000,0)*1000</f>
        <v>6323000</v>
      </c>
      <c r="J81" s="376">
        <f>ROUND(('Changing with year'!J96)/1000,0)*1000</f>
        <v>6512000</v>
      </c>
      <c r="K81" s="376">
        <f>ROUND(('Changing with year'!K96)/1000,0)*1000</f>
        <v>6708000</v>
      </c>
      <c r="L81" s="376">
        <f>ROUND(('Changing with year'!L96)/1000,0)*1000</f>
        <v>6909000</v>
      </c>
      <c r="M81" s="376">
        <f>ROUND(('Changing with year'!M96)/1000,0)*1000</f>
        <v>7116000</v>
      </c>
      <c r="N81" s="376">
        <f>ROUND(('Changing with year'!N96)/1000,0)*1000</f>
        <v>7330000</v>
      </c>
      <c r="O81" s="376">
        <f>ROUND(('Changing with year'!O96)/1000,0)*1000</f>
        <v>7549000</v>
      </c>
      <c r="P81" s="376">
        <f>ROUND(('Changing with year'!P96)/1000,0)*1000</f>
        <v>7776000</v>
      </c>
      <c r="Q81" s="376">
        <f>ROUND(('Changing with year'!Q96)/1000,0)*1000</f>
        <v>8009000</v>
      </c>
      <c r="R81" s="376">
        <f>ROUND(('Changing with year'!R96)/1000,0)*1000</f>
        <v>8250000</v>
      </c>
      <c r="S81" s="376">
        <f>ROUND(('Changing with year'!S96)/1000,0)*1000</f>
        <v>8497000</v>
      </c>
      <c r="T81" s="376">
        <f>ROUND(('Changing with year'!T96)/1000,0)*1000</f>
        <v>8752000</v>
      </c>
      <c r="U81" s="376">
        <f>ROUND(('Changing with year'!U96)/1000,0)*1000</f>
        <v>9014000</v>
      </c>
      <c r="V81" s="376">
        <f>ROUND(('Changing with year'!V96)/1000,0)*1000</f>
        <v>9285000</v>
      </c>
      <c r="W81" s="376">
        <f>ROUND(('Changing with year'!W96)/1000,0)*1000</f>
        <v>9563000</v>
      </c>
      <c r="X81" s="376">
        <f>ROUND(('Changing with year'!X96)/1000,0)*1000</f>
        <v>9850000</v>
      </c>
      <c r="Y81" s="376">
        <f>ROUND(('Changing with year'!Y96)/1000,0)*1000</f>
        <v>10146000</v>
      </c>
      <c r="Z81" s="376">
        <f>ROUND(('Changing with year'!Z96)/1000,0)*1000</f>
        <v>10450000</v>
      </c>
      <c r="AA81" s="376">
        <f>ROUND(('Changing with year'!AA96)/1000,0)*1000</f>
        <v>10764000</v>
      </c>
      <c r="AB81" s="376">
        <f>ROUND(('Changing with year'!AB96)/1000,0)*1000</f>
        <v>11087000</v>
      </c>
      <c r="AC81" s="376">
        <f>ROUND(('Changing with year'!AC96)/1000,0)*1000</f>
        <v>11419000</v>
      </c>
      <c r="AD81" s="376">
        <f>ROUND(('Changing with year'!AD96)/1000,0)*1000</f>
        <v>11762000</v>
      </c>
      <c r="AE81" s="376">
        <f>ROUND(('Changing with year'!AE96)/1000,0)*1000</f>
        <v>12115000</v>
      </c>
      <c r="AF81" s="376">
        <f>ROUND(('Changing with year'!AF96)/1000,0)*1000</f>
        <v>12478000</v>
      </c>
      <c r="AG81" s="376">
        <f>ROUND(('Changing with year'!AG96)/1000,0)*1000</f>
        <v>12852000</v>
      </c>
    </row>
    <row r="82" spans="1:34">
      <c r="A82" s="300" t="s">
        <v>310</v>
      </c>
      <c r="B82" s="300" t="s">
        <v>309</v>
      </c>
      <c r="C82" s="376">
        <f>(C81*'No change with year'!$AB$7)</f>
        <v>2227500</v>
      </c>
      <c r="D82" s="376">
        <f>(D81*'No change with year'!$AB$7)</f>
        <v>2294550</v>
      </c>
      <c r="E82" s="376">
        <f>(E81*'No change with year'!$AB$7)</f>
        <v>2362950</v>
      </c>
      <c r="F82" s="376">
        <f>(F81*'No change with year'!$AB$7)</f>
        <v>2434050</v>
      </c>
      <c r="G82" s="376">
        <f>(G81*'No change with year'!$AB$7)</f>
        <v>2506950</v>
      </c>
      <c r="H82" s="376">
        <f>(H81*'No change with year'!$AB$7)</f>
        <v>2762100</v>
      </c>
      <c r="I82" s="376">
        <f>(I81*'No change with year'!$AB$7)</f>
        <v>2845350</v>
      </c>
      <c r="J82" s="376">
        <f>(J81*'No change with year'!$AB$7)</f>
        <v>2930400</v>
      </c>
      <c r="K82" s="376">
        <f>(K81*'No change with year'!$AB$7)</f>
        <v>3018600</v>
      </c>
      <c r="L82" s="376">
        <f>(L81*'No change with year'!$AB$7)</f>
        <v>3109050</v>
      </c>
      <c r="M82" s="376">
        <f>(M81*'No change with year'!$AB$7)</f>
        <v>3202200</v>
      </c>
      <c r="N82" s="376">
        <f>(N81*'No change with year'!$AC$7)</f>
        <v>2565500.0000000005</v>
      </c>
      <c r="O82" s="376">
        <f>(O81*'No change with year'!$AC$7)</f>
        <v>2642150.0000000005</v>
      </c>
      <c r="P82" s="376">
        <f>(P81*'No change with year'!$AC$7)</f>
        <v>2721600.0000000005</v>
      </c>
      <c r="Q82" s="376">
        <f>(Q81*'No change with year'!$AC$7)</f>
        <v>2803150.0000000005</v>
      </c>
      <c r="R82" s="376">
        <f>(R81*'No change with year'!$AC$7)</f>
        <v>2887500.0000000005</v>
      </c>
      <c r="S82" s="376">
        <f>(S81*'No change with year'!$AC$7)</f>
        <v>2973950.0000000005</v>
      </c>
      <c r="T82" s="376">
        <f>(T81*'No change with year'!$AC$7)</f>
        <v>3063200.0000000005</v>
      </c>
      <c r="U82" s="376">
        <f>(U81*'No change with year'!$AC$7)</f>
        <v>3154900.0000000005</v>
      </c>
      <c r="V82" s="376">
        <f>(V81*'No change with year'!$AC$7)</f>
        <v>3249750.0000000005</v>
      </c>
      <c r="W82" s="376">
        <f>(W81*'No change with year'!$AC$7)</f>
        <v>3347050.0000000005</v>
      </c>
      <c r="X82" s="376">
        <f>(X81*'No change with year'!$AD$7)</f>
        <v>2462500</v>
      </c>
      <c r="Y82" s="376">
        <f>(Y81*'No change with year'!$AD$7)</f>
        <v>2536500</v>
      </c>
      <c r="Z82" s="376">
        <f>(Z81*'No change with year'!$AD$7)</f>
        <v>2612500</v>
      </c>
      <c r="AA82" s="376">
        <f>(AA81*'No change with year'!$AD$7)</f>
        <v>2691000</v>
      </c>
      <c r="AB82" s="376">
        <f>(AB81*'No change with year'!$AD$7)</f>
        <v>2771750</v>
      </c>
      <c r="AC82" s="376">
        <f>(AC81*'No change with year'!$AD$7)</f>
        <v>2854750</v>
      </c>
      <c r="AD82" s="376">
        <f>(AD81*'No change with year'!$AD$7)</f>
        <v>2940500</v>
      </c>
      <c r="AE82" s="376">
        <f>(AE81*'No change with year'!$AD$7)</f>
        <v>3028750</v>
      </c>
      <c r="AF82" s="376">
        <f>(AF81*'No change with year'!$AD$7)</f>
        <v>3119500</v>
      </c>
      <c r="AG82" s="376">
        <f>(AG81*'No change with year'!$AD$7)</f>
        <v>3213000</v>
      </c>
    </row>
    <row r="83" spans="1:34" s="371" customFormat="1" ht="11.85" customHeight="1">
      <c r="A83" s="428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00" t="s">
        <v>312</v>
      </c>
      <c r="B84" s="300" t="s">
        <v>313</v>
      </c>
      <c r="C84" s="376">
        <f t="shared" ref="C84:AG84" si="16">-PMT($C$26,$C$25,C81)</f>
        <v>1084632.7927118847</v>
      </c>
      <c r="D84" s="376">
        <f t="shared" si="16"/>
        <v>1117281.335361192</v>
      </c>
      <c r="E84" s="376">
        <f t="shared" si="16"/>
        <v>1150587.2312182037</v>
      </c>
      <c r="F84" s="376">
        <f t="shared" si="16"/>
        <v>1185207.8334906234</v>
      </c>
      <c r="G84" s="376">
        <f t="shared" si="16"/>
        <v>1220704.9067066486</v>
      </c>
      <c r="H84" s="376">
        <f t="shared" si="16"/>
        <v>1344944.662962737</v>
      </c>
      <c r="I84" s="376">
        <f t="shared" si="16"/>
        <v>1385481.4441044945</v>
      </c>
      <c r="J84" s="376">
        <f t="shared" si="16"/>
        <v>1426894.6961898573</v>
      </c>
      <c r="K84" s="376">
        <f t="shared" si="16"/>
        <v>1469841.77242653</v>
      </c>
      <c r="L84" s="376">
        <f t="shared" si="16"/>
        <v>1513884.4373427094</v>
      </c>
      <c r="M84" s="376">
        <f t="shared" si="16"/>
        <v>1559241.8086742973</v>
      </c>
      <c r="N84" s="376">
        <f t="shared" si="16"/>
        <v>1606133.0041571951</v>
      </c>
      <c r="O84" s="376">
        <f t="shared" si="16"/>
        <v>1654119.7883195996</v>
      </c>
      <c r="P84" s="376">
        <f t="shared" si="16"/>
        <v>1703859.5143692154</v>
      </c>
      <c r="Q84" s="376">
        <f t="shared" si="16"/>
        <v>1754913.9468342394</v>
      </c>
      <c r="R84" s="376">
        <f t="shared" si="16"/>
        <v>1807721.3211864748</v>
      </c>
      <c r="S84" s="376">
        <f t="shared" si="16"/>
        <v>1861843.4019541184</v>
      </c>
      <c r="T84" s="376">
        <f t="shared" si="16"/>
        <v>1917718.4246089729</v>
      </c>
      <c r="U84" s="376">
        <f t="shared" si="16"/>
        <v>1975127.2714151375</v>
      </c>
      <c r="V84" s="376">
        <f t="shared" si="16"/>
        <v>2034508.1778444143</v>
      </c>
      <c r="W84" s="376">
        <f t="shared" si="16"/>
        <v>2095422.9084250007</v>
      </c>
      <c r="X84" s="376">
        <f t="shared" si="16"/>
        <v>2158309.6986287003</v>
      </c>
      <c r="Y84" s="376">
        <f t="shared" si="16"/>
        <v>2223168.5484555117</v>
      </c>
      <c r="Z84" s="376">
        <f t="shared" si="16"/>
        <v>2289780.3401695346</v>
      </c>
      <c r="AA84" s="376">
        <f t="shared" si="16"/>
        <v>2358583.3092425717</v>
      </c>
      <c r="AB84" s="376">
        <f t="shared" si="16"/>
        <v>2429358.3379387208</v>
      </c>
      <c r="AC84" s="376">
        <f t="shared" si="16"/>
        <v>2502105.4262579824</v>
      </c>
      <c r="AD84" s="376">
        <f t="shared" si="16"/>
        <v>2577262.8096721596</v>
      </c>
      <c r="AE84" s="376">
        <f t="shared" si="16"/>
        <v>2654611.3704453507</v>
      </c>
      <c r="AF84" s="376">
        <f t="shared" si="16"/>
        <v>2734151.1085775555</v>
      </c>
      <c r="AG84" s="376">
        <f t="shared" si="16"/>
        <v>2816101.1418046756</v>
      </c>
    </row>
    <row r="85" spans="1:34">
      <c r="A85" s="300" t="s">
        <v>321</v>
      </c>
      <c r="B85" s="300" t="s">
        <v>309</v>
      </c>
      <c r="C85" s="376">
        <f t="shared" ref="C85:AG85" si="17">C43*$D$37</f>
        <v>3030967.7419354841</v>
      </c>
      <c r="D85" s="376">
        <f t="shared" si="17"/>
        <v>3187741.935483871</v>
      </c>
      <c r="E85" s="376">
        <f t="shared" si="17"/>
        <v>3283374.1935483874</v>
      </c>
      <c r="F85" s="376">
        <f t="shared" si="17"/>
        <v>3381875.4193548388</v>
      </c>
      <c r="G85" s="376">
        <f t="shared" si="17"/>
        <v>3483331.6819354841</v>
      </c>
      <c r="H85" s="376">
        <f t="shared" si="17"/>
        <v>3587831.6323935487</v>
      </c>
      <c r="I85" s="376">
        <f t="shared" si="17"/>
        <v>3695466.5813653553</v>
      </c>
      <c r="J85" s="376">
        <f t="shared" si="17"/>
        <v>3806330.5788063155</v>
      </c>
      <c r="K85" s="376">
        <f t="shared" si="17"/>
        <v>3920520.4961705054</v>
      </c>
      <c r="L85" s="376">
        <f t="shared" si="17"/>
        <v>4038136.1110556205</v>
      </c>
      <c r="M85" s="376">
        <f t="shared" si="17"/>
        <v>4159280.1943872892</v>
      </c>
      <c r="N85" s="376">
        <f t="shared" si="17"/>
        <v>4284058.6002189079</v>
      </c>
      <c r="O85" s="376">
        <f t="shared" si="17"/>
        <v>4412580.3582254751</v>
      </c>
      <c r="P85" s="376">
        <f t="shared" si="17"/>
        <v>4544957.7689722395</v>
      </c>
      <c r="Q85" s="376">
        <f t="shared" si="17"/>
        <v>4681306.502041406</v>
      </c>
      <c r="R85" s="376">
        <f t="shared" si="17"/>
        <v>4821745.6971026482</v>
      </c>
      <c r="S85" s="376">
        <f t="shared" si="17"/>
        <v>4966398.0680157281</v>
      </c>
      <c r="T85" s="376">
        <f t="shared" si="17"/>
        <v>5115390.0100562004</v>
      </c>
      <c r="U85" s="376">
        <f t="shared" si="17"/>
        <v>5268851.7103578858</v>
      </c>
      <c r="V85" s="376">
        <f t="shared" si="17"/>
        <v>5426917.2616686225</v>
      </c>
      <c r="W85" s="376">
        <f t="shared" si="17"/>
        <v>5589724.7795186816</v>
      </c>
      <c r="X85" s="376">
        <f t="shared" si="17"/>
        <v>5757416.5229042415</v>
      </c>
      <c r="Y85" s="376">
        <f t="shared" si="17"/>
        <v>5930139.0185913686</v>
      </c>
      <c r="Z85" s="376">
        <f t="shared" si="17"/>
        <v>6108043.1891491096</v>
      </c>
      <c r="AA85" s="376">
        <f t="shared" si="17"/>
        <v>6291284.4848235827</v>
      </c>
      <c r="AB85" s="376">
        <f t="shared" si="17"/>
        <v>6480023.01936829</v>
      </c>
      <c r="AC85" s="376">
        <f t="shared" si="17"/>
        <v>6674423.7099493397</v>
      </c>
      <c r="AD85" s="376">
        <f t="shared" si="17"/>
        <v>6874656.4212478204</v>
      </c>
      <c r="AE85" s="376">
        <f t="shared" si="17"/>
        <v>7080896.1138852546</v>
      </c>
      <c r="AF85" s="376">
        <f t="shared" si="17"/>
        <v>7293322.9973018123</v>
      </c>
      <c r="AG85" s="376">
        <f t="shared" si="17"/>
        <v>7512122.6872208668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885599.99999999988</v>
      </c>
      <c r="D86" s="376">
        <f t="shared" si="18"/>
        <v>921023.99999999988</v>
      </c>
      <c r="E86" s="376">
        <f t="shared" si="18"/>
        <v>957864.95999999996</v>
      </c>
      <c r="F86" s="376">
        <f t="shared" si="18"/>
        <v>996179.55839999986</v>
      </c>
      <c r="G86" s="376">
        <f t="shared" si="18"/>
        <v>1036026.7407359999</v>
      </c>
      <c r="H86" s="376">
        <f t="shared" si="18"/>
        <v>1077467.8103654401</v>
      </c>
      <c r="I86" s="376">
        <f t="shared" si="18"/>
        <v>1120566.5227800577</v>
      </c>
      <c r="J86" s="376">
        <f t="shared" si="18"/>
        <v>1165389.1836912599</v>
      </c>
      <c r="K86" s="376">
        <f t="shared" si="18"/>
        <v>1212004.7510389104</v>
      </c>
      <c r="L86" s="376">
        <f t="shared" si="18"/>
        <v>1260484.9410804671</v>
      </c>
      <c r="M86" s="376">
        <f t="shared" si="18"/>
        <v>1310904.3387236858</v>
      </c>
      <c r="N86" s="376">
        <f t="shared" si="18"/>
        <v>1363340.5122726331</v>
      </c>
      <c r="O86" s="376">
        <f t="shared" si="18"/>
        <v>1417874.1327635385</v>
      </c>
      <c r="P86" s="376">
        <f t="shared" si="18"/>
        <v>1474589.0980740802</v>
      </c>
      <c r="Q86" s="376">
        <f t="shared" si="18"/>
        <v>1533572.6619970435</v>
      </c>
      <c r="R86" s="376">
        <f t="shared" si="18"/>
        <v>1594915.5684769254</v>
      </c>
      <c r="S86" s="376">
        <f t="shared" si="18"/>
        <v>1658712.1912160025</v>
      </c>
      <c r="T86" s="376">
        <f t="shared" si="18"/>
        <v>1725060.6788646425</v>
      </c>
      <c r="U86" s="376">
        <f t="shared" si="18"/>
        <v>1794063.1060192287</v>
      </c>
      <c r="V86" s="376">
        <f t="shared" si="18"/>
        <v>1865825.6302599974</v>
      </c>
      <c r="W86" s="376">
        <f t="shared" si="18"/>
        <v>1940458.6554703978</v>
      </c>
      <c r="X86" s="376">
        <f t="shared" si="18"/>
        <v>2018077.0016892138</v>
      </c>
      <c r="Y86" s="376">
        <f t="shared" si="18"/>
        <v>2098800.0817567823</v>
      </c>
      <c r="Z86" s="376">
        <f t="shared" si="18"/>
        <v>2182752.0850270535</v>
      </c>
      <c r="AA86" s="376">
        <f t="shared" si="18"/>
        <v>2270062.168428136</v>
      </c>
      <c r="AB86" s="376">
        <f t="shared" si="18"/>
        <v>2360864.6551652616</v>
      </c>
      <c r="AC86" s="376">
        <f t="shared" si="18"/>
        <v>2455299.2413718724</v>
      </c>
      <c r="AD86" s="376">
        <f t="shared" si="18"/>
        <v>2553511.2110267472</v>
      </c>
      <c r="AE86" s="376">
        <f t="shared" si="18"/>
        <v>2655651.6594678173</v>
      </c>
      <c r="AF86" s="376">
        <f t="shared" si="18"/>
        <v>2761877.7258465299</v>
      </c>
      <c r="AG86" s="376">
        <f t="shared" si="18"/>
        <v>2872352.8348803907</v>
      </c>
    </row>
    <row r="87" spans="1:34">
      <c r="A87" s="300" t="s">
        <v>318</v>
      </c>
      <c r="B87" s="300" t="s">
        <v>313</v>
      </c>
      <c r="C87" s="376">
        <f>'Changing with year'!C291</f>
        <v>600000</v>
      </c>
      <c r="D87" s="376">
        <f>'Changing with year'!D291</f>
        <v>627000</v>
      </c>
      <c r="E87" s="376">
        <f>'Changing with year'!E291</f>
        <v>655000</v>
      </c>
      <c r="F87" s="376">
        <f>'Changing with year'!F291</f>
        <v>684000</v>
      </c>
      <c r="G87" s="376">
        <f>'Changing with year'!G291</f>
        <v>715000</v>
      </c>
      <c r="H87" s="376">
        <f>'Changing with year'!H291</f>
        <v>747000</v>
      </c>
      <c r="I87" s="376">
        <f>'Changing with year'!I291</f>
        <v>781000</v>
      </c>
      <c r="J87" s="376">
        <f>'Changing with year'!J291</f>
        <v>816000</v>
      </c>
      <c r="K87" s="376">
        <f>'Changing with year'!K291</f>
        <v>853000</v>
      </c>
      <c r="L87" s="376">
        <f>'Changing with year'!L291</f>
        <v>891000</v>
      </c>
      <c r="M87" s="376">
        <f>'Changing with year'!M291</f>
        <v>931000</v>
      </c>
      <c r="N87" s="376">
        <f>'Changing with year'!N291</f>
        <v>973000</v>
      </c>
      <c r="O87" s="376">
        <f>'Changing with year'!O291</f>
        <v>1017000</v>
      </c>
      <c r="P87" s="376">
        <f>'Changing with year'!P291</f>
        <v>1063000</v>
      </c>
      <c r="Q87" s="376">
        <f>'Changing with year'!Q291</f>
        <v>1111000</v>
      </c>
      <c r="R87" s="376">
        <f>'Changing with year'!R291</f>
        <v>1161000</v>
      </c>
      <c r="S87" s="376">
        <f>'Changing with year'!S291</f>
        <v>1213000</v>
      </c>
      <c r="T87" s="376">
        <f>'Changing with year'!T291</f>
        <v>1268000</v>
      </c>
      <c r="U87" s="376">
        <f>'Changing with year'!U291</f>
        <v>1325000</v>
      </c>
      <c r="V87" s="376">
        <f>'Changing with year'!V291</f>
        <v>1385000</v>
      </c>
      <c r="W87" s="376">
        <f>'Changing with year'!W291</f>
        <v>1447000</v>
      </c>
      <c r="X87" s="376">
        <f>'Changing with year'!X291</f>
        <v>1512000</v>
      </c>
      <c r="Y87" s="376">
        <f>'Changing with year'!Y291</f>
        <v>1580000</v>
      </c>
      <c r="Z87" s="376">
        <f>'Changing with year'!Z291</f>
        <v>1651000</v>
      </c>
      <c r="AA87" s="376">
        <f>'Changing with year'!AA291</f>
        <v>1725000</v>
      </c>
      <c r="AB87" s="376">
        <f>'Changing with year'!AB291</f>
        <v>1803000</v>
      </c>
      <c r="AC87" s="376">
        <f>'Changing with year'!AC291</f>
        <v>1884000</v>
      </c>
      <c r="AD87" s="376">
        <f>'Changing with year'!AD291</f>
        <v>1969000</v>
      </c>
      <c r="AE87" s="376">
        <f>'Changing with year'!AE291</f>
        <v>2058000</v>
      </c>
      <c r="AF87" s="376">
        <f>'Changing with year'!AF291</f>
        <v>2151000</v>
      </c>
      <c r="AG87" s="376">
        <f>'Changing with year'!AG291</f>
        <v>2248000</v>
      </c>
      <c r="AH87" s="339"/>
    </row>
    <row r="88" spans="1:34">
      <c r="A88" s="300" t="s">
        <v>272</v>
      </c>
      <c r="B88" s="300" t="s">
        <v>313</v>
      </c>
      <c r="C88" s="376">
        <f t="shared" ref="C88:AG88" si="19">C59</f>
        <v>972000</v>
      </c>
      <c r="D88" s="376">
        <f t="shared" si="19"/>
        <v>981720</v>
      </c>
      <c r="E88" s="376">
        <f t="shared" si="19"/>
        <v>991537.2</v>
      </c>
      <c r="F88" s="376">
        <f t="shared" si="19"/>
        <v>1001452.5719999999</v>
      </c>
      <c r="G88" s="376">
        <f t="shared" si="19"/>
        <v>1011467.0977199998</v>
      </c>
      <c r="H88" s="376">
        <f t="shared" si="19"/>
        <v>1021581.7686972</v>
      </c>
      <c r="I88" s="376">
        <f t="shared" si="19"/>
        <v>1031797.586384172</v>
      </c>
      <c r="J88" s="376">
        <f t="shared" si="19"/>
        <v>1042115.5622480137</v>
      </c>
      <c r="K88" s="376">
        <f t="shared" si="19"/>
        <v>1052536.7178704939</v>
      </c>
      <c r="L88" s="376">
        <f t="shared" si="19"/>
        <v>1063062.0850491989</v>
      </c>
      <c r="M88" s="376">
        <f t="shared" si="19"/>
        <v>1073692.705899691</v>
      </c>
      <c r="N88" s="376">
        <f t="shared" si="19"/>
        <v>1084429.6329586878</v>
      </c>
      <c r="O88" s="376">
        <f t="shared" si="19"/>
        <v>1095273.9292882748</v>
      </c>
      <c r="P88" s="376">
        <f t="shared" si="19"/>
        <v>1106226.6685811577</v>
      </c>
      <c r="Q88" s="376">
        <f t="shared" si="19"/>
        <v>1117288.9352669693</v>
      </c>
      <c r="R88" s="376">
        <f t="shared" si="19"/>
        <v>1128461.824619639</v>
      </c>
      <c r="S88" s="376">
        <f t="shared" si="19"/>
        <v>1139746.4428658355</v>
      </c>
      <c r="T88" s="376">
        <f t="shared" si="19"/>
        <v>1151143.9072944939</v>
      </c>
      <c r="U88" s="376">
        <f t="shared" si="19"/>
        <v>1162655.3463674388</v>
      </c>
      <c r="V88" s="376">
        <f t="shared" si="19"/>
        <v>1174281.8998311132</v>
      </c>
      <c r="W88" s="376">
        <f t="shared" si="19"/>
        <v>1186024.7188294244</v>
      </c>
      <c r="X88" s="376">
        <f t="shared" si="19"/>
        <v>1197884.9660177184</v>
      </c>
      <c r="Y88" s="376">
        <f t="shared" si="19"/>
        <v>1209863.8156778959</v>
      </c>
      <c r="Z88" s="376">
        <f t="shared" si="19"/>
        <v>1221962.4538346748</v>
      </c>
      <c r="AA88" s="376">
        <f t="shared" si="19"/>
        <v>1234182.0783730214</v>
      </c>
      <c r="AB88" s="376">
        <f t="shared" si="19"/>
        <v>1246523.8991567518</v>
      </c>
      <c r="AC88" s="376">
        <f t="shared" si="19"/>
        <v>1258989.1381483194</v>
      </c>
      <c r="AD88" s="376">
        <f t="shared" si="19"/>
        <v>1271579.0295298027</v>
      </c>
      <c r="AE88" s="376">
        <f t="shared" si="19"/>
        <v>1284294.8198251007</v>
      </c>
      <c r="AF88" s="376">
        <f t="shared" si="19"/>
        <v>1297137.7680233517</v>
      </c>
      <c r="AG88" s="376">
        <f t="shared" si="19"/>
        <v>1310109.1457035851</v>
      </c>
    </row>
    <row r="89" spans="1:34">
      <c r="A89" s="300" t="s">
        <v>319</v>
      </c>
      <c r="B89" s="300" t="s">
        <v>309</v>
      </c>
      <c r="C89" s="376">
        <f t="shared" ref="C89:AG89" si="20">C81*$C$29</f>
        <v>99000</v>
      </c>
      <c r="D89" s="376">
        <f t="shared" si="20"/>
        <v>101980</v>
      </c>
      <c r="E89" s="376">
        <f t="shared" si="20"/>
        <v>105020</v>
      </c>
      <c r="F89" s="376">
        <f t="shared" si="20"/>
        <v>108180</v>
      </c>
      <c r="G89" s="376">
        <f t="shared" si="20"/>
        <v>111420</v>
      </c>
      <c r="H89" s="376">
        <f t="shared" si="20"/>
        <v>122760</v>
      </c>
      <c r="I89" s="376">
        <f t="shared" si="20"/>
        <v>126460</v>
      </c>
      <c r="J89" s="376">
        <f t="shared" si="20"/>
        <v>130240</v>
      </c>
      <c r="K89" s="376">
        <f t="shared" si="20"/>
        <v>134160</v>
      </c>
      <c r="L89" s="376">
        <f t="shared" si="20"/>
        <v>138180</v>
      </c>
      <c r="M89" s="376">
        <f t="shared" si="20"/>
        <v>142320</v>
      </c>
      <c r="N89" s="376">
        <f t="shared" si="20"/>
        <v>146600</v>
      </c>
      <c r="O89" s="376">
        <f t="shared" si="20"/>
        <v>150980</v>
      </c>
      <c r="P89" s="376">
        <f t="shared" si="20"/>
        <v>155520</v>
      </c>
      <c r="Q89" s="376">
        <f t="shared" si="20"/>
        <v>160180</v>
      </c>
      <c r="R89" s="376">
        <f t="shared" si="20"/>
        <v>165000</v>
      </c>
      <c r="S89" s="376">
        <f t="shared" si="20"/>
        <v>169940</v>
      </c>
      <c r="T89" s="376">
        <f t="shared" si="20"/>
        <v>175040</v>
      </c>
      <c r="U89" s="376">
        <f t="shared" si="20"/>
        <v>180280</v>
      </c>
      <c r="V89" s="376">
        <f t="shared" si="20"/>
        <v>185700</v>
      </c>
      <c r="W89" s="376">
        <f t="shared" si="20"/>
        <v>191260</v>
      </c>
      <c r="X89" s="376">
        <f t="shared" si="20"/>
        <v>197000</v>
      </c>
      <c r="Y89" s="376">
        <f t="shared" si="20"/>
        <v>202920</v>
      </c>
      <c r="Z89" s="376">
        <f t="shared" si="20"/>
        <v>209000</v>
      </c>
      <c r="AA89" s="376">
        <f t="shared" si="20"/>
        <v>215280</v>
      </c>
      <c r="AB89" s="376">
        <f t="shared" si="20"/>
        <v>221740</v>
      </c>
      <c r="AC89" s="376">
        <f t="shared" si="20"/>
        <v>228380</v>
      </c>
      <c r="AD89" s="376">
        <f t="shared" si="20"/>
        <v>235240</v>
      </c>
      <c r="AE89" s="376">
        <f t="shared" si="20"/>
        <v>242300</v>
      </c>
      <c r="AF89" s="376">
        <f t="shared" si="20"/>
        <v>249560</v>
      </c>
      <c r="AG89" s="376">
        <f t="shared" si="20"/>
        <v>257040</v>
      </c>
    </row>
    <row r="90" spans="1:34" s="371" customFormat="1" ht="11.85" customHeight="1">
      <c r="A90" s="428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10.042896228813747</v>
      </c>
      <c r="D91" s="379">
        <f t="shared" si="21"/>
        <v>10.345197549640666</v>
      </c>
      <c r="E91" s="379">
        <f t="shared" si="21"/>
        <v>10.653585474242627</v>
      </c>
      <c r="F91" s="379">
        <f t="shared" si="21"/>
        <v>10.974146606394662</v>
      </c>
      <c r="G91" s="379">
        <f t="shared" si="21"/>
        <v>11.302823210246746</v>
      </c>
      <c r="H91" s="379">
        <f t="shared" si="21"/>
        <v>12.453191323729046</v>
      </c>
      <c r="I91" s="379">
        <f t="shared" si="21"/>
        <v>12.82853188985643</v>
      </c>
      <c r="J91" s="379">
        <f t="shared" si="21"/>
        <v>13.211987927683865</v>
      </c>
      <c r="K91" s="379">
        <f t="shared" si="21"/>
        <v>13.609646040986389</v>
      </c>
      <c r="L91" s="379">
        <f t="shared" si="21"/>
        <v>14.017448493913976</v>
      </c>
      <c r="M91" s="379">
        <f t="shared" si="21"/>
        <v>14.437424154391641</v>
      </c>
      <c r="N91" s="379">
        <f t="shared" si="21"/>
        <v>14.871601890344399</v>
      </c>
      <c r="O91" s="379">
        <f t="shared" si="21"/>
        <v>15.315923965922218</v>
      </c>
      <c r="P91" s="379">
        <f t="shared" si="21"/>
        <v>15.776476984900142</v>
      </c>
      <c r="Q91" s="379">
        <f t="shared" si="21"/>
        <v>16.249203211428142</v>
      </c>
      <c r="R91" s="379">
        <f t="shared" si="21"/>
        <v>16.738160381356249</v>
      </c>
      <c r="S91" s="379">
        <f t="shared" si="21"/>
        <v>17.239290758834429</v>
      </c>
      <c r="T91" s="379">
        <f t="shared" si="21"/>
        <v>17.756652079712712</v>
      </c>
      <c r="U91" s="379">
        <f t="shared" si="21"/>
        <v>18.288215476066089</v>
      </c>
      <c r="V91" s="379">
        <f t="shared" si="21"/>
        <v>18.838038683744575</v>
      </c>
      <c r="W91" s="379">
        <f t="shared" si="21"/>
        <v>19.402063966898154</v>
      </c>
      <c r="X91" s="379">
        <f t="shared" si="21"/>
        <v>19.984349061376854</v>
      </c>
      <c r="Y91" s="379">
        <f t="shared" si="21"/>
        <v>20.584893967180665</v>
      </c>
      <c r="Z91" s="379">
        <f t="shared" si="21"/>
        <v>21.20166981638458</v>
      </c>
      <c r="AA91" s="379">
        <f t="shared" si="21"/>
        <v>21.838734344838628</v>
      </c>
      <c r="AB91" s="379">
        <f t="shared" si="21"/>
        <v>22.494058684617784</v>
      </c>
      <c r="AC91" s="379">
        <f t="shared" si="21"/>
        <v>23.167642835722059</v>
      </c>
      <c r="AD91" s="379">
        <f t="shared" si="21"/>
        <v>23.863544534001477</v>
      </c>
      <c r="AE91" s="379">
        <f t="shared" si="21"/>
        <v>24.579734911531023</v>
      </c>
      <c r="AF91" s="379">
        <f t="shared" si="21"/>
        <v>25.316213968310699</v>
      </c>
      <c r="AG91" s="379">
        <f t="shared" si="21"/>
        <v>26.075010572265516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28.06451612903226</v>
      </c>
      <c r="D92" s="379">
        <f t="shared" si="22"/>
        <v>29.516129032258064</v>
      </c>
      <c r="E92" s="379">
        <f t="shared" si="22"/>
        <v>30.401612903225811</v>
      </c>
      <c r="F92" s="379">
        <f t="shared" si="22"/>
        <v>31.313661290322582</v>
      </c>
      <c r="G92" s="379">
        <f t="shared" si="22"/>
        <v>32.253071129032257</v>
      </c>
      <c r="H92" s="379">
        <f t="shared" si="22"/>
        <v>33.22066326290323</v>
      </c>
      <c r="I92" s="379">
        <f t="shared" si="22"/>
        <v>34.217283160790323</v>
      </c>
      <c r="J92" s="379">
        <f t="shared" si="22"/>
        <v>35.243801655614035</v>
      </c>
      <c r="K92" s="379">
        <f t="shared" si="22"/>
        <v>36.301115705282456</v>
      </c>
      <c r="L92" s="379">
        <f t="shared" si="22"/>
        <v>37.390149176440929</v>
      </c>
      <c r="M92" s="379">
        <f t="shared" si="22"/>
        <v>38.511853651734157</v>
      </c>
      <c r="N92" s="379">
        <f t="shared" si="22"/>
        <v>39.667209261286182</v>
      </c>
      <c r="O92" s="379">
        <f t="shared" si="22"/>
        <v>40.857225539124769</v>
      </c>
      <c r="P92" s="379">
        <f t="shared" si="22"/>
        <v>42.082942305298516</v>
      </c>
      <c r="Q92" s="379">
        <f t="shared" si="22"/>
        <v>43.34543057445746</v>
      </c>
      <c r="R92" s="379">
        <f t="shared" si="22"/>
        <v>44.645793491691187</v>
      </c>
      <c r="S92" s="379">
        <f t="shared" si="22"/>
        <v>45.985167296441929</v>
      </c>
      <c r="T92" s="379">
        <f t="shared" si="22"/>
        <v>47.364722315335186</v>
      </c>
      <c r="U92" s="379">
        <f t="shared" si="22"/>
        <v>48.785663984795242</v>
      </c>
      <c r="V92" s="379">
        <f t="shared" si="22"/>
        <v>50.2492339043391</v>
      </c>
      <c r="W92" s="379">
        <f t="shared" si="22"/>
        <v>51.756710921469271</v>
      </c>
      <c r="X92" s="379">
        <f t="shared" si="22"/>
        <v>53.309412249113343</v>
      </c>
      <c r="Y92" s="379">
        <f t="shared" si="22"/>
        <v>54.908694616586743</v>
      </c>
      <c r="Z92" s="379">
        <f t="shared" si="22"/>
        <v>56.555955455084352</v>
      </c>
      <c r="AA92" s="379">
        <f t="shared" si="22"/>
        <v>58.252634118736879</v>
      </c>
      <c r="AB92" s="379">
        <f t="shared" si="22"/>
        <v>60.000213142298982</v>
      </c>
      <c r="AC92" s="379">
        <f t="shared" si="22"/>
        <v>61.800219536567958</v>
      </c>
      <c r="AD92" s="379">
        <f t="shared" si="22"/>
        <v>63.654226122665001</v>
      </c>
      <c r="AE92" s="379">
        <f t="shared" si="22"/>
        <v>65.563852906344948</v>
      </c>
      <c r="AF92" s="379">
        <f t="shared" si="22"/>
        <v>67.530768493535305</v>
      </c>
      <c r="AG92" s="379">
        <f t="shared" si="22"/>
        <v>69.556691548341362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23.672222222222221</v>
      </c>
      <c r="D93" s="379">
        <f t="shared" si="23"/>
        <v>24.367814814814814</v>
      </c>
      <c r="E93" s="379">
        <f t="shared" si="23"/>
        <v>25.087242222222223</v>
      </c>
      <c r="F93" s="379">
        <f t="shared" si="23"/>
        <v>25.8315938</v>
      </c>
      <c r="G93" s="379">
        <f t="shared" si="23"/>
        <v>26.610313319037033</v>
      </c>
      <c r="H93" s="379">
        <f t="shared" si="23"/>
        <v>27.488977583913336</v>
      </c>
      <c r="I93" s="379">
        <f t="shared" si="23"/>
        <v>28.331704714483607</v>
      </c>
      <c r="J93" s="379">
        <f t="shared" si="23"/>
        <v>29.201340240178457</v>
      </c>
      <c r="K93" s="379">
        <f t="shared" si="23"/>
        <v>30.108346934346336</v>
      </c>
      <c r="L93" s="379">
        <f t="shared" si="23"/>
        <v>31.043768760459869</v>
      </c>
      <c r="M93" s="379">
        <f t="shared" si="23"/>
        <v>32.017750413179414</v>
      </c>
      <c r="N93" s="379">
        <f t="shared" si="23"/>
        <v>33.03120504843816</v>
      </c>
      <c r="O93" s="379">
        <f t="shared" si="23"/>
        <v>34.084519093072345</v>
      </c>
      <c r="P93" s="379">
        <f t="shared" si="23"/>
        <v>35.179034876437392</v>
      </c>
      <c r="Q93" s="379">
        <f t="shared" si="23"/>
        <v>36.315199974666783</v>
      </c>
      <c r="R93" s="379">
        <f t="shared" si="23"/>
        <v>37.494235121264488</v>
      </c>
      <c r="S93" s="379">
        <f t="shared" si="23"/>
        <v>38.716654019276277</v>
      </c>
      <c r="T93" s="379">
        <f t="shared" si="23"/>
        <v>39.99300542739941</v>
      </c>
      <c r="U93" s="379">
        <f t="shared" si="23"/>
        <v>41.314800485061738</v>
      </c>
      <c r="V93" s="379">
        <f t="shared" si="23"/>
        <v>42.692662315658431</v>
      </c>
      <c r="W93" s="379">
        <f t="shared" si="23"/>
        <v>44.117994206479835</v>
      </c>
      <c r="X93" s="379">
        <f t="shared" si="23"/>
        <v>45.601499700990111</v>
      </c>
      <c r="Y93" s="379">
        <f t="shared" si="23"/>
        <v>47.14429534661739</v>
      </c>
      <c r="Z93" s="379">
        <f t="shared" si="23"/>
        <v>48.747356841312296</v>
      </c>
      <c r="AA93" s="379">
        <f t="shared" si="23"/>
        <v>50.412261544455163</v>
      </c>
      <c r="AB93" s="379">
        <f t="shared" si="23"/>
        <v>52.149338465944574</v>
      </c>
      <c r="AC93" s="379">
        <f t="shared" si="23"/>
        <v>53.950633143705474</v>
      </c>
      <c r="AD93" s="379">
        <f t="shared" si="23"/>
        <v>55.827131857005085</v>
      </c>
      <c r="AE93" s="379">
        <f t="shared" si="23"/>
        <v>57.780059993452944</v>
      </c>
      <c r="AF93" s="379">
        <f t="shared" si="23"/>
        <v>59.810884202498912</v>
      </c>
      <c r="AG93" s="379">
        <f t="shared" si="23"/>
        <v>61.921314635036815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2.9464285714285716</v>
      </c>
      <c r="D94" s="379">
        <f t="shared" si="24"/>
        <v>3.0351190476190477</v>
      </c>
      <c r="E94" s="379">
        <f t="shared" si="24"/>
        <v>3.1255952380952383</v>
      </c>
      <c r="F94" s="379">
        <f t="shared" si="24"/>
        <v>3.219642857142857</v>
      </c>
      <c r="G94" s="379">
        <f t="shared" si="24"/>
        <v>3.3160714285714286</v>
      </c>
      <c r="H94" s="379">
        <f t="shared" si="24"/>
        <v>3.6535714285714285</v>
      </c>
      <c r="I94" s="379">
        <f t="shared" si="24"/>
        <v>3.7636904761904764</v>
      </c>
      <c r="J94" s="379">
        <f t="shared" si="24"/>
        <v>3.8761904761904762</v>
      </c>
      <c r="K94" s="379">
        <f t="shared" si="24"/>
        <v>3.9928571428571429</v>
      </c>
      <c r="L94" s="379">
        <f t="shared" si="24"/>
        <v>4.1124999999999998</v>
      </c>
      <c r="M94" s="379">
        <f t="shared" si="24"/>
        <v>4.2357142857142858</v>
      </c>
      <c r="N94" s="379">
        <f t="shared" si="24"/>
        <v>3.393518518518519</v>
      </c>
      <c r="O94" s="379">
        <f t="shared" si="24"/>
        <v>3.4949074074074082</v>
      </c>
      <c r="P94" s="379">
        <f t="shared" si="24"/>
        <v>3.6000000000000005</v>
      </c>
      <c r="Q94" s="379">
        <f t="shared" si="24"/>
        <v>3.707870370370371</v>
      </c>
      <c r="R94" s="379">
        <f t="shared" si="24"/>
        <v>3.8194444444444451</v>
      </c>
      <c r="S94" s="379">
        <f t="shared" si="24"/>
        <v>3.9337962962962969</v>
      </c>
      <c r="T94" s="379">
        <f t="shared" si="24"/>
        <v>4.0518518518518523</v>
      </c>
      <c r="U94" s="379">
        <f t="shared" si="24"/>
        <v>4.1731481481481492</v>
      </c>
      <c r="V94" s="379">
        <f t="shared" si="24"/>
        <v>4.2986111111111116</v>
      </c>
      <c r="W94" s="379">
        <f t="shared" si="24"/>
        <v>4.4273148148148156</v>
      </c>
      <c r="X94" s="379">
        <f t="shared" si="24"/>
        <v>3.2572751322751321</v>
      </c>
      <c r="Y94" s="379">
        <f t="shared" si="24"/>
        <v>3.3551587301587302</v>
      </c>
      <c r="Z94" s="379">
        <f t="shared" si="24"/>
        <v>3.4556878306878307</v>
      </c>
      <c r="AA94" s="379">
        <f t="shared" si="24"/>
        <v>3.5595238095238093</v>
      </c>
      <c r="AB94" s="379">
        <f t="shared" si="24"/>
        <v>3.6663359788359786</v>
      </c>
      <c r="AC94" s="379">
        <f t="shared" si="24"/>
        <v>3.7761243386243386</v>
      </c>
      <c r="AD94" s="379">
        <f t="shared" si="24"/>
        <v>3.8895502645502646</v>
      </c>
      <c r="AE94" s="379">
        <f t="shared" si="24"/>
        <v>4.0062830687830688</v>
      </c>
      <c r="AF94" s="379">
        <f t="shared" si="24"/>
        <v>4.1263227513227516</v>
      </c>
      <c r="AG94" s="379">
        <f t="shared" si="24"/>
        <v>4.25</v>
      </c>
    </row>
    <row r="95" spans="1:34" s="352" customFormat="1">
      <c r="A95" s="380" t="s">
        <v>323</v>
      </c>
      <c r="B95" s="352" t="s">
        <v>300</v>
      </c>
      <c r="C95" s="429">
        <f>SUM(C91:C93)-C94</f>
        <v>58.833206008639664</v>
      </c>
      <c r="D95" s="429">
        <f t="shared" ref="D95" si="25">SUM(D91:D93)-D94</f>
        <v>61.194022349094496</v>
      </c>
      <c r="E95" s="429">
        <f t="shared" ref="E95" si="26">SUM(E91:E93)-E94</f>
        <v>63.016845361595422</v>
      </c>
      <c r="F95" s="429">
        <f t="shared" ref="F95:AG95" si="27">SUM(F91:F93)-F94</f>
        <v>64.899758839574375</v>
      </c>
      <c r="G95" s="429">
        <f t="shared" si="27"/>
        <v>66.850136229744606</v>
      </c>
      <c r="H95" s="429">
        <f t="shared" si="27"/>
        <v>69.509260741974188</v>
      </c>
      <c r="I95" s="429">
        <f t="shared" si="27"/>
        <v>71.613829288939883</v>
      </c>
      <c r="J95" s="429">
        <f t="shared" si="27"/>
        <v>73.78093934728588</v>
      </c>
      <c r="K95" s="429">
        <f t="shared" si="27"/>
        <v>76.026251537758029</v>
      </c>
      <c r="L95" s="429">
        <f t="shared" si="27"/>
        <v>78.338866430814775</v>
      </c>
      <c r="M95" s="429">
        <f t="shared" si="27"/>
        <v>80.731313933590926</v>
      </c>
      <c r="N95" s="429">
        <f t="shared" si="27"/>
        <v>84.176497681550231</v>
      </c>
      <c r="O95" s="429">
        <f t="shared" si="27"/>
        <v>86.762761190711913</v>
      </c>
      <c r="P95" s="429">
        <f t="shared" si="27"/>
        <v>89.438454166636063</v>
      </c>
      <c r="Q95" s="429">
        <f t="shared" si="27"/>
        <v>92.201963390182016</v>
      </c>
      <c r="R95" s="429">
        <f t="shared" si="27"/>
        <v>95.058744549867484</v>
      </c>
      <c r="S95" s="429">
        <f t="shared" si="27"/>
        <v>98.007315778256341</v>
      </c>
      <c r="T95" s="429">
        <f t="shared" si="27"/>
        <v>101.06252797059545</v>
      </c>
      <c r="U95" s="429">
        <f t="shared" si="27"/>
        <v>104.21553179777493</v>
      </c>
      <c r="V95" s="429">
        <f t="shared" si="27"/>
        <v>107.481323792631</v>
      </c>
      <c r="W95" s="429">
        <f t="shared" si="27"/>
        <v>110.84945428003243</v>
      </c>
      <c r="X95" s="429">
        <f t="shared" si="27"/>
        <v>115.63798587920517</v>
      </c>
      <c r="Y95" s="429">
        <f t="shared" si="27"/>
        <v>119.28272520022605</v>
      </c>
      <c r="Z95" s="429">
        <f t="shared" si="27"/>
        <v>123.04929428209338</v>
      </c>
      <c r="AA95" s="429">
        <f t="shared" si="27"/>
        <v>126.94410619850684</v>
      </c>
      <c r="AB95" s="429">
        <f t="shared" si="27"/>
        <v>130.97727431402535</v>
      </c>
      <c r="AC95" s="429">
        <f t="shared" si="27"/>
        <v>135.14237117737116</v>
      </c>
      <c r="AD95" s="429">
        <f t="shared" si="27"/>
        <v>139.45535224912132</v>
      </c>
      <c r="AE95" s="429">
        <f t="shared" si="27"/>
        <v>143.91736474254586</v>
      </c>
      <c r="AF95" s="429">
        <f t="shared" si="27"/>
        <v>148.53154391302215</v>
      </c>
      <c r="AG95" s="429">
        <f t="shared" si="27"/>
        <v>153.30301675564368</v>
      </c>
    </row>
    <row r="96" spans="1:34" s="344" customFormat="1">
      <c r="A96" s="342" t="s">
        <v>180</v>
      </c>
      <c r="B96" s="342"/>
      <c r="H96" s="430">
        <f>H98/H63</f>
        <v>1.1043668570256129</v>
      </c>
      <c r="AB96" s="430">
        <f>AB98/AB63</f>
        <v>1.0704886684211523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00" t="s">
        <v>326</v>
      </c>
      <c r="B98" s="300" t="s">
        <v>309</v>
      </c>
      <c r="C98" s="376">
        <f>ROUND(('Changing with year'!C109)/1000,0)*1000</f>
        <v>5280000</v>
      </c>
      <c r="D98" s="376">
        <f>ROUND(('Changing with year'!D109)/1000,0)*1000</f>
        <v>5427000</v>
      </c>
      <c r="E98" s="376">
        <f>ROUND(('Changing with year'!E109)/1000,0)*1000</f>
        <v>5578000</v>
      </c>
      <c r="F98" s="376">
        <f>ROUND(('Changing with year'!F109)/1000,0)*1000</f>
        <v>5734000</v>
      </c>
      <c r="G98" s="376">
        <f>ROUND(('Changing with year'!G109)/1000,0)*1000</f>
        <v>5894000</v>
      </c>
      <c r="H98" s="376">
        <f>ROUND(('Changing with year'!H109)/1000,0)*1000</f>
        <v>6459000</v>
      </c>
      <c r="I98" s="376">
        <f>ROUND(('Changing with year'!I109)/1000,0)*1000</f>
        <v>6640000</v>
      </c>
      <c r="J98" s="376">
        <f>ROUND(('Changing with year'!J109)/1000,0)*1000</f>
        <v>6827000</v>
      </c>
      <c r="K98" s="376">
        <f>ROUND(('Changing with year'!K109)/1000,0)*1000</f>
        <v>7019000</v>
      </c>
      <c r="L98" s="376">
        <f>ROUND(('Changing with year'!L109)/1000,0)*1000</f>
        <v>7217000</v>
      </c>
      <c r="M98" s="376">
        <f>ROUND(('Changing with year'!M109)/1000,0)*1000</f>
        <v>7421000</v>
      </c>
      <c r="N98" s="376">
        <f>ROUND(('Changing with year'!N109)/1000,0)*1000</f>
        <v>7631000</v>
      </c>
      <c r="O98" s="376">
        <f>ROUND(('Changing with year'!O109)/1000,0)*1000</f>
        <v>7847000</v>
      </c>
      <c r="P98" s="376">
        <f>ROUND(('Changing with year'!P109)/1000,0)*1000</f>
        <v>8069000</v>
      </c>
      <c r="Q98" s="376">
        <f>ROUND(('Changing with year'!Q109)/1000,0)*1000</f>
        <v>8298000</v>
      </c>
      <c r="R98" s="376">
        <f>ROUND(('Changing with year'!R109)/1000,0)*1000</f>
        <v>8534000</v>
      </c>
      <c r="S98" s="376">
        <f>ROUND(('Changing with year'!S109)/1000,0)*1000</f>
        <v>8776000</v>
      </c>
      <c r="T98" s="376">
        <f>ROUND(('Changing with year'!T109)/1000,0)*1000</f>
        <v>9026000</v>
      </c>
      <c r="U98" s="376">
        <f>ROUND(('Changing with year'!U109)/1000,0)*1000</f>
        <v>9283000</v>
      </c>
      <c r="V98" s="376">
        <f>ROUND(('Changing with year'!V109)/1000,0)*1000</f>
        <v>9548000</v>
      </c>
      <c r="W98" s="376">
        <f>ROUND(('Changing with year'!W109)/1000,0)*1000</f>
        <v>9820000</v>
      </c>
      <c r="X98" s="376">
        <f>ROUND(('Changing with year'!X109)/1000,0)*1000</f>
        <v>10101000</v>
      </c>
      <c r="Y98" s="376">
        <f>ROUND(('Changing with year'!Y109)/1000,0)*1000</f>
        <v>10389000</v>
      </c>
      <c r="Z98" s="376">
        <f>ROUND(('Changing with year'!Z109)/1000,0)*1000</f>
        <v>10687000</v>
      </c>
      <c r="AA98" s="376">
        <f>ROUND(('Changing with year'!AA109)/1000,0)*1000</f>
        <v>10993000</v>
      </c>
      <c r="AB98" s="376">
        <f>ROUND(('Changing with year'!AB109)/1000,0)*1000</f>
        <v>11308000</v>
      </c>
      <c r="AC98" s="376">
        <f>ROUND(('Changing with year'!AC109)/1000,0)*1000</f>
        <v>11632000</v>
      </c>
      <c r="AD98" s="376">
        <f>ROUND(('Changing with year'!AD109)/1000,0)*1000</f>
        <v>11966000</v>
      </c>
      <c r="AE98" s="376">
        <f>ROUND(('Changing with year'!AE109)/1000,0)*1000</f>
        <v>12310000</v>
      </c>
      <c r="AF98" s="376">
        <f>ROUND(('Changing with year'!AF109)/1000,0)*1000</f>
        <v>12664000</v>
      </c>
      <c r="AG98" s="376">
        <f>ROUND(('Changing with year'!AG109)/1000,0)*1000</f>
        <v>13028000</v>
      </c>
    </row>
    <row r="99" spans="1:34">
      <c r="A99" s="300" t="s">
        <v>310</v>
      </c>
      <c r="B99" s="300" t="s">
        <v>309</v>
      </c>
      <c r="C99" s="376">
        <f>(C98*'No change with year'!$AE$7)</f>
        <v>2376000</v>
      </c>
      <c r="D99" s="376">
        <f>(D98*'No change with year'!$AE$7)</f>
        <v>2442150</v>
      </c>
      <c r="E99" s="376">
        <f>(E98*'No change with year'!$AE$7)</f>
        <v>2510100</v>
      </c>
      <c r="F99" s="376">
        <f>(F98*'No change with year'!$AE$7)</f>
        <v>2580300</v>
      </c>
      <c r="G99" s="376">
        <f>(G98*'No change with year'!$AE$7)</f>
        <v>2652300</v>
      </c>
      <c r="H99" s="376">
        <f>(H98*'No change with year'!$AE$7)</f>
        <v>2906550</v>
      </c>
      <c r="I99" s="376">
        <f>(I98*'No change with year'!$AE$7)</f>
        <v>2988000</v>
      </c>
      <c r="J99" s="376">
        <f>(J98*'No change with year'!$AE$7)</f>
        <v>3072150</v>
      </c>
      <c r="K99" s="376">
        <f>(K98*'No change with year'!$AE$7)</f>
        <v>3158550</v>
      </c>
      <c r="L99" s="376">
        <f>(L98*'No change with year'!$AE$7)</f>
        <v>3247650</v>
      </c>
      <c r="M99" s="376">
        <f>(M98*'No change with year'!$AE$7)</f>
        <v>3339450</v>
      </c>
      <c r="N99" s="376">
        <f>(N98*'No change with year'!$AF$7)</f>
        <v>2670850.0000000005</v>
      </c>
      <c r="O99" s="376">
        <f>(O98*'No change with year'!$AF$7)</f>
        <v>2746450.0000000005</v>
      </c>
      <c r="P99" s="376">
        <f>(P98*'No change with year'!$AF$7)</f>
        <v>2824150.0000000005</v>
      </c>
      <c r="Q99" s="376">
        <f>(Q98*'No change with year'!$AF$7)</f>
        <v>2904300.0000000005</v>
      </c>
      <c r="R99" s="376">
        <f>(R98*'No change with year'!$AF$7)</f>
        <v>2986900.0000000005</v>
      </c>
      <c r="S99" s="376">
        <f>(S98*'No change with year'!$AF$7)</f>
        <v>3071600.0000000005</v>
      </c>
      <c r="T99" s="376">
        <f>(T98*'No change with year'!$AF$7)</f>
        <v>3159100.0000000005</v>
      </c>
      <c r="U99" s="376">
        <f>(U98*'No change with year'!$AF$7)</f>
        <v>3249050.0000000005</v>
      </c>
      <c r="V99" s="376">
        <f>(V98*'No change with year'!$AF$7)</f>
        <v>3341800.0000000005</v>
      </c>
      <c r="W99" s="376">
        <f>(W98*'No change with year'!$AF$7)</f>
        <v>3437000.0000000005</v>
      </c>
      <c r="X99" s="376">
        <f>(X98*'No change with year'!$AG$7)</f>
        <v>2525250</v>
      </c>
      <c r="Y99" s="376">
        <f>(Y98*'No change with year'!$AG$7)</f>
        <v>2597250</v>
      </c>
      <c r="Z99" s="376">
        <f>(Z98*'No change with year'!$AG$7)</f>
        <v>2671750</v>
      </c>
      <c r="AA99" s="376">
        <f>(AA98*'No change with year'!$AG$7)</f>
        <v>2748250</v>
      </c>
      <c r="AB99" s="376">
        <f>(AB98*'No change with year'!$AG$7)</f>
        <v>2827000</v>
      </c>
      <c r="AC99" s="376">
        <f>(AC98*'No change with year'!$AG$7)</f>
        <v>2908000</v>
      </c>
      <c r="AD99" s="376">
        <f>(AD98*'No change with year'!$AG$7)</f>
        <v>2991500</v>
      </c>
      <c r="AE99" s="376">
        <f>(AE98*'No change with year'!$AG$7)</f>
        <v>3077500</v>
      </c>
      <c r="AF99" s="376">
        <f>(AF98*'No change with year'!$AG$7)</f>
        <v>3166000</v>
      </c>
      <c r="AG99" s="376">
        <f>(AG98*'No change with year'!$AG$7)</f>
        <v>3257000</v>
      </c>
    </row>
    <row r="100" spans="1:34" s="371" customFormat="1" ht="11.85" customHeight="1">
      <c r="A100" s="428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00" t="s">
        <v>312</v>
      </c>
      <c r="B101" s="300" t="s">
        <v>313</v>
      </c>
      <c r="C101" s="376">
        <f t="shared" ref="C101:AG101" si="29">-PMT($C$26,$C$25,C98)</f>
        <v>1156941.6455593437</v>
      </c>
      <c r="D101" s="376">
        <f t="shared" si="29"/>
        <v>1189151.9527368483</v>
      </c>
      <c r="E101" s="376">
        <f t="shared" si="29"/>
        <v>1222238.7308579583</v>
      </c>
      <c r="F101" s="376">
        <f t="shared" si="29"/>
        <v>1256421.0976585753</v>
      </c>
      <c r="G101" s="376">
        <f t="shared" si="29"/>
        <v>1291479.9354027978</v>
      </c>
      <c r="H101" s="376">
        <f t="shared" si="29"/>
        <v>1415281.4561870839</v>
      </c>
      <c r="I101" s="376">
        <f t="shared" si="29"/>
        <v>1454941.7663852354</v>
      </c>
      <c r="J101" s="376">
        <f t="shared" si="29"/>
        <v>1495916.7829987954</v>
      </c>
      <c r="K101" s="376">
        <f t="shared" si="29"/>
        <v>1537987.3882918626</v>
      </c>
      <c r="L101" s="376">
        <f t="shared" si="29"/>
        <v>1581372.700000338</v>
      </c>
      <c r="M101" s="376">
        <f t="shared" si="29"/>
        <v>1626072.7181242215</v>
      </c>
      <c r="N101" s="376">
        <f t="shared" si="29"/>
        <v>1672087.4426635138</v>
      </c>
      <c r="O101" s="376">
        <f t="shared" si="29"/>
        <v>1719416.8736182142</v>
      </c>
      <c r="P101" s="376">
        <f t="shared" si="29"/>
        <v>1768061.0109883228</v>
      </c>
      <c r="Q101" s="376">
        <f t="shared" si="29"/>
        <v>1818238.9725097416</v>
      </c>
      <c r="R101" s="376">
        <f t="shared" si="29"/>
        <v>1869950.7581824695</v>
      </c>
      <c r="S101" s="376">
        <f t="shared" si="29"/>
        <v>1922977.2502706063</v>
      </c>
      <c r="T101" s="376">
        <f t="shared" si="29"/>
        <v>1977756.684245954</v>
      </c>
      <c r="U101" s="376">
        <f t="shared" si="29"/>
        <v>2034069.9423726117</v>
      </c>
      <c r="V101" s="376">
        <f t="shared" si="29"/>
        <v>2092136.14238648</v>
      </c>
      <c r="W101" s="376">
        <f t="shared" si="29"/>
        <v>2151736.1665516584</v>
      </c>
      <c r="X101" s="376">
        <f t="shared" si="29"/>
        <v>2213308.250339949</v>
      </c>
      <c r="Y101" s="376">
        <f t="shared" si="29"/>
        <v>2276414.1582795498</v>
      </c>
      <c r="Z101" s="376">
        <f t="shared" si="29"/>
        <v>2341711.2435781639</v>
      </c>
      <c r="AA101" s="376">
        <f t="shared" si="29"/>
        <v>2408761.27076399</v>
      </c>
      <c r="AB101" s="376">
        <f t="shared" si="29"/>
        <v>2477783.3575729281</v>
      </c>
      <c r="AC101" s="376">
        <f t="shared" si="29"/>
        <v>2548777.5040049786</v>
      </c>
      <c r="AD101" s="376">
        <f t="shared" si="29"/>
        <v>2621962.8277960429</v>
      </c>
      <c r="AE101" s="376">
        <f t="shared" si="29"/>
        <v>2697339.3289461215</v>
      </c>
      <c r="AF101" s="376">
        <f t="shared" si="29"/>
        <v>2774907.0074552139</v>
      </c>
      <c r="AG101" s="376">
        <f t="shared" si="29"/>
        <v>2854665.8633233206</v>
      </c>
    </row>
    <row r="102" spans="1:34">
      <c r="A102" s="300" t="s">
        <v>321</v>
      </c>
      <c r="B102" s="300" t="s">
        <v>309</v>
      </c>
      <c r="C102" s="376">
        <f t="shared" ref="C102:AG102" si="30">$E$37*C44</f>
        <v>2988000</v>
      </c>
      <c r="D102" s="376">
        <f t="shared" si="30"/>
        <v>3096000</v>
      </c>
      <c r="E102" s="376">
        <f t="shared" si="30"/>
        <v>3188880</v>
      </c>
      <c r="F102" s="376">
        <f t="shared" si="30"/>
        <v>3284546.4</v>
      </c>
      <c r="G102" s="376">
        <f t="shared" si="30"/>
        <v>3383082.7919999999</v>
      </c>
      <c r="H102" s="376">
        <f t="shared" si="30"/>
        <v>3484575.2757600001</v>
      </c>
      <c r="I102" s="376">
        <f t="shared" si="30"/>
        <v>3589112.5340328002</v>
      </c>
      <c r="J102" s="376">
        <f t="shared" si="30"/>
        <v>3696785.9100537845</v>
      </c>
      <c r="K102" s="376">
        <f t="shared" si="30"/>
        <v>3807689.487355398</v>
      </c>
      <c r="L102" s="376">
        <f t="shared" si="30"/>
        <v>3921920.1719760601</v>
      </c>
      <c r="M102" s="376">
        <f t="shared" si="30"/>
        <v>4039577.7771353419</v>
      </c>
      <c r="N102" s="376">
        <f t="shared" si="30"/>
        <v>4160765.1104494021</v>
      </c>
      <c r="O102" s="376">
        <f t="shared" si="30"/>
        <v>4285588.0637628846</v>
      </c>
      <c r="P102" s="376">
        <f t="shared" si="30"/>
        <v>4414155.7056757715</v>
      </c>
      <c r="Q102" s="376">
        <f t="shared" si="30"/>
        <v>4546580.3768460443</v>
      </c>
      <c r="R102" s="376">
        <f t="shared" si="30"/>
        <v>4682977.7881514262</v>
      </c>
      <c r="S102" s="376">
        <f t="shared" si="30"/>
        <v>4823467.1217959682</v>
      </c>
      <c r="T102" s="376">
        <f t="shared" si="30"/>
        <v>4968171.1354498472</v>
      </c>
      <c r="U102" s="376">
        <f t="shared" si="30"/>
        <v>5117216.2695133435</v>
      </c>
      <c r="V102" s="376">
        <f t="shared" si="30"/>
        <v>5270732.7575987438</v>
      </c>
      <c r="W102" s="376">
        <f t="shared" si="30"/>
        <v>5428854.7403267063</v>
      </c>
      <c r="X102" s="376">
        <f t="shared" si="30"/>
        <v>5591720.3825365072</v>
      </c>
      <c r="Y102" s="376">
        <f t="shared" si="30"/>
        <v>5759471.9940126035</v>
      </c>
      <c r="Z102" s="376">
        <f t="shared" si="30"/>
        <v>5932256.1538329814</v>
      </c>
      <c r="AA102" s="376">
        <f t="shared" si="30"/>
        <v>6110223.8384479713</v>
      </c>
      <c r="AB102" s="376">
        <f t="shared" si="30"/>
        <v>6293530.5536014102</v>
      </c>
      <c r="AC102" s="376">
        <f t="shared" si="30"/>
        <v>6482336.4702094523</v>
      </c>
      <c r="AD102" s="376">
        <f t="shared" si="30"/>
        <v>6676806.5643157363</v>
      </c>
      <c r="AE102" s="376">
        <f t="shared" si="30"/>
        <v>6877110.7612452079</v>
      </c>
      <c r="AF102" s="376">
        <f t="shared" si="30"/>
        <v>7083424.0840825643</v>
      </c>
      <c r="AG102" s="376">
        <f t="shared" si="30"/>
        <v>7295926.806605041</v>
      </c>
    </row>
    <row r="103" spans="1:34">
      <c r="A103" s="300" t="s">
        <v>317</v>
      </c>
      <c r="B103" s="300" t="s">
        <v>309</v>
      </c>
      <c r="C103" s="376">
        <f t="shared" ref="C103:AG103" si="31">C56*$C$21*$C$22</f>
        <v>885599.99999999988</v>
      </c>
      <c r="D103" s="376">
        <f t="shared" si="31"/>
        <v>921023.99999999988</v>
      </c>
      <c r="E103" s="376">
        <f t="shared" si="31"/>
        <v>957864.95999999996</v>
      </c>
      <c r="F103" s="376">
        <f t="shared" si="31"/>
        <v>996179.55839999986</v>
      </c>
      <c r="G103" s="376">
        <f t="shared" si="31"/>
        <v>1036026.7407359999</v>
      </c>
      <c r="H103" s="376">
        <f t="shared" si="31"/>
        <v>1077467.8103654401</v>
      </c>
      <c r="I103" s="376">
        <f t="shared" si="31"/>
        <v>1120566.5227800577</v>
      </c>
      <c r="J103" s="376">
        <f t="shared" si="31"/>
        <v>1165389.1836912599</v>
      </c>
      <c r="K103" s="376">
        <f t="shared" si="31"/>
        <v>1212004.7510389104</v>
      </c>
      <c r="L103" s="376">
        <f t="shared" si="31"/>
        <v>1260484.9410804671</v>
      </c>
      <c r="M103" s="376">
        <f t="shared" si="31"/>
        <v>1310904.3387236858</v>
      </c>
      <c r="N103" s="376">
        <f t="shared" si="31"/>
        <v>1363340.5122726331</v>
      </c>
      <c r="O103" s="376">
        <f t="shared" si="31"/>
        <v>1417874.1327635385</v>
      </c>
      <c r="P103" s="376">
        <f t="shared" si="31"/>
        <v>1474589.0980740802</v>
      </c>
      <c r="Q103" s="376">
        <f t="shared" si="31"/>
        <v>1533572.6619970435</v>
      </c>
      <c r="R103" s="376">
        <f t="shared" si="31"/>
        <v>1594915.5684769254</v>
      </c>
      <c r="S103" s="376">
        <f t="shared" si="31"/>
        <v>1658712.1912160025</v>
      </c>
      <c r="T103" s="376">
        <f t="shared" si="31"/>
        <v>1725060.6788646425</v>
      </c>
      <c r="U103" s="376">
        <f t="shared" si="31"/>
        <v>1794063.1060192287</v>
      </c>
      <c r="V103" s="376">
        <f t="shared" si="31"/>
        <v>1865825.6302599974</v>
      </c>
      <c r="W103" s="376">
        <f t="shared" si="31"/>
        <v>1940458.6554703978</v>
      </c>
      <c r="X103" s="376">
        <f t="shared" si="31"/>
        <v>2018077.0016892138</v>
      </c>
      <c r="Y103" s="376">
        <f t="shared" si="31"/>
        <v>2098800.0817567823</v>
      </c>
      <c r="Z103" s="376">
        <f t="shared" si="31"/>
        <v>2182752.0850270535</v>
      </c>
      <c r="AA103" s="376">
        <f t="shared" si="31"/>
        <v>2270062.168428136</v>
      </c>
      <c r="AB103" s="376">
        <f t="shared" si="31"/>
        <v>2360864.6551652616</v>
      </c>
      <c r="AC103" s="376">
        <f t="shared" si="31"/>
        <v>2455299.2413718724</v>
      </c>
      <c r="AD103" s="376">
        <f t="shared" si="31"/>
        <v>2553511.2110267472</v>
      </c>
      <c r="AE103" s="376">
        <f t="shared" si="31"/>
        <v>2655651.6594678173</v>
      </c>
      <c r="AF103" s="376">
        <f t="shared" si="31"/>
        <v>2761877.7258465299</v>
      </c>
      <c r="AG103" s="376">
        <f t="shared" si="31"/>
        <v>2872352.8348803907</v>
      </c>
    </row>
    <row r="104" spans="1:34">
      <c r="A104" s="300" t="s">
        <v>318</v>
      </c>
      <c r="B104" s="300" t="s">
        <v>313</v>
      </c>
      <c r="C104" s="376">
        <f>'Changing with year'!C291</f>
        <v>600000</v>
      </c>
      <c r="D104" s="376">
        <f>'Changing with year'!D291</f>
        <v>627000</v>
      </c>
      <c r="E104" s="376">
        <f>'Changing with year'!E291</f>
        <v>655000</v>
      </c>
      <c r="F104" s="376">
        <f>'Changing with year'!F291</f>
        <v>684000</v>
      </c>
      <c r="G104" s="376">
        <f>'Changing with year'!G291</f>
        <v>715000</v>
      </c>
      <c r="H104" s="376">
        <f>'Changing with year'!H291</f>
        <v>747000</v>
      </c>
      <c r="I104" s="376">
        <f>'Changing with year'!I291</f>
        <v>781000</v>
      </c>
      <c r="J104" s="376">
        <f>'Changing with year'!J291</f>
        <v>816000</v>
      </c>
      <c r="K104" s="376">
        <f>'Changing with year'!K291</f>
        <v>853000</v>
      </c>
      <c r="L104" s="376">
        <f>'Changing with year'!L291</f>
        <v>891000</v>
      </c>
      <c r="M104" s="376">
        <f>'Changing with year'!M291</f>
        <v>931000</v>
      </c>
      <c r="N104" s="376">
        <f>'Changing with year'!N291</f>
        <v>973000</v>
      </c>
      <c r="O104" s="376">
        <f>'Changing with year'!O291</f>
        <v>1017000</v>
      </c>
      <c r="P104" s="376">
        <f>'Changing with year'!P291</f>
        <v>1063000</v>
      </c>
      <c r="Q104" s="376">
        <f>'Changing with year'!Q291</f>
        <v>1111000</v>
      </c>
      <c r="R104" s="376">
        <f>'Changing with year'!R291</f>
        <v>1161000</v>
      </c>
      <c r="S104" s="376">
        <f>'Changing with year'!S291</f>
        <v>1213000</v>
      </c>
      <c r="T104" s="376">
        <f>'Changing with year'!T291</f>
        <v>1268000</v>
      </c>
      <c r="U104" s="376">
        <f>'Changing with year'!U291</f>
        <v>1325000</v>
      </c>
      <c r="V104" s="376">
        <f>'Changing with year'!V291</f>
        <v>1385000</v>
      </c>
      <c r="W104" s="376">
        <f>'Changing with year'!W291</f>
        <v>1447000</v>
      </c>
      <c r="X104" s="376">
        <f>'Changing with year'!X291</f>
        <v>1512000</v>
      </c>
      <c r="Y104" s="376">
        <f>'Changing with year'!Y291</f>
        <v>1580000</v>
      </c>
      <c r="Z104" s="376">
        <f>'Changing with year'!Z291</f>
        <v>1651000</v>
      </c>
      <c r="AA104" s="376">
        <f>'Changing with year'!AA291</f>
        <v>1725000</v>
      </c>
      <c r="AB104" s="376">
        <f>'Changing with year'!AB291</f>
        <v>1803000</v>
      </c>
      <c r="AC104" s="376">
        <f>'Changing with year'!AC291</f>
        <v>1884000</v>
      </c>
      <c r="AD104" s="376">
        <f>'Changing with year'!AD291</f>
        <v>1969000</v>
      </c>
      <c r="AE104" s="376">
        <f>'Changing with year'!AE291</f>
        <v>2058000</v>
      </c>
      <c r="AF104" s="376">
        <f>'Changing with year'!AF291</f>
        <v>2151000</v>
      </c>
      <c r="AG104" s="376">
        <f>'Changing with year'!AG291</f>
        <v>2248000</v>
      </c>
      <c r="AH104" s="339"/>
    </row>
    <row r="105" spans="1:34">
      <c r="A105" s="300" t="s">
        <v>272</v>
      </c>
      <c r="B105" s="300" t="s">
        <v>313</v>
      </c>
      <c r="C105" s="376">
        <f t="shared" ref="C105:AG105" si="32">C59</f>
        <v>972000</v>
      </c>
      <c r="D105" s="376">
        <f t="shared" si="32"/>
        <v>981720</v>
      </c>
      <c r="E105" s="376">
        <f t="shared" si="32"/>
        <v>991537.2</v>
      </c>
      <c r="F105" s="376">
        <f t="shared" si="32"/>
        <v>1001452.5719999999</v>
      </c>
      <c r="G105" s="376">
        <f t="shared" si="32"/>
        <v>1011467.0977199998</v>
      </c>
      <c r="H105" s="376">
        <f t="shared" si="32"/>
        <v>1021581.7686972</v>
      </c>
      <c r="I105" s="376">
        <f t="shared" si="32"/>
        <v>1031797.586384172</v>
      </c>
      <c r="J105" s="376">
        <f t="shared" si="32"/>
        <v>1042115.5622480137</v>
      </c>
      <c r="K105" s="376">
        <f t="shared" si="32"/>
        <v>1052536.7178704939</v>
      </c>
      <c r="L105" s="376">
        <f t="shared" si="32"/>
        <v>1063062.0850491989</v>
      </c>
      <c r="M105" s="376">
        <f t="shared" si="32"/>
        <v>1073692.705899691</v>
      </c>
      <c r="N105" s="376">
        <f t="shared" si="32"/>
        <v>1084429.6329586878</v>
      </c>
      <c r="O105" s="376">
        <f t="shared" si="32"/>
        <v>1095273.9292882748</v>
      </c>
      <c r="P105" s="376">
        <f t="shared" si="32"/>
        <v>1106226.6685811577</v>
      </c>
      <c r="Q105" s="376">
        <f t="shared" si="32"/>
        <v>1117288.9352669693</v>
      </c>
      <c r="R105" s="376">
        <f t="shared" si="32"/>
        <v>1128461.824619639</v>
      </c>
      <c r="S105" s="376">
        <f t="shared" si="32"/>
        <v>1139746.4428658355</v>
      </c>
      <c r="T105" s="376">
        <f t="shared" si="32"/>
        <v>1151143.9072944939</v>
      </c>
      <c r="U105" s="376">
        <f t="shared" si="32"/>
        <v>1162655.3463674388</v>
      </c>
      <c r="V105" s="376">
        <f t="shared" si="32"/>
        <v>1174281.8998311132</v>
      </c>
      <c r="W105" s="376">
        <f t="shared" si="32"/>
        <v>1186024.7188294244</v>
      </c>
      <c r="X105" s="376">
        <f t="shared" si="32"/>
        <v>1197884.9660177184</v>
      </c>
      <c r="Y105" s="376">
        <f t="shared" si="32"/>
        <v>1209863.8156778959</v>
      </c>
      <c r="Z105" s="376">
        <f t="shared" si="32"/>
        <v>1221962.4538346748</v>
      </c>
      <c r="AA105" s="376">
        <f t="shared" si="32"/>
        <v>1234182.0783730214</v>
      </c>
      <c r="AB105" s="376">
        <f t="shared" si="32"/>
        <v>1246523.8991567518</v>
      </c>
      <c r="AC105" s="376">
        <f t="shared" si="32"/>
        <v>1258989.1381483194</v>
      </c>
      <c r="AD105" s="376">
        <f t="shared" si="32"/>
        <v>1271579.0295298027</v>
      </c>
      <c r="AE105" s="376">
        <f t="shared" si="32"/>
        <v>1284294.8198251007</v>
      </c>
      <c r="AF105" s="376">
        <f t="shared" si="32"/>
        <v>1297137.7680233517</v>
      </c>
      <c r="AG105" s="376">
        <f t="shared" si="32"/>
        <v>1310109.1457035851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105600</v>
      </c>
      <c r="D106" s="376">
        <f t="shared" si="33"/>
        <v>108540</v>
      </c>
      <c r="E106" s="376">
        <f t="shared" si="33"/>
        <v>111560</v>
      </c>
      <c r="F106" s="376">
        <f t="shared" si="33"/>
        <v>114680</v>
      </c>
      <c r="G106" s="376">
        <f t="shared" si="33"/>
        <v>117880</v>
      </c>
      <c r="H106" s="376">
        <f t="shared" si="33"/>
        <v>129180</v>
      </c>
      <c r="I106" s="376">
        <f t="shared" si="33"/>
        <v>132800</v>
      </c>
      <c r="J106" s="376">
        <f t="shared" si="33"/>
        <v>136540</v>
      </c>
      <c r="K106" s="376">
        <f t="shared" si="33"/>
        <v>140380</v>
      </c>
      <c r="L106" s="376">
        <f t="shared" si="33"/>
        <v>144340</v>
      </c>
      <c r="M106" s="376">
        <f t="shared" si="33"/>
        <v>148420</v>
      </c>
      <c r="N106" s="376">
        <f t="shared" si="33"/>
        <v>152620</v>
      </c>
      <c r="O106" s="376">
        <f t="shared" si="33"/>
        <v>156940</v>
      </c>
      <c r="P106" s="376">
        <f t="shared" si="33"/>
        <v>161380</v>
      </c>
      <c r="Q106" s="376">
        <f t="shared" si="33"/>
        <v>165960</v>
      </c>
      <c r="R106" s="376">
        <f t="shared" si="33"/>
        <v>170680</v>
      </c>
      <c r="S106" s="376">
        <f t="shared" si="33"/>
        <v>175520</v>
      </c>
      <c r="T106" s="376">
        <f t="shared" si="33"/>
        <v>180520</v>
      </c>
      <c r="U106" s="376">
        <f t="shared" si="33"/>
        <v>185660</v>
      </c>
      <c r="V106" s="376">
        <f t="shared" si="33"/>
        <v>190960</v>
      </c>
      <c r="W106" s="376">
        <f t="shared" si="33"/>
        <v>196400</v>
      </c>
      <c r="X106" s="376">
        <f t="shared" si="33"/>
        <v>202020</v>
      </c>
      <c r="Y106" s="376">
        <f t="shared" si="33"/>
        <v>207780</v>
      </c>
      <c r="Z106" s="376">
        <f t="shared" si="33"/>
        <v>213740</v>
      </c>
      <c r="AA106" s="376">
        <f t="shared" si="33"/>
        <v>219860</v>
      </c>
      <c r="AB106" s="376">
        <f t="shared" si="33"/>
        <v>226160</v>
      </c>
      <c r="AC106" s="376">
        <f t="shared" si="33"/>
        <v>232640</v>
      </c>
      <c r="AD106" s="376">
        <f t="shared" si="33"/>
        <v>239320</v>
      </c>
      <c r="AE106" s="376">
        <f t="shared" si="33"/>
        <v>246200</v>
      </c>
      <c r="AF106" s="376">
        <f t="shared" si="33"/>
        <v>253280</v>
      </c>
      <c r="AG106" s="376">
        <f t="shared" si="33"/>
        <v>260560</v>
      </c>
    </row>
    <row r="107" spans="1:34" s="371" customFormat="1" ht="11.85" customHeight="1">
      <c r="A107" s="428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10.712422644067997</v>
      </c>
      <c r="D108" s="379">
        <f t="shared" si="34"/>
        <v>11.010666229044892</v>
      </c>
      <c r="E108" s="379">
        <f t="shared" si="34"/>
        <v>11.317025285721837</v>
      </c>
      <c r="F108" s="379">
        <f t="shared" si="34"/>
        <v>11.633528682023845</v>
      </c>
      <c r="G108" s="379">
        <f t="shared" si="34"/>
        <v>11.958147550025906</v>
      </c>
      <c r="H108" s="379">
        <f t="shared" si="34"/>
        <v>13.104457927658183</v>
      </c>
      <c r="I108" s="379">
        <f t="shared" si="34"/>
        <v>13.471683022085513</v>
      </c>
      <c r="J108" s="379">
        <f t="shared" si="34"/>
        <v>13.851081324062921</v>
      </c>
      <c r="K108" s="379">
        <f t="shared" si="34"/>
        <v>14.240623965665394</v>
      </c>
      <c r="L108" s="379">
        <f t="shared" si="34"/>
        <v>14.642339814817944</v>
      </c>
      <c r="M108" s="379">
        <f t="shared" si="34"/>
        <v>15.05622887152057</v>
      </c>
      <c r="N108" s="379">
        <f t="shared" si="34"/>
        <v>15.482291135773275</v>
      </c>
      <c r="O108" s="379">
        <f t="shared" si="34"/>
        <v>15.920526607576058</v>
      </c>
      <c r="P108" s="379">
        <f t="shared" si="34"/>
        <v>16.370935286928916</v>
      </c>
      <c r="Q108" s="379">
        <f t="shared" si="34"/>
        <v>16.835546041756867</v>
      </c>
      <c r="R108" s="379">
        <f t="shared" si="34"/>
        <v>17.314358872059902</v>
      </c>
      <c r="S108" s="379">
        <f t="shared" si="34"/>
        <v>17.805344909913021</v>
      </c>
      <c r="T108" s="379">
        <f t="shared" si="34"/>
        <v>18.31256189116624</v>
      </c>
      <c r="U108" s="379">
        <f t="shared" si="34"/>
        <v>18.833980947894553</v>
      </c>
      <c r="V108" s="379">
        <f t="shared" si="34"/>
        <v>19.371630948022965</v>
      </c>
      <c r="W108" s="379">
        <f t="shared" si="34"/>
        <v>19.923483023626467</v>
      </c>
      <c r="X108" s="379">
        <f t="shared" si="34"/>
        <v>20.493594910555085</v>
      </c>
      <c r="Y108" s="379">
        <f t="shared" si="34"/>
        <v>21.077908872958794</v>
      </c>
      <c r="Z108" s="379">
        <f t="shared" si="34"/>
        <v>21.682511514612628</v>
      </c>
      <c r="AA108" s="379">
        <f t="shared" si="34"/>
        <v>22.303345099666576</v>
      </c>
      <c r="AB108" s="379">
        <f t="shared" si="34"/>
        <v>22.942438496045629</v>
      </c>
      <c r="AC108" s="379">
        <f t="shared" si="34"/>
        <v>23.599791703749801</v>
      </c>
      <c r="AD108" s="379">
        <f t="shared" si="34"/>
        <v>24.277433590704099</v>
      </c>
      <c r="AE108" s="379">
        <f t="shared" si="34"/>
        <v>24.975364156908533</v>
      </c>
      <c r="AF108" s="379">
        <f t="shared" si="34"/>
        <v>25.693583402363092</v>
      </c>
      <c r="AG108" s="379">
        <f t="shared" si="34"/>
        <v>26.432091327067784</v>
      </c>
    </row>
    <row r="109" spans="1:34">
      <c r="A109" s="300" t="s">
        <v>321</v>
      </c>
      <c r="B109" s="300" t="s">
        <v>300</v>
      </c>
      <c r="C109" s="379">
        <f t="shared" si="34"/>
        <v>27.666666666666668</v>
      </c>
      <c r="D109" s="379">
        <f t="shared" si="34"/>
        <v>28.666666666666668</v>
      </c>
      <c r="E109" s="379">
        <f t="shared" si="34"/>
        <v>29.526666666666667</v>
      </c>
      <c r="F109" s="379">
        <f t="shared" si="34"/>
        <v>30.412466666666667</v>
      </c>
      <c r="G109" s="379">
        <f t="shared" si="34"/>
        <v>31.324840666666667</v>
      </c>
      <c r="H109" s="379">
        <f t="shared" si="34"/>
        <v>32.264585886666666</v>
      </c>
      <c r="I109" s="379">
        <f t="shared" si="34"/>
        <v>33.232523463266666</v>
      </c>
      <c r="J109" s="379">
        <f t="shared" si="34"/>
        <v>34.229499167164668</v>
      </c>
      <c r="K109" s="379">
        <f t="shared" si="34"/>
        <v>35.256384142179613</v>
      </c>
      <c r="L109" s="379">
        <f t="shared" si="34"/>
        <v>36.314075666445</v>
      </c>
      <c r="M109" s="379">
        <f t="shared" si="34"/>
        <v>37.403497936438349</v>
      </c>
      <c r="N109" s="379">
        <f t="shared" si="34"/>
        <v>38.525602874531501</v>
      </c>
      <c r="O109" s="379">
        <f t="shared" si="34"/>
        <v>39.681370960767453</v>
      </c>
      <c r="P109" s="379">
        <f t="shared" si="34"/>
        <v>40.871812089590478</v>
      </c>
      <c r="Q109" s="379">
        <f t="shared" si="34"/>
        <v>42.097966452278186</v>
      </c>
      <c r="R109" s="379">
        <f t="shared" si="34"/>
        <v>43.360905445846541</v>
      </c>
      <c r="S109" s="379">
        <f t="shared" si="34"/>
        <v>44.661732609221929</v>
      </c>
      <c r="T109" s="379">
        <f t="shared" si="34"/>
        <v>46.001584587498584</v>
      </c>
      <c r="U109" s="379">
        <f t="shared" si="34"/>
        <v>47.381632125123552</v>
      </c>
      <c r="V109" s="379">
        <f t="shared" si="34"/>
        <v>48.803081088877256</v>
      </c>
      <c r="W109" s="379">
        <f t="shared" si="34"/>
        <v>50.267173521543576</v>
      </c>
      <c r="X109" s="379">
        <f t="shared" si="34"/>
        <v>51.775188727189878</v>
      </c>
      <c r="Y109" s="379">
        <f t="shared" si="34"/>
        <v>53.32844438900559</v>
      </c>
      <c r="Z109" s="379">
        <f t="shared" si="34"/>
        <v>54.928297720675751</v>
      </c>
      <c r="AA109" s="379">
        <f t="shared" si="34"/>
        <v>56.576146652296032</v>
      </c>
      <c r="AB109" s="379">
        <f t="shared" si="34"/>
        <v>58.273431051864911</v>
      </c>
      <c r="AC109" s="379">
        <f t="shared" si="34"/>
        <v>60.021633983420855</v>
      </c>
      <c r="AD109" s="379">
        <f t="shared" si="34"/>
        <v>61.822283002923484</v>
      </c>
      <c r="AE109" s="379">
        <f t="shared" si="34"/>
        <v>63.676951493011181</v>
      </c>
      <c r="AF109" s="379">
        <f t="shared" si="34"/>
        <v>65.587260037801528</v>
      </c>
      <c r="AG109" s="379">
        <f t="shared" si="34"/>
        <v>67.554877838935568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23.733333333333334</v>
      </c>
      <c r="D110" s="379">
        <f t="shared" si="35"/>
        <v>24.428555555555555</v>
      </c>
      <c r="E110" s="379">
        <f t="shared" si="35"/>
        <v>25.147797777777779</v>
      </c>
      <c r="F110" s="379">
        <f t="shared" si="35"/>
        <v>25.891778985185187</v>
      </c>
      <c r="G110" s="379">
        <f t="shared" si="35"/>
        <v>26.670128133851851</v>
      </c>
      <c r="H110" s="379">
        <f t="shared" si="35"/>
        <v>27.548422028357781</v>
      </c>
      <c r="I110" s="379">
        <f t="shared" si="35"/>
        <v>28.39040841818731</v>
      </c>
      <c r="J110" s="379">
        <f t="shared" si="35"/>
        <v>29.25967357351179</v>
      </c>
      <c r="K110" s="379">
        <f t="shared" si="35"/>
        <v>30.165939526938928</v>
      </c>
      <c r="L110" s="379">
        <f t="shared" si="35"/>
        <v>31.100805797496907</v>
      </c>
      <c r="M110" s="379">
        <f t="shared" si="35"/>
        <v>32.074231894660898</v>
      </c>
      <c r="N110" s="379">
        <f t="shared" si="35"/>
        <v>33.086945789178898</v>
      </c>
      <c r="O110" s="379">
        <f t="shared" si="35"/>
        <v>34.139704278257526</v>
      </c>
      <c r="P110" s="379">
        <f t="shared" si="35"/>
        <v>35.233294135696653</v>
      </c>
      <c r="Q110" s="379">
        <f t="shared" si="35"/>
        <v>36.368718493185305</v>
      </c>
      <c r="R110" s="379">
        <f t="shared" si="35"/>
        <v>37.546827713857077</v>
      </c>
      <c r="S110" s="379">
        <f t="shared" si="35"/>
        <v>38.768320685942939</v>
      </c>
      <c r="T110" s="379">
        <f t="shared" si="35"/>
        <v>40.043746168140153</v>
      </c>
      <c r="U110" s="379">
        <f t="shared" si="35"/>
        <v>41.364615299876554</v>
      </c>
      <c r="V110" s="379">
        <f t="shared" si="35"/>
        <v>42.741366019362133</v>
      </c>
      <c r="W110" s="379">
        <f t="shared" si="35"/>
        <v>44.165586799072429</v>
      </c>
      <c r="X110" s="379">
        <f t="shared" si="35"/>
        <v>45.64798118247159</v>
      </c>
      <c r="Y110" s="379">
        <f t="shared" si="35"/>
        <v>47.189295346617385</v>
      </c>
      <c r="Z110" s="379">
        <f t="shared" si="35"/>
        <v>48.79124573020119</v>
      </c>
      <c r="AA110" s="379">
        <f t="shared" si="35"/>
        <v>50.454668951862573</v>
      </c>
      <c r="AB110" s="379">
        <f t="shared" si="35"/>
        <v>52.1902643918705</v>
      </c>
      <c r="AC110" s="379">
        <f t="shared" si="35"/>
        <v>53.990077588149916</v>
      </c>
      <c r="AD110" s="379">
        <f t="shared" si="35"/>
        <v>55.864909634782862</v>
      </c>
      <c r="AE110" s="379">
        <f t="shared" si="35"/>
        <v>57.816171104564056</v>
      </c>
      <c r="AF110" s="379">
        <f t="shared" si="35"/>
        <v>59.845328646943351</v>
      </c>
      <c r="AG110" s="379">
        <f t="shared" si="35"/>
        <v>61.953907227629408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3.1428571428571428</v>
      </c>
      <c r="D111" s="379">
        <f t="shared" si="36"/>
        <v>3.2303571428571427</v>
      </c>
      <c r="E111" s="379">
        <f t="shared" si="36"/>
        <v>3.3202380952380954</v>
      </c>
      <c r="F111" s="379">
        <f t="shared" si="36"/>
        <v>3.413095238095238</v>
      </c>
      <c r="G111" s="379">
        <f t="shared" si="36"/>
        <v>3.5083333333333333</v>
      </c>
      <c r="H111" s="379">
        <f t="shared" si="36"/>
        <v>3.844642857142857</v>
      </c>
      <c r="I111" s="379">
        <f t="shared" si="36"/>
        <v>3.9523809523809526</v>
      </c>
      <c r="J111" s="379">
        <f t="shared" si="36"/>
        <v>4.0636904761904766</v>
      </c>
      <c r="K111" s="379">
        <f t="shared" si="36"/>
        <v>4.1779761904761905</v>
      </c>
      <c r="L111" s="379">
        <f t="shared" si="36"/>
        <v>4.2958333333333334</v>
      </c>
      <c r="M111" s="379">
        <f t="shared" si="36"/>
        <v>4.4172619047619044</v>
      </c>
      <c r="N111" s="379">
        <f t="shared" si="36"/>
        <v>3.5328703703703708</v>
      </c>
      <c r="O111" s="379">
        <f t="shared" si="36"/>
        <v>3.6328703703703709</v>
      </c>
      <c r="P111" s="379">
        <f t="shared" si="36"/>
        <v>3.7356481481481487</v>
      </c>
      <c r="Q111" s="379">
        <f t="shared" si="36"/>
        <v>3.8416666666666672</v>
      </c>
      <c r="R111" s="379">
        <f t="shared" si="36"/>
        <v>3.9509259259259264</v>
      </c>
      <c r="S111" s="379">
        <f t="shared" si="36"/>
        <v>4.0629629629629633</v>
      </c>
      <c r="T111" s="379">
        <f t="shared" si="36"/>
        <v>4.1787037037037047</v>
      </c>
      <c r="U111" s="379">
        <f t="shared" si="36"/>
        <v>4.2976851851851858</v>
      </c>
      <c r="V111" s="379">
        <f t="shared" si="36"/>
        <v>4.4203703703703709</v>
      </c>
      <c r="W111" s="379">
        <f t="shared" si="36"/>
        <v>4.5462962962962967</v>
      </c>
      <c r="X111" s="379">
        <f t="shared" si="36"/>
        <v>3.3402777777777777</v>
      </c>
      <c r="Y111" s="379">
        <f t="shared" si="36"/>
        <v>3.435515873015873</v>
      </c>
      <c r="Z111" s="379">
        <f t="shared" si="36"/>
        <v>3.5340608465608465</v>
      </c>
      <c r="AA111" s="379">
        <f t="shared" si="36"/>
        <v>3.6352513227513228</v>
      </c>
      <c r="AB111" s="379">
        <f t="shared" si="36"/>
        <v>3.7394179894179893</v>
      </c>
      <c r="AC111" s="379">
        <f t="shared" si="36"/>
        <v>3.8465608465608465</v>
      </c>
      <c r="AD111" s="379">
        <f t="shared" si="36"/>
        <v>3.9570105820105819</v>
      </c>
      <c r="AE111" s="379">
        <f t="shared" si="36"/>
        <v>4.0707671957671954</v>
      </c>
      <c r="AF111" s="379">
        <f t="shared" si="36"/>
        <v>4.1878306878306875</v>
      </c>
      <c r="AG111" s="379">
        <f t="shared" si="36"/>
        <v>4.3082010582010586</v>
      </c>
    </row>
    <row r="112" spans="1:34" s="352" customFormat="1">
      <c r="A112" s="380" t="s">
        <v>323</v>
      </c>
      <c r="B112" s="352" t="s">
        <v>300</v>
      </c>
      <c r="C112" s="429">
        <f>SUM(C108:C110)-C111</f>
        <v>58.969565501210852</v>
      </c>
      <c r="D112" s="429">
        <f t="shared" ref="D112" si="37">SUM(D108:D110)-D111</f>
        <v>60.875531308409961</v>
      </c>
      <c r="E112" s="429">
        <f t="shared" ref="E112" si="38">SUM(E108:E110)-E111</f>
        <v>62.671251634928183</v>
      </c>
      <c r="F112" s="429">
        <f t="shared" ref="F112:AG112" si="39">SUM(F108:F110)-F111</f>
        <v>64.524679095780456</v>
      </c>
      <c r="G112" s="429">
        <f t="shared" si="39"/>
        <v>66.44478301721108</v>
      </c>
      <c r="H112" s="429">
        <f t="shared" si="39"/>
        <v>69.072822985539773</v>
      </c>
      <c r="I112" s="429">
        <f t="shared" si="39"/>
        <v>71.142233951158545</v>
      </c>
      <c r="J112" s="429">
        <f t="shared" si="39"/>
        <v>73.27656358854891</v>
      </c>
      <c r="K112" s="429">
        <f t="shared" si="39"/>
        <v>75.484971444307746</v>
      </c>
      <c r="L112" s="429">
        <f t="shared" si="39"/>
        <v>77.76138794542652</v>
      </c>
      <c r="M112" s="429">
        <f t="shared" si="39"/>
        <v>80.116696797857912</v>
      </c>
      <c r="N112" s="429">
        <f t="shared" si="39"/>
        <v>83.561969429113304</v>
      </c>
      <c r="O112" s="429">
        <f t="shared" si="39"/>
        <v>86.108731476230673</v>
      </c>
      <c r="P112" s="429">
        <f t="shared" si="39"/>
        <v>88.740393364067899</v>
      </c>
      <c r="Q112" s="429">
        <f t="shared" si="39"/>
        <v>91.460564320553686</v>
      </c>
      <c r="R112" s="429">
        <f t="shared" si="39"/>
        <v>94.27116610583758</v>
      </c>
      <c r="S112" s="429">
        <f t="shared" si="39"/>
        <v>97.172435242114915</v>
      </c>
      <c r="T112" s="429">
        <f t="shared" si="39"/>
        <v>100.17918894310127</v>
      </c>
      <c r="U112" s="429">
        <f t="shared" si="39"/>
        <v>103.28254318770946</v>
      </c>
      <c r="V112" s="429">
        <f t="shared" si="39"/>
        <v>106.49570768589197</v>
      </c>
      <c r="W112" s="429">
        <f t="shared" si="39"/>
        <v>109.80994704794618</v>
      </c>
      <c r="X112" s="429">
        <f t="shared" si="39"/>
        <v>114.57648704243877</v>
      </c>
      <c r="Y112" s="429">
        <f t="shared" si="39"/>
        <v>118.1601327355659</v>
      </c>
      <c r="Z112" s="429">
        <f t="shared" si="39"/>
        <v>121.86799411892871</v>
      </c>
      <c r="AA112" s="429">
        <f t="shared" si="39"/>
        <v>125.69890938107386</v>
      </c>
      <c r="AB112" s="429">
        <f t="shared" si="39"/>
        <v>129.66671595036306</v>
      </c>
      <c r="AC112" s="429">
        <f t="shared" si="39"/>
        <v>133.76494242875972</v>
      </c>
      <c r="AD112" s="429">
        <f t="shared" si="39"/>
        <v>138.00761564639987</v>
      </c>
      <c r="AE112" s="429">
        <f t="shared" si="39"/>
        <v>142.39771955871657</v>
      </c>
      <c r="AF112" s="429">
        <f t="shared" si="39"/>
        <v>146.93834139927728</v>
      </c>
      <c r="AG112" s="429">
        <f t="shared" si="39"/>
        <v>151.63267533543168</v>
      </c>
    </row>
    <row r="113" spans="1:34" s="344" customFormat="1">
      <c r="A113" s="342" t="s">
        <v>327</v>
      </c>
      <c r="B113" s="342"/>
      <c r="H113" s="430">
        <f>H115/H63</f>
        <v>1.2090072837944124</v>
      </c>
      <c r="AB113" s="430">
        <f>AB115/AB63</f>
        <v>1.0849726413844027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00" t="s">
        <v>328</v>
      </c>
      <c r="B115" s="300" t="s">
        <v>309</v>
      </c>
      <c r="C115" s="376">
        <f>ROUND(('Changing with year'!C121)/1000,0)*1000</f>
        <v>6279000</v>
      </c>
      <c r="D115" s="376">
        <f>ROUND(('Changing with year'!D121)/1000,0)*1000</f>
        <v>6341000</v>
      </c>
      <c r="E115" s="376">
        <f>ROUND(('Changing with year'!E121)/1000,0)*1000</f>
        <v>6411000</v>
      </c>
      <c r="F115" s="376">
        <f>ROUND(('Changing with year'!F121)/1000,0)*1000</f>
        <v>6490000</v>
      </c>
      <c r="G115" s="376">
        <f>ROUND(('Changing with year'!G121)/1000,0)*1000</f>
        <v>6576000</v>
      </c>
      <c r="H115" s="376">
        <f>ROUND(('Changing with year'!H121)/1000,0)*1000</f>
        <v>7071000</v>
      </c>
      <c r="I115" s="376">
        <f>ROUND(('Changing with year'!I121)/1000,0)*1000</f>
        <v>7197000</v>
      </c>
      <c r="J115" s="376">
        <f>ROUND(('Changing with year'!J121)/1000,0)*1000</f>
        <v>7331000</v>
      </c>
      <c r="K115" s="376">
        <f>ROUND(('Changing with year'!K121)/1000,0)*1000</f>
        <v>7472000</v>
      </c>
      <c r="L115" s="376">
        <f>ROUND(('Changing with year'!L121)/1000,0)*1000</f>
        <v>7620000</v>
      </c>
      <c r="M115" s="376">
        <f>ROUND(('Changing with year'!M121)/1000,0)*1000</f>
        <v>7776000</v>
      </c>
      <c r="N115" s="376">
        <f>ROUND(('Changing with year'!N121)/1000,0)*1000</f>
        <v>7940000</v>
      </c>
      <c r="O115" s="376">
        <f>ROUND(('Changing with year'!O121)/1000,0)*1000</f>
        <v>8111000</v>
      </c>
      <c r="P115" s="376">
        <f>ROUND(('Changing with year'!P121)/1000,0)*1000</f>
        <v>8290000</v>
      </c>
      <c r="Q115" s="376">
        <f>ROUND(('Changing with year'!Q121)/1000,0)*1000</f>
        <v>8477000</v>
      </c>
      <c r="R115" s="376">
        <f>ROUND(('Changing with year'!R121)/1000,0)*1000</f>
        <v>8672000</v>
      </c>
      <c r="S115" s="376">
        <f>ROUND(('Changing with year'!S121)/1000,0)*1000</f>
        <v>8916000</v>
      </c>
      <c r="T115" s="376">
        <f>ROUND(('Changing with year'!T121)/1000,0)*1000</f>
        <v>9167000</v>
      </c>
      <c r="U115" s="376">
        <f>ROUND(('Changing with year'!U121)/1000,0)*1000</f>
        <v>9426000</v>
      </c>
      <c r="V115" s="376">
        <f>ROUND(('Changing with year'!V121)/1000,0)*1000</f>
        <v>9692000</v>
      </c>
      <c r="W115" s="376">
        <f>ROUND(('Changing with year'!W121)/1000,0)*1000</f>
        <v>9966000</v>
      </c>
      <c r="X115" s="376">
        <f>ROUND(('Changing with year'!X121)/1000,0)*1000</f>
        <v>10248000</v>
      </c>
      <c r="Y115" s="376">
        <f>ROUND(('Changing with year'!Y121)/1000,0)*1000</f>
        <v>10538000</v>
      </c>
      <c r="Z115" s="376">
        <f>ROUND(('Changing with year'!Z121)/1000,0)*1000</f>
        <v>10837000</v>
      </c>
      <c r="AA115" s="376">
        <f>ROUND(('Changing with year'!AA121)/1000,0)*1000</f>
        <v>11144000</v>
      </c>
      <c r="AB115" s="376">
        <f>ROUND(('Changing with year'!AB121)/1000,0)*1000</f>
        <v>11461000</v>
      </c>
      <c r="AC115" s="376">
        <f>ROUND(('Changing with year'!AC121)/1000,0)*1000</f>
        <v>11787000</v>
      </c>
      <c r="AD115" s="376">
        <f>ROUND(('Changing with year'!AD121)/1000,0)*1000</f>
        <v>12122000</v>
      </c>
      <c r="AE115" s="376">
        <f>ROUND(('Changing with year'!AE121)/1000,0)*1000</f>
        <v>12467000</v>
      </c>
      <c r="AF115" s="376">
        <f>ROUND(('Changing with year'!AF121)/1000,0)*1000</f>
        <v>12823000</v>
      </c>
      <c r="AG115" s="376">
        <f>ROUND(('Changing with year'!AG121)/1000,0)*1000</f>
        <v>13189000</v>
      </c>
    </row>
    <row r="116" spans="1:34">
      <c r="A116" s="300" t="s">
        <v>310</v>
      </c>
      <c r="B116" s="300" t="s">
        <v>309</v>
      </c>
      <c r="C116" s="376">
        <f>(C115*'No change with year'!$AH$7)</f>
        <v>1255800</v>
      </c>
      <c r="D116" s="376">
        <f>(D115*'No change with year'!$AH$7)</f>
        <v>1268200</v>
      </c>
      <c r="E116" s="376">
        <f>(E115*'No change with year'!$AH$7)</f>
        <v>1282200</v>
      </c>
      <c r="F116" s="376">
        <f>(F115*'No change with year'!$AH$7)</f>
        <v>1298000</v>
      </c>
      <c r="G116" s="376">
        <f>(G115*'No change with year'!$AH$7)</f>
        <v>1315200</v>
      </c>
      <c r="H116" s="376">
        <f>(H115*'No change with year'!$AH$7)</f>
        <v>1414200</v>
      </c>
      <c r="I116" s="376">
        <f>(I115*'No change with year'!$AH$7)</f>
        <v>1439400</v>
      </c>
      <c r="J116" s="376">
        <f>(J115*'No change with year'!$AH$7)</f>
        <v>1466200</v>
      </c>
      <c r="K116" s="376">
        <f>(K115*'No change with year'!$AH$7)</f>
        <v>1494400</v>
      </c>
      <c r="L116" s="376">
        <f>(L115*'No change with year'!$AH$7)</f>
        <v>1524000</v>
      </c>
      <c r="M116" s="376">
        <f>(M115*'No change with year'!$AH$7)</f>
        <v>1555200</v>
      </c>
      <c r="N116" s="376">
        <f>(N115*'No change with year'!$AI$7)</f>
        <v>2382000.0000000005</v>
      </c>
      <c r="O116" s="376">
        <f>(O115*'No change with year'!$AI$7)</f>
        <v>2433300.0000000005</v>
      </c>
      <c r="P116" s="376">
        <f>(P115*'No change with year'!$AI$7)</f>
        <v>2487000.0000000005</v>
      </c>
      <c r="Q116" s="376">
        <f>(Q115*'No change with year'!$AI$7)</f>
        <v>2543100.0000000005</v>
      </c>
      <c r="R116" s="376">
        <f>(R115*'No change with year'!$AI$7)</f>
        <v>2601600.0000000005</v>
      </c>
      <c r="S116" s="376">
        <f>(S115*'No change with year'!$AI$7)</f>
        <v>2674800.0000000005</v>
      </c>
      <c r="T116" s="376">
        <f>(T115*'No change with year'!$AI$7)</f>
        <v>2750100.0000000005</v>
      </c>
      <c r="U116" s="376">
        <f>(U115*'No change with year'!$AI$7)</f>
        <v>2827800.0000000005</v>
      </c>
      <c r="V116" s="376">
        <f>(V115*'No change with year'!$AI$7)</f>
        <v>2907600.0000000005</v>
      </c>
      <c r="W116" s="376">
        <f>(W115*'No change with year'!$AI$7)</f>
        <v>2989800.0000000005</v>
      </c>
      <c r="X116" s="376">
        <f>(X115*'No change with year'!$AJ$7)</f>
        <v>3586800</v>
      </c>
      <c r="Y116" s="376">
        <f>(Y115*'No change with year'!$AJ$7)</f>
        <v>3688299.9999999995</v>
      </c>
      <c r="Z116" s="376">
        <f>(Z115*'No change with year'!$AJ$7)</f>
        <v>3792949.9999999995</v>
      </c>
      <c r="AA116" s="376">
        <f>(AA115*'No change with year'!$AJ$7)</f>
        <v>3900399.9999999995</v>
      </c>
      <c r="AB116" s="376">
        <f>(AB115*'No change with year'!$AJ$7)</f>
        <v>4011349.9999999995</v>
      </c>
      <c r="AC116" s="376">
        <f>(AC115*'No change with year'!$AJ$7)</f>
        <v>4125449.9999999995</v>
      </c>
      <c r="AD116" s="376">
        <f>(AD115*'No change with year'!$AJ$7)</f>
        <v>4242700</v>
      </c>
      <c r="AE116" s="376">
        <f>(AE115*'No change with year'!$AJ$7)</f>
        <v>4363450</v>
      </c>
      <c r="AF116" s="376">
        <f>(AF115*'No change with year'!$AJ$7)</f>
        <v>4488050</v>
      </c>
      <c r="AG116" s="376">
        <f>(AG115*'No change with year'!$AJ$7)</f>
        <v>4616150</v>
      </c>
    </row>
    <row r="117" spans="1:34" s="371" customFormat="1" ht="11.85" customHeight="1">
      <c r="A117" s="428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00" t="s">
        <v>312</v>
      </c>
      <c r="B118" s="300" t="s">
        <v>313</v>
      </c>
      <c r="C118" s="376">
        <f>-PMT($C$28,$C$27,C115)</f>
        <v>1375840.2637248333</v>
      </c>
      <c r="D118" s="376">
        <f t="shared" ref="D118:AG118" si="41">-PMT($C$28,$C$27,D115)</f>
        <v>1389425.5633507194</v>
      </c>
      <c r="E118" s="376">
        <f t="shared" si="41"/>
        <v>1404763.8048638171</v>
      </c>
      <c r="F118" s="376">
        <f t="shared" si="41"/>
        <v>1422074.1060000269</v>
      </c>
      <c r="G118" s="376">
        <f t="shared" si="41"/>
        <v>1440918.2312875465</v>
      </c>
      <c r="H118" s="376">
        <f t="shared" si="41"/>
        <v>1549381.5105587349</v>
      </c>
      <c r="I118" s="376">
        <f t="shared" si="41"/>
        <v>1576990.3452823102</v>
      </c>
      <c r="J118" s="376">
        <f t="shared" si="41"/>
        <v>1606352.1218930965</v>
      </c>
      <c r="K118" s="376">
        <f t="shared" si="41"/>
        <v>1637247.7226551927</v>
      </c>
      <c r="L118" s="376">
        <f t="shared" si="41"/>
        <v>1669677.1475685984</v>
      </c>
      <c r="M118" s="376">
        <f t="shared" si="41"/>
        <v>1703859.5143692154</v>
      </c>
      <c r="N118" s="376">
        <f t="shared" si="41"/>
        <v>1739794.8230570436</v>
      </c>
      <c r="O118" s="376">
        <f t="shared" si="41"/>
        <v>1777263.9558961815</v>
      </c>
      <c r="P118" s="376">
        <f t="shared" si="41"/>
        <v>1816486.0306225305</v>
      </c>
      <c r="Q118" s="376">
        <f t="shared" si="41"/>
        <v>1857461.0472360905</v>
      </c>
      <c r="R118" s="376">
        <f t="shared" si="41"/>
        <v>1900189.0057368618</v>
      </c>
      <c r="S118" s="376">
        <f t="shared" si="41"/>
        <v>1953653.7332968009</v>
      </c>
      <c r="T118" s="376">
        <f t="shared" si="41"/>
        <v>2008652.28500805</v>
      </c>
      <c r="U118" s="376">
        <f t="shared" si="41"/>
        <v>2065403.7786065103</v>
      </c>
      <c r="V118" s="376">
        <f t="shared" si="41"/>
        <v>2123689.0963562801</v>
      </c>
      <c r="W118" s="376">
        <f t="shared" si="41"/>
        <v>2183727.3559932616</v>
      </c>
      <c r="X118" s="376">
        <f t="shared" si="41"/>
        <v>2245518.557517454</v>
      </c>
      <c r="Y118" s="376">
        <f t="shared" si="41"/>
        <v>2309062.7009288571</v>
      </c>
      <c r="Z118" s="376">
        <f t="shared" si="41"/>
        <v>2374578.9039633726</v>
      </c>
      <c r="AA118" s="376">
        <f t="shared" si="41"/>
        <v>2441848.0488851001</v>
      </c>
      <c r="AB118" s="376">
        <f t="shared" si="41"/>
        <v>2511308.3711658409</v>
      </c>
      <c r="AC118" s="376">
        <f t="shared" si="41"/>
        <v>2582740.7530696942</v>
      </c>
      <c r="AD118" s="376">
        <f t="shared" si="41"/>
        <v>2656145.1945966603</v>
      </c>
      <c r="AE118" s="376">
        <f t="shared" si="41"/>
        <v>2731740.8134826398</v>
      </c>
      <c r="AF118" s="376">
        <f t="shared" si="41"/>
        <v>2809746.727463535</v>
      </c>
      <c r="AG118" s="376">
        <f t="shared" si="41"/>
        <v>2889943.818803444</v>
      </c>
    </row>
    <row r="119" spans="1:34">
      <c r="A119" s="300" t="s">
        <v>321</v>
      </c>
      <c r="B119" s="300" t="s">
        <v>313</v>
      </c>
      <c r="C119" s="376">
        <f t="shared" ref="C119:AG119" si="42">$F$37*C50</f>
        <v>8956551.7241379321</v>
      </c>
      <c r="D119" s="376">
        <f t="shared" si="42"/>
        <v>8873379.3103448302</v>
      </c>
      <c r="E119" s="376">
        <f t="shared" si="42"/>
        <v>8798505.5172413811</v>
      </c>
      <c r="F119" s="376">
        <f t="shared" si="42"/>
        <v>8731745.3172413819</v>
      </c>
      <c r="G119" s="376">
        <f t="shared" si="42"/>
        <v>8672922.5977241397</v>
      </c>
      <c r="H119" s="376">
        <f t="shared" si="42"/>
        <v>8621869.8774475884</v>
      </c>
      <c r="I119" s="376">
        <f t="shared" si="42"/>
        <v>8108380.2097114772</v>
      </c>
      <c r="J119" s="376">
        <f t="shared" si="42"/>
        <v>7838131.5602632053</v>
      </c>
      <c r="K119" s="376">
        <f t="shared" si="42"/>
        <v>7576871.5433033723</v>
      </c>
      <c r="L119" s="376">
        <f t="shared" si="42"/>
        <v>7324260.9273711806</v>
      </c>
      <c r="M119" s="376">
        <f t="shared" si="42"/>
        <v>7079974.5527002579</v>
      </c>
      <c r="N119" s="376">
        <f t="shared" si="42"/>
        <v>6843700.7097738013</v>
      </c>
      <c r="O119" s="376">
        <f t="shared" si="42"/>
        <v>6615140.5464282306</v>
      </c>
      <c r="P119" s="376">
        <f t="shared" si="42"/>
        <v>6394007.5021608975</v>
      </c>
      <c r="Q119" s="376">
        <f t="shared" si="42"/>
        <v>6180026.7683616737</v>
      </c>
      <c r="R119" s="376">
        <f t="shared" si="42"/>
        <v>5972934.7732495265</v>
      </c>
      <c r="S119" s="376">
        <f t="shared" si="42"/>
        <v>5514710.997564449</v>
      </c>
      <c r="T119" s="376">
        <f t="shared" si="42"/>
        <v>5358124.1423115358</v>
      </c>
      <c r="U119" s="376">
        <f t="shared" si="42"/>
        <v>5207109.7091400931</v>
      </c>
      <c r="V119" s="376">
        <f t="shared" si="42"/>
        <v>5061426.850544218</v>
      </c>
      <c r="W119" s="376">
        <f t="shared" si="42"/>
        <v>4920845.9275255781</v>
      </c>
      <c r="X119" s="376">
        <f t="shared" si="42"/>
        <v>4785147.9711906649</v>
      </c>
      <c r="Y119" s="376">
        <f t="shared" si="42"/>
        <v>4654124.170637439</v>
      </c>
      <c r="Z119" s="376">
        <f t="shared" si="42"/>
        <v>4527575.3858355181</v>
      </c>
      <c r="AA119" s="376">
        <f t="shared" si="42"/>
        <v>4405311.6842682967</v>
      </c>
      <c r="AB119" s="376">
        <f t="shared" si="42"/>
        <v>4287151.9001664491</v>
      </c>
      <c r="AC119" s="376">
        <f t="shared" si="42"/>
        <v>4143099.825847466</v>
      </c>
      <c r="AD119" s="376">
        <f t="shared" si="42"/>
        <v>4157378.7590484228</v>
      </c>
      <c r="AE119" s="376">
        <f t="shared" si="42"/>
        <v>4176508.6787056783</v>
      </c>
      <c r="AF119" s="376">
        <f t="shared" si="42"/>
        <v>4200411.6460897643</v>
      </c>
      <c r="AG119" s="376">
        <f t="shared" si="42"/>
        <v>4229017.2249272102</v>
      </c>
    </row>
    <row r="120" spans="1:34">
      <c r="A120" s="300" t="s">
        <v>317</v>
      </c>
      <c r="B120" s="300" t="s">
        <v>313</v>
      </c>
      <c r="C120" s="376">
        <f t="shared" ref="C120:AG120" si="43">$C$22*$C$21*C56</f>
        <v>885599.99999999988</v>
      </c>
      <c r="D120" s="376">
        <f t="shared" si="43"/>
        <v>921023.99999999988</v>
      </c>
      <c r="E120" s="376">
        <f t="shared" si="43"/>
        <v>957864.95999999985</v>
      </c>
      <c r="F120" s="376">
        <f t="shared" si="43"/>
        <v>996179.55839999986</v>
      </c>
      <c r="G120" s="376">
        <f t="shared" si="43"/>
        <v>1036026.7407359999</v>
      </c>
      <c r="H120" s="376">
        <f t="shared" si="43"/>
        <v>1077467.8103654399</v>
      </c>
      <c r="I120" s="376">
        <f t="shared" si="43"/>
        <v>1120566.5227800575</v>
      </c>
      <c r="J120" s="376">
        <f t="shared" si="43"/>
        <v>1165389.1836912599</v>
      </c>
      <c r="K120" s="376">
        <f t="shared" si="43"/>
        <v>1212004.7510389104</v>
      </c>
      <c r="L120" s="376">
        <f t="shared" si="43"/>
        <v>1260484.9410804671</v>
      </c>
      <c r="M120" s="376">
        <f t="shared" si="43"/>
        <v>1310904.3387236858</v>
      </c>
      <c r="N120" s="376">
        <f t="shared" si="43"/>
        <v>1363340.5122726331</v>
      </c>
      <c r="O120" s="376">
        <f t="shared" si="43"/>
        <v>1417874.1327635385</v>
      </c>
      <c r="P120" s="376">
        <f t="shared" si="43"/>
        <v>1474589.0980740802</v>
      </c>
      <c r="Q120" s="376">
        <f t="shared" si="43"/>
        <v>1533572.6619970435</v>
      </c>
      <c r="R120" s="376">
        <f t="shared" si="43"/>
        <v>1594915.5684769254</v>
      </c>
      <c r="S120" s="376">
        <f t="shared" si="43"/>
        <v>1658712.1912160025</v>
      </c>
      <c r="T120" s="376">
        <f t="shared" si="43"/>
        <v>1725060.6788646425</v>
      </c>
      <c r="U120" s="376">
        <f t="shared" si="43"/>
        <v>1794063.1060192285</v>
      </c>
      <c r="V120" s="376">
        <f t="shared" si="43"/>
        <v>1865825.6302599977</v>
      </c>
      <c r="W120" s="376">
        <f t="shared" si="43"/>
        <v>1940458.6554703978</v>
      </c>
      <c r="X120" s="376">
        <f t="shared" si="43"/>
        <v>2018077.0016892138</v>
      </c>
      <c r="Y120" s="376">
        <f t="shared" si="43"/>
        <v>2098800.0817567823</v>
      </c>
      <c r="Z120" s="376">
        <f t="shared" si="43"/>
        <v>2182752.085027054</v>
      </c>
      <c r="AA120" s="376">
        <f t="shared" si="43"/>
        <v>2270062.168428136</v>
      </c>
      <c r="AB120" s="376">
        <f t="shared" si="43"/>
        <v>2360864.6551652616</v>
      </c>
      <c r="AC120" s="376">
        <f t="shared" si="43"/>
        <v>2455299.2413718724</v>
      </c>
      <c r="AD120" s="376">
        <f t="shared" si="43"/>
        <v>2553511.2110267472</v>
      </c>
      <c r="AE120" s="376">
        <f t="shared" si="43"/>
        <v>2655651.6594678168</v>
      </c>
      <c r="AF120" s="376">
        <f t="shared" si="43"/>
        <v>2761877.7258465299</v>
      </c>
      <c r="AG120" s="376">
        <f t="shared" si="43"/>
        <v>2872352.8348803907</v>
      </c>
    </row>
    <row r="121" spans="1:34">
      <c r="A121" s="300" t="s">
        <v>318</v>
      </c>
      <c r="B121" s="300" t="s">
        <v>313</v>
      </c>
      <c r="C121" s="376">
        <f>'Changing with year'!C291</f>
        <v>600000</v>
      </c>
      <c r="D121" s="376">
        <f>'Changing with year'!D291</f>
        <v>627000</v>
      </c>
      <c r="E121" s="376">
        <f>'Changing with year'!E291</f>
        <v>655000</v>
      </c>
      <c r="F121" s="376">
        <f>'Changing with year'!F291</f>
        <v>684000</v>
      </c>
      <c r="G121" s="376">
        <f>'Changing with year'!G291</f>
        <v>715000</v>
      </c>
      <c r="H121" s="376">
        <f>'Changing with year'!H291</f>
        <v>747000</v>
      </c>
      <c r="I121" s="376">
        <f>'Changing with year'!I291</f>
        <v>781000</v>
      </c>
      <c r="J121" s="376">
        <f>'Changing with year'!J291</f>
        <v>816000</v>
      </c>
      <c r="K121" s="376">
        <f>'Changing with year'!K291</f>
        <v>853000</v>
      </c>
      <c r="L121" s="376">
        <f>'Changing with year'!L291</f>
        <v>891000</v>
      </c>
      <c r="M121" s="376">
        <f>'Changing with year'!M291</f>
        <v>931000</v>
      </c>
      <c r="N121" s="376">
        <f>'Changing with year'!N291</f>
        <v>973000</v>
      </c>
      <c r="O121" s="376">
        <f>'Changing with year'!O291</f>
        <v>1017000</v>
      </c>
      <c r="P121" s="376">
        <f>'Changing with year'!P291</f>
        <v>1063000</v>
      </c>
      <c r="Q121" s="376">
        <f>'Changing with year'!Q291</f>
        <v>1111000</v>
      </c>
      <c r="R121" s="376">
        <f>'Changing with year'!R291</f>
        <v>1161000</v>
      </c>
      <c r="S121" s="376">
        <f>'Changing with year'!S291</f>
        <v>1213000</v>
      </c>
      <c r="T121" s="376">
        <f>'Changing with year'!T291</f>
        <v>1268000</v>
      </c>
      <c r="U121" s="376">
        <f>'Changing with year'!U291</f>
        <v>1325000</v>
      </c>
      <c r="V121" s="376">
        <f>'Changing with year'!V291</f>
        <v>1385000</v>
      </c>
      <c r="W121" s="376">
        <f>'Changing with year'!W291</f>
        <v>1447000</v>
      </c>
      <c r="X121" s="376">
        <f>'Changing with year'!X291</f>
        <v>1512000</v>
      </c>
      <c r="Y121" s="376">
        <f>'Changing with year'!Y291</f>
        <v>1580000</v>
      </c>
      <c r="Z121" s="376">
        <f>'Changing with year'!Z291</f>
        <v>1651000</v>
      </c>
      <c r="AA121" s="376">
        <f>'Changing with year'!AA291</f>
        <v>1725000</v>
      </c>
      <c r="AB121" s="376">
        <f>'Changing with year'!AB291</f>
        <v>1803000</v>
      </c>
      <c r="AC121" s="376">
        <f>'Changing with year'!AC291</f>
        <v>1884000</v>
      </c>
      <c r="AD121" s="376">
        <f>'Changing with year'!AD291</f>
        <v>1969000</v>
      </c>
      <c r="AE121" s="376">
        <f>'Changing with year'!AE291</f>
        <v>2058000</v>
      </c>
      <c r="AF121" s="376">
        <f>'Changing with year'!AF291</f>
        <v>2151000</v>
      </c>
      <c r="AG121" s="376">
        <f>'Changing with year'!AG291</f>
        <v>2248000</v>
      </c>
      <c r="AH121" s="339"/>
    </row>
    <row r="122" spans="1:34">
      <c r="A122" s="300" t="s">
        <v>272</v>
      </c>
      <c r="B122" s="300" t="s">
        <v>313</v>
      </c>
      <c r="C122" s="376">
        <f t="shared" ref="C122:AG122" si="44">C60</f>
        <v>972000</v>
      </c>
      <c r="D122" s="376">
        <f t="shared" si="44"/>
        <v>981720</v>
      </c>
      <c r="E122" s="376">
        <f t="shared" si="44"/>
        <v>991537.2</v>
      </c>
      <c r="F122" s="376">
        <f t="shared" si="44"/>
        <v>1001452.5719999999</v>
      </c>
      <c r="G122" s="376">
        <f t="shared" si="44"/>
        <v>1011467.0977199998</v>
      </c>
      <c r="H122" s="376">
        <f t="shared" si="44"/>
        <v>1021581.7686972</v>
      </c>
      <c r="I122" s="376">
        <f t="shared" si="44"/>
        <v>1031797.586384172</v>
      </c>
      <c r="J122" s="376">
        <f t="shared" si="44"/>
        <v>1042115.5622480137</v>
      </c>
      <c r="K122" s="376">
        <f t="shared" si="44"/>
        <v>1052536.7178704939</v>
      </c>
      <c r="L122" s="376">
        <f t="shared" si="44"/>
        <v>1063062.0850491989</v>
      </c>
      <c r="M122" s="376">
        <f t="shared" si="44"/>
        <v>1073692.705899691</v>
      </c>
      <c r="N122" s="376">
        <f t="shared" si="44"/>
        <v>1084429.6329586878</v>
      </c>
      <c r="O122" s="376">
        <f t="shared" si="44"/>
        <v>1095273.9292882748</v>
      </c>
      <c r="P122" s="376">
        <f t="shared" si="44"/>
        <v>1106226.6685811577</v>
      </c>
      <c r="Q122" s="376">
        <f t="shared" si="44"/>
        <v>1117288.9352669693</v>
      </c>
      <c r="R122" s="376">
        <f t="shared" si="44"/>
        <v>1128461.824619639</v>
      </c>
      <c r="S122" s="376">
        <f t="shared" si="44"/>
        <v>1139746.4428658355</v>
      </c>
      <c r="T122" s="376">
        <f t="shared" si="44"/>
        <v>1151143.9072944939</v>
      </c>
      <c r="U122" s="376">
        <f t="shared" si="44"/>
        <v>1162655.3463674388</v>
      </c>
      <c r="V122" s="376">
        <f t="shared" si="44"/>
        <v>1174281.8998311132</v>
      </c>
      <c r="W122" s="376">
        <f t="shared" si="44"/>
        <v>1186024.7188294244</v>
      </c>
      <c r="X122" s="376">
        <f t="shared" si="44"/>
        <v>1197884.9660177184</v>
      </c>
      <c r="Y122" s="376">
        <f t="shared" si="44"/>
        <v>1209863.8156778959</v>
      </c>
      <c r="Z122" s="376">
        <f t="shared" si="44"/>
        <v>1221962.4538346748</v>
      </c>
      <c r="AA122" s="376">
        <f t="shared" si="44"/>
        <v>1234182.0783730214</v>
      </c>
      <c r="AB122" s="376">
        <f t="shared" si="44"/>
        <v>1246523.8991567518</v>
      </c>
      <c r="AC122" s="376">
        <f t="shared" si="44"/>
        <v>1258989.1381483194</v>
      </c>
      <c r="AD122" s="376">
        <f t="shared" si="44"/>
        <v>1271579.0295298027</v>
      </c>
      <c r="AE122" s="376">
        <f t="shared" si="44"/>
        <v>1284294.8198251007</v>
      </c>
      <c r="AF122" s="376">
        <f t="shared" si="44"/>
        <v>1297137.7680233517</v>
      </c>
      <c r="AG122" s="376">
        <f t="shared" si="44"/>
        <v>1310109.1457035851</v>
      </c>
    </row>
    <row r="123" spans="1:34">
      <c r="A123" s="300" t="s">
        <v>319</v>
      </c>
      <c r="B123" s="300" t="s">
        <v>313</v>
      </c>
      <c r="C123" s="376">
        <f t="shared" ref="C123:AG123" si="45">C115*$C$29</f>
        <v>125580</v>
      </c>
      <c r="D123" s="376">
        <f t="shared" si="45"/>
        <v>126820</v>
      </c>
      <c r="E123" s="376">
        <f t="shared" si="45"/>
        <v>128220</v>
      </c>
      <c r="F123" s="376">
        <f t="shared" si="45"/>
        <v>129800</v>
      </c>
      <c r="G123" s="376">
        <f t="shared" si="45"/>
        <v>131520</v>
      </c>
      <c r="H123" s="376">
        <f t="shared" si="45"/>
        <v>141420</v>
      </c>
      <c r="I123" s="376">
        <f t="shared" si="45"/>
        <v>143940</v>
      </c>
      <c r="J123" s="376">
        <f t="shared" si="45"/>
        <v>146620</v>
      </c>
      <c r="K123" s="376">
        <f t="shared" si="45"/>
        <v>149440</v>
      </c>
      <c r="L123" s="376">
        <f t="shared" si="45"/>
        <v>152400</v>
      </c>
      <c r="M123" s="376">
        <f t="shared" si="45"/>
        <v>155520</v>
      </c>
      <c r="N123" s="376">
        <f t="shared" si="45"/>
        <v>158800</v>
      </c>
      <c r="O123" s="376">
        <f t="shared" si="45"/>
        <v>162220</v>
      </c>
      <c r="P123" s="376">
        <f t="shared" si="45"/>
        <v>165800</v>
      </c>
      <c r="Q123" s="376">
        <f t="shared" si="45"/>
        <v>169540</v>
      </c>
      <c r="R123" s="376">
        <f t="shared" si="45"/>
        <v>173440</v>
      </c>
      <c r="S123" s="376">
        <f t="shared" si="45"/>
        <v>178320</v>
      </c>
      <c r="T123" s="376">
        <f t="shared" si="45"/>
        <v>183340</v>
      </c>
      <c r="U123" s="376">
        <f t="shared" si="45"/>
        <v>188520</v>
      </c>
      <c r="V123" s="376">
        <f t="shared" si="45"/>
        <v>193840</v>
      </c>
      <c r="W123" s="376">
        <f t="shared" si="45"/>
        <v>199320</v>
      </c>
      <c r="X123" s="376">
        <f t="shared" si="45"/>
        <v>204960</v>
      </c>
      <c r="Y123" s="376">
        <f t="shared" si="45"/>
        <v>210760</v>
      </c>
      <c r="Z123" s="376">
        <f t="shared" si="45"/>
        <v>216740</v>
      </c>
      <c r="AA123" s="376">
        <f t="shared" si="45"/>
        <v>222880</v>
      </c>
      <c r="AB123" s="376">
        <f t="shared" si="45"/>
        <v>229220</v>
      </c>
      <c r="AC123" s="376">
        <f t="shared" si="45"/>
        <v>235740</v>
      </c>
      <c r="AD123" s="376">
        <f t="shared" si="45"/>
        <v>242440</v>
      </c>
      <c r="AE123" s="376">
        <f t="shared" si="45"/>
        <v>249340</v>
      </c>
      <c r="AF123" s="376">
        <f t="shared" si="45"/>
        <v>256460</v>
      </c>
      <c r="AG123" s="376">
        <f t="shared" si="45"/>
        <v>263780</v>
      </c>
    </row>
    <row r="124" spans="1:34" s="371" customFormat="1" ht="11.85" customHeight="1">
      <c r="A124" s="428" t="s">
        <v>320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/>
      <c r="AE124" s="428"/>
      <c r="AF124" s="428"/>
      <c r="AG124" s="428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12.739261701155863</v>
      </c>
      <c r="D125" s="379">
        <f t="shared" si="46"/>
        <v>12.86505151250666</v>
      </c>
      <c r="E125" s="379">
        <f t="shared" si="46"/>
        <v>13.007072267257564</v>
      </c>
      <c r="F125" s="379">
        <f t="shared" si="46"/>
        <v>13.167352833333583</v>
      </c>
      <c r="G125" s="379">
        <f t="shared" si="46"/>
        <v>13.341835474884689</v>
      </c>
      <c r="H125" s="379">
        <f t="shared" si="46"/>
        <v>14.346125097766064</v>
      </c>
      <c r="I125" s="379">
        <f t="shared" si="46"/>
        <v>14.601762456317687</v>
      </c>
      <c r="J125" s="379">
        <f t="shared" si="46"/>
        <v>14.873630758269412</v>
      </c>
      <c r="K125" s="379">
        <f t="shared" si="46"/>
        <v>15.159701135696229</v>
      </c>
      <c r="L125" s="379">
        <f t="shared" si="46"/>
        <v>15.459973588598134</v>
      </c>
      <c r="M125" s="379">
        <f t="shared" si="46"/>
        <v>15.776476984900142</v>
      </c>
      <c r="N125" s="379">
        <f t="shared" si="46"/>
        <v>16.109211324602256</v>
      </c>
      <c r="O125" s="379">
        <f t="shared" si="46"/>
        <v>16.456147739779457</v>
      </c>
      <c r="P125" s="379">
        <f t="shared" si="46"/>
        <v>16.819315098356764</v>
      </c>
      <c r="Q125" s="379">
        <f t="shared" si="46"/>
        <v>17.198713400334171</v>
      </c>
      <c r="R125" s="379">
        <f t="shared" si="46"/>
        <v>17.594342645711684</v>
      </c>
      <c r="S125" s="379">
        <f t="shared" si="46"/>
        <v>18.089386419414822</v>
      </c>
      <c r="T125" s="379">
        <f t="shared" si="46"/>
        <v>18.598632268593057</v>
      </c>
      <c r="U125" s="379">
        <f t="shared" si="46"/>
        <v>19.124109061171392</v>
      </c>
      <c r="V125" s="379">
        <f t="shared" si="46"/>
        <v>19.663787929224817</v>
      </c>
      <c r="W125" s="379">
        <f t="shared" si="46"/>
        <v>20.219697740678349</v>
      </c>
      <c r="X125" s="379">
        <f t="shared" si="46"/>
        <v>20.79183849553198</v>
      </c>
      <c r="Y125" s="379">
        <f t="shared" si="46"/>
        <v>21.380210193785715</v>
      </c>
      <c r="Z125" s="379">
        <f t="shared" si="46"/>
        <v>21.986841703364561</v>
      </c>
      <c r="AA125" s="379">
        <f t="shared" si="46"/>
        <v>22.609704156343518</v>
      </c>
      <c r="AB125" s="379">
        <f t="shared" si="46"/>
        <v>23.252855288572601</v>
      </c>
      <c r="AC125" s="379">
        <f t="shared" si="46"/>
        <v>23.914266232126799</v>
      </c>
      <c r="AD125" s="379">
        <f t="shared" si="46"/>
        <v>24.593936987006114</v>
      </c>
      <c r="AE125" s="379">
        <f t="shared" si="46"/>
        <v>25.293896421135553</v>
      </c>
      <c r="AF125" s="379">
        <f t="shared" si="46"/>
        <v>26.016173402440138</v>
      </c>
      <c r="AG125" s="379">
        <f t="shared" si="46"/>
        <v>26.758739062994852</v>
      </c>
    </row>
    <row r="126" spans="1:34">
      <c r="A126" s="300" t="s">
        <v>321</v>
      </c>
      <c r="B126" s="300" t="s">
        <v>300</v>
      </c>
      <c r="C126" s="379">
        <f t="shared" si="46"/>
        <v>82.931034482758633</v>
      </c>
      <c r="D126" s="379">
        <f t="shared" si="46"/>
        <v>82.160919540229912</v>
      </c>
      <c r="E126" s="379">
        <f t="shared" si="46"/>
        <v>81.46764367816094</v>
      </c>
      <c r="F126" s="379">
        <f t="shared" si="46"/>
        <v>80.84949367816094</v>
      </c>
      <c r="G126" s="379">
        <f t="shared" si="46"/>
        <v>80.304838867816102</v>
      </c>
      <c r="H126" s="379">
        <f t="shared" si="46"/>
        <v>79.832128494885083</v>
      </c>
      <c r="I126" s="379">
        <f t="shared" si="46"/>
        <v>75.077594534365531</v>
      </c>
      <c r="J126" s="379">
        <f t="shared" si="46"/>
        <v>72.575292224659307</v>
      </c>
      <c r="K126" s="379">
        <f t="shared" si="46"/>
        <v>70.156217993549745</v>
      </c>
      <c r="L126" s="379">
        <f t="shared" si="46"/>
        <v>67.81723080899242</v>
      </c>
      <c r="M126" s="379">
        <f t="shared" si="46"/>
        <v>65.555319932409802</v>
      </c>
      <c r="N126" s="379">
        <f t="shared" si="46"/>
        <v>63.367599164572233</v>
      </c>
      <c r="O126" s="379">
        <f t="shared" si="46"/>
        <v>61.251301355816949</v>
      </c>
      <c r="P126" s="379">
        <f t="shared" si="46"/>
        <v>59.203773168156459</v>
      </c>
      <c r="Q126" s="379">
        <f t="shared" si="46"/>
        <v>57.222470077422905</v>
      </c>
      <c r="R126" s="379">
        <f t="shared" si="46"/>
        <v>55.304951604162284</v>
      </c>
      <c r="S126" s="379">
        <f t="shared" si="46"/>
        <v>51.062138866337492</v>
      </c>
      <c r="T126" s="379">
        <f t="shared" si="46"/>
        <v>49.612260576958661</v>
      </c>
      <c r="U126" s="379">
        <f t="shared" si="46"/>
        <v>48.213978788334195</v>
      </c>
      <c r="V126" s="379">
        <f t="shared" si="46"/>
        <v>46.86506343096498</v>
      </c>
      <c r="W126" s="379">
        <f t="shared" si="46"/>
        <v>45.563388217829427</v>
      </c>
      <c r="X126" s="379">
        <f t="shared" si="46"/>
        <v>44.306925659172826</v>
      </c>
      <c r="Y126" s="379">
        <f t="shared" si="46"/>
        <v>43.093742320717027</v>
      </c>
      <c r="Z126" s="379">
        <f t="shared" si="46"/>
        <v>41.921994313291833</v>
      </c>
      <c r="AA126" s="379">
        <f t="shared" si="46"/>
        <v>40.78992300248423</v>
      </c>
      <c r="AB126" s="379">
        <f t="shared" si="46"/>
        <v>39.69585092746712</v>
      </c>
      <c r="AC126" s="379">
        <f t="shared" si="46"/>
        <v>38.362035424513572</v>
      </c>
      <c r="AD126" s="379">
        <f t="shared" si="46"/>
        <v>38.494247768966879</v>
      </c>
      <c r="AE126" s="379">
        <f t="shared" si="46"/>
        <v>38.671376654682206</v>
      </c>
      <c r="AF126" s="379">
        <f t="shared" si="46"/>
        <v>38.892700426757074</v>
      </c>
      <c r="AG126" s="379">
        <f t="shared" si="46"/>
        <v>39.157566897474169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23.918333333333333</v>
      </c>
      <c r="D127" s="379">
        <f t="shared" si="47"/>
        <v>24.597814814814814</v>
      </c>
      <c r="E127" s="379">
        <f t="shared" si="47"/>
        <v>25.302057037037038</v>
      </c>
      <c r="F127" s="379">
        <f t="shared" si="47"/>
        <v>26.031778985185188</v>
      </c>
      <c r="G127" s="379">
        <f t="shared" si="47"/>
        <v>26.796424430148146</v>
      </c>
      <c r="H127" s="379">
        <f t="shared" si="47"/>
        <v>27.66175536169111</v>
      </c>
      <c r="I127" s="379">
        <f t="shared" si="47"/>
        <v>28.49355656633546</v>
      </c>
      <c r="J127" s="379">
        <f t="shared" si="47"/>
        <v>29.353006906845124</v>
      </c>
      <c r="K127" s="379">
        <f t="shared" si="47"/>
        <v>30.249828415827817</v>
      </c>
      <c r="L127" s="379">
        <f t="shared" si="47"/>
        <v>31.175435427126533</v>
      </c>
      <c r="M127" s="379">
        <f t="shared" si="47"/>
        <v>32.139972635401634</v>
      </c>
      <c r="N127" s="379">
        <f t="shared" si="47"/>
        <v>33.144168011401121</v>
      </c>
      <c r="O127" s="379">
        <f t="shared" si="47"/>
        <v>34.188593167146415</v>
      </c>
      <c r="P127" s="379">
        <f t="shared" si="47"/>
        <v>35.274220061622579</v>
      </c>
      <c r="Q127" s="379">
        <f t="shared" si="47"/>
        <v>36.401866641333449</v>
      </c>
      <c r="R127" s="379">
        <f t="shared" si="47"/>
        <v>37.572383269412633</v>
      </c>
      <c r="S127" s="379">
        <f t="shared" si="47"/>
        <v>38.794246611868864</v>
      </c>
      <c r="T127" s="379">
        <f t="shared" si="47"/>
        <v>40.069857279251259</v>
      </c>
      <c r="U127" s="379">
        <f t="shared" si="47"/>
        <v>41.391096781358037</v>
      </c>
      <c r="V127" s="379">
        <f t="shared" si="47"/>
        <v>42.768032686028803</v>
      </c>
      <c r="W127" s="379">
        <f t="shared" si="47"/>
        <v>44.192623836109469</v>
      </c>
      <c r="X127" s="379">
        <f t="shared" si="47"/>
        <v>45.675203404693811</v>
      </c>
      <c r="Y127" s="379">
        <f t="shared" si="47"/>
        <v>47.216887939209983</v>
      </c>
      <c r="Z127" s="379">
        <f t="shared" si="47"/>
        <v>48.819023507978976</v>
      </c>
      <c r="AA127" s="379">
        <f t="shared" si="47"/>
        <v>50.482631914825532</v>
      </c>
      <c r="AB127" s="379">
        <f t="shared" si="47"/>
        <v>52.218597725203828</v>
      </c>
      <c r="AC127" s="379">
        <f t="shared" si="47"/>
        <v>54.018781291853621</v>
      </c>
      <c r="AD127" s="379">
        <f t="shared" si="47"/>
        <v>55.893798523671755</v>
      </c>
      <c r="AE127" s="379">
        <f t="shared" si="47"/>
        <v>57.845245178638123</v>
      </c>
      <c r="AF127" s="379">
        <f t="shared" si="47"/>
        <v>59.874773091387794</v>
      </c>
      <c r="AG127" s="379">
        <f t="shared" si="47"/>
        <v>61.983722042444221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1.6611111111111112</v>
      </c>
      <c r="D128" s="379">
        <f t="shared" si="48"/>
        <v>1.6775132275132276</v>
      </c>
      <c r="E128" s="379">
        <f t="shared" si="48"/>
        <v>1.696031746031746</v>
      </c>
      <c r="F128" s="379">
        <f t="shared" si="48"/>
        <v>1.716931216931217</v>
      </c>
      <c r="G128" s="379">
        <f t="shared" si="48"/>
        <v>1.7396825396825397</v>
      </c>
      <c r="H128" s="379">
        <f t="shared" si="48"/>
        <v>1.8706349206349207</v>
      </c>
      <c r="I128" s="379">
        <f t="shared" si="48"/>
        <v>1.9039682539682539</v>
      </c>
      <c r="J128" s="379">
        <f t="shared" si="48"/>
        <v>1.9394179894179895</v>
      </c>
      <c r="K128" s="379">
        <f t="shared" si="48"/>
        <v>1.9767195767195767</v>
      </c>
      <c r="L128" s="379">
        <f t="shared" si="48"/>
        <v>2.0158730158730158</v>
      </c>
      <c r="M128" s="379">
        <f t="shared" si="48"/>
        <v>2.0571428571428569</v>
      </c>
      <c r="N128" s="379">
        <f t="shared" si="48"/>
        <v>3.1507936507936516</v>
      </c>
      <c r="O128" s="379">
        <f t="shared" si="48"/>
        <v>3.2186507936507942</v>
      </c>
      <c r="P128" s="379">
        <f t="shared" si="48"/>
        <v>3.2896825396825404</v>
      </c>
      <c r="Q128" s="379">
        <f t="shared" si="48"/>
        <v>3.3638888888888894</v>
      </c>
      <c r="R128" s="379">
        <f t="shared" si="48"/>
        <v>3.4412698412698419</v>
      </c>
      <c r="S128" s="379">
        <f t="shared" si="48"/>
        <v>3.5380952380952388</v>
      </c>
      <c r="T128" s="379">
        <f t="shared" si="48"/>
        <v>3.6376984126984131</v>
      </c>
      <c r="U128" s="379">
        <f t="shared" si="48"/>
        <v>3.740476190476191</v>
      </c>
      <c r="V128" s="379">
        <f t="shared" si="48"/>
        <v>3.8460317460317466</v>
      </c>
      <c r="W128" s="379">
        <f t="shared" si="48"/>
        <v>3.9547619047619054</v>
      </c>
      <c r="X128" s="379">
        <f t="shared" si="48"/>
        <v>4.7444444444444445</v>
      </c>
      <c r="Y128" s="379">
        <f t="shared" si="48"/>
        <v>4.8787037037037031</v>
      </c>
      <c r="Z128" s="379">
        <f t="shared" si="48"/>
        <v>5.0171296296296291</v>
      </c>
      <c r="AA128" s="379">
        <f t="shared" si="48"/>
        <v>5.159259259259259</v>
      </c>
      <c r="AB128" s="379">
        <f t="shared" si="48"/>
        <v>5.3060185185185178</v>
      </c>
      <c r="AC128" s="379">
        <f t="shared" si="48"/>
        <v>5.4569444444444439</v>
      </c>
      <c r="AD128" s="379">
        <f t="shared" si="48"/>
        <v>5.6120370370370374</v>
      </c>
      <c r="AE128" s="379">
        <f t="shared" si="48"/>
        <v>5.7717592592592597</v>
      </c>
      <c r="AF128" s="379">
        <f t="shared" si="48"/>
        <v>5.9365740740740742</v>
      </c>
      <c r="AG128" s="379">
        <f t="shared" si="48"/>
        <v>6.1060185185185185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117.92751840613673</v>
      </c>
      <c r="D129" s="384">
        <f t="shared" ref="D129:AG129" si="49">SUM(D125:D127)-D128</f>
        <v>117.94627264003815</v>
      </c>
      <c r="E129" s="384">
        <f t="shared" si="49"/>
        <v>118.0807412364238</v>
      </c>
      <c r="F129" s="384">
        <f t="shared" si="49"/>
        <v>118.33169427974849</v>
      </c>
      <c r="G129" s="384">
        <f t="shared" si="49"/>
        <v>118.70341623316641</v>
      </c>
      <c r="H129" s="384">
        <f t="shared" si="49"/>
        <v>119.96937403370733</v>
      </c>
      <c r="I129" s="384">
        <f t="shared" si="49"/>
        <v>116.26894530305042</v>
      </c>
      <c r="J129" s="384">
        <f t="shared" si="49"/>
        <v>114.86251190035586</v>
      </c>
      <c r="K129" s="384">
        <f t="shared" si="49"/>
        <v>113.58902796835422</v>
      </c>
      <c r="L129" s="384">
        <f t="shared" si="49"/>
        <v>112.43676680884407</v>
      </c>
      <c r="M129" s="384">
        <f t="shared" si="49"/>
        <v>111.41462669556873</v>
      </c>
      <c r="N129" s="384">
        <f t="shared" si="49"/>
        <v>109.47018484978196</v>
      </c>
      <c r="O129" s="384">
        <f t="shared" si="49"/>
        <v>108.67739146909202</v>
      </c>
      <c r="P129" s="384">
        <f t="shared" si="49"/>
        <v>108.00762578845327</v>
      </c>
      <c r="Q129" s="384">
        <f t="shared" si="49"/>
        <v>107.45916123020162</v>
      </c>
      <c r="R129" s="384">
        <f t="shared" si="49"/>
        <v>107.03040767801676</v>
      </c>
      <c r="S129" s="384">
        <f t="shared" si="49"/>
        <v>104.40767665952593</v>
      </c>
      <c r="T129" s="384">
        <f t="shared" si="49"/>
        <v>104.64305171210457</v>
      </c>
      <c r="U129" s="384">
        <f t="shared" si="49"/>
        <v>104.98870844038743</v>
      </c>
      <c r="V129" s="384">
        <f t="shared" si="49"/>
        <v>105.45085230018687</v>
      </c>
      <c r="W129" s="384">
        <f t="shared" si="49"/>
        <v>106.02094788985534</v>
      </c>
      <c r="X129" s="384">
        <f t="shared" si="49"/>
        <v>106.02952311495417</v>
      </c>
      <c r="Y129" s="384">
        <f t="shared" si="49"/>
        <v>106.81213675000902</v>
      </c>
      <c r="Z129" s="384">
        <f t="shared" si="49"/>
        <v>107.71072989500573</v>
      </c>
      <c r="AA129" s="384">
        <f t="shared" si="49"/>
        <v>108.72299981439402</v>
      </c>
      <c r="AB129" s="384">
        <f t="shared" si="49"/>
        <v>109.86128542272503</v>
      </c>
      <c r="AC129" s="384">
        <f t="shared" si="49"/>
        <v>110.83813850404954</v>
      </c>
      <c r="AD129" s="384">
        <f t="shared" si="49"/>
        <v>113.3699462426077</v>
      </c>
      <c r="AE129" s="384">
        <f t="shared" si="49"/>
        <v>116.03875899519663</v>
      </c>
      <c r="AF129" s="384">
        <f t="shared" si="49"/>
        <v>118.84707284651093</v>
      </c>
      <c r="AG129" s="384">
        <f t="shared" si="49"/>
        <v>121.79400948439472</v>
      </c>
    </row>
    <row r="130" spans="1:34" s="344" customFormat="1">
      <c r="A130" s="342" t="s">
        <v>182</v>
      </c>
      <c r="B130" s="342"/>
      <c r="H130" s="431">
        <f>H132/H63</f>
        <v>1.8857504360017783</v>
      </c>
      <c r="AB130" s="431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00" t="s">
        <v>329</v>
      </c>
      <c r="B132" s="300" t="s">
        <v>309</v>
      </c>
      <c r="C132" s="376">
        <f>ROUND(('Changing with year'!C133)/1000,0)*1000</f>
        <v>11698000</v>
      </c>
      <c r="D132" s="376">
        <f>ROUND(('Changing with year'!D133)/1000,0)*1000</f>
        <v>11644000</v>
      </c>
      <c r="E132" s="376">
        <f>ROUND(('Changing with year'!E133)/1000,0)*1000</f>
        <v>11599000</v>
      </c>
      <c r="F132" s="376">
        <f>ROUND(('Changing with year'!F133)/1000,0)*1000</f>
        <v>11322000</v>
      </c>
      <c r="G132" s="376">
        <f>ROUND(('Changing with year'!G133)/1000,0)*1000</f>
        <v>11066000</v>
      </c>
      <c r="H132" s="376">
        <f>ROUND(('Changing with year'!H133)/1000,0)*1000</f>
        <v>11029000</v>
      </c>
      <c r="I132" s="376">
        <f>ROUND(('Changing with year'!I133)/1000,0)*1000</f>
        <v>10830000</v>
      </c>
      <c r="J132" s="376">
        <f>ROUND(('Changing with year'!J133)/1000,0)*1000</f>
        <v>10874000</v>
      </c>
      <c r="K132" s="376">
        <f>ROUND(('Changing with year'!K133)/1000,0)*1000</f>
        <v>10926000</v>
      </c>
      <c r="L132" s="376">
        <f>ROUND(('Changing with year'!L133)/1000,0)*1000</f>
        <v>10986000</v>
      </c>
      <c r="M132" s="376">
        <f>ROUND(('Changing with year'!M133)/1000,0)*1000</f>
        <v>11054000</v>
      </c>
      <c r="N132" s="376">
        <f>ROUND(('Changing with year'!N133)/1000,0)*1000</f>
        <v>11130000</v>
      </c>
      <c r="O132" s="376">
        <f>ROUND(('Changing with year'!O133)/1000,0)*1000</f>
        <v>11214000</v>
      </c>
      <c r="P132" s="376">
        <f>ROUND(('Changing with year'!P133)/1000,0)*1000</f>
        <v>11306000</v>
      </c>
      <c r="Q132" s="376">
        <f>ROUND(('Changing with year'!Q133)/1000,0)*1000</f>
        <v>11407000</v>
      </c>
      <c r="R132" s="376">
        <f>ROUND(('Changing with year'!R133)/1000,0)*1000</f>
        <v>11517000</v>
      </c>
      <c r="S132" s="376">
        <f>ROUND(('Changing with year'!S133)/1000,0)*1000</f>
        <v>11529000</v>
      </c>
      <c r="T132" s="376">
        <f>ROUND(('Changing with year'!T133)/1000,0)*1000</f>
        <v>11737000</v>
      </c>
      <c r="U132" s="376">
        <f>ROUND(('Changing with year'!U133)/1000,0)*1000</f>
        <v>11951000</v>
      </c>
      <c r="V132" s="376">
        <f>ROUND(('Changing with year'!V133)/1000,0)*1000</f>
        <v>12174000</v>
      </c>
      <c r="W132" s="376">
        <f>ROUND(('Changing with year'!W133)/1000,0)*1000</f>
        <v>12403000</v>
      </c>
      <c r="X132" s="376">
        <f>ROUND(('Changing with year'!X133)/1000,0)*1000</f>
        <v>12641000</v>
      </c>
      <c r="Y132" s="376">
        <f>ROUND(('Changing with year'!Y133)/1000,0)*1000</f>
        <v>12887000</v>
      </c>
      <c r="Z132" s="376">
        <f>ROUND(('Changing with year'!Z133)/1000,0)*1000</f>
        <v>13142000</v>
      </c>
      <c r="AA132" s="376">
        <f>ROUND(('Changing with year'!AA133)/1000,0)*1000</f>
        <v>13405000</v>
      </c>
      <c r="AB132" s="376">
        <f>ROUND(('Changing with year'!AB133)/1000,0)*1000</f>
        <v>13678000</v>
      </c>
      <c r="AC132" s="376">
        <f>ROUND(('Changing with year'!AC133)/1000,0)*1000</f>
        <v>14015000</v>
      </c>
      <c r="AD132" s="376">
        <f>ROUND(('Changing with year'!AD133)/1000,0)*1000</f>
        <v>14363000</v>
      </c>
      <c r="AE132" s="376">
        <f>ROUND(('Changing with year'!AE133)/1000,0)*1000</f>
        <v>14720000</v>
      </c>
      <c r="AF132" s="376">
        <f>ROUND(('Changing with year'!AF133)/1000,0)*1000</f>
        <v>15087000</v>
      </c>
      <c r="AG132" s="376">
        <f>ROUND(('Changing with year'!AG133)/1000,0)*1000</f>
        <v>15464000</v>
      </c>
    </row>
    <row r="133" spans="1:34">
      <c r="A133" s="300" t="s">
        <v>310</v>
      </c>
      <c r="B133" s="300" t="s">
        <v>309</v>
      </c>
      <c r="C133" s="376">
        <f>(C132*'No change with year'!$AK$7)</f>
        <v>1754700.0000000002</v>
      </c>
      <c r="D133" s="376">
        <f>(D132*'No change with year'!$AK$7)</f>
        <v>1746600.0000000002</v>
      </c>
      <c r="E133" s="376">
        <f>(E132*'No change with year'!$AK$7)</f>
        <v>1739850.0000000002</v>
      </c>
      <c r="F133" s="376">
        <f>(F132*'No change with year'!$AK$7)</f>
        <v>1698300.0000000002</v>
      </c>
      <c r="G133" s="376">
        <f>(G132*'No change with year'!$AK$7)</f>
        <v>1659900.0000000002</v>
      </c>
      <c r="H133" s="376">
        <f>(H132*'No change with year'!$AK$7)</f>
        <v>1654350.0000000002</v>
      </c>
      <c r="I133" s="376">
        <f>(I132*'No change with year'!$AK$7)</f>
        <v>1624500.0000000002</v>
      </c>
      <c r="J133" s="376">
        <f>(J132*'No change with year'!$AK$7)</f>
        <v>1631100.0000000002</v>
      </c>
      <c r="K133" s="376">
        <f>(K132*'No change with year'!$AK$7)</f>
        <v>1638900.0000000002</v>
      </c>
      <c r="L133" s="376">
        <f>(L132*'No change with year'!$AK$7)</f>
        <v>1647900.0000000002</v>
      </c>
      <c r="M133" s="376">
        <f>(M132*'No change with year'!$AK$7)</f>
        <v>1658100.0000000002</v>
      </c>
      <c r="N133" s="376">
        <f>(N132*'No change with year'!$AL$7)</f>
        <v>2782500</v>
      </c>
      <c r="O133" s="376">
        <f>(O132*'No change with year'!$AL$7)</f>
        <v>2803500</v>
      </c>
      <c r="P133" s="376">
        <f>(P132*'No change with year'!$AL$7)</f>
        <v>2826500</v>
      </c>
      <c r="Q133" s="376">
        <f>(Q132*'No change with year'!$AL$7)</f>
        <v>2851750</v>
      </c>
      <c r="R133" s="376">
        <f>(R132*'No change with year'!$AL$7)</f>
        <v>2879250</v>
      </c>
      <c r="S133" s="376">
        <f>(S132*'No change with year'!$AL$7)</f>
        <v>2882250</v>
      </c>
      <c r="T133" s="376">
        <f>(T132*'No change with year'!$AL$7)</f>
        <v>2934250</v>
      </c>
      <c r="U133" s="376">
        <f>(U132*'No change with year'!$AL$7)</f>
        <v>2987750</v>
      </c>
      <c r="V133" s="376">
        <f>(V132*'No change with year'!$AL$7)</f>
        <v>3043500</v>
      </c>
      <c r="W133" s="376">
        <f>(W132*'No change with year'!$AL$7)</f>
        <v>3100750</v>
      </c>
      <c r="X133" s="376">
        <f>(X132*'No change with year'!$AM$7)</f>
        <v>4424350</v>
      </c>
      <c r="Y133" s="376">
        <f>(Y132*'No change with year'!$AM$7)</f>
        <v>4510450</v>
      </c>
      <c r="Z133" s="376">
        <f>(Z132*'No change with year'!$AM$7)</f>
        <v>4599700</v>
      </c>
      <c r="AA133" s="376">
        <f>(AA132*'No change with year'!$AM$7)</f>
        <v>4691750</v>
      </c>
      <c r="AB133" s="376">
        <f>(AB132*'No change with year'!$AM$7)</f>
        <v>4787300</v>
      </c>
      <c r="AC133" s="376">
        <f>(AC132*'No change with year'!$AM$7)</f>
        <v>4905250</v>
      </c>
      <c r="AD133" s="376">
        <f>(AD132*'No change with year'!$AM$7)</f>
        <v>5027050</v>
      </c>
      <c r="AE133" s="376">
        <f>(AE132*'No change with year'!$AM$7)</f>
        <v>5152000</v>
      </c>
      <c r="AF133" s="376">
        <f>(AF132*'No change with year'!$AM$7)</f>
        <v>5280450</v>
      </c>
      <c r="AG133" s="376">
        <f>(AG132*'No change with year'!$AM$7)</f>
        <v>5412400</v>
      </c>
    </row>
    <row r="134" spans="1:34" s="371" customFormat="1" ht="11.85" customHeight="1">
      <c r="A134" s="428" t="s">
        <v>311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</row>
    <row r="135" spans="1:34">
      <c r="A135" s="300" t="s">
        <v>325</v>
      </c>
      <c r="B135" s="300" t="s">
        <v>313</v>
      </c>
      <c r="C135" s="376">
        <f>-PMT($C$28,$C$27,C132)</f>
        <v>2563239.2745744702</v>
      </c>
      <c r="D135" s="376">
        <f t="shared" ref="D135:AG135" si="51">-PMT($C$28,$C$27,D132)</f>
        <v>2551406.9168357952</v>
      </c>
      <c r="E135" s="376">
        <f t="shared" si="51"/>
        <v>2541546.618720233</v>
      </c>
      <c r="F135" s="376">
        <f t="shared" si="51"/>
        <v>2480851.0058755474</v>
      </c>
      <c r="G135" s="376">
        <f t="shared" si="51"/>
        <v>2424756.8654847918</v>
      </c>
      <c r="H135" s="376">
        <f t="shared" si="51"/>
        <v>2416649.5092564397</v>
      </c>
      <c r="I135" s="376">
        <f t="shared" si="51"/>
        <v>2373045.0798120629</v>
      </c>
      <c r="J135" s="376">
        <f t="shared" si="51"/>
        <v>2382686.2601917246</v>
      </c>
      <c r="K135" s="376">
        <f t="shared" si="51"/>
        <v>2394080.3824585965</v>
      </c>
      <c r="L135" s="376">
        <f t="shared" si="51"/>
        <v>2407227.4466126803</v>
      </c>
      <c r="M135" s="376">
        <f t="shared" si="51"/>
        <v>2422127.4526539748</v>
      </c>
      <c r="N135" s="376">
        <f t="shared" si="51"/>
        <v>2438780.4005824807</v>
      </c>
      <c r="O135" s="376">
        <f t="shared" si="51"/>
        <v>2457186.2903981972</v>
      </c>
      <c r="P135" s="376">
        <f t="shared" si="51"/>
        <v>2477345.1221011248</v>
      </c>
      <c r="Q135" s="376">
        <f t="shared" si="51"/>
        <v>2499476.0134271658</v>
      </c>
      <c r="R135" s="376">
        <f t="shared" si="51"/>
        <v>2523578.9643763187</v>
      </c>
      <c r="S135" s="376">
        <f t="shared" si="51"/>
        <v>2526208.3772071353</v>
      </c>
      <c r="T135" s="376">
        <f t="shared" si="51"/>
        <v>2571784.8662746246</v>
      </c>
      <c r="U135" s="376">
        <f t="shared" si="51"/>
        <v>2618676.0617575222</v>
      </c>
      <c r="V135" s="376">
        <f t="shared" si="51"/>
        <v>2667539.3168635322</v>
      </c>
      <c r="W135" s="376">
        <f t="shared" si="51"/>
        <v>2717717.2783849509</v>
      </c>
      <c r="X135" s="376">
        <f t="shared" si="51"/>
        <v>2769867.2995294817</v>
      </c>
      <c r="Y135" s="376">
        <f t="shared" si="51"/>
        <v>2823770.2625612239</v>
      </c>
      <c r="Z135" s="376">
        <f t="shared" si="51"/>
        <v>2879645.2852160786</v>
      </c>
      <c r="AA135" s="376">
        <f t="shared" si="51"/>
        <v>2937273.2497581444</v>
      </c>
      <c r="AB135" s="376">
        <f t="shared" si="51"/>
        <v>2997092.3916592244</v>
      </c>
      <c r="AC135" s="376">
        <f t="shared" si="51"/>
        <v>3070935.0686579933</v>
      </c>
      <c r="AD135" s="376">
        <f t="shared" si="51"/>
        <v>3147188.040751677</v>
      </c>
      <c r="AE135" s="376">
        <f t="shared" si="51"/>
        <v>3225413.0724684736</v>
      </c>
      <c r="AF135" s="376">
        <f t="shared" si="51"/>
        <v>3305829.2815442844</v>
      </c>
      <c r="AG135" s="376">
        <f t="shared" si="51"/>
        <v>3388436.6679791082</v>
      </c>
    </row>
    <row r="136" spans="1:34">
      <c r="A136" s="300" t="s">
        <v>330</v>
      </c>
      <c r="B136" s="300" t="s">
        <v>313</v>
      </c>
      <c r="C136" s="376">
        <f t="shared" ref="C136:AG136" si="52">$G$37*C51</f>
        <v>1739371.808432807</v>
      </c>
      <c r="D136" s="376">
        <f t="shared" si="52"/>
        <v>1761241.808432807</v>
      </c>
      <c r="E136" s="376">
        <f t="shared" si="52"/>
        <v>1770464.6356174673</v>
      </c>
      <c r="F136" s="376">
        <f t="shared" si="52"/>
        <v>1769764.4053794667</v>
      </c>
      <c r="G136" s="376">
        <f t="shared" si="52"/>
        <v>1753849.5104910871</v>
      </c>
      <c r="H136" s="376">
        <f t="shared" si="52"/>
        <v>1766760.2251458073</v>
      </c>
      <c r="I136" s="376">
        <f t="shared" si="52"/>
        <v>1532772.1910415289</v>
      </c>
      <c r="J136" s="376">
        <f t="shared" si="52"/>
        <v>1494649.6361522551</v>
      </c>
      <c r="K136" s="376">
        <f t="shared" si="52"/>
        <v>1430670.6384407836</v>
      </c>
      <c r="L136" s="376">
        <f t="shared" si="52"/>
        <v>1376716.6492118028</v>
      </c>
      <c r="M136" s="376">
        <f t="shared" si="52"/>
        <v>1334174.5775241784</v>
      </c>
      <c r="N136" s="376">
        <f t="shared" si="52"/>
        <v>1319502.6522633699</v>
      </c>
      <c r="O136" s="376">
        <f t="shared" si="52"/>
        <v>1305743.4904670196</v>
      </c>
      <c r="P136" s="376">
        <f t="shared" si="52"/>
        <v>1288178.1250995265</v>
      </c>
      <c r="Q136" s="376">
        <f t="shared" si="52"/>
        <v>1276168.4867673214</v>
      </c>
      <c r="R136" s="376">
        <f t="shared" si="52"/>
        <v>1270886.1177592697</v>
      </c>
      <c r="S136" s="376">
        <f t="shared" si="52"/>
        <v>1271547.2633408271</v>
      </c>
      <c r="T136" s="376">
        <f t="shared" si="52"/>
        <v>1278063.6372875681</v>
      </c>
      <c r="U136" s="376">
        <f t="shared" si="52"/>
        <v>1280357.9002659356</v>
      </c>
      <c r="V136" s="376">
        <f t="shared" si="52"/>
        <v>1283548.9215681215</v>
      </c>
      <c r="W136" s="376">
        <f t="shared" si="52"/>
        <v>1287789.9469831234</v>
      </c>
      <c r="X136" s="376">
        <f t="shared" si="52"/>
        <v>1293045.8673321551</v>
      </c>
      <c r="Y136" s="376">
        <f t="shared" si="52"/>
        <v>1299274.4466634251</v>
      </c>
      <c r="Z136" s="376">
        <f t="shared" si="52"/>
        <v>1306641.3637202694</v>
      </c>
      <c r="AA136" s="376">
        <f t="shared" si="52"/>
        <v>1315329.3996460801</v>
      </c>
      <c r="AB136" s="376">
        <f t="shared" si="52"/>
        <v>1325195.7918155566</v>
      </c>
      <c r="AC136" s="376">
        <f t="shared" si="52"/>
        <v>1360606.7586676062</v>
      </c>
      <c r="AD136" s="376">
        <f t="shared" si="52"/>
        <v>1404062.5373660123</v>
      </c>
      <c r="AE136" s="376">
        <f t="shared" si="52"/>
        <v>1449111.0691293313</v>
      </c>
      <c r="AF136" s="376">
        <f t="shared" si="52"/>
        <v>1496347.7595913478</v>
      </c>
      <c r="AG136" s="376">
        <f t="shared" si="52"/>
        <v>1546037.2469936472</v>
      </c>
    </row>
    <row r="137" spans="1:34">
      <c r="A137" s="300" t="s">
        <v>317</v>
      </c>
      <c r="B137" s="300" t="s">
        <v>313</v>
      </c>
      <c r="C137" s="376">
        <f t="shared" ref="C137:AG137" si="53">$C$22*$C$21*C57</f>
        <v>1238873.7261432549</v>
      </c>
      <c r="D137" s="376">
        <f t="shared" si="53"/>
        <v>1254655.0829896731</v>
      </c>
      <c r="E137" s="376">
        <f t="shared" si="53"/>
        <v>1271912.0339149316</v>
      </c>
      <c r="F137" s="376">
        <f t="shared" si="53"/>
        <v>1290682.4941870582</v>
      </c>
      <c r="G137" s="376">
        <f t="shared" si="53"/>
        <v>1311006.4233971818</v>
      </c>
      <c r="H137" s="376">
        <f t="shared" si="53"/>
        <v>1332925.8940396442</v>
      </c>
      <c r="I137" s="376">
        <f t="shared" si="53"/>
        <v>1358774.2221371476</v>
      </c>
      <c r="J137" s="376">
        <f t="shared" si="53"/>
        <v>1386205.8575118331</v>
      </c>
      <c r="K137" s="376">
        <f t="shared" si="53"/>
        <v>1415273.1449717216</v>
      </c>
      <c r="L137" s="376">
        <f t="shared" si="53"/>
        <v>1446030.7428668176</v>
      </c>
      <c r="M137" s="376">
        <f t="shared" si="53"/>
        <v>1478535.7112357928</v>
      </c>
      <c r="N137" s="376">
        <f t="shared" si="53"/>
        <v>1512847.603566441</v>
      </c>
      <c r="O137" s="376">
        <f t="shared" si="53"/>
        <v>1549028.5623126905</v>
      </c>
      <c r="P137" s="376">
        <f t="shared" si="53"/>
        <v>1587143.4183167189</v>
      </c>
      <c r="Q137" s="376">
        <f t="shared" si="53"/>
        <v>1627259.7942906776</v>
      </c>
      <c r="R137" s="376">
        <f t="shared" si="53"/>
        <v>1669448.2125187689</v>
      </c>
      <c r="S137" s="376">
        <f t="shared" si="53"/>
        <v>1717522.8626256317</v>
      </c>
      <c r="T137" s="376">
        <f t="shared" si="53"/>
        <v>1767707.531520708</v>
      </c>
      <c r="U137" s="376">
        <f t="shared" si="53"/>
        <v>1820084.7496276875</v>
      </c>
      <c r="V137" s="376">
        <f t="shared" si="53"/>
        <v>1874740.3672904838</v>
      </c>
      <c r="W137" s="376">
        <f t="shared" si="53"/>
        <v>1931763.6873830159</v>
      </c>
      <c r="X137" s="376">
        <f t="shared" si="53"/>
        <v>1991247.6032252398</v>
      </c>
      <c r="Y137" s="376">
        <f t="shared" si="53"/>
        <v>2053288.7420176836</v>
      </c>
      <c r="Z137" s="376">
        <f t="shared" si="53"/>
        <v>2117987.6140151913</v>
      </c>
      <c r="AA137" s="376">
        <f t="shared" si="53"/>
        <v>2185448.7676694305</v>
      </c>
      <c r="AB137" s="376">
        <f t="shared" si="53"/>
        <v>2255780.9509789031</v>
      </c>
      <c r="AC137" s="376">
        <f t="shared" si="53"/>
        <v>2335863.2431840603</v>
      </c>
      <c r="AD137" s="376">
        <f t="shared" si="53"/>
        <v>2419047.3376190839</v>
      </c>
      <c r="AE137" s="376">
        <f t="shared" si="53"/>
        <v>2505456.291478585</v>
      </c>
      <c r="AF137" s="376">
        <f t="shared" si="53"/>
        <v>2595218.0740960138</v>
      </c>
      <c r="AG137" s="376">
        <f t="shared" si="53"/>
        <v>2688465.7633277224</v>
      </c>
    </row>
    <row r="138" spans="1:34">
      <c r="A138" s="300" t="s">
        <v>318</v>
      </c>
      <c r="B138" s="300" t="s">
        <v>313</v>
      </c>
      <c r="C138" s="376">
        <f>'Changing with year'!C302</f>
        <v>660000</v>
      </c>
      <c r="D138" s="376">
        <f>'Changing with year'!D302</f>
        <v>690000</v>
      </c>
      <c r="E138" s="376">
        <f>'Changing with year'!E302</f>
        <v>721000</v>
      </c>
      <c r="F138" s="376">
        <f>'Changing with year'!F302</f>
        <v>753000</v>
      </c>
      <c r="G138" s="376">
        <f>'Changing with year'!G302</f>
        <v>787000</v>
      </c>
      <c r="H138" s="376">
        <f>'Changing with year'!H302</f>
        <v>822000</v>
      </c>
      <c r="I138" s="376">
        <f>'Changing with year'!I302</f>
        <v>859000</v>
      </c>
      <c r="J138" s="376">
        <f>'Changing with year'!J302</f>
        <v>898000</v>
      </c>
      <c r="K138" s="376">
        <f>'Changing with year'!K302</f>
        <v>938000</v>
      </c>
      <c r="L138" s="376">
        <f>'Changing with year'!L302</f>
        <v>980000</v>
      </c>
      <c r="M138" s="376">
        <f>'Changing with year'!M302</f>
        <v>1024000</v>
      </c>
      <c r="N138" s="376">
        <f>'Changing with year'!N302</f>
        <v>1070000</v>
      </c>
      <c r="O138" s="376">
        <f>'Changing with year'!O302</f>
        <v>1118000</v>
      </c>
      <c r="P138" s="376">
        <f>'Changing with year'!P302</f>
        <v>1168000</v>
      </c>
      <c r="Q138" s="376">
        <f>'Changing with year'!Q302</f>
        <v>1221000</v>
      </c>
      <c r="R138" s="376">
        <f>'Changing with year'!R302</f>
        <v>1276000</v>
      </c>
      <c r="S138" s="376">
        <f>'Changing with year'!S302</f>
        <v>1333000</v>
      </c>
      <c r="T138" s="376">
        <f>'Changing with year'!T302</f>
        <v>1393000</v>
      </c>
      <c r="U138" s="376">
        <f>'Changing with year'!U302</f>
        <v>1456000</v>
      </c>
      <c r="V138" s="376">
        <f>'Changing with year'!V302</f>
        <v>1522000</v>
      </c>
      <c r="W138" s="376">
        <f>'Changing with year'!W302</f>
        <v>1590000</v>
      </c>
      <c r="X138" s="376">
        <f>'Changing with year'!X302</f>
        <v>1662000</v>
      </c>
      <c r="Y138" s="376">
        <f>'Changing with year'!Y302</f>
        <v>1737000</v>
      </c>
      <c r="Z138" s="376">
        <f>'Changing with year'!Z302</f>
        <v>1815000</v>
      </c>
      <c r="AA138" s="376">
        <f>'Changing with year'!AA302</f>
        <v>1897000</v>
      </c>
      <c r="AB138" s="376">
        <f>'Changing with year'!AB302</f>
        <v>1982000</v>
      </c>
      <c r="AC138" s="376">
        <f>'Changing with year'!AC302</f>
        <v>2071000</v>
      </c>
      <c r="AD138" s="376">
        <f>'Changing with year'!AD302</f>
        <v>2164000</v>
      </c>
      <c r="AE138" s="376">
        <f>'Changing with year'!AE302</f>
        <v>2261000</v>
      </c>
      <c r="AF138" s="376">
        <f>'Changing with year'!AF302</f>
        <v>2363000</v>
      </c>
      <c r="AG138" s="376">
        <f>'Changing with year'!AG302</f>
        <v>2469000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C60</f>
        <v>972000</v>
      </c>
      <c r="D139" s="376">
        <f t="shared" si="54"/>
        <v>981720</v>
      </c>
      <c r="E139" s="376">
        <f t="shared" si="54"/>
        <v>991537.2</v>
      </c>
      <c r="F139" s="376">
        <f t="shared" si="54"/>
        <v>1001452.5719999999</v>
      </c>
      <c r="G139" s="376">
        <f t="shared" si="54"/>
        <v>1011467.0977199998</v>
      </c>
      <c r="H139" s="376">
        <f t="shared" si="54"/>
        <v>1021581.7686972</v>
      </c>
      <c r="I139" s="376">
        <f t="shared" si="54"/>
        <v>1031797.586384172</v>
      </c>
      <c r="J139" s="376">
        <f t="shared" si="54"/>
        <v>1042115.5622480137</v>
      </c>
      <c r="K139" s="376">
        <f t="shared" si="54"/>
        <v>1052536.7178704939</v>
      </c>
      <c r="L139" s="376">
        <f t="shared" si="54"/>
        <v>1063062.0850491989</v>
      </c>
      <c r="M139" s="376">
        <f t="shared" si="54"/>
        <v>1073692.705899691</v>
      </c>
      <c r="N139" s="376">
        <f t="shared" si="54"/>
        <v>1084429.6329586878</v>
      </c>
      <c r="O139" s="376">
        <f t="shared" si="54"/>
        <v>1095273.9292882748</v>
      </c>
      <c r="P139" s="376">
        <f t="shared" si="54"/>
        <v>1106226.6685811577</v>
      </c>
      <c r="Q139" s="376">
        <f t="shared" si="54"/>
        <v>1117288.9352669693</v>
      </c>
      <c r="R139" s="376">
        <f t="shared" si="54"/>
        <v>1128461.824619639</v>
      </c>
      <c r="S139" s="376">
        <f t="shared" si="54"/>
        <v>1139746.4428658355</v>
      </c>
      <c r="T139" s="376">
        <f t="shared" si="54"/>
        <v>1151143.9072944939</v>
      </c>
      <c r="U139" s="376">
        <f t="shared" si="54"/>
        <v>1162655.3463674388</v>
      </c>
      <c r="V139" s="376">
        <f t="shared" si="54"/>
        <v>1174281.8998311132</v>
      </c>
      <c r="W139" s="376">
        <f t="shared" si="54"/>
        <v>1186024.7188294244</v>
      </c>
      <c r="X139" s="376">
        <f t="shared" si="54"/>
        <v>1197884.9660177184</v>
      </c>
      <c r="Y139" s="376">
        <f t="shared" si="54"/>
        <v>1209863.8156778959</v>
      </c>
      <c r="Z139" s="376">
        <f t="shared" si="54"/>
        <v>1221962.4538346748</v>
      </c>
      <c r="AA139" s="376">
        <f t="shared" si="54"/>
        <v>1234182.0783730214</v>
      </c>
      <c r="AB139" s="376">
        <f t="shared" si="54"/>
        <v>1246523.8991567518</v>
      </c>
      <c r="AC139" s="376">
        <f t="shared" si="54"/>
        <v>1258989.1381483194</v>
      </c>
      <c r="AD139" s="376">
        <f t="shared" si="54"/>
        <v>1271579.0295298027</v>
      </c>
      <c r="AE139" s="376">
        <f t="shared" si="54"/>
        <v>1284294.8198251007</v>
      </c>
      <c r="AF139" s="376">
        <f t="shared" si="54"/>
        <v>1297137.7680233517</v>
      </c>
      <c r="AG139" s="376">
        <f t="shared" si="54"/>
        <v>1310109.1457035851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233960</v>
      </c>
      <c r="D140" s="386">
        <f t="shared" si="55"/>
        <v>232880</v>
      </c>
      <c r="E140" s="386">
        <f t="shared" si="55"/>
        <v>231980</v>
      </c>
      <c r="F140" s="386">
        <f t="shared" si="55"/>
        <v>226440</v>
      </c>
      <c r="G140" s="386">
        <f t="shared" si="55"/>
        <v>221320</v>
      </c>
      <c r="H140" s="386">
        <f t="shared" si="55"/>
        <v>220580</v>
      </c>
      <c r="I140" s="386">
        <f t="shared" si="55"/>
        <v>216600</v>
      </c>
      <c r="J140" s="386">
        <f t="shared" si="55"/>
        <v>217480</v>
      </c>
      <c r="K140" s="386">
        <f t="shared" si="55"/>
        <v>218520</v>
      </c>
      <c r="L140" s="386">
        <f t="shared" si="55"/>
        <v>219720</v>
      </c>
      <c r="M140" s="386">
        <f t="shared" si="55"/>
        <v>221080</v>
      </c>
      <c r="N140" s="386">
        <f t="shared" si="55"/>
        <v>222600</v>
      </c>
      <c r="O140" s="386">
        <f t="shared" si="55"/>
        <v>224280</v>
      </c>
      <c r="P140" s="386">
        <f t="shared" si="55"/>
        <v>226120</v>
      </c>
      <c r="Q140" s="386">
        <f t="shared" si="55"/>
        <v>228140</v>
      </c>
      <c r="R140" s="386">
        <f t="shared" si="55"/>
        <v>230340</v>
      </c>
      <c r="S140" s="386">
        <f t="shared" si="55"/>
        <v>230580</v>
      </c>
      <c r="T140" s="386">
        <f t="shared" si="55"/>
        <v>234740</v>
      </c>
      <c r="U140" s="386">
        <f t="shared" si="55"/>
        <v>239020</v>
      </c>
      <c r="V140" s="386">
        <f t="shared" si="55"/>
        <v>243480</v>
      </c>
      <c r="W140" s="386">
        <f t="shared" si="55"/>
        <v>248060</v>
      </c>
      <c r="X140" s="386">
        <f t="shared" si="55"/>
        <v>252820</v>
      </c>
      <c r="Y140" s="386">
        <f t="shared" si="55"/>
        <v>257740</v>
      </c>
      <c r="Z140" s="386">
        <f t="shared" si="55"/>
        <v>262840</v>
      </c>
      <c r="AA140" s="386">
        <f t="shared" si="55"/>
        <v>268100</v>
      </c>
      <c r="AB140" s="386">
        <f t="shared" si="55"/>
        <v>273560</v>
      </c>
      <c r="AC140" s="386">
        <f t="shared" si="55"/>
        <v>280300</v>
      </c>
      <c r="AD140" s="386">
        <f t="shared" si="55"/>
        <v>287260</v>
      </c>
      <c r="AE140" s="386">
        <f t="shared" si="55"/>
        <v>294400</v>
      </c>
      <c r="AF140" s="386">
        <f t="shared" si="55"/>
        <v>301740</v>
      </c>
      <c r="AG140" s="386">
        <f t="shared" si="55"/>
        <v>309280</v>
      </c>
    </row>
    <row r="141" spans="1:34" s="371" customFormat="1" ht="11.85" customHeight="1">
      <c r="A141" s="428" t="s">
        <v>320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23.733696986800652</v>
      </c>
      <c r="D142" s="379">
        <f t="shared" si="56"/>
        <v>23.624138118849956</v>
      </c>
      <c r="E142" s="379">
        <f t="shared" si="56"/>
        <v>23.532839062224379</v>
      </c>
      <c r="F142" s="379">
        <f t="shared" si="56"/>
        <v>22.970842646995809</v>
      </c>
      <c r="G142" s="379">
        <f t="shared" si="56"/>
        <v>22.451452458192517</v>
      </c>
      <c r="H142" s="379">
        <f t="shared" si="56"/>
        <v>22.376384344967036</v>
      </c>
      <c r="I142" s="379">
        <f t="shared" si="56"/>
        <v>21.972639627889471</v>
      </c>
      <c r="J142" s="379">
        <f t="shared" si="56"/>
        <v>22.061909816590042</v>
      </c>
      <c r="K142" s="379">
        <f t="shared" si="56"/>
        <v>22.167410948690708</v>
      </c>
      <c r="L142" s="379">
        <f t="shared" si="56"/>
        <v>22.289143024191485</v>
      </c>
      <c r="M142" s="379">
        <f t="shared" si="56"/>
        <v>22.427106043092358</v>
      </c>
      <c r="N142" s="379">
        <f t="shared" si="56"/>
        <v>22.581300005393341</v>
      </c>
      <c r="O142" s="379">
        <f t="shared" si="56"/>
        <v>22.751724911094421</v>
      </c>
      <c r="P142" s="379">
        <f t="shared" si="56"/>
        <v>22.938380760195599</v>
      </c>
      <c r="Q142" s="379">
        <f t="shared" si="56"/>
        <v>23.143296420621905</v>
      </c>
      <c r="R142" s="379">
        <f t="shared" si="56"/>
        <v>23.366471892373323</v>
      </c>
      <c r="S142" s="379">
        <f t="shared" si="56"/>
        <v>23.390818307473474</v>
      </c>
      <c r="T142" s="379">
        <f t="shared" si="56"/>
        <v>23.812822835876155</v>
      </c>
      <c r="U142" s="379">
        <f t="shared" si="56"/>
        <v>24.247000571828909</v>
      </c>
      <c r="V142" s="379">
        <f t="shared" si="56"/>
        <v>24.69943811910678</v>
      </c>
      <c r="W142" s="379">
        <f t="shared" si="56"/>
        <v>25.164048873934732</v>
      </c>
      <c r="X142" s="379">
        <f t="shared" si="56"/>
        <v>25.646919440087792</v>
      </c>
      <c r="Y142" s="379">
        <f t="shared" si="56"/>
        <v>26.146020949640963</v>
      </c>
      <c r="Z142" s="379">
        <f t="shared" si="56"/>
        <v>26.663382270519246</v>
      </c>
      <c r="AA142" s="379">
        <f t="shared" si="56"/>
        <v>27.196974534797633</v>
      </c>
      <c r="AB142" s="379">
        <f t="shared" si="56"/>
        <v>27.750855478326152</v>
      </c>
      <c r="AC142" s="379">
        <f t="shared" si="56"/>
        <v>28.434583969055495</v>
      </c>
      <c r="AD142" s="379">
        <f t="shared" si="56"/>
        <v>29.140630006959974</v>
      </c>
      <c r="AE142" s="379">
        <f t="shared" si="56"/>
        <v>29.864935856189572</v>
      </c>
      <c r="AF142" s="379">
        <f t="shared" si="56"/>
        <v>30.609530384669299</v>
      </c>
      <c r="AG142" s="379">
        <f t="shared" si="56"/>
        <v>31.374413592399151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16.105294522525991</v>
      </c>
      <c r="D143" s="379">
        <f t="shared" si="57"/>
        <v>16.307794522525992</v>
      </c>
      <c r="E143" s="379">
        <f t="shared" si="57"/>
        <v>16.393191070532104</v>
      </c>
      <c r="F143" s="379">
        <f t="shared" si="57"/>
        <v>16.386707457217284</v>
      </c>
      <c r="G143" s="379">
        <f t="shared" si="57"/>
        <v>16.239347319361919</v>
      </c>
      <c r="H143" s="379">
        <f t="shared" si="57"/>
        <v>16.35889097357229</v>
      </c>
      <c r="I143" s="379">
        <f t="shared" si="57"/>
        <v>14.192335102236379</v>
      </c>
      <c r="J143" s="379">
        <f t="shared" si="57"/>
        <v>13.839348482891252</v>
      </c>
      <c r="K143" s="379">
        <f t="shared" si="57"/>
        <v>13.246950355933182</v>
      </c>
      <c r="L143" s="379">
        <f t="shared" si="57"/>
        <v>12.747376381590767</v>
      </c>
      <c r="M143" s="379">
        <f t="shared" si="57"/>
        <v>12.35346831040906</v>
      </c>
      <c r="N143" s="379">
        <f t="shared" si="57"/>
        <v>12.217617150586758</v>
      </c>
      <c r="O143" s="379">
        <f t="shared" si="57"/>
        <v>12.090217504324256</v>
      </c>
      <c r="P143" s="379">
        <f t="shared" si="57"/>
        <v>11.927575232403022</v>
      </c>
      <c r="Q143" s="379">
        <f t="shared" si="57"/>
        <v>11.816374877475198</v>
      </c>
      <c r="R143" s="379">
        <f t="shared" si="57"/>
        <v>11.76746405332657</v>
      </c>
      <c r="S143" s="379">
        <f t="shared" si="57"/>
        <v>11.773585771674325</v>
      </c>
      <c r="T143" s="379">
        <f t="shared" si="57"/>
        <v>11.833922567477481</v>
      </c>
      <c r="U143" s="379">
        <f t="shared" si="57"/>
        <v>11.855165743203107</v>
      </c>
      <c r="V143" s="379">
        <f t="shared" si="57"/>
        <v>11.884712236741866</v>
      </c>
      <c r="W143" s="379">
        <f t="shared" si="57"/>
        <v>11.923980990584477</v>
      </c>
      <c r="X143" s="379">
        <f t="shared" si="57"/>
        <v>11.972646919742177</v>
      </c>
      <c r="Y143" s="379">
        <f t="shared" si="57"/>
        <v>12.030318950587269</v>
      </c>
      <c r="Z143" s="379">
        <f t="shared" si="57"/>
        <v>12.09853114555805</v>
      </c>
      <c r="AA143" s="379">
        <f t="shared" si="57"/>
        <v>12.17897592264889</v>
      </c>
      <c r="AB143" s="379">
        <f t="shared" si="57"/>
        <v>12.270331405699599</v>
      </c>
      <c r="AC143" s="379">
        <f t="shared" si="57"/>
        <v>12.59821072840376</v>
      </c>
      <c r="AD143" s="379">
        <f t="shared" si="57"/>
        <v>13.0005790496853</v>
      </c>
      <c r="AE143" s="379">
        <f t="shared" si="57"/>
        <v>13.417695084530845</v>
      </c>
      <c r="AF143" s="379">
        <f t="shared" si="57"/>
        <v>13.855071848068034</v>
      </c>
      <c r="AG143" s="379">
        <f t="shared" si="57"/>
        <v>14.315159694385622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28.748460427252361</v>
      </c>
      <c r="D144" s="379">
        <f t="shared" si="58"/>
        <v>29.252361879534011</v>
      </c>
      <c r="E144" s="379">
        <f t="shared" si="58"/>
        <v>29.781752165878995</v>
      </c>
      <c r="F144" s="379">
        <f t="shared" si="58"/>
        <v>30.29236172395424</v>
      </c>
      <c r="G144" s="379">
        <f t="shared" si="58"/>
        <v>30.840680751085014</v>
      </c>
      <c r="H144" s="379">
        <f t="shared" si="58"/>
        <v>31.454515395711518</v>
      </c>
      <c r="I144" s="379">
        <f t="shared" si="58"/>
        <v>32.094183412234443</v>
      </c>
      <c r="J144" s="379">
        <f t="shared" si="58"/>
        <v>32.812976108887476</v>
      </c>
      <c r="K144" s="379">
        <f t="shared" si="58"/>
        <v>33.558609841131627</v>
      </c>
      <c r="L144" s="379">
        <f t="shared" si="58"/>
        <v>34.340859517740896</v>
      </c>
      <c r="M144" s="379">
        <f t="shared" si="58"/>
        <v>35.160263121624851</v>
      </c>
      <c r="N144" s="379">
        <f t="shared" si="58"/>
        <v>36.017381819677119</v>
      </c>
      <c r="O144" s="379">
        <f t="shared" si="58"/>
        <v>36.912800848157083</v>
      </c>
      <c r="P144" s="379">
        <f t="shared" si="58"/>
        <v>37.847130434239602</v>
      </c>
      <c r="Q144" s="379">
        <f t="shared" si="58"/>
        <v>38.830451199607843</v>
      </c>
      <c r="R144" s="379">
        <f t="shared" si="58"/>
        <v>39.854167010540813</v>
      </c>
      <c r="S144" s="379">
        <f t="shared" si="58"/>
        <v>40.93378986566173</v>
      </c>
      <c r="T144" s="379">
        <f t="shared" si="58"/>
        <v>42.098068877918536</v>
      </c>
      <c r="U144" s="379">
        <f t="shared" si="58"/>
        <v>43.312593481436352</v>
      </c>
      <c r="V144" s="379">
        <f t="shared" si="58"/>
        <v>44.578724695570344</v>
      </c>
      <c r="W144" s="379">
        <f t="shared" si="58"/>
        <v>45.887485242707776</v>
      </c>
      <c r="X144" s="379">
        <f t="shared" si="58"/>
        <v>47.258820085582947</v>
      </c>
      <c r="Y144" s="379">
        <f t="shared" si="58"/>
        <v>48.684190349033145</v>
      </c>
      <c r="Z144" s="379">
        <f t="shared" si="58"/>
        <v>50.164722850461722</v>
      </c>
      <c r="AA144" s="379">
        <f t="shared" si="58"/>
        <v>51.710470796689371</v>
      </c>
      <c r="AB144" s="379">
        <f t="shared" si="58"/>
        <v>53.31356342718199</v>
      </c>
      <c r="AC144" s="379">
        <f t="shared" si="58"/>
        <v>55.056966493818322</v>
      </c>
      <c r="AD144" s="379">
        <f t="shared" si="58"/>
        <v>56.86931821434154</v>
      </c>
      <c r="AE144" s="379">
        <f t="shared" si="58"/>
        <v>58.751399178737834</v>
      </c>
      <c r="AF144" s="379">
        <f t="shared" si="58"/>
        <v>60.713850389994128</v>
      </c>
      <c r="AG144" s="379">
        <f t="shared" si="58"/>
        <v>62.748656565104696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2.3210317460317462</v>
      </c>
      <c r="D145" s="379">
        <f t="shared" si="59"/>
        <v>2.3103174603174605</v>
      </c>
      <c r="E145" s="379">
        <f t="shared" si="59"/>
        <v>2.3013888888888894</v>
      </c>
      <c r="F145" s="379">
        <f t="shared" si="59"/>
        <v>2.2464285714285719</v>
      </c>
      <c r="G145" s="379">
        <f t="shared" si="59"/>
        <v>2.1956349206349208</v>
      </c>
      <c r="H145" s="379">
        <f t="shared" si="59"/>
        <v>2.1882936507936512</v>
      </c>
      <c r="I145" s="379">
        <f t="shared" si="59"/>
        <v>2.1488095238095242</v>
      </c>
      <c r="J145" s="379">
        <f t="shared" si="59"/>
        <v>2.1575396825396829</v>
      </c>
      <c r="K145" s="379">
        <f t="shared" si="59"/>
        <v>2.1678571428571431</v>
      </c>
      <c r="L145" s="379">
        <f t="shared" si="59"/>
        <v>2.179761904761905</v>
      </c>
      <c r="M145" s="379">
        <f t="shared" si="59"/>
        <v>2.1932539682539685</v>
      </c>
      <c r="N145" s="379">
        <f t="shared" si="59"/>
        <v>3.6805555555555554</v>
      </c>
      <c r="O145" s="379">
        <f t="shared" si="59"/>
        <v>3.7083333333333335</v>
      </c>
      <c r="P145" s="379">
        <f t="shared" si="59"/>
        <v>3.7387566137566139</v>
      </c>
      <c r="Q145" s="379">
        <f t="shared" si="59"/>
        <v>3.7721560846560847</v>
      </c>
      <c r="R145" s="379">
        <f t="shared" si="59"/>
        <v>3.808531746031746</v>
      </c>
      <c r="S145" s="379">
        <f t="shared" si="59"/>
        <v>3.8125</v>
      </c>
      <c r="T145" s="379">
        <f t="shared" si="59"/>
        <v>3.8812830687830688</v>
      </c>
      <c r="U145" s="379">
        <f t="shared" si="59"/>
        <v>3.9520502645502646</v>
      </c>
      <c r="V145" s="379">
        <f t="shared" si="59"/>
        <v>4.0257936507936511</v>
      </c>
      <c r="W145" s="379">
        <f t="shared" si="59"/>
        <v>4.1015211640211637</v>
      </c>
      <c r="X145" s="379">
        <f t="shared" si="59"/>
        <v>5.8523148148148145</v>
      </c>
      <c r="Y145" s="379">
        <f t="shared" si="59"/>
        <v>5.9662037037037035</v>
      </c>
      <c r="Z145" s="379">
        <f t="shared" si="59"/>
        <v>6.0842592592592597</v>
      </c>
      <c r="AA145" s="379">
        <f t="shared" si="59"/>
        <v>6.2060185185185182</v>
      </c>
      <c r="AB145" s="379">
        <f t="shared" si="59"/>
        <v>6.3324074074074073</v>
      </c>
      <c r="AC145" s="379">
        <f t="shared" si="59"/>
        <v>6.4884259259259256</v>
      </c>
      <c r="AD145" s="379">
        <f t="shared" si="59"/>
        <v>6.649537037037037</v>
      </c>
      <c r="AE145" s="379">
        <f t="shared" si="59"/>
        <v>6.8148148148148149</v>
      </c>
      <c r="AF145" s="379">
        <f t="shared" si="59"/>
        <v>6.9847222222222225</v>
      </c>
      <c r="AG145" s="379">
        <f t="shared" si="59"/>
        <v>7.159259259259259</v>
      </c>
    </row>
    <row r="146" spans="1:34" s="352" customFormat="1">
      <c r="A146" s="380" t="s">
        <v>323</v>
      </c>
      <c r="B146" s="352" t="s">
        <v>300</v>
      </c>
      <c r="C146" s="429">
        <f>SUM(C142:C144)-C145</f>
        <v>66.266420190547265</v>
      </c>
      <c r="D146" s="429">
        <f t="shared" ref="D146:AG146" si="60">SUM(D142:D144)-D145</f>
        <v>66.873977060592495</v>
      </c>
      <c r="E146" s="429">
        <f t="shared" si="60"/>
        <v>67.406393409746585</v>
      </c>
      <c r="F146" s="429">
        <f t="shared" si="60"/>
        <v>67.403483256738767</v>
      </c>
      <c r="G146" s="429">
        <f t="shared" si="60"/>
        <v>67.335845608004533</v>
      </c>
      <c r="H146" s="429">
        <f t="shared" si="60"/>
        <v>68.001497063457194</v>
      </c>
      <c r="I146" s="429">
        <f t="shared" si="60"/>
        <v>66.110348618550773</v>
      </c>
      <c r="J146" s="429">
        <f t="shared" si="60"/>
        <v>66.55669472582909</v>
      </c>
      <c r="K146" s="429">
        <f t="shared" si="60"/>
        <v>66.805114002898364</v>
      </c>
      <c r="L146" s="429">
        <f t="shared" si="60"/>
        <v>67.197617018761235</v>
      </c>
      <c r="M146" s="429">
        <f t="shared" si="60"/>
        <v>67.747583506872303</v>
      </c>
      <c r="N146" s="429">
        <f t="shared" si="60"/>
        <v>67.135743420101662</v>
      </c>
      <c r="O146" s="429">
        <f t="shared" si="60"/>
        <v>68.046409930242433</v>
      </c>
      <c r="P146" s="429">
        <f t="shared" si="60"/>
        <v>68.974329813081624</v>
      </c>
      <c r="Q146" s="429">
        <f t="shared" si="60"/>
        <v>70.017966413048853</v>
      </c>
      <c r="R146" s="429">
        <f t="shared" si="60"/>
        <v>71.179571210208962</v>
      </c>
      <c r="S146" s="429">
        <f t="shared" si="60"/>
        <v>72.285693944809537</v>
      </c>
      <c r="T146" s="429">
        <f t="shared" si="60"/>
        <v>73.863531212489107</v>
      </c>
      <c r="U146" s="429">
        <f t="shared" si="60"/>
        <v>75.462709531918094</v>
      </c>
      <c r="V146" s="429">
        <f t="shared" si="60"/>
        <v>77.137081400625348</v>
      </c>
      <c r="W146" s="429">
        <f t="shared" si="60"/>
        <v>78.873993943205818</v>
      </c>
      <c r="X146" s="429">
        <f t="shared" si="60"/>
        <v>79.026071630598096</v>
      </c>
      <c r="Y146" s="429">
        <f t="shared" si="60"/>
        <v>80.894326545557675</v>
      </c>
      <c r="Z146" s="429">
        <f t="shared" si="60"/>
        <v>82.842377007279765</v>
      </c>
      <c r="AA146" s="429">
        <f t="shared" si="60"/>
        <v>84.88040273561738</v>
      </c>
      <c r="AB146" s="429">
        <f t="shared" si="60"/>
        <v>87.00234290380034</v>
      </c>
      <c r="AC146" s="429">
        <f t="shared" si="60"/>
        <v>89.601335265351651</v>
      </c>
      <c r="AD146" s="429">
        <f t="shared" si="60"/>
        <v>92.360990233949778</v>
      </c>
      <c r="AE146" s="429">
        <f t="shared" si="60"/>
        <v>95.219215304643441</v>
      </c>
      <c r="AF146" s="429">
        <f t="shared" si="60"/>
        <v>98.193730400509253</v>
      </c>
      <c r="AG146" s="429">
        <f t="shared" si="60"/>
        <v>101.27897059263022</v>
      </c>
    </row>
    <row r="147" spans="1:34" s="344" customFormat="1">
      <c r="A147" s="342" t="s">
        <v>331</v>
      </c>
      <c r="B147" s="342"/>
      <c r="H147" s="431">
        <f>H149/H63</f>
        <v>2.4287863762267894</v>
      </c>
      <c r="AB147" s="431">
        <f>AB149/AB63</f>
        <v>1.4579586118105914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00" t="s">
        <v>332</v>
      </c>
      <c r="B149" s="300" t="s">
        <v>309</v>
      </c>
      <c r="C149" s="376">
        <f>ROUND(('Changing with year'!C146)/1000,0)*1000</f>
        <v>15066000</v>
      </c>
      <c r="D149" s="376">
        <f>ROUND(('Changing with year'!D146)/1000,0)*1000</f>
        <v>14820000</v>
      </c>
      <c r="E149" s="376">
        <f>ROUND(('Changing with year'!E146)/1000,0)*1000</f>
        <v>14591000</v>
      </c>
      <c r="F149" s="376">
        <f>ROUND(('Changing with year'!F146)/1000,0)*1000</f>
        <v>14379000</v>
      </c>
      <c r="G149" s="376">
        <f>ROUND(('Changing with year'!G146)/1000,0)*1000</f>
        <v>14184000</v>
      </c>
      <c r="H149" s="376">
        <f>ROUND(('Changing with year'!H146)/1000,0)*1000</f>
        <v>14205000</v>
      </c>
      <c r="I149" s="376">
        <f>ROUND(('Changing with year'!I146)/1000,0)*1000</f>
        <v>14108000</v>
      </c>
      <c r="J149" s="376">
        <f>ROUND(('Changing with year'!J146)/1000,0)*1000</f>
        <v>14029000</v>
      </c>
      <c r="K149" s="376">
        <f>ROUND(('Changing with year'!K146)/1000,0)*1000</f>
        <v>13963000</v>
      </c>
      <c r="L149" s="376">
        <f>ROUND(('Changing with year'!L146)/1000,0)*1000</f>
        <v>13909000</v>
      </c>
      <c r="M149" s="376">
        <f>ROUND(('Changing with year'!M146)/1000,0)*1000</f>
        <v>13867000</v>
      </c>
      <c r="N149" s="376">
        <f>ROUND(('Changing with year'!N146)/1000,0)*1000</f>
        <v>13838000</v>
      </c>
      <c r="O149" s="376">
        <f>ROUND(('Changing with year'!O146)/1000,0)*1000</f>
        <v>13820000</v>
      </c>
      <c r="P149" s="376">
        <f>ROUND(('Changing with year'!P146)/1000,0)*1000</f>
        <v>13815000</v>
      </c>
      <c r="Q149" s="376">
        <f>ROUND(('Changing with year'!Q146)/1000,0)*1000</f>
        <v>13821000</v>
      </c>
      <c r="R149" s="376">
        <f>ROUND(('Changing with year'!R146)/1000,0)*1000</f>
        <v>13840000</v>
      </c>
      <c r="S149" s="376">
        <f>ROUND(('Changing with year'!S146)/1000,0)*1000</f>
        <v>13771000</v>
      </c>
      <c r="T149" s="376">
        <f>ROUND(('Changing with year'!T146)/1000,0)*1000</f>
        <v>13939000</v>
      </c>
      <c r="U149" s="376">
        <f>ROUND(('Changing with year'!U146)/1000,0)*1000</f>
        <v>14115000</v>
      </c>
      <c r="V149" s="376">
        <f>ROUND(('Changing with year'!V146)/1000,0)*1000</f>
        <v>14300000</v>
      </c>
      <c r="W149" s="376">
        <f>ROUND(('Changing with year'!W146)/1000,0)*1000</f>
        <v>14494000</v>
      </c>
      <c r="X149" s="376">
        <f>ROUND(('Changing with year'!X146)/1000,0)*1000</f>
        <v>14483000</v>
      </c>
      <c r="Y149" s="376">
        <f>ROUND(('Changing with year'!Y146)/1000,0)*1000</f>
        <v>14698000</v>
      </c>
      <c r="Z149" s="376">
        <f>ROUND(('Changing with year'!Z146)/1000,0)*1000</f>
        <v>14922000</v>
      </c>
      <c r="AA149" s="376">
        <f>ROUND(('Changing with year'!AA146)/1000,0)*1000</f>
        <v>15156000</v>
      </c>
      <c r="AB149" s="376">
        <f>ROUND(('Changing with year'!AB146)/1000,0)*1000</f>
        <v>15401000</v>
      </c>
      <c r="AC149" s="376">
        <f>ROUND(('Changing with year'!AC146)/1000,0)*1000</f>
        <v>15547000</v>
      </c>
      <c r="AD149" s="376">
        <f>ROUND(('Changing with year'!AD146)/1000,0)*1000</f>
        <v>15909000</v>
      </c>
      <c r="AE149" s="376">
        <f>ROUND(('Changing with year'!AE146)/1000,0)*1000</f>
        <v>16282000</v>
      </c>
      <c r="AF149" s="376">
        <f>ROUND(('Changing with year'!AF146)/1000,0)*1000</f>
        <v>16664000</v>
      </c>
      <c r="AG149" s="376">
        <f>ROUND(('Changing with year'!AG146)/1000,0)*1000</f>
        <v>17058000</v>
      </c>
    </row>
    <row r="150" spans="1:34">
      <c r="A150" s="300" t="s">
        <v>310</v>
      </c>
      <c r="B150" s="300" t="s">
        <v>309</v>
      </c>
      <c r="C150" s="376">
        <f>(C149*'No change with year'!$AN$7)</f>
        <v>753299.99999999988</v>
      </c>
      <c r="D150" s="376">
        <f>(D149*'No change with year'!$AN$7)</f>
        <v>740999.99999999988</v>
      </c>
      <c r="E150" s="376">
        <f>(E149*'No change with year'!$AN$7)</f>
        <v>729549.99999999988</v>
      </c>
      <c r="F150" s="376">
        <f>(F149*'No change with year'!$AN$7)</f>
        <v>718949.99999999988</v>
      </c>
      <c r="G150" s="376">
        <f>(G149*'No change with year'!$AN$7)</f>
        <v>709199.99999999988</v>
      </c>
      <c r="H150" s="376">
        <f>(H149*'No change with year'!$AN$7)</f>
        <v>710249.99999999988</v>
      </c>
      <c r="I150" s="376">
        <f>(I149*'No change with year'!$AN$7)</f>
        <v>705399.99999999988</v>
      </c>
      <c r="J150" s="376">
        <f>(J149*'No change with year'!$AN$7)</f>
        <v>701449.99999999988</v>
      </c>
      <c r="K150" s="376">
        <f>(K149*'No change with year'!$AN$7)</f>
        <v>698149.99999999988</v>
      </c>
      <c r="L150" s="376">
        <f>(L149*'No change with year'!$AN$7)</f>
        <v>695449.99999999988</v>
      </c>
      <c r="M150" s="376">
        <f>(M149*'No change with year'!$AN$7)</f>
        <v>693349.99999999988</v>
      </c>
      <c r="N150" s="376">
        <f>(N149*'No change with year'!$AO$7)</f>
        <v>2075700.0000000002</v>
      </c>
      <c r="O150" s="376">
        <f>(O149*'No change with year'!$AO$7)</f>
        <v>2073000.0000000002</v>
      </c>
      <c r="P150" s="376">
        <f>(P149*'No change with year'!$AO$7)</f>
        <v>2072250.0000000002</v>
      </c>
      <c r="Q150" s="376">
        <f>(Q149*'No change with year'!$AO$7)</f>
        <v>2073150.0000000002</v>
      </c>
      <c r="R150" s="376">
        <f>(R149*'No change with year'!$AO$7)</f>
        <v>2076000.0000000002</v>
      </c>
      <c r="S150" s="376">
        <f>(S149*'No change with year'!$AO$7)</f>
        <v>2065650.0000000002</v>
      </c>
      <c r="T150" s="376">
        <f>(T149*'No change with year'!$AO$7)</f>
        <v>2090850.0000000002</v>
      </c>
      <c r="U150" s="376">
        <f>(U149*'No change with year'!$AO$7)</f>
        <v>2117250.0000000005</v>
      </c>
      <c r="V150" s="376">
        <f>(V149*'No change with year'!$AO$7)</f>
        <v>2145000.0000000005</v>
      </c>
      <c r="W150" s="376">
        <f>(W149*'No change with year'!$AO$7)</f>
        <v>2174100.0000000005</v>
      </c>
      <c r="X150" s="376">
        <f>(X149*'No change with year'!$AP$7)</f>
        <v>3620750</v>
      </c>
      <c r="Y150" s="376">
        <f>(Y149*'No change with year'!$AP$7)</f>
        <v>3674500</v>
      </c>
      <c r="Z150" s="376">
        <f>(Z149*'No change with year'!$AP$7)</f>
        <v>3730500</v>
      </c>
      <c r="AA150" s="376">
        <f>(AA149*'No change with year'!$AP$7)</f>
        <v>3789000</v>
      </c>
      <c r="AB150" s="376">
        <f>(AB149*'No change with year'!$AP$7)</f>
        <v>3850250</v>
      </c>
      <c r="AC150" s="376">
        <f>(AC149*'No change with year'!$AP$7)</f>
        <v>3886750</v>
      </c>
      <c r="AD150" s="376">
        <f>(AD149*'No change with year'!$AP$7)</f>
        <v>3977250</v>
      </c>
      <c r="AE150" s="376">
        <f>(AE149*'No change with year'!$AP$7)</f>
        <v>4070500</v>
      </c>
      <c r="AF150" s="376">
        <f>(AF149*'No change with year'!$AP$7)</f>
        <v>4166000</v>
      </c>
      <c r="AG150" s="376">
        <f>(AG149*'No change with year'!$AP$7)</f>
        <v>4264500</v>
      </c>
    </row>
    <row r="151" spans="1:34" s="371" customFormat="1" ht="11.85" customHeight="1">
      <c r="A151" s="428" t="s">
        <v>311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spans="1:34">
      <c r="A152" s="300" t="s">
        <v>325</v>
      </c>
      <c r="B152" s="300" t="s">
        <v>313</v>
      </c>
      <c r="C152" s="376">
        <f>-PMT($C$28,$C$27,C149)</f>
        <v>3301227.8090903549</v>
      </c>
      <c r="D152" s="376">
        <f t="shared" ref="D152:AG152" si="62">-PMT($C$28,$C$27,D149)</f>
        <v>3247324.8460586127</v>
      </c>
      <c r="E152" s="376">
        <f t="shared" si="62"/>
        <v>3197146.8845371944</v>
      </c>
      <c r="F152" s="376">
        <f t="shared" si="62"/>
        <v>3150693.9245260996</v>
      </c>
      <c r="G152" s="376">
        <f t="shared" si="62"/>
        <v>3107965.9660253278</v>
      </c>
      <c r="H152" s="376">
        <f t="shared" si="62"/>
        <v>3112567.4384792577</v>
      </c>
      <c r="I152" s="376">
        <f t="shared" si="62"/>
        <v>3091313.0180968223</v>
      </c>
      <c r="J152" s="376">
        <f t="shared" si="62"/>
        <v>3074002.7169606127</v>
      </c>
      <c r="K152" s="376">
        <f t="shared" si="62"/>
        <v>3059540.9463911206</v>
      </c>
      <c r="L152" s="376">
        <f t="shared" si="62"/>
        <v>3047708.5886524459</v>
      </c>
      <c r="M152" s="376">
        <f t="shared" si="62"/>
        <v>3038505.643744587</v>
      </c>
      <c r="N152" s="376">
        <f t="shared" si="62"/>
        <v>3032151.2294034469</v>
      </c>
      <c r="O152" s="376">
        <f t="shared" si="62"/>
        <v>3028207.110157222</v>
      </c>
      <c r="P152" s="376">
        <f t="shared" si="62"/>
        <v>3027111.5214777151</v>
      </c>
      <c r="Q152" s="376">
        <f t="shared" si="62"/>
        <v>3028426.2278931234</v>
      </c>
      <c r="R152" s="376">
        <f t="shared" si="62"/>
        <v>3032589.4648752497</v>
      </c>
      <c r="S152" s="376">
        <f t="shared" si="62"/>
        <v>3017470.3410980534</v>
      </c>
      <c r="T152" s="376">
        <f t="shared" si="62"/>
        <v>3054282.1207294874</v>
      </c>
      <c r="U152" s="376">
        <f t="shared" si="62"/>
        <v>3092846.842248132</v>
      </c>
      <c r="V152" s="376">
        <f t="shared" si="62"/>
        <v>3133383.6233898895</v>
      </c>
      <c r="W152" s="376">
        <f t="shared" si="62"/>
        <v>3175892.4641547594</v>
      </c>
      <c r="X152" s="376">
        <f t="shared" si="62"/>
        <v>3173482.1690598442</v>
      </c>
      <c r="Y152" s="376">
        <f t="shared" si="62"/>
        <v>3220592.4822786432</v>
      </c>
      <c r="Z152" s="376">
        <f t="shared" si="62"/>
        <v>3269674.8551205546</v>
      </c>
      <c r="AA152" s="376">
        <f t="shared" si="62"/>
        <v>3320948.4053214802</v>
      </c>
      <c r="AB152" s="376">
        <f t="shared" si="62"/>
        <v>3374632.2506173206</v>
      </c>
      <c r="AC152" s="376">
        <f t="shared" si="62"/>
        <v>3406623.4400589238</v>
      </c>
      <c r="AD152" s="376">
        <f t="shared" si="62"/>
        <v>3485944.0604552273</v>
      </c>
      <c r="AE152" s="376">
        <f t="shared" si="62"/>
        <v>3567674.9759464459</v>
      </c>
      <c r="AF152" s="376">
        <f t="shared" si="62"/>
        <v>3651377.9510607775</v>
      </c>
      <c r="AG152" s="376">
        <f t="shared" si="62"/>
        <v>3737710.3390059257</v>
      </c>
    </row>
    <row r="153" spans="1:34">
      <c r="A153" s="300" t="s">
        <v>333</v>
      </c>
      <c r="B153" s="300" t="s">
        <v>313</v>
      </c>
      <c r="C153" s="376">
        <f t="shared" ref="C153:AG153" si="63">$H$37*C50</f>
        <v>6717413.7931034481</v>
      </c>
      <c r="D153" s="376">
        <f t="shared" si="63"/>
        <v>6655034.4827586208</v>
      </c>
      <c r="E153" s="376">
        <f t="shared" si="63"/>
        <v>6598879.137931034</v>
      </c>
      <c r="F153" s="376">
        <f t="shared" si="63"/>
        <v>6548808.9879310345</v>
      </c>
      <c r="G153" s="376">
        <f t="shared" si="63"/>
        <v>6504691.9482931038</v>
      </c>
      <c r="H153" s="376">
        <f t="shared" si="63"/>
        <v>6466402.4080856908</v>
      </c>
      <c r="I153" s="376">
        <f t="shared" si="63"/>
        <v>6081285.1572836069</v>
      </c>
      <c r="J153" s="376">
        <f t="shared" si="63"/>
        <v>5878598.6701974031</v>
      </c>
      <c r="K153" s="376">
        <f t="shared" si="63"/>
        <v>5682653.6574775288</v>
      </c>
      <c r="L153" s="376">
        <f t="shared" si="63"/>
        <v>5493195.6955283843</v>
      </c>
      <c r="M153" s="376">
        <f t="shared" si="63"/>
        <v>5309980.9145251922</v>
      </c>
      <c r="N153" s="376">
        <f t="shared" si="63"/>
        <v>5132775.53233035</v>
      </c>
      <c r="O153" s="376">
        <f t="shared" si="63"/>
        <v>4961355.4098211722</v>
      </c>
      <c r="P153" s="376">
        <f t="shared" si="63"/>
        <v>4795505.6266206726</v>
      </c>
      <c r="Q153" s="376">
        <f t="shared" si="63"/>
        <v>4635020.0762712546</v>
      </c>
      <c r="R153" s="376">
        <f t="shared" si="63"/>
        <v>4479701.0799371442</v>
      </c>
      <c r="S153" s="376">
        <f t="shared" si="63"/>
        <v>4136033.248173336</v>
      </c>
      <c r="T153" s="376">
        <f t="shared" si="63"/>
        <v>4018593.1067336509</v>
      </c>
      <c r="U153" s="376">
        <f t="shared" si="63"/>
        <v>3905332.2818550696</v>
      </c>
      <c r="V153" s="376">
        <f t="shared" si="63"/>
        <v>3796070.1379081625</v>
      </c>
      <c r="W153" s="376">
        <f t="shared" si="63"/>
        <v>3690634.4456441831</v>
      </c>
      <c r="X153" s="376">
        <f t="shared" si="63"/>
        <v>3588860.9783929982</v>
      </c>
      <c r="Y153" s="376">
        <f t="shared" si="63"/>
        <v>3490593.127978079</v>
      </c>
      <c r="Z153" s="376">
        <f t="shared" si="63"/>
        <v>3395681.5393766379</v>
      </c>
      <c r="AA153" s="376">
        <f t="shared" si="63"/>
        <v>3303983.7632012223</v>
      </c>
      <c r="AB153" s="376">
        <f t="shared" si="63"/>
        <v>3215363.9251248362</v>
      </c>
      <c r="AC153" s="376">
        <f t="shared" si="63"/>
        <v>3107324.8693855992</v>
      </c>
      <c r="AD153" s="376">
        <f t="shared" si="63"/>
        <v>3118034.0692863166</v>
      </c>
      <c r="AE153" s="376">
        <f t="shared" si="63"/>
        <v>3132381.509029258</v>
      </c>
      <c r="AF153" s="376">
        <f t="shared" si="63"/>
        <v>3150308.7345673232</v>
      </c>
      <c r="AG153" s="376">
        <f t="shared" si="63"/>
        <v>3171762.918695407</v>
      </c>
    </row>
    <row r="154" spans="1:34">
      <c r="A154" s="300" t="s">
        <v>317</v>
      </c>
      <c r="B154" s="300" t="s">
        <v>313</v>
      </c>
      <c r="C154" s="376">
        <f t="shared" ref="C154:AG154" si="64">$C$22*$C$21*C58</f>
        <v>1282854.8571428575</v>
      </c>
      <c r="D154" s="376">
        <f t="shared" si="64"/>
        <v>1297536.6857142858</v>
      </c>
      <c r="E154" s="376">
        <f t="shared" si="64"/>
        <v>1313721.5965714287</v>
      </c>
      <c r="F154" s="376">
        <f t="shared" si="64"/>
        <v>1331446.8177771429</v>
      </c>
      <c r="G154" s="376">
        <f t="shared" si="64"/>
        <v>1350751.6388975144</v>
      </c>
      <c r="H154" s="376">
        <f t="shared" si="64"/>
        <v>1371677.4791524685</v>
      </c>
      <c r="I154" s="376">
        <f t="shared" si="64"/>
        <v>1396750.7755477156</v>
      </c>
      <c r="J154" s="376">
        <f t="shared" si="64"/>
        <v>1423422.8798541897</v>
      </c>
      <c r="K154" s="376">
        <f t="shared" si="64"/>
        <v>1451745.8268672312</v>
      </c>
      <c r="L154" s="376">
        <f t="shared" si="64"/>
        <v>1481773.9711244171</v>
      </c>
      <c r="M154" s="376">
        <f t="shared" si="64"/>
        <v>1513564.0749282402</v>
      </c>
      <c r="N154" s="376">
        <f t="shared" si="64"/>
        <v>1547175.3999850394</v>
      </c>
      <c r="O154" s="376">
        <f t="shared" si="64"/>
        <v>1582669.8028029171</v>
      </c>
      <c r="P154" s="376">
        <f t="shared" si="64"/>
        <v>1620111.8339971404</v>
      </c>
      <c r="Q154" s="376">
        <f t="shared" si="64"/>
        <v>1659568.8416574909</v>
      </c>
      <c r="R154" s="376">
        <f t="shared" si="64"/>
        <v>1701111.0789382458</v>
      </c>
      <c r="S154" s="376">
        <f t="shared" si="64"/>
        <v>1748869.1003809136</v>
      </c>
      <c r="T154" s="376">
        <f t="shared" si="64"/>
        <v>1798740.3068984379</v>
      </c>
      <c r="U154" s="376">
        <f t="shared" si="64"/>
        <v>1850807.1972516396</v>
      </c>
      <c r="V154" s="376">
        <f t="shared" si="64"/>
        <v>1905155.5904381969</v>
      </c>
      <c r="W154" s="376">
        <f t="shared" si="64"/>
        <v>1961874.7582992513</v>
      </c>
      <c r="X154" s="376">
        <f t="shared" si="64"/>
        <v>2021057.563432313</v>
      </c>
      <c r="Y154" s="376">
        <f t="shared" si="64"/>
        <v>2082800.6026226862</v>
      </c>
      <c r="Z154" s="376">
        <f t="shared" si="64"/>
        <v>2147204.3560141432</v>
      </c>
      <c r="AA154" s="376">
        <f t="shared" si="64"/>
        <v>2214373.3422483932</v>
      </c>
      <c r="AB154" s="376">
        <f t="shared" si="64"/>
        <v>2284416.2798120761</v>
      </c>
      <c r="AC154" s="376">
        <f t="shared" si="64"/>
        <v>2364784.9253055654</v>
      </c>
      <c r="AD154" s="376">
        <f t="shared" si="64"/>
        <v>2448258.2365618041</v>
      </c>
      <c r="AE154" s="376">
        <f t="shared" si="64"/>
        <v>2534959.2994107325</v>
      </c>
      <c r="AF154" s="376">
        <f t="shared" si="64"/>
        <v>2625016.1121074827</v>
      </c>
      <c r="AG154" s="376">
        <f t="shared" si="64"/>
        <v>2718561.781719306</v>
      </c>
    </row>
    <row r="155" spans="1:34">
      <c r="A155" s="300" t="s">
        <v>318</v>
      </c>
      <c r="B155" s="300" t="s">
        <v>313</v>
      </c>
      <c r="C155" s="376">
        <f>'Changing with year'!C302</f>
        <v>660000</v>
      </c>
      <c r="D155" s="376">
        <f>'Changing with year'!D302</f>
        <v>690000</v>
      </c>
      <c r="E155" s="376">
        <f>'Changing with year'!E302</f>
        <v>721000</v>
      </c>
      <c r="F155" s="376">
        <f>'Changing with year'!F302</f>
        <v>753000</v>
      </c>
      <c r="G155" s="376">
        <f>'Changing with year'!G302</f>
        <v>787000</v>
      </c>
      <c r="H155" s="376">
        <f>'Changing with year'!H302</f>
        <v>822000</v>
      </c>
      <c r="I155" s="376">
        <f>'Changing with year'!I302</f>
        <v>859000</v>
      </c>
      <c r="J155" s="376">
        <f>'Changing with year'!J302</f>
        <v>898000</v>
      </c>
      <c r="K155" s="376">
        <f>'Changing with year'!K302</f>
        <v>938000</v>
      </c>
      <c r="L155" s="376">
        <f>'Changing with year'!L302</f>
        <v>980000</v>
      </c>
      <c r="M155" s="376">
        <f>'Changing with year'!M302</f>
        <v>1024000</v>
      </c>
      <c r="N155" s="376">
        <f>'Changing with year'!N302</f>
        <v>1070000</v>
      </c>
      <c r="O155" s="376">
        <f>'Changing with year'!O302</f>
        <v>1118000</v>
      </c>
      <c r="P155" s="376">
        <f>'Changing with year'!P302</f>
        <v>1168000</v>
      </c>
      <c r="Q155" s="376">
        <f>'Changing with year'!Q302</f>
        <v>1221000</v>
      </c>
      <c r="R155" s="376">
        <f>'Changing with year'!R302</f>
        <v>1276000</v>
      </c>
      <c r="S155" s="376">
        <f>'Changing with year'!S302</f>
        <v>1333000</v>
      </c>
      <c r="T155" s="376">
        <f>'Changing with year'!T302</f>
        <v>1393000</v>
      </c>
      <c r="U155" s="376">
        <f>'Changing with year'!U302</f>
        <v>1456000</v>
      </c>
      <c r="V155" s="376">
        <f>'Changing with year'!V302</f>
        <v>1522000</v>
      </c>
      <c r="W155" s="376">
        <f>'Changing with year'!W302</f>
        <v>1590000</v>
      </c>
      <c r="X155" s="376">
        <f>'Changing with year'!X302</f>
        <v>1662000</v>
      </c>
      <c r="Y155" s="376">
        <f>'Changing with year'!Y302</f>
        <v>1737000</v>
      </c>
      <c r="Z155" s="376">
        <f>'Changing with year'!Z302</f>
        <v>1815000</v>
      </c>
      <c r="AA155" s="376">
        <f>'Changing with year'!AA302</f>
        <v>1897000</v>
      </c>
      <c r="AB155" s="376">
        <f>'Changing with year'!AB302</f>
        <v>1982000</v>
      </c>
      <c r="AC155" s="376">
        <f>'Changing with year'!AC302</f>
        <v>2071000</v>
      </c>
      <c r="AD155" s="376">
        <f>'Changing with year'!AD302</f>
        <v>2164000</v>
      </c>
      <c r="AE155" s="376">
        <f>'Changing with year'!AE302</f>
        <v>2261000</v>
      </c>
      <c r="AF155" s="376">
        <f>'Changing with year'!AF302</f>
        <v>2363000</v>
      </c>
      <c r="AG155" s="376">
        <f>'Changing with year'!AG302</f>
        <v>2469000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C60</f>
        <v>972000</v>
      </c>
      <c r="D156" s="376">
        <f t="shared" si="65"/>
        <v>981720</v>
      </c>
      <c r="E156" s="376">
        <f t="shared" si="65"/>
        <v>991537.2</v>
      </c>
      <c r="F156" s="376">
        <f t="shared" si="65"/>
        <v>1001452.5719999999</v>
      </c>
      <c r="G156" s="376">
        <f t="shared" si="65"/>
        <v>1011467.0977199998</v>
      </c>
      <c r="H156" s="376">
        <f t="shared" si="65"/>
        <v>1021581.7686972</v>
      </c>
      <c r="I156" s="376">
        <f t="shared" si="65"/>
        <v>1031797.586384172</v>
      </c>
      <c r="J156" s="376">
        <f t="shared" si="65"/>
        <v>1042115.5622480137</v>
      </c>
      <c r="K156" s="376">
        <f t="shared" si="65"/>
        <v>1052536.7178704939</v>
      </c>
      <c r="L156" s="376">
        <f t="shared" si="65"/>
        <v>1063062.0850491989</v>
      </c>
      <c r="M156" s="376">
        <f t="shared" si="65"/>
        <v>1073692.705899691</v>
      </c>
      <c r="N156" s="376">
        <f t="shared" si="65"/>
        <v>1084429.6329586878</v>
      </c>
      <c r="O156" s="376">
        <f t="shared" si="65"/>
        <v>1095273.9292882748</v>
      </c>
      <c r="P156" s="376">
        <f t="shared" si="65"/>
        <v>1106226.6685811577</v>
      </c>
      <c r="Q156" s="376">
        <f t="shared" si="65"/>
        <v>1117288.9352669693</v>
      </c>
      <c r="R156" s="376">
        <f t="shared" si="65"/>
        <v>1128461.824619639</v>
      </c>
      <c r="S156" s="376">
        <f t="shared" si="65"/>
        <v>1139746.4428658355</v>
      </c>
      <c r="T156" s="376">
        <f t="shared" si="65"/>
        <v>1151143.9072944939</v>
      </c>
      <c r="U156" s="376">
        <f t="shared" si="65"/>
        <v>1162655.3463674388</v>
      </c>
      <c r="V156" s="376">
        <f t="shared" si="65"/>
        <v>1174281.8998311132</v>
      </c>
      <c r="W156" s="376">
        <f t="shared" si="65"/>
        <v>1186024.7188294244</v>
      </c>
      <c r="X156" s="376">
        <f t="shared" si="65"/>
        <v>1197884.9660177184</v>
      </c>
      <c r="Y156" s="376">
        <f t="shared" si="65"/>
        <v>1209863.8156778959</v>
      </c>
      <c r="Z156" s="376">
        <f t="shared" si="65"/>
        <v>1221962.4538346748</v>
      </c>
      <c r="AA156" s="376">
        <f t="shared" si="65"/>
        <v>1234182.0783730214</v>
      </c>
      <c r="AB156" s="376">
        <f t="shared" si="65"/>
        <v>1246523.8991567518</v>
      </c>
      <c r="AC156" s="376">
        <f t="shared" si="65"/>
        <v>1258989.1381483194</v>
      </c>
      <c r="AD156" s="376">
        <f t="shared" si="65"/>
        <v>1271579.0295298027</v>
      </c>
      <c r="AE156" s="376">
        <f t="shared" si="65"/>
        <v>1284294.8198251007</v>
      </c>
      <c r="AF156" s="376">
        <f t="shared" si="65"/>
        <v>1297137.7680233517</v>
      </c>
      <c r="AG156" s="376">
        <f t="shared" si="65"/>
        <v>1310109.1457035851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301320</v>
      </c>
      <c r="D157" s="376">
        <f t="shared" si="66"/>
        <v>296400</v>
      </c>
      <c r="E157" s="376">
        <f t="shared" si="66"/>
        <v>291820</v>
      </c>
      <c r="F157" s="376">
        <f t="shared" si="66"/>
        <v>287580</v>
      </c>
      <c r="G157" s="376">
        <f t="shared" si="66"/>
        <v>283680</v>
      </c>
      <c r="H157" s="376">
        <f t="shared" si="66"/>
        <v>284100</v>
      </c>
      <c r="I157" s="376">
        <f t="shared" si="66"/>
        <v>282160</v>
      </c>
      <c r="J157" s="376">
        <f t="shared" si="66"/>
        <v>280580</v>
      </c>
      <c r="K157" s="376">
        <f t="shared" si="66"/>
        <v>279260</v>
      </c>
      <c r="L157" s="376">
        <f t="shared" si="66"/>
        <v>278180</v>
      </c>
      <c r="M157" s="376">
        <f t="shared" si="66"/>
        <v>277340</v>
      </c>
      <c r="N157" s="376">
        <f t="shared" si="66"/>
        <v>276760</v>
      </c>
      <c r="O157" s="376">
        <f t="shared" si="66"/>
        <v>276400</v>
      </c>
      <c r="P157" s="376">
        <f t="shared" si="66"/>
        <v>276300</v>
      </c>
      <c r="Q157" s="376">
        <f t="shared" si="66"/>
        <v>276420</v>
      </c>
      <c r="R157" s="376">
        <f t="shared" si="66"/>
        <v>276800</v>
      </c>
      <c r="S157" s="376">
        <f t="shared" si="66"/>
        <v>275420</v>
      </c>
      <c r="T157" s="376">
        <f t="shared" si="66"/>
        <v>278780</v>
      </c>
      <c r="U157" s="376">
        <f t="shared" si="66"/>
        <v>282300</v>
      </c>
      <c r="V157" s="376">
        <f t="shared" si="66"/>
        <v>286000</v>
      </c>
      <c r="W157" s="376">
        <f t="shared" si="66"/>
        <v>289880</v>
      </c>
      <c r="X157" s="376">
        <f t="shared" si="66"/>
        <v>289660</v>
      </c>
      <c r="Y157" s="376">
        <f t="shared" si="66"/>
        <v>293960</v>
      </c>
      <c r="Z157" s="376">
        <f t="shared" si="66"/>
        <v>298440</v>
      </c>
      <c r="AA157" s="376">
        <f t="shared" si="66"/>
        <v>303120</v>
      </c>
      <c r="AB157" s="376">
        <f t="shared" si="66"/>
        <v>308020</v>
      </c>
      <c r="AC157" s="376">
        <f t="shared" si="66"/>
        <v>310940</v>
      </c>
      <c r="AD157" s="376">
        <f t="shared" si="66"/>
        <v>318180</v>
      </c>
      <c r="AE157" s="376">
        <f t="shared" si="66"/>
        <v>325640</v>
      </c>
      <c r="AF157" s="376">
        <f t="shared" si="66"/>
        <v>333280</v>
      </c>
      <c r="AG157" s="376">
        <f t="shared" si="66"/>
        <v>341160</v>
      </c>
    </row>
    <row r="158" spans="1:34" s="371" customFormat="1" ht="11.85" customHeight="1">
      <c r="A158" s="428" t="s">
        <v>320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30.566924158244028</v>
      </c>
      <c r="D159" s="379">
        <f t="shared" si="67"/>
        <v>30.067822648690857</v>
      </c>
      <c r="E159" s="379">
        <f t="shared" si="67"/>
        <v>29.603211893862913</v>
      </c>
      <c r="F159" s="379">
        <f t="shared" si="67"/>
        <v>29.17309189376018</v>
      </c>
      <c r="G159" s="379">
        <f t="shared" si="67"/>
        <v>28.777462648382667</v>
      </c>
      <c r="H159" s="379">
        <f t="shared" si="67"/>
        <v>28.820068874807941</v>
      </c>
      <c r="I159" s="379">
        <f t="shared" si="67"/>
        <v>28.623268686081687</v>
      </c>
      <c r="J159" s="379">
        <f t="shared" si="67"/>
        <v>28.462988120005672</v>
      </c>
      <c r="K159" s="379">
        <f t="shared" si="67"/>
        <v>28.329082836954822</v>
      </c>
      <c r="L159" s="379">
        <f t="shared" si="67"/>
        <v>28.219523969004129</v>
      </c>
      <c r="M159" s="379">
        <f t="shared" si="67"/>
        <v>28.134311516153584</v>
      </c>
      <c r="N159" s="379">
        <f t="shared" si="67"/>
        <v>28.07547434632821</v>
      </c>
      <c r="O159" s="379">
        <f t="shared" si="67"/>
        <v>28.038954723677982</v>
      </c>
      <c r="P159" s="379">
        <f t="shared" si="67"/>
        <v>28.028810384052917</v>
      </c>
      <c r="Q159" s="379">
        <f t="shared" si="67"/>
        <v>28.040983591602995</v>
      </c>
      <c r="R159" s="379">
        <f t="shared" si="67"/>
        <v>28.079532082178236</v>
      </c>
      <c r="S159" s="379">
        <f t="shared" si="67"/>
        <v>27.939540195352347</v>
      </c>
      <c r="T159" s="379">
        <f t="shared" si="67"/>
        <v>28.280390006754512</v>
      </c>
      <c r="U159" s="379">
        <f t="shared" si="67"/>
        <v>28.637470761556777</v>
      </c>
      <c r="V159" s="379">
        <f t="shared" si="67"/>
        <v>29.012811327684162</v>
      </c>
      <c r="W159" s="379">
        <f t="shared" si="67"/>
        <v>29.406411705136662</v>
      </c>
      <c r="X159" s="379">
        <f t="shared" si="67"/>
        <v>29.38409415796152</v>
      </c>
      <c r="Y159" s="379">
        <f t="shared" si="67"/>
        <v>29.820300761839288</v>
      </c>
      <c r="Z159" s="379">
        <f t="shared" si="67"/>
        <v>30.274767177042172</v>
      </c>
      <c r="AA159" s="379">
        <f t="shared" si="67"/>
        <v>30.749522271495188</v>
      </c>
      <c r="AB159" s="379">
        <f t="shared" si="67"/>
        <v>31.246594913123339</v>
      </c>
      <c r="AC159" s="379">
        <f t="shared" si="67"/>
        <v>31.542809630175221</v>
      </c>
      <c r="AD159" s="379">
        <f t="shared" si="67"/>
        <v>32.277259819029879</v>
      </c>
      <c r="AE159" s="379">
        <f t="shared" si="67"/>
        <v>33.034027555059687</v>
      </c>
      <c r="AF159" s="379">
        <f t="shared" si="67"/>
        <v>33.809055102414604</v>
      </c>
      <c r="AG159" s="379">
        <f t="shared" si="67"/>
        <v>34.608429064869682</v>
      </c>
    </row>
    <row r="160" spans="1:34">
      <c r="A160" s="300" t="s">
        <v>321</v>
      </c>
      <c r="B160" s="300" t="s">
        <v>300</v>
      </c>
      <c r="C160" s="379">
        <f t="shared" si="67"/>
        <v>62.198275862068961</v>
      </c>
      <c r="D160" s="379">
        <f t="shared" si="67"/>
        <v>61.620689655172413</v>
      </c>
      <c r="E160" s="379">
        <f t="shared" si="67"/>
        <v>61.100732758620687</v>
      </c>
      <c r="F160" s="379">
        <f t="shared" si="67"/>
        <v>60.637120258620691</v>
      </c>
      <c r="G160" s="379">
        <f t="shared" si="67"/>
        <v>60.228629150862069</v>
      </c>
      <c r="H160" s="379">
        <f t="shared" si="67"/>
        <v>59.874096371163802</v>
      </c>
      <c r="I160" s="379">
        <f t="shared" si="67"/>
        <v>56.308195900774137</v>
      </c>
      <c r="J160" s="379">
        <f t="shared" si="67"/>
        <v>54.431469168494473</v>
      </c>
      <c r="K160" s="379">
        <f t="shared" si="67"/>
        <v>52.617163495162302</v>
      </c>
      <c r="L160" s="379">
        <f t="shared" si="67"/>
        <v>50.862923106744297</v>
      </c>
      <c r="M160" s="379">
        <f t="shared" si="67"/>
        <v>49.166489949307334</v>
      </c>
      <c r="N160" s="379">
        <f t="shared" si="67"/>
        <v>47.52569937342917</v>
      </c>
      <c r="O160" s="379">
        <f t="shared" si="67"/>
        <v>45.938476016862708</v>
      </c>
      <c r="P160" s="379">
        <f t="shared" si="67"/>
        <v>44.402829876117337</v>
      </c>
      <c r="Q160" s="379">
        <f t="shared" si="67"/>
        <v>42.91685255806717</v>
      </c>
      <c r="R160" s="379">
        <f t="shared" si="67"/>
        <v>41.478713703121706</v>
      </c>
      <c r="S160" s="379">
        <f t="shared" si="67"/>
        <v>38.296604149753108</v>
      </c>
      <c r="T160" s="379">
        <f t="shared" si="67"/>
        <v>37.209195432718992</v>
      </c>
      <c r="U160" s="379">
        <f t="shared" si="67"/>
        <v>36.160484091250645</v>
      </c>
      <c r="V160" s="379">
        <f t="shared" si="67"/>
        <v>35.148797573223725</v>
      </c>
      <c r="W160" s="379">
        <f t="shared" si="67"/>
        <v>34.172541163372067</v>
      </c>
      <c r="X160" s="379">
        <f t="shared" si="67"/>
        <v>33.230194244379611</v>
      </c>
      <c r="Y160" s="379">
        <f t="shared" si="67"/>
        <v>32.320306740537767</v>
      </c>
      <c r="Z160" s="379">
        <f t="shared" si="67"/>
        <v>31.441495734968868</v>
      </c>
      <c r="AA160" s="379">
        <f t="shared" si="67"/>
        <v>30.592442251863169</v>
      </c>
      <c r="AB160" s="379">
        <f t="shared" si="67"/>
        <v>29.771888195600337</v>
      </c>
      <c r="AC160" s="379">
        <f t="shared" si="67"/>
        <v>28.771526568385177</v>
      </c>
      <c r="AD160" s="379">
        <f t="shared" si="67"/>
        <v>28.870685826725154</v>
      </c>
      <c r="AE160" s="379">
        <f t="shared" si="67"/>
        <v>29.003532491011647</v>
      </c>
      <c r="AF160" s="379">
        <f t="shared" si="67"/>
        <v>29.169525320067809</v>
      </c>
      <c r="AG160" s="379">
        <f t="shared" si="67"/>
        <v>29.36817517310562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29.779396825396827</v>
      </c>
      <c r="D161" s="379">
        <f t="shared" si="68"/>
        <v>30.237561904761904</v>
      </c>
      <c r="E161" s="379">
        <f t="shared" si="68"/>
        <v>30.722951820105823</v>
      </c>
      <c r="F161" s="379">
        <f t="shared" si="68"/>
        <v>31.235920275714282</v>
      </c>
      <c r="G161" s="379">
        <f t="shared" si="68"/>
        <v>31.786099413125132</v>
      </c>
      <c r="H161" s="379">
        <f t="shared" si="68"/>
        <v>32.401474517126559</v>
      </c>
      <c r="I161" s="379">
        <f t="shared" si="68"/>
        <v>33.052855203073037</v>
      </c>
      <c r="J161" s="379">
        <f t="shared" si="68"/>
        <v>33.741837426872252</v>
      </c>
      <c r="K161" s="379">
        <f t="shared" si="68"/>
        <v>34.458727266090044</v>
      </c>
      <c r="L161" s="379">
        <f t="shared" si="68"/>
        <v>35.213111631237183</v>
      </c>
      <c r="M161" s="379">
        <f t="shared" si="68"/>
        <v>36.005525748406768</v>
      </c>
      <c r="N161" s="379">
        <f t="shared" si="68"/>
        <v>36.836713267997474</v>
      </c>
      <c r="O161" s="379">
        <f t="shared" si="68"/>
        <v>37.706886408251776</v>
      </c>
      <c r="P161" s="379">
        <f t="shared" si="68"/>
        <v>38.617023172021284</v>
      </c>
      <c r="Q161" s="379">
        <f t="shared" si="68"/>
        <v>39.576646082633893</v>
      </c>
      <c r="R161" s="379">
        <f t="shared" si="68"/>
        <v>40.577526884795226</v>
      </c>
      <c r="S161" s="379">
        <f t="shared" si="68"/>
        <v>41.639217993025454</v>
      </c>
      <c r="T161" s="379">
        <f t="shared" si="68"/>
        <v>42.793187168453073</v>
      </c>
      <c r="U161" s="379">
        <f t="shared" si="68"/>
        <v>43.997801329806272</v>
      </c>
      <c r="V161" s="379">
        <f t="shared" si="68"/>
        <v>45.254050835826945</v>
      </c>
      <c r="W161" s="379">
        <f t="shared" si="68"/>
        <v>46.553513677117365</v>
      </c>
      <c r="X161" s="379">
        <f t="shared" si="68"/>
        <v>47.875949346759548</v>
      </c>
      <c r="Y161" s="379">
        <f t="shared" si="68"/>
        <v>49.292818687968349</v>
      </c>
      <c r="Z161" s="379">
        <f t="shared" si="68"/>
        <v>50.764877868970537</v>
      </c>
      <c r="AA161" s="379">
        <f t="shared" si="68"/>
        <v>52.302550190939023</v>
      </c>
      <c r="AB161" s="379">
        <f t="shared" si="68"/>
        <v>53.897779434896556</v>
      </c>
      <c r="AC161" s="379">
        <f t="shared" si="68"/>
        <v>55.608463550498932</v>
      </c>
      <c r="AD161" s="379">
        <f t="shared" si="68"/>
        <v>57.426085797144502</v>
      </c>
      <c r="AE161" s="379">
        <f t="shared" si="68"/>
        <v>59.313834437368826</v>
      </c>
      <c r="AF161" s="379">
        <f t="shared" si="68"/>
        <v>61.281795186396621</v>
      </c>
      <c r="AG161" s="379">
        <f t="shared" si="68"/>
        <v>63.322508587248997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0.99642857142857122</v>
      </c>
      <c r="D162" s="379">
        <f t="shared" si="69"/>
        <v>0.98015873015873001</v>
      </c>
      <c r="E162" s="379">
        <f t="shared" si="69"/>
        <v>0.96501322751322738</v>
      </c>
      <c r="F162" s="379">
        <f t="shared" si="69"/>
        <v>0.95099206349206333</v>
      </c>
      <c r="G162" s="379">
        <f t="shared" si="69"/>
        <v>0.93809523809523798</v>
      </c>
      <c r="H162" s="379">
        <f t="shared" si="69"/>
        <v>0.93948412698412687</v>
      </c>
      <c r="I162" s="379">
        <f t="shared" si="69"/>
        <v>0.93306878306878294</v>
      </c>
      <c r="J162" s="379">
        <f t="shared" si="69"/>
        <v>0.92784391534391519</v>
      </c>
      <c r="K162" s="379">
        <f t="shared" si="69"/>
        <v>0.92347883597883584</v>
      </c>
      <c r="L162" s="379">
        <f t="shared" si="69"/>
        <v>0.91990740740740728</v>
      </c>
      <c r="M162" s="379">
        <f t="shared" si="69"/>
        <v>0.91712962962962952</v>
      </c>
      <c r="N162" s="379">
        <f t="shared" si="69"/>
        <v>2.7456349206349211</v>
      </c>
      <c r="O162" s="379">
        <f t="shared" si="69"/>
        <v>2.7420634920634925</v>
      </c>
      <c r="P162" s="379">
        <f t="shared" si="69"/>
        <v>2.7410714285714288</v>
      </c>
      <c r="Q162" s="379">
        <f t="shared" si="69"/>
        <v>2.742261904761905</v>
      </c>
      <c r="R162" s="379">
        <f t="shared" si="69"/>
        <v>2.7460317460317465</v>
      </c>
      <c r="S162" s="379">
        <f t="shared" si="69"/>
        <v>2.7323412698412701</v>
      </c>
      <c r="T162" s="379">
        <f t="shared" si="69"/>
        <v>2.7656746031746033</v>
      </c>
      <c r="U162" s="379">
        <f t="shared" si="69"/>
        <v>2.8005952380952386</v>
      </c>
      <c r="V162" s="379">
        <f t="shared" si="69"/>
        <v>2.8373015873015879</v>
      </c>
      <c r="W162" s="379">
        <f t="shared" si="69"/>
        <v>2.8757936507936512</v>
      </c>
      <c r="X162" s="379">
        <f t="shared" si="69"/>
        <v>4.7893518518518521</v>
      </c>
      <c r="Y162" s="379">
        <f t="shared" si="69"/>
        <v>4.8604497354497358</v>
      </c>
      <c r="Z162" s="379">
        <f t="shared" si="69"/>
        <v>4.9345238095238093</v>
      </c>
      <c r="AA162" s="379">
        <f t="shared" si="69"/>
        <v>5.0119047619047619</v>
      </c>
      <c r="AB162" s="379">
        <f t="shared" si="69"/>
        <v>5.09292328042328</v>
      </c>
      <c r="AC162" s="379">
        <f t="shared" si="69"/>
        <v>5.1412037037037033</v>
      </c>
      <c r="AD162" s="379">
        <f t="shared" si="69"/>
        <v>5.2609126984126986</v>
      </c>
      <c r="AE162" s="379">
        <f t="shared" si="69"/>
        <v>5.3842592592592595</v>
      </c>
      <c r="AF162" s="379">
        <f t="shared" si="69"/>
        <v>5.5105820105820102</v>
      </c>
      <c r="AG162" s="379">
        <f t="shared" si="69"/>
        <v>5.6408730158730158</v>
      </c>
    </row>
    <row r="163" spans="1:33">
      <c r="A163" s="380" t="s">
        <v>323</v>
      </c>
      <c r="B163" s="300" t="s">
        <v>300</v>
      </c>
      <c r="C163" s="432">
        <f>SUM(C159:C161)-C162</f>
        <v>121.54816827428125</v>
      </c>
      <c r="D163" s="432">
        <f t="shared" ref="D163:AG163" si="70">SUM(D159:D161)-D162</f>
        <v>120.94591547846643</v>
      </c>
      <c r="E163" s="432">
        <f t="shared" si="70"/>
        <v>120.46188324507619</v>
      </c>
      <c r="F163" s="432">
        <f t="shared" si="70"/>
        <v>120.09514036460308</v>
      </c>
      <c r="G163" s="432">
        <f t="shared" si="70"/>
        <v>119.85409597427461</v>
      </c>
      <c r="H163" s="432">
        <f t="shared" si="70"/>
        <v>120.15615563611418</v>
      </c>
      <c r="I163" s="432">
        <f t="shared" si="70"/>
        <v>117.05125100686008</v>
      </c>
      <c r="J163" s="432">
        <f t="shared" si="70"/>
        <v>115.70845080002849</v>
      </c>
      <c r="K163" s="432">
        <f t="shared" si="70"/>
        <v>114.48149476222832</v>
      </c>
      <c r="L163" s="432">
        <f t="shared" si="70"/>
        <v>113.37565129957821</v>
      </c>
      <c r="M163" s="432">
        <f t="shared" si="70"/>
        <v>112.38919758423806</v>
      </c>
      <c r="N163" s="432">
        <f t="shared" si="70"/>
        <v>109.69225206711994</v>
      </c>
      <c r="O163" s="432">
        <f t="shared" si="70"/>
        <v>108.94225365672897</v>
      </c>
      <c r="P163" s="432">
        <f t="shared" si="70"/>
        <v>108.30759200362012</v>
      </c>
      <c r="Q163" s="432">
        <f t="shared" si="70"/>
        <v>107.79222032754214</v>
      </c>
      <c r="R163" s="432">
        <f t="shared" si="70"/>
        <v>107.38974092406343</v>
      </c>
      <c r="S163" s="432">
        <f t="shared" si="70"/>
        <v>105.14302106828964</v>
      </c>
      <c r="T163" s="432">
        <f t="shared" si="70"/>
        <v>105.51709800475197</v>
      </c>
      <c r="U163" s="432">
        <f t="shared" si="70"/>
        <v>105.99516094451846</v>
      </c>
      <c r="V163" s="432">
        <f t="shared" si="70"/>
        <v>106.57835814943324</v>
      </c>
      <c r="W163" s="432">
        <f t="shared" si="70"/>
        <v>107.25667289483245</v>
      </c>
      <c r="X163" s="432">
        <f t="shared" si="70"/>
        <v>105.70088589724884</v>
      </c>
      <c r="Y163" s="432">
        <f t="shared" si="70"/>
        <v>106.57297645489567</v>
      </c>
      <c r="Z163" s="432">
        <f t="shared" si="70"/>
        <v>107.54661697145777</v>
      </c>
      <c r="AA163" s="432">
        <f t="shared" si="70"/>
        <v>108.63260995239261</v>
      </c>
      <c r="AB163" s="432">
        <f t="shared" si="70"/>
        <v>109.82333926319696</v>
      </c>
      <c r="AC163" s="432">
        <f t="shared" si="70"/>
        <v>110.78159604535561</v>
      </c>
      <c r="AD163" s="432">
        <f t="shared" si="70"/>
        <v>113.31311874448683</v>
      </c>
      <c r="AE163" s="432">
        <f t="shared" si="70"/>
        <v>115.96713522418091</v>
      </c>
      <c r="AF163" s="432">
        <f t="shared" si="70"/>
        <v>118.74979359829702</v>
      </c>
      <c r="AG163" s="432">
        <f t="shared" si="70"/>
        <v>121.65823980935129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61.165655464528228</v>
      </c>
      <c r="D165" s="379">
        <f t="shared" si="72"/>
        <v>65.529980878408239</v>
      </c>
      <c r="E165" s="379">
        <f t="shared" si="72"/>
        <v>67.132967092891704</v>
      </c>
      <c r="F165" s="379">
        <f t="shared" si="72"/>
        <v>68.780028809047153</v>
      </c>
      <c r="G165" s="379">
        <f t="shared" si="72"/>
        <v>70.481390446557626</v>
      </c>
      <c r="H165" s="379">
        <f t="shared" si="72"/>
        <v>72.849855319246345</v>
      </c>
      <c r="I165" s="379">
        <f t="shared" si="72"/>
        <v>74.672347090790169</v>
      </c>
      <c r="J165" s="379">
        <f t="shared" si="72"/>
        <v>76.54355846933737</v>
      </c>
      <c r="K165" s="379">
        <f t="shared" si="72"/>
        <v>78.473980655094024</v>
      </c>
      <c r="L165" s="379">
        <f t="shared" si="72"/>
        <v>80.455616738416268</v>
      </c>
      <c r="M165" s="379">
        <f t="shared" si="72"/>
        <v>82.499019825823495</v>
      </c>
      <c r="N165" s="379">
        <f t="shared" si="72"/>
        <v>85.52910451070386</v>
      </c>
      <c r="O165" s="379">
        <f t="shared" si="72"/>
        <v>87.727455935883526</v>
      </c>
      <c r="P165" s="379">
        <f t="shared" si="72"/>
        <v>89.992334472871491</v>
      </c>
      <c r="Q165" s="379">
        <f t="shared" si="72"/>
        <v>92.325198148676733</v>
      </c>
      <c r="R165" s="379">
        <f t="shared" si="72"/>
        <v>94.727374085433709</v>
      </c>
      <c r="S165" s="379">
        <f t="shared" si="72"/>
        <v>97.200565346324751</v>
      </c>
      <c r="T165" s="379">
        <f t="shared" si="72"/>
        <v>99.755606120743238</v>
      </c>
      <c r="U165" s="379">
        <f t="shared" si="72"/>
        <v>102.3848539069856</v>
      </c>
      <c r="V165" s="379">
        <f t="shared" si="72"/>
        <v>105.09922807011539</v>
      </c>
      <c r="W165" s="379">
        <f t="shared" si="72"/>
        <v>107.89117438353266</v>
      </c>
      <c r="X165" s="379">
        <f t="shared" si="72"/>
        <v>112.01332722635949</v>
      </c>
      <c r="Y165" s="379">
        <f t="shared" si="72"/>
        <v>115.02182508757701</v>
      </c>
      <c r="Z165" s="379">
        <f t="shared" si="72"/>
        <v>118.12383532443795</v>
      </c>
      <c r="AA165" s="379">
        <f t="shared" si="72"/>
        <v>121.32146787709151</v>
      </c>
      <c r="AB165" s="379">
        <f t="shared" si="72"/>
        <v>124.62614571343606</v>
      </c>
      <c r="AC165" s="379">
        <f t="shared" si="72"/>
        <v>128.03064730432271</v>
      </c>
      <c r="AD165" s="379">
        <f t="shared" si="72"/>
        <v>131.54650915740501</v>
      </c>
      <c r="AE165" s="379">
        <f t="shared" si="72"/>
        <v>135.17606844632635</v>
      </c>
      <c r="AF165" s="379">
        <f t="shared" si="72"/>
        <v>138.92172448124842</v>
      </c>
      <c r="AG165" s="379">
        <f t="shared" si="72"/>
        <v>142.78594100484034</v>
      </c>
    </row>
    <row r="166" spans="1:33">
      <c r="A166" s="300" t="s">
        <v>179</v>
      </c>
      <c r="B166" s="300" t="s">
        <v>179</v>
      </c>
      <c r="C166" s="379">
        <f t="shared" ref="C166:AG166" si="73">C95</f>
        <v>58.833206008639664</v>
      </c>
      <c r="D166" s="379">
        <f t="shared" si="73"/>
        <v>61.194022349094496</v>
      </c>
      <c r="E166" s="379">
        <f t="shared" si="73"/>
        <v>63.016845361595422</v>
      </c>
      <c r="F166" s="379">
        <f t="shared" si="73"/>
        <v>64.899758839574375</v>
      </c>
      <c r="G166" s="379">
        <f t="shared" si="73"/>
        <v>66.850136229744606</v>
      </c>
      <c r="H166" s="379">
        <f t="shared" si="73"/>
        <v>69.509260741974188</v>
      </c>
      <c r="I166" s="379">
        <f t="shared" si="73"/>
        <v>71.613829288939883</v>
      </c>
      <c r="J166" s="379">
        <f t="shared" si="73"/>
        <v>73.78093934728588</v>
      </c>
      <c r="K166" s="379">
        <f t="shared" si="73"/>
        <v>76.026251537758029</v>
      </c>
      <c r="L166" s="379">
        <f t="shared" si="73"/>
        <v>78.338866430814775</v>
      </c>
      <c r="M166" s="379">
        <f t="shared" si="73"/>
        <v>80.731313933590926</v>
      </c>
      <c r="N166" s="379">
        <f t="shared" si="73"/>
        <v>84.176497681550231</v>
      </c>
      <c r="O166" s="379">
        <f t="shared" si="73"/>
        <v>86.762761190711913</v>
      </c>
      <c r="P166" s="379">
        <f t="shared" si="73"/>
        <v>89.438454166636063</v>
      </c>
      <c r="Q166" s="379">
        <f t="shared" si="73"/>
        <v>92.201963390182016</v>
      </c>
      <c r="R166" s="379">
        <f t="shared" si="73"/>
        <v>95.058744549867484</v>
      </c>
      <c r="S166" s="379">
        <f t="shared" si="73"/>
        <v>98.007315778256341</v>
      </c>
      <c r="T166" s="379">
        <f t="shared" si="73"/>
        <v>101.06252797059545</v>
      </c>
      <c r="U166" s="379">
        <f t="shared" si="73"/>
        <v>104.21553179777493</v>
      </c>
      <c r="V166" s="379">
        <f t="shared" si="73"/>
        <v>107.481323792631</v>
      </c>
      <c r="W166" s="379">
        <f t="shared" si="73"/>
        <v>110.84945428003243</v>
      </c>
      <c r="X166" s="379">
        <f t="shared" si="73"/>
        <v>115.63798587920517</v>
      </c>
      <c r="Y166" s="379">
        <f t="shared" si="73"/>
        <v>119.28272520022605</v>
      </c>
      <c r="Z166" s="379">
        <f t="shared" si="73"/>
        <v>123.04929428209338</v>
      </c>
      <c r="AA166" s="379">
        <f t="shared" si="73"/>
        <v>126.94410619850684</v>
      </c>
      <c r="AB166" s="379">
        <f t="shared" si="73"/>
        <v>130.97727431402535</v>
      </c>
      <c r="AC166" s="379">
        <f t="shared" si="73"/>
        <v>135.14237117737116</v>
      </c>
      <c r="AD166" s="379">
        <f t="shared" si="73"/>
        <v>139.45535224912132</v>
      </c>
      <c r="AE166" s="379">
        <f t="shared" si="73"/>
        <v>143.91736474254586</v>
      </c>
      <c r="AF166" s="379">
        <f t="shared" si="73"/>
        <v>148.53154391302215</v>
      </c>
      <c r="AG166" s="379">
        <f t="shared" si="73"/>
        <v>153.30301675564368</v>
      </c>
    </row>
    <row r="167" spans="1:33">
      <c r="A167" s="300" t="s">
        <v>180</v>
      </c>
      <c r="B167" s="300" t="s">
        <v>180</v>
      </c>
      <c r="C167" s="379">
        <f t="shared" ref="C167:AG167" si="74">C112</f>
        <v>58.969565501210852</v>
      </c>
      <c r="D167" s="379">
        <f t="shared" si="74"/>
        <v>60.875531308409961</v>
      </c>
      <c r="E167" s="379">
        <f t="shared" si="74"/>
        <v>62.671251634928183</v>
      </c>
      <c r="F167" s="379">
        <f t="shared" si="74"/>
        <v>64.524679095780456</v>
      </c>
      <c r="G167" s="379">
        <f t="shared" si="74"/>
        <v>66.44478301721108</v>
      </c>
      <c r="H167" s="379">
        <f t="shared" si="74"/>
        <v>69.072822985539773</v>
      </c>
      <c r="I167" s="379">
        <f t="shared" si="74"/>
        <v>71.142233951158545</v>
      </c>
      <c r="J167" s="379">
        <f t="shared" si="74"/>
        <v>73.27656358854891</v>
      </c>
      <c r="K167" s="379">
        <f t="shared" si="74"/>
        <v>75.484971444307746</v>
      </c>
      <c r="L167" s="379">
        <f t="shared" si="74"/>
        <v>77.76138794542652</v>
      </c>
      <c r="M167" s="379">
        <f t="shared" si="74"/>
        <v>80.116696797857912</v>
      </c>
      <c r="N167" s="379">
        <f t="shared" si="74"/>
        <v>83.561969429113304</v>
      </c>
      <c r="O167" s="379">
        <f t="shared" si="74"/>
        <v>86.108731476230673</v>
      </c>
      <c r="P167" s="379">
        <f t="shared" si="74"/>
        <v>88.740393364067899</v>
      </c>
      <c r="Q167" s="379">
        <f t="shared" si="74"/>
        <v>91.460564320553686</v>
      </c>
      <c r="R167" s="379">
        <f t="shared" si="74"/>
        <v>94.27116610583758</v>
      </c>
      <c r="S167" s="379">
        <f t="shared" si="74"/>
        <v>97.172435242114915</v>
      </c>
      <c r="T167" s="379">
        <f t="shared" si="74"/>
        <v>100.17918894310127</v>
      </c>
      <c r="U167" s="379">
        <f t="shared" si="74"/>
        <v>103.28254318770946</v>
      </c>
      <c r="V167" s="379">
        <f t="shared" si="74"/>
        <v>106.49570768589197</v>
      </c>
      <c r="W167" s="379">
        <f t="shared" si="74"/>
        <v>109.80994704794618</v>
      </c>
      <c r="X167" s="379">
        <f t="shared" si="74"/>
        <v>114.57648704243877</v>
      </c>
      <c r="Y167" s="379">
        <f t="shared" si="74"/>
        <v>118.1601327355659</v>
      </c>
      <c r="Z167" s="379">
        <f t="shared" si="74"/>
        <v>121.86799411892871</v>
      </c>
      <c r="AA167" s="379">
        <f t="shared" si="74"/>
        <v>125.69890938107386</v>
      </c>
      <c r="AB167" s="379">
        <f t="shared" si="74"/>
        <v>129.66671595036306</v>
      </c>
      <c r="AC167" s="379">
        <f t="shared" si="74"/>
        <v>133.76494242875972</v>
      </c>
      <c r="AD167" s="379">
        <f t="shared" si="74"/>
        <v>138.00761564639987</v>
      </c>
      <c r="AE167" s="379">
        <f t="shared" si="74"/>
        <v>142.39771955871657</v>
      </c>
      <c r="AF167" s="379">
        <f t="shared" si="74"/>
        <v>146.93834139927728</v>
      </c>
      <c r="AG167" s="379">
        <f t="shared" si="74"/>
        <v>151.63267533543168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66.266420190547265</v>
      </c>
      <c r="D168" s="379">
        <f t="shared" si="75"/>
        <v>66.873977060592495</v>
      </c>
      <c r="E168" s="379">
        <f t="shared" si="75"/>
        <v>67.406393409746585</v>
      </c>
      <c r="F168" s="379">
        <f t="shared" si="75"/>
        <v>67.403483256738767</v>
      </c>
      <c r="G168" s="379">
        <f t="shared" si="75"/>
        <v>67.335845608004533</v>
      </c>
      <c r="H168" s="379">
        <f t="shared" si="75"/>
        <v>68.001497063457194</v>
      </c>
      <c r="I168" s="379">
        <f t="shared" si="75"/>
        <v>66.110348618550773</v>
      </c>
      <c r="J168" s="379">
        <f t="shared" si="75"/>
        <v>66.55669472582909</v>
      </c>
      <c r="K168" s="379">
        <f t="shared" si="75"/>
        <v>66.805114002898364</v>
      </c>
      <c r="L168" s="379">
        <f t="shared" si="75"/>
        <v>67.197617018761235</v>
      </c>
      <c r="M168" s="379">
        <f t="shared" si="75"/>
        <v>67.747583506872303</v>
      </c>
      <c r="N168" s="379">
        <f t="shared" si="75"/>
        <v>67.135743420101662</v>
      </c>
      <c r="O168" s="379">
        <f t="shared" si="75"/>
        <v>68.046409930242433</v>
      </c>
      <c r="P168" s="379">
        <f t="shared" si="75"/>
        <v>68.974329813081624</v>
      </c>
      <c r="Q168" s="379">
        <f t="shared" si="75"/>
        <v>70.017966413048853</v>
      </c>
      <c r="R168" s="379">
        <f t="shared" si="75"/>
        <v>71.179571210208962</v>
      </c>
      <c r="S168" s="379">
        <f t="shared" si="75"/>
        <v>72.285693944809537</v>
      </c>
      <c r="T168" s="379">
        <f t="shared" si="75"/>
        <v>73.863531212489107</v>
      </c>
      <c r="U168" s="379">
        <f t="shared" si="75"/>
        <v>75.462709531918094</v>
      </c>
      <c r="V168" s="379">
        <f t="shared" si="75"/>
        <v>77.137081400625348</v>
      </c>
      <c r="W168" s="379">
        <f t="shared" si="75"/>
        <v>78.873993943205818</v>
      </c>
      <c r="X168" s="379">
        <f t="shared" si="75"/>
        <v>79.026071630598096</v>
      </c>
      <c r="Y168" s="379">
        <f t="shared" si="75"/>
        <v>80.894326545557675</v>
      </c>
      <c r="Z168" s="379">
        <f t="shared" si="75"/>
        <v>82.842377007279765</v>
      </c>
      <c r="AA168" s="379">
        <f t="shared" si="75"/>
        <v>84.88040273561738</v>
      </c>
      <c r="AB168" s="379">
        <f t="shared" si="75"/>
        <v>87.00234290380034</v>
      </c>
      <c r="AC168" s="379">
        <f t="shared" si="75"/>
        <v>89.601335265351651</v>
      </c>
      <c r="AD168" s="379">
        <f t="shared" si="75"/>
        <v>92.360990233949778</v>
      </c>
      <c r="AE168" s="379">
        <f t="shared" si="75"/>
        <v>95.219215304643441</v>
      </c>
      <c r="AF168" s="379">
        <f t="shared" si="75"/>
        <v>98.193730400509253</v>
      </c>
      <c r="AG168" s="379">
        <f t="shared" si="75"/>
        <v>101.27897059263022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117.92751840613673</v>
      </c>
      <c r="D169" s="379">
        <f t="shared" si="76"/>
        <v>117.94627264003815</v>
      </c>
      <c r="E169" s="379">
        <f t="shared" si="76"/>
        <v>118.0807412364238</v>
      </c>
      <c r="F169" s="379">
        <f t="shared" si="76"/>
        <v>118.33169427974849</v>
      </c>
      <c r="G169" s="379">
        <f t="shared" si="76"/>
        <v>118.70341623316641</v>
      </c>
      <c r="H169" s="379">
        <f t="shared" si="76"/>
        <v>119.96937403370733</v>
      </c>
      <c r="I169" s="379">
        <f t="shared" si="76"/>
        <v>116.26894530305042</v>
      </c>
      <c r="J169" s="379">
        <f t="shared" si="76"/>
        <v>114.86251190035586</v>
      </c>
      <c r="K169" s="379">
        <f t="shared" si="76"/>
        <v>113.58902796835422</v>
      </c>
      <c r="L169" s="379">
        <f t="shared" si="76"/>
        <v>112.43676680884407</v>
      </c>
      <c r="M169" s="379">
        <f t="shared" si="76"/>
        <v>111.41462669556873</v>
      </c>
      <c r="N169" s="379">
        <f t="shared" si="76"/>
        <v>109.47018484978196</v>
      </c>
      <c r="O169" s="379">
        <f t="shared" si="76"/>
        <v>108.67739146909202</v>
      </c>
      <c r="P169" s="379">
        <f t="shared" si="76"/>
        <v>108.00762578845327</v>
      </c>
      <c r="Q169" s="379">
        <f t="shared" si="76"/>
        <v>107.45916123020162</v>
      </c>
      <c r="R169" s="379">
        <f t="shared" si="76"/>
        <v>107.03040767801676</v>
      </c>
      <c r="S169" s="379">
        <f t="shared" si="76"/>
        <v>104.40767665952593</v>
      </c>
      <c r="T169" s="379">
        <f t="shared" si="76"/>
        <v>104.64305171210457</v>
      </c>
      <c r="U169" s="379">
        <f t="shared" si="76"/>
        <v>104.98870844038743</v>
      </c>
      <c r="V169" s="379">
        <f t="shared" si="76"/>
        <v>105.45085230018687</v>
      </c>
      <c r="W169" s="379">
        <f t="shared" si="76"/>
        <v>106.02094788985534</v>
      </c>
      <c r="X169" s="379">
        <f t="shared" si="76"/>
        <v>106.02952311495417</v>
      </c>
      <c r="Y169" s="379">
        <f t="shared" si="76"/>
        <v>106.81213675000902</v>
      </c>
      <c r="Z169" s="379">
        <f t="shared" si="76"/>
        <v>107.71072989500573</v>
      </c>
      <c r="AA169" s="379">
        <f t="shared" si="76"/>
        <v>108.72299981439402</v>
      </c>
      <c r="AB169" s="379">
        <f t="shared" si="76"/>
        <v>109.86128542272503</v>
      </c>
      <c r="AC169" s="379">
        <f t="shared" si="76"/>
        <v>110.83813850404954</v>
      </c>
      <c r="AD169" s="379">
        <f t="shared" si="76"/>
        <v>113.3699462426077</v>
      </c>
      <c r="AE169" s="379">
        <f t="shared" si="76"/>
        <v>116.03875899519663</v>
      </c>
      <c r="AF169" s="379">
        <f t="shared" si="76"/>
        <v>118.84707284651093</v>
      </c>
      <c r="AG169" s="379">
        <f t="shared" si="76"/>
        <v>121.79400948439472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121.54816827428125</v>
      </c>
      <c r="D170" s="379">
        <f t="shared" si="78"/>
        <v>120.94591547846643</v>
      </c>
      <c r="E170" s="379">
        <f t="shared" si="78"/>
        <v>120.46188324507619</v>
      </c>
      <c r="F170" s="379">
        <f t="shared" si="78"/>
        <v>120.09514036460308</v>
      </c>
      <c r="G170" s="379">
        <f t="shared" si="78"/>
        <v>119.85409597427461</v>
      </c>
      <c r="H170" s="379">
        <f t="shared" si="78"/>
        <v>120.15615563611418</v>
      </c>
      <c r="I170" s="379">
        <f t="shared" si="78"/>
        <v>117.05125100686008</v>
      </c>
      <c r="J170" s="379">
        <f t="shared" si="78"/>
        <v>115.70845080002849</v>
      </c>
      <c r="K170" s="379">
        <f t="shared" si="78"/>
        <v>114.48149476222832</v>
      </c>
      <c r="L170" s="379">
        <f t="shared" si="78"/>
        <v>113.37565129957821</v>
      </c>
      <c r="M170" s="379">
        <f t="shared" si="78"/>
        <v>112.38919758423806</v>
      </c>
      <c r="N170" s="379">
        <f t="shared" si="78"/>
        <v>109.69225206711994</v>
      </c>
      <c r="O170" s="379">
        <f t="shared" si="78"/>
        <v>108.94225365672897</v>
      </c>
      <c r="P170" s="379">
        <f t="shared" si="78"/>
        <v>108.30759200362012</v>
      </c>
      <c r="Q170" s="379">
        <f t="shared" si="78"/>
        <v>107.79222032754214</v>
      </c>
      <c r="R170" s="379">
        <f t="shared" si="78"/>
        <v>107.38974092406343</v>
      </c>
      <c r="S170" s="379">
        <f t="shared" si="78"/>
        <v>105.14302106828964</v>
      </c>
      <c r="T170" s="379">
        <f t="shared" si="78"/>
        <v>105.51709800475197</v>
      </c>
      <c r="U170" s="379">
        <f t="shared" si="78"/>
        <v>105.99516094451846</v>
      </c>
      <c r="V170" s="379">
        <f t="shared" si="78"/>
        <v>106.57835814943324</v>
      </c>
      <c r="W170" s="379">
        <f t="shared" si="78"/>
        <v>107.25667289483245</v>
      </c>
      <c r="X170" s="379">
        <f t="shared" si="78"/>
        <v>105.70088589724884</v>
      </c>
      <c r="Y170" s="379">
        <f t="shared" si="78"/>
        <v>106.57297645489567</v>
      </c>
      <c r="Z170" s="379">
        <f t="shared" si="78"/>
        <v>107.54661697145777</v>
      </c>
      <c r="AA170" s="379">
        <f t="shared" si="78"/>
        <v>108.63260995239261</v>
      </c>
      <c r="AB170" s="379">
        <f t="shared" si="78"/>
        <v>109.82333926319696</v>
      </c>
      <c r="AC170" s="379">
        <f t="shared" si="78"/>
        <v>110.78159604535561</v>
      </c>
      <c r="AD170" s="379">
        <f t="shared" si="78"/>
        <v>113.31311874448683</v>
      </c>
      <c r="AE170" s="379">
        <f t="shared" si="78"/>
        <v>115.96713522418091</v>
      </c>
      <c r="AF170" s="379">
        <f t="shared" si="78"/>
        <v>118.74979359829702</v>
      </c>
      <c r="AG170" s="379">
        <f t="shared" si="78"/>
        <v>121.65823980935129</v>
      </c>
    </row>
    <row r="171" spans="1:33">
      <c r="A171" s="300" t="s">
        <v>334</v>
      </c>
      <c r="C171" s="379">
        <f t="shared" ref="C171:AG171" si="79">C165*0.9</f>
        <v>55.04908991807541</v>
      </c>
      <c r="D171" s="379">
        <f t="shared" si="79"/>
        <v>58.976982790567419</v>
      </c>
      <c r="E171" s="379">
        <f t="shared" si="79"/>
        <v>60.419670383602536</v>
      </c>
      <c r="F171" s="379">
        <f t="shared" si="79"/>
        <v>61.902025928142436</v>
      </c>
      <c r="G171" s="379">
        <f t="shared" si="79"/>
        <v>63.433251401901863</v>
      </c>
      <c r="H171" s="379">
        <f t="shared" si="79"/>
        <v>65.564869787321712</v>
      </c>
      <c r="I171" s="379">
        <f t="shared" si="79"/>
        <v>67.20511238171116</v>
      </c>
      <c r="J171" s="379">
        <f t="shared" si="79"/>
        <v>68.88920262240363</v>
      </c>
      <c r="K171" s="379">
        <f t="shared" si="79"/>
        <v>70.626582589584629</v>
      </c>
      <c r="L171" s="379">
        <f t="shared" si="79"/>
        <v>72.410055064574649</v>
      </c>
      <c r="M171" s="379">
        <f t="shared" si="79"/>
        <v>74.249117843241152</v>
      </c>
      <c r="N171" s="379">
        <f t="shared" si="79"/>
        <v>76.976194059633471</v>
      </c>
      <c r="O171" s="379">
        <f t="shared" si="79"/>
        <v>78.954710342295172</v>
      </c>
      <c r="P171" s="379">
        <f t="shared" si="79"/>
        <v>80.993101025584338</v>
      </c>
      <c r="Q171" s="379">
        <f t="shared" si="79"/>
        <v>83.092678333809062</v>
      </c>
      <c r="R171" s="379">
        <f t="shared" si="79"/>
        <v>85.254636676890343</v>
      </c>
      <c r="S171" s="379">
        <f t="shared" si="79"/>
        <v>87.480508811692275</v>
      </c>
      <c r="T171" s="379">
        <f t="shared" si="79"/>
        <v>89.78004550866892</v>
      </c>
      <c r="U171" s="379">
        <f t="shared" si="79"/>
        <v>92.146368516287041</v>
      </c>
      <c r="V171" s="379">
        <f t="shared" si="79"/>
        <v>94.589305263103853</v>
      </c>
      <c r="W171" s="379">
        <f t="shared" si="79"/>
        <v>97.102056945179399</v>
      </c>
      <c r="X171" s="379">
        <f t="shared" si="79"/>
        <v>100.81199450372354</v>
      </c>
      <c r="Y171" s="379">
        <f t="shared" si="79"/>
        <v>103.51964257881932</v>
      </c>
      <c r="Z171" s="379">
        <f t="shared" si="79"/>
        <v>106.31145179199416</v>
      </c>
      <c r="AA171" s="379">
        <f t="shared" si="79"/>
        <v>109.18932108938236</v>
      </c>
      <c r="AB171" s="379">
        <f t="shared" si="79"/>
        <v>112.16353114209245</v>
      </c>
      <c r="AC171" s="379">
        <f t="shared" si="79"/>
        <v>115.22758257389044</v>
      </c>
      <c r="AD171" s="379">
        <f t="shared" si="79"/>
        <v>118.39185824166451</v>
      </c>
      <c r="AE171" s="379">
        <f t="shared" si="79"/>
        <v>121.65846160169372</v>
      </c>
      <c r="AF171" s="379">
        <f t="shared" si="79"/>
        <v>125.02955203312358</v>
      </c>
      <c r="AG171" s="379">
        <f t="shared" si="79"/>
        <v>128.5073469043563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1.7475901561293778</v>
      </c>
      <c r="D174" s="379">
        <f t="shared" si="81"/>
        <v>1.8722851679545212</v>
      </c>
      <c r="E174" s="379">
        <f t="shared" si="81"/>
        <v>1.9180847740826201</v>
      </c>
      <c r="F174" s="379">
        <f t="shared" si="81"/>
        <v>1.9651436802584901</v>
      </c>
      <c r="G174" s="379">
        <f t="shared" si="81"/>
        <v>2.0137540127587892</v>
      </c>
      <c r="H174" s="379">
        <f t="shared" si="81"/>
        <v>2.0814244376927529</v>
      </c>
      <c r="I174" s="379">
        <f t="shared" si="81"/>
        <v>2.1334956311654332</v>
      </c>
      <c r="J174" s="379">
        <f t="shared" si="81"/>
        <v>2.1869588134096394</v>
      </c>
      <c r="K174" s="379">
        <f t="shared" si="81"/>
        <v>2.2421137330026863</v>
      </c>
      <c r="L174" s="379">
        <f t="shared" si="81"/>
        <v>2.2987319068118932</v>
      </c>
      <c r="M174" s="379">
        <f t="shared" si="81"/>
        <v>2.3571148521663856</v>
      </c>
      <c r="N174" s="379">
        <f t="shared" si="81"/>
        <v>2.4436887003058243</v>
      </c>
      <c r="O174" s="379">
        <f t="shared" si="81"/>
        <v>2.5064987410252435</v>
      </c>
      <c r="P174" s="379">
        <f t="shared" si="81"/>
        <v>2.5712095563677573</v>
      </c>
      <c r="Q174" s="379">
        <f t="shared" si="81"/>
        <v>2.6378628042479066</v>
      </c>
      <c r="R174" s="379">
        <f t="shared" si="81"/>
        <v>2.7064964024409628</v>
      </c>
      <c r="S174" s="379">
        <f t="shared" si="81"/>
        <v>2.777159009894993</v>
      </c>
      <c r="T174" s="379">
        <f t="shared" si="81"/>
        <v>2.8501601748783782</v>
      </c>
      <c r="U174" s="379">
        <f t="shared" si="81"/>
        <v>2.9252815401995886</v>
      </c>
      <c r="V174" s="379">
        <f t="shared" si="81"/>
        <v>3.0028350877175827</v>
      </c>
      <c r="W174" s="379">
        <f t="shared" si="81"/>
        <v>3.0826049823866475</v>
      </c>
      <c r="X174" s="379">
        <f t="shared" si="81"/>
        <v>3.2003807778959854</v>
      </c>
      <c r="Y174" s="379">
        <f t="shared" si="81"/>
        <v>3.2863378596450579</v>
      </c>
      <c r="Z174" s="379">
        <f t="shared" si="81"/>
        <v>3.37496672355537</v>
      </c>
      <c r="AA174" s="379">
        <f t="shared" si="81"/>
        <v>3.4663276536311862</v>
      </c>
      <c r="AB174" s="379">
        <f t="shared" si="81"/>
        <v>3.5607470203838871</v>
      </c>
      <c r="AC174" s="379">
        <f t="shared" si="81"/>
        <v>3.6580184944092204</v>
      </c>
      <c r="AD174" s="379">
        <f t="shared" si="81"/>
        <v>3.7584716902115716</v>
      </c>
      <c r="AE174" s="379">
        <f t="shared" si="81"/>
        <v>3.8621733841807533</v>
      </c>
      <c r="AF174" s="379">
        <f t="shared" si="81"/>
        <v>3.9691921280356688</v>
      </c>
      <c r="AG174" s="379">
        <f t="shared" si="81"/>
        <v>4.0795983144240093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3.3693576687467637</v>
      </c>
      <c r="D175" s="379">
        <f t="shared" si="83"/>
        <v>3.3698935040010896</v>
      </c>
      <c r="E175" s="379">
        <f t="shared" si="83"/>
        <v>3.3737354638978232</v>
      </c>
      <c r="F175" s="379">
        <f t="shared" si="83"/>
        <v>3.380905550849957</v>
      </c>
      <c r="G175" s="379">
        <f t="shared" si="83"/>
        <v>3.3915261780904689</v>
      </c>
      <c r="H175" s="379">
        <f t="shared" si="83"/>
        <v>3.4276964009630668</v>
      </c>
      <c r="I175" s="379">
        <f t="shared" si="83"/>
        <v>3.32196986580144</v>
      </c>
      <c r="J175" s="379">
        <f t="shared" si="83"/>
        <v>3.2817860542958819</v>
      </c>
      <c r="K175" s="379">
        <f t="shared" si="83"/>
        <v>3.2454007990958349</v>
      </c>
      <c r="L175" s="379">
        <f t="shared" si="83"/>
        <v>3.2124790516812589</v>
      </c>
      <c r="M175" s="379">
        <f t="shared" si="83"/>
        <v>3.1832750484448207</v>
      </c>
      <c r="N175" s="379">
        <f t="shared" si="83"/>
        <v>3.1277195671366274</v>
      </c>
      <c r="O175" s="379">
        <f t="shared" si="83"/>
        <v>3.1050683276883433</v>
      </c>
      <c r="P175" s="379">
        <f t="shared" si="83"/>
        <v>3.0859321653843788</v>
      </c>
      <c r="Q175" s="379">
        <f t="shared" si="83"/>
        <v>3.0702617494343318</v>
      </c>
      <c r="R175" s="379">
        <f t="shared" si="83"/>
        <v>3.0580116479433359</v>
      </c>
      <c r="S175" s="379">
        <f t="shared" si="83"/>
        <v>2.9830764759864552</v>
      </c>
      <c r="T175" s="379">
        <f t="shared" si="83"/>
        <v>2.9898014774887018</v>
      </c>
      <c r="U175" s="379">
        <f t="shared" si="83"/>
        <v>2.9996773840110698</v>
      </c>
      <c r="V175" s="379">
        <f t="shared" si="83"/>
        <v>3.0128814942910531</v>
      </c>
      <c r="W175" s="379">
        <f t="shared" si="83"/>
        <v>3.0291699397101524</v>
      </c>
      <c r="X175" s="379">
        <f t="shared" si="83"/>
        <v>3.0294149461415478</v>
      </c>
      <c r="Y175" s="379">
        <f t="shared" si="83"/>
        <v>3.0517753357145434</v>
      </c>
      <c r="Z175" s="379">
        <f t="shared" si="83"/>
        <v>3.0774494255715923</v>
      </c>
      <c r="AA175" s="379">
        <f t="shared" si="83"/>
        <v>3.1063714232684005</v>
      </c>
      <c r="AB175" s="379">
        <f t="shared" si="83"/>
        <v>3.1388938692207153</v>
      </c>
      <c r="AC175" s="379">
        <f t="shared" si="83"/>
        <v>3.166803957258558</v>
      </c>
      <c r="AD175" s="379">
        <f t="shared" si="83"/>
        <v>3.2391413212173625</v>
      </c>
      <c r="AE175" s="379">
        <f t="shared" si="83"/>
        <v>3.3153931141484754</v>
      </c>
      <c r="AF175" s="379">
        <f t="shared" si="83"/>
        <v>3.3956306527574549</v>
      </c>
      <c r="AG175" s="379">
        <f t="shared" si="83"/>
        <v>3.479828842411278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1.6848447286060242</v>
      </c>
      <c r="D176" s="379">
        <f t="shared" si="84"/>
        <v>1.7393008945259989</v>
      </c>
      <c r="E176" s="379">
        <f t="shared" si="84"/>
        <v>1.7906071895693767</v>
      </c>
      <c r="F176" s="379">
        <f t="shared" si="84"/>
        <v>1.8435622598794414</v>
      </c>
      <c r="G176" s="379">
        <f t="shared" si="84"/>
        <v>1.8984223719203164</v>
      </c>
      <c r="H176" s="379">
        <f t="shared" si="84"/>
        <v>1.9735092281582791</v>
      </c>
      <c r="I176" s="379">
        <f t="shared" si="84"/>
        <v>2.0326352557473868</v>
      </c>
      <c r="J176" s="379">
        <f t="shared" si="84"/>
        <v>2.0936161025299689</v>
      </c>
      <c r="K176" s="379">
        <f t="shared" si="84"/>
        <v>2.156713469837364</v>
      </c>
      <c r="L176" s="379">
        <f t="shared" si="84"/>
        <v>2.2217539412979006</v>
      </c>
      <c r="M176" s="379">
        <f t="shared" si="84"/>
        <v>2.2890484799387978</v>
      </c>
      <c r="N176" s="379">
        <f t="shared" si="84"/>
        <v>2.3874848408318088</v>
      </c>
      <c r="O176" s="379">
        <f t="shared" si="84"/>
        <v>2.460249470749448</v>
      </c>
      <c r="P176" s="379">
        <f t="shared" si="84"/>
        <v>2.53543981040194</v>
      </c>
      <c r="Q176" s="379">
        <f t="shared" si="84"/>
        <v>2.6131589805872482</v>
      </c>
      <c r="R176" s="379">
        <f t="shared" si="84"/>
        <v>2.6934618887382165</v>
      </c>
      <c r="S176" s="379">
        <f t="shared" si="84"/>
        <v>2.7763552926318549</v>
      </c>
      <c r="T176" s="379">
        <f t="shared" si="84"/>
        <v>2.8622625412314644</v>
      </c>
      <c r="U176" s="379">
        <f t="shared" si="84"/>
        <v>2.9509298053631277</v>
      </c>
      <c r="V176" s="379">
        <f t="shared" si="84"/>
        <v>3.0427345053111994</v>
      </c>
      <c r="W176" s="379">
        <f t="shared" si="84"/>
        <v>3.1374270585127482</v>
      </c>
      <c r="X176" s="379">
        <f t="shared" si="84"/>
        <v>3.2736139154982506</v>
      </c>
      <c r="Y176" s="379">
        <f t="shared" si="84"/>
        <v>3.3760037924447399</v>
      </c>
      <c r="Z176" s="379">
        <f t="shared" si="84"/>
        <v>3.4819426891122487</v>
      </c>
      <c r="AA176" s="379">
        <f t="shared" si="84"/>
        <v>3.5913974108878248</v>
      </c>
      <c r="AB176" s="379">
        <f t="shared" si="84"/>
        <v>3.7047633128675161</v>
      </c>
      <c r="AC176" s="379">
        <f t="shared" si="84"/>
        <v>3.8218554979645636</v>
      </c>
      <c r="AD176" s="379">
        <f t="shared" si="84"/>
        <v>3.9430747327542823</v>
      </c>
      <c r="AE176" s="379">
        <f t="shared" si="84"/>
        <v>4.0685062731061885</v>
      </c>
      <c r="AF176" s="379">
        <f t="shared" si="84"/>
        <v>4.1982383256936364</v>
      </c>
      <c r="AG176" s="379">
        <f t="shared" si="84"/>
        <v>4.3323621524409059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2.0579633599548841</v>
      </c>
      <c r="D177" s="379">
        <f t="shared" si="85"/>
        <v>2.0768315857326862</v>
      </c>
      <c r="E177" s="379">
        <f t="shared" si="85"/>
        <v>2.0933662549610741</v>
      </c>
      <c r="F177" s="379">
        <f t="shared" si="85"/>
        <v>2.093275877538471</v>
      </c>
      <c r="G177" s="379">
        <f t="shared" si="85"/>
        <v>2.0911753294411346</v>
      </c>
      <c r="H177" s="379">
        <f t="shared" si="85"/>
        <v>2.1118477348899747</v>
      </c>
      <c r="I177" s="379">
        <f t="shared" si="85"/>
        <v>2.0531164167251794</v>
      </c>
      <c r="J177" s="379">
        <f t="shared" si="85"/>
        <v>2.0669780970754377</v>
      </c>
      <c r="K177" s="379">
        <f t="shared" si="85"/>
        <v>2.0746929814564705</v>
      </c>
      <c r="L177" s="379">
        <f t="shared" si="85"/>
        <v>2.0868825161105975</v>
      </c>
      <c r="M177" s="379">
        <f t="shared" si="85"/>
        <v>2.1039622207103199</v>
      </c>
      <c r="N177" s="379">
        <f t="shared" si="85"/>
        <v>2.0849609757795546</v>
      </c>
      <c r="O177" s="379">
        <f t="shared" si="85"/>
        <v>2.1132425444174667</v>
      </c>
      <c r="P177" s="379">
        <f t="shared" si="85"/>
        <v>2.1420599320832805</v>
      </c>
      <c r="Q177" s="379">
        <f t="shared" si="85"/>
        <v>2.1744710066164239</v>
      </c>
      <c r="R177" s="379">
        <f t="shared" si="85"/>
        <v>2.2105456897580424</v>
      </c>
      <c r="S177" s="379">
        <f t="shared" si="85"/>
        <v>2.2448973274785571</v>
      </c>
      <c r="T177" s="379">
        <f t="shared" si="85"/>
        <v>2.29389848485991</v>
      </c>
      <c r="U177" s="379">
        <f t="shared" si="85"/>
        <v>2.3435624078235433</v>
      </c>
      <c r="V177" s="379">
        <f t="shared" si="85"/>
        <v>2.3955615341809113</v>
      </c>
      <c r="W177" s="379">
        <f t="shared" si="85"/>
        <v>2.4495029174908636</v>
      </c>
      <c r="X177" s="379">
        <f t="shared" si="85"/>
        <v>2.4542258270372077</v>
      </c>
      <c r="Y177" s="379">
        <f t="shared" si="85"/>
        <v>2.5122461660111077</v>
      </c>
      <c r="Z177" s="379">
        <f t="shared" si="85"/>
        <v>2.5727446275552723</v>
      </c>
      <c r="AA177" s="379">
        <f t="shared" si="85"/>
        <v>2.6360373520378069</v>
      </c>
      <c r="AB177" s="379">
        <f t="shared" si="85"/>
        <v>2.7019361150248553</v>
      </c>
      <c r="AC177" s="379">
        <f t="shared" si="85"/>
        <v>2.7826501635202376</v>
      </c>
      <c r="AD177" s="379">
        <f t="shared" si="85"/>
        <v>2.8683537339735956</v>
      </c>
      <c r="AE177" s="379">
        <f t="shared" si="85"/>
        <v>2.9571184877218459</v>
      </c>
      <c r="AF177" s="379">
        <f t="shared" si="85"/>
        <v>3.0494947329350701</v>
      </c>
      <c r="AG177" s="379">
        <f t="shared" si="85"/>
        <v>3.1453096457338576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3.4728048078366074</v>
      </c>
      <c r="D178" s="379">
        <f t="shared" si="87"/>
        <v>3.4555975850990408</v>
      </c>
      <c r="E178" s="379">
        <f t="shared" si="87"/>
        <v>3.4417680927164627</v>
      </c>
      <c r="F178" s="379">
        <f t="shared" si="87"/>
        <v>3.4312897247029452</v>
      </c>
      <c r="G178" s="379">
        <f t="shared" si="87"/>
        <v>3.4244027421221319</v>
      </c>
      <c r="H178" s="379">
        <f t="shared" si="87"/>
        <v>3.4330330181746906</v>
      </c>
      <c r="I178" s="379">
        <f t="shared" si="87"/>
        <v>3.3443214573388595</v>
      </c>
      <c r="J178" s="379">
        <f t="shared" si="87"/>
        <v>3.305955737143671</v>
      </c>
      <c r="K178" s="379">
        <f t="shared" si="87"/>
        <v>3.2708998503493807</v>
      </c>
      <c r="L178" s="379">
        <f t="shared" si="87"/>
        <v>3.2393043228450917</v>
      </c>
      <c r="M178" s="379">
        <f t="shared" si="87"/>
        <v>3.2111199309782306</v>
      </c>
      <c r="N178" s="379">
        <f t="shared" si="87"/>
        <v>3.1340643447748557</v>
      </c>
      <c r="O178" s="379">
        <f t="shared" si="87"/>
        <v>3.1126358187636849</v>
      </c>
      <c r="P178" s="379">
        <f t="shared" si="87"/>
        <v>3.0945026286748605</v>
      </c>
      <c r="Q178" s="379">
        <f t="shared" si="87"/>
        <v>3.0797777236440611</v>
      </c>
      <c r="R178" s="379">
        <f t="shared" si="87"/>
        <v>3.0682783121160981</v>
      </c>
      <c r="S178" s="379">
        <f t="shared" si="87"/>
        <v>3.004086316236847</v>
      </c>
      <c r="T178" s="379">
        <f t="shared" si="87"/>
        <v>3.014774228707199</v>
      </c>
      <c r="U178" s="379">
        <f t="shared" si="87"/>
        <v>3.0284331698433848</v>
      </c>
      <c r="V178" s="379">
        <f t="shared" si="87"/>
        <v>3.0450959471266641</v>
      </c>
      <c r="W178" s="379">
        <f t="shared" si="87"/>
        <v>3.0644763684237839</v>
      </c>
      <c r="X178" s="379">
        <f t="shared" si="87"/>
        <v>3.0200253113499667</v>
      </c>
      <c r="Y178" s="379">
        <f t="shared" si="87"/>
        <v>3.0449421844255902</v>
      </c>
      <c r="Z178" s="379">
        <f t="shared" si="87"/>
        <v>3.0727604848987933</v>
      </c>
      <c r="AA178" s="379">
        <f t="shared" si="87"/>
        <v>3.1037888557826463</v>
      </c>
      <c r="AB178" s="379">
        <f t="shared" si="87"/>
        <v>3.1378096932341988</v>
      </c>
      <c r="AC178" s="379">
        <f t="shared" si="87"/>
        <v>3.1651884584387315</v>
      </c>
      <c r="AD178" s="379">
        <f t="shared" si="87"/>
        <v>3.2375176784139095</v>
      </c>
      <c r="AE178" s="379">
        <f t="shared" si="87"/>
        <v>3.3133467206908831</v>
      </c>
      <c r="AF178" s="379">
        <f t="shared" si="87"/>
        <v>3.392851245665629</v>
      </c>
      <c r="AG178" s="379">
        <f t="shared" si="87"/>
        <v>3.4759497088386082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3.5854916895068216</v>
      </c>
      <c r="D179" s="379">
        <f t="shared" si="88"/>
        <v>3.5677261203087443</v>
      </c>
      <c r="E179" s="379">
        <f t="shared" si="88"/>
        <v>3.5534478833355809</v>
      </c>
      <c r="F179" s="379">
        <f t="shared" si="88"/>
        <v>3.542629509280327</v>
      </c>
      <c r="G179" s="379">
        <f t="shared" si="88"/>
        <v>3.5355190552883369</v>
      </c>
      <c r="H179" s="379">
        <f t="shared" si="88"/>
        <v>3.5444293697968785</v>
      </c>
      <c r="I179" s="379">
        <f t="shared" si="88"/>
        <v>3.4528392627392352</v>
      </c>
      <c r="J179" s="379">
        <f t="shared" si="88"/>
        <v>3.4132286371689822</v>
      </c>
      <c r="K179" s="379">
        <f t="shared" si="88"/>
        <v>3.3770352437235491</v>
      </c>
      <c r="L179" s="379">
        <f t="shared" si="88"/>
        <v>3.3444144926129264</v>
      </c>
      <c r="M179" s="379">
        <f t="shared" si="88"/>
        <v>3.3153155629568749</v>
      </c>
      <c r="N179" s="379">
        <f t="shared" si="88"/>
        <v>3.235759647997638</v>
      </c>
      <c r="O179" s="379">
        <f t="shared" si="88"/>
        <v>3.2136358010834503</v>
      </c>
      <c r="P179" s="379">
        <f t="shared" si="88"/>
        <v>3.1949142183958736</v>
      </c>
      <c r="Q179" s="379">
        <f t="shared" si="88"/>
        <v>3.1797115140867889</v>
      </c>
      <c r="R179" s="379">
        <f t="shared" si="88"/>
        <v>3.1678389653116055</v>
      </c>
      <c r="S179" s="379">
        <f t="shared" si="88"/>
        <v>3.1015640433123788</v>
      </c>
      <c r="T179" s="379">
        <f t="shared" si="88"/>
        <v>3.1125987612021229</v>
      </c>
      <c r="U179" s="379">
        <f t="shared" si="88"/>
        <v>3.1267009128176535</v>
      </c>
      <c r="V179" s="379">
        <f t="shared" si="88"/>
        <v>3.1439043701897709</v>
      </c>
      <c r="W179" s="379">
        <f t="shared" si="88"/>
        <v>3.1639136547148214</v>
      </c>
      <c r="X179" s="379">
        <f t="shared" si="88"/>
        <v>3.1180202329571931</v>
      </c>
      <c r="Y179" s="379">
        <f t="shared" si="88"/>
        <v>3.1437456181385151</v>
      </c>
      <c r="Z179" s="379">
        <f t="shared" si="88"/>
        <v>3.1724665773291378</v>
      </c>
      <c r="AA179" s="379">
        <f t="shared" si="88"/>
        <v>3.2045017685071566</v>
      </c>
      <c r="AB179" s="379">
        <f t="shared" si="88"/>
        <v>3.2396265269379629</v>
      </c>
      <c r="AC179" s="379">
        <f t="shared" si="88"/>
        <v>3.2678936886535577</v>
      </c>
      <c r="AD179" s="379">
        <f t="shared" si="88"/>
        <v>3.3425698744686381</v>
      </c>
      <c r="AE179" s="379">
        <f t="shared" si="88"/>
        <v>3.4208594461410295</v>
      </c>
      <c r="AF179" s="379">
        <f t="shared" si="88"/>
        <v>3.5029437639615639</v>
      </c>
      <c r="AG179" s="379">
        <f t="shared" si="88"/>
        <v>3.5887386374439907</v>
      </c>
    </row>
    <row r="180" spans="1:33">
      <c r="A180" s="300" t="s">
        <v>334</v>
      </c>
      <c r="C180" s="379">
        <f t="shared" ref="C180:AG180" si="89">C174*0.9</f>
        <v>1.5728311405164401</v>
      </c>
      <c r="D180" s="379">
        <f t="shared" si="89"/>
        <v>1.685056651159069</v>
      </c>
      <c r="E180" s="379">
        <f t="shared" si="89"/>
        <v>1.7262762966743581</v>
      </c>
      <c r="F180" s="379">
        <f t="shared" si="89"/>
        <v>1.7686293122326411</v>
      </c>
      <c r="G180" s="379">
        <f t="shared" si="89"/>
        <v>1.8123786114829104</v>
      </c>
      <c r="H180" s="379">
        <f t="shared" si="89"/>
        <v>1.8732819939234777</v>
      </c>
      <c r="I180" s="379">
        <f t="shared" si="89"/>
        <v>1.92014606804889</v>
      </c>
      <c r="J180" s="379">
        <f t="shared" si="89"/>
        <v>1.9682629320686755</v>
      </c>
      <c r="K180" s="379">
        <f t="shared" si="89"/>
        <v>2.0179023597024179</v>
      </c>
      <c r="L180" s="379">
        <f t="shared" si="89"/>
        <v>2.0688587161307042</v>
      </c>
      <c r="M180" s="379">
        <f t="shared" si="89"/>
        <v>2.121403366949747</v>
      </c>
      <c r="N180" s="379">
        <f t="shared" si="89"/>
        <v>2.1993198302752419</v>
      </c>
      <c r="O180" s="379">
        <f t="shared" si="89"/>
        <v>2.2558488669227192</v>
      </c>
      <c r="P180" s="379">
        <f t="shared" si="89"/>
        <v>2.3140886007309818</v>
      </c>
      <c r="Q180" s="379">
        <f t="shared" si="89"/>
        <v>2.3740765238231161</v>
      </c>
      <c r="R180" s="379">
        <f t="shared" si="89"/>
        <v>2.4358467621968667</v>
      </c>
      <c r="S180" s="379">
        <f t="shared" si="89"/>
        <v>2.4994431089054938</v>
      </c>
      <c r="T180" s="379">
        <f t="shared" si="89"/>
        <v>2.5651441573905407</v>
      </c>
      <c r="U180" s="379">
        <f t="shared" si="89"/>
        <v>2.6327533861796297</v>
      </c>
      <c r="V180" s="379">
        <f t="shared" si="89"/>
        <v>2.7025515789458243</v>
      </c>
      <c r="W180" s="379">
        <f t="shared" si="89"/>
        <v>2.7743444841479827</v>
      </c>
      <c r="X180" s="379">
        <f t="shared" si="89"/>
        <v>2.8803427001063868</v>
      </c>
      <c r="Y180" s="379">
        <f t="shared" si="89"/>
        <v>2.957704073680552</v>
      </c>
      <c r="Z180" s="379">
        <f t="shared" si="89"/>
        <v>3.0374700511998332</v>
      </c>
      <c r="AA180" s="379">
        <f t="shared" si="89"/>
        <v>3.1196948882680675</v>
      </c>
      <c r="AB180" s="379">
        <f t="shared" si="89"/>
        <v>3.2046723183454984</v>
      </c>
      <c r="AC180" s="379">
        <f t="shared" si="89"/>
        <v>3.2922166449682986</v>
      </c>
      <c r="AD180" s="379">
        <f t="shared" si="89"/>
        <v>3.3826245211904147</v>
      </c>
      <c r="AE180" s="379">
        <f t="shared" si="89"/>
        <v>3.4759560457626781</v>
      </c>
      <c r="AF180" s="379">
        <f t="shared" si="89"/>
        <v>3.572272915232102</v>
      </c>
      <c r="AG180" s="379">
        <f t="shared" si="89"/>
        <v>3.6716384829816087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1.7475901561293778</v>
      </c>
      <c r="D183" s="379">
        <f t="shared" si="91"/>
        <v>1.8722851679545212</v>
      </c>
      <c r="E183" s="379">
        <f t="shared" si="91"/>
        <v>1.9180847740826201</v>
      </c>
      <c r="F183" s="379">
        <f t="shared" si="91"/>
        <v>1.9651436802584901</v>
      </c>
      <c r="G183" s="379">
        <f t="shared" si="91"/>
        <v>2.0137540127587892</v>
      </c>
      <c r="H183" s="379">
        <f t="shared" si="91"/>
        <v>2.0814244376927529</v>
      </c>
      <c r="I183" s="379">
        <f t="shared" si="91"/>
        <v>2.1334956311654332</v>
      </c>
      <c r="J183" s="379">
        <f t="shared" si="91"/>
        <v>2.1869588134096394</v>
      </c>
      <c r="K183" s="379">
        <f t="shared" si="91"/>
        <v>2.2421137330026863</v>
      </c>
      <c r="L183" s="379">
        <f t="shared" si="91"/>
        <v>2.2987319068118932</v>
      </c>
      <c r="M183" s="379">
        <f t="shared" si="91"/>
        <v>2.3571148521663856</v>
      </c>
      <c r="N183" s="379">
        <f t="shared" si="91"/>
        <v>2.4436887003058243</v>
      </c>
      <c r="O183" s="379">
        <f t="shared" si="91"/>
        <v>2.5064987410252435</v>
      </c>
      <c r="P183" s="379">
        <f t="shared" si="91"/>
        <v>2.5712095563677573</v>
      </c>
      <c r="Q183" s="379">
        <f t="shared" si="91"/>
        <v>2.6378628042479066</v>
      </c>
      <c r="R183" s="379">
        <f t="shared" si="91"/>
        <v>2.7064964024409628</v>
      </c>
      <c r="S183" s="379">
        <f t="shared" si="91"/>
        <v>2.777159009894993</v>
      </c>
      <c r="T183" s="379">
        <f t="shared" si="91"/>
        <v>2.8501601748783782</v>
      </c>
      <c r="U183" s="379">
        <f t="shared" si="91"/>
        <v>2.9252815401995886</v>
      </c>
      <c r="V183" s="379">
        <f t="shared" si="91"/>
        <v>3.0028350877175827</v>
      </c>
      <c r="W183" s="379">
        <f t="shared" si="91"/>
        <v>3.0826049823866475</v>
      </c>
      <c r="X183" s="379">
        <f t="shared" si="91"/>
        <v>3.2003807778959854</v>
      </c>
      <c r="Y183" s="379">
        <f t="shared" si="91"/>
        <v>3.2863378596450579</v>
      </c>
      <c r="Z183" s="379">
        <f t="shared" si="91"/>
        <v>3.37496672355537</v>
      </c>
      <c r="AA183" s="379">
        <f t="shared" si="91"/>
        <v>3.4663276536311862</v>
      </c>
      <c r="AB183" s="379">
        <f t="shared" si="91"/>
        <v>3.5607470203838871</v>
      </c>
      <c r="AC183" s="379">
        <f t="shared" si="91"/>
        <v>3.6580184944092204</v>
      </c>
      <c r="AD183" s="379">
        <f t="shared" si="91"/>
        <v>3.7584716902115716</v>
      </c>
      <c r="AE183" s="379">
        <f t="shared" si="91"/>
        <v>3.8621733841807533</v>
      </c>
      <c r="AF183" s="379">
        <f t="shared" si="91"/>
        <v>3.9691921280356688</v>
      </c>
      <c r="AG183" s="379">
        <f t="shared" si="91"/>
        <v>4.0795983144240093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3.3693576687467637</v>
      </c>
      <c r="D184" s="379">
        <f t="shared" si="93"/>
        <v>3.3698935040010896</v>
      </c>
      <c r="E184" s="379">
        <f t="shared" si="93"/>
        <v>3.3737354638978232</v>
      </c>
      <c r="F184" s="379">
        <f t="shared" si="93"/>
        <v>3.380905550849957</v>
      </c>
      <c r="G184" s="379">
        <f t="shared" si="93"/>
        <v>3.3915261780904689</v>
      </c>
      <c r="H184" s="379">
        <f t="shared" si="93"/>
        <v>3.4276964009630668</v>
      </c>
      <c r="I184" s="379">
        <f t="shared" si="93"/>
        <v>3.32196986580144</v>
      </c>
      <c r="J184" s="379">
        <f t="shared" si="93"/>
        <v>3.2817860542958819</v>
      </c>
      <c r="K184" s="379">
        <f t="shared" si="93"/>
        <v>3.2454007990958349</v>
      </c>
      <c r="L184" s="379">
        <f t="shared" si="93"/>
        <v>3.2124790516812589</v>
      </c>
      <c r="M184" s="379">
        <f t="shared" si="93"/>
        <v>3.1832750484448207</v>
      </c>
      <c r="N184" s="379">
        <f t="shared" si="93"/>
        <v>3.1277195671366274</v>
      </c>
      <c r="O184" s="379">
        <f t="shared" si="93"/>
        <v>3.1050683276883433</v>
      </c>
      <c r="P184" s="379">
        <f t="shared" si="93"/>
        <v>3.0859321653843788</v>
      </c>
      <c r="Q184" s="379">
        <f t="shared" si="93"/>
        <v>3.0702617494343318</v>
      </c>
      <c r="R184" s="379">
        <f t="shared" si="93"/>
        <v>3.0580116479433359</v>
      </c>
      <c r="S184" s="379">
        <f t="shared" si="93"/>
        <v>2.9830764759864552</v>
      </c>
      <c r="T184" s="379">
        <f t="shared" si="93"/>
        <v>2.9898014774887018</v>
      </c>
      <c r="U184" s="379">
        <f t="shared" si="93"/>
        <v>2.9996773840110698</v>
      </c>
      <c r="V184" s="379">
        <f t="shared" si="93"/>
        <v>3.0128814942910531</v>
      </c>
      <c r="W184" s="379">
        <f t="shared" si="93"/>
        <v>3.0291699397101524</v>
      </c>
      <c r="X184" s="379">
        <f t="shared" si="93"/>
        <v>3.0294149461415478</v>
      </c>
      <c r="Y184" s="379">
        <f t="shared" si="93"/>
        <v>3.0517753357145434</v>
      </c>
      <c r="Z184" s="379">
        <f t="shared" si="93"/>
        <v>3.0774494255715923</v>
      </c>
      <c r="AA184" s="379">
        <f t="shared" si="93"/>
        <v>3.1063714232684005</v>
      </c>
      <c r="AB184" s="379">
        <f t="shared" si="93"/>
        <v>3.1388938692207153</v>
      </c>
      <c r="AC184" s="379">
        <f t="shared" si="93"/>
        <v>3.166803957258558</v>
      </c>
      <c r="AD184" s="379">
        <f t="shared" si="93"/>
        <v>3.2391413212173625</v>
      </c>
      <c r="AE184" s="379">
        <f t="shared" si="93"/>
        <v>3.3153931141484754</v>
      </c>
      <c r="AF184" s="379">
        <f t="shared" si="93"/>
        <v>3.3956306527574549</v>
      </c>
      <c r="AG184" s="379">
        <f t="shared" si="93"/>
        <v>3.479828842411278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1.6848447286060242</v>
      </c>
      <c r="D185" s="379">
        <f t="shared" si="94"/>
        <v>1.7393008945259989</v>
      </c>
      <c r="E185" s="379">
        <f t="shared" si="94"/>
        <v>1.7906071895693767</v>
      </c>
      <c r="F185" s="379">
        <f t="shared" si="94"/>
        <v>1.8435622598794414</v>
      </c>
      <c r="G185" s="379">
        <f t="shared" si="94"/>
        <v>1.8984223719203164</v>
      </c>
      <c r="H185" s="379">
        <f t="shared" si="94"/>
        <v>1.9735092281582791</v>
      </c>
      <c r="I185" s="379">
        <f t="shared" si="94"/>
        <v>2.0326352557473868</v>
      </c>
      <c r="J185" s="379">
        <f t="shared" si="94"/>
        <v>2.0936161025299689</v>
      </c>
      <c r="K185" s="379">
        <f t="shared" si="94"/>
        <v>2.156713469837364</v>
      </c>
      <c r="L185" s="379">
        <f t="shared" si="94"/>
        <v>2.2217539412979006</v>
      </c>
      <c r="M185" s="379">
        <f t="shared" si="94"/>
        <v>2.2890484799387978</v>
      </c>
      <c r="N185" s="379">
        <f t="shared" si="94"/>
        <v>2.3874848408318088</v>
      </c>
      <c r="O185" s="379">
        <f t="shared" si="94"/>
        <v>2.460249470749448</v>
      </c>
      <c r="P185" s="379">
        <f t="shared" si="94"/>
        <v>2.53543981040194</v>
      </c>
      <c r="Q185" s="379">
        <f t="shared" si="94"/>
        <v>2.6131589805872482</v>
      </c>
      <c r="R185" s="379">
        <f t="shared" si="94"/>
        <v>2.6934618887382165</v>
      </c>
      <c r="S185" s="379">
        <f t="shared" si="94"/>
        <v>2.7763552926318549</v>
      </c>
      <c r="T185" s="379">
        <f t="shared" si="94"/>
        <v>2.8622625412314644</v>
      </c>
      <c r="U185" s="379">
        <f t="shared" si="94"/>
        <v>2.9509298053631277</v>
      </c>
      <c r="V185" s="379">
        <f t="shared" si="94"/>
        <v>3.0427345053111994</v>
      </c>
      <c r="W185" s="379">
        <f t="shared" si="94"/>
        <v>3.1374270585127482</v>
      </c>
      <c r="X185" s="379">
        <f t="shared" si="94"/>
        <v>3.2736139154982506</v>
      </c>
      <c r="Y185" s="379">
        <f t="shared" si="94"/>
        <v>3.3760037924447399</v>
      </c>
      <c r="Z185" s="379">
        <f t="shared" si="94"/>
        <v>3.4819426891122487</v>
      </c>
      <c r="AA185" s="379">
        <f t="shared" si="94"/>
        <v>3.5913974108878248</v>
      </c>
      <c r="AB185" s="379">
        <f t="shared" si="94"/>
        <v>3.7047633128675161</v>
      </c>
      <c r="AC185" s="379">
        <f t="shared" si="94"/>
        <v>3.8218554979645636</v>
      </c>
      <c r="AD185" s="379">
        <f t="shared" si="94"/>
        <v>3.9430747327542823</v>
      </c>
      <c r="AE185" s="379">
        <f t="shared" si="94"/>
        <v>4.0685062731061885</v>
      </c>
      <c r="AF185" s="379">
        <f t="shared" si="94"/>
        <v>4.1982383256936364</v>
      </c>
      <c r="AG185" s="379">
        <f t="shared" si="94"/>
        <v>4.3323621524409059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3.4728048078366074</v>
      </c>
      <c r="D186" s="379">
        <f t="shared" si="96"/>
        <v>3.4555975850990408</v>
      </c>
      <c r="E186" s="379">
        <f t="shared" si="96"/>
        <v>3.4417680927164627</v>
      </c>
      <c r="F186" s="379">
        <f t="shared" si="96"/>
        <v>3.4312897247029452</v>
      </c>
      <c r="G186" s="379">
        <f t="shared" si="96"/>
        <v>3.4244027421221319</v>
      </c>
      <c r="H186" s="379">
        <f t="shared" si="96"/>
        <v>3.4330330181746906</v>
      </c>
      <c r="I186" s="379">
        <f t="shared" si="96"/>
        <v>3.3443214573388595</v>
      </c>
      <c r="J186" s="379">
        <f t="shared" si="96"/>
        <v>3.305955737143671</v>
      </c>
      <c r="K186" s="379">
        <f t="shared" si="96"/>
        <v>3.2708998503493807</v>
      </c>
      <c r="L186" s="379">
        <f t="shared" si="96"/>
        <v>3.2393043228450917</v>
      </c>
      <c r="M186" s="379">
        <f t="shared" si="96"/>
        <v>3.2111199309782306</v>
      </c>
      <c r="N186" s="379">
        <f t="shared" si="96"/>
        <v>3.1340643447748557</v>
      </c>
      <c r="O186" s="379">
        <f t="shared" si="96"/>
        <v>3.1126358187636849</v>
      </c>
      <c r="P186" s="379">
        <f t="shared" si="96"/>
        <v>3.0945026286748605</v>
      </c>
      <c r="Q186" s="379">
        <f t="shared" si="96"/>
        <v>3.0797777236440611</v>
      </c>
      <c r="R186" s="379">
        <f t="shared" si="96"/>
        <v>3.0682783121160981</v>
      </c>
      <c r="S186" s="379">
        <f t="shared" si="96"/>
        <v>3.004086316236847</v>
      </c>
      <c r="T186" s="379">
        <f t="shared" si="96"/>
        <v>3.014774228707199</v>
      </c>
      <c r="U186" s="379">
        <f t="shared" si="96"/>
        <v>3.0284331698433848</v>
      </c>
      <c r="V186" s="379">
        <f t="shared" si="96"/>
        <v>3.0450959471266641</v>
      </c>
      <c r="W186" s="379">
        <f t="shared" si="96"/>
        <v>3.0644763684237839</v>
      </c>
      <c r="X186" s="379">
        <f t="shared" si="96"/>
        <v>3.0200253113499667</v>
      </c>
      <c r="Y186" s="379">
        <f t="shared" si="96"/>
        <v>3.0449421844255902</v>
      </c>
      <c r="Z186" s="379">
        <f t="shared" si="96"/>
        <v>3.0727604848987933</v>
      </c>
      <c r="AA186" s="379">
        <f t="shared" si="96"/>
        <v>3.1037888557826463</v>
      </c>
      <c r="AB186" s="379">
        <f t="shared" si="96"/>
        <v>3.1378096932341988</v>
      </c>
      <c r="AC186" s="379">
        <f t="shared" si="96"/>
        <v>3.1651884584387315</v>
      </c>
      <c r="AD186" s="379">
        <f t="shared" si="96"/>
        <v>3.2375176784139095</v>
      </c>
      <c r="AE186" s="379">
        <f t="shared" si="96"/>
        <v>3.3133467206908831</v>
      </c>
      <c r="AF186" s="379">
        <f t="shared" si="96"/>
        <v>3.392851245665629</v>
      </c>
      <c r="AG186" s="379">
        <f t="shared" si="96"/>
        <v>3.4759497088386082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2.0579633599548841</v>
      </c>
      <c r="D187" s="379">
        <f t="shared" si="97"/>
        <v>2.0768315857326862</v>
      </c>
      <c r="E187" s="379">
        <f t="shared" si="97"/>
        <v>2.0933662549610741</v>
      </c>
      <c r="F187" s="379">
        <f t="shared" si="97"/>
        <v>2.093275877538471</v>
      </c>
      <c r="G187" s="379">
        <f t="shared" si="97"/>
        <v>2.0911753294411346</v>
      </c>
      <c r="H187" s="379">
        <f t="shared" si="97"/>
        <v>2.1118477348899747</v>
      </c>
      <c r="I187" s="379">
        <f t="shared" si="97"/>
        <v>2.0531164167251794</v>
      </c>
      <c r="J187" s="379">
        <f t="shared" si="97"/>
        <v>2.0669780970754377</v>
      </c>
      <c r="K187" s="379">
        <f t="shared" si="97"/>
        <v>2.0746929814564705</v>
      </c>
      <c r="L187" s="379">
        <f t="shared" si="97"/>
        <v>2.0868825161105975</v>
      </c>
      <c r="M187" s="379">
        <f t="shared" si="97"/>
        <v>2.1039622207103199</v>
      </c>
      <c r="N187" s="379">
        <f t="shared" si="97"/>
        <v>2.0849609757795546</v>
      </c>
      <c r="O187" s="379">
        <f t="shared" si="97"/>
        <v>2.1132425444174667</v>
      </c>
      <c r="P187" s="379">
        <f t="shared" si="97"/>
        <v>2.1420599320832805</v>
      </c>
      <c r="Q187" s="379">
        <f t="shared" si="97"/>
        <v>2.1744710066164239</v>
      </c>
      <c r="R187" s="379">
        <f t="shared" si="97"/>
        <v>2.2105456897580424</v>
      </c>
      <c r="S187" s="379">
        <f t="shared" si="97"/>
        <v>2.2448973274785571</v>
      </c>
      <c r="T187" s="379">
        <f t="shared" si="97"/>
        <v>2.29389848485991</v>
      </c>
      <c r="U187" s="379">
        <f t="shared" si="97"/>
        <v>2.3435624078235433</v>
      </c>
      <c r="V187" s="379">
        <f t="shared" si="97"/>
        <v>2.3955615341809113</v>
      </c>
      <c r="W187" s="379">
        <f t="shared" si="97"/>
        <v>2.4495029174908636</v>
      </c>
      <c r="X187" s="379">
        <f t="shared" si="97"/>
        <v>2.4542258270372077</v>
      </c>
      <c r="Y187" s="379">
        <f t="shared" si="97"/>
        <v>2.5122461660111077</v>
      </c>
      <c r="Z187" s="379">
        <f t="shared" si="97"/>
        <v>2.5727446275552723</v>
      </c>
      <c r="AA187" s="379">
        <f t="shared" si="97"/>
        <v>2.6360373520378069</v>
      </c>
      <c r="AB187" s="379">
        <f t="shared" si="97"/>
        <v>2.7019361150248553</v>
      </c>
      <c r="AC187" s="379">
        <f t="shared" si="97"/>
        <v>2.7826501635202376</v>
      </c>
      <c r="AD187" s="379">
        <f t="shared" si="97"/>
        <v>2.8683537339735956</v>
      </c>
      <c r="AE187" s="379">
        <f t="shared" si="97"/>
        <v>2.9571184877218459</v>
      </c>
      <c r="AF187" s="379">
        <f t="shared" si="97"/>
        <v>3.0494947329350701</v>
      </c>
      <c r="AG187" s="379">
        <f t="shared" si="97"/>
        <v>3.1453096457338576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3.5854916895068216</v>
      </c>
      <c r="D188" s="379">
        <f t="shared" si="99"/>
        <v>3.5677261203087443</v>
      </c>
      <c r="E188" s="379">
        <f t="shared" si="99"/>
        <v>3.5534478833355809</v>
      </c>
      <c r="F188" s="379">
        <f t="shared" si="99"/>
        <v>3.542629509280327</v>
      </c>
      <c r="G188" s="379">
        <f t="shared" si="99"/>
        <v>3.5355190552883369</v>
      </c>
      <c r="H188" s="379">
        <f t="shared" si="99"/>
        <v>3.5444293697968785</v>
      </c>
      <c r="I188" s="379">
        <f t="shared" si="99"/>
        <v>3.4528392627392352</v>
      </c>
      <c r="J188" s="379">
        <f t="shared" si="99"/>
        <v>3.4132286371689822</v>
      </c>
      <c r="K188" s="379">
        <f t="shared" si="99"/>
        <v>3.3770352437235491</v>
      </c>
      <c r="L188" s="379">
        <f t="shared" si="99"/>
        <v>3.3444144926129264</v>
      </c>
      <c r="M188" s="379">
        <f t="shared" si="99"/>
        <v>3.3153155629568749</v>
      </c>
      <c r="N188" s="379">
        <f t="shared" si="99"/>
        <v>3.235759647997638</v>
      </c>
      <c r="O188" s="379">
        <f t="shared" si="99"/>
        <v>3.2136358010834503</v>
      </c>
      <c r="P188" s="379">
        <f t="shared" si="99"/>
        <v>3.1949142183958736</v>
      </c>
      <c r="Q188" s="379">
        <f t="shared" si="99"/>
        <v>3.1797115140867889</v>
      </c>
      <c r="R188" s="379">
        <f t="shared" si="99"/>
        <v>3.1678389653116055</v>
      </c>
      <c r="S188" s="379">
        <f t="shared" si="99"/>
        <v>3.1015640433123788</v>
      </c>
      <c r="T188" s="379">
        <f t="shared" si="99"/>
        <v>3.1125987612021229</v>
      </c>
      <c r="U188" s="379">
        <f t="shared" si="99"/>
        <v>3.1267009128176535</v>
      </c>
      <c r="V188" s="379">
        <f t="shared" si="99"/>
        <v>3.1439043701897709</v>
      </c>
      <c r="W188" s="379">
        <f t="shared" si="99"/>
        <v>3.1639136547148214</v>
      </c>
      <c r="X188" s="379">
        <f t="shared" si="99"/>
        <v>3.1180202329571931</v>
      </c>
      <c r="Y188" s="379">
        <f t="shared" si="99"/>
        <v>3.1437456181385151</v>
      </c>
      <c r="Z188" s="379">
        <f t="shared" si="99"/>
        <v>3.1724665773291378</v>
      </c>
      <c r="AA188" s="379">
        <f t="shared" si="99"/>
        <v>3.2045017685071566</v>
      </c>
      <c r="AB188" s="379">
        <f t="shared" si="99"/>
        <v>3.2396265269379629</v>
      </c>
      <c r="AC188" s="379">
        <f t="shared" si="99"/>
        <v>3.2678936886535577</v>
      </c>
      <c r="AD188" s="379">
        <f t="shared" si="99"/>
        <v>3.3425698744686381</v>
      </c>
      <c r="AE188" s="379">
        <f t="shared" si="99"/>
        <v>3.4208594461410295</v>
      </c>
      <c r="AF188" s="379">
        <f t="shared" si="99"/>
        <v>3.5029437639615639</v>
      </c>
      <c r="AG188" s="379">
        <f t="shared" si="99"/>
        <v>3.5887386374439907</v>
      </c>
    </row>
    <row r="189" spans="1:33">
      <c r="A189" s="300" t="s">
        <v>334</v>
      </c>
      <c r="C189" s="379">
        <f t="shared" ref="C189:AG189" si="100">C183*0.9</f>
        <v>1.5728311405164401</v>
      </c>
      <c r="D189" s="379">
        <f t="shared" si="100"/>
        <v>1.685056651159069</v>
      </c>
      <c r="E189" s="379">
        <f t="shared" si="100"/>
        <v>1.7262762966743581</v>
      </c>
      <c r="F189" s="379">
        <f t="shared" si="100"/>
        <v>1.7686293122326411</v>
      </c>
      <c r="G189" s="379">
        <f t="shared" si="100"/>
        <v>1.8123786114829104</v>
      </c>
      <c r="H189" s="379">
        <f t="shared" si="100"/>
        <v>1.8732819939234777</v>
      </c>
      <c r="I189" s="379">
        <f t="shared" si="100"/>
        <v>1.92014606804889</v>
      </c>
      <c r="J189" s="379">
        <f t="shared" si="100"/>
        <v>1.9682629320686755</v>
      </c>
      <c r="K189" s="379">
        <f t="shared" si="100"/>
        <v>2.0179023597024179</v>
      </c>
      <c r="L189" s="379">
        <f t="shared" si="100"/>
        <v>2.0688587161307042</v>
      </c>
      <c r="M189" s="379">
        <f t="shared" si="100"/>
        <v>2.121403366949747</v>
      </c>
      <c r="N189" s="379">
        <f t="shared" si="100"/>
        <v>2.1993198302752419</v>
      </c>
      <c r="O189" s="379">
        <f t="shared" si="100"/>
        <v>2.2558488669227192</v>
      </c>
      <c r="P189" s="379">
        <f t="shared" si="100"/>
        <v>2.3140886007309818</v>
      </c>
      <c r="Q189" s="379">
        <f t="shared" si="100"/>
        <v>2.3740765238231161</v>
      </c>
      <c r="R189" s="379">
        <f t="shared" si="100"/>
        <v>2.4358467621968667</v>
      </c>
      <c r="S189" s="379">
        <f t="shared" si="100"/>
        <v>2.4994431089054938</v>
      </c>
      <c r="T189" s="379">
        <f t="shared" si="100"/>
        <v>2.5651441573905407</v>
      </c>
      <c r="U189" s="379">
        <f t="shared" si="100"/>
        <v>2.6327533861796297</v>
      </c>
      <c r="V189" s="379">
        <f t="shared" si="100"/>
        <v>2.7025515789458243</v>
      </c>
      <c r="W189" s="379">
        <f t="shared" si="100"/>
        <v>2.7743444841479827</v>
      </c>
      <c r="X189" s="379">
        <f t="shared" si="100"/>
        <v>2.8803427001063868</v>
      </c>
      <c r="Y189" s="379">
        <f t="shared" si="100"/>
        <v>2.957704073680552</v>
      </c>
      <c r="Z189" s="379">
        <f t="shared" si="100"/>
        <v>3.0374700511998332</v>
      </c>
      <c r="AA189" s="379">
        <f t="shared" si="100"/>
        <v>3.1196948882680675</v>
      </c>
      <c r="AB189" s="379">
        <f t="shared" si="100"/>
        <v>3.2046723183454984</v>
      </c>
      <c r="AC189" s="379">
        <f t="shared" si="100"/>
        <v>3.2922166449682986</v>
      </c>
      <c r="AD189" s="379">
        <f t="shared" si="100"/>
        <v>3.3826245211904147</v>
      </c>
      <c r="AE189" s="379">
        <f t="shared" si="100"/>
        <v>3.4759560457626781</v>
      </c>
      <c r="AF189" s="379">
        <f t="shared" si="100"/>
        <v>3.572272915232102</v>
      </c>
      <c r="AG189" s="379">
        <f t="shared" si="100"/>
        <v>3.6716384829816087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433">
        <f t="shared" ref="C192:AG192" si="102">C165/C168</f>
        <v>0.92302640294508242</v>
      </c>
      <c r="D192" s="433">
        <f t="shared" si="102"/>
        <v>0.97990255341077592</v>
      </c>
      <c r="E192" s="433">
        <f t="shared" si="102"/>
        <v>0.99594361449969904</v>
      </c>
      <c r="F192" s="433">
        <f t="shared" si="102"/>
        <v>1.0204224690742636</v>
      </c>
      <c r="G192" s="433">
        <f t="shared" si="102"/>
        <v>1.0467142694971838</v>
      </c>
      <c r="H192" s="433">
        <f t="shared" si="102"/>
        <v>1.0712978164475524</v>
      </c>
      <c r="I192" s="433">
        <f t="shared" si="102"/>
        <v>1.1295107143004366</v>
      </c>
      <c r="J192" s="433">
        <f t="shared" si="102"/>
        <v>1.1500504762841328</v>
      </c>
      <c r="K192" s="433">
        <f t="shared" si="102"/>
        <v>1.1746702602990753</v>
      </c>
      <c r="L192" s="433">
        <f t="shared" si="102"/>
        <v>1.1972986589085959</v>
      </c>
      <c r="M192" s="433">
        <f t="shared" si="102"/>
        <v>1.2177411437480248</v>
      </c>
      <c r="N192" s="433">
        <f t="shared" si="102"/>
        <v>1.2739727029684591</v>
      </c>
      <c r="O192" s="433">
        <f t="shared" si="102"/>
        <v>1.2892297481353838</v>
      </c>
      <c r="P192" s="433">
        <f t="shared" si="102"/>
        <v>1.3047221294755313</v>
      </c>
      <c r="Q192" s="433">
        <f t="shared" si="102"/>
        <v>1.318592968039566</v>
      </c>
      <c r="R192" s="433">
        <f t="shared" si="102"/>
        <v>1.3308224884592645</v>
      </c>
      <c r="S192" s="433">
        <f t="shared" si="102"/>
        <v>1.3446722310024144</v>
      </c>
      <c r="T192" s="433">
        <f t="shared" si="102"/>
        <v>1.3505393593188544</v>
      </c>
      <c r="U192" s="433">
        <f t="shared" si="102"/>
        <v>1.3567609027301144</v>
      </c>
      <c r="V192" s="433">
        <f t="shared" si="102"/>
        <v>1.3624994122381113</v>
      </c>
      <c r="W192" s="433">
        <f t="shared" si="102"/>
        <v>1.3678928755810313</v>
      </c>
      <c r="X192" s="433">
        <f t="shared" si="102"/>
        <v>1.4174224393939008</v>
      </c>
      <c r="Y192" s="433">
        <f t="shared" si="102"/>
        <v>1.4218775283678218</v>
      </c>
      <c r="Z192" s="433">
        <f t="shared" si="102"/>
        <v>1.4258866004539903</v>
      </c>
      <c r="AA192" s="433">
        <f t="shared" si="102"/>
        <v>1.4293224815977785</v>
      </c>
      <c r="AB192" s="433">
        <f t="shared" si="102"/>
        <v>1.4324458578228965</v>
      </c>
      <c r="AC192" s="433">
        <f t="shared" si="102"/>
        <v>1.4288921802913295</v>
      </c>
      <c r="AD192" s="433">
        <f t="shared" si="102"/>
        <v>1.4242648202904558</v>
      </c>
      <c r="AE192" s="433">
        <f t="shared" si="102"/>
        <v>1.4196301451744309</v>
      </c>
      <c r="AF192" s="433">
        <f t="shared" si="102"/>
        <v>1.4147718384322421</v>
      </c>
      <c r="AG192" s="433">
        <f t="shared" si="102"/>
        <v>1.409828122949252</v>
      </c>
    </row>
    <row r="193" spans="1:33">
      <c r="A193" s="300" t="str">
        <f>A169</f>
        <v>H2-ICE</v>
      </c>
      <c r="C193" s="433">
        <f t="shared" ref="C193:AG193" si="103">C169/C168</f>
        <v>1.7795969371370808</v>
      </c>
      <c r="D193" s="433">
        <f t="shared" si="103"/>
        <v>1.7637095597465451</v>
      </c>
      <c r="E193" s="433">
        <f t="shared" si="103"/>
        <v>1.7517736117201903</v>
      </c>
      <c r="F193" s="433">
        <f t="shared" si="103"/>
        <v>1.7555723912520218</v>
      </c>
      <c r="G193" s="433">
        <f t="shared" si="103"/>
        <v>1.7628562493177566</v>
      </c>
      <c r="H193" s="433">
        <f t="shared" si="103"/>
        <v>1.7642166601384539</v>
      </c>
      <c r="I193" s="433">
        <f t="shared" si="103"/>
        <v>1.7587102130395509</v>
      </c>
      <c r="J193" s="433">
        <f t="shared" si="103"/>
        <v>1.7257844965636555</v>
      </c>
      <c r="K193" s="433">
        <f t="shared" si="103"/>
        <v>1.7003043803416924</v>
      </c>
      <c r="L193" s="433">
        <f t="shared" si="103"/>
        <v>1.6732255070511248</v>
      </c>
      <c r="M193" s="433">
        <f t="shared" si="103"/>
        <v>1.6445549926406873</v>
      </c>
      <c r="N193" s="433">
        <f t="shared" si="103"/>
        <v>1.6305797667983311</v>
      </c>
      <c r="O193" s="433">
        <f t="shared" si="103"/>
        <v>1.5971069095416248</v>
      </c>
      <c r="P193" s="433">
        <f t="shared" si="103"/>
        <v>1.565910478306215</v>
      </c>
      <c r="Q193" s="433">
        <f t="shared" si="103"/>
        <v>1.5347369644568121</v>
      </c>
      <c r="R193" s="433">
        <f t="shared" si="103"/>
        <v>1.5036674969835429</v>
      </c>
      <c r="S193" s="433">
        <f t="shared" si="103"/>
        <v>1.4443753799920864</v>
      </c>
      <c r="T193" s="433">
        <f t="shared" si="103"/>
        <v>1.4167079476754172</v>
      </c>
      <c r="U193" s="433">
        <f t="shared" si="103"/>
        <v>1.3912660848200906</v>
      </c>
      <c r="V193" s="433">
        <f t="shared" si="103"/>
        <v>1.367057845402639</v>
      </c>
      <c r="W193" s="433">
        <f t="shared" si="103"/>
        <v>1.3441813022198041</v>
      </c>
      <c r="X193" s="433">
        <f t="shared" si="103"/>
        <v>1.341703072507284</v>
      </c>
      <c r="Y193" s="433">
        <f t="shared" si="103"/>
        <v>1.3203909509012981</v>
      </c>
      <c r="Z193" s="433">
        <f t="shared" si="103"/>
        <v>1.3001887896763351</v>
      </c>
      <c r="AA193" s="433">
        <f t="shared" si="103"/>
        <v>1.2808963707799639</v>
      </c>
      <c r="AB193" s="433">
        <f t="shared" si="103"/>
        <v>1.2627393901817119</v>
      </c>
      <c r="AC193" s="433">
        <f t="shared" si="103"/>
        <v>1.2370143611789459</v>
      </c>
      <c r="AD193" s="433">
        <f t="shared" si="103"/>
        <v>1.2274656860590425</v>
      </c>
      <c r="AE193" s="433">
        <f t="shared" si="103"/>
        <v>1.2186485534872697</v>
      </c>
      <c r="AF193" s="433">
        <f t="shared" si="103"/>
        <v>1.2103325982398421</v>
      </c>
      <c r="AG193" s="433">
        <f t="shared" si="103"/>
        <v>1.2025597097968266</v>
      </c>
    </row>
    <row r="194" spans="1:33">
      <c r="A194" s="300" t="str">
        <f>A170</f>
        <v>FCET</v>
      </c>
      <c r="C194" s="433">
        <f t="shared" ref="C194:AG194" si="104">C170/C168</f>
        <v>1.8342347138229715</v>
      </c>
      <c r="D194" s="433">
        <f t="shared" si="104"/>
        <v>1.8085647182143958</v>
      </c>
      <c r="E194" s="433">
        <f t="shared" si="104"/>
        <v>1.7870987773046776</v>
      </c>
      <c r="F194" s="433">
        <f t="shared" si="104"/>
        <v>1.7817349276618637</v>
      </c>
      <c r="G194" s="433">
        <f t="shared" si="104"/>
        <v>1.7799449148081536</v>
      </c>
      <c r="H194" s="433">
        <f t="shared" si="104"/>
        <v>1.766963387938175</v>
      </c>
      <c r="I194" s="433">
        <f t="shared" si="104"/>
        <v>1.7705435450391065</v>
      </c>
      <c r="J194" s="433">
        <f t="shared" si="104"/>
        <v>1.7384945462912953</v>
      </c>
      <c r="K194" s="433">
        <f t="shared" si="104"/>
        <v>1.7136636389432927</v>
      </c>
      <c r="L194" s="433">
        <f t="shared" si="104"/>
        <v>1.6871974979101461</v>
      </c>
      <c r="M194" s="433">
        <f t="shared" si="104"/>
        <v>1.6589403158983127</v>
      </c>
      <c r="N194" s="433">
        <f t="shared" si="104"/>
        <v>1.6338875013377163</v>
      </c>
      <c r="O194" s="433">
        <f t="shared" si="104"/>
        <v>1.6009992851703827</v>
      </c>
      <c r="P194" s="433">
        <f t="shared" si="104"/>
        <v>1.5702594327067831</v>
      </c>
      <c r="Q194" s="433">
        <f t="shared" si="104"/>
        <v>1.5394937306755814</v>
      </c>
      <c r="R194" s="433">
        <f t="shared" si="104"/>
        <v>1.5087157606909132</v>
      </c>
      <c r="S194" s="433">
        <f t="shared" si="104"/>
        <v>1.4545481315924951</v>
      </c>
      <c r="T194" s="433">
        <f t="shared" si="104"/>
        <v>1.4285412066369061</v>
      </c>
      <c r="U194" s="433">
        <f t="shared" si="104"/>
        <v>1.404603168929234</v>
      </c>
      <c r="V194" s="433">
        <f t="shared" si="104"/>
        <v>1.381674756345775</v>
      </c>
      <c r="W194" s="433">
        <f t="shared" si="104"/>
        <v>1.3598483800891827</v>
      </c>
      <c r="X194" s="433">
        <f t="shared" si="104"/>
        <v>1.3375444801475178</v>
      </c>
      <c r="Y194" s="433">
        <f t="shared" si="104"/>
        <v>1.3174344976452264</v>
      </c>
      <c r="Z194" s="433">
        <f t="shared" si="104"/>
        <v>1.2982077634253193</v>
      </c>
      <c r="AA194" s="433">
        <f t="shared" si="104"/>
        <v>1.2798314622841482</v>
      </c>
      <c r="AB194" s="433">
        <f t="shared" si="104"/>
        <v>1.2623032391740312</v>
      </c>
      <c r="AC194" s="433">
        <f t="shared" si="104"/>
        <v>1.2363833163566063</v>
      </c>
      <c r="AD194" s="433">
        <f t="shared" si="104"/>
        <v>1.2268504100861786</v>
      </c>
      <c r="AE194" s="433">
        <f t="shared" si="104"/>
        <v>1.2178963547762578</v>
      </c>
      <c r="AF194" s="433">
        <f t="shared" si="104"/>
        <v>1.2093419112803272</v>
      </c>
      <c r="AG194" s="433">
        <f t="shared" si="104"/>
        <v>1.2012191583057423</v>
      </c>
    </row>
    <row r="195" spans="1:33"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433"/>
      <c r="AD195" s="433"/>
      <c r="AE195" s="433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10C7-D748-4CBB-A2A0-0CBE1470B99C}">
  <sheetPr>
    <tabColor rgb="FF0070C0"/>
  </sheetPr>
  <dimension ref="A1:AL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42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7">
      <c r="G1" s="341" t="s">
        <v>247</v>
      </c>
    </row>
    <row r="2" spans="1:7">
      <c r="A2" s="352" t="s">
        <v>868</v>
      </c>
      <c r="B2" s="352" t="str">
        <f>'No change with year'!B8</f>
        <v>Parcel Load and FMCG</v>
      </c>
      <c r="F2" s="341" t="s">
        <v>249</v>
      </c>
      <c r="G2" s="341" t="s">
        <v>250</v>
      </c>
    </row>
    <row r="3" spans="1:7">
      <c r="A3" s="352" t="s">
        <v>4</v>
      </c>
      <c r="B3" s="352" t="str">
        <f>'No change with year'!C8</f>
        <v>19T Rigid</v>
      </c>
      <c r="F3" s="341" t="s">
        <v>252</v>
      </c>
    </row>
    <row r="4" spans="1:7" s="344" customFormat="1">
      <c r="A4" s="342"/>
      <c r="B4" s="342"/>
      <c r="C4" s="421"/>
    </row>
    <row r="5" spans="1:7">
      <c r="A5" s="328" t="s">
        <v>254</v>
      </c>
      <c r="B5" s="300" t="s">
        <v>255</v>
      </c>
      <c r="C5" s="422">
        <f>'No change with year'!AR8</f>
        <v>18500</v>
      </c>
      <c r="D5" s="423" t="s">
        <v>169</v>
      </c>
      <c r="E5" s="423">
        <v>2</v>
      </c>
    </row>
    <row r="6" spans="1:7">
      <c r="A6" s="328" t="s">
        <v>256</v>
      </c>
      <c r="B6" s="300" t="s">
        <v>257</v>
      </c>
      <c r="C6" s="422">
        <f>'Changing with year'!C82</f>
        <v>2750000</v>
      </c>
      <c r="D6" s="423" t="s">
        <v>169</v>
      </c>
      <c r="E6" s="423"/>
    </row>
    <row r="7" spans="1:7">
      <c r="A7" s="328" t="s">
        <v>258</v>
      </c>
      <c r="B7" s="300" t="s">
        <v>257</v>
      </c>
      <c r="C7" s="422">
        <f>'Changing with year'!C93</f>
        <v>3000000</v>
      </c>
      <c r="D7" s="423" t="s">
        <v>169</v>
      </c>
      <c r="E7" s="423">
        <v>4</v>
      </c>
    </row>
    <row r="8" spans="1:7">
      <c r="A8" s="328" t="s">
        <v>259</v>
      </c>
      <c r="B8" s="300" t="s">
        <v>257</v>
      </c>
      <c r="C8" s="422">
        <f>'Changing with year'!C106</f>
        <v>3330375</v>
      </c>
      <c r="D8" s="423" t="s">
        <v>169</v>
      </c>
      <c r="E8" s="423">
        <v>5</v>
      </c>
    </row>
    <row r="9" spans="1:7">
      <c r="A9" s="328" t="s">
        <v>260</v>
      </c>
      <c r="B9" s="300" t="s">
        <v>257</v>
      </c>
      <c r="C9" s="422">
        <f>'Changing with year'!C118</f>
        <v>4329200</v>
      </c>
      <c r="D9" s="423" t="s">
        <v>169</v>
      </c>
      <c r="E9" s="423">
        <v>6</v>
      </c>
    </row>
    <row r="10" spans="1:7">
      <c r="A10" s="328" t="s">
        <v>261</v>
      </c>
      <c r="B10" s="300" t="s">
        <v>257</v>
      </c>
      <c r="C10" s="422">
        <f>'Changing with year'!C130</f>
        <v>7195000</v>
      </c>
      <c r="D10" s="423" t="s">
        <v>169</v>
      </c>
      <c r="E10" s="423">
        <v>8</v>
      </c>
    </row>
    <row r="11" spans="1:7">
      <c r="A11" s="328" t="s">
        <v>262</v>
      </c>
      <c r="B11" s="300" t="s">
        <v>257</v>
      </c>
      <c r="C11" s="422">
        <f>'Changing with year'!C143</f>
        <v>10666400</v>
      </c>
      <c r="D11" s="423" t="s">
        <v>169</v>
      </c>
      <c r="E11" s="423">
        <v>9</v>
      </c>
    </row>
    <row r="12" spans="1:7">
      <c r="A12" s="328" t="s">
        <v>263</v>
      </c>
      <c r="B12" s="300" t="s">
        <v>193</v>
      </c>
      <c r="C12" s="434">
        <f>'No change with year'!G8</f>
        <v>200</v>
      </c>
      <c r="D12" s="423"/>
      <c r="E12" s="423"/>
    </row>
    <row r="13" spans="1:7">
      <c r="A13" s="328" t="s">
        <v>264</v>
      </c>
      <c r="B13" s="300" t="s">
        <v>265</v>
      </c>
      <c r="C13" s="422">
        <f>'No change with year'!D22</f>
        <v>3000</v>
      </c>
      <c r="D13" s="423" t="s">
        <v>169</v>
      </c>
      <c r="E13" s="423">
        <v>10</v>
      </c>
    </row>
    <row r="14" spans="1:7">
      <c r="A14" s="328" t="s">
        <v>266</v>
      </c>
      <c r="B14" s="300" t="s">
        <v>194</v>
      </c>
      <c r="C14" s="422">
        <f>'No change with year'!J8</f>
        <v>80</v>
      </c>
      <c r="D14" s="423" t="s">
        <v>169</v>
      </c>
      <c r="E14" s="423">
        <v>11</v>
      </c>
    </row>
    <row r="15" spans="1:7">
      <c r="A15" s="328" t="s">
        <v>209</v>
      </c>
      <c r="B15" s="300" t="s">
        <v>267</v>
      </c>
      <c r="C15" s="434">
        <f>'No change with year'!D23</f>
        <v>25000</v>
      </c>
      <c r="D15" s="423" t="s">
        <v>169</v>
      </c>
      <c r="E15" s="423">
        <v>12</v>
      </c>
    </row>
    <row r="16" spans="1:7">
      <c r="A16" s="328" t="s">
        <v>268</v>
      </c>
      <c r="B16" s="300" t="s">
        <v>193</v>
      </c>
      <c r="C16" s="422">
        <f>'No change with year'!I8</f>
        <v>70</v>
      </c>
      <c r="D16" s="423"/>
      <c r="E16" s="423"/>
    </row>
    <row r="17" spans="1:5">
      <c r="A17" s="328" t="s">
        <v>269</v>
      </c>
      <c r="B17" s="300" t="s">
        <v>255</v>
      </c>
      <c r="C17" s="422">
        <f>'No change with year'!AX8</f>
        <v>10500</v>
      </c>
      <c r="D17" s="423" t="s">
        <v>169</v>
      </c>
      <c r="E17" s="423">
        <v>13</v>
      </c>
    </row>
    <row r="18" spans="1:5">
      <c r="A18" s="328" t="s">
        <v>270</v>
      </c>
      <c r="B18" s="300" t="s">
        <v>255</v>
      </c>
      <c r="C18" s="422">
        <f>'No change with year'!AY8</f>
        <v>8900</v>
      </c>
      <c r="D18" s="423" t="s">
        <v>169</v>
      </c>
      <c r="E18" s="423">
        <v>14</v>
      </c>
    </row>
    <row r="19" spans="1:5">
      <c r="A19" s="328" t="s">
        <v>271</v>
      </c>
      <c r="B19" s="300" t="s">
        <v>255</v>
      </c>
      <c r="C19" s="422">
        <f>'No change with year'!AZ8</f>
        <v>9600</v>
      </c>
      <c r="D19" s="423" t="s">
        <v>169</v>
      </c>
      <c r="E19" s="423">
        <v>18</v>
      </c>
    </row>
    <row r="20" spans="1:5">
      <c r="A20" s="328" t="s">
        <v>272</v>
      </c>
      <c r="B20" s="300" t="s">
        <v>273</v>
      </c>
      <c r="C20" s="424">
        <f>'Changing with year'!C266</f>
        <v>5.3</v>
      </c>
      <c r="D20" s="423" t="s">
        <v>169</v>
      </c>
      <c r="E20" s="423">
        <v>19</v>
      </c>
    </row>
    <row r="21" spans="1:5">
      <c r="A21" s="328" t="s">
        <v>274</v>
      </c>
      <c r="B21" s="300" t="s">
        <v>195</v>
      </c>
      <c r="C21" s="422">
        <f>'No change with year'!K8</f>
        <v>360</v>
      </c>
      <c r="D21" s="423" t="s">
        <v>169</v>
      </c>
      <c r="E21" s="423">
        <v>20</v>
      </c>
    </row>
    <row r="22" spans="1:5">
      <c r="A22" s="328" t="s">
        <v>172</v>
      </c>
      <c r="B22" s="300" t="s">
        <v>196</v>
      </c>
      <c r="C22" s="422">
        <f>'No change with year'!L8</f>
        <v>300</v>
      </c>
      <c r="D22" s="423" t="s">
        <v>169</v>
      </c>
      <c r="E22" s="423">
        <v>21</v>
      </c>
    </row>
    <row r="23" spans="1:5">
      <c r="A23" s="328" t="s">
        <v>174</v>
      </c>
      <c r="B23" s="300" t="s">
        <v>197</v>
      </c>
      <c r="C23" s="422">
        <f>'No change with year'!Q8</f>
        <v>8</v>
      </c>
      <c r="D23" s="423" t="s">
        <v>275</v>
      </c>
      <c r="E23" s="423">
        <v>2</v>
      </c>
    </row>
    <row r="24" spans="1:5">
      <c r="A24" s="328" t="s">
        <v>276</v>
      </c>
      <c r="B24" s="300" t="s">
        <v>198</v>
      </c>
      <c r="C24" s="390">
        <f>'No change with year'!O8</f>
        <v>0.75</v>
      </c>
      <c r="D24" s="423" t="s">
        <v>275</v>
      </c>
      <c r="E24" s="423">
        <v>3</v>
      </c>
    </row>
    <row r="25" spans="1:5">
      <c r="A25" s="328" t="s">
        <v>685</v>
      </c>
      <c r="B25" s="300" t="s">
        <v>277</v>
      </c>
      <c r="C25" s="345">
        <f>'No change with year'!D28</f>
        <v>7</v>
      </c>
      <c r="D25" s="423" t="s">
        <v>275</v>
      </c>
      <c r="E25" s="423">
        <v>4</v>
      </c>
    </row>
    <row r="26" spans="1:5">
      <c r="A26" s="328" t="s">
        <v>686</v>
      </c>
      <c r="B26" s="300" t="s">
        <v>198</v>
      </c>
      <c r="C26" s="325">
        <f>'No change with year'!D27</f>
        <v>0.12</v>
      </c>
      <c r="D26" s="423"/>
      <c r="E26" s="423"/>
    </row>
    <row r="27" spans="1:5">
      <c r="A27" s="328" t="s">
        <v>687</v>
      </c>
      <c r="B27" s="300" t="s">
        <v>277</v>
      </c>
      <c r="C27" s="425">
        <f>'No change with year'!D30</f>
        <v>7</v>
      </c>
      <c r="D27" s="423"/>
      <c r="E27" s="423"/>
    </row>
    <row r="28" spans="1:5">
      <c r="A28" s="328" t="s">
        <v>688</v>
      </c>
      <c r="B28" s="300" t="s">
        <v>198</v>
      </c>
      <c r="C28" s="325">
        <f>'No change with year'!D29</f>
        <v>0.12</v>
      </c>
      <c r="D28" s="423"/>
      <c r="E28" s="423"/>
    </row>
    <row r="29" spans="1:5">
      <c r="A29" s="328" t="s">
        <v>221</v>
      </c>
      <c r="B29" s="300" t="s">
        <v>198</v>
      </c>
      <c r="C29" s="349">
        <f>'No change with year'!D32</f>
        <v>0.02</v>
      </c>
      <c r="D29" s="423"/>
      <c r="E29" s="423"/>
    </row>
    <row r="30" spans="1:5">
      <c r="D30" s="423" t="s">
        <v>275</v>
      </c>
      <c r="E30" s="423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year'!E8</f>
        <v>157.5</v>
      </c>
      <c r="F35" s="355">
        <f>'No change with year'!F8</f>
        <v>28.2</v>
      </c>
      <c r="G35" s="328"/>
      <c r="H35" s="355">
        <f>'No change with year'!H8</f>
        <v>28.2</v>
      </c>
    </row>
    <row r="36" spans="1:38">
      <c r="A36" s="443"/>
      <c r="B36" s="328" t="s">
        <v>282</v>
      </c>
      <c r="C36" s="358">
        <f>'No change with year'!S8</f>
        <v>5</v>
      </c>
      <c r="D36" s="358">
        <f>'No change with year'!T8</f>
        <v>5.4</v>
      </c>
      <c r="E36" s="358">
        <f>'No change with year'!U8</f>
        <v>5.2</v>
      </c>
      <c r="F36" s="358">
        <f>'No change with year'!V8</f>
        <v>15</v>
      </c>
      <c r="G36" s="358">
        <f>'No change with year'!W8</f>
        <v>0.9</v>
      </c>
      <c r="H36" s="358">
        <f>'No change with year'!X8</f>
        <v>20</v>
      </c>
    </row>
    <row r="37" spans="1:38" ht="28.8">
      <c r="A37" s="296" t="s">
        <v>283</v>
      </c>
      <c r="B37" s="438" t="s">
        <v>284</v>
      </c>
      <c r="C37" s="297">
        <f>($C$21*$C$22)/C36</f>
        <v>21600</v>
      </c>
      <c r="D37" s="297">
        <f>($C$21*$C$22)/D36</f>
        <v>20000</v>
      </c>
      <c r="E37" s="297">
        <f>($C$21*$C$22)/E36</f>
        <v>20769.23076923077</v>
      </c>
      <c r="F37" s="297">
        <f>($C$21*$C$22)/F36</f>
        <v>7200</v>
      </c>
      <c r="G37" s="435">
        <f>($C$21*$C$22*G36)</f>
        <v>97200</v>
      </c>
      <c r="H37" s="297">
        <f>($C$21*$C$22)/H36</f>
        <v>5400</v>
      </c>
    </row>
    <row r="38" spans="1:38">
      <c r="L38" s="300" t="s">
        <v>285</v>
      </c>
      <c r="M38" s="300" t="s">
        <v>281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 t="shared" ref="D40:AG40" si="0">C40+1</f>
        <v>2026</v>
      </c>
      <c r="E40" s="360">
        <f t="shared" si="0"/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426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426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426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426"/>
    </row>
    <row r="45" spans="1:38">
      <c r="A45" s="32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426"/>
      <c r="AK45" s="365"/>
      <c r="AL45" s="365"/>
    </row>
    <row r="46" spans="1:38">
      <c r="A46" s="32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42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 t="shared" ref="C50:AG50" si="2">C48+C49</f>
        <v>721.5</v>
      </c>
      <c r="D50" s="401">
        <f t="shared" si="2"/>
        <v>714.80000000000007</v>
      </c>
      <c r="E50" s="401">
        <f t="shared" si="2"/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426"/>
      <c r="AI51" s="426"/>
    </row>
    <row r="52" spans="1:37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K53" s="339"/>
    </row>
    <row r="54" spans="1:37" s="371" customFormat="1" ht="9.75" customHeight="1">
      <c r="A54" s="370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373"/>
    </row>
    <row r="55" spans="1:37">
      <c r="A55" s="328" t="s">
        <v>299</v>
      </c>
      <c r="B55" s="328" t="s">
        <v>300</v>
      </c>
      <c r="C55" s="338">
        <f>'Changing with year'!C156</f>
        <v>2.8</v>
      </c>
      <c r="D55" s="338">
        <f>'Changing with year'!D156</f>
        <v>2.9119999999999999</v>
      </c>
      <c r="E55" s="338">
        <f>'Changing with year'!E156</f>
        <v>3.0284800000000001</v>
      </c>
      <c r="F55" s="338">
        <f>'Changing with year'!F156</f>
        <v>3.1496192000000001</v>
      </c>
      <c r="G55" s="338">
        <f>'Changing with year'!G156</f>
        <v>3.275603968</v>
      </c>
      <c r="H55" s="338">
        <f>'Changing with year'!H156</f>
        <v>3.4066281267200003</v>
      </c>
      <c r="I55" s="338">
        <f>'Changing with year'!I156</f>
        <v>3.5428932517888003</v>
      </c>
      <c r="J55" s="338">
        <f>'Changing with year'!J156</f>
        <v>3.6846089818603525</v>
      </c>
      <c r="K55" s="338">
        <f>'Changing with year'!K156</f>
        <v>3.8319933411347669</v>
      </c>
      <c r="L55" s="338">
        <f>'Changing with year'!L156</f>
        <v>3.9852730747801575</v>
      </c>
      <c r="M55" s="338">
        <f>'Changing with year'!M156</f>
        <v>4.1446839977713639</v>
      </c>
      <c r="N55" s="338">
        <f>'Changing with year'!N156</f>
        <v>4.3104713576822187</v>
      </c>
      <c r="O55" s="338">
        <f>'Changing with year'!O156</f>
        <v>4.482890211989508</v>
      </c>
      <c r="P55" s="338">
        <f>'Changing with year'!P156</f>
        <v>4.6622058204690884</v>
      </c>
      <c r="Q55" s="338">
        <f>'Changing with year'!Q156</f>
        <v>4.8486940532878524</v>
      </c>
      <c r="R55" s="338">
        <f>'Changing with year'!R156</f>
        <v>5.0426418154193664</v>
      </c>
      <c r="S55" s="338">
        <f>'Changing with year'!S156</f>
        <v>5.2443474880361416</v>
      </c>
      <c r="T55" s="338">
        <f>'Changing with year'!T156</f>
        <v>5.4541213875575876</v>
      </c>
      <c r="U55" s="338">
        <f>'Changing with year'!U156</f>
        <v>5.672286243059891</v>
      </c>
      <c r="V55" s="338">
        <f>'Changing with year'!V156</f>
        <v>5.8991776927822865</v>
      </c>
      <c r="W55" s="338">
        <f>'Changing with year'!W156</f>
        <v>6.1351448004935785</v>
      </c>
      <c r="X55" s="338">
        <f>'Changing with year'!X156</f>
        <v>6.3805505925133215</v>
      </c>
      <c r="Y55" s="338">
        <f>'Changing with year'!Y156</f>
        <v>6.6357726162138544</v>
      </c>
      <c r="Z55" s="338">
        <f>'Changing with year'!Z156</f>
        <v>6.901203520862409</v>
      </c>
      <c r="AA55" s="338">
        <f>'Changing with year'!AA156</f>
        <v>7.1772516616969053</v>
      </c>
      <c r="AB55" s="338">
        <f>'Changing with year'!AB156</f>
        <v>7.4643417281647819</v>
      </c>
      <c r="AC55" s="338">
        <f>'Changing with year'!AC156</f>
        <v>7.7629153972913736</v>
      </c>
      <c r="AD55" s="338">
        <f>'Changing with year'!AD156</f>
        <v>8.0734320131830284</v>
      </c>
      <c r="AE55" s="338">
        <f>'Changing with year'!AE156</f>
        <v>8.3963692937103502</v>
      </c>
      <c r="AF55" s="338">
        <f>'Changing with year'!AF156</f>
        <v>8.7322240654587642</v>
      </c>
      <c r="AG55" s="338">
        <f>'Changing with year'!AG156</f>
        <v>9.081513028077115</v>
      </c>
      <c r="AH55" s="339"/>
    </row>
    <row r="56" spans="1:37">
      <c r="A56" s="328" t="s">
        <v>301</v>
      </c>
      <c r="B56" s="328" t="s">
        <v>300</v>
      </c>
      <c r="C56" s="338">
        <f>'Changing with year'!C188</f>
        <v>3.3</v>
      </c>
      <c r="D56" s="338">
        <f>'Changing with year'!D188</f>
        <v>3.4319999999999999</v>
      </c>
      <c r="E56" s="338">
        <f>'Changing with year'!E188</f>
        <v>3.56928</v>
      </c>
      <c r="F56" s="338">
        <f>'Changing with year'!F188</f>
        <v>3.7120512000000003</v>
      </c>
      <c r="G56" s="338">
        <f>'Changing with year'!G188</f>
        <v>3.8605332480000003</v>
      </c>
      <c r="H56" s="338">
        <f>'Changing with year'!H188</f>
        <v>4.0149545779200002</v>
      </c>
      <c r="I56" s="338">
        <f>'Changing with year'!I188</f>
        <v>4.1755527610368004</v>
      </c>
      <c r="J56" s="338">
        <f>'Changing with year'!J188</f>
        <v>4.3425748714782726</v>
      </c>
      <c r="K56" s="338">
        <f>'Changing with year'!K188</f>
        <v>4.5162778663374032</v>
      </c>
      <c r="L56" s="338">
        <f>'Changing with year'!L188</f>
        <v>4.6969289809908998</v>
      </c>
      <c r="M56" s="338">
        <f>'Changing with year'!M188</f>
        <v>4.8848061402305358</v>
      </c>
      <c r="N56" s="338">
        <f>'Changing with year'!N188</f>
        <v>5.0801983858397577</v>
      </c>
      <c r="O56" s="338">
        <f>'Changing with year'!O188</f>
        <v>5.2834063212733477</v>
      </c>
      <c r="P56" s="338">
        <f>'Changing with year'!P188</f>
        <v>5.4947425741242819</v>
      </c>
      <c r="Q56" s="338">
        <f>'Changing with year'!Q188</f>
        <v>5.714532277089253</v>
      </c>
      <c r="R56" s="338">
        <f>'Changing with year'!R188</f>
        <v>5.9431135681728238</v>
      </c>
      <c r="S56" s="338">
        <f>'Changing with year'!S188</f>
        <v>6.180838110899737</v>
      </c>
      <c r="T56" s="338">
        <f>'Changing with year'!T188</f>
        <v>6.4280716353357263</v>
      </c>
      <c r="U56" s="338">
        <f>'Changing with year'!U188</f>
        <v>6.685194500749156</v>
      </c>
      <c r="V56" s="338">
        <f>'Changing with year'!V188</f>
        <v>6.9526022807791223</v>
      </c>
      <c r="W56" s="338">
        <f>'Changing with year'!W188</f>
        <v>7.2307063720102871</v>
      </c>
      <c r="X56" s="338">
        <f>'Changing with year'!X188</f>
        <v>7.5199346268906986</v>
      </c>
      <c r="Y56" s="338">
        <f>'Changing with year'!Y188</f>
        <v>7.8207320119663271</v>
      </c>
      <c r="Z56" s="338">
        <f>'Changing with year'!Z188</f>
        <v>8.1335612924449805</v>
      </c>
      <c r="AA56" s="338">
        <f>'Changing with year'!AA188</f>
        <v>8.4589037441427806</v>
      </c>
      <c r="AB56" s="338">
        <f>'Changing with year'!AB188</f>
        <v>8.7972598939084925</v>
      </c>
      <c r="AC56" s="338">
        <f>'Changing with year'!AC188</f>
        <v>9.1491502896648331</v>
      </c>
      <c r="AD56" s="338">
        <f>'Changing with year'!AD188</f>
        <v>9.5151163012514264</v>
      </c>
      <c r="AE56" s="338">
        <f>'Changing with year'!AE188</f>
        <v>9.8957209533014829</v>
      </c>
      <c r="AF56" s="338">
        <f>'Changing with year'!AF188</f>
        <v>10.291549791433543</v>
      </c>
      <c r="AG56" s="338">
        <f>'Changing with year'!AG188</f>
        <v>10.703211783090884</v>
      </c>
      <c r="AH56" s="339"/>
    </row>
    <row r="57" spans="1:37" ht="28.8">
      <c r="A57" s="296" t="s">
        <v>302</v>
      </c>
      <c r="B57" s="328" t="s">
        <v>300</v>
      </c>
      <c r="C57" s="338">
        <f>'Changing with year'!C220</f>
        <v>5.3223831631897065</v>
      </c>
      <c r="D57" s="338">
        <f>'Changing with year'!D220</f>
        <v>5.3245235841099632</v>
      </c>
      <c r="E57" s="338">
        <f>'Changing with year'!E220</f>
        <v>5.3320184945072144</v>
      </c>
      <c r="F57" s="338">
        <f>'Changing with year'!F220</f>
        <v>5.344950352144533</v>
      </c>
      <c r="G57" s="338">
        <f>'Changing with year'!G220</f>
        <v>5.3634082061409192</v>
      </c>
      <c r="H57" s="338">
        <f>'Changing with year'!H220</f>
        <v>5.3874878782993969</v>
      </c>
      <c r="I57" s="338">
        <f>'Changing with year'!I220</f>
        <v>5.4315764029529294</v>
      </c>
      <c r="J57" s="338">
        <f>'Changing with year'!J220</f>
        <v>5.4808566884021719</v>
      </c>
      <c r="K57" s="338">
        <f>'Changing with year'!K220</f>
        <v>5.5354678406827604</v>
      </c>
      <c r="L57" s="338">
        <f>'Changing with year'!L220</f>
        <v>5.5955559013596829</v>
      </c>
      <c r="M57" s="338">
        <f>'Changing with year'!M220</f>
        <v>5.6612740975226918</v>
      </c>
      <c r="N57" s="338">
        <f>'Changing with year'!N220</f>
        <v>5.7327831023300471</v>
      </c>
      <c r="O57" s="338">
        <f>'Changing with year'!O220</f>
        <v>5.8102513065115682</v>
      </c>
      <c r="P57" s="338">
        <f>'Changing with year'!P220</f>
        <v>5.8938551012585831</v>
      </c>
      <c r="Q57" s="338">
        <f>'Changing with year'!Q220</f>
        <v>5.9837791729457486</v>
      </c>
      <c r="R57" s="338">
        <f>'Changing with year'!R220</f>
        <v>6.0802168101476628</v>
      </c>
      <c r="S57" s="338">
        <f>'Changing with year'!S220</f>
        <v>6.2067127666189057</v>
      </c>
      <c r="T57" s="338">
        <f>'Changing with year'!T220</f>
        <v>6.3394356885083463</v>
      </c>
      <c r="U57" s="338">
        <f>'Changing with year'!U220</f>
        <v>6.4786229831611148</v>
      </c>
      <c r="V57" s="338">
        <f>'Changing with year'!V220</f>
        <v>6.6245216709288712</v>
      </c>
      <c r="W57" s="338">
        <f>'Changing with year'!W220</f>
        <v>6.7773887685229237</v>
      </c>
      <c r="X57" s="338">
        <f>'Changing with year'!X220</f>
        <v>6.9374916877131714</v>
      </c>
      <c r="Y57" s="338">
        <f>'Changing with year'!Y220</f>
        <v>7.1051086499865335</v>
      </c>
      <c r="Z57" s="338">
        <f>'Changing with year'!Z220</f>
        <v>7.2805291178031837</v>
      </c>
      <c r="AA57" s="338">
        <f>'Changing with year'!AA220</f>
        <v>7.4640542431143269</v>
      </c>
      <c r="AB57" s="338">
        <f>'Changing with year'!AB220</f>
        <v>7.6559973338319267</v>
      </c>
      <c r="AC57" s="338">
        <f>'Changing with year'!AC220</f>
        <v>7.8989054942550609</v>
      </c>
      <c r="AD57" s="338">
        <f>'Changing with year'!AD220</f>
        <v>8.1508966637658187</v>
      </c>
      <c r="AE57" s="338">
        <f>'Changing with year'!AE220</f>
        <v>8.4123278295544139</v>
      </c>
      <c r="AF57" s="338">
        <f>'Changing with year'!AF220</f>
        <v>8.6835701949669328</v>
      </c>
      <c r="AG57" s="338">
        <f>'Changing with year'!AG220</f>
        <v>8.9650097475182537</v>
      </c>
      <c r="AH57" s="339"/>
      <c r="AI57" s="339" t="e">
        <f>#REF!</f>
        <v>#REF!</v>
      </c>
    </row>
    <row r="58" spans="1:37">
      <c r="A58" s="328" t="s">
        <v>303</v>
      </c>
      <c r="B58" s="374" t="s">
        <v>300</v>
      </c>
      <c r="C58" s="338">
        <f>'Changing with year'!C252</f>
        <v>5.996666666666667</v>
      </c>
      <c r="D58" s="338">
        <f>'Changing with year'!D252</f>
        <v>5.9819499999999994</v>
      </c>
      <c r="E58" s="338">
        <f>'Changing with year'!E252</f>
        <v>5.9730092499999996</v>
      </c>
      <c r="F58" s="338">
        <f>'Changing with year'!F252</f>
        <v>5.9699163387499983</v>
      </c>
      <c r="G58" s="338">
        <f>'Changing with year'!G252</f>
        <v>5.9727500430812484</v>
      </c>
      <c r="H58" s="338">
        <f>'Changing with year'!H252</f>
        <v>5.9815961693162185</v>
      </c>
      <c r="I58" s="338">
        <f>'Changing with year'!I252</f>
        <v>6.0138025281494141</v>
      </c>
      <c r="J58" s="338">
        <f>'Changing with year'!J252</f>
        <v>6.0514382910947262</v>
      </c>
      <c r="K58" s="338">
        <f>'Changing with year'!K252</f>
        <v>6.0946378113214648</v>
      </c>
      <c r="L58" s="338">
        <f>'Changing with year'!L252</f>
        <v>6.1435424725856134</v>
      </c>
      <c r="M58" s="338">
        <f>'Changing with year'!M252</f>
        <v>6.1983009373241034</v>
      </c>
      <c r="N58" s="338">
        <f>'Changing with year'!N252</f>
        <v>6.2590694053354303</v>
      </c>
      <c r="O58" s="338">
        <f>'Changing with year'!O252</f>
        <v>6.326011883456844</v>
      </c>
      <c r="P58" s="338">
        <f>'Changing with year'!P252</f>
        <v>6.3993004666649531</v>
      </c>
      <c r="Q58" s="338">
        <f>'Changing with year'!Q252</f>
        <v>6.4791156310439906</v>
      </c>
      <c r="R58" s="338">
        <f>'Changing with year'!R252</f>
        <v>6.5656465390839411</v>
      </c>
      <c r="S58" s="338">
        <f>'Changing with year'!S252</f>
        <v>6.6872881982658212</v>
      </c>
      <c r="T58" s="338">
        <f>'Changing with year'!T252</f>
        <v>6.8152053658387919</v>
      </c>
      <c r="U58" s="338">
        <f>'Changing with year'!U252</f>
        <v>6.9496349637182568</v>
      </c>
      <c r="V58" s="338">
        <f>'Changing with year'!V252</f>
        <v>7.0908235316804422</v>
      </c>
      <c r="W58" s="338">
        <f>'Changing with year'!W252</f>
        <v>7.2390276106669784</v>
      </c>
      <c r="X58" s="338">
        <f>'Changing with year'!X252</f>
        <v>7.3945141414357849</v>
      </c>
      <c r="Y58" s="338">
        <f>'Changing with year'!Y252</f>
        <v>7.5575608791719215</v>
      </c>
      <c r="Z58" s="338">
        <f>'Changing with year'!Z252</f>
        <v>7.7284568246967176</v>
      </c>
      <c r="AA58" s="338">
        <f>'Changing with year'!AA252</f>
        <v>7.9075026729389259</v>
      </c>
      <c r="AB58" s="338">
        <f>'Changing with year'!AB252</f>
        <v>8.0950112793582782</v>
      </c>
      <c r="AC58" s="338">
        <f>'Changing with year'!AC252</f>
        <v>8.3423095792366766</v>
      </c>
      <c r="AD58" s="338">
        <f>'Changing with year'!AD252</f>
        <v>8.5987347895972501</v>
      </c>
      <c r="AE58" s="338">
        <f>'Changing with year'!AE252</f>
        <v>8.8646443366441616</v>
      </c>
      <c r="AF58" s="338">
        <f>'Changing with year'!AF252</f>
        <v>9.1404098671275769</v>
      </c>
      <c r="AG58" s="338">
        <f>'Changing with year'!AG252</f>
        <v>9.4264178164005035</v>
      </c>
      <c r="AH58" s="339"/>
    </row>
    <row r="59" spans="1:37">
      <c r="A59" s="328" t="s">
        <v>304</v>
      </c>
      <c r="B59" s="374" t="s">
        <v>305</v>
      </c>
      <c r="C59" s="361">
        <f>'Changing with year'!C266*$C$21*$C$22</f>
        <v>572400</v>
      </c>
      <c r="D59" s="361">
        <f>'Changing with year'!D266*$C$21*$C$22</f>
        <v>578124</v>
      </c>
      <c r="E59" s="361">
        <f>'Changing with year'!E266*$C$21*$C$22</f>
        <v>583905.24</v>
      </c>
      <c r="F59" s="361">
        <f>'Changing with year'!F266*$C$21*$C$22</f>
        <v>589744.29240000003</v>
      </c>
      <c r="G59" s="361">
        <f>'Changing with year'!G266*$C$21*$C$22</f>
        <v>595641.73532400001</v>
      </c>
      <c r="H59" s="361">
        <f>'Changing with year'!H266*$C$21*$C$22</f>
        <v>601598.15267724008</v>
      </c>
      <c r="I59" s="361">
        <f>'Changing with year'!I266*$C$21*$C$22</f>
        <v>607614.13420401246</v>
      </c>
      <c r="J59" s="361">
        <f>'Changing with year'!J266*$C$21*$C$22</f>
        <v>613690.27554605249</v>
      </c>
      <c r="K59" s="361">
        <f>'Changing with year'!K266*$C$21*$C$22</f>
        <v>619827.17830151308</v>
      </c>
      <c r="L59" s="361">
        <f>'Changing with year'!L266*$C$21*$C$22</f>
        <v>626025.45008452807</v>
      </c>
      <c r="M59" s="361">
        <f>'Changing with year'!M266*$C$21*$C$22</f>
        <v>632285.7045853734</v>
      </c>
      <c r="N59" s="361">
        <f>'Changing with year'!N266*$C$21*$C$22</f>
        <v>638608.56163122714</v>
      </c>
      <c r="O59" s="361">
        <f>'Changing with year'!O266*$C$21*$C$22</f>
        <v>644994.64724753937</v>
      </c>
      <c r="P59" s="361">
        <f>'Changing with year'!P266*$C$21*$C$22</f>
        <v>651444.59372001479</v>
      </c>
      <c r="Q59" s="361">
        <f>'Changing with year'!Q266*$C$21*$C$22</f>
        <v>657959.03965721501</v>
      </c>
      <c r="R59" s="361">
        <f>'Changing with year'!R266*$C$21*$C$22</f>
        <v>664538.63005378714</v>
      </c>
      <c r="S59" s="361">
        <f>'Changing with year'!S266*$C$21*$C$22</f>
        <v>671184.01635432511</v>
      </c>
      <c r="T59" s="361">
        <f>'Changing with year'!T266*$C$21*$C$22</f>
        <v>677895.85651786823</v>
      </c>
      <c r="U59" s="361">
        <f>'Changing with year'!U266*$C$21*$C$22</f>
        <v>684674.81508304703</v>
      </c>
      <c r="V59" s="361">
        <f>'Changing with year'!V266*$C$21*$C$22</f>
        <v>691521.56323387753</v>
      </c>
      <c r="W59" s="361">
        <f>'Changing with year'!W266*$C$21*$C$22</f>
        <v>698436.77886621631</v>
      </c>
      <c r="X59" s="361">
        <f>'Changing with year'!X266*$C$21*$C$22</f>
        <v>705421.14665487851</v>
      </c>
      <c r="Y59" s="361">
        <f>'Changing with year'!Y266*$C$21*$C$22</f>
        <v>712475.35812142724</v>
      </c>
      <c r="Z59" s="361">
        <f>'Changing with year'!Z266*$C$21*$C$22</f>
        <v>719600.11170264147</v>
      </c>
      <c r="AA59" s="361">
        <f>'Changing with year'!AA266*$C$21*$C$22</f>
        <v>726796.11281966791</v>
      </c>
      <c r="AB59" s="361">
        <f>'Changing with year'!AB266*$C$21*$C$22</f>
        <v>734064.0739478647</v>
      </c>
      <c r="AC59" s="361">
        <f>'Changing with year'!AC266*$C$21*$C$22</f>
        <v>741404.71468734322</v>
      </c>
      <c r="AD59" s="361">
        <f>'Changing with year'!AD266*$C$21*$C$22</f>
        <v>748818.76183421677</v>
      </c>
      <c r="AE59" s="361">
        <f>'Changing with year'!AE266*$C$21*$C$22</f>
        <v>756306.94945255888</v>
      </c>
      <c r="AF59" s="361">
        <f>'Changing with year'!AF266*$C$21*$C$22</f>
        <v>763870.01894708455</v>
      </c>
      <c r="AG59" s="361">
        <f>'Changing with year'!AG266*$C$21*$C$22</f>
        <v>771508.71913655533</v>
      </c>
      <c r="AH59" s="339"/>
      <c r="AI59" s="376"/>
      <c r="AJ59" s="376"/>
    </row>
    <row r="60" spans="1:37">
      <c r="A60" s="328" t="s">
        <v>306</v>
      </c>
      <c r="B60" s="374" t="s">
        <v>305</v>
      </c>
      <c r="C60" s="361">
        <f>'Changing with year'!C277*$C$21*$C$22</f>
        <v>572400</v>
      </c>
      <c r="D60" s="361">
        <f>'Changing with year'!D277*$C$21*$C$22</f>
        <v>578124</v>
      </c>
      <c r="E60" s="361">
        <f>'Changing with year'!E277*$C$21*$C$22</f>
        <v>583905.24</v>
      </c>
      <c r="F60" s="361">
        <f>'Changing with year'!F277*$C$21*$C$22</f>
        <v>589744.29240000003</v>
      </c>
      <c r="G60" s="361">
        <f>'Changing with year'!G277*$C$21*$C$22</f>
        <v>595641.73532400001</v>
      </c>
      <c r="H60" s="361">
        <f>'Changing with year'!H277*$C$21*$C$22</f>
        <v>601598.15267724008</v>
      </c>
      <c r="I60" s="361">
        <f>'Changing with year'!I277*$C$21*$C$22</f>
        <v>607614.13420401246</v>
      </c>
      <c r="J60" s="361">
        <f>'Changing with year'!J277*$C$21*$C$22</f>
        <v>613690.27554605249</v>
      </c>
      <c r="K60" s="361">
        <f>'Changing with year'!K277*$C$21*$C$22</f>
        <v>619827.17830151308</v>
      </c>
      <c r="L60" s="361">
        <f>'Changing with year'!L277*$C$21*$C$22</f>
        <v>626025.45008452807</v>
      </c>
      <c r="M60" s="361">
        <f>'Changing with year'!M277*$C$21*$C$22</f>
        <v>632285.7045853734</v>
      </c>
      <c r="N60" s="361">
        <f>'Changing with year'!N277*$C$21*$C$22</f>
        <v>638608.56163122714</v>
      </c>
      <c r="O60" s="361">
        <f>'Changing with year'!O277*$C$21*$C$22</f>
        <v>644994.64724753937</v>
      </c>
      <c r="P60" s="361">
        <f>'Changing with year'!P277*$C$21*$C$22</f>
        <v>651444.59372001479</v>
      </c>
      <c r="Q60" s="361">
        <f>'Changing with year'!Q277*$C$21*$C$22</f>
        <v>657959.03965721501</v>
      </c>
      <c r="R60" s="361">
        <f>'Changing with year'!R277*$C$21*$C$22</f>
        <v>664538.63005378714</v>
      </c>
      <c r="S60" s="361">
        <f>'Changing with year'!S277*$C$21*$C$22</f>
        <v>671184.01635432511</v>
      </c>
      <c r="T60" s="361">
        <f>'Changing with year'!T277*$C$21*$C$22</f>
        <v>677895.85651786823</v>
      </c>
      <c r="U60" s="361">
        <f>'Changing with year'!U277*$C$21*$C$22</f>
        <v>684674.81508304703</v>
      </c>
      <c r="V60" s="361">
        <f>'Changing with year'!V277*$C$21*$C$22</f>
        <v>691521.56323387753</v>
      </c>
      <c r="W60" s="361">
        <f>'Changing with year'!W277*$C$21*$C$22</f>
        <v>698436.77886621631</v>
      </c>
      <c r="X60" s="361">
        <f>'Changing with year'!X277*$C$21*$C$22</f>
        <v>705421.14665487851</v>
      </c>
      <c r="Y60" s="361">
        <f>'Changing with year'!Y277*$C$21*$C$22</f>
        <v>712475.35812142724</v>
      </c>
      <c r="Z60" s="361">
        <f>'Changing with year'!Z277*$C$21*$C$22</f>
        <v>719600.11170264147</v>
      </c>
      <c r="AA60" s="361">
        <f>'Changing with year'!AA277*$C$21*$C$22</f>
        <v>726796.11281966791</v>
      </c>
      <c r="AB60" s="361">
        <f>'Changing with year'!AB277*$C$21*$C$22</f>
        <v>734064.0739478647</v>
      </c>
      <c r="AC60" s="361">
        <f>'Changing with year'!AC277*$C$21*$C$22</f>
        <v>741404.71468734322</v>
      </c>
      <c r="AD60" s="361">
        <f>'Changing with year'!AD277*$C$21*$C$22</f>
        <v>748818.76183421677</v>
      </c>
      <c r="AE60" s="361">
        <f>'Changing with year'!AE277*$C$21*$C$22</f>
        <v>756306.94945255888</v>
      </c>
      <c r="AF60" s="361">
        <f>'Changing with year'!AF277*$C$21*$C$22</f>
        <v>763870.01894708455</v>
      </c>
      <c r="AG60" s="361">
        <f>'Changing with year'!AG277*$C$21*$C$22</f>
        <v>771508.71913655533</v>
      </c>
      <c r="AH60" s="339"/>
      <c r="AI60" s="376"/>
      <c r="AJ60" s="376"/>
    </row>
    <row r="61" spans="1:37">
      <c r="C61" s="380"/>
      <c r="D61" s="380"/>
      <c r="E61" s="380"/>
      <c r="F61" s="380"/>
      <c r="G61" s="380"/>
    </row>
    <row r="62" spans="1:37">
      <c r="A62" s="360" t="s">
        <v>307</v>
      </c>
      <c r="B62" s="360"/>
      <c r="C62" s="360">
        <v>2025</v>
      </c>
      <c r="D62" s="360">
        <f t="shared" ref="D62:AG62" si="3">C62+1</f>
        <v>2026</v>
      </c>
      <c r="E62" s="360">
        <f t="shared" si="3"/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7">
      <c r="A63" s="300" t="s">
        <v>308</v>
      </c>
      <c r="B63" s="300" t="s">
        <v>309</v>
      </c>
      <c r="C63" s="376">
        <f>'Changing with year'!C82</f>
        <v>2750000</v>
      </c>
      <c r="D63" s="376">
        <f>'Changing with year'!D82</f>
        <v>2832500</v>
      </c>
      <c r="E63" s="376">
        <f>'Changing with year'!E82</f>
        <v>2917500</v>
      </c>
      <c r="F63" s="376">
        <f>'Changing with year'!F82</f>
        <v>3005000</v>
      </c>
      <c r="G63" s="376">
        <f>'Changing with year'!G82</f>
        <v>3095200</v>
      </c>
      <c r="H63" s="376">
        <f>'Changing with year'!H82</f>
        <v>3588100</v>
      </c>
      <c r="I63" s="376">
        <f>'Changing with year'!I82</f>
        <v>3695700</v>
      </c>
      <c r="J63" s="376">
        <f>'Changing with year'!J82</f>
        <v>3806600</v>
      </c>
      <c r="K63" s="376">
        <f>'Changing with year'!K82</f>
        <v>3920800</v>
      </c>
      <c r="L63" s="376">
        <f>'Changing with year'!L82</f>
        <v>4038400</v>
      </c>
      <c r="M63" s="376">
        <f>'Changing with year'!M82</f>
        <v>4159600</v>
      </c>
      <c r="N63" s="376">
        <f>'Changing with year'!N82</f>
        <v>4284400</v>
      </c>
      <c r="O63" s="376">
        <f>'Changing with year'!O82</f>
        <v>4412900</v>
      </c>
      <c r="P63" s="376">
        <f>'Changing with year'!P82</f>
        <v>4545300</v>
      </c>
      <c r="Q63" s="376">
        <f>'Changing with year'!Q82</f>
        <v>4681700</v>
      </c>
      <c r="R63" s="376">
        <f>'Changing with year'!R82</f>
        <v>4822200</v>
      </c>
      <c r="S63" s="376">
        <f>'Changing with year'!S82</f>
        <v>4966900</v>
      </c>
      <c r="T63" s="376">
        <f>'Changing with year'!T82</f>
        <v>5115900</v>
      </c>
      <c r="U63" s="376">
        <f>'Changing with year'!U82</f>
        <v>5269400</v>
      </c>
      <c r="V63" s="376">
        <f>'Changing with year'!V82</f>
        <v>5427500</v>
      </c>
      <c r="W63" s="376">
        <f>'Changing with year'!W82</f>
        <v>5590300</v>
      </c>
      <c r="X63" s="376">
        <f>'Changing with year'!X82</f>
        <v>5758000</v>
      </c>
      <c r="Y63" s="376">
        <f>'Changing with year'!Y82</f>
        <v>5930700</v>
      </c>
      <c r="Z63" s="376">
        <f>'Changing with year'!Z82</f>
        <v>6108600</v>
      </c>
      <c r="AA63" s="376">
        <f>'Changing with year'!AA82</f>
        <v>6291900</v>
      </c>
      <c r="AB63" s="376">
        <f>'Changing with year'!AB82</f>
        <v>6480700</v>
      </c>
      <c r="AC63" s="376">
        <f>'Changing with year'!AC82</f>
        <v>6675100</v>
      </c>
      <c r="AD63" s="376">
        <f>'Changing with year'!AD82</f>
        <v>6875400</v>
      </c>
      <c r="AE63" s="376">
        <f>'Changing with year'!AE82</f>
        <v>7081700</v>
      </c>
      <c r="AF63" s="376">
        <f>'Changing with year'!AF82</f>
        <v>7294200</v>
      </c>
      <c r="AG63" s="376">
        <f>'Changing with year'!AG82</f>
        <v>7513000</v>
      </c>
    </row>
    <row r="64" spans="1:37">
      <c r="A64" s="300" t="s">
        <v>310</v>
      </c>
      <c r="B64" s="300" t="s">
        <v>309</v>
      </c>
      <c r="C64" s="376">
        <f>(C63*'No change with year'!$Y$8)</f>
        <v>1512500.0000000002</v>
      </c>
      <c r="D64" s="376">
        <f>(D63*'No change with year'!$Y$8)</f>
        <v>1557875.0000000002</v>
      </c>
      <c r="E64" s="376">
        <f>(E63*'No change with year'!$Y$8)</f>
        <v>1604625.0000000002</v>
      </c>
      <c r="F64" s="376">
        <f>(F63*'No change with year'!$Y$8)</f>
        <v>1652750.0000000002</v>
      </c>
      <c r="G64" s="376">
        <f>(G63*'No change with year'!$Y$8)</f>
        <v>1702360.0000000002</v>
      </c>
      <c r="H64" s="376">
        <f>(H63*'No change with year'!$Y$8)</f>
        <v>1973455.0000000002</v>
      </c>
      <c r="I64" s="376">
        <f>(I63*'No change with year'!$Y$8)</f>
        <v>2032635.0000000002</v>
      </c>
      <c r="J64" s="376">
        <f>(J63*'No change with year'!$Y$8)</f>
        <v>2093630.0000000002</v>
      </c>
      <c r="K64" s="376">
        <f>(K63*'No change with year'!$Y$8)</f>
        <v>2156440</v>
      </c>
      <c r="L64" s="376">
        <f>(L63*'No change with year'!$Y$8)</f>
        <v>2221120</v>
      </c>
      <c r="M64" s="376">
        <f>(M63*'No change with year'!$Y$8)</f>
        <v>2287780</v>
      </c>
      <c r="N64" s="376">
        <f>(N63*'No change with year'!$Z$8)</f>
        <v>1927980.0000000002</v>
      </c>
      <c r="O64" s="376">
        <f>(O63*'No change with year'!$Z$8)</f>
        <v>1985805.0000000002</v>
      </c>
      <c r="P64" s="376">
        <f>(P63*'No change with year'!$Z$8)</f>
        <v>2045385.0000000002</v>
      </c>
      <c r="Q64" s="376">
        <f>(Q63*'No change with year'!$Z$8)</f>
        <v>2106765.0000000005</v>
      </c>
      <c r="R64" s="376">
        <f>(R63*'No change with year'!$Z$8)</f>
        <v>2169990.0000000005</v>
      </c>
      <c r="S64" s="376">
        <f>(S63*'No change with year'!$Z$8)</f>
        <v>2235105.0000000005</v>
      </c>
      <c r="T64" s="376">
        <f>(T63*'No change with year'!$Z$8)</f>
        <v>2302155.0000000005</v>
      </c>
      <c r="U64" s="376">
        <f>(U63*'No change with year'!$Z$8)</f>
        <v>2371230.0000000005</v>
      </c>
      <c r="V64" s="376">
        <f>(V63*'No change with year'!$Z$8)</f>
        <v>2442375.0000000005</v>
      </c>
      <c r="W64" s="376">
        <f>(W63*'No change with year'!$Z$8)</f>
        <v>2515635.0000000005</v>
      </c>
      <c r="X64" s="376">
        <f>(X63*'No change with year'!$AA$8)</f>
        <v>2015300.0000000002</v>
      </c>
      <c r="Y64" s="376">
        <f>(Y63*'No change with year'!$AA$8)</f>
        <v>2075745.0000000002</v>
      </c>
      <c r="Z64" s="376">
        <f>(Z63*'No change with year'!$AA$8)</f>
        <v>2138010</v>
      </c>
      <c r="AA64" s="376">
        <f>(AA63*'No change with year'!$AA$8)</f>
        <v>2202165</v>
      </c>
      <c r="AB64" s="376">
        <f>(AB63*'No change with year'!$AA$8)</f>
        <v>2268245</v>
      </c>
      <c r="AC64" s="376">
        <f>(AC63*'No change with year'!$AA$8)</f>
        <v>2336285</v>
      </c>
      <c r="AD64" s="376">
        <f>(AD63*'No change with year'!$AA$8)</f>
        <v>2406390</v>
      </c>
      <c r="AE64" s="376">
        <f>(AE63*'No change with year'!$AA$8)</f>
        <v>2478595.0000000005</v>
      </c>
      <c r="AF64" s="376">
        <f>(AF63*'No change with year'!$AA$8)</f>
        <v>2552970.0000000005</v>
      </c>
      <c r="AG64" s="376">
        <f>(AG63*'No change with year'!$AA$8)</f>
        <v>2629550.0000000005</v>
      </c>
    </row>
    <row r="65" spans="1:35" s="371" customFormat="1" ht="11.85" customHeight="1">
      <c r="A65" s="428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00" t="s">
        <v>312</v>
      </c>
      <c r="B66" s="300" t="s">
        <v>313</v>
      </c>
      <c r="C66" s="376">
        <f t="shared" ref="C66:AG66" si="4">-PMT($C$26,$C$25,C63)</f>
        <v>602573.77372882492</v>
      </c>
      <c r="D66" s="376">
        <f t="shared" si="4"/>
        <v>620650.98694068962</v>
      </c>
      <c r="E66" s="376">
        <f t="shared" si="4"/>
        <v>639275.99449230789</v>
      </c>
      <c r="F66" s="376">
        <f t="shared" si="4"/>
        <v>658448.79638367961</v>
      </c>
      <c r="G66" s="376">
        <f t="shared" si="4"/>
        <v>678213.21616198507</v>
      </c>
      <c r="H66" s="376">
        <f t="shared" si="4"/>
        <v>786216.34818778059</v>
      </c>
      <c r="I66" s="376">
        <f t="shared" si="4"/>
        <v>809793.41657077032</v>
      </c>
      <c r="J66" s="376">
        <f t="shared" si="4"/>
        <v>834093.5734822345</v>
      </c>
      <c r="K66" s="376">
        <f t="shared" si="4"/>
        <v>859116.81892217335</v>
      </c>
      <c r="L66" s="376">
        <f t="shared" si="4"/>
        <v>884885.0646641769</v>
      </c>
      <c r="M66" s="376">
        <f t="shared" si="4"/>
        <v>911442.13425542542</v>
      </c>
      <c r="N66" s="376">
        <f t="shared" si="4"/>
        <v>938788.02769591904</v>
      </c>
      <c r="O66" s="376">
        <f t="shared" si="4"/>
        <v>966944.65675924777</v>
      </c>
      <c r="P66" s="376">
        <f t="shared" si="4"/>
        <v>995955.844992592</v>
      </c>
      <c r="Q66" s="376">
        <f t="shared" si="4"/>
        <v>1025843.5041695415</v>
      </c>
      <c r="R66" s="376">
        <f t="shared" si="4"/>
        <v>1056629.546063687</v>
      </c>
      <c r="S66" s="376">
        <f t="shared" si="4"/>
        <v>1088335.8824486183</v>
      </c>
      <c r="T66" s="376">
        <f t="shared" si="4"/>
        <v>1120984.4250979256</v>
      </c>
      <c r="U66" s="376">
        <f t="shared" si="4"/>
        <v>1154618.9975587891</v>
      </c>
      <c r="V66" s="376">
        <f t="shared" si="4"/>
        <v>1189261.511604799</v>
      </c>
      <c r="W66" s="376">
        <f t="shared" si="4"/>
        <v>1224933.8790095453</v>
      </c>
      <c r="X66" s="376">
        <f t="shared" si="4"/>
        <v>1261679.9233202087</v>
      </c>
      <c r="Y66" s="376">
        <f t="shared" si="4"/>
        <v>1299521.5563103787</v>
      </c>
      <c r="Z66" s="376">
        <f t="shared" si="4"/>
        <v>1338502.6015272362</v>
      </c>
      <c r="AA66" s="376">
        <f t="shared" si="4"/>
        <v>1378666.8825179611</v>
      </c>
      <c r="AB66" s="376">
        <f t="shared" si="4"/>
        <v>1420036.3110561438</v>
      </c>
      <c r="AC66" s="376">
        <f t="shared" si="4"/>
        <v>1462632.7989153743</v>
      </c>
      <c r="AD66" s="376">
        <f t="shared" si="4"/>
        <v>1506522.0814164227</v>
      </c>
      <c r="AE66" s="376">
        <f t="shared" si="4"/>
        <v>1551726.0703328799</v>
      </c>
      <c r="AF66" s="376">
        <f t="shared" si="4"/>
        <v>1598288.5892119252</v>
      </c>
      <c r="AG66" s="376">
        <f t="shared" si="4"/>
        <v>1646231.5498271496</v>
      </c>
    </row>
    <row r="67" spans="1:35">
      <c r="A67" s="300" t="s">
        <v>314</v>
      </c>
      <c r="B67" s="300" t="s">
        <v>313</v>
      </c>
      <c r="C67" s="376">
        <f t="shared" ref="C67:AG67" si="5">C41*$C$37</f>
        <v>1920807.9959451423</v>
      </c>
      <c r="D67" s="376">
        <f t="shared" si="5"/>
        <v>2138400</v>
      </c>
      <c r="E67" s="376">
        <f t="shared" si="5"/>
        <v>2181168</v>
      </c>
      <c r="F67" s="376">
        <f t="shared" si="5"/>
        <v>2224791.36</v>
      </c>
      <c r="G67" s="376">
        <f t="shared" si="5"/>
        <v>2269287.1872</v>
      </c>
      <c r="H67" s="376">
        <f t="shared" si="5"/>
        <v>2314672.9309440004</v>
      </c>
      <c r="I67" s="376">
        <f t="shared" si="5"/>
        <v>2360966.3895628802</v>
      </c>
      <c r="J67" s="376">
        <f t="shared" si="5"/>
        <v>2408185.7173541375</v>
      </c>
      <c r="K67" s="376">
        <f t="shared" si="5"/>
        <v>2456349.4317012206</v>
      </c>
      <c r="L67" s="376">
        <f t="shared" si="5"/>
        <v>2505476.4203352453</v>
      </c>
      <c r="M67" s="376">
        <f t="shared" si="5"/>
        <v>2555585.9487419501</v>
      </c>
      <c r="N67" s="376">
        <f t="shared" si="5"/>
        <v>2606697.6677167891</v>
      </c>
      <c r="O67" s="376">
        <f t="shared" si="5"/>
        <v>2658831.6210711249</v>
      </c>
      <c r="P67" s="376">
        <f t="shared" si="5"/>
        <v>2712008.2534925472</v>
      </c>
      <c r="Q67" s="376">
        <f t="shared" si="5"/>
        <v>2766248.4185623983</v>
      </c>
      <c r="R67" s="376">
        <f t="shared" si="5"/>
        <v>2821573.3869336462</v>
      </c>
      <c r="S67" s="376">
        <f t="shared" si="5"/>
        <v>2878004.8546723197</v>
      </c>
      <c r="T67" s="376">
        <f t="shared" si="5"/>
        <v>2935564.9517657659</v>
      </c>
      <c r="U67" s="376">
        <f t="shared" si="5"/>
        <v>2994276.2508010813</v>
      </c>
      <c r="V67" s="376">
        <f t="shared" si="5"/>
        <v>3054161.7758171032</v>
      </c>
      <c r="W67" s="376">
        <f t="shared" si="5"/>
        <v>3115245.0113334451</v>
      </c>
      <c r="X67" s="376">
        <f t="shared" si="5"/>
        <v>3177549.9115601145</v>
      </c>
      <c r="Y67" s="376">
        <f t="shared" si="5"/>
        <v>3241100.9097913164</v>
      </c>
      <c r="Z67" s="376">
        <f t="shared" si="5"/>
        <v>3305922.9279871429</v>
      </c>
      <c r="AA67" s="376">
        <f t="shared" si="5"/>
        <v>3372041.3865468856</v>
      </c>
      <c r="AB67" s="376">
        <f t="shared" si="5"/>
        <v>3439482.2142778235</v>
      </c>
      <c r="AC67" s="376">
        <f t="shared" si="5"/>
        <v>3508271.8585633799</v>
      </c>
      <c r="AD67" s="376">
        <f t="shared" si="5"/>
        <v>3578437.2957346472</v>
      </c>
      <c r="AE67" s="376">
        <f t="shared" si="5"/>
        <v>3650006.0416493402</v>
      </c>
      <c r="AF67" s="376">
        <f t="shared" si="5"/>
        <v>3723006.1624823273</v>
      </c>
      <c r="AG67" s="376">
        <f t="shared" si="5"/>
        <v>3797466.2857319741</v>
      </c>
    </row>
    <row r="68" spans="1:35">
      <c r="A68" s="300" t="s">
        <v>315</v>
      </c>
      <c r="B68" s="300" t="s">
        <v>313</v>
      </c>
      <c r="C68" s="376">
        <f t="shared" ref="C68:AG68" si="6">$C$37*$AH$68*C42</f>
        <v>59400</v>
      </c>
      <c r="D68" s="376">
        <f t="shared" si="6"/>
        <v>60884.999999999993</v>
      </c>
      <c r="E68" s="376">
        <f t="shared" si="6"/>
        <v>62407.124999999993</v>
      </c>
      <c r="F68" s="376">
        <f t="shared" si="6"/>
        <v>63967.303124999977</v>
      </c>
      <c r="G68" s="376">
        <f t="shared" si="6"/>
        <v>65566.48570312497</v>
      </c>
      <c r="H68" s="376">
        <f t="shared" si="6"/>
        <v>67205.64784570309</v>
      </c>
      <c r="I68" s="376">
        <f t="shared" si="6"/>
        <v>68885.789041845666</v>
      </c>
      <c r="J68" s="376">
        <f t="shared" si="6"/>
        <v>70607.933767891795</v>
      </c>
      <c r="K68" s="376">
        <f t="shared" si="6"/>
        <v>72373.132112089093</v>
      </c>
      <c r="L68" s="376">
        <f t="shared" si="6"/>
        <v>74182.46041489132</v>
      </c>
      <c r="M68" s="376">
        <f t="shared" si="6"/>
        <v>76037.021925263587</v>
      </c>
      <c r="N68" s="376">
        <f t="shared" si="6"/>
        <v>77937.947473395165</v>
      </c>
      <c r="O68" s="376">
        <f t="shared" si="6"/>
        <v>79886.396160230041</v>
      </c>
      <c r="P68" s="376">
        <f t="shared" si="6"/>
        <v>81883.556064235789</v>
      </c>
      <c r="Q68" s="376">
        <f t="shared" si="6"/>
        <v>83930.644965841682</v>
      </c>
      <c r="R68" s="376">
        <f t="shared" si="6"/>
        <v>86028.911089987727</v>
      </c>
      <c r="S68" s="376">
        <f t="shared" si="6"/>
        <v>88179.633867237411</v>
      </c>
      <c r="T68" s="376">
        <f t="shared" si="6"/>
        <v>90384.12471391834</v>
      </c>
      <c r="U68" s="376">
        <f t="shared" si="6"/>
        <v>92643.727831766286</v>
      </c>
      <c r="V68" s="376">
        <f t="shared" si="6"/>
        <v>94959.821027560436</v>
      </c>
      <c r="W68" s="376">
        <f t="shared" si="6"/>
        <v>97333.816553249446</v>
      </c>
      <c r="X68" s="376">
        <f t="shared" si="6"/>
        <v>99767.161967080669</v>
      </c>
      <c r="Y68" s="376">
        <f t="shared" si="6"/>
        <v>102261.34101625769</v>
      </c>
      <c r="Z68" s="376">
        <f t="shared" si="6"/>
        <v>104817.87454166412</v>
      </c>
      <c r="AA68" s="376">
        <f t="shared" si="6"/>
        <v>107438.32140520572</v>
      </c>
      <c r="AB68" s="376">
        <f t="shared" si="6"/>
        <v>110124.27944033584</v>
      </c>
      <c r="AC68" s="376">
        <f t="shared" si="6"/>
        <v>112877.38642634422</v>
      </c>
      <c r="AD68" s="376">
        <f t="shared" si="6"/>
        <v>115699.32108700283</v>
      </c>
      <c r="AE68" s="376">
        <f t="shared" si="6"/>
        <v>118591.8041141779</v>
      </c>
      <c r="AF68" s="376">
        <f t="shared" si="6"/>
        <v>121556.59921703233</v>
      </c>
      <c r="AG68" s="376">
        <f t="shared" si="6"/>
        <v>124595.51419745812</v>
      </c>
      <c r="AH68" s="439">
        <f>'No change with year'!D20</f>
        <v>0.05</v>
      </c>
      <c r="AI68" s="300" t="s">
        <v>316</v>
      </c>
    </row>
    <row r="69" spans="1:35">
      <c r="A69" s="300" t="s">
        <v>317</v>
      </c>
      <c r="B69" s="300" t="s">
        <v>313</v>
      </c>
      <c r="C69" s="376">
        <f t="shared" ref="C69:AG69" si="7">$C$22*$C$21*C55</f>
        <v>302400</v>
      </c>
      <c r="D69" s="376">
        <f t="shared" si="7"/>
        <v>314496</v>
      </c>
      <c r="E69" s="376">
        <f t="shared" si="7"/>
        <v>327075.84000000003</v>
      </c>
      <c r="F69" s="376">
        <f t="shared" si="7"/>
        <v>340158.87359999999</v>
      </c>
      <c r="G69" s="376">
        <f t="shared" si="7"/>
        <v>353765.22854400001</v>
      </c>
      <c r="H69" s="376">
        <f t="shared" si="7"/>
        <v>367915.83768576005</v>
      </c>
      <c r="I69" s="376">
        <f t="shared" si="7"/>
        <v>382632.47119319043</v>
      </c>
      <c r="J69" s="376">
        <f t="shared" si="7"/>
        <v>397937.77004091808</v>
      </c>
      <c r="K69" s="376">
        <f t="shared" si="7"/>
        <v>413855.28084255481</v>
      </c>
      <c r="L69" s="376">
        <f t="shared" si="7"/>
        <v>430409.49207625701</v>
      </c>
      <c r="M69" s="376">
        <f t="shared" si="7"/>
        <v>447625.87175930728</v>
      </c>
      <c r="N69" s="376">
        <f t="shared" si="7"/>
        <v>465530.90662967961</v>
      </c>
      <c r="O69" s="376">
        <f t="shared" si="7"/>
        <v>484152.14289486688</v>
      </c>
      <c r="P69" s="376">
        <f t="shared" si="7"/>
        <v>503518.22861066152</v>
      </c>
      <c r="Q69" s="376">
        <f t="shared" si="7"/>
        <v>523658.95775508805</v>
      </c>
      <c r="R69" s="376">
        <f t="shared" si="7"/>
        <v>544605.31606529152</v>
      </c>
      <c r="S69" s="376">
        <f t="shared" si="7"/>
        <v>566389.52870790334</v>
      </c>
      <c r="T69" s="376">
        <f t="shared" si="7"/>
        <v>589045.1098562195</v>
      </c>
      <c r="U69" s="376">
        <f t="shared" si="7"/>
        <v>612606.91425046825</v>
      </c>
      <c r="V69" s="376">
        <f t="shared" si="7"/>
        <v>637111.19082048698</v>
      </c>
      <c r="W69" s="376">
        <f t="shared" si="7"/>
        <v>662595.63845330651</v>
      </c>
      <c r="X69" s="376">
        <f t="shared" si="7"/>
        <v>689099.46399143874</v>
      </c>
      <c r="Y69" s="376">
        <f t="shared" si="7"/>
        <v>716663.44255109632</v>
      </c>
      <c r="Z69" s="376">
        <f t="shared" si="7"/>
        <v>745329.98025314021</v>
      </c>
      <c r="AA69" s="376">
        <f t="shared" si="7"/>
        <v>775143.17946326581</v>
      </c>
      <c r="AB69" s="376">
        <f t="shared" si="7"/>
        <v>806148.90664179646</v>
      </c>
      <c r="AC69" s="376">
        <f t="shared" si="7"/>
        <v>838394.86290746834</v>
      </c>
      <c r="AD69" s="376">
        <f t="shared" si="7"/>
        <v>871930.65742376703</v>
      </c>
      <c r="AE69" s="376">
        <f t="shared" si="7"/>
        <v>906807.88372071786</v>
      </c>
      <c r="AF69" s="376">
        <f t="shared" si="7"/>
        <v>943080.19906954654</v>
      </c>
      <c r="AG69" s="376">
        <f t="shared" si="7"/>
        <v>980803.40703232842</v>
      </c>
    </row>
    <row r="70" spans="1:35">
      <c r="A70" s="300" t="s">
        <v>318</v>
      </c>
      <c r="B70" s="300" t="s">
        <v>313</v>
      </c>
      <c r="C70" s="376">
        <f>'Changing with year'!C288</f>
        <v>400000</v>
      </c>
      <c r="D70" s="376">
        <f>'Changing with year'!D288</f>
        <v>418000</v>
      </c>
      <c r="E70" s="376">
        <f>'Changing with year'!E288</f>
        <v>437000</v>
      </c>
      <c r="F70" s="376">
        <f>'Changing with year'!F288</f>
        <v>457000</v>
      </c>
      <c r="G70" s="376">
        <f>'Changing with year'!G288</f>
        <v>478000</v>
      </c>
      <c r="H70" s="376">
        <f>'Changing with year'!H288</f>
        <v>500000</v>
      </c>
      <c r="I70" s="376">
        <f>'Changing with year'!I288</f>
        <v>523000</v>
      </c>
      <c r="J70" s="376">
        <f>'Changing with year'!J288</f>
        <v>547000</v>
      </c>
      <c r="K70" s="376">
        <f>'Changing with year'!K288</f>
        <v>572000</v>
      </c>
      <c r="L70" s="376">
        <f>'Changing with year'!L288</f>
        <v>598000</v>
      </c>
      <c r="M70" s="376">
        <f>'Changing with year'!M288</f>
        <v>625000</v>
      </c>
      <c r="N70" s="376">
        <f>'Changing with year'!N288</f>
        <v>653000</v>
      </c>
      <c r="O70" s="376">
        <f>'Changing with year'!O288</f>
        <v>682000</v>
      </c>
      <c r="P70" s="376">
        <f>'Changing with year'!P288</f>
        <v>713000</v>
      </c>
      <c r="Q70" s="376">
        <f>'Changing with year'!Q288</f>
        <v>745000</v>
      </c>
      <c r="R70" s="376">
        <f>'Changing with year'!R288</f>
        <v>779000</v>
      </c>
      <c r="S70" s="376">
        <f>'Changing with year'!S288</f>
        <v>814000</v>
      </c>
      <c r="T70" s="376">
        <f>'Changing with year'!T288</f>
        <v>851000</v>
      </c>
      <c r="U70" s="376">
        <f>'Changing with year'!U288</f>
        <v>889000</v>
      </c>
      <c r="V70" s="376">
        <f>'Changing with year'!V288</f>
        <v>929000</v>
      </c>
      <c r="W70" s="376">
        <f>'Changing with year'!W288</f>
        <v>971000</v>
      </c>
      <c r="X70" s="376">
        <f>'Changing with year'!X288</f>
        <v>1015000</v>
      </c>
      <c r="Y70" s="376">
        <f>'Changing with year'!Y288</f>
        <v>1061000</v>
      </c>
      <c r="Z70" s="376">
        <f>'Changing with year'!Z288</f>
        <v>1109000</v>
      </c>
      <c r="AA70" s="376">
        <f>'Changing with year'!AA288</f>
        <v>1159000</v>
      </c>
      <c r="AB70" s="376">
        <f>'Changing with year'!AB288</f>
        <v>1211000</v>
      </c>
      <c r="AC70" s="376">
        <f>'Changing with year'!AC288</f>
        <v>1265000</v>
      </c>
      <c r="AD70" s="376">
        <f>'Changing with year'!AD288</f>
        <v>1322000</v>
      </c>
      <c r="AE70" s="376">
        <f>'Changing with year'!AE288</f>
        <v>1381000</v>
      </c>
      <c r="AF70" s="376">
        <f>'Changing with year'!AF288</f>
        <v>1443000</v>
      </c>
      <c r="AG70" s="376">
        <f>'Changing with year'!AG288</f>
        <v>1508000</v>
      </c>
      <c r="AH70" s="339"/>
    </row>
    <row r="71" spans="1:35">
      <c r="A71" s="300" t="s">
        <v>272</v>
      </c>
      <c r="B71" s="300" t="s">
        <v>313</v>
      </c>
      <c r="C71" s="437">
        <f t="shared" ref="C71:AG71" si="8">C59</f>
        <v>572400</v>
      </c>
      <c r="D71" s="437">
        <f t="shared" si="8"/>
        <v>578124</v>
      </c>
      <c r="E71" s="437">
        <f t="shared" si="8"/>
        <v>583905.24</v>
      </c>
      <c r="F71" s="437">
        <f t="shared" si="8"/>
        <v>589744.29240000003</v>
      </c>
      <c r="G71" s="437">
        <f t="shared" si="8"/>
        <v>595641.73532400001</v>
      </c>
      <c r="H71" s="437">
        <f t="shared" si="8"/>
        <v>601598.15267724008</v>
      </c>
      <c r="I71" s="437">
        <f t="shared" si="8"/>
        <v>607614.13420401246</v>
      </c>
      <c r="J71" s="437">
        <f t="shared" si="8"/>
        <v>613690.27554605249</v>
      </c>
      <c r="K71" s="437">
        <f t="shared" si="8"/>
        <v>619827.17830151308</v>
      </c>
      <c r="L71" s="437">
        <f t="shared" si="8"/>
        <v>626025.45008452807</v>
      </c>
      <c r="M71" s="437">
        <f t="shared" si="8"/>
        <v>632285.7045853734</v>
      </c>
      <c r="N71" s="437">
        <f t="shared" si="8"/>
        <v>638608.56163122714</v>
      </c>
      <c r="O71" s="437">
        <f t="shared" si="8"/>
        <v>644994.64724753937</v>
      </c>
      <c r="P71" s="437">
        <f t="shared" si="8"/>
        <v>651444.59372001479</v>
      </c>
      <c r="Q71" s="437">
        <f t="shared" si="8"/>
        <v>657959.03965721501</v>
      </c>
      <c r="R71" s="437">
        <f t="shared" si="8"/>
        <v>664538.63005378714</v>
      </c>
      <c r="S71" s="437">
        <f t="shared" si="8"/>
        <v>671184.01635432511</v>
      </c>
      <c r="T71" s="437">
        <f t="shared" si="8"/>
        <v>677895.85651786823</v>
      </c>
      <c r="U71" s="437">
        <f t="shared" si="8"/>
        <v>684674.81508304703</v>
      </c>
      <c r="V71" s="437">
        <f t="shared" si="8"/>
        <v>691521.56323387753</v>
      </c>
      <c r="W71" s="437">
        <f t="shared" si="8"/>
        <v>698436.77886621631</v>
      </c>
      <c r="X71" s="437">
        <f t="shared" si="8"/>
        <v>705421.14665487851</v>
      </c>
      <c r="Y71" s="437">
        <f t="shared" si="8"/>
        <v>712475.35812142724</v>
      </c>
      <c r="Z71" s="437">
        <f t="shared" si="8"/>
        <v>719600.11170264147</v>
      </c>
      <c r="AA71" s="437">
        <f t="shared" si="8"/>
        <v>726796.11281966791</v>
      </c>
      <c r="AB71" s="437">
        <f t="shared" si="8"/>
        <v>734064.0739478647</v>
      </c>
      <c r="AC71" s="437">
        <f t="shared" si="8"/>
        <v>741404.71468734322</v>
      </c>
      <c r="AD71" s="437">
        <f t="shared" si="8"/>
        <v>748818.76183421677</v>
      </c>
      <c r="AE71" s="437">
        <f t="shared" si="8"/>
        <v>756306.94945255888</v>
      </c>
      <c r="AF71" s="437">
        <f t="shared" si="8"/>
        <v>763870.01894708455</v>
      </c>
      <c r="AG71" s="437">
        <f t="shared" si="8"/>
        <v>771508.71913655533</v>
      </c>
    </row>
    <row r="72" spans="1:35">
      <c r="A72" s="300" t="s">
        <v>319</v>
      </c>
      <c r="B72" s="300" t="s">
        <v>313</v>
      </c>
      <c r="C72" s="376">
        <f t="shared" ref="C72:AG72" si="9">C63*$C$29</f>
        <v>55000</v>
      </c>
      <c r="D72" s="376">
        <f t="shared" si="9"/>
        <v>56650</v>
      </c>
      <c r="E72" s="376">
        <f t="shared" si="9"/>
        <v>58350</v>
      </c>
      <c r="F72" s="376">
        <f t="shared" si="9"/>
        <v>60100</v>
      </c>
      <c r="G72" s="376">
        <f t="shared" si="9"/>
        <v>61904</v>
      </c>
      <c r="H72" s="376">
        <f t="shared" si="9"/>
        <v>71762</v>
      </c>
      <c r="I72" s="376">
        <f t="shared" si="9"/>
        <v>73914</v>
      </c>
      <c r="J72" s="376">
        <f t="shared" si="9"/>
        <v>76132</v>
      </c>
      <c r="K72" s="376">
        <f t="shared" si="9"/>
        <v>78416</v>
      </c>
      <c r="L72" s="376">
        <f t="shared" si="9"/>
        <v>80768</v>
      </c>
      <c r="M72" s="376">
        <f t="shared" si="9"/>
        <v>83192</v>
      </c>
      <c r="N72" s="376">
        <f t="shared" si="9"/>
        <v>85688</v>
      </c>
      <c r="O72" s="376">
        <f t="shared" si="9"/>
        <v>88258</v>
      </c>
      <c r="P72" s="376">
        <f t="shared" si="9"/>
        <v>90906</v>
      </c>
      <c r="Q72" s="376">
        <f t="shared" si="9"/>
        <v>93634</v>
      </c>
      <c r="R72" s="376">
        <f t="shared" si="9"/>
        <v>96444</v>
      </c>
      <c r="S72" s="376">
        <f t="shared" si="9"/>
        <v>99338</v>
      </c>
      <c r="T72" s="376">
        <f t="shared" si="9"/>
        <v>102318</v>
      </c>
      <c r="U72" s="376">
        <f t="shared" si="9"/>
        <v>105388</v>
      </c>
      <c r="V72" s="376">
        <f t="shared" si="9"/>
        <v>108550</v>
      </c>
      <c r="W72" s="376">
        <f t="shared" si="9"/>
        <v>111806</v>
      </c>
      <c r="X72" s="376">
        <f t="shared" si="9"/>
        <v>115160</v>
      </c>
      <c r="Y72" s="376">
        <f t="shared" si="9"/>
        <v>118614</v>
      </c>
      <c r="Z72" s="376">
        <f t="shared" si="9"/>
        <v>122172</v>
      </c>
      <c r="AA72" s="376">
        <f t="shared" si="9"/>
        <v>125838</v>
      </c>
      <c r="AB72" s="376">
        <f t="shared" si="9"/>
        <v>129614</v>
      </c>
      <c r="AC72" s="376">
        <f t="shared" si="9"/>
        <v>133502</v>
      </c>
      <c r="AD72" s="376">
        <f t="shared" si="9"/>
        <v>137508</v>
      </c>
      <c r="AE72" s="376">
        <f t="shared" si="9"/>
        <v>141634</v>
      </c>
      <c r="AF72" s="376">
        <f t="shared" si="9"/>
        <v>145884</v>
      </c>
      <c r="AG72" s="376">
        <f t="shared" si="9"/>
        <v>150260</v>
      </c>
    </row>
    <row r="73" spans="1:35" s="371" customFormat="1" ht="11.85" customHeight="1">
      <c r="A73" s="428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5.5793867937854156</v>
      </c>
      <c r="D74" s="379">
        <f t="shared" si="10"/>
        <v>5.7467683975989781</v>
      </c>
      <c r="E74" s="379">
        <f t="shared" si="10"/>
        <v>5.9192221712250728</v>
      </c>
      <c r="F74" s="379">
        <f t="shared" si="10"/>
        <v>6.0967481146636997</v>
      </c>
      <c r="G74" s="379">
        <f t="shared" si="10"/>
        <v>6.2797520014998618</v>
      </c>
      <c r="H74" s="379">
        <f t="shared" si="10"/>
        <v>7.2797810017387095</v>
      </c>
      <c r="I74" s="379">
        <f t="shared" si="10"/>
        <v>7.4980871904700956</v>
      </c>
      <c r="J74" s="379">
        <f t="shared" si="10"/>
        <v>7.7230886433540231</v>
      </c>
      <c r="K74" s="379">
        <f t="shared" si="10"/>
        <v>7.9547853603904937</v>
      </c>
      <c r="L74" s="379">
        <f t="shared" si="10"/>
        <v>8.1933802283720087</v>
      </c>
      <c r="M74" s="379">
        <f t="shared" si="10"/>
        <v>8.4392790208835695</v>
      </c>
      <c r="N74" s="379">
        <f t="shared" si="10"/>
        <v>8.692481737925176</v>
      </c>
      <c r="O74" s="379">
        <f t="shared" si="10"/>
        <v>8.9531912662893305</v>
      </c>
      <c r="P74" s="379">
        <f t="shared" si="10"/>
        <v>9.2218133795610377</v>
      </c>
      <c r="Q74" s="379">
        <f t="shared" si="10"/>
        <v>9.4985509645327912</v>
      </c>
      <c r="R74" s="379">
        <f t="shared" si="10"/>
        <v>9.7836069079971022</v>
      </c>
      <c r="S74" s="379">
        <f t="shared" si="10"/>
        <v>10.077184096746466</v>
      </c>
      <c r="T74" s="379">
        <f t="shared" si="10"/>
        <v>10.379485417573385</v>
      </c>
      <c r="U74" s="379">
        <f t="shared" si="10"/>
        <v>10.690916644062861</v>
      </c>
      <c r="V74" s="379">
        <f t="shared" si="10"/>
        <v>11.011680663007398</v>
      </c>
      <c r="W74" s="379">
        <f t="shared" si="10"/>
        <v>11.341980361199493</v>
      </c>
      <c r="X74" s="379">
        <f t="shared" si="10"/>
        <v>11.682221512224155</v>
      </c>
      <c r="Y74" s="379">
        <f t="shared" si="10"/>
        <v>12.032607002873878</v>
      </c>
      <c r="Z74" s="379">
        <f t="shared" si="10"/>
        <v>12.393542606733668</v>
      </c>
      <c r="AA74" s="379">
        <f t="shared" si="10"/>
        <v>12.765434097388528</v>
      </c>
      <c r="AB74" s="379">
        <f t="shared" si="10"/>
        <v>13.148484361630961</v>
      </c>
      <c r="AC74" s="379">
        <f t="shared" si="10"/>
        <v>13.542896286253466</v>
      </c>
      <c r="AD74" s="379">
        <f t="shared" si="10"/>
        <v>13.949278531633544</v>
      </c>
      <c r="AE74" s="379">
        <f t="shared" si="10"/>
        <v>14.367833984563703</v>
      </c>
      <c r="AF74" s="379">
        <f t="shared" si="10"/>
        <v>14.798968418628936</v>
      </c>
      <c r="AG74" s="379">
        <f t="shared" si="10"/>
        <v>15.242884720621756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18.335259221714281</v>
      </c>
      <c r="D75" s="379">
        <f t="shared" si="11"/>
        <v>20.36375</v>
      </c>
      <c r="E75" s="379">
        <f t="shared" si="11"/>
        <v>20.773843750000001</v>
      </c>
      <c r="F75" s="379">
        <f t="shared" si="11"/>
        <v>21.19220984375</v>
      </c>
      <c r="G75" s="379">
        <f t="shared" si="11"/>
        <v>21.619015489843751</v>
      </c>
      <c r="H75" s="379">
        <f t="shared" si="11"/>
        <v>22.054431285089848</v>
      </c>
      <c r="I75" s="379">
        <f t="shared" si="11"/>
        <v>22.49863128337709</v>
      </c>
      <c r="J75" s="379">
        <f t="shared" si="11"/>
        <v>22.951793065944717</v>
      </c>
      <c r="K75" s="379">
        <f t="shared" si="11"/>
        <v>23.414097813086201</v>
      </c>
      <c r="L75" s="379">
        <f t="shared" si="11"/>
        <v>23.885730377316079</v>
      </c>
      <c r="M75" s="379">
        <f t="shared" si="11"/>
        <v>24.366879358029756</v>
      </c>
      <c r="N75" s="379">
        <f t="shared" si="11"/>
        <v>24.857737177686889</v>
      </c>
      <c r="O75" s="379">
        <f t="shared" si="11"/>
        <v>25.358500159549582</v>
      </c>
      <c r="P75" s="379">
        <f t="shared" si="11"/>
        <v>25.869368607007253</v>
      </c>
      <c r="Q75" s="379">
        <f t="shared" si="11"/>
        <v>26.390546884520742</v>
      </c>
      <c r="R75" s="379">
        <f t="shared" si="11"/>
        <v>26.92224350021883</v>
      </c>
      <c r="S75" s="379">
        <f t="shared" si="11"/>
        <v>27.464671190181082</v>
      </c>
      <c r="T75" s="379">
        <f t="shared" si="11"/>
        <v>28.01804700444152</v>
      </c>
      <c r="U75" s="379">
        <f t="shared" si="11"/>
        <v>28.582592394748591</v>
      </c>
      <c r="V75" s="379">
        <f t="shared" si="11"/>
        <v>29.158533304117256</v>
      </c>
      <c r="W75" s="379">
        <f t="shared" si="11"/>
        <v>29.746100258210134</v>
      </c>
      <c r="X75" s="379">
        <f t="shared" si="11"/>
        <v>30.345528458585139</v>
      </c>
      <c r="Y75" s="379">
        <f t="shared" si="11"/>
        <v>30.957057877847909</v>
      </c>
      <c r="Z75" s="379">
        <f t="shared" si="11"/>
        <v>31.580933356748211</v>
      </c>
      <c r="AA75" s="379">
        <f t="shared" si="11"/>
        <v>32.217404703260108</v>
      </c>
      <c r="AB75" s="379">
        <f t="shared" si="11"/>
        <v>32.866726793686659</v>
      </c>
      <c r="AC75" s="379">
        <f t="shared" si="11"/>
        <v>33.529159675830776</v>
      </c>
      <c r="AD75" s="379">
        <f t="shared" si="11"/>
        <v>34.204968674274539</v>
      </c>
      <c r="AE75" s="379">
        <f t="shared" si="11"/>
        <v>34.894424497810348</v>
      </c>
      <c r="AF75" s="379">
        <f t="shared" si="11"/>
        <v>35.597803349068144</v>
      </c>
      <c r="AG75" s="379">
        <f t="shared" si="11"/>
        <v>36.315387036383633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12.312962962962963</v>
      </c>
      <c r="D76" s="379">
        <f t="shared" si="12"/>
        <v>12.659907407407408</v>
      </c>
      <c r="E76" s="379">
        <f t="shared" si="12"/>
        <v>13.021584074074076</v>
      </c>
      <c r="F76" s="379">
        <f t="shared" si="12"/>
        <v>13.398177462962964</v>
      </c>
      <c r="G76" s="379">
        <f t="shared" si="12"/>
        <v>13.789916332111112</v>
      </c>
      <c r="H76" s="379">
        <f t="shared" si="12"/>
        <v>14.271073984842594</v>
      </c>
      <c r="I76" s="379">
        <f t="shared" si="12"/>
        <v>14.695931531455583</v>
      </c>
      <c r="J76" s="379">
        <f t="shared" si="12"/>
        <v>15.136667088768247</v>
      </c>
      <c r="K76" s="379">
        <f t="shared" si="12"/>
        <v>15.593504251333963</v>
      </c>
      <c r="L76" s="379">
        <f t="shared" si="12"/>
        <v>16.066693908896159</v>
      </c>
      <c r="M76" s="379">
        <f t="shared" si="12"/>
        <v>16.55651459578408</v>
      </c>
      <c r="N76" s="379">
        <f t="shared" si="12"/>
        <v>17.0632172987121</v>
      </c>
      <c r="O76" s="379">
        <f t="shared" si="12"/>
        <v>17.587081390207466</v>
      </c>
      <c r="P76" s="379">
        <f t="shared" si="12"/>
        <v>18.137674280839597</v>
      </c>
      <c r="Q76" s="379">
        <f t="shared" si="12"/>
        <v>18.70603701307688</v>
      </c>
      <c r="R76" s="379">
        <f t="shared" si="12"/>
        <v>19.301740241843319</v>
      </c>
      <c r="S76" s="379">
        <f t="shared" si="12"/>
        <v>19.915847639465078</v>
      </c>
      <c r="T76" s="379">
        <f t="shared" si="12"/>
        <v>20.557953392352662</v>
      </c>
      <c r="U76" s="379">
        <f t="shared" si="12"/>
        <v>21.219164160495513</v>
      </c>
      <c r="V76" s="379">
        <f t="shared" si="12"/>
        <v>21.90909957457745</v>
      </c>
      <c r="W76" s="379">
        <f t="shared" si="12"/>
        <v>22.628133493699288</v>
      </c>
      <c r="X76" s="379">
        <f t="shared" si="12"/>
        <v>23.376672320799234</v>
      </c>
      <c r="Y76" s="379">
        <f t="shared" si="12"/>
        <v>24.155118524745589</v>
      </c>
      <c r="Z76" s="379">
        <f t="shared" si="12"/>
        <v>24.963908258849834</v>
      </c>
      <c r="AA76" s="379">
        <f t="shared" si="12"/>
        <v>25.803493447064202</v>
      </c>
      <c r="AB76" s="379">
        <f t="shared" si="12"/>
        <v>26.674323894348717</v>
      </c>
      <c r="AC76" s="379">
        <f t="shared" si="12"/>
        <v>27.576866459211217</v>
      </c>
      <c r="AD76" s="379">
        <f t="shared" si="12"/>
        <v>28.520902030166518</v>
      </c>
      <c r="AE76" s="379">
        <f t="shared" si="12"/>
        <v>29.497674381234045</v>
      </c>
      <c r="AF76" s="379">
        <f t="shared" si="12"/>
        <v>30.516983500153991</v>
      </c>
      <c r="AG76" s="379">
        <f t="shared" si="12"/>
        <v>31.579371538600778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2.0006613756613758</v>
      </c>
      <c r="D77" s="379">
        <f t="shared" si="13"/>
        <v>2.0606812169312172</v>
      </c>
      <c r="E77" s="379">
        <f t="shared" si="13"/>
        <v>2.1225198412698414</v>
      </c>
      <c r="F77" s="379">
        <f t="shared" si="13"/>
        <v>2.1861772486772488</v>
      </c>
      <c r="G77" s="379">
        <f t="shared" si="13"/>
        <v>2.2517989417989419</v>
      </c>
      <c r="H77" s="379">
        <f t="shared" si="13"/>
        <v>2.6103902116402118</v>
      </c>
      <c r="I77" s="379">
        <f t="shared" si="13"/>
        <v>2.6886706349206353</v>
      </c>
      <c r="J77" s="379">
        <f t="shared" si="13"/>
        <v>2.7693518518518521</v>
      </c>
      <c r="K77" s="379">
        <f t="shared" si="13"/>
        <v>2.8524338624338625</v>
      </c>
      <c r="L77" s="379">
        <f t="shared" si="13"/>
        <v>2.9379894179894182</v>
      </c>
      <c r="M77" s="379">
        <f t="shared" si="13"/>
        <v>3.0261640211640213</v>
      </c>
      <c r="N77" s="379">
        <f t="shared" si="13"/>
        <v>2.5502380952380954</v>
      </c>
      <c r="O77" s="379">
        <f t="shared" si="13"/>
        <v>2.6267261904761909</v>
      </c>
      <c r="P77" s="379">
        <f t="shared" si="13"/>
        <v>2.7055357142857144</v>
      </c>
      <c r="Q77" s="379">
        <f t="shared" si="13"/>
        <v>2.7867261904761911</v>
      </c>
      <c r="R77" s="379">
        <f t="shared" si="13"/>
        <v>2.8703571428571433</v>
      </c>
      <c r="S77" s="379">
        <f t="shared" si="13"/>
        <v>2.9564880952380959</v>
      </c>
      <c r="T77" s="379">
        <f t="shared" si="13"/>
        <v>3.045178571428572</v>
      </c>
      <c r="U77" s="379">
        <f t="shared" si="13"/>
        <v>3.1365476190476196</v>
      </c>
      <c r="V77" s="379">
        <f t="shared" si="13"/>
        <v>3.2306547619047623</v>
      </c>
      <c r="W77" s="379">
        <f t="shared" si="13"/>
        <v>3.3275595238095246</v>
      </c>
      <c r="X77" s="379">
        <f t="shared" si="13"/>
        <v>2.6657407407407412</v>
      </c>
      <c r="Y77" s="379">
        <f t="shared" si="13"/>
        <v>2.7456944444444447</v>
      </c>
      <c r="Z77" s="379">
        <f t="shared" si="13"/>
        <v>2.8280555555555558</v>
      </c>
      <c r="AA77" s="379">
        <f t="shared" si="13"/>
        <v>2.9129166666666668</v>
      </c>
      <c r="AB77" s="379">
        <f t="shared" si="13"/>
        <v>3.000324074074074</v>
      </c>
      <c r="AC77" s="379">
        <f t="shared" si="13"/>
        <v>3.0903240740740743</v>
      </c>
      <c r="AD77" s="379">
        <f t="shared" si="13"/>
        <v>3.1830555555555557</v>
      </c>
      <c r="AE77" s="379">
        <f t="shared" si="13"/>
        <v>3.2785648148148154</v>
      </c>
      <c r="AF77" s="379">
        <f t="shared" si="13"/>
        <v>3.3769444444444452</v>
      </c>
      <c r="AG77" s="379">
        <f t="shared" si="13"/>
        <v>3.4782407407407412</v>
      </c>
    </row>
    <row r="78" spans="1:35" s="352" customFormat="1">
      <c r="A78" s="380" t="s">
        <v>323</v>
      </c>
      <c r="B78" s="352" t="s">
        <v>300</v>
      </c>
      <c r="C78" s="429">
        <f t="shared" ref="C78:AG78" si="14">SUM(C74:C76)-C77</f>
        <v>34.226947602801289</v>
      </c>
      <c r="D78" s="429">
        <f t="shared" si="14"/>
        <v>36.709744588075168</v>
      </c>
      <c r="E78" s="429">
        <f t="shared" si="14"/>
        <v>37.592130154029306</v>
      </c>
      <c r="F78" s="429">
        <f t="shared" si="14"/>
        <v>38.50095817269942</v>
      </c>
      <c r="G78" s="429">
        <f t="shared" si="14"/>
        <v>39.436884881655786</v>
      </c>
      <c r="H78" s="429">
        <f t="shared" si="14"/>
        <v>40.994896060030939</v>
      </c>
      <c r="I78" s="429">
        <f t="shared" si="14"/>
        <v>42.003979370382133</v>
      </c>
      <c r="J78" s="429">
        <f t="shared" si="14"/>
        <v>43.042196946215135</v>
      </c>
      <c r="K78" s="429">
        <f t="shared" si="14"/>
        <v>44.109953562376795</v>
      </c>
      <c r="L78" s="429">
        <f t="shared" si="14"/>
        <v>45.207815096594821</v>
      </c>
      <c r="M78" s="429">
        <f t="shared" si="14"/>
        <v>46.336508953533382</v>
      </c>
      <c r="N78" s="429">
        <f t="shared" si="14"/>
        <v>48.063198119086074</v>
      </c>
      <c r="O78" s="429">
        <f t="shared" si="14"/>
        <v>49.272046625570191</v>
      </c>
      <c r="P78" s="429">
        <f t="shared" si="14"/>
        <v>50.523320553122169</v>
      </c>
      <c r="Q78" s="429">
        <f t="shared" si="14"/>
        <v>51.80840867165422</v>
      </c>
      <c r="R78" s="429">
        <f t="shared" si="14"/>
        <v>53.137233507202104</v>
      </c>
      <c r="S78" s="429">
        <f t="shared" si="14"/>
        <v>54.501214831154535</v>
      </c>
      <c r="T78" s="429">
        <f t="shared" si="14"/>
        <v>55.910307242938991</v>
      </c>
      <c r="U78" s="429">
        <f t="shared" si="14"/>
        <v>57.356125580259345</v>
      </c>
      <c r="V78" s="429">
        <f t="shared" si="14"/>
        <v>58.848658779797347</v>
      </c>
      <c r="W78" s="429">
        <f t="shared" si="14"/>
        <v>60.388654589299385</v>
      </c>
      <c r="X78" s="429">
        <f t="shared" si="14"/>
        <v>62.738681550867781</v>
      </c>
      <c r="Y78" s="429">
        <f t="shared" si="14"/>
        <v>64.39908896102294</v>
      </c>
      <c r="Z78" s="429">
        <f t="shared" si="14"/>
        <v>66.110328666776155</v>
      </c>
      <c r="AA78" s="429">
        <f t="shared" si="14"/>
        <v>67.873415581046174</v>
      </c>
      <c r="AB78" s="429">
        <f t="shared" si="14"/>
        <v>69.689210975592275</v>
      </c>
      <c r="AC78" s="429">
        <f t="shared" si="14"/>
        <v>71.558598347221377</v>
      </c>
      <c r="AD78" s="429">
        <f t="shared" si="14"/>
        <v>73.492093680519048</v>
      </c>
      <c r="AE78" s="429">
        <f t="shared" si="14"/>
        <v>75.481368048793286</v>
      </c>
      <c r="AF78" s="429">
        <f t="shared" si="14"/>
        <v>77.536810823406626</v>
      </c>
      <c r="AG78" s="429">
        <f t="shared" si="14"/>
        <v>79.659402554865423</v>
      </c>
    </row>
    <row r="79" spans="1:35" s="344" customFormat="1">
      <c r="A79" s="342" t="s">
        <v>179</v>
      </c>
      <c r="B79" s="342"/>
      <c r="H79" s="430">
        <f>H81/K58</f>
        <v>636267.87070045678</v>
      </c>
      <c r="AB79" s="430">
        <f>AB81/AE58</f>
        <v>790080.00962639833</v>
      </c>
    </row>
    <row r="80" spans="1:35">
      <c r="A80" s="360" t="s">
        <v>41</v>
      </c>
      <c r="B80" s="360"/>
      <c r="C80" s="360">
        <v>2025</v>
      </c>
      <c r="D80" s="360">
        <f t="shared" ref="D80:AG80" si="15">C80+1</f>
        <v>2026</v>
      </c>
      <c r="E80" s="360">
        <f t="shared" si="15"/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00" t="s">
        <v>324</v>
      </c>
      <c r="B81" s="300" t="s">
        <v>309</v>
      </c>
      <c r="C81" s="376">
        <f>'Changing with year'!C93</f>
        <v>3000000</v>
      </c>
      <c r="D81" s="376">
        <f>'Changing with year'!D93</f>
        <v>3090000</v>
      </c>
      <c r="E81" s="376">
        <f>'Changing with year'!E93</f>
        <v>3182700</v>
      </c>
      <c r="F81" s="376">
        <f>'Changing with year'!F93</f>
        <v>3278181</v>
      </c>
      <c r="G81" s="376">
        <f>'Changing with year'!G93</f>
        <v>3376526.43</v>
      </c>
      <c r="H81" s="376">
        <f>'Changing with year'!H93</f>
        <v>3877822.2229000004</v>
      </c>
      <c r="I81" s="376">
        <f>'Changing with year'!I93</f>
        <v>3994156.8895870005</v>
      </c>
      <c r="J81" s="376">
        <f>'Changing with year'!J93</f>
        <v>4113981.5962746106</v>
      </c>
      <c r="K81" s="376">
        <f>'Changing with year'!K93</f>
        <v>4237401.044162849</v>
      </c>
      <c r="L81" s="376">
        <f>'Changing with year'!L93</f>
        <v>4364523.0754877347</v>
      </c>
      <c r="M81" s="376">
        <f>'Changing with year'!M93</f>
        <v>4495458.7677523671</v>
      </c>
      <c r="N81" s="376">
        <f>'Changing with year'!N93</f>
        <v>4630322.5307849385</v>
      </c>
      <c r="O81" s="376">
        <f>'Changing with year'!O93</f>
        <v>4769232.2067084871</v>
      </c>
      <c r="P81" s="376">
        <f>'Changing with year'!P93</f>
        <v>4912309.1729097422</v>
      </c>
      <c r="Q81" s="376">
        <f>'Changing with year'!Q93</f>
        <v>5059678.4480970344</v>
      </c>
      <c r="R81" s="376">
        <f>'Changing with year'!R93</f>
        <v>5211468.8015399454</v>
      </c>
      <c r="S81" s="376">
        <f>'Changing with year'!S93</f>
        <v>5367812.8655861439</v>
      </c>
      <c r="T81" s="376">
        <f>'Changing with year'!T93</f>
        <v>5528847.2515537282</v>
      </c>
      <c r="U81" s="376">
        <f>'Changing with year'!U93</f>
        <v>5694712.6691003405</v>
      </c>
      <c r="V81" s="376">
        <f>'Changing with year'!V93</f>
        <v>5865554.0491733504</v>
      </c>
      <c r="W81" s="376">
        <f>'Changing with year'!W93</f>
        <v>6041520.6706485515</v>
      </c>
      <c r="X81" s="376">
        <f>'Changing with year'!X93</f>
        <v>6222766.2907680087</v>
      </c>
      <c r="Y81" s="376">
        <f>'Changing with year'!Y93</f>
        <v>6409449.2794910492</v>
      </c>
      <c r="Z81" s="376">
        <f>'Changing with year'!Z93</f>
        <v>6601732.7578757806</v>
      </c>
      <c r="AA81" s="376">
        <f>'Changing with year'!AA93</f>
        <v>6799784.7406120542</v>
      </c>
      <c r="AB81" s="376">
        <f>'Changing with year'!AB93</f>
        <v>7003778.2828304162</v>
      </c>
      <c r="AC81" s="376">
        <f>'Changing with year'!AC93</f>
        <v>7213891.6313153291</v>
      </c>
      <c r="AD81" s="376">
        <f>'Changing with year'!AD93</f>
        <v>7430308.3802547893</v>
      </c>
      <c r="AE81" s="376">
        <f>'Changing with year'!AE93</f>
        <v>7653217.631662433</v>
      </c>
      <c r="AF81" s="376">
        <f>'Changing with year'!AF93</f>
        <v>7882814.1606123066</v>
      </c>
      <c r="AG81" s="376">
        <f>'Changing with year'!AG93</f>
        <v>8119298.5854306761</v>
      </c>
    </row>
    <row r="82" spans="1:34">
      <c r="A82" s="300" t="s">
        <v>310</v>
      </c>
      <c r="B82" s="300" t="s">
        <v>309</v>
      </c>
      <c r="C82" s="376">
        <f>(C81*'No change with year'!$AB$8)</f>
        <v>1500000</v>
      </c>
      <c r="D82" s="376">
        <f>(D81*'No change with year'!$AB$8)</f>
        <v>1545000</v>
      </c>
      <c r="E82" s="376">
        <f>(E81*'No change with year'!$AB$8)</f>
        <v>1591350</v>
      </c>
      <c r="F82" s="376">
        <f>(F81*'No change with year'!$AB$8)</f>
        <v>1639090.5</v>
      </c>
      <c r="G82" s="376">
        <f>(G81*'No change with year'!$AB$8)</f>
        <v>1688263.2150000001</v>
      </c>
      <c r="H82" s="376">
        <f>(H81*'No change with year'!$AB$8)</f>
        <v>1938911.1114500002</v>
      </c>
      <c r="I82" s="376">
        <f>(I81*'No change with year'!$AB$8)</f>
        <v>1997078.4447935002</v>
      </c>
      <c r="J82" s="376">
        <f>(J81*'No change with year'!$AB$8)</f>
        <v>2056990.7981373053</v>
      </c>
      <c r="K82" s="376">
        <f>(K81*'No change with year'!$AB$8)</f>
        <v>2118700.5220814245</v>
      </c>
      <c r="L82" s="376">
        <f>(L81*'No change with year'!$AB$8)</f>
        <v>2182261.5377438674</v>
      </c>
      <c r="M82" s="376">
        <f>(M81*'No change with year'!$AB$8)</f>
        <v>2247729.3838761835</v>
      </c>
      <c r="N82" s="376">
        <f>(N81*'No change with year'!$AC$8)</f>
        <v>1852129.0123139757</v>
      </c>
      <c r="O82" s="376">
        <f>(O81*'No change with year'!$AC$8)</f>
        <v>1907692.8826833952</v>
      </c>
      <c r="P82" s="376">
        <f>(P81*'No change with year'!$AC$8)</f>
        <v>1964923.6691638972</v>
      </c>
      <c r="Q82" s="376">
        <f>(Q81*'No change with year'!$AC$8)</f>
        <v>2023871.3792388141</v>
      </c>
      <c r="R82" s="376">
        <f>(R81*'No change with year'!$AC$8)</f>
        <v>2084587.5206159786</v>
      </c>
      <c r="S82" s="376">
        <f>(S81*'No change with year'!$AC$8)</f>
        <v>2147125.1462344578</v>
      </c>
      <c r="T82" s="376">
        <f>(T81*'No change with year'!$AC$8)</f>
        <v>2211538.900621492</v>
      </c>
      <c r="U82" s="376">
        <f>(U81*'No change with year'!$AC$8)</f>
        <v>2277885.0676401365</v>
      </c>
      <c r="V82" s="376">
        <f>(V81*'No change with year'!$AC$8)</f>
        <v>2346221.6196693406</v>
      </c>
      <c r="W82" s="376">
        <f>(W81*'No change with year'!$AC$8)</f>
        <v>2416608.268259421</v>
      </c>
      <c r="X82" s="376">
        <f>(X81*'No change with year'!$AD$8)</f>
        <v>1866829.8872304028</v>
      </c>
      <c r="Y82" s="376">
        <f>(Y81*'No change with year'!$AD$8)</f>
        <v>1922834.783847315</v>
      </c>
      <c r="Z82" s="376">
        <f>(Z81*'No change with year'!$AD$8)</f>
        <v>1980519.8273627344</v>
      </c>
      <c r="AA82" s="376">
        <f>(AA81*'No change with year'!$AD$8)</f>
        <v>2039935.4221836166</v>
      </c>
      <c r="AB82" s="376">
        <f>(AB81*'No change with year'!$AD$8)</f>
        <v>2101133.4848491251</v>
      </c>
      <c r="AC82" s="376">
        <f>(AC81*'No change with year'!$AD$8)</f>
        <v>2164167.4893945991</v>
      </c>
      <c r="AD82" s="376">
        <f>(AD81*'No change with year'!$AD$8)</f>
        <v>2229092.5140764373</v>
      </c>
      <c r="AE82" s="376">
        <f>(AE81*'No change with year'!$AD$8)</f>
        <v>2295965.2894987301</v>
      </c>
      <c r="AF82" s="376">
        <f>(AF81*'No change with year'!$AD$8)</f>
        <v>2364844.2481836923</v>
      </c>
      <c r="AG82" s="376">
        <f>(AG81*'No change with year'!$AD$8)</f>
        <v>2435789.5756292031</v>
      </c>
    </row>
    <row r="83" spans="1:34" s="371" customFormat="1" ht="11.85" customHeight="1">
      <c r="A83" s="428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00" t="s">
        <v>312</v>
      </c>
      <c r="B84" s="300" t="s">
        <v>313</v>
      </c>
      <c r="C84" s="376">
        <f t="shared" ref="C84:AG84" si="16">-PMT($C$26,$C$25,C81)</f>
        <v>657353.20770417259</v>
      </c>
      <c r="D84" s="376">
        <f t="shared" si="16"/>
        <v>677073.80393529788</v>
      </c>
      <c r="E84" s="376">
        <f t="shared" si="16"/>
        <v>697386.01805335679</v>
      </c>
      <c r="F84" s="376">
        <f t="shared" si="16"/>
        <v>718307.5985949575</v>
      </c>
      <c r="G84" s="376">
        <f t="shared" si="16"/>
        <v>739856.82655280619</v>
      </c>
      <c r="H84" s="376">
        <f t="shared" si="16"/>
        <v>849699.62570994685</v>
      </c>
      <c r="I84" s="376">
        <f t="shared" si="16"/>
        <v>875190.61448124517</v>
      </c>
      <c r="J84" s="376">
        <f t="shared" si="16"/>
        <v>901446.33291568258</v>
      </c>
      <c r="K84" s="376">
        <f t="shared" si="16"/>
        <v>928489.72290315304</v>
      </c>
      <c r="L84" s="376">
        <f t="shared" si="16"/>
        <v>956344.41459024779</v>
      </c>
      <c r="M84" s="376">
        <f t="shared" si="16"/>
        <v>985034.74702795513</v>
      </c>
      <c r="N84" s="376">
        <f t="shared" si="16"/>
        <v>1014585.789438794</v>
      </c>
      <c r="O84" s="376">
        <f t="shared" si="16"/>
        <v>1045023.3631219579</v>
      </c>
      <c r="P84" s="376">
        <f t="shared" si="16"/>
        <v>1076374.0640156167</v>
      </c>
      <c r="Q84" s="376">
        <f t="shared" si="16"/>
        <v>1108665.285936085</v>
      </c>
      <c r="R84" s="376">
        <f t="shared" si="16"/>
        <v>1141925.2445141678</v>
      </c>
      <c r="S84" s="376">
        <f t="shared" si="16"/>
        <v>1176183.0018495927</v>
      </c>
      <c r="T84" s="376">
        <f t="shared" si="16"/>
        <v>1211468.4919050806</v>
      </c>
      <c r="U84" s="376">
        <f t="shared" si="16"/>
        <v>1247812.5466622331</v>
      </c>
      <c r="V84" s="376">
        <f t="shared" si="16"/>
        <v>1285246.9230621001</v>
      </c>
      <c r="W84" s="376">
        <f t="shared" si="16"/>
        <v>1323804.3307539632</v>
      </c>
      <c r="X84" s="376">
        <f t="shared" si="16"/>
        <v>1363518.4606765821</v>
      </c>
      <c r="Y84" s="376">
        <f t="shared" si="16"/>
        <v>1404424.0144968797</v>
      </c>
      <c r="Z84" s="376">
        <f t="shared" si="16"/>
        <v>1446556.7349317861</v>
      </c>
      <c r="AA84" s="376">
        <f t="shared" si="16"/>
        <v>1489953.4369797397</v>
      </c>
      <c r="AB84" s="376">
        <f t="shared" si="16"/>
        <v>1534652.040089132</v>
      </c>
      <c r="AC84" s="376">
        <f t="shared" si="16"/>
        <v>1580691.6012918062</v>
      </c>
      <c r="AD84" s="376">
        <f t="shared" si="16"/>
        <v>1628112.3493305603</v>
      </c>
      <c r="AE84" s="376">
        <f t="shared" si="16"/>
        <v>1676955.719810477</v>
      </c>
      <c r="AF84" s="376">
        <f t="shared" si="16"/>
        <v>1727264.3914047917</v>
      </c>
      <c r="AG84" s="376">
        <f t="shared" si="16"/>
        <v>1779082.3231469353</v>
      </c>
    </row>
    <row r="85" spans="1:34">
      <c r="A85" s="300" t="s">
        <v>321</v>
      </c>
      <c r="B85" s="300" t="s">
        <v>309</v>
      </c>
      <c r="C85" s="376">
        <f t="shared" ref="C85:AG85" si="17">C43*$D$37</f>
        <v>1740000</v>
      </c>
      <c r="D85" s="376">
        <f t="shared" si="17"/>
        <v>1830000</v>
      </c>
      <c r="E85" s="376">
        <f t="shared" si="17"/>
        <v>1884900</v>
      </c>
      <c r="F85" s="376">
        <f t="shared" si="17"/>
        <v>1941447</v>
      </c>
      <c r="G85" s="376">
        <f t="shared" si="17"/>
        <v>1999690.4100000001</v>
      </c>
      <c r="H85" s="376">
        <f t="shared" si="17"/>
        <v>2059681.1222999999</v>
      </c>
      <c r="I85" s="376">
        <f t="shared" si="17"/>
        <v>2121471.5559689999</v>
      </c>
      <c r="J85" s="376">
        <f t="shared" si="17"/>
        <v>2185115.7026480702</v>
      </c>
      <c r="K85" s="376">
        <f t="shared" si="17"/>
        <v>2250669.1737275124</v>
      </c>
      <c r="L85" s="376">
        <f t="shared" si="17"/>
        <v>2318189.2489393377</v>
      </c>
      <c r="M85" s="376">
        <f t="shared" si="17"/>
        <v>2387734.9264075179</v>
      </c>
      <c r="N85" s="376">
        <f t="shared" si="17"/>
        <v>2459366.9741997435</v>
      </c>
      <c r="O85" s="376">
        <f t="shared" si="17"/>
        <v>2533147.9834257355</v>
      </c>
      <c r="P85" s="376">
        <f t="shared" si="17"/>
        <v>2609142.4229285074</v>
      </c>
      <c r="Q85" s="376">
        <f t="shared" si="17"/>
        <v>2687416.6956163631</v>
      </c>
      <c r="R85" s="376">
        <f t="shared" si="17"/>
        <v>2768039.1964848535</v>
      </c>
      <c r="S85" s="376">
        <f t="shared" si="17"/>
        <v>2851080.3723793994</v>
      </c>
      <c r="T85" s="376">
        <f t="shared" si="17"/>
        <v>2936612.7835507812</v>
      </c>
      <c r="U85" s="376">
        <f t="shared" si="17"/>
        <v>3024711.1670573046</v>
      </c>
      <c r="V85" s="376">
        <f t="shared" si="17"/>
        <v>3115452.5020690239</v>
      </c>
      <c r="W85" s="376">
        <f t="shared" si="17"/>
        <v>3208916.0771310949</v>
      </c>
      <c r="X85" s="376">
        <f t="shared" si="17"/>
        <v>3305183.5594450273</v>
      </c>
      <c r="Y85" s="376">
        <f t="shared" si="17"/>
        <v>3404339.0662283781</v>
      </c>
      <c r="Z85" s="376">
        <f t="shared" si="17"/>
        <v>3506469.2382152295</v>
      </c>
      <c r="AA85" s="376">
        <f t="shared" si="17"/>
        <v>3611663.3153616861</v>
      </c>
      <c r="AB85" s="376">
        <f t="shared" si="17"/>
        <v>3720013.2148225368</v>
      </c>
      <c r="AC85" s="376">
        <f t="shared" si="17"/>
        <v>3831613.6112672132</v>
      </c>
      <c r="AD85" s="376">
        <f t="shared" si="17"/>
        <v>3946562.0196052301</v>
      </c>
      <c r="AE85" s="376">
        <f t="shared" si="17"/>
        <v>4064958.8801933867</v>
      </c>
      <c r="AF85" s="376">
        <f t="shared" si="17"/>
        <v>4186907.6465991884</v>
      </c>
      <c r="AG85" s="376">
        <f t="shared" si="17"/>
        <v>4312514.8759971643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356400</v>
      </c>
      <c r="D86" s="376">
        <f t="shared" si="18"/>
        <v>370656</v>
      </c>
      <c r="E86" s="376">
        <f t="shared" si="18"/>
        <v>385482.24000000005</v>
      </c>
      <c r="F86" s="376">
        <f t="shared" si="18"/>
        <v>400901.52960000001</v>
      </c>
      <c r="G86" s="376">
        <f t="shared" si="18"/>
        <v>416937.59078400006</v>
      </c>
      <c r="H86" s="376">
        <f t="shared" si="18"/>
        <v>433615.09441536001</v>
      </c>
      <c r="I86" s="376">
        <f t="shared" si="18"/>
        <v>450959.69819197449</v>
      </c>
      <c r="J86" s="376">
        <f t="shared" si="18"/>
        <v>468998.08611965342</v>
      </c>
      <c r="K86" s="376">
        <f t="shared" si="18"/>
        <v>487758.00956443953</v>
      </c>
      <c r="L86" s="376">
        <f t="shared" si="18"/>
        <v>507268.32994701713</v>
      </c>
      <c r="M86" s="376">
        <f t="shared" si="18"/>
        <v>527559.06314489793</v>
      </c>
      <c r="N86" s="376">
        <f t="shared" si="18"/>
        <v>548661.42567069386</v>
      </c>
      <c r="O86" s="376">
        <f t="shared" si="18"/>
        <v>570607.88269752159</v>
      </c>
      <c r="P86" s="376">
        <f t="shared" si="18"/>
        <v>593432.19800542248</v>
      </c>
      <c r="Q86" s="376">
        <f t="shared" si="18"/>
        <v>617169.48592563928</v>
      </c>
      <c r="R86" s="376">
        <f t="shared" si="18"/>
        <v>641856.26536266506</v>
      </c>
      <c r="S86" s="376">
        <f t="shared" si="18"/>
        <v>667530.5159771716</v>
      </c>
      <c r="T86" s="376">
        <f t="shared" si="18"/>
        <v>694231.73661625851</v>
      </c>
      <c r="U86" s="376">
        <f t="shared" si="18"/>
        <v>722001.00608090882</v>
      </c>
      <c r="V86" s="376">
        <f t="shared" si="18"/>
        <v>750881.04632414528</v>
      </c>
      <c r="W86" s="376">
        <f t="shared" si="18"/>
        <v>780916.28817711107</v>
      </c>
      <c r="X86" s="376">
        <f t="shared" si="18"/>
        <v>812152.93970419536</v>
      </c>
      <c r="Y86" s="376">
        <f t="shared" si="18"/>
        <v>844639.05729236337</v>
      </c>
      <c r="Z86" s="376">
        <f t="shared" si="18"/>
        <v>878424.61958405795</v>
      </c>
      <c r="AA86" s="376">
        <f t="shared" si="18"/>
        <v>913561.60436742019</v>
      </c>
      <c r="AB86" s="376">
        <f t="shared" si="18"/>
        <v>950104.06854211714</v>
      </c>
      <c r="AC86" s="376">
        <f t="shared" si="18"/>
        <v>988108.23128380207</v>
      </c>
      <c r="AD86" s="376">
        <f t="shared" si="18"/>
        <v>1027632.5605351541</v>
      </c>
      <c r="AE86" s="376">
        <f t="shared" si="18"/>
        <v>1068737.86295656</v>
      </c>
      <c r="AF86" s="376">
        <f t="shared" si="18"/>
        <v>1111487.3774748226</v>
      </c>
      <c r="AG86" s="376">
        <f t="shared" si="18"/>
        <v>1155946.8725738155</v>
      </c>
    </row>
    <row r="87" spans="1:34">
      <c r="A87" s="300" t="s">
        <v>318</v>
      </c>
      <c r="B87" s="300" t="s">
        <v>313</v>
      </c>
      <c r="C87" s="376">
        <f>'Changing with year'!C288</f>
        <v>400000</v>
      </c>
      <c r="D87" s="376">
        <f>'Changing with year'!D288</f>
        <v>418000</v>
      </c>
      <c r="E87" s="376">
        <f>'Changing with year'!E288</f>
        <v>437000</v>
      </c>
      <c r="F87" s="376">
        <f>'Changing with year'!F288</f>
        <v>457000</v>
      </c>
      <c r="G87" s="376">
        <f>'Changing with year'!G288</f>
        <v>478000</v>
      </c>
      <c r="H87" s="376">
        <f>'Changing with year'!H288</f>
        <v>500000</v>
      </c>
      <c r="I87" s="376">
        <f>'Changing with year'!I288</f>
        <v>523000</v>
      </c>
      <c r="J87" s="376">
        <f>'Changing with year'!J288</f>
        <v>547000</v>
      </c>
      <c r="K87" s="376">
        <f>'Changing with year'!K288</f>
        <v>572000</v>
      </c>
      <c r="L87" s="376">
        <f>'Changing with year'!L288</f>
        <v>598000</v>
      </c>
      <c r="M87" s="376">
        <f>'Changing with year'!M288</f>
        <v>625000</v>
      </c>
      <c r="N87" s="376">
        <f>'Changing with year'!N288</f>
        <v>653000</v>
      </c>
      <c r="O87" s="376">
        <f>'Changing with year'!O288</f>
        <v>682000</v>
      </c>
      <c r="P87" s="376">
        <f>'Changing with year'!P288</f>
        <v>713000</v>
      </c>
      <c r="Q87" s="376">
        <f>'Changing with year'!Q288</f>
        <v>745000</v>
      </c>
      <c r="R87" s="376">
        <f>'Changing with year'!R288</f>
        <v>779000</v>
      </c>
      <c r="S87" s="376">
        <f>'Changing with year'!S288</f>
        <v>814000</v>
      </c>
      <c r="T87" s="376">
        <f>'Changing with year'!T288</f>
        <v>851000</v>
      </c>
      <c r="U87" s="376">
        <f>'Changing with year'!U288</f>
        <v>889000</v>
      </c>
      <c r="V87" s="376">
        <f>'Changing with year'!V288</f>
        <v>929000</v>
      </c>
      <c r="W87" s="376">
        <f>'Changing with year'!W288</f>
        <v>971000</v>
      </c>
      <c r="X87" s="376">
        <f>'Changing with year'!X288</f>
        <v>1015000</v>
      </c>
      <c r="Y87" s="376">
        <f>'Changing with year'!Y288</f>
        <v>1061000</v>
      </c>
      <c r="Z87" s="376">
        <f>'Changing with year'!Z288</f>
        <v>1109000</v>
      </c>
      <c r="AA87" s="376">
        <f>'Changing with year'!AA288</f>
        <v>1159000</v>
      </c>
      <c r="AB87" s="376">
        <f>'Changing with year'!AB288</f>
        <v>1211000</v>
      </c>
      <c r="AC87" s="376">
        <f>'Changing with year'!AC288</f>
        <v>1265000</v>
      </c>
      <c r="AD87" s="376">
        <f>'Changing with year'!AD288</f>
        <v>1322000</v>
      </c>
      <c r="AE87" s="376">
        <f>'Changing with year'!AE288</f>
        <v>1381000</v>
      </c>
      <c r="AF87" s="376">
        <f>'Changing with year'!AF288</f>
        <v>1443000</v>
      </c>
      <c r="AG87" s="376">
        <f>'Changing with year'!AG288</f>
        <v>1508000</v>
      </c>
      <c r="AH87" s="339"/>
    </row>
    <row r="88" spans="1:34">
      <c r="A88" s="300" t="s">
        <v>272</v>
      </c>
      <c r="B88" s="300" t="s">
        <v>313</v>
      </c>
      <c r="C88" s="376">
        <f t="shared" ref="C88:AG88" si="19">C59</f>
        <v>572400</v>
      </c>
      <c r="D88" s="376">
        <f t="shared" si="19"/>
        <v>578124</v>
      </c>
      <c r="E88" s="376">
        <f t="shared" si="19"/>
        <v>583905.24</v>
      </c>
      <c r="F88" s="376">
        <f t="shared" si="19"/>
        <v>589744.29240000003</v>
      </c>
      <c r="G88" s="376">
        <f t="shared" si="19"/>
        <v>595641.73532400001</v>
      </c>
      <c r="H88" s="376">
        <f t="shared" si="19"/>
        <v>601598.15267724008</v>
      </c>
      <c r="I88" s="376">
        <f t="shared" si="19"/>
        <v>607614.13420401246</v>
      </c>
      <c r="J88" s="376">
        <f t="shared" si="19"/>
        <v>613690.27554605249</v>
      </c>
      <c r="K88" s="376">
        <f t="shared" si="19"/>
        <v>619827.17830151308</v>
      </c>
      <c r="L88" s="376">
        <f t="shared" si="19"/>
        <v>626025.45008452807</v>
      </c>
      <c r="M88" s="376">
        <f t="shared" si="19"/>
        <v>632285.7045853734</v>
      </c>
      <c r="N88" s="376">
        <f t="shared" si="19"/>
        <v>638608.56163122714</v>
      </c>
      <c r="O88" s="376">
        <f t="shared" si="19"/>
        <v>644994.64724753937</v>
      </c>
      <c r="P88" s="376">
        <f t="shared" si="19"/>
        <v>651444.59372001479</v>
      </c>
      <c r="Q88" s="376">
        <f t="shared" si="19"/>
        <v>657959.03965721501</v>
      </c>
      <c r="R88" s="376">
        <f t="shared" si="19"/>
        <v>664538.63005378714</v>
      </c>
      <c r="S88" s="376">
        <f t="shared" si="19"/>
        <v>671184.01635432511</v>
      </c>
      <c r="T88" s="376">
        <f t="shared" si="19"/>
        <v>677895.85651786823</v>
      </c>
      <c r="U88" s="376">
        <f t="shared" si="19"/>
        <v>684674.81508304703</v>
      </c>
      <c r="V88" s="376">
        <f t="shared" si="19"/>
        <v>691521.56323387753</v>
      </c>
      <c r="W88" s="376">
        <f t="shared" si="19"/>
        <v>698436.77886621631</v>
      </c>
      <c r="X88" s="376">
        <f t="shared" si="19"/>
        <v>705421.14665487851</v>
      </c>
      <c r="Y88" s="376">
        <f t="shared" si="19"/>
        <v>712475.35812142724</v>
      </c>
      <c r="Z88" s="376">
        <f t="shared" si="19"/>
        <v>719600.11170264147</v>
      </c>
      <c r="AA88" s="376">
        <f t="shared" si="19"/>
        <v>726796.11281966791</v>
      </c>
      <c r="AB88" s="376">
        <f t="shared" si="19"/>
        <v>734064.0739478647</v>
      </c>
      <c r="AC88" s="376">
        <f t="shared" si="19"/>
        <v>741404.71468734322</v>
      </c>
      <c r="AD88" s="376">
        <f t="shared" si="19"/>
        <v>748818.76183421677</v>
      </c>
      <c r="AE88" s="376">
        <f t="shared" si="19"/>
        <v>756306.94945255888</v>
      </c>
      <c r="AF88" s="376">
        <f t="shared" si="19"/>
        <v>763870.01894708455</v>
      </c>
      <c r="AG88" s="376">
        <f t="shared" si="19"/>
        <v>771508.71913655533</v>
      </c>
    </row>
    <row r="89" spans="1:34">
      <c r="A89" s="300" t="s">
        <v>319</v>
      </c>
      <c r="B89" s="300" t="s">
        <v>309</v>
      </c>
      <c r="C89" s="376">
        <f t="shared" ref="C89:AG89" si="20">C81*$C$29</f>
        <v>60000</v>
      </c>
      <c r="D89" s="376">
        <f t="shared" si="20"/>
        <v>61800</v>
      </c>
      <c r="E89" s="376">
        <f t="shared" si="20"/>
        <v>63654</v>
      </c>
      <c r="F89" s="376">
        <f t="shared" si="20"/>
        <v>65563.62</v>
      </c>
      <c r="G89" s="376">
        <f t="shared" si="20"/>
        <v>67530.528600000005</v>
      </c>
      <c r="H89" s="376">
        <f t="shared" si="20"/>
        <v>77556.444458000013</v>
      </c>
      <c r="I89" s="376">
        <f t="shared" si="20"/>
        <v>79883.13779174001</v>
      </c>
      <c r="J89" s="376">
        <f t="shared" si="20"/>
        <v>82279.631925492213</v>
      </c>
      <c r="K89" s="376">
        <f t="shared" si="20"/>
        <v>84748.020883256977</v>
      </c>
      <c r="L89" s="376">
        <f t="shared" si="20"/>
        <v>87290.461509754692</v>
      </c>
      <c r="M89" s="376">
        <f t="shared" si="20"/>
        <v>89909.175355047337</v>
      </c>
      <c r="N89" s="376">
        <f t="shared" si="20"/>
        <v>92606.450615698777</v>
      </c>
      <c r="O89" s="376">
        <f t="shared" si="20"/>
        <v>95384.64413416975</v>
      </c>
      <c r="P89" s="376">
        <f t="shared" si="20"/>
        <v>98246.18345819485</v>
      </c>
      <c r="Q89" s="376">
        <f t="shared" si="20"/>
        <v>101193.56896194069</v>
      </c>
      <c r="R89" s="376">
        <f t="shared" si="20"/>
        <v>104229.37603079891</v>
      </c>
      <c r="S89" s="376">
        <f t="shared" si="20"/>
        <v>107356.25731172287</v>
      </c>
      <c r="T89" s="376">
        <f t="shared" si="20"/>
        <v>110576.94503107457</v>
      </c>
      <c r="U89" s="376">
        <f t="shared" si="20"/>
        <v>113894.25338200681</v>
      </c>
      <c r="V89" s="376">
        <f t="shared" si="20"/>
        <v>117311.08098346701</v>
      </c>
      <c r="W89" s="376">
        <f t="shared" si="20"/>
        <v>120830.41341297103</v>
      </c>
      <c r="X89" s="376">
        <f t="shared" si="20"/>
        <v>124455.32581536018</v>
      </c>
      <c r="Y89" s="376">
        <f t="shared" si="20"/>
        <v>128188.98558982099</v>
      </c>
      <c r="Z89" s="376">
        <f t="shared" si="20"/>
        <v>132034.6551575156</v>
      </c>
      <c r="AA89" s="376">
        <f t="shared" si="20"/>
        <v>135995.6948122411</v>
      </c>
      <c r="AB89" s="376">
        <f t="shared" si="20"/>
        <v>140075.56565660832</v>
      </c>
      <c r="AC89" s="376">
        <f t="shared" si="20"/>
        <v>144277.8326263066</v>
      </c>
      <c r="AD89" s="376">
        <f t="shared" si="20"/>
        <v>148606.16760509578</v>
      </c>
      <c r="AE89" s="376">
        <f t="shared" si="20"/>
        <v>153064.35263324867</v>
      </c>
      <c r="AF89" s="376">
        <f t="shared" si="20"/>
        <v>157656.28321224614</v>
      </c>
      <c r="AG89" s="376">
        <f t="shared" si="20"/>
        <v>162385.97170861354</v>
      </c>
    </row>
    <row r="90" spans="1:34" s="371" customFormat="1" ht="11.85" customHeight="1">
      <c r="A90" s="428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6.0866037750386353</v>
      </c>
      <c r="D91" s="379">
        <f t="shared" si="21"/>
        <v>6.2692018882897953</v>
      </c>
      <c r="E91" s="379">
        <f t="shared" si="21"/>
        <v>6.4572779449384887</v>
      </c>
      <c r="F91" s="379">
        <f t="shared" si="21"/>
        <v>6.6509962832866432</v>
      </c>
      <c r="G91" s="379">
        <f t="shared" si="21"/>
        <v>6.8505261717852424</v>
      </c>
      <c r="H91" s="379">
        <f t="shared" si="21"/>
        <v>7.867589126943952</v>
      </c>
      <c r="I91" s="379">
        <f t="shared" si="21"/>
        <v>8.1036168007522704</v>
      </c>
      <c r="J91" s="379">
        <f t="shared" si="21"/>
        <v>8.3467253047748393</v>
      </c>
      <c r="K91" s="379">
        <f t="shared" si="21"/>
        <v>8.5971270639180837</v>
      </c>
      <c r="L91" s="379">
        <f t="shared" si="21"/>
        <v>8.8550408758356269</v>
      </c>
      <c r="M91" s="379">
        <f t="shared" si="21"/>
        <v>9.120692102110695</v>
      </c>
      <c r="N91" s="379">
        <f t="shared" si="21"/>
        <v>9.3943128651740189</v>
      </c>
      <c r="O91" s="379">
        <f t="shared" si="21"/>
        <v>9.6761422511292388</v>
      </c>
      <c r="P91" s="379">
        <f t="shared" si="21"/>
        <v>9.966426518663118</v>
      </c>
      <c r="Q91" s="379">
        <f t="shared" si="21"/>
        <v>10.26541931422301</v>
      </c>
      <c r="R91" s="379">
        <f t="shared" si="21"/>
        <v>10.573381893649701</v>
      </c>
      <c r="S91" s="379">
        <f t="shared" si="21"/>
        <v>10.890583350459192</v>
      </c>
      <c r="T91" s="379">
        <f t="shared" si="21"/>
        <v>11.217300850972968</v>
      </c>
      <c r="U91" s="379">
        <f t="shared" si="21"/>
        <v>11.553819876502159</v>
      </c>
      <c r="V91" s="379">
        <f t="shared" si="21"/>
        <v>11.900434472797222</v>
      </c>
      <c r="W91" s="379">
        <f t="shared" si="21"/>
        <v>12.257447506981141</v>
      </c>
      <c r="X91" s="379">
        <f t="shared" si="21"/>
        <v>12.625170932190574</v>
      </c>
      <c r="Y91" s="379">
        <f t="shared" si="21"/>
        <v>13.003926060156292</v>
      </c>
      <c r="Z91" s="379">
        <f t="shared" si="21"/>
        <v>13.394043841960983</v>
      </c>
      <c r="AA91" s="379">
        <f t="shared" si="21"/>
        <v>13.795865157219811</v>
      </c>
      <c r="AB91" s="379">
        <f t="shared" si="21"/>
        <v>14.209741111936408</v>
      </c>
      <c r="AC91" s="379">
        <f t="shared" si="21"/>
        <v>14.636033345294502</v>
      </c>
      <c r="AD91" s="379">
        <f t="shared" si="21"/>
        <v>15.075114345653336</v>
      </c>
      <c r="AE91" s="379">
        <f t="shared" si="21"/>
        <v>15.527367776022935</v>
      </c>
      <c r="AF91" s="379">
        <f t="shared" si="21"/>
        <v>15.993188809303627</v>
      </c>
      <c r="AG91" s="379">
        <f t="shared" si="21"/>
        <v>16.472984473582734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16.111111111111111</v>
      </c>
      <c r="D92" s="379">
        <f t="shared" si="22"/>
        <v>16.944444444444443</v>
      </c>
      <c r="E92" s="379">
        <f t="shared" si="22"/>
        <v>17.452777777777779</v>
      </c>
      <c r="F92" s="379">
        <f t="shared" si="22"/>
        <v>17.97636111111111</v>
      </c>
      <c r="G92" s="379">
        <f t="shared" si="22"/>
        <v>18.515651944444446</v>
      </c>
      <c r="H92" s="379">
        <f t="shared" si="22"/>
        <v>19.071121502777778</v>
      </c>
      <c r="I92" s="379">
        <f t="shared" si="22"/>
        <v>19.643255147861108</v>
      </c>
      <c r="J92" s="379">
        <f t="shared" si="22"/>
        <v>20.232552802296947</v>
      </c>
      <c r="K92" s="379">
        <f t="shared" si="22"/>
        <v>20.839529386365854</v>
      </c>
      <c r="L92" s="379">
        <f t="shared" si="22"/>
        <v>21.46471526795683</v>
      </c>
      <c r="M92" s="379">
        <f t="shared" si="22"/>
        <v>22.108656725995537</v>
      </c>
      <c r="N92" s="379">
        <f t="shared" si="22"/>
        <v>22.771916427775402</v>
      </c>
      <c r="O92" s="379">
        <f t="shared" si="22"/>
        <v>23.455073920608662</v>
      </c>
      <c r="P92" s="379">
        <f t="shared" si="22"/>
        <v>24.158726138226921</v>
      </c>
      <c r="Q92" s="379">
        <f t="shared" si="22"/>
        <v>24.883487922373732</v>
      </c>
      <c r="R92" s="379">
        <f t="shared" si="22"/>
        <v>25.62999256004494</v>
      </c>
      <c r="S92" s="379">
        <f t="shared" si="22"/>
        <v>26.398892336846291</v>
      </c>
      <c r="T92" s="379">
        <f t="shared" si="22"/>
        <v>27.190859106951677</v>
      </c>
      <c r="U92" s="379">
        <f t="shared" si="22"/>
        <v>28.006584880160229</v>
      </c>
      <c r="V92" s="379">
        <f t="shared" si="22"/>
        <v>28.846782426565035</v>
      </c>
      <c r="W92" s="379">
        <f t="shared" si="22"/>
        <v>29.712185899361991</v>
      </c>
      <c r="X92" s="379">
        <f t="shared" si="22"/>
        <v>30.603551476342844</v>
      </c>
      <c r="Y92" s="379">
        <f t="shared" si="22"/>
        <v>31.521658020633129</v>
      </c>
      <c r="Z92" s="379">
        <f t="shared" si="22"/>
        <v>32.467307761252123</v>
      </c>
      <c r="AA92" s="379">
        <f t="shared" si="22"/>
        <v>33.441326994089685</v>
      </c>
      <c r="AB92" s="379">
        <f t="shared" si="22"/>
        <v>34.44456680391238</v>
      </c>
      <c r="AC92" s="379">
        <f t="shared" si="22"/>
        <v>35.477903808029751</v>
      </c>
      <c r="AD92" s="379">
        <f t="shared" si="22"/>
        <v>36.542240922270651</v>
      </c>
      <c r="AE92" s="379">
        <f t="shared" si="22"/>
        <v>37.638508149938765</v>
      </c>
      <c r="AF92" s="379">
        <f t="shared" si="22"/>
        <v>38.76766339443693</v>
      </c>
      <c r="AG92" s="379">
        <f t="shared" si="22"/>
        <v>39.930693296270043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12.859259259259259</v>
      </c>
      <c r="D93" s="379">
        <f t="shared" si="23"/>
        <v>13.227592592592593</v>
      </c>
      <c r="E93" s="379">
        <f t="shared" si="23"/>
        <v>13.611495185185184</v>
      </c>
      <c r="F93" s="379">
        <f t="shared" si="23"/>
        <v>14.011198537037039</v>
      </c>
      <c r="G93" s="379">
        <f t="shared" si="23"/>
        <v>14.426943099148149</v>
      </c>
      <c r="H93" s="379">
        <f t="shared" si="23"/>
        <v>14.933052699542591</v>
      </c>
      <c r="I93" s="379">
        <f t="shared" si="23"/>
        <v>15.383860835071548</v>
      </c>
      <c r="J93" s="379">
        <f t="shared" si="23"/>
        <v>15.851555496214798</v>
      </c>
      <c r="K93" s="379">
        <f t="shared" si="23"/>
        <v>16.336418599529718</v>
      </c>
      <c r="L93" s="379">
        <f t="shared" si="23"/>
        <v>16.838742977234258</v>
      </c>
      <c r="M93" s="379">
        <f t="shared" si="23"/>
        <v>17.358832806345546</v>
      </c>
      <c r="N93" s="379">
        <f t="shared" si="23"/>
        <v>17.897004054792774</v>
      </c>
      <c r="O93" s="379">
        <f t="shared" si="23"/>
        <v>18.453584945178061</v>
      </c>
      <c r="P93" s="379">
        <f t="shared" si="23"/>
        <v>19.038175696144741</v>
      </c>
      <c r="Q93" s="379">
        <f t="shared" si="23"/>
        <v>19.641871245785136</v>
      </c>
      <c r="R93" s="379">
        <f t="shared" si="23"/>
        <v>20.27429880969677</v>
      </c>
      <c r="S93" s="379">
        <f t="shared" si="23"/>
        <v>20.926581385585369</v>
      </c>
      <c r="T93" s="379">
        <f t="shared" si="23"/>
        <v>21.608375353381494</v>
      </c>
      <c r="U93" s="379">
        <f t="shared" si="23"/>
        <v>22.310834023573726</v>
      </c>
      <c r="V93" s="379">
        <f t="shared" si="23"/>
        <v>23.043645282791569</v>
      </c>
      <c r="W93" s="379">
        <f t="shared" si="23"/>
        <v>23.807254448669433</v>
      </c>
      <c r="X93" s="379">
        <f t="shared" si="23"/>
        <v>24.602124186800314</v>
      </c>
      <c r="Y93" s="379">
        <f t="shared" si="23"/>
        <v>25.428735194477881</v>
      </c>
      <c r="Z93" s="379">
        <f t="shared" si="23"/>
        <v>26.28758691152051</v>
      </c>
      <c r="AA93" s="379">
        <f t="shared" si="23"/>
        <v>27.179198259253045</v>
      </c>
      <c r="AB93" s="379">
        <f t="shared" si="23"/>
        <v>28.104108408764723</v>
      </c>
      <c r="AC93" s="379">
        <f t="shared" si="23"/>
        <v>29.062877579606035</v>
      </c>
      <c r="AD93" s="379">
        <f t="shared" si="23"/>
        <v>30.065347129393214</v>
      </c>
      <c r="AE93" s="379">
        <f t="shared" si="23"/>
        <v>31.102862639281184</v>
      </c>
      <c r="AF93" s="379">
        <f t="shared" si="23"/>
        <v>32.18531184846438</v>
      </c>
      <c r="AG93" s="379">
        <f t="shared" si="23"/>
        <v>33.313347809435037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1.9841269841269842</v>
      </c>
      <c r="D94" s="379">
        <f t="shared" si="24"/>
        <v>2.0436507936507935</v>
      </c>
      <c r="E94" s="379">
        <f t="shared" si="24"/>
        <v>2.1049603174603173</v>
      </c>
      <c r="F94" s="379">
        <f t="shared" si="24"/>
        <v>2.1681091269841271</v>
      </c>
      <c r="G94" s="379">
        <f t="shared" si="24"/>
        <v>2.2331524007936507</v>
      </c>
      <c r="H94" s="379">
        <f t="shared" si="24"/>
        <v>2.5646972373677253</v>
      </c>
      <c r="I94" s="379">
        <f t="shared" si="24"/>
        <v>2.6416381544887568</v>
      </c>
      <c r="J94" s="379">
        <f t="shared" si="24"/>
        <v>2.7208872991234196</v>
      </c>
      <c r="K94" s="379">
        <f t="shared" si="24"/>
        <v>2.8025139180971221</v>
      </c>
      <c r="L94" s="379">
        <f t="shared" si="24"/>
        <v>2.8865893356400361</v>
      </c>
      <c r="M94" s="379">
        <f t="shared" si="24"/>
        <v>2.9731870157092373</v>
      </c>
      <c r="N94" s="379">
        <f t="shared" si="24"/>
        <v>2.4499061009444123</v>
      </c>
      <c r="O94" s="379">
        <f t="shared" si="24"/>
        <v>2.5234032839727449</v>
      </c>
      <c r="P94" s="379">
        <f t="shared" si="24"/>
        <v>2.5991053824919277</v>
      </c>
      <c r="Q94" s="379">
        <f t="shared" si="24"/>
        <v>2.6770785439666853</v>
      </c>
      <c r="R94" s="379">
        <f t="shared" si="24"/>
        <v>2.757390900285686</v>
      </c>
      <c r="S94" s="379">
        <f t="shared" si="24"/>
        <v>2.8401126272942565</v>
      </c>
      <c r="T94" s="379">
        <f t="shared" si="24"/>
        <v>2.9253160061130847</v>
      </c>
      <c r="U94" s="379">
        <f t="shared" si="24"/>
        <v>3.0130754862964766</v>
      </c>
      <c r="V94" s="379">
        <f t="shared" si="24"/>
        <v>3.103467750885371</v>
      </c>
      <c r="W94" s="379">
        <f t="shared" si="24"/>
        <v>3.1965717834119327</v>
      </c>
      <c r="X94" s="379">
        <f t="shared" si="24"/>
        <v>2.4693517026857181</v>
      </c>
      <c r="Y94" s="379">
        <f t="shared" si="24"/>
        <v>2.5434322537662899</v>
      </c>
      <c r="Z94" s="379">
        <f t="shared" si="24"/>
        <v>2.6197352213792784</v>
      </c>
      <c r="AA94" s="379">
        <f t="shared" si="24"/>
        <v>2.6983272780206566</v>
      </c>
      <c r="AB94" s="379">
        <f t="shared" si="24"/>
        <v>2.7792770963612767</v>
      </c>
      <c r="AC94" s="379">
        <f t="shared" si="24"/>
        <v>2.862655409252115</v>
      </c>
      <c r="AD94" s="379">
        <f t="shared" si="24"/>
        <v>2.9485350715296792</v>
      </c>
      <c r="AE94" s="379">
        <f t="shared" si="24"/>
        <v>3.0369911236755689</v>
      </c>
      <c r="AF94" s="379">
        <f t="shared" si="24"/>
        <v>3.1281008573858364</v>
      </c>
      <c r="AG94" s="379">
        <f t="shared" si="24"/>
        <v>3.2219438831074116</v>
      </c>
    </row>
    <row r="95" spans="1:34" s="352" customFormat="1">
      <c r="A95" s="380" t="s">
        <v>323</v>
      </c>
      <c r="B95" s="352" t="s">
        <v>300</v>
      </c>
      <c r="C95" s="429">
        <f t="shared" ref="C95:AG95" si="25">SUM(C91:C93)-C94</f>
        <v>33.072847161282027</v>
      </c>
      <c r="D95" s="429">
        <f t="shared" si="25"/>
        <v>34.397588131676038</v>
      </c>
      <c r="E95" s="429">
        <f t="shared" si="25"/>
        <v>35.416590590441139</v>
      </c>
      <c r="F95" s="429">
        <f t="shared" si="25"/>
        <v>36.470446804450667</v>
      </c>
      <c r="G95" s="429">
        <f t="shared" si="25"/>
        <v>37.559968814584188</v>
      </c>
      <c r="H95" s="429">
        <f t="shared" si="25"/>
        <v>39.307066091896594</v>
      </c>
      <c r="I95" s="429">
        <f t="shared" si="25"/>
        <v>40.489094629196167</v>
      </c>
      <c r="J95" s="429">
        <f t="shared" si="25"/>
        <v>41.709946304163168</v>
      </c>
      <c r="K95" s="429">
        <f t="shared" si="25"/>
        <v>42.970561131716536</v>
      </c>
      <c r="L95" s="429">
        <f t="shared" si="25"/>
        <v>44.271909785386676</v>
      </c>
      <c r="M95" s="429">
        <f t="shared" si="25"/>
        <v>45.614994618742543</v>
      </c>
      <c r="N95" s="429">
        <f t="shared" si="25"/>
        <v>47.613327246797787</v>
      </c>
      <c r="O95" s="429">
        <f t="shared" si="25"/>
        <v>49.061397832943221</v>
      </c>
      <c r="P95" s="429">
        <f t="shared" si="25"/>
        <v>50.564222970542851</v>
      </c>
      <c r="Q95" s="429">
        <f t="shared" si="25"/>
        <v>52.113699938415195</v>
      </c>
      <c r="R95" s="429">
        <f t="shared" si="25"/>
        <v>53.720282363105724</v>
      </c>
      <c r="S95" s="429">
        <f t="shared" si="25"/>
        <v>55.375944445596595</v>
      </c>
      <c r="T95" s="429">
        <f t="shared" si="25"/>
        <v>57.091219305193057</v>
      </c>
      <c r="U95" s="429">
        <f t="shared" si="25"/>
        <v>58.858163293939633</v>
      </c>
      <c r="V95" s="429">
        <f t="shared" si="25"/>
        <v>60.687394431268459</v>
      </c>
      <c r="W95" s="429">
        <f t="shared" si="25"/>
        <v>62.580316071600642</v>
      </c>
      <c r="X95" s="429">
        <f t="shared" si="25"/>
        <v>65.361494892648011</v>
      </c>
      <c r="Y95" s="429">
        <f t="shared" si="25"/>
        <v>67.410887021501011</v>
      </c>
      <c r="Z95" s="429">
        <f t="shared" si="25"/>
        <v>69.529203293354342</v>
      </c>
      <c r="AA95" s="429">
        <f t="shared" si="25"/>
        <v>71.718063132541886</v>
      </c>
      <c r="AB95" s="429">
        <f t="shared" si="25"/>
        <v>73.979139228252222</v>
      </c>
      <c r="AC95" s="429">
        <f t="shared" si="25"/>
        <v>76.314159323678169</v>
      </c>
      <c r="AD95" s="429">
        <f t="shared" si="25"/>
        <v>78.734167325787524</v>
      </c>
      <c r="AE95" s="429">
        <f t="shared" si="25"/>
        <v>81.231747441567322</v>
      </c>
      <c r="AF95" s="429">
        <f t="shared" si="25"/>
        <v>83.818063194819104</v>
      </c>
      <c r="AG95" s="429">
        <f t="shared" si="25"/>
        <v>86.495081696180407</v>
      </c>
    </row>
    <row r="96" spans="1:34" s="344" customFormat="1">
      <c r="A96" s="342" t="s">
        <v>180</v>
      </c>
      <c r="B96" s="342"/>
      <c r="H96" s="430">
        <f>H98/H63</f>
        <v>1.1699785401744656</v>
      </c>
      <c r="AB96" s="430">
        <f>AB98/AB63</f>
        <v>1.1148487046152422</v>
      </c>
    </row>
    <row r="97" spans="1:34">
      <c r="A97" s="360" t="s">
        <v>41</v>
      </c>
      <c r="B97" s="360"/>
      <c r="C97" s="360">
        <v>2025</v>
      </c>
      <c r="D97" s="360">
        <f t="shared" ref="D97:AG97" si="26">C97+1</f>
        <v>2026</v>
      </c>
      <c r="E97" s="360">
        <f t="shared" si="26"/>
        <v>2027</v>
      </c>
      <c r="F97" s="360">
        <f t="shared" si="26"/>
        <v>2028</v>
      </c>
      <c r="G97" s="360">
        <f t="shared" si="26"/>
        <v>2029</v>
      </c>
      <c r="H97" s="360">
        <f t="shared" si="26"/>
        <v>2030</v>
      </c>
      <c r="I97" s="360">
        <f t="shared" si="26"/>
        <v>2031</v>
      </c>
      <c r="J97" s="360">
        <f t="shared" si="26"/>
        <v>2032</v>
      </c>
      <c r="K97" s="360">
        <f t="shared" si="26"/>
        <v>2033</v>
      </c>
      <c r="L97" s="360">
        <f t="shared" si="26"/>
        <v>2034</v>
      </c>
      <c r="M97" s="360">
        <f t="shared" si="26"/>
        <v>2035</v>
      </c>
      <c r="N97" s="360">
        <f t="shared" si="26"/>
        <v>2036</v>
      </c>
      <c r="O97" s="360">
        <f t="shared" si="26"/>
        <v>2037</v>
      </c>
      <c r="P97" s="360">
        <f t="shared" si="26"/>
        <v>2038</v>
      </c>
      <c r="Q97" s="360">
        <f t="shared" si="26"/>
        <v>2039</v>
      </c>
      <c r="R97" s="360">
        <f t="shared" si="26"/>
        <v>2040</v>
      </c>
      <c r="S97" s="360">
        <f t="shared" si="26"/>
        <v>2041</v>
      </c>
      <c r="T97" s="360">
        <f t="shared" si="26"/>
        <v>2042</v>
      </c>
      <c r="U97" s="360">
        <f t="shared" si="26"/>
        <v>2043</v>
      </c>
      <c r="V97" s="360">
        <f t="shared" si="26"/>
        <v>2044</v>
      </c>
      <c r="W97" s="360">
        <f t="shared" si="26"/>
        <v>2045</v>
      </c>
      <c r="X97" s="360">
        <f t="shared" si="26"/>
        <v>2046</v>
      </c>
      <c r="Y97" s="360">
        <f t="shared" si="26"/>
        <v>2047</v>
      </c>
      <c r="Z97" s="360">
        <f t="shared" si="26"/>
        <v>2048</v>
      </c>
      <c r="AA97" s="360">
        <f t="shared" si="26"/>
        <v>2049</v>
      </c>
      <c r="AB97" s="360">
        <f t="shared" si="26"/>
        <v>2050</v>
      </c>
      <c r="AC97" s="360">
        <f t="shared" si="26"/>
        <v>2051</v>
      </c>
      <c r="AD97" s="360">
        <f t="shared" si="26"/>
        <v>2052</v>
      </c>
      <c r="AE97" s="360">
        <f t="shared" si="26"/>
        <v>2053</v>
      </c>
      <c r="AF97" s="360">
        <f t="shared" si="26"/>
        <v>2054</v>
      </c>
      <c r="AG97" s="360">
        <f t="shared" si="26"/>
        <v>2055</v>
      </c>
    </row>
    <row r="98" spans="1:34">
      <c r="A98" s="300" t="s">
        <v>326</v>
      </c>
      <c r="B98" s="300" t="s">
        <v>309</v>
      </c>
      <c r="C98" s="376">
        <f>ROUND(('Changing with year'!C106)/1000,0)*1000</f>
        <v>3330000</v>
      </c>
      <c r="D98" s="376">
        <f>ROUND(('Changing with year'!D106)/1000,0)*1000</f>
        <v>3419000</v>
      </c>
      <c r="E98" s="376">
        <f>ROUND(('Changing with year'!E106)/1000,0)*1000</f>
        <v>3510000</v>
      </c>
      <c r="F98" s="376">
        <f>ROUND(('Changing with year'!F106)/1000,0)*1000</f>
        <v>3603000</v>
      </c>
      <c r="G98" s="376">
        <f>ROUND(('Changing with year'!G106)/1000,0)*1000</f>
        <v>3699000</v>
      </c>
      <c r="H98" s="376">
        <f>ROUND(('Changing with year'!H106)/1000,0)*1000</f>
        <v>4198000</v>
      </c>
      <c r="I98" s="376">
        <f>ROUND(('Changing with year'!I106)/1000,0)*1000</f>
        <v>4312000</v>
      </c>
      <c r="J98" s="376">
        <f>ROUND(('Changing with year'!J106)/1000,0)*1000</f>
        <v>4429000</v>
      </c>
      <c r="K98" s="376">
        <f>ROUND(('Changing with year'!K106)/1000,0)*1000</f>
        <v>4549000</v>
      </c>
      <c r="L98" s="376">
        <f>ROUND(('Changing with year'!L106)/1000,0)*1000</f>
        <v>4673000</v>
      </c>
      <c r="M98" s="376">
        <f>ROUND(('Changing with year'!M106)/1000,0)*1000</f>
        <v>4801000</v>
      </c>
      <c r="N98" s="376">
        <f>ROUND(('Changing with year'!N106)/1000,0)*1000</f>
        <v>4932000</v>
      </c>
      <c r="O98" s="376">
        <f>ROUND(('Changing with year'!O106)/1000,0)*1000</f>
        <v>5067000</v>
      </c>
      <c r="P98" s="376">
        <f>ROUND(('Changing with year'!P106)/1000,0)*1000</f>
        <v>5206000</v>
      </c>
      <c r="Q98" s="376">
        <f>ROUND(('Changing with year'!Q106)/1000,0)*1000</f>
        <v>5349000</v>
      </c>
      <c r="R98" s="376">
        <f>ROUND(('Changing with year'!R106)/1000,0)*1000</f>
        <v>5496000</v>
      </c>
      <c r="S98" s="376">
        <f>ROUND(('Changing with year'!S106)/1000,0)*1000</f>
        <v>5647000</v>
      </c>
      <c r="T98" s="376">
        <f>ROUND(('Changing with year'!T106)/1000,0)*1000</f>
        <v>5803000</v>
      </c>
      <c r="U98" s="376">
        <f>ROUND(('Changing with year'!U106)/1000,0)*1000</f>
        <v>5964000</v>
      </c>
      <c r="V98" s="376">
        <f>ROUND(('Changing with year'!V106)/1000,0)*1000</f>
        <v>6129000</v>
      </c>
      <c r="W98" s="376">
        <f>ROUND(('Changing with year'!W106)/1000,0)*1000</f>
        <v>6298000</v>
      </c>
      <c r="X98" s="376">
        <f>ROUND(('Changing with year'!X106)/1000,0)*1000</f>
        <v>6473000</v>
      </c>
      <c r="Y98" s="376">
        <f>ROUND(('Changing with year'!Y106)/1000,0)*1000</f>
        <v>6653000</v>
      </c>
      <c r="Z98" s="376">
        <f>ROUND(('Changing with year'!Z106)/1000,0)*1000</f>
        <v>6838000</v>
      </c>
      <c r="AA98" s="376">
        <f>ROUND(('Changing with year'!AA106)/1000,0)*1000</f>
        <v>7029000</v>
      </c>
      <c r="AB98" s="376">
        <f>ROUND(('Changing with year'!AB106)/1000,0)*1000</f>
        <v>7225000</v>
      </c>
      <c r="AC98" s="376">
        <f>ROUND(('Changing with year'!AC106)/1000,0)*1000</f>
        <v>7427000</v>
      </c>
      <c r="AD98" s="376">
        <f>ROUND(('Changing with year'!AD106)/1000,0)*1000</f>
        <v>7635000</v>
      </c>
      <c r="AE98" s="376">
        <f>ROUND(('Changing with year'!AE106)/1000,0)*1000</f>
        <v>7849000</v>
      </c>
      <c r="AF98" s="376">
        <f>ROUND(('Changing with year'!AF106)/1000,0)*1000</f>
        <v>8069000</v>
      </c>
      <c r="AG98" s="376">
        <f>ROUND(('Changing with year'!AG106)/1000,0)*1000</f>
        <v>8295000</v>
      </c>
    </row>
    <row r="99" spans="1:34">
      <c r="A99" s="300" t="s">
        <v>310</v>
      </c>
      <c r="B99" s="300" t="s">
        <v>309</v>
      </c>
      <c r="C99" s="376">
        <f>(C98*'No change with year'!$AE$8)</f>
        <v>1665000</v>
      </c>
      <c r="D99" s="376">
        <f>(D98*'No change with year'!$AE$8)</f>
        <v>1709500</v>
      </c>
      <c r="E99" s="376">
        <f>(E98*'No change with year'!$AE$8)</f>
        <v>1755000</v>
      </c>
      <c r="F99" s="376">
        <f>(F98*'No change with year'!$AE$8)</f>
        <v>1801500</v>
      </c>
      <c r="G99" s="376">
        <f>(G98*'No change with year'!$AE$8)</f>
        <v>1849500</v>
      </c>
      <c r="H99" s="376">
        <f>(H98*'No change with year'!$AE$8)</f>
        <v>2099000</v>
      </c>
      <c r="I99" s="376">
        <f>(I98*'No change with year'!$AE$8)</f>
        <v>2156000</v>
      </c>
      <c r="J99" s="376">
        <f>(J98*'No change with year'!$AE$8)</f>
        <v>2214500</v>
      </c>
      <c r="K99" s="376">
        <f>(K98*'No change with year'!$AE$8)</f>
        <v>2274500</v>
      </c>
      <c r="L99" s="376">
        <f>(L98*'No change with year'!$AE$8)</f>
        <v>2336500</v>
      </c>
      <c r="M99" s="376">
        <f>(M98*'No change with year'!$AE$8)</f>
        <v>2400500</v>
      </c>
      <c r="N99" s="376">
        <f>(N98*'No change with year'!$AF$8)</f>
        <v>1972800.0000000005</v>
      </c>
      <c r="O99" s="376">
        <f>(O98*'No change with year'!$AF$8)</f>
        <v>2026800.0000000005</v>
      </c>
      <c r="P99" s="376">
        <f>(P98*'No change with year'!$AF$8)</f>
        <v>2082400.0000000005</v>
      </c>
      <c r="Q99" s="376">
        <f>(Q98*'No change with year'!$AF$8)</f>
        <v>2139600.0000000005</v>
      </c>
      <c r="R99" s="376">
        <f>(R98*'No change with year'!$AF$8)</f>
        <v>2198400.0000000005</v>
      </c>
      <c r="S99" s="376">
        <f>(S98*'No change with year'!$AF$8)</f>
        <v>2258800.0000000005</v>
      </c>
      <c r="T99" s="376">
        <f>(T98*'No change with year'!$AF$8)</f>
        <v>2321200.0000000005</v>
      </c>
      <c r="U99" s="376">
        <f>(U98*'No change with year'!$AF$8)</f>
        <v>2385600.0000000005</v>
      </c>
      <c r="V99" s="376">
        <f>(V98*'No change with year'!$AF$8)</f>
        <v>2451600.0000000005</v>
      </c>
      <c r="W99" s="376">
        <f>(W98*'No change with year'!$AF$8)</f>
        <v>2519200.0000000005</v>
      </c>
      <c r="X99" s="376">
        <f>(X98*'No change with year'!$AG$8)</f>
        <v>1941900.0000000002</v>
      </c>
      <c r="Y99" s="376">
        <f>(Y98*'No change with year'!$AG$8)</f>
        <v>1995900.0000000002</v>
      </c>
      <c r="Z99" s="376">
        <f>(Z98*'No change with year'!$AG$8)</f>
        <v>2051400.0000000002</v>
      </c>
      <c r="AA99" s="376">
        <f>(AA98*'No change with year'!$AG$8)</f>
        <v>2108700.0000000005</v>
      </c>
      <c r="AB99" s="376">
        <f>(AB98*'No change with year'!$AG$8)</f>
        <v>2167500.0000000005</v>
      </c>
      <c r="AC99" s="376">
        <f>(AC98*'No change with year'!$AG$8)</f>
        <v>2228100.0000000005</v>
      </c>
      <c r="AD99" s="376">
        <f>(AD98*'No change with year'!$AG$8)</f>
        <v>2290500.0000000005</v>
      </c>
      <c r="AE99" s="376">
        <f>(AE98*'No change with year'!$AG$8)</f>
        <v>2354700.0000000005</v>
      </c>
      <c r="AF99" s="376">
        <f>(AF98*'No change with year'!$AG$8)</f>
        <v>2420700.0000000005</v>
      </c>
      <c r="AG99" s="376">
        <f>(AG98*'No change with year'!$AG$8)</f>
        <v>2488500.0000000005</v>
      </c>
    </row>
    <row r="100" spans="1:34" s="371" customFormat="1" ht="11.85" customHeight="1">
      <c r="A100" s="428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00" t="s">
        <v>312</v>
      </c>
      <c r="B101" s="300" t="s">
        <v>313</v>
      </c>
      <c r="C101" s="376">
        <f t="shared" ref="C101:AG101" si="27">-PMT($C$26,$C$25,C98)</f>
        <v>729662.06055163161</v>
      </c>
      <c r="D101" s="376">
        <f t="shared" si="27"/>
        <v>749163.53904685541</v>
      </c>
      <c r="E101" s="376">
        <f t="shared" si="27"/>
        <v>769103.25301388197</v>
      </c>
      <c r="F101" s="376">
        <f t="shared" si="27"/>
        <v>789481.20245271141</v>
      </c>
      <c r="G101" s="376">
        <f t="shared" si="27"/>
        <v>810516.50509924477</v>
      </c>
      <c r="H101" s="376">
        <f t="shared" si="27"/>
        <v>919856.25531403883</v>
      </c>
      <c r="I101" s="376">
        <f t="shared" si="27"/>
        <v>944835.67720679753</v>
      </c>
      <c r="J101" s="376">
        <f t="shared" si="27"/>
        <v>970472.45230726025</v>
      </c>
      <c r="K101" s="376">
        <f t="shared" si="27"/>
        <v>996766.580615427</v>
      </c>
      <c r="L101" s="376">
        <f t="shared" si="27"/>
        <v>1023937.1798671996</v>
      </c>
      <c r="M101" s="376">
        <f t="shared" si="27"/>
        <v>1051984.2500625777</v>
      </c>
      <c r="N101" s="376">
        <f t="shared" si="27"/>
        <v>1080688.6734656598</v>
      </c>
      <c r="O101" s="376">
        <f t="shared" si="27"/>
        <v>1110269.5678123476</v>
      </c>
      <c r="P101" s="376">
        <f t="shared" si="27"/>
        <v>1140726.933102641</v>
      </c>
      <c r="Q101" s="376">
        <f t="shared" si="27"/>
        <v>1172060.7693365398</v>
      </c>
      <c r="R101" s="376">
        <f t="shared" si="27"/>
        <v>1204271.0765140443</v>
      </c>
      <c r="S101" s="376">
        <f t="shared" si="27"/>
        <v>1237357.8546351544</v>
      </c>
      <c r="T101" s="376">
        <f t="shared" si="27"/>
        <v>1271540.2214357713</v>
      </c>
      <c r="U101" s="376">
        <f t="shared" si="27"/>
        <v>1306818.1769158952</v>
      </c>
      <c r="V101" s="376">
        <f t="shared" si="27"/>
        <v>1342972.6033396248</v>
      </c>
      <c r="W101" s="376">
        <f t="shared" si="27"/>
        <v>1380003.5007069597</v>
      </c>
      <c r="X101" s="376">
        <f t="shared" si="27"/>
        <v>1418349.1044897032</v>
      </c>
      <c r="Y101" s="376">
        <f t="shared" si="27"/>
        <v>1457790.2969519536</v>
      </c>
      <c r="Z101" s="376">
        <f t="shared" si="27"/>
        <v>1498327.0780937108</v>
      </c>
      <c r="AA101" s="376">
        <f t="shared" si="27"/>
        <v>1540178.5656508764</v>
      </c>
      <c r="AB101" s="376">
        <f t="shared" si="27"/>
        <v>1583125.6418875491</v>
      </c>
      <c r="AC101" s="376">
        <f t="shared" si="27"/>
        <v>1627387.4245396301</v>
      </c>
      <c r="AD101" s="376">
        <f t="shared" si="27"/>
        <v>1672963.9136071193</v>
      </c>
      <c r="AE101" s="376">
        <f t="shared" si="27"/>
        <v>1719855.1090900169</v>
      </c>
      <c r="AF101" s="376">
        <f t="shared" si="27"/>
        <v>1768061.0109883228</v>
      </c>
      <c r="AG101" s="376">
        <f t="shared" si="27"/>
        <v>1817581.6193020374</v>
      </c>
    </row>
    <row r="102" spans="1:34">
      <c r="A102" s="300" t="s">
        <v>321</v>
      </c>
      <c r="B102" s="300" t="s">
        <v>309</v>
      </c>
      <c r="C102" s="376">
        <f t="shared" ref="C102:AG102" si="28">$E$37*C44</f>
        <v>1723846.1538461538</v>
      </c>
      <c r="D102" s="376">
        <f t="shared" si="28"/>
        <v>1786153.8461538462</v>
      </c>
      <c r="E102" s="376">
        <f t="shared" si="28"/>
        <v>1839738.4615384615</v>
      </c>
      <c r="F102" s="376">
        <f t="shared" si="28"/>
        <v>1894930.6153846153</v>
      </c>
      <c r="G102" s="376">
        <f t="shared" si="28"/>
        <v>1951778.5338461536</v>
      </c>
      <c r="H102" s="376">
        <f t="shared" si="28"/>
        <v>2010331.8898615385</v>
      </c>
      <c r="I102" s="376">
        <f t="shared" si="28"/>
        <v>2070641.8465573848</v>
      </c>
      <c r="J102" s="376">
        <f t="shared" si="28"/>
        <v>2132761.1019541062</v>
      </c>
      <c r="K102" s="376">
        <f t="shared" si="28"/>
        <v>2196743.9350127298</v>
      </c>
      <c r="L102" s="376">
        <f t="shared" si="28"/>
        <v>2262646.2530631116</v>
      </c>
      <c r="M102" s="376">
        <f t="shared" si="28"/>
        <v>2330525.6406550049</v>
      </c>
      <c r="N102" s="376">
        <f t="shared" si="28"/>
        <v>2400441.4098746553</v>
      </c>
      <c r="O102" s="376">
        <f t="shared" si="28"/>
        <v>2472454.6521708947</v>
      </c>
      <c r="P102" s="376">
        <f t="shared" si="28"/>
        <v>2546628.2917360216</v>
      </c>
      <c r="Q102" s="376">
        <f t="shared" si="28"/>
        <v>2623027.1404881026</v>
      </c>
      <c r="R102" s="376">
        <f t="shared" si="28"/>
        <v>2701717.9547027457</v>
      </c>
      <c r="S102" s="376">
        <f t="shared" si="28"/>
        <v>2782769.4933438278</v>
      </c>
      <c r="T102" s="376">
        <f t="shared" si="28"/>
        <v>2866252.5781441429</v>
      </c>
      <c r="U102" s="376">
        <f t="shared" si="28"/>
        <v>2952240.1554884673</v>
      </c>
      <c r="V102" s="376">
        <f t="shared" si="28"/>
        <v>3040807.3601531214</v>
      </c>
      <c r="W102" s="376">
        <f t="shared" si="28"/>
        <v>3132031.5809577149</v>
      </c>
      <c r="X102" s="376">
        <f t="shared" si="28"/>
        <v>3225992.5283864466</v>
      </c>
      <c r="Y102" s="376">
        <f t="shared" si="28"/>
        <v>3322772.3042380405</v>
      </c>
      <c r="Z102" s="376">
        <f t="shared" si="28"/>
        <v>3422455.4733651816</v>
      </c>
      <c r="AA102" s="376">
        <f t="shared" si="28"/>
        <v>3525129.1375661371</v>
      </c>
      <c r="AB102" s="376">
        <f t="shared" si="28"/>
        <v>3630883.0116931214</v>
      </c>
      <c r="AC102" s="376">
        <f t="shared" si="28"/>
        <v>3739809.502043915</v>
      </c>
      <c r="AD102" s="376">
        <f t="shared" si="28"/>
        <v>3852003.7871052325</v>
      </c>
      <c r="AE102" s="376">
        <f t="shared" si="28"/>
        <v>3967563.9007183895</v>
      </c>
      <c r="AF102" s="376">
        <f t="shared" si="28"/>
        <v>4086590.8177399412</v>
      </c>
      <c r="AG102" s="376">
        <f t="shared" si="28"/>
        <v>4209188.5422721393</v>
      </c>
    </row>
    <row r="103" spans="1:34">
      <c r="A103" s="300" t="s">
        <v>317</v>
      </c>
      <c r="B103" s="300" t="s">
        <v>309</v>
      </c>
      <c r="C103" s="376">
        <f t="shared" ref="C103:AG103" si="29">C56*$C$21*$C$22</f>
        <v>356400</v>
      </c>
      <c r="D103" s="376">
        <f t="shared" si="29"/>
        <v>370656</v>
      </c>
      <c r="E103" s="376">
        <f t="shared" si="29"/>
        <v>385482.24000000005</v>
      </c>
      <c r="F103" s="376">
        <f t="shared" si="29"/>
        <v>400901.52960000001</v>
      </c>
      <c r="G103" s="376">
        <f t="shared" si="29"/>
        <v>416937.59078400006</v>
      </c>
      <c r="H103" s="376">
        <f t="shared" si="29"/>
        <v>433615.09441536001</v>
      </c>
      <c r="I103" s="376">
        <f t="shared" si="29"/>
        <v>450959.69819197449</v>
      </c>
      <c r="J103" s="376">
        <f t="shared" si="29"/>
        <v>468998.08611965342</v>
      </c>
      <c r="K103" s="376">
        <f t="shared" si="29"/>
        <v>487758.00956443953</v>
      </c>
      <c r="L103" s="376">
        <f t="shared" si="29"/>
        <v>507268.32994701713</v>
      </c>
      <c r="M103" s="376">
        <f t="shared" si="29"/>
        <v>527559.06314489793</v>
      </c>
      <c r="N103" s="376">
        <f t="shared" si="29"/>
        <v>548661.42567069386</v>
      </c>
      <c r="O103" s="376">
        <f t="shared" si="29"/>
        <v>570607.88269752159</v>
      </c>
      <c r="P103" s="376">
        <f t="shared" si="29"/>
        <v>593432.19800542248</v>
      </c>
      <c r="Q103" s="376">
        <f t="shared" si="29"/>
        <v>617169.48592563928</v>
      </c>
      <c r="R103" s="376">
        <f t="shared" si="29"/>
        <v>641856.26536266506</v>
      </c>
      <c r="S103" s="376">
        <f t="shared" si="29"/>
        <v>667530.5159771716</v>
      </c>
      <c r="T103" s="376">
        <f t="shared" si="29"/>
        <v>694231.73661625851</v>
      </c>
      <c r="U103" s="376">
        <f t="shared" si="29"/>
        <v>722001.00608090882</v>
      </c>
      <c r="V103" s="376">
        <f t="shared" si="29"/>
        <v>750881.04632414528</v>
      </c>
      <c r="W103" s="376">
        <f t="shared" si="29"/>
        <v>780916.28817711107</v>
      </c>
      <c r="X103" s="376">
        <f t="shared" si="29"/>
        <v>812152.93970419536</v>
      </c>
      <c r="Y103" s="376">
        <f t="shared" si="29"/>
        <v>844639.05729236337</v>
      </c>
      <c r="Z103" s="376">
        <f t="shared" si="29"/>
        <v>878424.61958405795</v>
      </c>
      <c r="AA103" s="376">
        <f t="shared" si="29"/>
        <v>913561.60436742019</v>
      </c>
      <c r="AB103" s="376">
        <f t="shared" si="29"/>
        <v>950104.06854211714</v>
      </c>
      <c r="AC103" s="376">
        <f t="shared" si="29"/>
        <v>988108.23128380207</v>
      </c>
      <c r="AD103" s="376">
        <f t="shared" si="29"/>
        <v>1027632.5605351541</v>
      </c>
      <c r="AE103" s="376">
        <f t="shared" si="29"/>
        <v>1068737.86295656</v>
      </c>
      <c r="AF103" s="376">
        <f t="shared" si="29"/>
        <v>1111487.3774748226</v>
      </c>
      <c r="AG103" s="376">
        <f t="shared" si="29"/>
        <v>1155946.8725738155</v>
      </c>
    </row>
    <row r="104" spans="1:34">
      <c r="A104" s="300" t="s">
        <v>318</v>
      </c>
      <c r="B104" s="300" t="s">
        <v>313</v>
      </c>
      <c r="C104" s="376">
        <f>'Changing with year'!C288</f>
        <v>400000</v>
      </c>
      <c r="D104" s="376">
        <f>'Changing with year'!D288</f>
        <v>418000</v>
      </c>
      <c r="E104" s="376">
        <f>'Changing with year'!E288</f>
        <v>437000</v>
      </c>
      <c r="F104" s="376">
        <f>'Changing with year'!F288</f>
        <v>457000</v>
      </c>
      <c r="G104" s="376">
        <f>'Changing with year'!G288</f>
        <v>478000</v>
      </c>
      <c r="H104" s="376">
        <f>'Changing with year'!H288</f>
        <v>500000</v>
      </c>
      <c r="I104" s="376">
        <f>'Changing with year'!I288</f>
        <v>523000</v>
      </c>
      <c r="J104" s="376">
        <f>'Changing with year'!J288</f>
        <v>547000</v>
      </c>
      <c r="K104" s="376">
        <f>'Changing with year'!K288</f>
        <v>572000</v>
      </c>
      <c r="L104" s="376">
        <f>'Changing with year'!L288</f>
        <v>598000</v>
      </c>
      <c r="M104" s="376">
        <f>'Changing with year'!M288</f>
        <v>625000</v>
      </c>
      <c r="N104" s="376">
        <f>'Changing with year'!N288</f>
        <v>653000</v>
      </c>
      <c r="O104" s="376">
        <f>'Changing with year'!O288</f>
        <v>682000</v>
      </c>
      <c r="P104" s="376">
        <f>'Changing with year'!P288</f>
        <v>713000</v>
      </c>
      <c r="Q104" s="376">
        <f>'Changing with year'!Q288</f>
        <v>745000</v>
      </c>
      <c r="R104" s="376">
        <f>'Changing with year'!R288</f>
        <v>779000</v>
      </c>
      <c r="S104" s="376">
        <f>'Changing with year'!S288</f>
        <v>814000</v>
      </c>
      <c r="T104" s="376">
        <f>'Changing with year'!T288</f>
        <v>851000</v>
      </c>
      <c r="U104" s="376">
        <f>'Changing with year'!U288</f>
        <v>889000</v>
      </c>
      <c r="V104" s="376">
        <f>'Changing with year'!V288</f>
        <v>929000</v>
      </c>
      <c r="W104" s="376">
        <f>'Changing with year'!W288</f>
        <v>971000</v>
      </c>
      <c r="X104" s="376">
        <f>'Changing with year'!X288</f>
        <v>1015000</v>
      </c>
      <c r="Y104" s="376">
        <f>'Changing with year'!Y288</f>
        <v>1061000</v>
      </c>
      <c r="Z104" s="376">
        <f>'Changing with year'!Z288</f>
        <v>1109000</v>
      </c>
      <c r="AA104" s="376">
        <f>'Changing with year'!AA288</f>
        <v>1159000</v>
      </c>
      <c r="AB104" s="376">
        <f>'Changing with year'!AB288</f>
        <v>1211000</v>
      </c>
      <c r="AC104" s="376">
        <f>'Changing with year'!AC288</f>
        <v>1265000</v>
      </c>
      <c r="AD104" s="376">
        <f>'Changing with year'!AD288</f>
        <v>1322000</v>
      </c>
      <c r="AE104" s="376">
        <f>'Changing with year'!AE288</f>
        <v>1381000</v>
      </c>
      <c r="AF104" s="376">
        <f>'Changing with year'!AF288</f>
        <v>1443000</v>
      </c>
      <c r="AG104" s="376">
        <f>'Changing with year'!AG288</f>
        <v>1508000</v>
      </c>
      <c r="AH104" s="339"/>
    </row>
    <row r="105" spans="1:34">
      <c r="A105" s="300" t="s">
        <v>272</v>
      </c>
      <c r="B105" s="300" t="s">
        <v>313</v>
      </c>
      <c r="C105" s="376">
        <f t="shared" ref="C105:AG105" si="30">C59</f>
        <v>572400</v>
      </c>
      <c r="D105" s="376">
        <f t="shared" si="30"/>
        <v>578124</v>
      </c>
      <c r="E105" s="376">
        <f t="shared" si="30"/>
        <v>583905.24</v>
      </c>
      <c r="F105" s="376">
        <f t="shared" si="30"/>
        <v>589744.29240000003</v>
      </c>
      <c r="G105" s="376">
        <f t="shared" si="30"/>
        <v>595641.73532400001</v>
      </c>
      <c r="H105" s="376">
        <f t="shared" si="30"/>
        <v>601598.15267724008</v>
      </c>
      <c r="I105" s="376">
        <f t="shared" si="30"/>
        <v>607614.13420401246</v>
      </c>
      <c r="J105" s="376">
        <f t="shared" si="30"/>
        <v>613690.27554605249</v>
      </c>
      <c r="K105" s="376">
        <f t="shared" si="30"/>
        <v>619827.17830151308</v>
      </c>
      <c r="L105" s="376">
        <f t="shared" si="30"/>
        <v>626025.45008452807</v>
      </c>
      <c r="M105" s="376">
        <f t="shared" si="30"/>
        <v>632285.7045853734</v>
      </c>
      <c r="N105" s="376">
        <f t="shared" si="30"/>
        <v>638608.56163122714</v>
      </c>
      <c r="O105" s="376">
        <f t="shared" si="30"/>
        <v>644994.64724753937</v>
      </c>
      <c r="P105" s="376">
        <f t="shared" si="30"/>
        <v>651444.59372001479</v>
      </c>
      <c r="Q105" s="376">
        <f t="shared" si="30"/>
        <v>657959.03965721501</v>
      </c>
      <c r="R105" s="376">
        <f t="shared" si="30"/>
        <v>664538.63005378714</v>
      </c>
      <c r="S105" s="376">
        <f t="shared" si="30"/>
        <v>671184.01635432511</v>
      </c>
      <c r="T105" s="376">
        <f t="shared" si="30"/>
        <v>677895.85651786823</v>
      </c>
      <c r="U105" s="376">
        <f t="shared" si="30"/>
        <v>684674.81508304703</v>
      </c>
      <c r="V105" s="376">
        <f t="shared" si="30"/>
        <v>691521.56323387753</v>
      </c>
      <c r="W105" s="376">
        <f t="shared" si="30"/>
        <v>698436.77886621631</v>
      </c>
      <c r="X105" s="376">
        <f t="shared" si="30"/>
        <v>705421.14665487851</v>
      </c>
      <c r="Y105" s="376">
        <f t="shared" si="30"/>
        <v>712475.35812142724</v>
      </c>
      <c r="Z105" s="376">
        <f t="shared" si="30"/>
        <v>719600.11170264147</v>
      </c>
      <c r="AA105" s="376">
        <f t="shared" si="30"/>
        <v>726796.11281966791</v>
      </c>
      <c r="AB105" s="376">
        <f t="shared" si="30"/>
        <v>734064.0739478647</v>
      </c>
      <c r="AC105" s="376">
        <f t="shared" si="30"/>
        <v>741404.71468734322</v>
      </c>
      <c r="AD105" s="376">
        <f t="shared" si="30"/>
        <v>748818.76183421677</v>
      </c>
      <c r="AE105" s="376">
        <f t="shared" si="30"/>
        <v>756306.94945255888</v>
      </c>
      <c r="AF105" s="376">
        <f t="shared" si="30"/>
        <v>763870.01894708455</v>
      </c>
      <c r="AG105" s="376">
        <f t="shared" si="30"/>
        <v>771508.71913655533</v>
      </c>
    </row>
    <row r="106" spans="1:34">
      <c r="A106" s="300" t="s">
        <v>319</v>
      </c>
      <c r="B106" s="300" t="s">
        <v>309</v>
      </c>
      <c r="C106" s="376">
        <f t="shared" ref="C106:AG106" si="31">C98*$C$29</f>
        <v>66600</v>
      </c>
      <c r="D106" s="376">
        <f t="shared" si="31"/>
        <v>68380</v>
      </c>
      <c r="E106" s="376">
        <f t="shared" si="31"/>
        <v>70200</v>
      </c>
      <c r="F106" s="376">
        <f t="shared" si="31"/>
        <v>72060</v>
      </c>
      <c r="G106" s="376">
        <f t="shared" si="31"/>
        <v>73980</v>
      </c>
      <c r="H106" s="376">
        <f t="shared" si="31"/>
        <v>83960</v>
      </c>
      <c r="I106" s="376">
        <f t="shared" si="31"/>
        <v>86240</v>
      </c>
      <c r="J106" s="376">
        <f t="shared" si="31"/>
        <v>88580</v>
      </c>
      <c r="K106" s="376">
        <f t="shared" si="31"/>
        <v>90980</v>
      </c>
      <c r="L106" s="376">
        <f t="shared" si="31"/>
        <v>93460</v>
      </c>
      <c r="M106" s="376">
        <f t="shared" si="31"/>
        <v>96020</v>
      </c>
      <c r="N106" s="376">
        <f t="shared" si="31"/>
        <v>98640</v>
      </c>
      <c r="O106" s="376">
        <f t="shared" si="31"/>
        <v>101340</v>
      </c>
      <c r="P106" s="376">
        <f t="shared" si="31"/>
        <v>104120</v>
      </c>
      <c r="Q106" s="376">
        <f t="shared" si="31"/>
        <v>106980</v>
      </c>
      <c r="R106" s="376">
        <f t="shared" si="31"/>
        <v>109920</v>
      </c>
      <c r="S106" s="376">
        <f t="shared" si="31"/>
        <v>112940</v>
      </c>
      <c r="T106" s="376">
        <f t="shared" si="31"/>
        <v>116060</v>
      </c>
      <c r="U106" s="376">
        <f t="shared" si="31"/>
        <v>119280</v>
      </c>
      <c r="V106" s="376">
        <f t="shared" si="31"/>
        <v>122580</v>
      </c>
      <c r="W106" s="376">
        <f t="shared" si="31"/>
        <v>125960</v>
      </c>
      <c r="X106" s="376">
        <f t="shared" si="31"/>
        <v>129460</v>
      </c>
      <c r="Y106" s="376">
        <f t="shared" si="31"/>
        <v>133060</v>
      </c>
      <c r="Z106" s="376">
        <f t="shared" si="31"/>
        <v>136760</v>
      </c>
      <c r="AA106" s="376">
        <f t="shared" si="31"/>
        <v>140580</v>
      </c>
      <c r="AB106" s="376">
        <f t="shared" si="31"/>
        <v>144500</v>
      </c>
      <c r="AC106" s="376">
        <f t="shared" si="31"/>
        <v>148540</v>
      </c>
      <c r="AD106" s="376">
        <f t="shared" si="31"/>
        <v>152700</v>
      </c>
      <c r="AE106" s="376">
        <f t="shared" si="31"/>
        <v>156980</v>
      </c>
      <c r="AF106" s="376">
        <f t="shared" si="31"/>
        <v>161380</v>
      </c>
      <c r="AG106" s="376">
        <f t="shared" si="31"/>
        <v>165900</v>
      </c>
    </row>
    <row r="107" spans="1:34" s="371" customFormat="1" ht="11.85" customHeight="1">
      <c r="A107" s="428" t="s">
        <v>320</v>
      </c>
    </row>
    <row r="108" spans="1:34">
      <c r="A108" s="300" t="s">
        <v>325</v>
      </c>
      <c r="B108" s="300" t="s">
        <v>300</v>
      </c>
      <c r="C108" s="379">
        <f t="shared" ref="C108:AG108" si="32">C101/($C$22*$C$21)</f>
        <v>6.7561301902928852</v>
      </c>
      <c r="D108" s="379">
        <f t="shared" si="32"/>
        <v>6.9366994356190315</v>
      </c>
      <c r="E108" s="379">
        <f t="shared" si="32"/>
        <v>7.1213264167952035</v>
      </c>
      <c r="F108" s="379">
        <f t="shared" si="32"/>
        <v>7.3100111338214022</v>
      </c>
      <c r="G108" s="379">
        <f t="shared" si="32"/>
        <v>7.5047824546226369</v>
      </c>
      <c r="H108" s="379">
        <f t="shared" si="32"/>
        <v>8.5171875492040634</v>
      </c>
      <c r="I108" s="379">
        <f t="shared" si="32"/>
        <v>8.7484784926555328</v>
      </c>
      <c r="J108" s="379">
        <f t="shared" si="32"/>
        <v>8.9858560398820391</v>
      </c>
      <c r="K108" s="379">
        <f t="shared" si="32"/>
        <v>9.229320190883584</v>
      </c>
      <c r="L108" s="379">
        <f t="shared" si="32"/>
        <v>9.4808998135851823</v>
      </c>
      <c r="M108" s="379">
        <f t="shared" si="32"/>
        <v>9.7405949079868304</v>
      </c>
      <c r="N108" s="379">
        <f t="shared" si="32"/>
        <v>10.006376606163517</v>
      </c>
      <c r="O108" s="379">
        <f t="shared" si="32"/>
        <v>10.280273776040255</v>
      </c>
      <c r="P108" s="379">
        <f t="shared" si="32"/>
        <v>10.562286417617047</v>
      </c>
      <c r="Q108" s="379">
        <f t="shared" si="32"/>
        <v>10.852414530893887</v>
      </c>
      <c r="R108" s="379">
        <f t="shared" si="32"/>
        <v>11.150658115870781</v>
      </c>
      <c r="S108" s="379">
        <f t="shared" si="32"/>
        <v>11.457017172547726</v>
      </c>
      <c r="T108" s="379">
        <f t="shared" si="32"/>
        <v>11.773520568849735</v>
      </c>
      <c r="U108" s="379">
        <f t="shared" si="32"/>
        <v>12.100168304776806</v>
      </c>
      <c r="V108" s="379">
        <f t="shared" si="32"/>
        <v>12.434931512403933</v>
      </c>
      <c r="W108" s="379">
        <f t="shared" si="32"/>
        <v>12.777810191731108</v>
      </c>
      <c r="X108" s="379">
        <f t="shared" si="32"/>
        <v>13.132862078608364</v>
      </c>
      <c r="Y108" s="379">
        <f t="shared" si="32"/>
        <v>13.498058305110682</v>
      </c>
      <c r="Z108" s="379">
        <f t="shared" si="32"/>
        <v>13.873398871238063</v>
      </c>
      <c r="AA108" s="379">
        <f t="shared" si="32"/>
        <v>14.260912644915521</v>
      </c>
      <c r="AB108" s="379">
        <f t="shared" si="32"/>
        <v>14.658570758218048</v>
      </c>
      <c r="AC108" s="379">
        <f t="shared" si="32"/>
        <v>15.068402079070649</v>
      </c>
      <c r="AD108" s="379">
        <f t="shared" si="32"/>
        <v>15.490406607473327</v>
      </c>
      <c r="AE108" s="379">
        <f t="shared" si="32"/>
        <v>15.924584343426083</v>
      </c>
      <c r="AF108" s="379">
        <f t="shared" si="32"/>
        <v>16.370935286928916</v>
      </c>
      <c r="AG108" s="379">
        <f t="shared" si="32"/>
        <v>16.829459437981829</v>
      </c>
    </row>
    <row r="109" spans="1:34">
      <c r="A109" s="300" t="s">
        <v>321</v>
      </c>
      <c r="B109" s="300" t="s">
        <v>300</v>
      </c>
      <c r="C109" s="379">
        <f t="shared" ref="C109:AG109" si="33">C102/($C$22*$C$21)</f>
        <v>15.96153846153846</v>
      </c>
      <c r="D109" s="379">
        <f t="shared" si="33"/>
        <v>16.53846153846154</v>
      </c>
      <c r="E109" s="379">
        <f t="shared" si="33"/>
        <v>17.034615384615385</v>
      </c>
      <c r="F109" s="379">
        <f t="shared" si="33"/>
        <v>17.545653846153844</v>
      </c>
      <c r="G109" s="379">
        <f t="shared" si="33"/>
        <v>18.072023461538461</v>
      </c>
      <c r="H109" s="379">
        <f t="shared" si="33"/>
        <v>18.614184165384618</v>
      </c>
      <c r="I109" s="379">
        <f t="shared" si="33"/>
        <v>19.172609690346157</v>
      </c>
      <c r="J109" s="379">
        <f t="shared" si="33"/>
        <v>19.74778798105654</v>
      </c>
      <c r="K109" s="379">
        <f t="shared" si="33"/>
        <v>20.34022162048824</v>
      </c>
      <c r="L109" s="379">
        <f t="shared" si="33"/>
        <v>20.950428269102886</v>
      </c>
      <c r="M109" s="379">
        <f t="shared" si="33"/>
        <v>21.578941117175972</v>
      </c>
      <c r="N109" s="379">
        <f t="shared" si="33"/>
        <v>22.226309350691253</v>
      </c>
      <c r="O109" s="379">
        <f t="shared" si="33"/>
        <v>22.893098631211988</v>
      </c>
      <c r="P109" s="379">
        <f t="shared" si="33"/>
        <v>23.57989159014835</v>
      </c>
      <c r="Q109" s="379">
        <f t="shared" si="33"/>
        <v>24.2872883378528</v>
      </c>
      <c r="R109" s="379">
        <f t="shared" si="33"/>
        <v>25.015906987988387</v>
      </c>
      <c r="S109" s="379">
        <f t="shared" si="33"/>
        <v>25.766384197628035</v>
      </c>
      <c r="T109" s="379">
        <f t="shared" si="33"/>
        <v>26.53937572355688</v>
      </c>
      <c r="U109" s="379">
        <f t="shared" si="33"/>
        <v>27.335556995263588</v>
      </c>
      <c r="V109" s="379">
        <f t="shared" si="33"/>
        <v>28.155623705121496</v>
      </c>
      <c r="W109" s="379">
        <f t="shared" si="33"/>
        <v>29.000292416275137</v>
      </c>
      <c r="X109" s="379">
        <f t="shared" si="33"/>
        <v>29.870301188763396</v>
      </c>
      <c r="Y109" s="379">
        <f t="shared" si="33"/>
        <v>30.766410224426302</v>
      </c>
      <c r="Z109" s="379">
        <f t="shared" si="33"/>
        <v>31.689402531159089</v>
      </c>
      <c r="AA109" s="379">
        <f t="shared" si="33"/>
        <v>32.640084607093861</v>
      </c>
      <c r="AB109" s="379">
        <f t="shared" si="33"/>
        <v>33.619287145306679</v>
      </c>
      <c r="AC109" s="379">
        <f t="shared" si="33"/>
        <v>34.62786575966588</v>
      </c>
      <c r="AD109" s="379">
        <f t="shared" si="33"/>
        <v>35.666701732455856</v>
      </c>
      <c r="AE109" s="379">
        <f t="shared" si="33"/>
        <v>36.736702784429532</v>
      </c>
      <c r="AF109" s="379">
        <f t="shared" si="33"/>
        <v>37.838803867962419</v>
      </c>
      <c r="AG109" s="379">
        <f t="shared" si="33"/>
        <v>38.973967984001291</v>
      </c>
    </row>
    <row r="110" spans="1:34">
      <c r="A110" s="300" t="s">
        <v>322</v>
      </c>
      <c r="B110" s="300" t="s">
        <v>300</v>
      </c>
      <c r="C110" s="379">
        <f t="shared" ref="C110:AG110" si="34">(C103+C104+C105+C106)/($C$22*$C$21)</f>
        <v>12.920370370370371</v>
      </c>
      <c r="D110" s="379">
        <f t="shared" si="34"/>
        <v>13.288518518518519</v>
      </c>
      <c r="E110" s="379">
        <f t="shared" si="34"/>
        <v>13.672106296296295</v>
      </c>
      <c r="F110" s="379">
        <f t="shared" si="34"/>
        <v>14.071350203703705</v>
      </c>
      <c r="G110" s="379">
        <f t="shared" si="34"/>
        <v>14.486660426925926</v>
      </c>
      <c r="H110" s="379">
        <f t="shared" si="34"/>
        <v>14.992344880487037</v>
      </c>
      <c r="I110" s="379">
        <f t="shared" si="34"/>
        <v>15.442720670333214</v>
      </c>
      <c r="J110" s="379">
        <f t="shared" si="34"/>
        <v>15.909892237645424</v>
      </c>
      <c r="K110" s="379">
        <f t="shared" si="34"/>
        <v>16.394122109869929</v>
      </c>
      <c r="L110" s="379">
        <f t="shared" si="34"/>
        <v>16.895868333625419</v>
      </c>
      <c r="M110" s="379">
        <f t="shared" si="34"/>
        <v>17.415414516021031</v>
      </c>
      <c r="N110" s="379">
        <f t="shared" si="34"/>
        <v>17.952870252795567</v>
      </c>
      <c r="O110" s="379">
        <f t="shared" si="34"/>
        <v>18.508727129120935</v>
      </c>
      <c r="P110" s="379">
        <f t="shared" si="34"/>
        <v>19.092562886346641</v>
      </c>
      <c r="Q110" s="379">
        <f t="shared" si="34"/>
        <v>19.695449310952352</v>
      </c>
      <c r="R110" s="379">
        <f t="shared" si="34"/>
        <v>20.326989772374557</v>
      </c>
      <c r="S110" s="379">
        <f t="shared" si="34"/>
        <v>20.978282706773118</v>
      </c>
      <c r="T110" s="379">
        <f t="shared" si="34"/>
        <v>21.659144380871542</v>
      </c>
      <c r="U110" s="379">
        <f t="shared" si="34"/>
        <v>22.360702047814403</v>
      </c>
      <c r="V110" s="379">
        <f t="shared" si="34"/>
        <v>23.092431569981692</v>
      </c>
      <c r="W110" s="379">
        <f t="shared" si="34"/>
        <v>23.854750620771554</v>
      </c>
      <c r="X110" s="379">
        <f t="shared" si="34"/>
        <v>24.648463762584019</v>
      </c>
      <c r="Y110" s="379">
        <f t="shared" si="34"/>
        <v>25.473837179757318</v>
      </c>
      <c r="Z110" s="379">
        <f t="shared" si="34"/>
        <v>26.331340104506477</v>
      </c>
      <c r="AA110" s="379">
        <f t="shared" si="34"/>
        <v>27.221645529510074</v>
      </c>
      <c r="AB110" s="379">
        <f t="shared" si="34"/>
        <v>28.145075393425756</v>
      </c>
      <c r="AC110" s="379">
        <f t="shared" si="34"/>
        <v>29.102342092325419</v>
      </c>
      <c r="AD110" s="379">
        <f t="shared" si="34"/>
        <v>30.103252984901584</v>
      </c>
      <c r="AE110" s="379">
        <f t="shared" si="34"/>
        <v>31.13911863341777</v>
      </c>
      <c r="AF110" s="379">
        <f t="shared" si="34"/>
        <v>32.219790707610251</v>
      </c>
      <c r="AG110" s="379">
        <f t="shared" si="34"/>
        <v>33.345885108429357</v>
      </c>
    </row>
    <row r="111" spans="1:34">
      <c r="A111" s="300" t="s">
        <v>310</v>
      </c>
      <c r="B111" s="300" t="s">
        <v>300</v>
      </c>
      <c r="C111" s="379">
        <f t="shared" ref="C111:AG111" si="35">C99/($C$22*$C$21*7)</f>
        <v>2.2023809523809526</v>
      </c>
      <c r="D111" s="379">
        <f t="shared" si="35"/>
        <v>2.2612433862433861</v>
      </c>
      <c r="E111" s="379">
        <f t="shared" si="35"/>
        <v>2.3214285714285716</v>
      </c>
      <c r="F111" s="379">
        <f t="shared" si="35"/>
        <v>2.3829365079365079</v>
      </c>
      <c r="G111" s="379">
        <f t="shared" si="35"/>
        <v>2.4464285714285716</v>
      </c>
      <c r="H111" s="379">
        <f t="shared" si="35"/>
        <v>2.7764550264550265</v>
      </c>
      <c r="I111" s="379">
        <f t="shared" si="35"/>
        <v>2.8518518518518516</v>
      </c>
      <c r="J111" s="379">
        <f t="shared" si="35"/>
        <v>2.9292328042328042</v>
      </c>
      <c r="K111" s="379">
        <f t="shared" si="35"/>
        <v>3.0085978835978837</v>
      </c>
      <c r="L111" s="379">
        <f t="shared" si="35"/>
        <v>3.0906084656084656</v>
      </c>
      <c r="M111" s="379">
        <f t="shared" si="35"/>
        <v>3.1752645502645502</v>
      </c>
      <c r="N111" s="379">
        <f t="shared" si="35"/>
        <v>2.60952380952381</v>
      </c>
      <c r="O111" s="379">
        <f t="shared" si="35"/>
        <v>2.6809523809523816</v>
      </c>
      <c r="P111" s="379">
        <f t="shared" si="35"/>
        <v>2.7544973544973552</v>
      </c>
      <c r="Q111" s="379">
        <f t="shared" si="35"/>
        <v>2.8301587301587308</v>
      </c>
      <c r="R111" s="379">
        <f t="shared" si="35"/>
        <v>2.9079365079365087</v>
      </c>
      <c r="S111" s="379">
        <f t="shared" si="35"/>
        <v>2.9878306878306886</v>
      </c>
      <c r="T111" s="379">
        <f t="shared" si="35"/>
        <v>3.0703703703703709</v>
      </c>
      <c r="U111" s="379">
        <f t="shared" si="35"/>
        <v>3.1555555555555563</v>
      </c>
      <c r="V111" s="379">
        <f t="shared" si="35"/>
        <v>3.2428571428571433</v>
      </c>
      <c r="W111" s="379">
        <f t="shared" si="35"/>
        <v>3.3322751322751327</v>
      </c>
      <c r="X111" s="379">
        <f t="shared" si="35"/>
        <v>2.5686507936507939</v>
      </c>
      <c r="Y111" s="379">
        <f t="shared" si="35"/>
        <v>2.6400793650793655</v>
      </c>
      <c r="Z111" s="379">
        <f t="shared" si="35"/>
        <v>2.7134920634920636</v>
      </c>
      <c r="AA111" s="379">
        <f t="shared" si="35"/>
        <v>2.789285714285715</v>
      </c>
      <c r="AB111" s="379">
        <f t="shared" si="35"/>
        <v>2.8670634920634925</v>
      </c>
      <c r="AC111" s="379">
        <f t="shared" si="35"/>
        <v>2.9472222222222229</v>
      </c>
      <c r="AD111" s="379">
        <f t="shared" si="35"/>
        <v>3.0297619047619055</v>
      </c>
      <c r="AE111" s="379">
        <f t="shared" si="35"/>
        <v>3.1146825396825402</v>
      </c>
      <c r="AF111" s="379">
        <f t="shared" si="35"/>
        <v>3.2019841269841276</v>
      </c>
      <c r="AG111" s="379">
        <f t="shared" si="35"/>
        <v>3.2916666666666674</v>
      </c>
    </row>
    <row r="112" spans="1:34" s="352" customFormat="1">
      <c r="A112" s="380" t="s">
        <v>323</v>
      </c>
      <c r="B112" s="352" t="s">
        <v>300</v>
      </c>
      <c r="C112" s="429">
        <f t="shared" ref="C112:AG112" si="36">SUM(C108:C110)-C111</f>
        <v>33.435658069820761</v>
      </c>
      <c r="D112" s="429">
        <f t="shared" si="36"/>
        <v>34.502436106355709</v>
      </c>
      <c r="E112" s="429">
        <f t="shared" si="36"/>
        <v>35.506619526278314</v>
      </c>
      <c r="F112" s="429">
        <f t="shared" si="36"/>
        <v>36.544078675742441</v>
      </c>
      <c r="G112" s="429">
        <f t="shared" si="36"/>
        <v>37.61703777165846</v>
      </c>
      <c r="H112" s="429">
        <f t="shared" si="36"/>
        <v>39.347261568620695</v>
      </c>
      <c r="I112" s="429">
        <f t="shared" si="36"/>
        <v>40.511957001483047</v>
      </c>
      <c r="J112" s="429">
        <f t="shared" si="36"/>
        <v>41.714303454351196</v>
      </c>
      <c r="K112" s="429">
        <f t="shared" si="36"/>
        <v>42.955066037643867</v>
      </c>
      <c r="L112" s="429">
        <f t="shared" si="36"/>
        <v>44.236587950705015</v>
      </c>
      <c r="M112" s="429">
        <f t="shared" si="36"/>
        <v>45.559685990919284</v>
      </c>
      <c r="N112" s="429">
        <f t="shared" si="36"/>
        <v>47.576032400126522</v>
      </c>
      <c r="O112" s="429">
        <f t="shared" si="36"/>
        <v>49.001147155420796</v>
      </c>
      <c r="P112" s="429">
        <f t="shared" si="36"/>
        <v>50.480243539614683</v>
      </c>
      <c r="Q112" s="429">
        <f t="shared" si="36"/>
        <v>52.004993449540308</v>
      </c>
      <c r="R112" s="429">
        <f t="shared" si="36"/>
        <v>53.585618368297219</v>
      </c>
      <c r="S112" s="429">
        <f t="shared" si="36"/>
        <v>55.213853389118192</v>
      </c>
      <c r="T112" s="429">
        <f t="shared" si="36"/>
        <v>56.901670302907789</v>
      </c>
      <c r="U112" s="429">
        <f t="shared" si="36"/>
        <v>58.640871792299244</v>
      </c>
      <c r="V112" s="429">
        <f t="shared" si="36"/>
        <v>60.440129644649979</v>
      </c>
      <c r="W112" s="429">
        <f t="shared" si="36"/>
        <v>62.300578096502669</v>
      </c>
      <c r="X112" s="429">
        <f t="shared" si="36"/>
        <v>65.082976236304987</v>
      </c>
      <c r="Y112" s="429">
        <f t="shared" si="36"/>
        <v>67.09822634421495</v>
      </c>
      <c r="Z112" s="429">
        <f t="shared" si="36"/>
        <v>69.180649443411568</v>
      </c>
      <c r="AA112" s="429">
        <f t="shared" si="36"/>
        <v>71.333357067233749</v>
      </c>
      <c r="AB112" s="429">
        <f t="shared" si="36"/>
        <v>73.555869804886981</v>
      </c>
      <c r="AC112" s="429">
        <f t="shared" si="36"/>
        <v>75.851387708839724</v>
      </c>
      <c r="AD112" s="429">
        <f t="shared" si="36"/>
        <v>78.230599420068856</v>
      </c>
      <c r="AE112" s="429">
        <f t="shared" si="36"/>
        <v>80.685723221590848</v>
      </c>
      <c r="AF112" s="429">
        <f t="shared" si="36"/>
        <v>83.227545735517467</v>
      </c>
      <c r="AG112" s="429">
        <f t="shared" si="36"/>
        <v>85.857645863745802</v>
      </c>
    </row>
    <row r="113" spans="1:34" s="344" customFormat="1">
      <c r="A113" s="342" t="s">
        <v>327</v>
      </c>
      <c r="B113" s="342"/>
      <c r="H113" s="430">
        <f>H115/H63</f>
        <v>1.3405423483180514</v>
      </c>
      <c r="AB113" s="430">
        <f>AB115/AB63</f>
        <v>1.1384572654188592</v>
      </c>
    </row>
    <row r="114" spans="1:34">
      <c r="A114" s="360" t="s">
        <v>41</v>
      </c>
      <c r="B114" s="360"/>
      <c r="C114" s="360">
        <v>2025</v>
      </c>
      <c r="D114" s="360">
        <f t="shared" ref="D114:AG114" si="37">C114+1</f>
        <v>2026</v>
      </c>
      <c r="E114" s="360">
        <f t="shared" si="37"/>
        <v>2027</v>
      </c>
      <c r="F114" s="360">
        <f t="shared" si="37"/>
        <v>2028</v>
      </c>
      <c r="G114" s="360">
        <f t="shared" si="37"/>
        <v>2029</v>
      </c>
      <c r="H114" s="360">
        <f t="shared" si="37"/>
        <v>2030</v>
      </c>
      <c r="I114" s="360">
        <f t="shared" si="37"/>
        <v>2031</v>
      </c>
      <c r="J114" s="360">
        <f t="shared" si="37"/>
        <v>2032</v>
      </c>
      <c r="K114" s="360">
        <f t="shared" si="37"/>
        <v>2033</v>
      </c>
      <c r="L114" s="360">
        <f t="shared" si="37"/>
        <v>2034</v>
      </c>
      <c r="M114" s="360">
        <f t="shared" si="37"/>
        <v>2035</v>
      </c>
      <c r="N114" s="360">
        <f t="shared" si="37"/>
        <v>2036</v>
      </c>
      <c r="O114" s="360">
        <f t="shared" si="37"/>
        <v>2037</v>
      </c>
      <c r="P114" s="360">
        <f t="shared" si="37"/>
        <v>2038</v>
      </c>
      <c r="Q114" s="360">
        <f t="shared" si="37"/>
        <v>2039</v>
      </c>
      <c r="R114" s="360">
        <f t="shared" si="37"/>
        <v>2040</v>
      </c>
      <c r="S114" s="360">
        <f t="shared" si="37"/>
        <v>2041</v>
      </c>
      <c r="T114" s="360">
        <f t="shared" si="37"/>
        <v>2042</v>
      </c>
      <c r="U114" s="360">
        <f t="shared" si="37"/>
        <v>2043</v>
      </c>
      <c r="V114" s="360">
        <f t="shared" si="37"/>
        <v>2044</v>
      </c>
      <c r="W114" s="360">
        <f t="shared" si="37"/>
        <v>2045</v>
      </c>
      <c r="X114" s="360">
        <f t="shared" si="37"/>
        <v>2046</v>
      </c>
      <c r="Y114" s="360">
        <f t="shared" si="37"/>
        <v>2047</v>
      </c>
      <c r="Z114" s="360">
        <f t="shared" si="37"/>
        <v>2048</v>
      </c>
      <c r="AA114" s="360">
        <f t="shared" si="37"/>
        <v>2049</v>
      </c>
      <c r="AB114" s="360">
        <f t="shared" si="37"/>
        <v>2050</v>
      </c>
      <c r="AC114" s="360">
        <f t="shared" si="37"/>
        <v>2051</v>
      </c>
      <c r="AD114" s="360">
        <f t="shared" si="37"/>
        <v>2052</v>
      </c>
      <c r="AE114" s="360">
        <f t="shared" si="37"/>
        <v>2053</v>
      </c>
      <c r="AF114" s="360">
        <f t="shared" si="37"/>
        <v>2054</v>
      </c>
      <c r="AG114" s="360">
        <f t="shared" si="37"/>
        <v>2055</v>
      </c>
    </row>
    <row r="115" spans="1:34">
      <c r="A115" s="300" t="s">
        <v>328</v>
      </c>
      <c r="B115" s="300" t="s">
        <v>309</v>
      </c>
      <c r="C115" s="376">
        <f>ROUND(('Changing with year'!C118)/1000,0)*1000</f>
        <v>4329000</v>
      </c>
      <c r="D115" s="376">
        <f>ROUND(('Changing with year'!D118)/1000,0)*1000</f>
        <v>4333000</v>
      </c>
      <c r="E115" s="376">
        <f>ROUND(('Changing with year'!E118)/1000,0)*1000</f>
        <v>4343000</v>
      </c>
      <c r="F115" s="376">
        <f>ROUND(('Changing with year'!F118)/1000,0)*1000</f>
        <v>4359000</v>
      </c>
      <c r="G115" s="376">
        <f>ROUND(('Changing with year'!G118)/1000,0)*1000</f>
        <v>4381000</v>
      </c>
      <c r="H115" s="376">
        <f>ROUND(('Changing with year'!H118)/1000,0)*1000</f>
        <v>4810000</v>
      </c>
      <c r="I115" s="376">
        <f>ROUND(('Changing with year'!I118)/1000,0)*1000</f>
        <v>4869000</v>
      </c>
      <c r="J115" s="376">
        <f>ROUND(('Changing with year'!J118)/1000,0)*1000</f>
        <v>4933000</v>
      </c>
      <c r="K115" s="376">
        <f>ROUND(('Changing with year'!K118)/1000,0)*1000</f>
        <v>5002000</v>
      </c>
      <c r="L115" s="376">
        <f>ROUND(('Changing with year'!L118)/1000,0)*1000</f>
        <v>5076000</v>
      </c>
      <c r="M115" s="376">
        <f>ROUND(('Changing with year'!M118)/1000,0)*1000</f>
        <v>5156000</v>
      </c>
      <c r="N115" s="376">
        <f>ROUND(('Changing with year'!N118)/1000,0)*1000</f>
        <v>5241000</v>
      </c>
      <c r="O115" s="376">
        <f>ROUND(('Changing with year'!O118)/1000,0)*1000</f>
        <v>5331000</v>
      </c>
      <c r="P115" s="376">
        <f>ROUND(('Changing with year'!P118)/1000,0)*1000</f>
        <v>5427000</v>
      </c>
      <c r="Q115" s="376">
        <f>ROUND(('Changing with year'!Q118)/1000,0)*1000</f>
        <v>5528000</v>
      </c>
      <c r="R115" s="376">
        <f>ROUND(('Changing with year'!R118)/1000,0)*1000</f>
        <v>5635000</v>
      </c>
      <c r="S115" s="376">
        <f>ROUND(('Changing with year'!S118)/1000,0)*1000</f>
        <v>5787000</v>
      </c>
      <c r="T115" s="376">
        <f>ROUND(('Changing with year'!T118)/1000,0)*1000</f>
        <v>5945000</v>
      </c>
      <c r="U115" s="376">
        <f>ROUND(('Changing with year'!U118)/1000,0)*1000</f>
        <v>6106000</v>
      </c>
      <c r="V115" s="376">
        <f>ROUND(('Changing with year'!V118)/1000,0)*1000</f>
        <v>6273000</v>
      </c>
      <c r="W115" s="376">
        <f>ROUND(('Changing with year'!W118)/1000,0)*1000</f>
        <v>6444000</v>
      </c>
      <c r="X115" s="376">
        <f>ROUND(('Changing with year'!X118)/1000,0)*1000</f>
        <v>6620000</v>
      </c>
      <c r="Y115" s="376">
        <f>ROUND(('Changing with year'!Y118)/1000,0)*1000</f>
        <v>6802000</v>
      </c>
      <c r="Z115" s="376">
        <f>ROUND(('Changing with year'!Z118)/1000,0)*1000</f>
        <v>6988000</v>
      </c>
      <c r="AA115" s="376">
        <f>ROUND(('Changing with year'!AA118)/1000,0)*1000</f>
        <v>7180000</v>
      </c>
      <c r="AB115" s="376">
        <f>ROUND(('Changing with year'!AB118)/1000,0)*1000</f>
        <v>7378000</v>
      </c>
      <c r="AC115" s="376">
        <f>ROUND(('Changing with year'!AC118)/1000,0)*1000</f>
        <v>7581000</v>
      </c>
      <c r="AD115" s="376">
        <f>ROUND(('Changing with year'!AD118)/1000,0)*1000</f>
        <v>7791000</v>
      </c>
      <c r="AE115" s="376">
        <f>ROUND(('Changing with year'!AE118)/1000,0)*1000</f>
        <v>8006000</v>
      </c>
      <c r="AF115" s="376">
        <f>ROUND(('Changing with year'!AF118)/1000,0)*1000</f>
        <v>8228000</v>
      </c>
      <c r="AG115" s="376">
        <f>ROUND(('Changing with year'!AG118)/1000,0)*1000</f>
        <v>8456000</v>
      </c>
    </row>
    <row r="116" spans="1:34">
      <c r="A116" s="300" t="s">
        <v>310</v>
      </c>
      <c r="B116" s="300" t="s">
        <v>309</v>
      </c>
      <c r="C116" s="376">
        <f>(C115*'No change with year'!$AH$8)</f>
        <v>1082250.0000000002</v>
      </c>
      <c r="D116" s="376">
        <f>(D115*'No change with year'!$AH$8)</f>
        <v>1083250.0000000002</v>
      </c>
      <c r="E116" s="376">
        <f>(E115*'No change with year'!$AH$8)</f>
        <v>1085750.0000000002</v>
      </c>
      <c r="F116" s="376">
        <f>(F115*'No change with year'!$AH$8)</f>
        <v>1089750.0000000002</v>
      </c>
      <c r="G116" s="376">
        <f>(G115*'No change with year'!$AH$8)</f>
        <v>1095250.0000000002</v>
      </c>
      <c r="H116" s="376">
        <f>(H115*'No change with year'!$AH$8)</f>
        <v>1202500.0000000002</v>
      </c>
      <c r="I116" s="376">
        <f>(I115*'No change with year'!$AH$8)</f>
        <v>1217250.0000000002</v>
      </c>
      <c r="J116" s="376">
        <f>(J115*'No change with year'!$AH$8)</f>
        <v>1233250.0000000002</v>
      </c>
      <c r="K116" s="376">
        <f>(K115*'No change with year'!$AH$8)</f>
        <v>1250500.0000000002</v>
      </c>
      <c r="L116" s="376">
        <f>(L115*'No change with year'!$AH$8)</f>
        <v>1269000.0000000002</v>
      </c>
      <c r="M116" s="376">
        <f>(M115*'No change with year'!$AH$8)</f>
        <v>1289000.0000000002</v>
      </c>
      <c r="N116" s="376">
        <f>(N115*'No change with year'!$AI$8)</f>
        <v>1834350.0000000005</v>
      </c>
      <c r="O116" s="376">
        <f>(O115*'No change with year'!$AI$8)</f>
        <v>1865850.0000000005</v>
      </c>
      <c r="P116" s="376">
        <f>(P115*'No change with year'!$AI$8)</f>
        <v>1899450.0000000005</v>
      </c>
      <c r="Q116" s="376">
        <f>(Q115*'No change with year'!$AI$8)</f>
        <v>1934800.0000000005</v>
      </c>
      <c r="R116" s="376">
        <f>(R115*'No change with year'!$AI$8)</f>
        <v>1972250.0000000005</v>
      </c>
      <c r="S116" s="376">
        <f>(S115*'No change with year'!$AI$8)</f>
        <v>2025450.0000000005</v>
      </c>
      <c r="T116" s="376">
        <f>(T115*'No change with year'!$AI$8)</f>
        <v>2080750.0000000005</v>
      </c>
      <c r="U116" s="376">
        <f>(U115*'No change with year'!$AI$8)</f>
        <v>2137100.0000000005</v>
      </c>
      <c r="V116" s="376">
        <f>(V115*'No change with year'!$AI$8)</f>
        <v>2195550.0000000005</v>
      </c>
      <c r="W116" s="376">
        <f>(W115*'No change with year'!$AI$8)</f>
        <v>2255400.0000000005</v>
      </c>
      <c r="X116" s="376">
        <f>(X115*'No change with year'!$AJ$8)</f>
        <v>2648000</v>
      </c>
      <c r="Y116" s="376">
        <f>(Y115*'No change with year'!$AJ$8)</f>
        <v>2720800</v>
      </c>
      <c r="Z116" s="376">
        <f>(Z115*'No change with year'!$AJ$8)</f>
        <v>2795200</v>
      </c>
      <c r="AA116" s="376">
        <f>(AA115*'No change with year'!$AJ$8)</f>
        <v>2872000</v>
      </c>
      <c r="AB116" s="376">
        <f>(AB115*'No change with year'!$AJ$8)</f>
        <v>2951200</v>
      </c>
      <c r="AC116" s="376">
        <f>(AC115*'No change with year'!$AJ$8)</f>
        <v>3032400</v>
      </c>
      <c r="AD116" s="376">
        <f>(AD115*'No change with year'!$AJ$8)</f>
        <v>3116400</v>
      </c>
      <c r="AE116" s="376">
        <f>(AE115*'No change with year'!$AJ$8)</f>
        <v>3202400</v>
      </c>
      <c r="AF116" s="376">
        <f>(AF115*'No change with year'!$AJ$8)</f>
        <v>3291200</v>
      </c>
      <c r="AG116" s="376">
        <f>(AG115*'No change with year'!$AJ$8)</f>
        <v>3382400</v>
      </c>
    </row>
    <row r="117" spans="1:34" s="371" customFormat="1" ht="11.85" customHeight="1">
      <c r="A117" s="428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00" t="s">
        <v>312</v>
      </c>
      <c r="B118" s="300" t="s">
        <v>313</v>
      </c>
      <c r="C118" s="376">
        <f>-PMT($C$28,$C$27,C115)</f>
        <v>948560.67871712102</v>
      </c>
      <c r="D118" s="376">
        <f>-PMT($C$28,$C$27,D115)</f>
        <v>949437.14966072666</v>
      </c>
      <c r="E118" s="376">
        <f t="shared" ref="E118:AG118" si="38">-PMT($C$28,$C$27,E115)</f>
        <v>951628.32701974059</v>
      </c>
      <c r="F118" s="376">
        <f t="shared" si="38"/>
        <v>955134.21079416282</v>
      </c>
      <c r="G118" s="376">
        <f t="shared" si="38"/>
        <v>959954.80098399345</v>
      </c>
      <c r="H118" s="376">
        <f t="shared" si="38"/>
        <v>1053956.3096856901</v>
      </c>
      <c r="I118" s="376">
        <f t="shared" si="38"/>
        <v>1066884.2561038723</v>
      </c>
      <c r="J118" s="376">
        <f t="shared" si="38"/>
        <v>1080907.7912015612</v>
      </c>
      <c r="K118" s="376">
        <f t="shared" si="38"/>
        <v>1096026.914978757</v>
      </c>
      <c r="L118" s="376">
        <f t="shared" si="38"/>
        <v>1112241.6274354602</v>
      </c>
      <c r="M118" s="376">
        <f t="shared" si="38"/>
        <v>1129771.0463075712</v>
      </c>
      <c r="N118" s="376">
        <f t="shared" si="38"/>
        <v>1148396.0538591896</v>
      </c>
      <c r="O118" s="376">
        <f t="shared" si="38"/>
        <v>1168116.6500903147</v>
      </c>
      <c r="P118" s="376">
        <f t="shared" si="38"/>
        <v>1189151.9527368483</v>
      </c>
      <c r="Q118" s="376">
        <f t="shared" si="38"/>
        <v>1211282.8440628888</v>
      </c>
      <c r="R118" s="376">
        <f t="shared" si="38"/>
        <v>1234728.4418043375</v>
      </c>
      <c r="S118" s="376">
        <f t="shared" si="38"/>
        <v>1268034.337661349</v>
      </c>
      <c r="T118" s="376">
        <f t="shared" si="38"/>
        <v>1302654.9399337687</v>
      </c>
      <c r="U118" s="376">
        <f t="shared" si="38"/>
        <v>1337932.8954138926</v>
      </c>
      <c r="V118" s="376">
        <f t="shared" si="38"/>
        <v>1374525.557309425</v>
      </c>
      <c r="W118" s="376">
        <f t="shared" si="38"/>
        <v>1411994.6901485627</v>
      </c>
      <c r="X118" s="376">
        <f t="shared" si="38"/>
        <v>1450559.4116672075</v>
      </c>
      <c r="Y118" s="376">
        <f t="shared" si="38"/>
        <v>1490438.8396012606</v>
      </c>
      <c r="Z118" s="376">
        <f t="shared" si="38"/>
        <v>1531194.7384789193</v>
      </c>
      <c r="AA118" s="376">
        <f t="shared" si="38"/>
        <v>1573265.3437719864</v>
      </c>
      <c r="AB118" s="376">
        <f t="shared" si="38"/>
        <v>1616650.6554804619</v>
      </c>
      <c r="AC118" s="376">
        <f t="shared" si="38"/>
        <v>1661131.5558684443</v>
      </c>
      <c r="AD118" s="376">
        <f t="shared" si="38"/>
        <v>1707146.2804077363</v>
      </c>
      <c r="AE118" s="376">
        <f t="shared" si="38"/>
        <v>1754256.5936265353</v>
      </c>
      <c r="AF118" s="376">
        <f t="shared" si="38"/>
        <v>1802900.7309966441</v>
      </c>
      <c r="AG118" s="376">
        <f t="shared" si="38"/>
        <v>1852859.5747821613</v>
      </c>
    </row>
    <row r="119" spans="1:34">
      <c r="A119" s="300" t="s">
        <v>321</v>
      </c>
      <c r="B119" s="300" t="s">
        <v>313</v>
      </c>
      <c r="C119" s="376">
        <f t="shared" ref="C119:AG119" si="39">$F$37*C50</f>
        <v>5194800</v>
      </c>
      <c r="D119" s="376">
        <f t="shared" si="39"/>
        <v>5146560.0000000009</v>
      </c>
      <c r="E119" s="376">
        <f t="shared" si="39"/>
        <v>5103133.2</v>
      </c>
      <c r="F119" s="376">
        <f t="shared" si="39"/>
        <v>5064412.2840000009</v>
      </c>
      <c r="G119" s="376">
        <f t="shared" si="39"/>
        <v>5030295.1066800002</v>
      </c>
      <c r="H119" s="376">
        <f t="shared" si="39"/>
        <v>5000684.5289196009</v>
      </c>
      <c r="I119" s="376">
        <f t="shared" si="39"/>
        <v>4702860.5216326565</v>
      </c>
      <c r="J119" s="376">
        <f t="shared" si="39"/>
        <v>4546116.3049526587</v>
      </c>
      <c r="K119" s="376">
        <f t="shared" si="39"/>
        <v>4394585.4951159554</v>
      </c>
      <c r="L119" s="376">
        <f t="shared" si="39"/>
        <v>4248071.3378752843</v>
      </c>
      <c r="M119" s="376">
        <f t="shared" si="39"/>
        <v>4106385.2405661494</v>
      </c>
      <c r="N119" s="376">
        <f t="shared" si="39"/>
        <v>3969346.411668804</v>
      </c>
      <c r="O119" s="376">
        <f t="shared" si="39"/>
        <v>3836781.5169283734</v>
      </c>
      <c r="P119" s="376">
        <f t="shared" si="39"/>
        <v>3708524.3512533205</v>
      </c>
      <c r="Q119" s="376">
        <f t="shared" si="39"/>
        <v>3584415.5256497702</v>
      </c>
      <c r="R119" s="376">
        <f t="shared" si="39"/>
        <v>3464302.1684847251</v>
      </c>
      <c r="S119" s="376">
        <f t="shared" si="39"/>
        <v>3198532.3785873801</v>
      </c>
      <c r="T119" s="376">
        <f t="shared" si="39"/>
        <v>3107712.0025406904</v>
      </c>
      <c r="U119" s="376">
        <f t="shared" si="39"/>
        <v>3020123.631301254</v>
      </c>
      <c r="V119" s="376">
        <f t="shared" si="39"/>
        <v>2935627.573315646</v>
      </c>
      <c r="W119" s="376">
        <f t="shared" si="39"/>
        <v>2854090.6379648349</v>
      </c>
      <c r="X119" s="376">
        <f t="shared" si="39"/>
        <v>2775385.8232905855</v>
      </c>
      <c r="Y119" s="376">
        <f t="shared" si="39"/>
        <v>2699392.0189697146</v>
      </c>
      <c r="Z119" s="376">
        <f t="shared" si="39"/>
        <v>2625993.7237846004</v>
      </c>
      <c r="AA119" s="376">
        <f t="shared" si="39"/>
        <v>2555080.7768756119</v>
      </c>
      <c r="AB119" s="376">
        <f t="shared" si="39"/>
        <v>2486548.1020965404</v>
      </c>
      <c r="AC119" s="376">
        <f t="shared" si="39"/>
        <v>2402997.8989915303</v>
      </c>
      <c r="AD119" s="376">
        <f t="shared" si="39"/>
        <v>2411279.6802480849</v>
      </c>
      <c r="AE119" s="376">
        <f t="shared" si="39"/>
        <v>2422375.0336492932</v>
      </c>
      <c r="AF119" s="376">
        <f t="shared" si="39"/>
        <v>2436238.754732063</v>
      </c>
      <c r="AG119" s="376">
        <f t="shared" si="39"/>
        <v>2452829.9904577816</v>
      </c>
    </row>
    <row r="120" spans="1:34">
      <c r="A120" s="300" t="s">
        <v>317</v>
      </c>
      <c r="B120" s="300" t="s">
        <v>313</v>
      </c>
      <c r="C120" s="376">
        <f t="shared" ref="C120:AG120" si="40">$C$22*$C$21*C56</f>
        <v>356400</v>
      </c>
      <c r="D120" s="376">
        <f t="shared" si="40"/>
        <v>370656</v>
      </c>
      <c r="E120" s="376">
        <f t="shared" si="40"/>
        <v>385482.23999999999</v>
      </c>
      <c r="F120" s="376">
        <f t="shared" si="40"/>
        <v>400901.52960000001</v>
      </c>
      <c r="G120" s="376">
        <f t="shared" si="40"/>
        <v>416937.59078400006</v>
      </c>
      <c r="H120" s="376">
        <f t="shared" si="40"/>
        <v>433615.09441536001</v>
      </c>
      <c r="I120" s="376">
        <f t="shared" si="40"/>
        <v>450959.69819197443</v>
      </c>
      <c r="J120" s="376">
        <f t="shared" si="40"/>
        <v>468998.08611965342</v>
      </c>
      <c r="K120" s="376">
        <f t="shared" si="40"/>
        <v>487758.00956443953</v>
      </c>
      <c r="L120" s="376">
        <f t="shared" si="40"/>
        <v>507268.32994701719</v>
      </c>
      <c r="M120" s="376">
        <f t="shared" si="40"/>
        <v>527559.06314489793</v>
      </c>
      <c r="N120" s="376">
        <f t="shared" si="40"/>
        <v>548661.42567069386</v>
      </c>
      <c r="O120" s="376">
        <f t="shared" si="40"/>
        <v>570607.88269752159</v>
      </c>
      <c r="P120" s="376">
        <f t="shared" si="40"/>
        <v>593432.19800542248</v>
      </c>
      <c r="Q120" s="376">
        <f t="shared" si="40"/>
        <v>617169.48592563928</v>
      </c>
      <c r="R120" s="376">
        <f t="shared" si="40"/>
        <v>641856.26536266494</v>
      </c>
      <c r="S120" s="376">
        <f t="shared" si="40"/>
        <v>667530.5159771716</v>
      </c>
      <c r="T120" s="376">
        <f t="shared" si="40"/>
        <v>694231.73661625839</v>
      </c>
      <c r="U120" s="376">
        <f t="shared" si="40"/>
        <v>722001.00608090882</v>
      </c>
      <c r="V120" s="376">
        <f t="shared" si="40"/>
        <v>750881.04632414517</v>
      </c>
      <c r="W120" s="376">
        <f t="shared" si="40"/>
        <v>780916.28817711095</v>
      </c>
      <c r="X120" s="376">
        <f t="shared" si="40"/>
        <v>812152.93970419548</v>
      </c>
      <c r="Y120" s="376">
        <f t="shared" si="40"/>
        <v>844639.05729236337</v>
      </c>
      <c r="Z120" s="376">
        <f t="shared" si="40"/>
        <v>878424.61958405795</v>
      </c>
      <c r="AA120" s="376">
        <f t="shared" si="40"/>
        <v>913561.60436742031</v>
      </c>
      <c r="AB120" s="376">
        <f t="shared" si="40"/>
        <v>950104.06854211714</v>
      </c>
      <c r="AC120" s="376">
        <f t="shared" si="40"/>
        <v>988108.23128380196</v>
      </c>
      <c r="AD120" s="376">
        <f t="shared" si="40"/>
        <v>1027632.5605351541</v>
      </c>
      <c r="AE120" s="376">
        <f t="shared" si="40"/>
        <v>1068737.8629565602</v>
      </c>
      <c r="AF120" s="376">
        <f t="shared" si="40"/>
        <v>1111487.3774748226</v>
      </c>
      <c r="AG120" s="376">
        <f t="shared" si="40"/>
        <v>1155946.8725738155</v>
      </c>
    </row>
    <row r="121" spans="1:34">
      <c r="A121" s="300" t="s">
        <v>318</v>
      </c>
      <c r="B121" s="300" t="s">
        <v>313</v>
      </c>
      <c r="C121" s="376">
        <f>'Changing with year'!C288</f>
        <v>400000</v>
      </c>
      <c r="D121" s="376">
        <f>'Changing with year'!D288</f>
        <v>418000</v>
      </c>
      <c r="E121" s="376">
        <f>'Changing with year'!E288</f>
        <v>437000</v>
      </c>
      <c r="F121" s="376">
        <f>'Changing with year'!F288</f>
        <v>457000</v>
      </c>
      <c r="G121" s="376">
        <f>'Changing with year'!G288</f>
        <v>478000</v>
      </c>
      <c r="H121" s="376">
        <f>'Changing with year'!H288</f>
        <v>500000</v>
      </c>
      <c r="I121" s="376">
        <f>'Changing with year'!I288</f>
        <v>523000</v>
      </c>
      <c r="J121" s="376">
        <f>'Changing with year'!J288</f>
        <v>547000</v>
      </c>
      <c r="K121" s="376">
        <f>'Changing with year'!K288</f>
        <v>572000</v>
      </c>
      <c r="L121" s="376">
        <f>'Changing with year'!L288</f>
        <v>598000</v>
      </c>
      <c r="M121" s="376">
        <f>'Changing with year'!M288</f>
        <v>625000</v>
      </c>
      <c r="N121" s="376">
        <f>'Changing with year'!N288</f>
        <v>653000</v>
      </c>
      <c r="O121" s="376">
        <f>'Changing with year'!O288</f>
        <v>682000</v>
      </c>
      <c r="P121" s="376">
        <f>'Changing with year'!P288</f>
        <v>713000</v>
      </c>
      <c r="Q121" s="376">
        <f>'Changing with year'!Q288</f>
        <v>745000</v>
      </c>
      <c r="R121" s="376">
        <f>'Changing with year'!R288</f>
        <v>779000</v>
      </c>
      <c r="S121" s="376">
        <f>'Changing with year'!S288</f>
        <v>814000</v>
      </c>
      <c r="T121" s="376">
        <f>'Changing with year'!T288</f>
        <v>851000</v>
      </c>
      <c r="U121" s="376">
        <f>'Changing with year'!U288</f>
        <v>889000</v>
      </c>
      <c r="V121" s="376">
        <f>'Changing with year'!V288</f>
        <v>929000</v>
      </c>
      <c r="W121" s="376">
        <f>'Changing with year'!W288</f>
        <v>971000</v>
      </c>
      <c r="X121" s="376">
        <f>'Changing with year'!X288</f>
        <v>1015000</v>
      </c>
      <c r="Y121" s="376">
        <f>'Changing with year'!Y288</f>
        <v>1061000</v>
      </c>
      <c r="Z121" s="376">
        <f>'Changing with year'!Z288</f>
        <v>1109000</v>
      </c>
      <c r="AA121" s="376">
        <f>'Changing with year'!AA288</f>
        <v>1159000</v>
      </c>
      <c r="AB121" s="376">
        <f>'Changing with year'!AB288</f>
        <v>1211000</v>
      </c>
      <c r="AC121" s="376">
        <f>'Changing with year'!AC288</f>
        <v>1265000</v>
      </c>
      <c r="AD121" s="376">
        <f>'Changing with year'!AD288</f>
        <v>1322000</v>
      </c>
      <c r="AE121" s="376">
        <f>'Changing with year'!AE288</f>
        <v>1381000</v>
      </c>
      <c r="AF121" s="376">
        <f>'Changing with year'!AF288</f>
        <v>1443000</v>
      </c>
      <c r="AG121" s="376">
        <f>'Changing with year'!AG288</f>
        <v>1508000</v>
      </c>
      <c r="AH121" s="339"/>
    </row>
    <row r="122" spans="1:34">
      <c r="A122" s="300" t="s">
        <v>272</v>
      </c>
      <c r="B122" s="300" t="s">
        <v>313</v>
      </c>
      <c r="C122" s="437">
        <f t="shared" ref="C122:AG122" si="41">C60</f>
        <v>572400</v>
      </c>
      <c r="D122" s="437">
        <f t="shared" si="41"/>
        <v>578124</v>
      </c>
      <c r="E122" s="437">
        <f t="shared" si="41"/>
        <v>583905.24</v>
      </c>
      <c r="F122" s="437">
        <f t="shared" si="41"/>
        <v>589744.29240000003</v>
      </c>
      <c r="G122" s="437">
        <f t="shared" si="41"/>
        <v>595641.73532400001</v>
      </c>
      <c r="H122" s="437">
        <f t="shared" si="41"/>
        <v>601598.15267724008</v>
      </c>
      <c r="I122" s="437">
        <f t="shared" si="41"/>
        <v>607614.13420401246</v>
      </c>
      <c r="J122" s="437">
        <f t="shared" si="41"/>
        <v>613690.27554605249</v>
      </c>
      <c r="K122" s="437">
        <f t="shared" si="41"/>
        <v>619827.17830151308</v>
      </c>
      <c r="L122" s="437">
        <f t="shared" si="41"/>
        <v>626025.45008452807</v>
      </c>
      <c r="M122" s="437">
        <f t="shared" si="41"/>
        <v>632285.7045853734</v>
      </c>
      <c r="N122" s="437">
        <f t="shared" si="41"/>
        <v>638608.56163122714</v>
      </c>
      <c r="O122" s="437">
        <f t="shared" si="41"/>
        <v>644994.64724753937</v>
      </c>
      <c r="P122" s="437">
        <f t="shared" si="41"/>
        <v>651444.59372001479</v>
      </c>
      <c r="Q122" s="437">
        <f t="shared" si="41"/>
        <v>657959.03965721501</v>
      </c>
      <c r="R122" s="437">
        <f t="shared" si="41"/>
        <v>664538.63005378714</v>
      </c>
      <c r="S122" s="437">
        <f t="shared" si="41"/>
        <v>671184.01635432511</v>
      </c>
      <c r="T122" s="437">
        <f t="shared" si="41"/>
        <v>677895.85651786823</v>
      </c>
      <c r="U122" s="437">
        <f t="shared" si="41"/>
        <v>684674.81508304703</v>
      </c>
      <c r="V122" s="437">
        <f t="shared" si="41"/>
        <v>691521.56323387753</v>
      </c>
      <c r="W122" s="437">
        <f t="shared" si="41"/>
        <v>698436.77886621631</v>
      </c>
      <c r="X122" s="437">
        <f t="shared" si="41"/>
        <v>705421.14665487851</v>
      </c>
      <c r="Y122" s="437">
        <f t="shared" si="41"/>
        <v>712475.35812142724</v>
      </c>
      <c r="Z122" s="437">
        <f t="shared" si="41"/>
        <v>719600.11170264147</v>
      </c>
      <c r="AA122" s="437">
        <f t="shared" si="41"/>
        <v>726796.11281966791</v>
      </c>
      <c r="AB122" s="437">
        <f t="shared" si="41"/>
        <v>734064.0739478647</v>
      </c>
      <c r="AC122" s="437">
        <f t="shared" si="41"/>
        <v>741404.71468734322</v>
      </c>
      <c r="AD122" s="437">
        <f t="shared" si="41"/>
        <v>748818.76183421677</v>
      </c>
      <c r="AE122" s="437">
        <f t="shared" si="41"/>
        <v>756306.94945255888</v>
      </c>
      <c r="AF122" s="437">
        <f t="shared" si="41"/>
        <v>763870.01894708455</v>
      </c>
      <c r="AG122" s="437">
        <f t="shared" si="41"/>
        <v>771508.71913655533</v>
      </c>
    </row>
    <row r="123" spans="1:34">
      <c r="A123" s="300" t="s">
        <v>319</v>
      </c>
      <c r="B123" s="300" t="s">
        <v>313</v>
      </c>
      <c r="C123" s="376">
        <f t="shared" ref="C123:AG123" si="42">C115*$C$29</f>
        <v>86580</v>
      </c>
      <c r="D123" s="376">
        <f t="shared" si="42"/>
        <v>86660</v>
      </c>
      <c r="E123" s="376">
        <f t="shared" si="42"/>
        <v>86860</v>
      </c>
      <c r="F123" s="376">
        <f t="shared" si="42"/>
        <v>87180</v>
      </c>
      <c r="G123" s="376">
        <f t="shared" si="42"/>
        <v>87620</v>
      </c>
      <c r="H123" s="376">
        <f t="shared" si="42"/>
        <v>96200</v>
      </c>
      <c r="I123" s="376">
        <f t="shared" si="42"/>
        <v>97380</v>
      </c>
      <c r="J123" s="376">
        <f t="shared" si="42"/>
        <v>98660</v>
      </c>
      <c r="K123" s="376">
        <f t="shared" si="42"/>
        <v>100040</v>
      </c>
      <c r="L123" s="376">
        <f t="shared" si="42"/>
        <v>101520</v>
      </c>
      <c r="M123" s="376">
        <f t="shared" si="42"/>
        <v>103120</v>
      </c>
      <c r="N123" s="376">
        <f t="shared" si="42"/>
        <v>104820</v>
      </c>
      <c r="O123" s="376">
        <f t="shared" si="42"/>
        <v>106620</v>
      </c>
      <c r="P123" s="376">
        <f t="shared" si="42"/>
        <v>108540</v>
      </c>
      <c r="Q123" s="376">
        <f t="shared" si="42"/>
        <v>110560</v>
      </c>
      <c r="R123" s="376">
        <f t="shared" si="42"/>
        <v>112700</v>
      </c>
      <c r="S123" s="376">
        <f t="shared" si="42"/>
        <v>115740</v>
      </c>
      <c r="T123" s="376">
        <f t="shared" si="42"/>
        <v>118900</v>
      </c>
      <c r="U123" s="376">
        <f t="shared" si="42"/>
        <v>122120</v>
      </c>
      <c r="V123" s="376">
        <f t="shared" si="42"/>
        <v>125460</v>
      </c>
      <c r="W123" s="376">
        <f t="shared" si="42"/>
        <v>128880</v>
      </c>
      <c r="X123" s="376">
        <f t="shared" si="42"/>
        <v>132400</v>
      </c>
      <c r="Y123" s="376">
        <f t="shared" si="42"/>
        <v>136040</v>
      </c>
      <c r="Z123" s="376">
        <f t="shared" si="42"/>
        <v>139760</v>
      </c>
      <c r="AA123" s="376">
        <f t="shared" si="42"/>
        <v>143600</v>
      </c>
      <c r="AB123" s="376">
        <f t="shared" si="42"/>
        <v>147560</v>
      </c>
      <c r="AC123" s="376">
        <f t="shared" si="42"/>
        <v>151620</v>
      </c>
      <c r="AD123" s="376">
        <f t="shared" si="42"/>
        <v>155820</v>
      </c>
      <c r="AE123" s="376">
        <f t="shared" si="42"/>
        <v>160120</v>
      </c>
      <c r="AF123" s="376">
        <f t="shared" si="42"/>
        <v>164560</v>
      </c>
      <c r="AG123" s="376">
        <f t="shared" si="42"/>
        <v>169120</v>
      </c>
    </row>
    <row r="124" spans="1:34" s="371" customFormat="1" ht="11.85" customHeight="1">
      <c r="A124" s="428" t="s">
        <v>320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/>
      <c r="AE124" s="428"/>
      <c r="AF124" s="428"/>
      <c r="AG124" s="428"/>
    </row>
    <row r="125" spans="1:34">
      <c r="A125" s="300" t="s">
        <v>325</v>
      </c>
      <c r="B125" s="300" t="s">
        <v>300</v>
      </c>
      <c r="C125" s="379">
        <f t="shared" ref="C125:AG125" si="43">C118/($C$22*$C$21)</f>
        <v>8.7829692473807501</v>
      </c>
      <c r="D125" s="379">
        <f t="shared" si="43"/>
        <v>8.7910847190808017</v>
      </c>
      <c r="E125" s="379">
        <f t="shared" si="43"/>
        <v>8.8113733983309306</v>
      </c>
      <c r="F125" s="379">
        <f t="shared" si="43"/>
        <v>8.8438352851311368</v>
      </c>
      <c r="G125" s="379">
        <f t="shared" si="43"/>
        <v>8.8884703794814204</v>
      </c>
      <c r="H125" s="379">
        <f t="shared" si="43"/>
        <v>9.7588547193119446</v>
      </c>
      <c r="I125" s="379">
        <f t="shared" si="43"/>
        <v>9.8785579268877068</v>
      </c>
      <c r="J125" s="379">
        <f t="shared" si="43"/>
        <v>10.00840547408853</v>
      </c>
      <c r="K125" s="379">
        <f t="shared" si="43"/>
        <v>10.148397360914418</v>
      </c>
      <c r="L125" s="379">
        <f t="shared" si="43"/>
        <v>10.298533587365373</v>
      </c>
      <c r="M125" s="379">
        <f t="shared" si="43"/>
        <v>10.460843021366401</v>
      </c>
      <c r="N125" s="379">
        <f t="shared" si="43"/>
        <v>10.633296794992496</v>
      </c>
      <c r="O125" s="379">
        <f t="shared" si="43"/>
        <v>10.815894908243655</v>
      </c>
      <c r="P125" s="379">
        <f t="shared" si="43"/>
        <v>11.010666229044892</v>
      </c>
      <c r="Q125" s="379">
        <f t="shared" si="43"/>
        <v>11.215581889471192</v>
      </c>
      <c r="R125" s="379">
        <f t="shared" si="43"/>
        <v>11.432670757447569</v>
      </c>
      <c r="S125" s="379">
        <f t="shared" si="43"/>
        <v>11.741058682049527</v>
      </c>
      <c r="T125" s="379">
        <f t="shared" si="43"/>
        <v>12.061619814201562</v>
      </c>
      <c r="U125" s="379">
        <f t="shared" si="43"/>
        <v>12.388267550128635</v>
      </c>
      <c r="V125" s="379">
        <f t="shared" si="43"/>
        <v>12.727088493605788</v>
      </c>
      <c r="W125" s="379">
        <f t="shared" si="43"/>
        <v>13.074024908782988</v>
      </c>
      <c r="X125" s="379">
        <f t="shared" si="43"/>
        <v>13.431105663585255</v>
      </c>
      <c r="Y125" s="379">
        <f t="shared" si="43"/>
        <v>13.800359625937599</v>
      </c>
      <c r="Z125" s="379">
        <f t="shared" si="43"/>
        <v>14.177729059989993</v>
      </c>
      <c r="AA125" s="379">
        <f t="shared" si="43"/>
        <v>14.567271701592468</v>
      </c>
      <c r="AB125" s="379">
        <f t="shared" si="43"/>
        <v>14.968987550745018</v>
      </c>
      <c r="AC125" s="379">
        <f t="shared" si="43"/>
        <v>15.380847739522633</v>
      </c>
      <c r="AD125" s="379">
        <f t="shared" si="43"/>
        <v>15.806910003775336</v>
      </c>
      <c r="AE125" s="379">
        <f t="shared" si="43"/>
        <v>16.243116607653104</v>
      </c>
      <c r="AF125" s="379">
        <f t="shared" si="43"/>
        <v>16.693525287005965</v>
      </c>
      <c r="AG125" s="379">
        <f t="shared" si="43"/>
        <v>17.1561071739089</v>
      </c>
    </row>
    <row r="126" spans="1:34">
      <c r="A126" s="300" t="s">
        <v>321</v>
      </c>
      <c r="B126" s="300" t="s">
        <v>300</v>
      </c>
      <c r="C126" s="379">
        <f t="shared" ref="C126:AG126" si="44">C119/($C$22*$C$21)</f>
        <v>48.1</v>
      </c>
      <c r="D126" s="379">
        <f t="shared" si="44"/>
        <v>47.653333333333343</v>
      </c>
      <c r="E126" s="379">
        <f t="shared" si="44"/>
        <v>47.251233333333332</v>
      </c>
      <c r="F126" s="379">
        <f t="shared" si="44"/>
        <v>46.892706333333344</v>
      </c>
      <c r="G126" s="379">
        <f t="shared" si="44"/>
        <v>46.576806543333333</v>
      </c>
      <c r="H126" s="379">
        <f t="shared" si="44"/>
        <v>46.302634527033341</v>
      </c>
      <c r="I126" s="379">
        <f t="shared" si="44"/>
        <v>43.545004829932004</v>
      </c>
      <c r="J126" s="379">
        <f t="shared" si="44"/>
        <v>42.093669490302396</v>
      </c>
      <c r="K126" s="379">
        <f t="shared" si="44"/>
        <v>40.690606436258847</v>
      </c>
      <c r="L126" s="379">
        <f t="shared" si="44"/>
        <v>39.333993869215597</v>
      </c>
      <c r="M126" s="379">
        <f t="shared" si="44"/>
        <v>38.022085560797677</v>
      </c>
      <c r="N126" s="379">
        <f t="shared" si="44"/>
        <v>36.753207515451891</v>
      </c>
      <c r="O126" s="379">
        <f t="shared" si="44"/>
        <v>35.525754786373831</v>
      </c>
      <c r="P126" s="379">
        <f t="shared" si="44"/>
        <v>34.338188437530746</v>
      </c>
      <c r="Q126" s="379">
        <f t="shared" si="44"/>
        <v>33.189032644905282</v>
      </c>
      <c r="R126" s="379">
        <f t="shared" si="44"/>
        <v>32.076871930414121</v>
      </c>
      <c r="S126" s="379">
        <f t="shared" si="44"/>
        <v>29.616040542475741</v>
      </c>
      <c r="T126" s="379">
        <f t="shared" si="44"/>
        <v>28.77511113463602</v>
      </c>
      <c r="U126" s="379">
        <f t="shared" si="44"/>
        <v>27.964107697233835</v>
      </c>
      <c r="V126" s="379">
        <f t="shared" si="44"/>
        <v>27.181736789959686</v>
      </c>
      <c r="W126" s="379">
        <f t="shared" si="44"/>
        <v>26.426765166341063</v>
      </c>
      <c r="X126" s="379">
        <f t="shared" si="44"/>
        <v>25.698016882320236</v>
      </c>
      <c r="Y126" s="379">
        <f t="shared" si="44"/>
        <v>24.994370546015876</v>
      </c>
      <c r="Z126" s="379">
        <f t="shared" si="44"/>
        <v>24.314756701709264</v>
      </c>
      <c r="AA126" s="379">
        <f t="shared" si="44"/>
        <v>23.65815534144085</v>
      </c>
      <c r="AB126" s="379">
        <f t="shared" si="44"/>
        <v>23.023593537930928</v>
      </c>
      <c r="AC126" s="379">
        <f t="shared" si="44"/>
        <v>22.249980546217873</v>
      </c>
      <c r="AD126" s="379">
        <f t="shared" si="44"/>
        <v>22.326663706000787</v>
      </c>
      <c r="AE126" s="379">
        <f t="shared" si="44"/>
        <v>22.429398459715678</v>
      </c>
      <c r="AF126" s="379">
        <f t="shared" si="44"/>
        <v>22.557766247519101</v>
      </c>
      <c r="AG126" s="379">
        <f t="shared" si="44"/>
        <v>22.711388800535016</v>
      </c>
    </row>
    <row r="127" spans="1:34">
      <c r="A127" s="300" t="s">
        <v>322</v>
      </c>
      <c r="B127" s="300" t="s">
        <v>300</v>
      </c>
      <c r="C127" s="379">
        <f t="shared" ref="C127:AG127" si="45">(C120+C121+C122+C123)/($C$22*$C$21)</f>
        <v>13.10537037037037</v>
      </c>
      <c r="D127" s="379">
        <f t="shared" si="45"/>
        <v>13.457777777777778</v>
      </c>
      <c r="E127" s="379">
        <f t="shared" si="45"/>
        <v>13.826365555555556</v>
      </c>
      <c r="F127" s="379">
        <f t="shared" si="45"/>
        <v>14.211350203703706</v>
      </c>
      <c r="G127" s="379">
        <f t="shared" si="45"/>
        <v>14.612956723222222</v>
      </c>
      <c r="H127" s="379">
        <f t="shared" si="45"/>
        <v>15.10567821382037</v>
      </c>
      <c r="I127" s="379">
        <f t="shared" si="45"/>
        <v>15.54586881848136</v>
      </c>
      <c r="J127" s="379">
        <f t="shared" si="45"/>
        <v>16.00322557097876</v>
      </c>
      <c r="K127" s="379">
        <f t="shared" si="45"/>
        <v>16.478010998758819</v>
      </c>
      <c r="L127" s="379">
        <f t="shared" si="45"/>
        <v>16.970497963255045</v>
      </c>
      <c r="M127" s="379">
        <f t="shared" si="45"/>
        <v>17.481155256761774</v>
      </c>
      <c r="N127" s="379">
        <f t="shared" si="45"/>
        <v>18.010092475017785</v>
      </c>
      <c r="O127" s="379">
        <f t="shared" si="45"/>
        <v>18.557616018009824</v>
      </c>
      <c r="P127" s="379">
        <f t="shared" si="45"/>
        <v>19.133488812272567</v>
      </c>
      <c r="Q127" s="379">
        <f t="shared" si="45"/>
        <v>19.728597459100502</v>
      </c>
      <c r="R127" s="379">
        <f t="shared" si="45"/>
        <v>20.352730513115297</v>
      </c>
      <c r="S127" s="379">
        <f t="shared" si="45"/>
        <v>21.004208632699047</v>
      </c>
      <c r="T127" s="379">
        <f t="shared" si="45"/>
        <v>21.68544067716784</v>
      </c>
      <c r="U127" s="379">
        <f t="shared" si="45"/>
        <v>22.386998344110701</v>
      </c>
      <c r="V127" s="379">
        <f t="shared" si="45"/>
        <v>23.119098236648359</v>
      </c>
      <c r="W127" s="379">
        <f t="shared" si="45"/>
        <v>23.881787657808587</v>
      </c>
      <c r="X127" s="379">
        <f t="shared" si="45"/>
        <v>24.675685984806243</v>
      </c>
      <c r="Y127" s="379">
        <f t="shared" si="45"/>
        <v>25.501429772349912</v>
      </c>
      <c r="Z127" s="379">
        <f t="shared" si="45"/>
        <v>26.359117882284252</v>
      </c>
      <c r="AA127" s="379">
        <f t="shared" si="45"/>
        <v>27.249608492473037</v>
      </c>
      <c r="AB127" s="379">
        <f t="shared" si="45"/>
        <v>28.173408726759092</v>
      </c>
      <c r="AC127" s="379">
        <f t="shared" si="45"/>
        <v>29.130860610843939</v>
      </c>
      <c r="AD127" s="379">
        <f t="shared" si="45"/>
        <v>30.132141873790474</v>
      </c>
      <c r="AE127" s="379">
        <f t="shared" si="45"/>
        <v>31.168192707491844</v>
      </c>
      <c r="AF127" s="379">
        <f t="shared" si="45"/>
        <v>32.249235152054695</v>
      </c>
      <c r="AG127" s="379">
        <f t="shared" si="45"/>
        <v>33.37569992324417</v>
      </c>
    </row>
    <row r="128" spans="1:34">
      <c r="A128" s="300" t="s">
        <v>310</v>
      </c>
      <c r="B128" s="300" t="s">
        <v>300</v>
      </c>
      <c r="C128" s="379">
        <f t="shared" ref="C128:AG128" si="46">C116/($C$22*$C$21*7)</f>
        <v>1.4315476190476193</v>
      </c>
      <c r="D128" s="379">
        <f t="shared" si="46"/>
        <v>1.4328703703703707</v>
      </c>
      <c r="E128" s="379">
        <f t="shared" si="46"/>
        <v>1.4361772486772491</v>
      </c>
      <c r="F128" s="379">
        <f t="shared" si="46"/>
        <v>1.4414682539682542</v>
      </c>
      <c r="G128" s="379">
        <f t="shared" si="46"/>
        <v>1.4487433862433865</v>
      </c>
      <c r="H128" s="379">
        <f t="shared" si="46"/>
        <v>1.590608465608466</v>
      </c>
      <c r="I128" s="379">
        <f t="shared" si="46"/>
        <v>1.6101190476190479</v>
      </c>
      <c r="J128" s="379">
        <f t="shared" si="46"/>
        <v>1.6312830687830691</v>
      </c>
      <c r="K128" s="379">
        <f t="shared" si="46"/>
        <v>1.6541005291005295</v>
      </c>
      <c r="L128" s="379">
        <f t="shared" si="46"/>
        <v>1.6785714285714288</v>
      </c>
      <c r="M128" s="379">
        <f t="shared" si="46"/>
        <v>1.7050264550264553</v>
      </c>
      <c r="N128" s="379">
        <f t="shared" si="46"/>
        <v>2.4263888888888894</v>
      </c>
      <c r="O128" s="379">
        <f t="shared" si="46"/>
        <v>2.4680555555555563</v>
      </c>
      <c r="P128" s="379">
        <f t="shared" si="46"/>
        <v>2.5125000000000006</v>
      </c>
      <c r="Q128" s="379">
        <f t="shared" si="46"/>
        <v>2.5592592592592598</v>
      </c>
      <c r="R128" s="379">
        <f t="shared" si="46"/>
        <v>2.6087962962962967</v>
      </c>
      <c r="S128" s="379">
        <f t="shared" si="46"/>
        <v>2.6791666666666671</v>
      </c>
      <c r="T128" s="379">
        <f t="shared" si="46"/>
        <v>2.7523148148148153</v>
      </c>
      <c r="U128" s="379">
        <f t="shared" si="46"/>
        <v>2.8268518518518526</v>
      </c>
      <c r="V128" s="379">
        <f t="shared" si="46"/>
        <v>2.9041666666666672</v>
      </c>
      <c r="W128" s="379">
        <f t="shared" si="46"/>
        <v>2.9833333333333338</v>
      </c>
      <c r="X128" s="379">
        <f t="shared" si="46"/>
        <v>3.5026455026455028</v>
      </c>
      <c r="Y128" s="379">
        <f t="shared" si="46"/>
        <v>3.5989417989417989</v>
      </c>
      <c r="Z128" s="379">
        <f t="shared" si="46"/>
        <v>3.6973544973544974</v>
      </c>
      <c r="AA128" s="379">
        <f t="shared" si="46"/>
        <v>3.7989417989417991</v>
      </c>
      <c r="AB128" s="379">
        <f t="shared" si="46"/>
        <v>3.9037037037037039</v>
      </c>
      <c r="AC128" s="379">
        <f t="shared" si="46"/>
        <v>4.0111111111111111</v>
      </c>
      <c r="AD128" s="379">
        <f t="shared" si="46"/>
        <v>4.1222222222222218</v>
      </c>
      <c r="AE128" s="379">
        <f t="shared" si="46"/>
        <v>4.2359788359788357</v>
      </c>
      <c r="AF128" s="379">
        <f t="shared" si="46"/>
        <v>4.3534391534391537</v>
      </c>
      <c r="AG128" s="379">
        <f t="shared" si="46"/>
        <v>4.4740740740740739</v>
      </c>
    </row>
    <row r="129" spans="1:34" s="352" customFormat="1">
      <c r="A129" s="380" t="s">
        <v>323</v>
      </c>
      <c r="B129" s="352" t="s">
        <v>300</v>
      </c>
      <c r="C129" s="384">
        <f t="shared" ref="C129:AG129" si="47">SUM(C125:C127)-C128</f>
        <v>68.556791998703503</v>
      </c>
      <c r="D129" s="384">
        <f t="shared" si="47"/>
        <v>68.469325459821547</v>
      </c>
      <c r="E129" s="384">
        <f t="shared" si="47"/>
        <v>68.452795038542561</v>
      </c>
      <c r="F129" s="384">
        <f t="shared" si="47"/>
        <v>68.506423568199935</v>
      </c>
      <c r="G129" s="384">
        <f t="shared" si="47"/>
        <v>68.629490259793585</v>
      </c>
      <c r="H129" s="384">
        <f t="shared" si="47"/>
        <v>69.576558994557189</v>
      </c>
      <c r="I129" s="384">
        <f t="shared" si="47"/>
        <v>67.359312527682022</v>
      </c>
      <c r="J129" s="384">
        <f t="shared" si="47"/>
        <v>66.474017466586616</v>
      </c>
      <c r="K129" s="384">
        <f t="shared" si="47"/>
        <v>65.66291426683155</v>
      </c>
      <c r="L129" s="384">
        <f t="shared" si="47"/>
        <v>64.924453991264585</v>
      </c>
      <c r="M129" s="384">
        <f t="shared" si="47"/>
        <v>64.259057383899403</v>
      </c>
      <c r="N129" s="384">
        <f t="shared" si="47"/>
        <v>62.970207896573292</v>
      </c>
      <c r="O129" s="384">
        <f t="shared" si="47"/>
        <v>62.431210157071753</v>
      </c>
      <c r="P129" s="384">
        <f t="shared" si="47"/>
        <v>61.969843478848205</v>
      </c>
      <c r="Q129" s="384">
        <f t="shared" si="47"/>
        <v>61.57395273421772</v>
      </c>
      <c r="R129" s="384">
        <f t="shared" si="47"/>
        <v>61.253476904680689</v>
      </c>
      <c r="S129" s="384">
        <f t="shared" si="47"/>
        <v>59.682141190557651</v>
      </c>
      <c r="T129" s="384">
        <f t="shared" si="47"/>
        <v>59.769856811190607</v>
      </c>
      <c r="U129" s="384">
        <f t="shared" si="47"/>
        <v>59.912521739621326</v>
      </c>
      <c r="V129" s="384">
        <f t="shared" si="47"/>
        <v>60.123756853547164</v>
      </c>
      <c r="W129" s="384">
        <f t="shared" si="47"/>
        <v>60.399244399599304</v>
      </c>
      <c r="X129" s="384">
        <f t="shared" si="47"/>
        <v>60.302163028066232</v>
      </c>
      <c r="Y129" s="384">
        <f t="shared" si="47"/>
        <v>60.697218145361582</v>
      </c>
      <c r="Z129" s="384">
        <f t="shared" si="47"/>
        <v>61.154249146629013</v>
      </c>
      <c r="AA129" s="384">
        <f t="shared" si="47"/>
        <v>61.676093736564553</v>
      </c>
      <c r="AB129" s="384">
        <f t="shared" si="47"/>
        <v>62.262286111731335</v>
      </c>
      <c r="AC129" s="384">
        <f t="shared" si="47"/>
        <v>62.750577785473332</v>
      </c>
      <c r="AD129" s="384">
        <f t="shared" si="47"/>
        <v>64.143493361344369</v>
      </c>
      <c r="AE129" s="384">
        <f t="shared" si="47"/>
        <v>65.604728938881777</v>
      </c>
      <c r="AF129" s="384">
        <f t="shared" si="47"/>
        <v>67.147087533140606</v>
      </c>
      <c r="AG129" s="384">
        <f t="shared" si="47"/>
        <v>68.769121823614014</v>
      </c>
    </row>
    <row r="130" spans="1:34" s="344" customFormat="1">
      <c r="A130" s="342" t="s">
        <v>182</v>
      </c>
      <c r="B130" s="342"/>
      <c r="H130" s="431">
        <f>H132/H63</f>
        <v>1.8723001031186421</v>
      </c>
      <c r="AB130" s="431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 t="shared" ref="D131:AG131" si="48">C131+1</f>
        <v>2026</v>
      </c>
      <c r="E131" s="360">
        <f t="shared" si="48"/>
        <v>2027</v>
      </c>
      <c r="F131" s="360">
        <f t="shared" si="48"/>
        <v>2028</v>
      </c>
      <c r="G131" s="360">
        <f t="shared" si="48"/>
        <v>2029</v>
      </c>
      <c r="H131" s="360">
        <f t="shared" si="48"/>
        <v>2030</v>
      </c>
      <c r="I131" s="360">
        <f t="shared" si="48"/>
        <v>2031</v>
      </c>
      <c r="J131" s="360">
        <f t="shared" si="48"/>
        <v>2032</v>
      </c>
      <c r="K131" s="360">
        <f t="shared" si="48"/>
        <v>2033</v>
      </c>
      <c r="L131" s="360">
        <f t="shared" si="48"/>
        <v>2034</v>
      </c>
      <c r="M131" s="360">
        <f t="shared" si="48"/>
        <v>2035</v>
      </c>
      <c r="N131" s="360">
        <f t="shared" si="48"/>
        <v>2036</v>
      </c>
      <c r="O131" s="360">
        <f t="shared" si="48"/>
        <v>2037</v>
      </c>
      <c r="P131" s="360">
        <f t="shared" si="48"/>
        <v>2038</v>
      </c>
      <c r="Q131" s="360">
        <f t="shared" si="48"/>
        <v>2039</v>
      </c>
      <c r="R131" s="360">
        <f t="shared" si="48"/>
        <v>2040</v>
      </c>
      <c r="S131" s="360">
        <f t="shared" si="48"/>
        <v>2041</v>
      </c>
      <c r="T131" s="360">
        <f t="shared" si="48"/>
        <v>2042</v>
      </c>
      <c r="U131" s="360">
        <f t="shared" si="48"/>
        <v>2043</v>
      </c>
      <c r="V131" s="360">
        <f t="shared" si="48"/>
        <v>2044</v>
      </c>
      <c r="W131" s="360">
        <f t="shared" si="48"/>
        <v>2045</v>
      </c>
      <c r="X131" s="360">
        <f t="shared" si="48"/>
        <v>2046</v>
      </c>
      <c r="Y131" s="360">
        <f t="shared" si="48"/>
        <v>2047</v>
      </c>
      <c r="Z131" s="360">
        <f t="shared" si="48"/>
        <v>2048</v>
      </c>
      <c r="AA131" s="360">
        <f t="shared" si="48"/>
        <v>2049</v>
      </c>
      <c r="AB131" s="360">
        <f t="shared" si="48"/>
        <v>2050</v>
      </c>
      <c r="AC131" s="360">
        <f t="shared" si="48"/>
        <v>2051</v>
      </c>
      <c r="AD131" s="360">
        <f t="shared" si="48"/>
        <v>2052</v>
      </c>
      <c r="AE131" s="360">
        <f t="shared" si="48"/>
        <v>2053</v>
      </c>
      <c r="AF131" s="360">
        <f t="shared" si="48"/>
        <v>2054</v>
      </c>
      <c r="AG131" s="360">
        <f t="shared" si="48"/>
        <v>2055</v>
      </c>
    </row>
    <row r="132" spans="1:34">
      <c r="A132" s="300" t="s">
        <v>329</v>
      </c>
      <c r="B132" s="300" t="s">
        <v>309</v>
      </c>
      <c r="C132" s="376">
        <f>ROUND(('Changing with year'!C130)/1000,0)*1000</f>
        <v>7195000</v>
      </c>
      <c r="D132" s="376">
        <f>ROUND(('Changing with year'!D130)/1000,0)*1000</f>
        <v>7136000</v>
      </c>
      <c r="E132" s="376">
        <f>ROUND(('Changing with year'!E130)/1000,0)*1000</f>
        <v>7084000</v>
      </c>
      <c r="F132" s="376">
        <f>ROUND(('Changing with year'!F130)/1000,0)*1000</f>
        <v>6881000</v>
      </c>
      <c r="G132" s="376">
        <f>ROUND(('Changing with year'!G130)/1000,0)*1000</f>
        <v>6693000</v>
      </c>
      <c r="H132" s="376">
        <f>ROUND(('Changing with year'!H130)/1000,0)*1000</f>
        <v>6718000</v>
      </c>
      <c r="I132" s="376">
        <f>ROUND(('Changing with year'!I130)/1000,0)*1000</f>
        <v>6582000</v>
      </c>
      <c r="J132" s="376">
        <f>ROUND(('Changing with year'!J130)/1000,0)*1000</f>
        <v>6606000</v>
      </c>
      <c r="K132" s="376">
        <f>ROUND(('Changing with year'!K130)/1000,0)*1000</f>
        <v>6635000</v>
      </c>
      <c r="L132" s="376">
        <f>ROUND(('Changing with year'!L130)/1000,0)*1000</f>
        <v>6668000</v>
      </c>
      <c r="M132" s="376">
        <f>ROUND(('Changing with year'!M130)/1000,0)*1000</f>
        <v>6706000</v>
      </c>
      <c r="N132" s="376">
        <f>ROUND(('Changing with year'!N130)/1000,0)*1000</f>
        <v>6749000</v>
      </c>
      <c r="O132" s="376">
        <f>ROUND(('Changing with year'!O130)/1000,0)*1000</f>
        <v>6796000</v>
      </c>
      <c r="P132" s="376">
        <f>ROUND(('Changing with year'!P130)/1000,0)*1000</f>
        <v>6849000</v>
      </c>
      <c r="Q132" s="376">
        <f>ROUND(('Changing with year'!Q130)/1000,0)*1000</f>
        <v>6907000</v>
      </c>
      <c r="R132" s="376">
        <f>ROUND(('Changing with year'!R130)/1000,0)*1000</f>
        <v>6970000</v>
      </c>
      <c r="S132" s="376">
        <f>ROUND(('Changing with year'!S130)/1000,0)*1000</f>
        <v>6970000</v>
      </c>
      <c r="T132" s="376">
        <f>ROUND(('Changing with year'!T130)/1000,0)*1000</f>
        <v>7097000</v>
      </c>
      <c r="U132" s="376">
        <f>ROUND(('Changing with year'!U130)/1000,0)*1000</f>
        <v>7229000</v>
      </c>
      <c r="V132" s="376">
        <f>ROUND(('Changing with year'!V130)/1000,0)*1000</f>
        <v>7365000</v>
      </c>
      <c r="W132" s="376">
        <f>ROUND(('Changing with year'!W130)/1000,0)*1000</f>
        <v>7506000</v>
      </c>
      <c r="X132" s="376">
        <f>ROUND(('Changing with year'!X130)/1000,0)*1000</f>
        <v>7652000</v>
      </c>
      <c r="Y132" s="376">
        <f>ROUND(('Changing with year'!Y130)/1000,0)*1000</f>
        <v>7803000</v>
      </c>
      <c r="Z132" s="376">
        <f>ROUND(('Changing with year'!Z130)/1000,0)*1000</f>
        <v>7958000</v>
      </c>
      <c r="AA132" s="376">
        <f>ROUND(('Changing with year'!AA130)/1000,0)*1000</f>
        <v>8119000</v>
      </c>
      <c r="AB132" s="376">
        <f>ROUND(('Changing with year'!AB130)/1000,0)*1000</f>
        <v>8286000</v>
      </c>
      <c r="AC132" s="376">
        <f>ROUND(('Changing with year'!AC130)/1000,0)*1000</f>
        <v>8490000</v>
      </c>
      <c r="AD132" s="376">
        <f>ROUND(('Changing with year'!AD130)/1000,0)*1000</f>
        <v>8700000</v>
      </c>
      <c r="AE132" s="376">
        <f>ROUND(('Changing with year'!AE130)/1000,0)*1000</f>
        <v>8916000</v>
      </c>
      <c r="AF132" s="376">
        <f>ROUND(('Changing with year'!AF130)/1000,0)*1000</f>
        <v>9138000</v>
      </c>
      <c r="AG132" s="376">
        <f>ROUND(('Changing with year'!AG130)/1000,0)*1000</f>
        <v>9366000</v>
      </c>
    </row>
    <row r="133" spans="1:34">
      <c r="A133" s="300" t="s">
        <v>310</v>
      </c>
      <c r="B133" s="300" t="s">
        <v>309</v>
      </c>
      <c r="C133" s="376">
        <f>(C132*'No change with year'!$AK$8)</f>
        <v>1439000.0000000005</v>
      </c>
      <c r="D133" s="376">
        <f>(D132*'No change with year'!$AK$8)</f>
        <v>1427200.0000000005</v>
      </c>
      <c r="E133" s="376">
        <f>(E132*'No change with year'!$AK$8)</f>
        <v>1416800.0000000005</v>
      </c>
      <c r="F133" s="376">
        <f>(F132*'No change with year'!$AK$8)</f>
        <v>1376200.0000000005</v>
      </c>
      <c r="G133" s="376">
        <f>(G132*'No change with year'!$AK$8)</f>
        <v>1338600.0000000005</v>
      </c>
      <c r="H133" s="376">
        <f>(H132*'No change with year'!$AK$8)</f>
        <v>1343600.0000000005</v>
      </c>
      <c r="I133" s="376">
        <f>(I132*'No change with year'!$AK$8)</f>
        <v>1316400.0000000005</v>
      </c>
      <c r="J133" s="376">
        <f>(J132*'No change with year'!$AK$8)</f>
        <v>1321200.0000000005</v>
      </c>
      <c r="K133" s="376">
        <f>(K132*'No change with year'!$AK$8)</f>
        <v>1327000.0000000005</v>
      </c>
      <c r="L133" s="376">
        <f>(L132*'No change with year'!$AK$8)</f>
        <v>1333600.0000000005</v>
      </c>
      <c r="M133" s="376">
        <f>(M132*'No change with year'!$AK$8)</f>
        <v>1341200.0000000005</v>
      </c>
      <c r="N133" s="376">
        <f>(N132*'No change with year'!$AL$8)</f>
        <v>2024700.0000000002</v>
      </c>
      <c r="O133" s="376">
        <f>(O132*'No change with year'!$AL$8)</f>
        <v>2038800.0000000002</v>
      </c>
      <c r="P133" s="376">
        <f>(P132*'No change with year'!$AL$8)</f>
        <v>2054700.0000000002</v>
      </c>
      <c r="Q133" s="376">
        <f>(Q132*'No change with year'!$AL$8)</f>
        <v>2072100.0000000002</v>
      </c>
      <c r="R133" s="376">
        <f>(R132*'No change with year'!$AL$8)</f>
        <v>2091000.0000000002</v>
      </c>
      <c r="S133" s="376">
        <f>(S132*'No change with year'!$AL$8)</f>
        <v>2091000.0000000002</v>
      </c>
      <c r="T133" s="376">
        <f>(T132*'No change with year'!$AL$8)</f>
        <v>2129100.0000000005</v>
      </c>
      <c r="U133" s="376">
        <f>(U132*'No change with year'!$AL$8)</f>
        <v>2168700.0000000005</v>
      </c>
      <c r="V133" s="376">
        <f>(V132*'No change with year'!$AL$8)</f>
        <v>2209500.0000000005</v>
      </c>
      <c r="W133" s="376">
        <f>(W132*'No change with year'!$AL$8)</f>
        <v>2251800.0000000005</v>
      </c>
      <c r="X133" s="376">
        <f>(X132*'No change with year'!$AM$8)</f>
        <v>3060800</v>
      </c>
      <c r="Y133" s="376">
        <f>(Y132*'No change with year'!$AM$8)</f>
        <v>3121200</v>
      </c>
      <c r="Z133" s="376">
        <f>(Z132*'No change with year'!$AM$8)</f>
        <v>3183200</v>
      </c>
      <c r="AA133" s="376">
        <f>(AA132*'No change with year'!$AM$8)</f>
        <v>3247600</v>
      </c>
      <c r="AB133" s="376">
        <f>(AB132*'No change with year'!$AM$8)</f>
        <v>3314400</v>
      </c>
      <c r="AC133" s="376">
        <f>(AC132*'No change with year'!$AM$8)</f>
        <v>3396000</v>
      </c>
      <c r="AD133" s="376">
        <f>(AD132*'No change with year'!$AM$8)</f>
        <v>3480000</v>
      </c>
      <c r="AE133" s="376">
        <f>(AE132*'No change with year'!$AM$8)</f>
        <v>3566400</v>
      </c>
      <c r="AF133" s="376">
        <f>(AF132*'No change with year'!$AM$8)</f>
        <v>3655200</v>
      </c>
      <c r="AG133" s="376">
        <f>(AG132*'No change with year'!$AM$8)</f>
        <v>3746400</v>
      </c>
    </row>
    <row r="134" spans="1:34" s="371" customFormat="1" ht="11.85" customHeight="1">
      <c r="A134" s="428" t="s">
        <v>311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</row>
    <row r="135" spans="1:34">
      <c r="A135" s="300" t="s">
        <v>325</v>
      </c>
      <c r="B135" s="300" t="s">
        <v>313</v>
      </c>
      <c r="C135" s="376">
        <f t="shared" ref="C135:AG135" si="49">-PMT($C$28,$C$27,C132)</f>
        <v>1576552.1098105072</v>
      </c>
      <c r="D135" s="376">
        <f t="shared" si="49"/>
        <v>1563624.1633923252</v>
      </c>
      <c r="E135" s="376">
        <f t="shared" si="49"/>
        <v>1552230.0411254528</v>
      </c>
      <c r="F135" s="376">
        <f t="shared" si="49"/>
        <v>1507749.1407374705</v>
      </c>
      <c r="G135" s="376">
        <f t="shared" si="49"/>
        <v>1466555.0063880093</v>
      </c>
      <c r="H135" s="376">
        <f t="shared" si="49"/>
        <v>1472032.9497855438</v>
      </c>
      <c r="I135" s="376">
        <f t="shared" si="49"/>
        <v>1442232.9377029547</v>
      </c>
      <c r="J135" s="376">
        <f t="shared" si="49"/>
        <v>1447491.7633645881</v>
      </c>
      <c r="K135" s="376">
        <f t="shared" si="49"/>
        <v>1453846.1777057284</v>
      </c>
      <c r="L135" s="376">
        <f t="shared" si="49"/>
        <v>1461077.0629904743</v>
      </c>
      <c r="M135" s="376">
        <f t="shared" si="49"/>
        <v>1469403.536954727</v>
      </c>
      <c r="N135" s="376">
        <f t="shared" si="49"/>
        <v>1478825.5995984871</v>
      </c>
      <c r="O135" s="376">
        <f t="shared" si="49"/>
        <v>1489124.1331858523</v>
      </c>
      <c r="P135" s="376">
        <f t="shared" si="49"/>
        <v>1500737.373188626</v>
      </c>
      <c r="Q135" s="376">
        <f t="shared" si="49"/>
        <v>1513446.2018709069</v>
      </c>
      <c r="R135" s="376">
        <f t="shared" si="49"/>
        <v>1527250.6192326944</v>
      </c>
      <c r="S135" s="376">
        <f t="shared" si="49"/>
        <v>1527250.6192326944</v>
      </c>
      <c r="T135" s="376">
        <f t="shared" si="49"/>
        <v>1555078.571692171</v>
      </c>
      <c r="U135" s="376">
        <f t="shared" si="49"/>
        <v>1584002.1128311546</v>
      </c>
      <c r="V135" s="376">
        <f t="shared" si="49"/>
        <v>1613802.1249137439</v>
      </c>
      <c r="W135" s="376">
        <f t="shared" si="49"/>
        <v>1644697.7256758399</v>
      </c>
      <c r="X135" s="376">
        <f t="shared" si="49"/>
        <v>1676688.9151174428</v>
      </c>
      <c r="Y135" s="376">
        <f t="shared" si="49"/>
        <v>1709775.6932385529</v>
      </c>
      <c r="Z135" s="376">
        <f t="shared" si="49"/>
        <v>1743738.9423032685</v>
      </c>
      <c r="AA135" s="376">
        <f t="shared" si="49"/>
        <v>1779016.8977833926</v>
      </c>
      <c r="AB135" s="376">
        <f t="shared" si="49"/>
        <v>1815609.5596789247</v>
      </c>
      <c r="AC135" s="376">
        <f t="shared" si="49"/>
        <v>1860309.5778028085</v>
      </c>
      <c r="AD135" s="376">
        <f t="shared" si="49"/>
        <v>1906324.3023421008</v>
      </c>
      <c r="AE135" s="376">
        <f t="shared" si="49"/>
        <v>1953653.7332968009</v>
      </c>
      <c r="AF135" s="376">
        <f t="shared" si="49"/>
        <v>2002297.8706669097</v>
      </c>
      <c r="AG135" s="376">
        <f t="shared" si="49"/>
        <v>2052256.7144524271</v>
      </c>
    </row>
    <row r="136" spans="1:34">
      <c r="A136" s="300" t="s">
        <v>330</v>
      </c>
      <c r="B136" s="300" t="s">
        <v>313</v>
      </c>
      <c r="C136" s="376">
        <f t="shared" ref="C136:AG136" si="50">$G$37*C51</f>
        <v>1159581.2056218714</v>
      </c>
      <c r="D136" s="376">
        <f t="shared" si="50"/>
        <v>1174161.2056218714</v>
      </c>
      <c r="E136" s="376">
        <f t="shared" si="50"/>
        <v>1180309.7570783116</v>
      </c>
      <c r="F136" s="376">
        <f t="shared" si="50"/>
        <v>1179842.9369196445</v>
      </c>
      <c r="G136" s="376">
        <f t="shared" si="50"/>
        <v>1169233.0069940581</v>
      </c>
      <c r="H136" s="376">
        <f t="shared" si="50"/>
        <v>1177840.1500972048</v>
      </c>
      <c r="I136" s="376">
        <f t="shared" si="50"/>
        <v>1021848.1273610194</v>
      </c>
      <c r="J136" s="376">
        <f t="shared" si="50"/>
        <v>996433.09076817008</v>
      </c>
      <c r="K136" s="376">
        <f t="shared" si="50"/>
        <v>953780.42562718911</v>
      </c>
      <c r="L136" s="376">
        <f t="shared" si="50"/>
        <v>917811.09947453509</v>
      </c>
      <c r="M136" s="376">
        <f t="shared" si="50"/>
        <v>889449.71834945225</v>
      </c>
      <c r="N136" s="376">
        <f t="shared" si="50"/>
        <v>879668.43484224658</v>
      </c>
      <c r="O136" s="376">
        <f t="shared" si="50"/>
        <v>870495.66031134641</v>
      </c>
      <c r="P136" s="376">
        <f t="shared" si="50"/>
        <v>858785.41673301766</v>
      </c>
      <c r="Q136" s="376">
        <f t="shared" si="50"/>
        <v>850778.99117821432</v>
      </c>
      <c r="R136" s="376">
        <f t="shared" si="50"/>
        <v>847257.41183951311</v>
      </c>
      <c r="S136" s="376">
        <f t="shared" si="50"/>
        <v>847698.17556055146</v>
      </c>
      <c r="T136" s="376">
        <f t="shared" si="50"/>
        <v>852042.42485837871</v>
      </c>
      <c r="U136" s="376">
        <f t="shared" si="50"/>
        <v>853571.93351062376</v>
      </c>
      <c r="V136" s="376">
        <f t="shared" si="50"/>
        <v>855699.28104541439</v>
      </c>
      <c r="W136" s="376">
        <f t="shared" si="50"/>
        <v>858526.63132208236</v>
      </c>
      <c r="X136" s="376">
        <f t="shared" si="50"/>
        <v>862030.57822143682</v>
      </c>
      <c r="Y136" s="376">
        <f t="shared" si="50"/>
        <v>866182.96444228326</v>
      </c>
      <c r="Z136" s="376">
        <f t="shared" si="50"/>
        <v>871094.24248017964</v>
      </c>
      <c r="AA136" s="376">
        <f t="shared" si="50"/>
        <v>876886.2664307201</v>
      </c>
      <c r="AB136" s="376">
        <f t="shared" si="50"/>
        <v>883463.86121037102</v>
      </c>
      <c r="AC136" s="376">
        <f t="shared" si="50"/>
        <v>907071.17244507081</v>
      </c>
      <c r="AD136" s="376">
        <f t="shared" si="50"/>
        <v>936041.69157734152</v>
      </c>
      <c r="AE136" s="376">
        <f t="shared" si="50"/>
        <v>966074.04608622089</v>
      </c>
      <c r="AF136" s="376">
        <f t="shared" si="50"/>
        <v>997565.17306089855</v>
      </c>
      <c r="AG136" s="376">
        <f t="shared" si="50"/>
        <v>1030691.4979957648</v>
      </c>
    </row>
    <row r="137" spans="1:34">
      <c r="A137" s="300" t="s">
        <v>317</v>
      </c>
      <c r="B137" s="300" t="s">
        <v>313</v>
      </c>
      <c r="C137" s="376">
        <f t="shared" ref="C137:AG137" si="51">$C$22*$C$21*C57</f>
        <v>574817.38162448828</v>
      </c>
      <c r="D137" s="376">
        <f t="shared" si="51"/>
        <v>575048.54708387598</v>
      </c>
      <c r="E137" s="376">
        <f t="shared" si="51"/>
        <v>575857.99740677921</v>
      </c>
      <c r="F137" s="376">
        <f t="shared" si="51"/>
        <v>577254.63803160959</v>
      </c>
      <c r="G137" s="376">
        <f t="shared" si="51"/>
        <v>579248.08626321924</v>
      </c>
      <c r="H137" s="376">
        <f t="shared" si="51"/>
        <v>581848.69085633487</v>
      </c>
      <c r="I137" s="376">
        <f t="shared" si="51"/>
        <v>586610.25151891634</v>
      </c>
      <c r="J137" s="376">
        <f t="shared" si="51"/>
        <v>591932.52234743454</v>
      </c>
      <c r="K137" s="376">
        <f t="shared" si="51"/>
        <v>597830.52679373813</v>
      </c>
      <c r="L137" s="376">
        <f t="shared" si="51"/>
        <v>604320.03734684573</v>
      </c>
      <c r="M137" s="376">
        <f t="shared" si="51"/>
        <v>611417.60253245069</v>
      </c>
      <c r="N137" s="376">
        <f t="shared" si="51"/>
        <v>619140.57505164505</v>
      </c>
      <c r="O137" s="376">
        <f t="shared" si="51"/>
        <v>627507.14110324939</v>
      </c>
      <c r="P137" s="376">
        <f t="shared" si="51"/>
        <v>636536.35093592701</v>
      </c>
      <c r="Q137" s="376">
        <f t="shared" si="51"/>
        <v>646248.15067814081</v>
      </c>
      <c r="R137" s="376">
        <f t="shared" si="51"/>
        <v>656663.41549594759</v>
      </c>
      <c r="S137" s="376">
        <f t="shared" si="51"/>
        <v>670324.97879484179</v>
      </c>
      <c r="T137" s="376">
        <f t="shared" si="51"/>
        <v>684659.05435890134</v>
      </c>
      <c r="U137" s="376">
        <f t="shared" si="51"/>
        <v>699691.28218140046</v>
      </c>
      <c r="V137" s="376">
        <f t="shared" si="51"/>
        <v>715448.34046031814</v>
      </c>
      <c r="W137" s="376">
        <f t="shared" si="51"/>
        <v>731957.98700047575</v>
      </c>
      <c r="X137" s="376">
        <f t="shared" si="51"/>
        <v>749249.10227302252</v>
      </c>
      <c r="Y137" s="376">
        <f t="shared" si="51"/>
        <v>767351.73419854557</v>
      </c>
      <c r="Z137" s="376">
        <f t="shared" si="51"/>
        <v>786297.14472274389</v>
      </c>
      <c r="AA137" s="376">
        <f t="shared" si="51"/>
        <v>806117.85825634724</v>
      </c>
      <c r="AB137" s="376">
        <f t="shared" si="51"/>
        <v>826847.71205384808</v>
      </c>
      <c r="AC137" s="376">
        <f t="shared" si="51"/>
        <v>853081.79337954661</v>
      </c>
      <c r="AD137" s="376">
        <f t="shared" si="51"/>
        <v>880296.83968670841</v>
      </c>
      <c r="AE137" s="376">
        <f t="shared" si="51"/>
        <v>908531.40559187671</v>
      </c>
      <c r="AF137" s="376">
        <f t="shared" si="51"/>
        <v>937825.58105642872</v>
      </c>
      <c r="AG137" s="376">
        <f t="shared" si="51"/>
        <v>968221.05273197137</v>
      </c>
    </row>
    <row r="138" spans="1:34">
      <c r="A138" s="300" t="s">
        <v>318</v>
      </c>
      <c r="B138" s="300" t="s">
        <v>313</v>
      </c>
      <c r="C138" s="376">
        <f>'Changing with year'!C299</f>
        <v>460000</v>
      </c>
      <c r="D138" s="376">
        <f>'Changing with year'!D299</f>
        <v>481000</v>
      </c>
      <c r="E138" s="376">
        <f>'Changing with year'!E299</f>
        <v>503000</v>
      </c>
      <c r="F138" s="376">
        <f>'Changing with year'!F299</f>
        <v>526000</v>
      </c>
      <c r="G138" s="376">
        <f>'Changing with year'!G299</f>
        <v>550000</v>
      </c>
      <c r="H138" s="376">
        <f>'Changing with year'!H299</f>
        <v>575000</v>
      </c>
      <c r="I138" s="376">
        <f>'Changing with year'!I299</f>
        <v>601000</v>
      </c>
      <c r="J138" s="376">
        <f>'Changing with year'!J299</f>
        <v>628000</v>
      </c>
      <c r="K138" s="376">
        <f>'Changing with year'!K299</f>
        <v>656000</v>
      </c>
      <c r="L138" s="376">
        <f>'Changing with year'!L299</f>
        <v>686000</v>
      </c>
      <c r="M138" s="376">
        <f>'Changing with year'!M299</f>
        <v>717000</v>
      </c>
      <c r="N138" s="376">
        <f>'Changing with year'!N299</f>
        <v>749000</v>
      </c>
      <c r="O138" s="376">
        <f>'Changing with year'!O299</f>
        <v>783000</v>
      </c>
      <c r="P138" s="376">
        <f>'Changing with year'!P299</f>
        <v>818000</v>
      </c>
      <c r="Q138" s="376">
        <f>'Changing with year'!Q299</f>
        <v>855000</v>
      </c>
      <c r="R138" s="376">
        <f>'Changing with year'!R299</f>
        <v>893000</v>
      </c>
      <c r="S138" s="376">
        <f>'Changing with year'!S299</f>
        <v>933000</v>
      </c>
      <c r="T138" s="376">
        <f>'Changing with year'!T299</f>
        <v>975000</v>
      </c>
      <c r="U138" s="376">
        <f>'Changing with year'!U299</f>
        <v>1019000</v>
      </c>
      <c r="V138" s="376">
        <f>'Changing with year'!V299</f>
        <v>1065000</v>
      </c>
      <c r="W138" s="376">
        <f>'Changing with year'!W299</f>
        <v>1113000</v>
      </c>
      <c r="X138" s="376">
        <f>'Changing with year'!X299</f>
        <v>1163000</v>
      </c>
      <c r="Y138" s="376">
        <f>'Changing with year'!Y299</f>
        <v>1215000</v>
      </c>
      <c r="Z138" s="376">
        <f>'Changing with year'!Z299</f>
        <v>1270000</v>
      </c>
      <c r="AA138" s="376">
        <f>'Changing with year'!AA299</f>
        <v>1327000</v>
      </c>
      <c r="AB138" s="376">
        <f>'Changing with year'!AB299</f>
        <v>1387000</v>
      </c>
      <c r="AC138" s="376">
        <f>'Changing with year'!AC299</f>
        <v>1449000</v>
      </c>
      <c r="AD138" s="376">
        <f>'Changing with year'!AD299</f>
        <v>1514000</v>
      </c>
      <c r="AE138" s="376">
        <f>'Changing with year'!AE299</f>
        <v>1582000</v>
      </c>
      <c r="AF138" s="376">
        <f>'Changing with year'!AF299</f>
        <v>1653000</v>
      </c>
      <c r="AG138" s="376">
        <f>'Changing with year'!AG299</f>
        <v>1727000</v>
      </c>
      <c r="AH138" s="339"/>
    </row>
    <row r="139" spans="1:34">
      <c r="A139" s="300" t="s">
        <v>272</v>
      </c>
      <c r="B139" s="300" t="s">
        <v>313</v>
      </c>
      <c r="C139" s="437">
        <f t="shared" ref="C139:AG139" si="52">C60</f>
        <v>572400</v>
      </c>
      <c r="D139" s="437">
        <f t="shared" si="52"/>
        <v>578124</v>
      </c>
      <c r="E139" s="437">
        <f t="shared" si="52"/>
        <v>583905.24</v>
      </c>
      <c r="F139" s="437">
        <f t="shared" si="52"/>
        <v>589744.29240000003</v>
      </c>
      <c r="G139" s="437">
        <f t="shared" si="52"/>
        <v>595641.73532400001</v>
      </c>
      <c r="H139" s="437">
        <f t="shared" si="52"/>
        <v>601598.15267724008</v>
      </c>
      <c r="I139" s="437">
        <f t="shared" si="52"/>
        <v>607614.13420401246</v>
      </c>
      <c r="J139" s="437">
        <f t="shared" si="52"/>
        <v>613690.27554605249</v>
      </c>
      <c r="K139" s="437">
        <f t="shared" si="52"/>
        <v>619827.17830151308</v>
      </c>
      <c r="L139" s="437">
        <f t="shared" si="52"/>
        <v>626025.45008452807</v>
      </c>
      <c r="M139" s="437">
        <f t="shared" si="52"/>
        <v>632285.7045853734</v>
      </c>
      <c r="N139" s="437">
        <f t="shared" si="52"/>
        <v>638608.56163122714</v>
      </c>
      <c r="O139" s="437">
        <f t="shared" si="52"/>
        <v>644994.64724753937</v>
      </c>
      <c r="P139" s="437">
        <f t="shared" si="52"/>
        <v>651444.59372001479</v>
      </c>
      <c r="Q139" s="437">
        <f t="shared" si="52"/>
        <v>657959.03965721501</v>
      </c>
      <c r="R139" s="437">
        <f t="shared" si="52"/>
        <v>664538.63005378714</v>
      </c>
      <c r="S139" s="437">
        <f t="shared" si="52"/>
        <v>671184.01635432511</v>
      </c>
      <c r="T139" s="437">
        <f t="shared" si="52"/>
        <v>677895.85651786823</v>
      </c>
      <c r="U139" s="437">
        <f t="shared" si="52"/>
        <v>684674.81508304703</v>
      </c>
      <c r="V139" s="437">
        <f t="shared" si="52"/>
        <v>691521.56323387753</v>
      </c>
      <c r="W139" s="437">
        <f t="shared" si="52"/>
        <v>698436.77886621631</v>
      </c>
      <c r="X139" s="437">
        <f t="shared" si="52"/>
        <v>705421.14665487851</v>
      </c>
      <c r="Y139" s="437">
        <f t="shared" si="52"/>
        <v>712475.35812142724</v>
      </c>
      <c r="Z139" s="437">
        <f t="shared" si="52"/>
        <v>719600.11170264147</v>
      </c>
      <c r="AA139" s="437">
        <f t="shared" si="52"/>
        <v>726796.11281966791</v>
      </c>
      <c r="AB139" s="437">
        <f t="shared" si="52"/>
        <v>734064.0739478647</v>
      </c>
      <c r="AC139" s="437">
        <f t="shared" si="52"/>
        <v>741404.71468734322</v>
      </c>
      <c r="AD139" s="437">
        <f t="shared" si="52"/>
        <v>748818.76183421677</v>
      </c>
      <c r="AE139" s="437">
        <f t="shared" si="52"/>
        <v>756306.94945255888</v>
      </c>
      <c r="AF139" s="437">
        <f t="shared" si="52"/>
        <v>763870.01894708455</v>
      </c>
      <c r="AG139" s="437">
        <f t="shared" si="52"/>
        <v>771508.71913655533</v>
      </c>
    </row>
    <row r="140" spans="1:34">
      <c r="A140" s="300" t="s">
        <v>319</v>
      </c>
      <c r="B140" s="300" t="s">
        <v>313</v>
      </c>
      <c r="C140" s="386">
        <f t="shared" ref="C140:AG140" si="53">((C132)*$C$29)</f>
        <v>143900</v>
      </c>
      <c r="D140" s="386">
        <f t="shared" si="53"/>
        <v>142720</v>
      </c>
      <c r="E140" s="386">
        <f t="shared" si="53"/>
        <v>141680</v>
      </c>
      <c r="F140" s="386">
        <f t="shared" si="53"/>
        <v>137620</v>
      </c>
      <c r="G140" s="386">
        <f t="shared" si="53"/>
        <v>133860</v>
      </c>
      <c r="H140" s="386">
        <f t="shared" si="53"/>
        <v>134360</v>
      </c>
      <c r="I140" s="386">
        <f t="shared" si="53"/>
        <v>131640</v>
      </c>
      <c r="J140" s="386">
        <f t="shared" si="53"/>
        <v>132120</v>
      </c>
      <c r="K140" s="386">
        <f t="shared" si="53"/>
        <v>132700</v>
      </c>
      <c r="L140" s="386">
        <f t="shared" si="53"/>
        <v>133360</v>
      </c>
      <c r="M140" s="386">
        <f t="shared" si="53"/>
        <v>134120</v>
      </c>
      <c r="N140" s="386">
        <f t="shared" si="53"/>
        <v>134980</v>
      </c>
      <c r="O140" s="386">
        <f t="shared" si="53"/>
        <v>135920</v>
      </c>
      <c r="P140" s="386">
        <f t="shared" si="53"/>
        <v>136980</v>
      </c>
      <c r="Q140" s="386">
        <f t="shared" si="53"/>
        <v>138140</v>
      </c>
      <c r="R140" s="386">
        <f t="shared" si="53"/>
        <v>139400</v>
      </c>
      <c r="S140" s="386">
        <f t="shared" si="53"/>
        <v>139400</v>
      </c>
      <c r="T140" s="386">
        <f t="shared" si="53"/>
        <v>141940</v>
      </c>
      <c r="U140" s="386">
        <f t="shared" si="53"/>
        <v>144580</v>
      </c>
      <c r="V140" s="386">
        <f t="shared" si="53"/>
        <v>147300</v>
      </c>
      <c r="W140" s="386">
        <f t="shared" si="53"/>
        <v>150120</v>
      </c>
      <c r="X140" s="386">
        <f t="shared" si="53"/>
        <v>153040</v>
      </c>
      <c r="Y140" s="386">
        <f t="shared" si="53"/>
        <v>156060</v>
      </c>
      <c r="Z140" s="386">
        <f t="shared" si="53"/>
        <v>159160</v>
      </c>
      <c r="AA140" s="386">
        <f t="shared" si="53"/>
        <v>162380</v>
      </c>
      <c r="AB140" s="386">
        <f t="shared" si="53"/>
        <v>165720</v>
      </c>
      <c r="AC140" s="386">
        <f t="shared" si="53"/>
        <v>169800</v>
      </c>
      <c r="AD140" s="386">
        <f t="shared" si="53"/>
        <v>174000</v>
      </c>
      <c r="AE140" s="386">
        <f t="shared" si="53"/>
        <v>178320</v>
      </c>
      <c r="AF140" s="386">
        <f t="shared" si="53"/>
        <v>182760</v>
      </c>
      <c r="AG140" s="386">
        <f t="shared" si="53"/>
        <v>187320</v>
      </c>
    </row>
    <row r="141" spans="1:34" s="371" customFormat="1" ht="11.85" customHeight="1">
      <c r="A141" s="428" t="s">
        <v>320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spans="1:34">
      <c r="A142" s="300" t="s">
        <v>325</v>
      </c>
      <c r="B142" s="300" t="s">
        <v>300</v>
      </c>
      <c r="C142" s="379">
        <f t="shared" ref="C142:AG142" si="54">(C135)/($C$22*$C$21)</f>
        <v>14.597704720467659</v>
      </c>
      <c r="D142" s="379">
        <f t="shared" si="54"/>
        <v>14.4780015128919</v>
      </c>
      <c r="E142" s="379">
        <f t="shared" si="54"/>
        <v>14.37250038079123</v>
      </c>
      <c r="F142" s="379">
        <f t="shared" si="54"/>
        <v>13.960640192013615</v>
      </c>
      <c r="G142" s="379">
        <f t="shared" si="54"/>
        <v>13.579213022111198</v>
      </c>
      <c r="H142" s="379">
        <f t="shared" si="54"/>
        <v>13.629934720236516</v>
      </c>
      <c r="I142" s="379">
        <f t="shared" si="54"/>
        <v>13.354008682434767</v>
      </c>
      <c r="J142" s="379">
        <f t="shared" si="54"/>
        <v>13.402701512635076</v>
      </c>
      <c r="K142" s="379">
        <f t="shared" si="54"/>
        <v>13.461538682460448</v>
      </c>
      <c r="L142" s="379">
        <f t="shared" si="54"/>
        <v>13.528491323985874</v>
      </c>
      <c r="M142" s="379">
        <f t="shared" si="54"/>
        <v>13.605588305136362</v>
      </c>
      <c r="N142" s="379">
        <f t="shared" si="54"/>
        <v>13.692829625911918</v>
      </c>
      <c r="O142" s="379">
        <f t="shared" si="54"/>
        <v>13.788186418387522</v>
      </c>
      <c r="P142" s="379">
        <f t="shared" si="54"/>
        <v>13.895716418413205</v>
      </c>
      <c r="Q142" s="379">
        <f t="shared" si="54"/>
        <v>14.013390758063952</v>
      </c>
      <c r="R142" s="379">
        <f t="shared" si="54"/>
        <v>14.141209437339763</v>
      </c>
      <c r="S142" s="379">
        <f t="shared" si="54"/>
        <v>14.141209437339763</v>
      </c>
      <c r="T142" s="379">
        <f t="shared" si="54"/>
        <v>14.398875663816398</v>
      </c>
      <c r="U142" s="379">
        <f t="shared" si="54"/>
        <v>14.666686229918097</v>
      </c>
      <c r="V142" s="379">
        <f t="shared" si="54"/>
        <v>14.942612267719852</v>
      </c>
      <c r="W142" s="379">
        <f t="shared" si="54"/>
        <v>15.228682645146666</v>
      </c>
      <c r="X142" s="379">
        <f t="shared" si="54"/>
        <v>15.524897362198544</v>
      </c>
      <c r="Y142" s="379">
        <f t="shared" si="54"/>
        <v>15.831256418875491</v>
      </c>
      <c r="Z142" s="379">
        <f t="shared" si="54"/>
        <v>16.145730947252485</v>
      </c>
      <c r="AA142" s="379">
        <f t="shared" si="54"/>
        <v>16.47237868317956</v>
      </c>
      <c r="AB142" s="379">
        <f t="shared" si="54"/>
        <v>16.811199626656709</v>
      </c>
      <c r="AC142" s="379">
        <f t="shared" si="54"/>
        <v>17.225088683359338</v>
      </c>
      <c r="AD142" s="379">
        <f t="shared" si="54"/>
        <v>17.651150947612045</v>
      </c>
      <c r="AE142" s="379">
        <f t="shared" si="54"/>
        <v>18.089386419414822</v>
      </c>
      <c r="AF142" s="379">
        <f t="shared" si="54"/>
        <v>18.539795098767684</v>
      </c>
      <c r="AG142" s="379">
        <f t="shared" si="54"/>
        <v>19.002376985670622</v>
      </c>
    </row>
    <row r="143" spans="1:34">
      <c r="A143" s="300" t="s">
        <v>321</v>
      </c>
      <c r="B143" s="300" t="s">
        <v>300</v>
      </c>
      <c r="C143" s="379">
        <f t="shared" ref="C143:AG143" si="55">C136/($C$22*$C$21)</f>
        <v>10.736863015017327</v>
      </c>
      <c r="D143" s="379">
        <f t="shared" si="55"/>
        <v>10.871863015017327</v>
      </c>
      <c r="E143" s="379">
        <f t="shared" si="55"/>
        <v>10.928794047021404</v>
      </c>
      <c r="F143" s="379">
        <f t="shared" si="55"/>
        <v>10.924471638144857</v>
      </c>
      <c r="G143" s="379">
        <f t="shared" si="55"/>
        <v>10.82623154624128</v>
      </c>
      <c r="H143" s="379">
        <f t="shared" si="55"/>
        <v>10.905927315714859</v>
      </c>
      <c r="I143" s="379">
        <f t="shared" si="55"/>
        <v>9.4615567348242529</v>
      </c>
      <c r="J143" s="379">
        <f t="shared" si="55"/>
        <v>9.2262323219275011</v>
      </c>
      <c r="K143" s="379">
        <f t="shared" si="55"/>
        <v>8.8313002372887883</v>
      </c>
      <c r="L143" s="379">
        <f t="shared" si="55"/>
        <v>8.4982509210605102</v>
      </c>
      <c r="M143" s="379">
        <f t="shared" si="55"/>
        <v>8.2356455402727065</v>
      </c>
      <c r="N143" s="379">
        <f t="shared" si="55"/>
        <v>8.1450781003911725</v>
      </c>
      <c r="O143" s="379">
        <f t="shared" si="55"/>
        <v>8.0601450028828374</v>
      </c>
      <c r="P143" s="379">
        <f t="shared" si="55"/>
        <v>7.9517168216020151</v>
      </c>
      <c r="Q143" s="379">
        <f t="shared" si="55"/>
        <v>7.8775832516501323</v>
      </c>
      <c r="R143" s="379">
        <f t="shared" si="55"/>
        <v>7.8449760355510474</v>
      </c>
      <c r="S143" s="379">
        <f t="shared" si="55"/>
        <v>7.8490571811162173</v>
      </c>
      <c r="T143" s="379">
        <f t="shared" si="55"/>
        <v>7.8892817116516545</v>
      </c>
      <c r="U143" s="379">
        <f t="shared" si="55"/>
        <v>7.9034438288020716</v>
      </c>
      <c r="V143" s="379">
        <f t="shared" si="55"/>
        <v>7.9231414911612443</v>
      </c>
      <c r="W143" s="379">
        <f t="shared" si="55"/>
        <v>7.9493206603896516</v>
      </c>
      <c r="X143" s="379">
        <f t="shared" si="55"/>
        <v>7.9817646131614524</v>
      </c>
      <c r="Y143" s="379">
        <f t="shared" si="55"/>
        <v>8.0202126337248458</v>
      </c>
      <c r="Z143" s="379">
        <f t="shared" si="55"/>
        <v>8.0656874303720336</v>
      </c>
      <c r="AA143" s="379">
        <f t="shared" si="55"/>
        <v>8.1193172817659267</v>
      </c>
      <c r="AB143" s="379">
        <f t="shared" si="55"/>
        <v>8.1802209371330648</v>
      </c>
      <c r="AC143" s="379">
        <f t="shared" si="55"/>
        <v>8.3988071522691747</v>
      </c>
      <c r="AD143" s="379">
        <f t="shared" si="55"/>
        <v>8.6670526997901991</v>
      </c>
      <c r="AE143" s="379">
        <f t="shared" si="55"/>
        <v>8.9451300563538965</v>
      </c>
      <c r="AF143" s="379">
        <f t="shared" si="55"/>
        <v>9.2367145653786906</v>
      </c>
      <c r="AG143" s="379">
        <f t="shared" si="55"/>
        <v>9.5434397962570809</v>
      </c>
    </row>
    <row r="144" spans="1:34">
      <c r="A144" s="300" t="s">
        <v>322</v>
      </c>
      <c r="B144" s="300" t="s">
        <v>300</v>
      </c>
      <c r="C144" s="379">
        <f t="shared" ref="C144:AG144" si="56">(C137+C138+C139+C140)/($C$22*$C$21)</f>
        <v>16.214049829856371</v>
      </c>
      <c r="D144" s="379">
        <f t="shared" si="56"/>
        <v>16.45270876929515</v>
      </c>
      <c r="E144" s="379">
        <f t="shared" si="56"/>
        <v>16.707807753766474</v>
      </c>
      <c r="F144" s="379">
        <f t="shared" si="56"/>
        <v>16.950175281774161</v>
      </c>
      <c r="G144" s="379">
        <f t="shared" si="56"/>
        <v>17.210646496177958</v>
      </c>
      <c r="H144" s="379">
        <f t="shared" si="56"/>
        <v>17.525989291977545</v>
      </c>
      <c r="I144" s="379">
        <f t="shared" si="56"/>
        <v>17.841336904841931</v>
      </c>
      <c r="J144" s="379">
        <f t="shared" si="56"/>
        <v>18.201322202717471</v>
      </c>
      <c r="K144" s="379">
        <f t="shared" si="56"/>
        <v>18.577386158289361</v>
      </c>
      <c r="L144" s="379">
        <f t="shared" si="56"/>
        <v>18.978754513253463</v>
      </c>
      <c r="M144" s="379">
        <f t="shared" si="56"/>
        <v>19.396512102942815</v>
      </c>
      <c r="N144" s="379">
        <f t="shared" si="56"/>
        <v>19.830825339656226</v>
      </c>
      <c r="O144" s="379">
        <f t="shared" si="56"/>
        <v>20.290942484729527</v>
      </c>
      <c r="P144" s="379">
        <f t="shared" si="56"/>
        <v>20.768156894962424</v>
      </c>
      <c r="Q144" s="379">
        <f t="shared" si="56"/>
        <v>21.271733243845887</v>
      </c>
      <c r="R144" s="379">
        <f t="shared" si="56"/>
        <v>21.792611532867912</v>
      </c>
      <c r="S144" s="379">
        <f t="shared" si="56"/>
        <v>22.351009214344138</v>
      </c>
      <c r="T144" s="379">
        <f t="shared" si="56"/>
        <v>22.958286211821939</v>
      </c>
      <c r="U144" s="379">
        <f t="shared" si="56"/>
        <v>23.592093493189328</v>
      </c>
      <c r="V144" s="379">
        <f t="shared" si="56"/>
        <v>24.25249910827959</v>
      </c>
      <c r="W144" s="379">
        <f t="shared" si="56"/>
        <v>24.939951535802706</v>
      </c>
      <c r="X144" s="379">
        <f t="shared" si="56"/>
        <v>25.654724527110194</v>
      </c>
      <c r="Y144" s="379">
        <f t="shared" si="56"/>
        <v>26.397102706666416</v>
      </c>
      <c r="Z144" s="379">
        <f t="shared" si="56"/>
        <v>27.176456078012826</v>
      </c>
      <c r="AA144" s="379">
        <f t="shared" si="56"/>
        <v>27.984203435889032</v>
      </c>
      <c r="AB144" s="379">
        <f t="shared" si="56"/>
        <v>28.829923944460301</v>
      </c>
      <c r="AC144" s="379">
        <f t="shared" si="56"/>
        <v>29.752652852471201</v>
      </c>
      <c r="AD144" s="379">
        <f t="shared" si="56"/>
        <v>30.714033347415974</v>
      </c>
      <c r="AE144" s="379">
        <f t="shared" si="56"/>
        <v>31.714429213374405</v>
      </c>
      <c r="AF144" s="379">
        <f t="shared" si="56"/>
        <v>32.754218518551049</v>
      </c>
      <c r="AG144" s="379">
        <f t="shared" si="56"/>
        <v>33.833794183967839</v>
      </c>
    </row>
    <row r="145" spans="1:34">
      <c r="A145" s="300" t="s">
        <v>310</v>
      </c>
      <c r="B145" s="300" t="s">
        <v>300</v>
      </c>
      <c r="C145" s="379">
        <f t="shared" ref="C145:AG145" si="57">C133/($C$22*$C$21*7)</f>
        <v>1.9034391534391542</v>
      </c>
      <c r="D145" s="379">
        <f t="shared" si="57"/>
        <v>1.8878306878306885</v>
      </c>
      <c r="E145" s="379">
        <f t="shared" si="57"/>
        <v>1.8740740740740747</v>
      </c>
      <c r="F145" s="379">
        <f t="shared" si="57"/>
        <v>1.8203703703703711</v>
      </c>
      <c r="G145" s="379">
        <f t="shared" si="57"/>
        <v>1.7706349206349212</v>
      </c>
      <c r="H145" s="379">
        <f t="shared" si="57"/>
        <v>1.777248677248678</v>
      </c>
      <c r="I145" s="379">
        <f t="shared" si="57"/>
        <v>1.741269841269842</v>
      </c>
      <c r="J145" s="379">
        <f t="shared" si="57"/>
        <v>1.7476190476190483</v>
      </c>
      <c r="K145" s="379">
        <f t="shared" si="57"/>
        <v>1.755291005291006</v>
      </c>
      <c r="L145" s="379">
        <f t="shared" si="57"/>
        <v>1.7640211640211647</v>
      </c>
      <c r="M145" s="379">
        <f t="shared" si="57"/>
        <v>1.7740740740740746</v>
      </c>
      <c r="N145" s="379">
        <f t="shared" si="57"/>
        <v>2.6781746031746034</v>
      </c>
      <c r="O145" s="379">
        <f t="shared" si="57"/>
        <v>2.696825396825397</v>
      </c>
      <c r="P145" s="379">
        <f t="shared" si="57"/>
        <v>2.717857142857143</v>
      </c>
      <c r="Q145" s="379">
        <f t="shared" si="57"/>
        <v>2.7408730158730163</v>
      </c>
      <c r="R145" s="379">
        <f t="shared" si="57"/>
        <v>2.7658730158730163</v>
      </c>
      <c r="S145" s="379">
        <f t="shared" si="57"/>
        <v>2.7658730158730163</v>
      </c>
      <c r="T145" s="379">
        <f t="shared" si="57"/>
        <v>2.8162698412698419</v>
      </c>
      <c r="U145" s="379">
        <f t="shared" si="57"/>
        <v>2.8686507936507941</v>
      </c>
      <c r="V145" s="379">
        <f t="shared" si="57"/>
        <v>2.9226190476190483</v>
      </c>
      <c r="W145" s="379">
        <f t="shared" si="57"/>
        <v>2.9785714285714291</v>
      </c>
      <c r="X145" s="379">
        <f t="shared" si="57"/>
        <v>4.0486772486772491</v>
      </c>
      <c r="Y145" s="379">
        <f t="shared" si="57"/>
        <v>4.128571428571429</v>
      </c>
      <c r="Z145" s="379">
        <f t="shared" si="57"/>
        <v>4.2105820105820104</v>
      </c>
      <c r="AA145" s="379">
        <f t="shared" si="57"/>
        <v>4.2957671957671959</v>
      </c>
      <c r="AB145" s="379">
        <f t="shared" si="57"/>
        <v>4.3841269841269845</v>
      </c>
      <c r="AC145" s="379">
        <f t="shared" si="57"/>
        <v>4.4920634920634921</v>
      </c>
      <c r="AD145" s="379">
        <f t="shared" si="57"/>
        <v>4.6031746031746028</v>
      </c>
      <c r="AE145" s="379">
        <f t="shared" si="57"/>
        <v>4.7174603174603176</v>
      </c>
      <c r="AF145" s="379">
        <f t="shared" si="57"/>
        <v>4.8349206349206346</v>
      </c>
      <c r="AG145" s="379">
        <f t="shared" si="57"/>
        <v>4.9555555555555557</v>
      </c>
    </row>
    <row r="146" spans="1:34" s="352" customFormat="1">
      <c r="A146" s="380" t="s">
        <v>323</v>
      </c>
      <c r="B146" s="352" t="s">
        <v>300</v>
      </c>
      <c r="C146" s="429">
        <f t="shared" ref="C146:AG146" si="58">SUM(C142:C144)-C145</f>
        <v>39.645178411902208</v>
      </c>
      <c r="D146" s="429">
        <f t="shared" si="58"/>
        <v>39.91474260937369</v>
      </c>
      <c r="E146" s="429">
        <f t="shared" si="58"/>
        <v>40.135028107505036</v>
      </c>
      <c r="F146" s="429">
        <f t="shared" si="58"/>
        <v>40.01491674156226</v>
      </c>
      <c r="G146" s="429">
        <f t="shared" si="58"/>
        <v>39.845456143895518</v>
      </c>
      <c r="H146" s="429">
        <f t="shared" si="58"/>
        <v>40.284602650680242</v>
      </c>
      <c r="I146" s="429">
        <f t="shared" si="58"/>
        <v>38.915632480831107</v>
      </c>
      <c r="J146" s="429">
        <f t="shared" si="58"/>
        <v>39.082636989661005</v>
      </c>
      <c r="K146" s="429">
        <f t="shared" si="58"/>
        <v>39.114934072747594</v>
      </c>
      <c r="L146" s="429">
        <f t="shared" si="58"/>
        <v>39.241475594278683</v>
      </c>
      <c r="M146" s="429">
        <f t="shared" si="58"/>
        <v>39.463671874277814</v>
      </c>
      <c r="N146" s="429">
        <f t="shared" si="58"/>
        <v>38.990558462784712</v>
      </c>
      <c r="O146" s="429">
        <f t="shared" si="58"/>
        <v>39.44244850917449</v>
      </c>
      <c r="P146" s="429">
        <f t="shared" si="58"/>
        <v>39.897732992120503</v>
      </c>
      <c r="Q146" s="429">
        <f t="shared" si="58"/>
        <v>40.421834237686959</v>
      </c>
      <c r="R146" s="429">
        <f t="shared" si="58"/>
        <v>41.012923989885699</v>
      </c>
      <c r="S146" s="429">
        <f t="shared" si="58"/>
        <v>41.575402816927102</v>
      </c>
      <c r="T146" s="429">
        <f t="shared" si="58"/>
        <v>42.430173746020145</v>
      </c>
      <c r="U146" s="429">
        <f t="shared" si="58"/>
        <v>43.293572758258698</v>
      </c>
      <c r="V146" s="429">
        <f t="shared" si="58"/>
        <v>44.195633819541641</v>
      </c>
      <c r="W146" s="429">
        <f t="shared" si="58"/>
        <v>45.1393834127676</v>
      </c>
      <c r="X146" s="429">
        <f t="shared" si="58"/>
        <v>45.112709253792943</v>
      </c>
      <c r="Y146" s="429">
        <f t="shared" si="58"/>
        <v>46.120000330695326</v>
      </c>
      <c r="Z146" s="429">
        <f t="shared" si="58"/>
        <v>47.177292445055336</v>
      </c>
      <c r="AA146" s="429">
        <f t="shared" si="58"/>
        <v>48.280132205067318</v>
      </c>
      <c r="AB146" s="429">
        <f t="shared" si="58"/>
        <v>49.437217524123092</v>
      </c>
      <c r="AC146" s="429">
        <f t="shared" si="58"/>
        <v>50.884485196036223</v>
      </c>
      <c r="AD146" s="429">
        <f t="shared" si="58"/>
        <v>52.429062391643619</v>
      </c>
      <c r="AE146" s="429">
        <f t="shared" si="58"/>
        <v>54.031485371682813</v>
      </c>
      <c r="AF146" s="429">
        <f t="shared" si="58"/>
        <v>55.695807547776788</v>
      </c>
      <c r="AG146" s="429">
        <f t="shared" si="58"/>
        <v>57.424055410339989</v>
      </c>
    </row>
    <row r="147" spans="1:34" s="344" customFormat="1">
      <c r="A147" s="342" t="s">
        <v>331</v>
      </c>
      <c r="B147" s="342"/>
      <c r="H147" s="431">
        <f>H149/H63</f>
        <v>2.7535464451938352</v>
      </c>
      <c r="AB147" s="431">
        <f>AB149/AB63</f>
        <v>1.5666517505824988</v>
      </c>
    </row>
    <row r="148" spans="1:34">
      <c r="A148" s="360" t="s">
        <v>41</v>
      </c>
      <c r="B148" s="360"/>
      <c r="C148" s="360">
        <v>2025</v>
      </c>
      <c r="D148" s="360">
        <f t="shared" ref="D148:AG148" si="59">C148+1</f>
        <v>2026</v>
      </c>
      <c r="E148" s="360">
        <f t="shared" si="59"/>
        <v>2027</v>
      </c>
      <c r="F148" s="360">
        <f t="shared" si="59"/>
        <v>2028</v>
      </c>
      <c r="G148" s="360">
        <f t="shared" si="59"/>
        <v>2029</v>
      </c>
      <c r="H148" s="360">
        <f t="shared" si="59"/>
        <v>2030</v>
      </c>
      <c r="I148" s="360">
        <f t="shared" si="59"/>
        <v>2031</v>
      </c>
      <c r="J148" s="360">
        <f t="shared" si="59"/>
        <v>2032</v>
      </c>
      <c r="K148" s="360">
        <f t="shared" si="59"/>
        <v>2033</v>
      </c>
      <c r="L148" s="360">
        <f t="shared" si="59"/>
        <v>2034</v>
      </c>
      <c r="M148" s="360">
        <f t="shared" si="59"/>
        <v>2035</v>
      </c>
      <c r="N148" s="360">
        <f t="shared" si="59"/>
        <v>2036</v>
      </c>
      <c r="O148" s="360">
        <f t="shared" si="59"/>
        <v>2037</v>
      </c>
      <c r="P148" s="360">
        <f t="shared" si="59"/>
        <v>2038</v>
      </c>
      <c r="Q148" s="360">
        <f t="shared" si="59"/>
        <v>2039</v>
      </c>
      <c r="R148" s="360">
        <f t="shared" si="59"/>
        <v>2040</v>
      </c>
      <c r="S148" s="360">
        <f t="shared" si="59"/>
        <v>2041</v>
      </c>
      <c r="T148" s="360">
        <f t="shared" si="59"/>
        <v>2042</v>
      </c>
      <c r="U148" s="360">
        <f t="shared" si="59"/>
        <v>2043</v>
      </c>
      <c r="V148" s="360">
        <f t="shared" si="59"/>
        <v>2044</v>
      </c>
      <c r="W148" s="360">
        <f t="shared" si="59"/>
        <v>2045</v>
      </c>
      <c r="X148" s="360">
        <f t="shared" si="59"/>
        <v>2046</v>
      </c>
      <c r="Y148" s="360">
        <f t="shared" si="59"/>
        <v>2047</v>
      </c>
      <c r="Z148" s="360">
        <f t="shared" si="59"/>
        <v>2048</v>
      </c>
      <c r="AA148" s="360">
        <f t="shared" si="59"/>
        <v>2049</v>
      </c>
      <c r="AB148" s="360">
        <f t="shared" si="59"/>
        <v>2050</v>
      </c>
      <c r="AC148" s="360">
        <f t="shared" si="59"/>
        <v>2051</v>
      </c>
      <c r="AD148" s="360">
        <f t="shared" si="59"/>
        <v>2052</v>
      </c>
      <c r="AE148" s="360">
        <f t="shared" si="59"/>
        <v>2053</v>
      </c>
      <c r="AF148" s="360">
        <f t="shared" si="59"/>
        <v>2054</v>
      </c>
      <c r="AG148" s="360">
        <f t="shared" si="59"/>
        <v>2055</v>
      </c>
    </row>
    <row r="149" spans="1:34">
      <c r="A149" s="300" t="s">
        <v>332</v>
      </c>
      <c r="B149" s="300" t="s">
        <v>309</v>
      </c>
      <c r="C149" s="376">
        <f>ROUND(('Changing with year'!C143)/1000,0)*1000</f>
        <v>10666000</v>
      </c>
      <c r="D149" s="376">
        <f>ROUND(('Changing with year'!D143)/1000,0)*1000</f>
        <v>10444000</v>
      </c>
      <c r="E149" s="376">
        <f>ROUND(('Changing with year'!E143)/1000,0)*1000</f>
        <v>10234000</v>
      </c>
      <c r="F149" s="376">
        <f>ROUND(('Changing with year'!F143)/1000,0)*1000</f>
        <v>10037000</v>
      </c>
      <c r="G149" s="376">
        <f>ROUND(('Changing with year'!G143)/1000,0)*1000</f>
        <v>9852000</v>
      </c>
      <c r="H149" s="376">
        <f>ROUND(('Changing with year'!H143)/1000,0)*1000</f>
        <v>9880000</v>
      </c>
      <c r="I149" s="376">
        <f>ROUND(('Changing with year'!I143)/1000,0)*1000</f>
        <v>9777000</v>
      </c>
      <c r="J149" s="376">
        <f>ROUND(('Changing with year'!J143)/1000,0)*1000</f>
        <v>9688000</v>
      </c>
      <c r="K149" s="376">
        <f>ROUND(('Changing with year'!K143)/1000,0)*1000</f>
        <v>9608000</v>
      </c>
      <c r="L149" s="376">
        <f>ROUND(('Changing with year'!L143)/1000,0)*1000</f>
        <v>9537000</v>
      </c>
      <c r="M149" s="376">
        <f>ROUND(('Changing with year'!M143)/1000,0)*1000</f>
        <v>9474000</v>
      </c>
      <c r="N149" s="376">
        <f>ROUND(('Changing with year'!N143)/1000,0)*1000</f>
        <v>9419000</v>
      </c>
      <c r="O149" s="376">
        <f>ROUND(('Changing with year'!O143)/1000,0)*1000</f>
        <v>9373000</v>
      </c>
      <c r="P149" s="376">
        <f>ROUND(('Changing with year'!P143)/1000,0)*1000</f>
        <v>9335000</v>
      </c>
      <c r="Q149" s="376">
        <f>ROUND(('Changing with year'!Q143)/1000,0)*1000</f>
        <v>9306000</v>
      </c>
      <c r="R149" s="376">
        <f>ROUND(('Changing with year'!R143)/1000,0)*1000</f>
        <v>9284000</v>
      </c>
      <c r="S149" s="376">
        <f>ROUND(('Changing with year'!S143)/1000,0)*1000</f>
        <v>9211000</v>
      </c>
      <c r="T149" s="376">
        <f>ROUND(('Changing with year'!T143)/1000,0)*1000</f>
        <v>9310000</v>
      </c>
      <c r="U149" s="376">
        <f>ROUND(('Changing with year'!U143)/1000,0)*1000</f>
        <v>9414000</v>
      </c>
      <c r="V149" s="376">
        <f>ROUND(('Changing with year'!V143)/1000,0)*1000</f>
        <v>9525000</v>
      </c>
      <c r="W149" s="376">
        <f>ROUND(('Changing with year'!W143)/1000,0)*1000</f>
        <v>9640000</v>
      </c>
      <c r="X149" s="376">
        <f>ROUND(('Changing with year'!X143)/1000,0)*1000</f>
        <v>9603000</v>
      </c>
      <c r="Y149" s="376">
        <f>ROUND(('Changing with year'!Y143)/1000,0)*1000</f>
        <v>9731000</v>
      </c>
      <c r="Z149" s="376">
        <f>ROUND(('Changing with year'!Z143)/1000,0)*1000</f>
        <v>9865000</v>
      </c>
      <c r="AA149" s="376">
        <f>ROUND(('Changing with year'!AA143)/1000,0)*1000</f>
        <v>10006000</v>
      </c>
      <c r="AB149" s="376">
        <f>ROUND(('Changing with year'!AB143)/1000,0)*1000</f>
        <v>10153000</v>
      </c>
      <c r="AC149" s="376">
        <f>ROUND(('Changing with year'!AC143)/1000,0)*1000</f>
        <v>10220000</v>
      </c>
      <c r="AD149" s="376">
        <f>ROUND(('Changing with year'!AD143)/1000,0)*1000</f>
        <v>10448000</v>
      </c>
      <c r="AE149" s="376">
        <f>ROUND(('Changing with year'!AE143)/1000,0)*1000</f>
        <v>10681000</v>
      </c>
      <c r="AF149" s="376">
        <f>ROUND(('Changing with year'!AF143)/1000,0)*1000</f>
        <v>10921000</v>
      </c>
      <c r="AG149" s="376">
        <f>ROUND(('Changing with year'!AG143)/1000,0)*1000</f>
        <v>11167000</v>
      </c>
    </row>
    <row r="150" spans="1:34">
      <c r="A150" s="300" t="s">
        <v>310</v>
      </c>
      <c r="B150" s="300" t="s">
        <v>309</v>
      </c>
      <c r="C150" s="376">
        <f>(C149*'No change with year'!$AN$8)</f>
        <v>1066600.0000000005</v>
      </c>
      <c r="D150" s="376">
        <f>(D149*'No change with year'!$AN$8)</f>
        <v>1044400.0000000003</v>
      </c>
      <c r="E150" s="376">
        <f>(E149*'No change with year'!$AN$8)</f>
        <v>1023400.0000000003</v>
      </c>
      <c r="F150" s="376">
        <f>(F149*'No change with year'!$AN$8)</f>
        <v>1003700.0000000003</v>
      </c>
      <c r="G150" s="376">
        <f>(G149*'No change with year'!$AN$8)</f>
        <v>985200.00000000035</v>
      </c>
      <c r="H150" s="376">
        <f>(H149*'No change with year'!$AN$8)</f>
        <v>988000.00000000035</v>
      </c>
      <c r="I150" s="376">
        <f>(I149*'No change with year'!$AN$8)</f>
        <v>977700.00000000035</v>
      </c>
      <c r="J150" s="376">
        <f>(J149*'No change with year'!$AN$8)</f>
        <v>968800.00000000035</v>
      </c>
      <c r="K150" s="376">
        <f>(K149*'No change with year'!$AN$8)</f>
        <v>960800.00000000035</v>
      </c>
      <c r="L150" s="376">
        <f>(L149*'No change with year'!$AN$8)</f>
        <v>953700.00000000035</v>
      </c>
      <c r="M150" s="376">
        <f>(M149*'No change with year'!$AN$8)</f>
        <v>947400.00000000035</v>
      </c>
      <c r="N150" s="376">
        <f>(N149*'No change with year'!$AO$8)</f>
        <v>1883800.0000000007</v>
      </c>
      <c r="O150" s="376">
        <f>(O149*'No change with year'!$AO$8)</f>
        <v>1874600.0000000007</v>
      </c>
      <c r="P150" s="376">
        <f>(P149*'No change with year'!$AO$8)</f>
        <v>1867000.0000000007</v>
      </c>
      <c r="Q150" s="376">
        <f>(Q149*'No change with year'!$AO$8)</f>
        <v>1861200.0000000007</v>
      </c>
      <c r="R150" s="376">
        <f>(R149*'No change with year'!$AO$8)</f>
        <v>1856800.0000000007</v>
      </c>
      <c r="S150" s="376">
        <f>(S149*'No change with year'!$AO$8)</f>
        <v>1842200.0000000007</v>
      </c>
      <c r="T150" s="376">
        <f>(T149*'No change with year'!$AO$8)</f>
        <v>1862000.0000000007</v>
      </c>
      <c r="U150" s="376">
        <f>(U149*'No change with year'!$AO$8)</f>
        <v>1882800.0000000007</v>
      </c>
      <c r="V150" s="376">
        <f>(V149*'No change with year'!$AO$8)</f>
        <v>1905000.0000000007</v>
      </c>
      <c r="W150" s="376">
        <f>(W149*'No change with year'!$AO$8)</f>
        <v>1928000.0000000007</v>
      </c>
      <c r="X150" s="376">
        <f>(X149*'No change with year'!$AP$8)</f>
        <v>2880900.0000000005</v>
      </c>
      <c r="Y150" s="376">
        <f>(Y149*'No change with year'!$AP$8)</f>
        <v>2919300.0000000005</v>
      </c>
      <c r="Z150" s="376">
        <f>(Z149*'No change with year'!$AP$8)</f>
        <v>2959500.0000000005</v>
      </c>
      <c r="AA150" s="376">
        <f>(AA149*'No change with year'!$AP$8)</f>
        <v>3001800.0000000005</v>
      </c>
      <c r="AB150" s="376">
        <f>(AB149*'No change with year'!$AP$8)</f>
        <v>3045900.0000000005</v>
      </c>
      <c r="AC150" s="376">
        <f>(AC149*'No change with year'!$AP$8)</f>
        <v>3066000.0000000005</v>
      </c>
      <c r="AD150" s="376">
        <f>(AD149*'No change with year'!$AP$8)</f>
        <v>3134400.0000000005</v>
      </c>
      <c r="AE150" s="376">
        <f>(AE149*'No change with year'!$AP$8)</f>
        <v>3204300.0000000005</v>
      </c>
      <c r="AF150" s="376">
        <f>(AF149*'No change with year'!$AP$8)</f>
        <v>3276300.0000000005</v>
      </c>
      <c r="AG150" s="376">
        <f>(AG149*'No change with year'!$AP$8)</f>
        <v>3350100.0000000005</v>
      </c>
    </row>
    <row r="151" spans="1:34" s="371" customFormat="1" ht="11.85" customHeight="1">
      <c r="A151" s="428" t="s">
        <v>311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spans="1:34">
      <c r="A152" s="300" t="s">
        <v>325</v>
      </c>
      <c r="B152" s="300" t="s">
        <v>313</v>
      </c>
      <c r="C152" s="376">
        <f t="shared" ref="C152:AG152" si="60">-PMT($C$28,$C$27,C149)</f>
        <v>2337109.7711242349</v>
      </c>
      <c r="D152" s="376">
        <f t="shared" si="60"/>
        <v>2288465.6337541263</v>
      </c>
      <c r="E152" s="376">
        <f t="shared" si="60"/>
        <v>2242450.9092148342</v>
      </c>
      <c r="F152" s="376">
        <f t="shared" si="60"/>
        <v>2199284.7152422601</v>
      </c>
      <c r="G152" s="376">
        <f t="shared" si="60"/>
        <v>2158747.9341005026</v>
      </c>
      <c r="H152" s="376">
        <f t="shared" si="60"/>
        <v>2164883.2307057418</v>
      </c>
      <c r="I152" s="376">
        <f t="shared" si="60"/>
        <v>2142314.1039078985</v>
      </c>
      <c r="J152" s="376">
        <f t="shared" si="60"/>
        <v>2122812.6254126746</v>
      </c>
      <c r="K152" s="376">
        <f t="shared" si="60"/>
        <v>2105283.2065405636</v>
      </c>
      <c r="L152" s="376">
        <f t="shared" si="60"/>
        <v>2089725.8472915646</v>
      </c>
      <c r="M152" s="376">
        <f t="shared" si="60"/>
        <v>2075921.429929777</v>
      </c>
      <c r="N152" s="376">
        <f t="shared" si="60"/>
        <v>2063869.9544552006</v>
      </c>
      <c r="O152" s="376">
        <f t="shared" si="60"/>
        <v>2053790.5386037368</v>
      </c>
      <c r="P152" s="376">
        <f t="shared" si="60"/>
        <v>2045464.0646394838</v>
      </c>
      <c r="Q152" s="376">
        <f t="shared" si="60"/>
        <v>2039109.6502983435</v>
      </c>
      <c r="R152" s="376">
        <f t="shared" si="60"/>
        <v>2034289.0601085131</v>
      </c>
      <c r="S152" s="376">
        <f t="shared" si="60"/>
        <v>2018293.4653877113</v>
      </c>
      <c r="T152" s="376">
        <f t="shared" si="60"/>
        <v>2039986.1212419488</v>
      </c>
      <c r="U152" s="376">
        <f t="shared" si="60"/>
        <v>2062774.3657756939</v>
      </c>
      <c r="V152" s="376">
        <f t="shared" si="60"/>
        <v>2087096.4344607482</v>
      </c>
      <c r="W152" s="376">
        <f t="shared" si="60"/>
        <v>2112294.9740894078</v>
      </c>
      <c r="X152" s="376">
        <f t="shared" si="60"/>
        <v>2104187.6178610567</v>
      </c>
      <c r="Y152" s="376">
        <f t="shared" si="60"/>
        <v>2132234.688056435</v>
      </c>
      <c r="Z152" s="376">
        <f t="shared" si="60"/>
        <v>2161596.4646672211</v>
      </c>
      <c r="AA152" s="376">
        <f t="shared" si="60"/>
        <v>2192492.0654293173</v>
      </c>
      <c r="AB152" s="376">
        <f t="shared" si="60"/>
        <v>2224702.3726068214</v>
      </c>
      <c r="AC152" s="376">
        <f t="shared" si="60"/>
        <v>2239383.2609122149</v>
      </c>
      <c r="AD152" s="376">
        <f t="shared" si="60"/>
        <v>2289342.1046977318</v>
      </c>
      <c r="AE152" s="376">
        <f t="shared" si="60"/>
        <v>2340396.5371627561</v>
      </c>
      <c r="AF152" s="376">
        <f t="shared" si="60"/>
        <v>2392984.7937790896</v>
      </c>
      <c r="AG152" s="376">
        <f t="shared" si="60"/>
        <v>2446887.7568108318</v>
      </c>
    </row>
    <row r="153" spans="1:34">
      <c r="A153" s="300" t="s">
        <v>333</v>
      </c>
      <c r="B153" s="300" t="s">
        <v>313</v>
      </c>
      <c r="C153" s="376">
        <f t="shared" ref="C153:AG153" si="61">$H$37*C50</f>
        <v>3896100</v>
      </c>
      <c r="D153" s="376">
        <f t="shared" si="61"/>
        <v>3859920.0000000005</v>
      </c>
      <c r="E153" s="376">
        <f t="shared" si="61"/>
        <v>3827349.9</v>
      </c>
      <c r="F153" s="376">
        <f t="shared" si="61"/>
        <v>3798309.2130000005</v>
      </c>
      <c r="G153" s="376">
        <f t="shared" si="61"/>
        <v>3772721.3300100002</v>
      </c>
      <c r="H153" s="376">
        <f t="shared" si="61"/>
        <v>3750513.3966897009</v>
      </c>
      <c r="I153" s="376">
        <f t="shared" si="61"/>
        <v>3527145.3912244919</v>
      </c>
      <c r="J153" s="376">
        <f t="shared" si="61"/>
        <v>3409587.228714494</v>
      </c>
      <c r="K153" s="376">
        <f t="shared" si="61"/>
        <v>3295939.1213369668</v>
      </c>
      <c r="L153" s="376">
        <f t="shared" si="61"/>
        <v>3186053.5034064632</v>
      </c>
      <c r="M153" s="376">
        <f t="shared" si="61"/>
        <v>3079788.930424612</v>
      </c>
      <c r="N153" s="376">
        <f t="shared" si="61"/>
        <v>2977009.8087516031</v>
      </c>
      <c r="O153" s="376">
        <f t="shared" si="61"/>
        <v>2877586.1376962797</v>
      </c>
      <c r="P153" s="376">
        <f t="shared" si="61"/>
        <v>2781393.2634399901</v>
      </c>
      <c r="Q153" s="376">
        <f t="shared" si="61"/>
        <v>2688311.6442373279</v>
      </c>
      <c r="R153" s="376">
        <f t="shared" si="61"/>
        <v>2598226.6263635438</v>
      </c>
      <c r="S153" s="376">
        <f t="shared" si="61"/>
        <v>2398899.283940535</v>
      </c>
      <c r="T153" s="376">
        <f t="shared" si="61"/>
        <v>2330784.0019055177</v>
      </c>
      <c r="U153" s="376">
        <f t="shared" si="61"/>
        <v>2265092.7234759405</v>
      </c>
      <c r="V153" s="376">
        <f t="shared" si="61"/>
        <v>2201720.6799867344</v>
      </c>
      <c r="W153" s="376">
        <f t="shared" si="61"/>
        <v>2140567.9784736261</v>
      </c>
      <c r="X153" s="376">
        <f t="shared" si="61"/>
        <v>2081539.3674679389</v>
      </c>
      <c r="Y153" s="376">
        <f t="shared" si="61"/>
        <v>2024544.014227286</v>
      </c>
      <c r="Z153" s="376">
        <f t="shared" si="61"/>
        <v>1969495.2928384501</v>
      </c>
      <c r="AA153" s="376">
        <f t="shared" si="61"/>
        <v>1916310.582656709</v>
      </c>
      <c r="AB153" s="376">
        <f t="shared" si="61"/>
        <v>1864911.0765724052</v>
      </c>
      <c r="AC153" s="376">
        <f t="shared" si="61"/>
        <v>1802248.4242436476</v>
      </c>
      <c r="AD153" s="376">
        <f t="shared" si="61"/>
        <v>1808459.7601860638</v>
      </c>
      <c r="AE153" s="376">
        <f t="shared" si="61"/>
        <v>1816781.2752369698</v>
      </c>
      <c r="AF153" s="376">
        <f t="shared" si="61"/>
        <v>1827179.0660490475</v>
      </c>
      <c r="AG153" s="376">
        <f t="shared" si="61"/>
        <v>1839622.4928433362</v>
      </c>
    </row>
    <row r="154" spans="1:34">
      <c r="A154" s="300" t="s">
        <v>317</v>
      </c>
      <c r="B154" s="300" t="s">
        <v>313</v>
      </c>
      <c r="C154" s="376">
        <f t="shared" ref="C154:AG154" si="62">$C$22*$C$21*C58</f>
        <v>647640</v>
      </c>
      <c r="D154" s="376">
        <f t="shared" si="62"/>
        <v>646050.6</v>
      </c>
      <c r="E154" s="376">
        <f t="shared" si="62"/>
        <v>645084.99899999995</v>
      </c>
      <c r="F154" s="376">
        <f t="shared" si="62"/>
        <v>644750.96458499983</v>
      </c>
      <c r="G154" s="376">
        <f t="shared" si="62"/>
        <v>645057.00465277478</v>
      </c>
      <c r="H154" s="376">
        <f t="shared" si="62"/>
        <v>646012.3862861516</v>
      </c>
      <c r="I154" s="376">
        <f t="shared" si="62"/>
        <v>649490.67304013669</v>
      </c>
      <c r="J154" s="376">
        <f t="shared" si="62"/>
        <v>653555.33543823042</v>
      </c>
      <c r="K154" s="376">
        <f t="shared" si="62"/>
        <v>658220.88362271816</v>
      </c>
      <c r="L154" s="376">
        <f t="shared" si="62"/>
        <v>663502.58703924622</v>
      </c>
      <c r="M154" s="376">
        <f t="shared" si="62"/>
        <v>669416.5012310032</v>
      </c>
      <c r="N154" s="376">
        <f t="shared" si="62"/>
        <v>675979.49577622651</v>
      </c>
      <c r="O154" s="376">
        <f t="shared" si="62"/>
        <v>683209.28341333917</v>
      </c>
      <c r="P154" s="376">
        <f t="shared" si="62"/>
        <v>691124.45039981499</v>
      </c>
      <c r="Q154" s="376">
        <f t="shared" si="62"/>
        <v>699744.488152751</v>
      </c>
      <c r="R154" s="376">
        <f t="shared" si="62"/>
        <v>709089.8262210656</v>
      </c>
      <c r="S154" s="376">
        <f t="shared" si="62"/>
        <v>722227.12541270873</v>
      </c>
      <c r="T154" s="376">
        <f t="shared" si="62"/>
        <v>736042.17951058957</v>
      </c>
      <c r="U154" s="376">
        <f t="shared" si="62"/>
        <v>750560.57608157175</v>
      </c>
      <c r="V154" s="376">
        <f t="shared" si="62"/>
        <v>765808.94142148772</v>
      </c>
      <c r="W154" s="376">
        <f t="shared" si="62"/>
        <v>781814.9819520337</v>
      </c>
      <c r="X154" s="376">
        <f t="shared" si="62"/>
        <v>798607.52727506473</v>
      </c>
      <c r="Y154" s="376">
        <f t="shared" si="62"/>
        <v>816216.57495056756</v>
      </c>
      <c r="Z154" s="376">
        <f t="shared" si="62"/>
        <v>834673.33706724551</v>
      </c>
      <c r="AA154" s="376">
        <f t="shared" si="62"/>
        <v>854010.28867740405</v>
      </c>
      <c r="AB154" s="376">
        <f t="shared" si="62"/>
        <v>874261.21817069408</v>
      </c>
      <c r="AC154" s="376">
        <f t="shared" si="62"/>
        <v>900969.43455756106</v>
      </c>
      <c r="AD154" s="376">
        <f t="shared" si="62"/>
        <v>928663.357276503</v>
      </c>
      <c r="AE154" s="376">
        <f t="shared" si="62"/>
        <v>957381.58835756942</v>
      </c>
      <c r="AF154" s="376">
        <f t="shared" si="62"/>
        <v>987164.2656497783</v>
      </c>
      <c r="AG154" s="376">
        <f t="shared" si="62"/>
        <v>1018053.1241712543</v>
      </c>
    </row>
    <row r="155" spans="1:34">
      <c r="A155" s="300" t="s">
        <v>318</v>
      </c>
      <c r="B155" s="300" t="s">
        <v>313</v>
      </c>
      <c r="C155" s="376">
        <f>'Changing with year'!C299</f>
        <v>460000</v>
      </c>
      <c r="D155" s="376">
        <f>'Changing with year'!D299</f>
        <v>481000</v>
      </c>
      <c r="E155" s="376">
        <f>'Changing with year'!E299</f>
        <v>503000</v>
      </c>
      <c r="F155" s="376">
        <f>'Changing with year'!F299</f>
        <v>526000</v>
      </c>
      <c r="G155" s="376">
        <f>'Changing with year'!G299</f>
        <v>550000</v>
      </c>
      <c r="H155" s="376">
        <f>'Changing with year'!H299</f>
        <v>575000</v>
      </c>
      <c r="I155" s="376">
        <f>'Changing with year'!I299</f>
        <v>601000</v>
      </c>
      <c r="J155" s="376">
        <f>'Changing with year'!J299</f>
        <v>628000</v>
      </c>
      <c r="K155" s="376">
        <f>'Changing with year'!K299</f>
        <v>656000</v>
      </c>
      <c r="L155" s="376">
        <f>'Changing with year'!L299</f>
        <v>686000</v>
      </c>
      <c r="M155" s="376">
        <f>'Changing with year'!M299</f>
        <v>717000</v>
      </c>
      <c r="N155" s="376">
        <f>'Changing with year'!N299</f>
        <v>749000</v>
      </c>
      <c r="O155" s="376">
        <f>'Changing with year'!O299</f>
        <v>783000</v>
      </c>
      <c r="P155" s="376">
        <f>'Changing with year'!P299</f>
        <v>818000</v>
      </c>
      <c r="Q155" s="376">
        <f>'Changing with year'!Q299</f>
        <v>855000</v>
      </c>
      <c r="R155" s="376">
        <f>'Changing with year'!R299</f>
        <v>893000</v>
      </c>
      <c r="S155" s="376">
        <f>'Changing with year'!S299</f>
        <v>933000</v>
      </c>
      <c r="T155" s="376">
        <f>'Changing with year'!T299</f>
        <v>975000</v>
      </c>
      <c r="U155" s="376">
        <f>'Changing with year'!U299</f>
        <v>1019000</v>
      </c>
      <c r="V155" s="376">
        <f>'Changing with year'!V299</f>
        <v>1065000</v>
      </c>
      <c r="W155" s="376">
        <f>'Changing with year'!W299</f>
        <v>1113000</v>
      </c>
      <c r="X155" s="376">
        <f>'Changing with year'!X299</f>
        <v>1163000</v>
      </c>
      <c r="Y155" s="376">
        <f>'Changing with year'!Y299</f>
        <v>1215000</v>
      </c>
      <c r="Z155" s="376">
        <f>'Changing with year'!Z299</f>
        <v>1270000</v>
      </c>
      <c r="AA155" s="376">
        <f>'Changing with year'!AA299</f>
        <v>1327000</v>
      </c>
      <c r="AB155" s="376">
        <f>'Changing with year'!AB299</f>
        <v>1387000</v>
      </c>
      <c r="AC155" s="376">
        <f>'Changing with year'!AC299</f>
        <v>1449000</v>
      </c>
      <c r="AD155" s="376">
        <f>'Changing with year'!AD299</f>
        <v>1514000</v>
      </c>
      <c r="AE155" s="376">
        <f>'Changing with year'!AE299</f>
        <v>1582000</v>
      </c>
      <c r="AF155" s="376">
        <f>'Changing with year'!AF299</f>
        <v>1653000</v>
      </c>
      <c r="AG155" s="376">
        <f>'Changing with year'!AG299</f>
        <v>1727000</v>
      </c>
      <c r="AH155" s="339"/>
    </row>
    <row r="156" spans="1:34">
      <c r="A156" s="300" t="s">
        <v>272</v>
      </c>
      <c r="B156" s="300" t="s">
        <v>313</v>
      </c>
      <c r="C156" s="437">
        <f t="shared" ref="C156:AG156" si="63">C60</f>
        <v>572400</v>
      </c>
      <c r="D156" s="437">
        <f t="shared" si="63"/>
        <v>578124</v>
      </c>
      <c r="E156" s="437">
        <f t="shared" si="63"/>
        <v>583905.24</v>
      </c>
      <c r="F156" s="437">
        <f t="shared" si="63"/>
        <v>589744.29240000003</v>
      </c>
      <c r="G156" s="437">
        <f t="shared" si="63"/>
        <v>595641.73532400001</v>
      </c>
      <c r="H156" s="437">
        <f t="shared" si="63"/>
        <v>601598.15267724008</v>
      </c>
      <c r="I156" s="437">
        <f t="shared" si="63"/>
        <v>607614.13420401246</v>
      </c>
      <c r="J156" s="437">
        <f t="shared" si="63"/>
        <v>613690.27554605249</v>
      </c>
      <c r="K156" s="437">
        <f t="shared" si="63"/>
        <v>619827.17830151308</v>
      </c>
      <c r="L156" s="437">
        <f t="shared" si="63"/>
        <v>626025.45008452807</v>
      </c>
      <c r="M156" s="437">
        <f t="shared" si="63"/>
        <v>632285.7045853734</v>
      </c>
      <c r="N156" s="437">
        <f t="shared" si="63"/>
        <v>638608.56163122714</v>
      </c>
      <c r="O156" s="437">
        <f t="shared" si="63"/>
        <v>644994.64724753937</v>
      </c>
      <c r="P156" s="437">
        <f t="shared" si="63"/>
        <v>651444.59372001479</v>
      </c>
      <c r="Q156" s="437">
        <f t="shared" si="63"/>
        <v>657959.03965721501</v>
      </c>
      <c r="R156" s="437">
        <f t="shared" si="63"/>
        <v>664538.63005378714</v>
      </c>
      <c r="S156" s="437">
        <f t="shared" si="63"/>
        <v>671184.01635432511</v>
      </c>
      <c r="T156" s="437">
        <f t="shared" si="63"/>
        <v>677895.85651786823</v>
      </c>
      <c r="U156" s="437">
        <f t="shared" si="63"/>
        <v>684674.81508304703</v>
      </c>
      <c r="V156" s="437">
        <f t="shared" si="63"/>
        <v>691521.56323387753</v>
      </c>
      <c r="W156" s="437">
        <f t="shared" si="63"/>
        <v>698436.77886621631</v>
      </c>
      <c r="X156" s="437">
        <f t="shared" si="63"/>
        <v>705421.14665487851</v>
      </c>
      <c r="Y156" s="437">
        <f t="shared" si="63"/>
        <v>712475.35812142724</v>
      </c>
      <c r="Z156" s="437">
        <f t="shared" si="63"/>
        <v>719600.11170264147</v>
      </c>
      <c r="AA156" s="437">
        <f t="shared" si="63"/>
        <v>726796.11281966791</v>
      </c>
      <c r="AB156" s="437">
        <f t="shared" si="63"/>
        <v>734064.0739478647</v>
      </c>
      <c r="AC156" s="437">
        <f t="shared" si="63"/>
        <v>741404.71468734322</v>
      </c>
      <c r="AD156" s="437">
        <f t="shared" si="63"/>
        <v>748818.76183421677</v>
      </c>
      <c r="AE156" s="437">
        <f t="shared" si="63"/>
        <v>756306.94945255888</v>
      </c>
      <c r="AF156" s="437">
        <f t="shared" si="63"/>
        <v>763870.01894708455</v>
      </c>
      <c r="AG156" s="437">
        <f t="shared" si="63"/>
        <v>771508.71913655533</v>
      </c>
    </row>
    <row r="157" spans="1:34">
      <c r="A157" s="300" t="s">
        <v>319</v>
      </c>
      <c r="B157" s="300" t="s">
        <v>313</v>
      </c>
      <c r="C157" s="376">
        <f t="shared" ref="C157:AG157" si="64">C149*$C$29</f>
        <v>213320</v>
      </c>
      <c r="D157" s="376">
        <f t="shared" si="64"/>
        <v>208880</v>
      </c>
      <c r="E157" s="376">
        <f t="shared" si="64"/>
        <v>204680</v>
      </c>
      <c r="F157" s="376">
        <f t="shared" si="64"/>
        <v>200740</v>
      </c>
      <c r="G157" s="376">
        <f t="shared" si="64"/>
        <v>197040</v>
      </c>
      <c r="H157" s="376">
        <f t="shared" si="64"/>
        <v>197600</v>
      </c>
      <c r="I157" s="376">
        <f t="shared" si="64"/>
        <v>195540</v>
      </c>
      <c r="J157" s="376">
        <f t="shared" si="64"/>
        <v>193760</v>
      </c>
      <c r="K157" s="376">
        <f t="shared" si="64"/>
        <v>192160</v>
      </c>
      <c r="L157" s="376">
        <f t="shared" si="64"/>
        <v>190740</v>
      </c>
      <c r="M157" s="376">
        <f t="shared" si="64"/>
        <v>189480</v>
      </c>
      <c r="N157" s="376">
        <f t="shared" si="64"/>
        <v>188380</v>
      </c>
      <c r="O157" s="376">
        <f t="shared" si="64"/>
        <v>187460</v>
      </c>
      <c r="P157" s="376">
        <f t="shared" si="64"/>
        <v>186700</v>
      </c>
      <c r="Q157" s="376">
        <f t="shared" si="64"/>
        <v>186120</v>
      </c>
      <c r="R157" s="376">
        <f t="shared" si="64"/>
        <v>185680</v>
      </c>
      <c r="S157" s="376">
        <f t="shared" si="64"/>
        <v>184220</v>
      </c>
      <c r="T157" s="376">
        <f t="shared" si="64"/>
        <v>186200</v>
      </c>
      <c r="U157" s="376">
        <f t="shared" si="64"/>
        <v>188280</v>
      </c>
      <c r="V157" s="376">
        <f t="shared" si="64"/>
        <v>190500</v>
      </c>
      <c r="W157" s="376">
        <f t="shared" si="64"/>
        <v>192800</v>
      </c>
      <c r="X157" s="376">
        <f t="shared" si="64"/>
        <v>192060</v>
      </c>
      <c r="Y157" s="376">
        <f t="shared" si="64"/>
        <v>194620</v>
      </c>
      <c r="Z157" s="376">
        <f t="shared" si="64"/>
        <v>197300</v>
      </c>
      <c r="AA157" s="376">
        <f t="shared" si="64"/>
        <v>200120</v>
      </c>
      <c r="AB157" s="376">
        <f t="shared" si="64"/>
        <v>203060</v>
      </c>
      <c r="AC157" s="376">
        <f t="shared" si="64"/>
        <v>204400</v>
      </c>
      <c r="AD157" s="376">
        <f t="shared" si="64"/>
        <v>208960</v>
      </c>
      <c r="AE157" s="376">
        <f t="shared" si="64"/>
        <v>213620</v>
      </c>
      <c r="AF157" s="376">
        <f t="shared" si="64"/>
        <v>218420</v>
      </c>
      <c r="AG157" s="376">
        <f t="shared" si="64"/>
        <v>223340</v>
      </c>
    </row>
    <row r="158" spans="1:34" s="371" customFormat="1" ht="11.85" customHeight="1">
      <c r="A158" s="428" t="s">
        <v>320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spans="1:34">
      <c r="A159" s="300" t="s">
        <v>325</v>
      </c>
      <c r="B159" s="300" t="s">
        <v>300</v>
      </c>
      <c r="C159" s="379">
        <f t="shared" ref="C159:AG159" si="65">C152/($C$22*$C$21)</f>
        <v>21.639905288187361</v>
      </c>
      <c r="D159" s="379">
        <f t="shared" si="65"/>
        <v>21.189496608834503</v>
      </c>
      <c r="E159" s="379">
        <f t="shared" si="65"/>
        <v>20.7634343445818</v>
      </c>
      <c r="F159" s="379">
        <f t="shared" si="65"/>
        <v>20.363747363354261</v>
      </c>
      <c r="G159" s="379">
        <f t="shared" si="65"/>
        <v>19.988406797226876</v>
      </c>
      <c r="H159" s="379">
        <f t="shared" si="65"/>
        <v>20.04521509912724</v>
      </c>
      <c r="I159" s="379">
        <f t="shared" si="65"/>
        <v>19.836241702850913</v>
      </c>
      <c r="J159" s="379">
        <f t="shared" si="65"/>
        <v>19.655672457524766</v>
      </c>
      <c r="K159" s="379">
        <f t="shared" si="65"/>
        <v>19.493363023523738</v>
      </c>
      <c r="L159" s="379">
        <f t="shared" si="65"/>
        <v>19.349313400847819</v>
      </c>
      <c r="M159" s="379">
        <f t="shared" si="65"/>
        <v>19.221494721572011</v>
      </c>
      <c r="N159" s="379">
        <f t="shared" si="65"/>
        <v>19.109906985696302</v>
      </c>
      <c r="O159" s="379">
        <f t="shared" si="65"/>
        <v>19.016579061145713</v>
      </c>
      <c r="P159" s="379">
        <f t="shared" si="65"/>
        <v>18.939482079995219</v>
      </c>
      <c r="Q159" s="379">
        <f t="shared" si="65"/>
        <v>18.880644910169849</v>
      </c>
      <c r="R159" s="379">
        <f t="shared" si="65"/>
        <v>18.836009815819565</v>
      </c>
      <c r="S159" s="379">
        <f t="shared" si="65"/>
        <v>18.687902457293625</v>
      </c>
      <c r="T159" s="379">
        <f t="shared" si="65"/>
        <v>18.888760381869897</v>
      </c>
      <c r="U159" s="379">
        <f t="shared" si="65"/>
        <v>19.099762646071241</v>
      </c>
      <c r="V159" s="379">
        <f t="shared" si="65"/>
        <v>19.324966985747668</v>
      </c>
      <c r="W159" s="379">
        <f t="shared" si="65"/>
        <v>19.558286797124147</v>
      </c>
      <c r="X159" s="379">
        <f t="shared" si="65"/>
        <v>19.483218683898674</v>
      </c>
      <c r="Y159" s="379">
        <f t="shared" si="65"/>
        <v>19.742913778300323</v>
      </c>
      <c r="Z159" s="379">
        <f t="shared" si="65"/>
        <v>20.014782080252047</v>
      </c>
      <c r="AA159" s="379">
        <f t="shared" si="65"/>
        <v>20.300852457678864</v>
      </c>
      <c r="AB159" s="379">
        <f t="shared" si="65"/>
        <v>20.599096042655752</v>
      </c>
      <c r="AC159" s="379">
        <f t="shared" si="65"/>
        <v>20.735030193631619</v>
      </c>
      <c r="AD159" s="379">
        <f t="shared" si="65"/>
        <v>21.197612080534554</v>
      </c>
      <c r="AE159" s="379">
        <f t="shared" si="65"/>
        <v>21.670338307062558</v>
      </c>
      <c r="AF159" s="379">
        <f t="shared" si="65"/>
        <v>22.157266609065644</v>
      </c>
      <c r="AG159" s="379">
        <f t="shared" si="65"/>
        <v>22.656368118618815</v>
      </c>
    </row>
    <row r="160" spans="1:34">
      <c r="A160" s="300" t="s">
        <v>321</v>
      </c>
      <c r="B160" s="300" t="s">
        <v>300</v>
      </c>
      <c r="C160" s="379">
        <f t="shared" ref="C160:AG160" si="66">C153/($C$22*$C$21)</f>
        <v>36.075000000000003</v>
      </c>
      <c r="D160" s="379">
        <f t="shared" si="66"/>
        <v>35.74</v>
      </c>
      <c r="E160" s="379">
        <f t="shared" si="66"/>
        <v>35.438425000000002</v>
      </c>
      <c r="F160" s="379">
        <f t="shared" si="66"/>
        <v>35.169529750000002</v>
      </c>
      <c r="G160" s="379">
        <f t="shared" si="66"/>
        <v>34.9326049075</v>
      </c>
      <c r="H160" s="379">
        <f t="shared" si="66"/>
        <v>34.726975895275011</v>
      </c>
      <c r="I160" s="379">
        <f t="shared" si="66"/>
        <v>32.658753622448998</v>
      </c>
      <c r="J160" s="379">
        <f t="shared" si="66"/>
        <v>31.570252117726795</v>
      </c>
      <c r="K160" s="379">
        <f t="shared" si="66"/>
        <v>30.517954827194135</v>
      </c>
      <c r="L160" s="379">
        <f t="shared" si="66"/>
        <v>29.500495401911696</v>
      </c>
      <c r="M160" s="379">
        <f t="shared" si="66"/>
        <v>28.516564170598258</v>
      </c>
      <c r="N160" s="379">
        <f t="shared" si="66"/>
        <v>27.564905636588918</v>
      </c>
      <c r="O160" s="379">
        <f t="shared" si="66"/>
        <v>26.644316089780368</v>
      </c>
      <c r="P160" s="379">
        <f t="shared" si="66"/>
        <v>25.753641328148056</v>
      </c>
      <c r="Q160" s="379">
        <f t="shared" si="66"/>
        <v>24.891774483678962</v>
      </c>
      <c r="R160" s="379">
        <f t="shared" si="66"/>
        <v>24.057653947810589</v>
      </c>
      <c r="S160" s="379">
        <f t="shared" si="66"/>
        <v>22.212030406856805</v>
      </c>
      <c r="T160" s="379">
        <f t="shared" si="66"/>
        <v>21.581333350977015</v>
      </c>
      <c r="U160" s="379">
        <f t="shared" si="66"/>
        <v>20.973080772925375</v>
      </c>
      <c r="V160" s="379">
        <f t="shared" si="66"/>
        <v>20.386302592469765</v>
      </c>
      <c r="W160" s="379">
        <f t="shared" si="66"/>
        <v>19.820073874755796</v>
      </c>
      <c r="X160" s="379">
        <f t="shared" si="66"/>
        <v>19.273512661740174</v>
      </c>
      <c r="Y160" s="379">
        <f t="shared" si="66"/>
        <v>18.745777909511908</v>
      </c>
      <c r="Z160" s="379">
        <f t="shared" si="66"/>
        <v>18.236067526281946</v>
      </c>
      <c r="AA160" s="379">
        <f t="shared" si="66"/>
        <v>17.743616506080638</v>
      </c>
      <c r="AB160" s="379">
        <f t="shared" si="66"/>
        <v>17.267695153448194</v>
      </c>
      <c r="AC160" s="379">
        <f t="shared" si="66"/>
        <v>16.687485409663402</v>
      </c>
      <c r="AD160" s="379">
        <f t="shared" si="66"/>
        <v>16.74499777950059</v>
      </c>
      <c r="AE160" s="379">
        <f t="shared" si="66"/>
        <v>16.822048844786757</v>
      </c>
      <c r="AF160" s="379">
        <f t="shared" si="66"/>
        <v>16.91832468563933</v>
      </c>
      <c r="AG160" s="379">
        <f t="shared" si="66"/>
        <v>17.033541600401261</v>
      </c>
    </row>
    <row r="161" spans="1:33">
      <c r="A161" s="300" t="s">
        <v>322</v>
      </c>
      <c r="B161" s="300" t="s">
        <v>300</v>
      </c>
      <c r="C161" s="379">
        <f t="shared" ref="C161:AG161" si="67">(C154+C155+C156+C157)/($C$22*$C$21)</f>
        <v>17.531111111111112</v>
      </c>
      <c r="D161" s="379">
        <f t="shared" si="67"/>
        <v>17.722727777777777</v>
      </c>
      <c r="E161" s="379">
        <f t="shared" si="67"/>
        <v>17.93213184259259</v>
      </c>
      <c r="F161" s="379">
        <f t="shared" si="67"/>
        <v>18.159585712824072</v>
      </c>
      <c r="G161" s="379">
        <f t="shared" si="67"/>
        <v>18.404988333118286</v>
      </c>
      <c r="H161" s="379">
        <f t="shared" si="67"/>
        <v>18.705653138549923</v>
      </c>
      <c r="I161" s="379">
        <f t="shared" si="67"/>
        <v>19.015229696705084</v>
      </c>
      <c r="J161" s="379">
        <f t="shared" si="67"/>
        <v>19.342644546150769</v>
      </c>
      <c r="K161" s="379">
        <f t="shared" si="67"/>
        <v>19.687111684483622</v>
      </c>
      <c r="L161" s="379">
        <f t="shared" si="67"/>
        <v>20.058037380775687</v>
      </c>
      <c r="M161" s="379">
        <f t="shared" si="67"/>
        <v>20.446131535336818</v>
      </c>
      <c r="N161" s="379">
        <f t="shared" si="67"/>
        <v>20.851556087106051</v>
      </c>
      <c r="O161" s="379">
        <f t="shared" si="67"/>
        <v>21.28392528389702</v>
      </c>
      <c r="P161" s="379">
        <f t="shared" si="67"/>
        <v>21.733972630739164</v>
      </c>
      <c r="Q161" s="379">
        <f t="shared" si="67"/>
        <v>22.211328961203389</v>
      </c>
      <c r="R161" s="379">
        <f t="shared" si="67"/>
        <v>22.70655978032271</v>
      </c>
      <c r="S161" s="379">
        <f t="shared" si="67"/>
        <v>23.246584645991053</v>
      </c>
      <c r="T161" s="379">
        <f t="shared" si="67"/>
        <v>23.843870703967202</v>
      </c>
      <c r="U161" s="379">
        <f t="shared" si="67"/>
        <v>24.467735103376096</v>
      </c>
      <c r="V161" s="379">
        <f t="shared" si="67"/>
        <v>25.11880096903116</v>
      </c>
      <c r="W161" s="379">
        <f t="shared" si="67"/>
        <v>25.796775563131945</v>
      </c>
      <c r="X161" s="379">
        <f t="shared" si="67"/>
        <v>26.473043277129104</v>
      </c>
      <c r="Y161" s="379">
        <f t="shared" si="67"/>
        <v>27.206591972888841</v>
      </c>
      <c r="Z161" s="379">
        <f t="shared" si="67"/>
        <v>27.977531933054507</v>
      </c>
      <c r="AA161" s="379">
        <f t="shared" si="67"/>
        <v>28.777096310158075</v>
      </c>
      <c r="AB161" s="379">
        <f t="shared" si="67"/>
        <v>29.614678630727393</v>
      </c>
      <c r="AC161" s="379">
        <f t="shared" si="67"/>
        <v>30.516427307823186</v>
      </c>
      <c r="AD161" s="379">
        <f t="shared" si="67"/>
        <v>31.485575176951109</v>
      </c>
      <c r="AE161" s="379">
        <f t="shared" si="67"/>
        <v>32.493597572316006</v>
      </c>
      <c r="AF161" s="379">
        <f t="shared" si="67"/>
        <v>33.541243375896876</v>
      </c>
      <c r="AG161" s="379">
        <f t="shared" si="67"/>
        <v>34.628720771368606</v>
      </c>
    </row>
    <row r="162" spans="1:33">
      <c r="A162" s="300" t="s">
        <v>310</v>
      </c>
      <c r="B162" s="300" t="s">
        <v>300</v>
      </c>
      <c r="C162" s="379">
        <f t="shared" ref="C162:AG162" si="68">C150/($C$22*$C$21*7)</f>
        <v>1.4108465608465615</v>
      </c>
      <c r="D162" s="379">
        <f t="shared" si="68"/>
        <v>1.381481481481482</v>
      </c>
      <c r="E162" s="379">
        <f t="shared" si="68"/>
        <v>1.3537037037037041</v>
      </c>
      <c r="F162" s="379">
        <f t="shared" si="68"/>
        <v>1.3276455026455032</v>
      </c>
      <c r="G162" s="379">
        <f t="shared" si="68"/>
        <v>1.3031746031746037</v>
      </c>
      <c r="H162" s="379">
        <f t="shared" si="68"/>
        <v>1.3068783068783074</v>
      </c>
      <c r="I162" s="379">
        <f t="shared" si="68"/>
        <v>1.2932539682539688</v>
      </c>
      <c r="J162" s="379">
        <f t="shared" si="68"/>
        <v>1.2814814814814819</v>
      </c>
      <c r="K162" s="379">
        <f t="shared" si="68"/>
        <v>1.2708994708994714</v>
      </c>
      <c r="L162" s="379">
        <f t="shared" si="68"/>
        <v>1.2615079365079369</v>
      </c>
      <c r="M162" s="379">
        <f t="shared" si="68"/>
        <v>1.2531746031746036</v>
      </c>
      <c r="N162" s="379">
        <f t="shared" si="68"/>
        <v>2.4917989417989426</v>
      </c>
      <c r="O162" s="379">
        <f t="shared" si="68"/>
        <v>2.4796296296296307</v>
      </c>
      <c r="P162" s="379">
        <f t="shared" si="68"/>
        <v>2.4695767195767204</v>
      </c>
      <c r="Q162" s="379">
        <f t="shared" si="68"/>
        <v>2.4619047619047629</v>
      </c>
      <c r="R162" s="379">
        <f t="shared" si="68"/>
        <v>2.456084656084657</v>
      </c>
      <c r="S162" s="379">
        <f t="shared" si="68"/>
        <v>2.4367724867724876</v>
      </c>
      <c r="T162" s="379">
        <f t="shared" si="68"/>
        <v>2.4629629629629637</v>
      </c>
      <c r="U162" s="379">
        <f t="shared" si="68"/>
        <v>2.4904761904761914</v>
      </c>
      <c r="V162" s="379">
        <f t="shared" si="68"/>
        <v>2.5198412698412707</v>
      </c>
      <c r="W162" s="379">
        <f t="shared" si="68"/>
        <v>2.5502645502645511</v>
      </c>
      <c r="X162" s="379">
        <f t="shared" si="68"/>
        <v>3.8107142857142864</v>
      </c>
      <c r="Y162" s="379">
        <f t="shared" si="68"/>
        <v>3.861507936507937</v>
      </c>
      <c r="Z162" s="379">
        <f t="shared" si="68"/>
        <v>3.9146825396825404</v>
      </c>
      <c r="AA162" s="379">
        <f t="shared" si="68"/>
        <v>3.9706349206349212</v>
      </c>
      <c r="AB162" s="379">
        <f t="shared" si="68"/>
        <v>4.0289682539682543</v>
      </c>
      <c r="AC162" s="379">
        <f t="shared" si="68"/>
        <v>4.0555555555555562</v>
      </c>
      <c r="AD162" s="379">
        <f t="shared" si="68"/>
        <v>4.1460317460317464</v>
      </c>
      <c r="AE162" s="379">
        <f t="shared" si="68"/>
        <v>4.238492063492064</v>
      </c>
      <c r="AF162" s="379">
        <f t="shared" si="68"/>
        <v>4.3337301587301598</v>
      </c>
      <c r="AG162" s="379">
        <f t="shared" si="68"/>
        <v>4.431349206349207</v>
      </c>
    </row>
    <row r="163" spans="1:33">
      <c r="A163" s="380" t="s">
        <v>323</v>
      </c>
      <c r="B163" s="300" t="s">
        <v>300</v>
      </c>
      <c r="C163" s="432">
        <f t="shared" ref="C163:AG163" si="69">SUM(C159:C161)-C162</f>
        <v>73.835169838451918</v>
      </c>
      <c r="D163" s="432">
        <f t="shared" si="69"/>
        <v>73.270742905130803</v>
      </c>
      <c r="E163" s="432">
        <f t="shared" si="69"/>
        <v>72.780287483470687</v>
      </c>
      <c r="F163" s="432">
        <f t="shared" si="69"/>
        <v>72.365217323532818</v>
      </c>
      <c r="G163" s="432">
        <f t="shared" si="69"/>
        <v>72.022825434670565</v>
      </c>
      <c r="H163" s="432">
        <f t="shared" si="69"/>
        <v>72.170965826073868</v>
      </c>
      <c r="I163" s="432">
        <f t="shared" si="69"/>
        <v>70.216971053751024</v>
      </c>
      <c r="J163" s="432">
        <f t="shared" si="69"/>
        <v>69.287087639920856</v>
      </c>
      <c r="K163" s="432">
        <f t="shared" si="69"/>
        <v>68.427530064302033</v>
      </c>
      <c r="L163" s="432">
        <f t="shared" si="69"/>
        <v>67.646338247027259</v>
      </c>
      <c r="M163" s="432">
        <f t="shared" si="69"/>
        <v>66.931015824332491</v>
      </c>
      <c r="N163" s="432">
        <f t="shared" si="69"/>
        <v>65.034569767592316</v>
      </c>
      <c r="O163" s="432">
        <f t="shared" si="69"/>
        <v>64.465190805193473</v>
      </c>
      <c r="P163" s="432">
        <f t="shared" si="69"/>
        <v>63.957519319305717</v>
      </c>
      <c r="Q163" s="432">
        <f t="shared" si="69"/>
        <v>63.521843593147437</v>
      </c>
      <c r="R163" s="432">
        <f t="shared" si="69"/>
        <v>63.144138887868209</v>
      </c>
      <c r="S163" s="432">
        <f t="shared" si="69"/>
        <v>61.709745023368988</v>
      </c>
      <c r="T163" s="432">
        <f t="shared" si="69"/>
        <v>61.851001473851156</v>
      </c>
      <c r="U163" s="432">
        <f t="shared" si="69"/>
        <v>62.050102331896518</v>
      </c>
      <c r="V163" s="432">
        <f t="shared" si="69"/>
        <v>62.310229277407323</v>
      </c>
      <c r="W163" s="432">
        <f t="shared" si="69"/>
        <v>62.62487168474734</v>
      </c>
      <c r="X163" s="432">
        <f t="shared" si="69"/>
        <v>61.419060337053665</v>
      </c>
      <c r="Y163" s="432">
        <f t="shared" si="69"/>
        <v>61.833775724193146</v>
      </c>
      <c r="Z163" s="432">
        <f t="shared" si="69"/>
        <v>62.313698999905959</v>
      </c>
      <c r="AA163" s="432">
        <f t="shared" si="69"/>
        <v>62.850930353282649</v>
      </c>
      <c r="AB163" s="432">
        <f t="shared" si="69"/>
        <v>63.452501572863092</v>
      </c>
      <c r="AC163" s="432">
        <f t="shared" si="69"/>
        <v>63.883387355562647</v>
      </c>
      <c r="AD163" s="432">
        <f t="shared" si="69"/>
        <v>65.282153290954511</v>
      </c>
      <c r="AE163" s="432">
        <f t="shared" si="69"/>
        <v>66.747492660673259</v>
      </c>
      <c r="AF163" s="432">
        <f t="shared" si="69"/>
        <v>68.283104511871699</v>
      </c>
      <c r="AG163" s="432">
        <f t="shared" si="69"/>
        <v>69.887281284039474</v>
      </c>
    </row>
    <row r="164" spans="1:33">
      <c r="A164" s="360" t="s">
        <v>323</v>
      </c>
      <c r="B164" s="360"/>
      <c r="C164" s="360">
        <v>2025</v>
      </c>
      <c r="D164" s="360">
        <f t="shared" ref="D164:AG164" si="70">C164+1</f>
        <v>2026</v>
      </c>
      <c r="E164" s="360">
        <f t="shared" si="70"/>
        <v>2027</v>
      </c>
      <c r="F164" s="360">
        <f t="shared" si="70"/>
        <v>2028</v>
      </c>
      <c r="G164" s="360">
        <f t="shared" si="70"/>
        <v>2029</v>
      </c>
      <c r="H164" s="360">
        <f t="shared" si="70"/>
        <v>2030</v>
      </c>
      <c r="I164" s="360">
        <f t="shared" si="70"/>
        <v>2031</v>
      </c>
      <c r="J164" s="360">
        <f t="shared" si="70"/>
        <v>2032</v>
      </c>
      <c r="K164" s="360">
        <f t="shared" si="70"/>
        <v>2033</v>
      </c>
      <c r="L164" s="360">
        <f t="shared" si="70"/>
        <v>2034</v>
      </c>
      <c r="M164" s="360">
        <f t="shared" si="70"/>
        <v>2035</v>
      </c>
      <c r="N164" s="360">
        <f t="shared" si="70"/>
        <v>2036</v>
      </c>
      <c r="O164" s="360">
        <f t="shared" si="70"/>
        <v>2037</v>
      </c>
      <c r="P164" s="360">
        <f t="shared" si="70"/>
        <v>2038</v>
      </c>
      <c r="Q164" s="360">
        <f t="shared" si="70"/>
        <v>2039</v>
      </c>
      <c r="R164" s="360">
        <f t="shared" si="70"/>
        <v>2040</v>
      </c>
      <c r="S164" s="360">
        <f t="shared" si="70"/>
        <v>2041</v>
      </c>
      <c r="T164" s="360">
        <f t="shared" si="70"/>
        <v>2042</v>
      </c>
      <c r="U164" s="360">
        <f t="shared" si="70"/>
        <v>2043</v>
      </c>
      <c r="V164" s="360">
        <f t="shared" si="70"/>
        <v>2044</v>
      </c>
      <c r="W164" s="360">
        <f t="shared" si="70"/>
        <v>2045</v>
      </c>
      <c r="X164" s="360">
        <f t="shared" si="70"/>
        <v>2046</v>
      </c>
      <c r="Y164" s="360">
        <f t="shared" si="70"/>
        <v>2047</v>
      </c>
      <c r="Z164" s="360">
        <f t="shared" si="70"/>
        <v>2048</v>
      </c>
      <c r="AA164" s="360">
        <f t="shared" si="70"/>
        <v>2049</v>
      </c>
      <c r="AB164" s="360">
        <f t="shared" si="70"/>
        <v>2050</v>
      </c>
      <c r="AC164" s="360">
        <f t="shared" si="70"/>
        <v>2051</v>
      </c>
      <c r="AD164" s="360">
        <f t="shared" si="70"/>
        <v>2052</v>
      </c>
      <c r="AE164" s="360">
        <f t="shared" si="70"/>
        <v>2053</v>
      </c>
      <c r="AF164" s="360">
        <f t="shared" si="70"/>
        <v>2054</v>
      </c>
      <c r="AG164" s="360">
        <f t="shared" si="70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1">C78</f>
        <v>34.226947602801289</v>
      </c>
      <c r="D165" s="379">
        <f t="shared" si="71"/>
        <v>36.709744588075168</v>
      </c>
      <c r="E165" s="379">
        <f t="shared" si="71"/>
        <v>37.592130154029306</v>
      </c>
      <c r="F165" s="379">
        <f t="shared" si="71"/>
        <v>38.50095817269942</v>
      </c>
      <c r="G165" s="379">
        <f t="shared" si="71"/>
        <v>39.436884881655786</v>
      </c>
      <c r="H165" s="379">
        <f t="shared" si="71"/>
        <v>40.994896060030939</v>
      </c>
      <c r="I165" s="379">
        <f t="shared" si="71"/>
        <v>42.003979370382133</v>
      </c>
      <c r="J165" s="379">
        <f t="shared" si="71"/>
        <v>43.042196946215135</v>
      </c>
      <c r="K165" s="379">
        <f t="shared" si="71"/>
        <v>44.109953562376795</v>
      </c>
      <c r="L165" s="379">
        <f t="shared" si="71"/>
        <v>45.207815096594821</v>
      </c>
      <c r="M165" s="379">
        <f t="shared" si="71"/>
        <v>46.336508953533382</v>
      </c>
      <c r="N165" s="379">
        <f t="shared" si="71"/>
        <v>48.063198119086074</v>
      </c>
      <c r="O165" s="379">
        <f t="shared" si="71"/>
        <v>49.272046625570191</v>
      </c>
      <c r="P165" s="379">
        <f t="shared" si="71"/>
        <v>50.523320553122169</v>
      </c>
      <c r="Q165" s="379">
        <f t="shared" si="71"/>
        <v>51.80840867165422</v>
      </c>
      <c r="R165" s="379">
        <f t="shared" si="71"/>
        <v>53.137233507202104</v>
      </c>
      <c r="S165" s="379">
        <f t="shared" si="71"/>
        <v>54.501214831154535</v>
      </c>
      <c r="T165" s="379">
        <f t="shared" si="71"/>
        <v>55.910307242938991</v>
      </c>
      <c r="U165" s="379">
        <f t="shared" si="71"/>
        <v>57.356125580259345</v>
      </c>
      <c r="V165" s="379">
        <f t="shared" si="71"/>
        <v>58.848658779797347</v>
      </c>
      <c r="W165" s="379">
        <f t="shared" si="71"/>
        <v>60.388654589299385</v>
      </c>
      <c r="X165" s="379">
        <f t="shared" si="71"/>
        <v>62.738681550867781</v>
      </c>
      <c r="Y165" s="379">
        <f t="shared" si="71"/>
        <v>64.39908896102294</v>
      </c>
      <c r="Z165" s="379">
        <f t="shared" si="71"/>
        <v>66.110328666776155</v>
      </c>
      <c r="AA165" s="379">
        <f t="shared" si="71"/>
        <v>67.873415581046174</v>
      </c>
      <c r="AB165" s="379">
        <f t="shared" si="71"/>
        <v>69.689210975592275</v>
      </c>
      <c r="AC165" s="379">
        <f t="shared" si="71"/>
        <v>71.558598347221377</v>
      </c>
      <c r="AD165" s="379">
        <f t="shared" si="71"/>
        <v>73.492093680519048</v>
      </c>
      <c r="AE165" s="379">
        <f t="shared" si="71"/>
        <v>75.481368048793286</v>
      </c>
      <c r="AF165" s="379">
        <f t="shared" si="71"/>
        <v>77.536810823406626</v>
      </c>
      <c r="AG165" s="379">
        <f t="shared" si="71"/>
        <v>79.659402554865423</v>
      </c>
    </row>
    <row r="166" spans="1:33">
      <c r="A166" s="300" t="s">
        <v>179</v>
      </c>
      <c r="B166" s="300" t="s">
        <v>179</v>
      </c>
      <c r="C166" s="379">
        <f t="shared" ref="C166:AG166" si="72">C95</f>
        <v>33.072847161282027</v>
      </c>
      <c r="D166" s="379">
        <f t="shared" si="72"/>
        <v>34.397588131676038</v>
      </c>
      <c r="E166" s="379">
        <f t="shared" si="72"/>
        <v>35.416590590441139</v>
      </c>
      <c r="F166" s="379">
        <f t="shared" si="72"/>
        <v>36.470446804450667</v>
      </c>
      <c r="G166" s="379">
        <f t="shared" si="72"/>
        <v>37.559968814584188</v>
      </c>
      <c r="H166" s="379">
        <f t="shared" si="72"/>
        <v>39.307066091896594</v>
      </c>
      <c r="I166" s="379">
        <f t="shared" si="72"/>
        <v>40.489094629196167</v>
      </c>
      <c r="J166" s="379">
        <f t="shared" si="72"/>
        <v>41.709946304163168</v>
      </c>
      <c r="K166" s="379">
        <f t="shared" si="72"/>
        <v>42.970561131716536</v>
      </c>
      <c r="L166" s="379">
        <f t="shared" si="72"/>
        <v>44.271909785386676</v>
      </c>
      <c r="M166" s="379">
        <f t="shared" si="72"/>
        <v>45.614994618742543</v>
      </c>
      <c r="N166" s="379">
        <f t="shared" si="72"/>
        <v>47.613327246797787</v>
      </c>
      <c r="O166" s="379">
        <f t="shared" si="72"/>
        <v>49.061397832943221</v>
      </c>
      <c r="P166" s="379">
        <f t="shared" si="72"/>
        <v>50.564222970542851</v>
      </c>
      <c r="Q166" s="379">
        <f t="shared" si="72"/>
        <v>52.113699938415195</v>
      </c>
      <c r="R166" s="379">
        <f t="shared" si="72"/>
        <v>53.720282363105724</v>
      </c>
      <c r="S166" s="379">
        <f t="shared" si="72"/>
        <v>55.375944445596595</v>
      </c>
      <c r="T166" s="379">
        <f t="shared" si="72"/>
        <v>57.091219305193057</v>
      </c>
      <c r="U166" s="379">
        <f t="shared" si="72"/>
        <v>58.858163293939633</v>
      </c>
      <c r="V166" s="379">
        <f t="shared" si="72"/>
        <v>60.687394431268459</v>
      </c>
      <c r="W166" s="379">
        <f t="shared" si="72"/>
        <v>62.580316071600642</v>
      </c>
      <c r="X166" s="379">
        <f t="shared" si="72"/>
        <v>65.361494892648011</v>
      </c>
      <c r="Y166" s="379">
        <f t="shared" si="72"/>
        <v>67.410887021501011</v>
      </c>
      <c r="Z166" s="379">
        <f t="shared" si="72"/>
        <v>69.529203293354342</v>
      </c>
      <c r="AA166" s="379">
        <f t="shared" si="72"/>
        <v>71.718063132541886</v>
      </c>
      <c r="AB166" s="379">
        <f t="shared" si="72"/>
        <v>73.979139228252222</v>
      </c>
      <c r="AC166" s="379">
        <f t="shared" si="72"/>
        <v>76.314159323678169</v>
      </c>
      <c r="AD166" s="379">
        <f t="shared" si="72"/>
        <v>78.734167325787524</v>
      </c>
      <c r="AE166" s="379">
        <f t="shared" si="72"/>
        <v>81.231747441567322</v>
      </c>
      <c r="AF166" s="379">
        <f t="shared" si="72"/>
        <v>83.818063194819104</v>
      </c>
      <c r="AG166" s="379">
        <f t="shared" si="72"/>
        <v>86.495081696180407</v>
      </c>
    </row>
    <row r="167" spans="1:33">
      <c r="A167" s="300" t="s">
        <v>180</v>
      </c>
      <c r="B167" s="300" t="s">
        <v>180</v>
      </c>
      <c r="C167" s="379">
        <f t="shared" ref="C167:AG167" si="73">C112</f>
        <v>33.435658069820761</v>
      </c>
      <c r="D167" s="379">
        <f t="shared" si="73"/>
        <v>34.502436106355709</v>
      </c>
      <c r="E167" s="379">
        <f t="shared" si="73"/>
        <v>35.506619526278314</v>
      </c>
      <c r="F167" s="379">
        <f t="shared" si="73"/>
        <v>36.544078675742441</v>
      </c>
      <c r="G167" s="379">
        <f t="shared" si="73"/>
        <v>37.61703777165846</v>
      </c>
      <c r="H167" s="379">
        <f t="shared" si="73"/>
        <v>39.347261568620695</v>
      </c>
      <c r="I167" s="379">
        <f t="shared" si="73"/>
        <v>40.511957001483047</v>
      </c>
      <c r="J167" s="379">
        <f t="shared" si="73"/>
        <v>41.714303454351196</v>
      </c>
      <c r="K167" s="379">
        <f t="shared" si="73"/>
        <v>42.955066037643867</v>
      </c>
      <c r="L167" s="379">
        <f t="shared" si="73"/>
        <v>44.236587950705015</v>
      </c>
      <c r="M167" s="379">
        <f t="shared" si="73"/>
        <v>45.559685990919284</v>
      </c>
      <c r="N167" s="379">
        <f t="shared" si="73"/>
        <v>47.576032400126522</v>
      </c>
      <c r="O167" s="379">
        <f t="shared" si="73"/>
        <v>49.001147155420796</v>
      </c>
      <c r="P167" s="379">
        <f t="shared" si="73"/>
        <v>50.480243539614683</v>
      </c>
      <c r="Q167" s="379">
        <f t="shared" si="73"/>
        <v>52.004993449540308</v>
      </c>
      <c r="R167" s="379">
        <f t="shared" si="73"/>
        <v>53.585618368297219</v>
      </c>
      <c r="S167" s="379">
        <f t="shared" si="73"/>
        <v>55.213853389118192</v>
      </c>
      <c r="T167" s="379">
        <f t="shared" si="73"/>
        <v>56.901670302907789</v>
      </c>
      <c r="U167" s="379">
        <f t="shared" si="73"/>
        <v>58.640871792299244</v>
      </c>
      <c r="V167" s="379">
        <f t="shared" si="73"/>
        <v>60.440129644649979</v>
      </c>
      <c r="W167" s="379">
        <f t="shared" si="73"/>
        <v>62.300578096502669</v>
      </c>
      <c r="X167" s="379">
        <f t="shared" si="73"/>
        <v>65.082976236304987</v>
      </c>
      <c r="Y167" s="379">
        <f t="shared" si="73"/>
        <v>67.09822634421495</v>
      </c>
      <c r="Z167" s="379">
        <f t="shared" si="73"/>
        <v>69.180649443411568</v>
      </c>
      <c r="AA167" s="379">
        <f t="shared" si="73"/>
        <v>71.333357067233749</v>
      </c>
      <c r="AB167" s="379">
        <f t="shared" si="73"/>
        <v>73.555869804886981</v>
      </c>
      <c r="AC167" s="379">
        <f t="shared" si="73"/>
        <v>75.851387708839724</v>
      </c>
      <c r="AD167" s="379">
        <f t="shared" si="73"/>
        <v>78.230599420068856</v>
      </c>
      <c r="AE167" s="379">
        <f t="shared" si="73"/>
        <v>80.685723221590848</v>
      </c>
      <c r="AF167" s="379">
        <f t="shared" si="73"/>
        <v>83.227545735517467</v>
      </c>
      <c r="AG167" s="379">
        <f t="shared" si="73"/>
        <v>85.857645863745802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4">C146</f>
        <v>39.645178411902208</v>
      </c>
      <c r="D168" s="379">
        <f t="shared" si="74"/>
        <v>39.91474260937369</v>
      </c>
      <c r="E168" s="379">
        <f t="shared" si="74"/>
        <v>40.135028107505036</v>
      </c>
      <c r="F168" s="379">
        <f t="shared" si="74"/>
        <v>40.01491674156226</v>
      </c>
      <c r="G168" s="379">
        <f t="shared" si="74"/>
        <v>39.845456143895518</v>
      </c>
      <c r="H168" s="379">
        <f t="shared" si="74"/>
        <v>40.284602650680242</v>
      </c>
      <c r="I168" s="379">
        <f t="shared" si="74"/>
        <v>38.915632480831107</v>
      </c>
      <c r="J168" s="379">
        <f t="shared" si="74"/>
        <v>39.082636989661005</v>
      </c>
      <c r="K168" s="379">
        <f t="shared" si="74"/>
        <v>39.114934072747594</v>
      </c>
      <c r="L168" s="379">
        <f t="shared" si="74"/>
        <v>39.241475594278683</v>
      </c>
      <c r="M168" s="379">
        <f t="shared" si="74"/>
        <v>39.463671874277814</v>
      </c>
      <c r="N168" s="379">
        <f t="shared" si="74"/>
        <v>38.990558462784712</v>
      </c>
      <c r="O168" s="379">
        <f t="shared" si="74"/>
        <v>39.44244850917449</v>
      </c>
      <c r="P168" s="379">
        <f t="shared" si="74"/>
        <v>39.897732992120503</v>
      </c>
      <c r="Q168" s="379">
        <f t="shared" si="74"/>
        <v>40.421834237686959</v>
      </c>
      <c r="R168" s="379">
        <f t="shared" si="74"/>
        <v>41.012923989885699</v>
      </c>
      <c r="S168" s="379">
        <f t="shared" si="74"/>
        <v>41.575402816927102</v>
      </c>
      <c r="T168" s="379">
        <f t="shared" si="74"/>
        <v>42.430173746020145</v>
      </c>
      <c r="U168" s="379">
        <f t="shared" si="74"/>
        <v>43.293572758258698</v>
      </c>
      <c r="V168" s="379">
        <f t="shared" si="74"/>
        <v>44.195633819541641</v>
      </c>
      <c r="W168" s="379">
        <f t="shared" si="74"/>
        <v>45.1393834127676</v>
      </c>
      <c r="X168" s="379">
        <f t="shared" si="74"/>
        <v>45.112709253792943</v>
      </c>
      <c r="Y168" s="379">
        <f t="shared" si="74"/>
        <v>46.120000330695326</v>
      </c>
      <c r="Z168" s="379">
        <f t="shared" si="74"/>
        <v>47.177292445055336</v>
      </c>
      <c r="AA168" s="379">
        <f t="shared" si="74"/>
        <v>48.280132205067318</v>
      </c>
      <c r="AB168" s="379">
        <f t="shared" si="74"/>
        <v>49.437217524123092</v>
      </c>
      <c r="AC168" s="379">
        <f t="shared" si="74"/>
        <v>50.884485196036223</v>
      </c>
      <c r="AD168" s="379">
        <f t="shared" si="74"/>
        <v>52.429062391643619</v>
      </c>
      <c r="AE168" s="379">
        <f t="shared" si="74"/>
        <v>54.031485371682813</v>
      </c>
      <c r="AF168" s="379">
        <f t="shared" si="74"/>
        <v>55.695807547776788</v>
      </c>
      <c r="AG168" s="379">
        <f t="shared" si="74"/>
        <v>57.424055410339989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5">C129</f>
        <v>68.556791998703503</v>
      </c>
      <c r="D169" s="379">
        <f t="shared" si="75"/>
        <v>68.469325459821547</v>
      </c>
      <c r="E169" s="379">
        <f t="shared" si="75"/>
        <v>68.452795038542561</v>
      </c>
      <c r="F169" s="379">
        <f t="shared" si="75"/>
        <v>68.506423568199935</v>
      </c>
      <c r="G169" s="379">
        <f t="shared" si="75"/>
        <v>68.629490259793585</v>
      </c>
      <c r="H169" s="379">
        <f t="shared" si="75"/>
        <v>69.576558994557189</v>
      </c>
      <c r="I169" s="379">
        <f t="shared" si="75"/>
        <v>67.359312527682022</v>
      </c>
      <c r="J169" s="379">
        <f t="shared" si="75"/>
        <v>66.474017466586616</v>
      </c>
      <c r="K169" s="379">
        <f t="shared" si="75"/>
        <v>65.66291426683155</v>
      </c>
      <c r="L169" s="379">
        <f t="shared" si="75"/>
        <v>64.924453991264585</v>
      </c>
      <c r="M169" s="379">
        <f t="shared" si="75"/>
        <v>64.259057383899403</v>
      </c>
      <c r="N169" s="379">
        <f t="shared" si="75"/>
        <v>62.970207896573292</v>
      </c>
      <c r="O169" s="379">
        <f t="shared" si="75"/>
        <v>62.431210157071753</v>
      </c>
      <c r="P169" s="379">
        <f t="shared" si="75"/>
        <v>61.969843478848205</v>
      </c>
      <c r="Q169" s="379">
        <f t="shared" si="75"/>
        <v>61.57395273421772</v>
      </c>
      <c r="R169" s="379">
        <f t="shared" si="75"/>
        <v>61.253476904680689</v>
      </c>
      <c r="S169" s="379">
        <f t="shared" si="75"/>
        <v>59.682141190557651</v>
      </c>
      <c r="T169" s="379">
        <f t="shared" si="75"/>
        <v>59.769856811190607</v>
      </c>
      <c r="U169" s="379">
        <f t="shared" si="75"/>
        <v>59.912521739621326</v>
      </c>
      <c r="V169" s="379">
        <f t="shared" si="75"/>
        <v>60.123756853547164</v>
      </c>
      <c r="W169" s="379">
        <f t="shared" si="75"/>
        <v>60.399244399599304</v>
      </c>
      <c r="X169" s="379">
        <f t="shared" si="75"/>
        <v>60.302163028066232</v>
      </c>
      <c r="Y169" s="379">
        <f t="shared" si="75"/>
        <v>60.697218145361582</v>
      </c>
      <c r="Z169" s="379">
        <f t="shared" si="75"/>
        <v>61.154249146629013</v>
      </c>
      <c r="AA169" s="379">
        <f t="shared" si="75"/>
        <v>61.676093736564553</v>
      </c>
      <c r="AB169" s="379">
        <f t="shared" si="75"/>
        <v>62.262286111731335</v>
      </c>
      <c r="AC169" s="379">
        <f t="shared" si="75"/>
        <v>62.750577785473332</v>
      </c>
      <c r="AD169" s="379">
        <f t="shared" si="75"/>
        <v>64.143493361344369</v>
      </c>
      <c r="AE169" s="379">
        <f t="shared" si="75"/>
        <v>65.604728938881777</v>
      </c>
      <c r="AF169" s="379">
        <f t="shared" si="75"/>
        <v>67.147087533140606</v>
      </c>
      <c r="AG169" s="379">
        <f t="shared" si="75"/>
        <v>68.769121823614014</v>
      </c>
    </row>
    <row r="170" spans="1:33">
      <c r="A170" s="300" t="str">
        <f>A147</f>
        <v>FCET</v>
      </c>
      <c r="B170" s="300" t="str">
        <f>A170</f>
        <v>FCET</v>
      </c>
      <c r="C170" s="379">
        <f t="shared" ref="C170:AG170" si="76">C163</f>
        <v>73.835169838451918</v>
      </c>
      <c r="D170" s="379">
        <f t="shared" si="76"/>
        <v>73.270742905130803</v>
      </c>
      <c r="E170" s="379">
        <f t="shared" si="76"/>
        <v>72.780287483470687</v>
      </c>
      <c r="F170" s="379">
        <f t="shared" si="76"/>
        <v>72.365217323532818</v>
      </c>
      <c r="G170" s="379">
        <f t="shared" si="76"/>
        <v>72.022825434670565</v>
      </c>
      <c r="H170" s="379">
        <f t="shared" si="76"/>
        <v>72.170965826073868</v>
      </c>
      <c r="I170" s="379">
        <f t="shared" si="76"/>
        <v>70.216971053751024</v>
      </c>
      <c r="J170" s="379">
        <f t="shared" si="76"/>
        <v>69.287087639920856</v>
      </c>
      <c r="K170" s="379">
        <f t="shared" si="76"/>
        <v>68.427530064302033</v>
      </c>
      <c r="L170" s="379">
        <f t="shared" si="76"/>
        <v>67.646338247027259</v>
      </c>
      <c r="M170" s="379">
        <f t="shared" si="76"/>
        <v>66.931015824332491</v>
      </c>
      <c r="N170" s="379">
        <f t="shared" si="76"/>
        <v>65.034569767592316</v>
      </c>
      <c r="O170" s="379">
        <f t="shared" si="76"/>
        <v>64.465190805193473</v>
      </c>
      <c r="P170" s="379">
        <f t="shared" si="76"/>
        <v>63.957519319305717</v>
      </c>
      <c r="Q170" s="379">
        <f t="shared" si="76"/>
        <v>63.521843593147437</v>
      </c>
      <c r="R170" s="379">
        <f t="shared" si="76"/>
        <v>63.144138887868209</v>
      </c>
      <c r="S170" s="379">
        <f t="shared" si="76"/>
        <v>61.709745023368988</v>
      </c>
      <c r="T170" s="379">
        <f t="shared" si="76"/>
        <v>61.851001473851156</v>
      </c>
      <c r="U170" s="379">
        <f t="shared" si="76"/>
        <v>62.050102331896518</v>
      </c>
      <c r="V170" s="379">
        <f t="shared" si="76"/>
        <v>62.310229277407323</v>
      </c>
      <c r="W170" s="379">
        <f t="shared" si="76"/>
        <v>62.62487168474734</v>
      </c>
      <c r="X170" s="379">
        <f t="shared" si="76"/>
        <v>61.419060337053665</v>
      </c>
      <c r="Y170" s="379">
        <f t="shared" si="76"/>
        <v>61.833775724193146</v>
      </c>
      <c r="Z170" s="379">
        <f t="shared" si="76"/>
        <v>62.313698999905959</v>
      </c>
      <c r="AA170" s="379">
        <f t="shared" si="76"/>
        <v>62.850930353282649</v>
      </c>
      <c r="AB170" s="379">
        <f t="shared" si="76"/>
        <v>63.452501572863092</v>
      </c>
      <c r="AC170" s="379">
        <f t="shared" si="76"/>
        <v>63.883387355562647</v>
      </c>
      <c r="AD170" s="379">
        <f t="shared" si="76"/>
        <v>65.282153290954511</v>
      </c>
      <c r="AE170" s="379">
        <f t="shared" si="76"/>
        <v>66.747492660673259</v>
      </c>
      <c r="AF170" s="379">
        <f t="shared" si="76"/>
        <v>68.283104511871699</v>
      </c>
      <c r="AG170" s="379">
        <f t="shared" si="76"/>
        <v>69.887281284039474</v>
      </c>
    </row>
    <row r="171" spans="1:33">
      <c r="A171" s="300" t="s">
        <v>334</v>
      </c>
      <c r="C171" s="379">
        <f t="shared" ref="C171:AG171" si="77">C165*0.9</f>
        <v>30.804252842521162</v>
      </c>
      <c r="D171" s="379">
        <f t="shared" si="77"/>
        <v>33.038770129267654</v>
      </c>
      <c r="E171" s="379">
        <f t="shared" si="77"/>
        <v>33.832917138626378</v>
      </c>
      <c r="F171" s="379">
        <f t="shared" si="77"/>
        <v>34.650862355429481</v>
      </c>
      <c r="G171" s="379">
        <f t="shared" si="77"/>
        <v>35.493196393490209</v>
      </c>
      <c r="H171" s="379">
        <f t="shared" si="77"/>
        <v>36.895406454027849</v>
      </c>
      <c r="I171" s="379">
        <f t="shared" si="77"/>
        <v>37.803581433343922</v>
      </c>
      <c r="J171" s="379">
        <f t="shared" si="77"/>
        <v>38.73797725159362</v>
      </c>
      <c r="K171" s="379">
        <f t="shared" si="77"/>
        <v>39.698958206139118</v>
      </c>
      <c r="L171" s="379">
        <f t="shared" si="77"/>
        <v>40.687033586935343</v>
      </c>
      <c r="M171" s="379">
        <f t="shared" si="77"/>
        <v>41.702858058180048</v>
      </c>
      <c r="N171" s="379">
        <f t="shared" si="77"/>
        <v>43.256878307177466</v>
      </c>
      <c r="O171" s="379">
        <f t="shared" si="77"/>
        <v>44.344841963013174</v>
      </c>
      <c r="P171" s="379">
        <f t="shared" si="77"/>
        <v>45.470988497809955</v>
      </c>
      <c r="Q171" s="379">
        <f t="shared" si="77"/>
        <v>46.627567804488798</v>
      </c>
      <c r="R171" s="379">
        <f t="shared" si="77"/>
        <v>47.823510156481895</v>
      </c>
      <c r="S171" s="379">
        <f t="shared" si="77"/>
        <v>49.051093348039082</v>
      </c>
      <c r="T171" s="379">
        <f t="shared" si="77"/>
        <v>50.31927651864509</v>
      </c>
      <c r="U171" s="379">
        <f t="shared" si="77"/>
        <v>51.620513022233411</v>
      </c>
      <c r="V171" s="379">
        <f t="shared" si="77"/>
        <v>52.963792901817612</v>
      </c>
      <c r="W171" s="379">
        <f t="shared" si="77"/>
        <v>54.349789130369444</v>
      </c>
      <c r="X171" s="379">
        <f t="shared" si="77"/>
        <v>56.464813395781007</v>
      </c>
      <c r="Y171" s="379">
        <f t="shared" si="77"/>
        <v>57.959180064920645</v>
      </c>
      <c r="Z171" s="379">
        <f t="shared" si="77"/>
        <v>59.499295800098544</v>
      </c>
      <c r="AA171" s="379">
        <f t="shared" si="77"/>
        <v>61.08607402294156</v>
      </c>
      <c r="AB171" s="379">
        <f t="shared" si="77"/>
        <v>62.72028987803305</v>
      </c>
      <c r="AC171" s="379">
        <f t="shared" si="77"/>
        <v>64.402738512499241</v>
      </c>
      <c r="AD171" s="379">
        <f t="shared" si="77"/>
        <v>66.142884312467146</v>
      </c>
      <c r="AE171" s="379">
        <f t="shared" si="77"/>
        <v>67.933231243913966</v>
      </c>
      <c r="AF171" s="379">
        <f t="shared" si="77"/>
        <v>69.783129741065963</v>
      </c>
      <c r="AG171" s="379">
        <f t="shared" si="77"/>
        <v>71.693462299378879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 t="shared" ref="D173:AG173" si="78">C173+1</f>
        <v>2026</v>
      </c>
      <c r="E173" s="360">
        <f t="shared" si="78"/>
        <v>2027</v>
      </c>
      <c r="F173" s="360">
        <f t="shared" si="78"/>
        <v>2028</v>
      </c>
      <c r="G173" s="360">
        <f t="shared" si="78"/>
        <v>2029</v>
      </c>
      <c r="H173" s="360">
        <f t="shared" si="78"/>
        <v>2030</v>
      </c>
      <c r="I173" s="360">
        <f t="shared" si="78"/>
        <v>2031</v>
      </c>
      <c r="J173" s="360">
        <f t="shared" si="78"/>
        <v>2032</v>
      </c>
      <c r="K173" s="360">
        <f t="shared" si="78"/>
        <v>2033</v>
      </c>
      <c r="L173" s="360">
        <f t="shared" si="78"/>
        <v>2034</v>
      </c>
      <c r="M173" s="360">
        <f t="shared" si="78"/>
        <v>2035</v>
      </c>
      <c r="N173" s="360">
        <f t="shared" si="78"/>
        <v>2036</v>
      </c>
      <c r="O173" s="360">
        <f t="shared" si="78"/>
        <v>2037</v>
      </c>
      <c r="P173" s="360">
        <f t="shared" si="78"/>
        <v>2038</v>
      </c>
      <c r="Q173" s="360">
        <f t="shared" si="78"/>
        <v>2039</v>
      </c>
      <c r="R173" s="360">
        <f t="shared" si="78"/>
        <v>2040</v>
      </c>
      <c r="S173" s="360">
        <f t="shared" si="78"/>
        <v>2041</v>
      </c>
      <c r="T173" s="360">
        <f t="shared" si="78"/>
        <v>2042</v>
      </c>
      <c r="U173" s="360">
        <f t="shared" si="78"/>
        <v>2043</v>
      </c>
      <c r="V173" s="360">
        <f t="shared" si="78"/>
        <v>2044</v>
      </c>
      <c r="W173" s="360">
        <f t="shared" si="78"/>
        <v>2045</v>
      </c>
      <c r="X173" s="360">
        <f t="shared" si="78"/>
        <v>2046</v>
      </c>
      <c r="Y173" s="360">
        <f t="shared" si="78"/>
        <v>2047</v>
      </c>
      <c r="Z173" s="360">
        <f t="shared" si="78"/>
        <v>2048</v>
      </c>
      <c r="AA173" s="360">
        <f t="shared" si="78"/>
        <v>2049</v>
      </c>
      <c r="AB173" s="360">
        <f t="shared" si="78"/>
        <v>2050</v>
      </c>
      <c r="AC173" s="360">
        <f t="shared" si="78"/>
        <v>2051</v>
      </c>
      <c r="AD173" s="360">
        <f t="shared" si="78"/>
        <v>2052</v>
      </c>
      <c r="AE173" s="360">
        <f t="shared" si="78"/>
        <v>2053</v>
      </c>
      <c r="AF173" s="360">
        <f t="shared" si="78"/>
        <v>2054</v>
      </c>
      <c r="AG173" s="360">
        <f t="shared" si="78"/>
        <v>2055</v>
      </c>
    </row>
    <row r="174" spans="1:33">
      <c r="A174" s="300" t="s">
        <v>307</v>
      </c>
      <c r="B174" s="300" t="str">
        <f t="shared" ref="B174:B179" si="79">A174</f>
        <v xml:space="preserve">Diesel   </v>
      </c>
      <c r="C174" s="379">
        <f t="shared" ref="C174:AG174" si="80">C165/($C$17)*1000</f>
        <v>3.259709295504885</v>
      </c>
      <c r="D174" s="379">
        <f t="shared" si="80"/>
        <v>3.4961661512452538</v>
      </c>
      <c r="E174" s="379">
        <f t="shared" si="80"/>
        <v>3.5802028718123147</v>
      </c>
      <c r="F174" s="379">
        <f t="shared" si="80"/>
        <v>3.6667579212094688</v>
      </c>
      <c r="G174" s="379">
        <f t="shared" si="80"/>
        <v>3.7558937982529317</v>
      </c>
      <c r="H174" s="379">
        <f t="shared" si="80"/>
        <v>3.9042758152410419</v>
      </c>
      <c r="I174" s="379">
        <f t="shared" si="80"/>
        <v>4.0003789876554414</v>
      </c>
      <c r="J174" s="379">
        <f t="shared" si="80"/>
        <v>4.0992568520204884</v>
      </c>
      <c r="K174" s="379">
        <f t="shared" si="80"/>
        <v>4.2009479583215992</v>
      </c>
      <c r="L174" s="379">
        <f t="shared" si="80"/>
        <v>4.3055061996756976</v>
      </c>
      <c r="M174" s="379">
        <f t="shared" si="80"/>
        <v>4.4130008527174649</v>
      </c>
      <c r="N174" s="379">
        <f t="shared" si="80"/>
        <v>4.5774474399129597</v>
      </c>
      <c r="O174" s="379">
        <f t="shared" si="80"/>
        <v>4.6925758691019235</v>
      </c>
      <c r="P174" s="379">
        <f t="shared" si="80"/>
        <v>4.8117448145830641</v>
      </c>
      <c r="Q174" s="379">
        <f t="shared" si="80"/>
        <v>4.934134159205164</v>
      </c>
      <c r="R174" s="379">
        <f t="shared" si="80"/>
        <v>5.0606889054478197</v>
      </c>
      <c r="S174" s="379">
        <f t="shared" si="80"/>
        <v>5.190591888681384</v>
      </c>
      <c r="T174" s="379">
        <f t="shared" si="80"/>
        <v>5.3247911659941893</v>
      </c>
      <c r="U174" s="379">
        <f t="shared" si="80"/>
        <v>5.4624881505008904</v>
      </c>
      <c r="V174" s="379">
        <f t="shared" si="80"/>
        <v>5.604634169504509</v>
      </c>
      <c r="W174" s="379">
        <f t="shared" si="80"/>
        <v>5.7513004370761323</v>
      </c>
      <c r="X174" s="379">
        <f t="shared" si="80"/>
        <v>5.9751125286540745</v>
      </c>
      <c r="Y174" s="379">
        <f t="shared" si="80"/>
        <v>6.13324656771647</v>
      </c>
      <c r="Z174" s="379">
        <f t="shared" si="80"/>
        <v>6.2962217777882055</v>
      </c>
      <c r="AA174" s="379">
        <f t="shared" si="80"/>
        <v>6.4641348172424928</v>
      </c>
      <c r="AB174" s="379">
        <f t="shared" si="80"/>
        <v>6.6370677119611692</v>
      </c>
      <c r="AC174" s="379">
        <f t="shared" si="80"/>
        <v>6.8151046044972743</v>
      </c>
      <c r="AD174" s="379">
        <f t="shared" si="80"/>
        <v>6.9992470171922898</v>
      </c>
      <c r="AE174" s="379">
        <f t="shared" si="80"/>
        <v>7.1887017189326938</v>
      </c>
      <c r="AF174" s="379">
        <f t="shared" si="80"/>
        <v>7.3844581736577739</v>
      </c>
      <c r="AG174" s="379">
        <f t="shared" si="80"/>
        <v>7.5866097671300405</v>
      </c>
    </row>
    <row r="175" spans="1:33">
      <c r="A175" s="300" t="s">
        <v>179</v>
      </c>
      <c r="B175" s="300" t="str">
        <f t="shared" si="79"/>
        <v>CNG</v>
      </c>
      <c r="C175" s="379">
        <f t="shared" ref="C175:AG175" si="81">C169/($C$17)*1000</f>
        <v>6.5292182855908099</v>
      </c>
      <c r="D175" s="379">
        <f t="shared" si="81"/>
        <v>6.5208881390306237</v>
      </c>
      <c r="E175" s="379">
        <f t="shared" si="81"/>
        <v>6.5193138131945298</v>
      </c>
      <c r="F175" s="379">
        <f t="shared" si="81"/>
        <v>6.5244212922095182</v>
      </c>
      <c r="G175" s="379">
        <f t="shared" si="81"/>
        <v>6.5361419295041516</v>
      </c>
      <c r="H175" s="379">
        <f t="shared" si="81"/>
        <v>6.6263389518625893</v>
      </c>
      <c r="I175" s="379">
        <f t="shared" si="81"/>
        <v>6.4151726216840022</v>
      </c>
      <c r="J175" s="379">
        <f t="shared" si="81"/>
        <v>6.3308588063415829</v>
      </c>
      <c r="K175" s="379">
        <f t="shared" si="81"/>
        <v>6.2536108825553853</v>
      </c>
      <c r="L175" s="379">
        <f t="shared" si="81"/>
        <v>6.1832813325013891</v>
      </c>
      <c r="M175" s="379">
        <f t="shared" si="81"/>
        <v>6.119910227038039</v>
      </c>
      <c r="N175" s="379">
        <f t="shared" si="81"/>
        <v>5.9971626568165046</v>
      </c>
      <c r="O175" s="379">
        <f t="shared" si="81"/>
        <v>5.9458295387687388</v>
      </c>
      <c r="P175" s="379">
        <f t="shared" si="81"/>
        <v>5.9018898551284007</v>
      </c>
      <c r="Q175" s="379">
        <f t="shared" si="81"/>
        <v>5.8641859746874019</v>
      </c>
      <c r="R175" s="379">
        <f t="shared" si="81"/>
        <v>5.8336644671124462</v>
      </c>
      <c r="S175" s="379">
        <f t="shared" si="81"/>
        <v>5.6840134467197769</v>
      </c>
      <c r="T175" s="379">
        <f t="shared" si="81"/>
        <v>5.6923673153514862</v>
      </c>
      <c r="U175" s="379">
        <f t="shared" si="81"/>
        <v>5.7059544513925076</v>
      </c>
      <c r="V175" s="379">
        <f t="shared" si="81"/>
        <v>5.726072081290206</v>
      </c>
      <c r="W175" s="379">
        <f t="shared" si="81"/>
        <v>5.7523089904380287</v>
      </c>
      <c r="X175" s="379">
        <f t="shared" si="81"/>
        <v>5.7430631455301171</v>
      </c>
      <c r="Y175" s="379">
        <f t="shared" si="81"/>
        <v>5.7806874424153882</v>
      </c>
      <c r="Z175" s="379">
        <f t="shared" si="81"/>
        <v>5.8242142044408585</v>
      </c>
      <c r="AA175" s="379">
        <f t="shared" si="81"/>
        <v>5.8739136891966242</v>
      </c>
      <c r="AB175" s="379">
        <f t="shared" si="81"/>
        <v>5.9297415344506028</v>
      </c>
      <c r="AC175" s="379">
        <f t="shared" si="81"/>
        <v>5.9762455033784123</v>
      </c>
      <c r="AD175" s="379">
        <f t="shared" si="81"/>
        <v>6.1089041296518447</v>
      </c>
      <c r="AE175" s="379">
        <f t="shared" si="81"/>
        <v>6.2480694227506453</v>
      </c>
      <c r="AF175" s="379">
        <f t="shared" si="81"/>
        <v>6.3949607174419629</v>
      </c>
      <c r="AG175" s="379">
        <f t="shared" si="81"/>
        <v>6.5494401736775254</v>
      </c>
    </row>
    <row r="176" spans="1:33">
      <c r="A176" s="300" t="s">
        <v>180</v>
      </c>
      <c r="B176" s="300" t="str">
        <f t="shared" si="79"/>
        <v>LNG</v>
      </c>
      <c r="C176" s="379">
        <f t="shared" ref="C176:AG176" si="82">C167/($C$17)*1000</f>
        <v>3.1843483876019771</v>
      </c>
      <c r="D176" s="379">
        <f t="shared" si="82"/>
        <v>3.2859462958434009</v>
      </c>
      <c r="E176" s="379">
        <f t="shared" si="82"/>
        <v>3.3815828120265059</v>
      </c>
      <c r="F176" s="379">
        <f t="shared" si="82"/>
        <v>3.4803884453088036</v>
      </c>
      <c r="G176" s="379">
        <f t="shared" si="82"/>
        <v>3.5825750258722344</v>
      </c>
      <c r="H176" s="379">
        <f t="shared" si="82"/>
        <v>3.7473582446305427</v>
      </c>
      <c r="I176" s="379">
        <f t="shared" si="82"/>
        <v>3.8582816191888614</v>
      </c>
      <c r="J176" s="379">
        <f t="shared" si="82"/>
        <v>3.9727908051763046</v>
      </c>
      <c r="K176" s="379">
        <f t="shared" si="82"/>
        <v>4.0909586702517968</v>
      </c>
      <c r="L176" s="379">
        <f t="shared" si="82"/>
        <v>4.21300837625762</v>
      </c>
      <c r="M176" s="379">
        <f t="shared" si="82"/>
        <v>4.3390177134208843</v>
      </c>
      <c r="N176" s="379">
        <f t="shared" si="82"/>
        <v>4.5310507047739543</v>
      </c>
      <c r="O176" s="379">
        <f t="shared" si="82"/>
        <v>4.6667759195638858</v>
      </c>
      <c r="P176" s="379">
        <f t="shared" si="82"/>
        <v>4.8076422418680655</v>
      </c>
      <c r="Q176" s="379">
        <f t="shared" si="82"/>
        <v>4.9528565190038387</v>
      </c>
      <c r="R176" s="379">
        <f t="shared" si="82"/>
        <v>5.103392225552116</v>
      </c>
      <c r="S176" s="379">
        <f t="shared" si="82"/>
        <v>5.2584622275350661</v>
      </c>
      <c r="T176" s="379">
        <f t="shared" si="82"/>
        <v>5.4192066955150278</v>
      </c>
      <c r="U176" s="379">
        <f t="shared" si="82"/>
        <v>5.5848449325999283</v>
      </c>
      <c r="V176" s="379">
        <f t="shared" si="82"/>
        <v>5.756202823299998</v>
      </c>
      <c r="W176" s="379">
        <f t="shared" si="82"/>
        <v>5.9333883901431106</v>
      </c>
      <c r="X176" s="379">
        <f t="shared" si="82"/>
        <v>6.1983786891719035</v>
      </c>
      <c r="Y176" s="379">
        <f t="shared" si="82"/>
        <v>6.3903072708776145</v>
      </c>
      <c r="Z176" s="379">
        <f t="shared" si="82"/>
        <v>6.5886332803249106</v>
      </c>
      <c r="AA176" s="379">
        <f t="shared" si="82"/>
        <v>6.7936530540222613</v>
      </c>
      <c r="AB176" s="379">
        <f t="shared" si="82"/>
        <v>7.0053209337987603</v>
      </c>
      <c r="AC176" s="379">
        <f t="shared" si="82"/>
        <v>7.2239416865561648</v>
      </c>
      <c r="AD176" s="379">
        <f t="shared" si="82"/>
        <v>7.4505332781017959</v>
      </c>
      <c r="AE176" s="379">
        <f t="shared" si="82"/>
        <v>7.6843545925324612</v>
      </c>
      <c r="AF176" s="379">
        <f t="shared" si="82"/>
        <v>7.9264329271921401</v>
      </c>
      <c r="AG176" s="379">
        <f t="shared" si="82"/>
        <v>8.1769186536900769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3">C168/($C$18)*1000</f>
        <v>4.4545144283036189</v>
      </c>
      <c r="D177" s="379">
        <f t="shared" si="83"/>
        <v>4.4848025403790661</v>
      </c>
      <c r="E177" s="379">
        <f t="shared" si="83"/>
        <v>4.5095537199443854</v>
      </c>
      <c r="F177" s="379">
        <f t="shared" si="83"/>
        <v>4.4960580608496921</v>
      </c>
      <c r="G177" s="379">
        <f t="shared" si="83"/>
        <v>4.4770175442579232</v>
      </c>
      <c r="H177" s="379">
        <f t="shared" si="83"/>
        <v>4.5263598483910386</v>
      </c>
      <c r="I177" s="379">
        <f t="shared" si="83"/>
        <v>4.372542975374281</v>
      </c>
      <c r="J177" s="379">
        <f t="shared" si="83"/>
        <v>4.3913075269282027</v>
      </c>
      <c r="K177" s="379">
        <f t="shared" si="83"/>
        <v>4.3949364126682688</v>
      </c>
      <c r="L177" s="379">
        <f t="shared" si="83"/>
        <v>4.4091545611549083</v>
      </c>
      <c r="M177" s="379">
        <f t="shared" si="83"/>
        <v>4.4341204353121144</v>
      </c>
      <c r="N177" s="379">
        <f t="shared" si="83"/>
        <v>4.3809616250319898</v>
      </c>
      <c r="O177" s="379">
        <f t="shared" si="83"/>
        <v>4.4317357875476953</v>
      </c>
      <c r="P177" s="379">
        <f t="shared" si="83"/>
        <v>4.4828913474292706</v>
      </c>
      <c r="Q177" s="379">
        <f t="shared" si="83"/>
        <v>4.5417791278299946</v>
      </c>
      <c r="R177" s="379">
        <f t="shared" si="83"/>
        <v>4.6081937067287306</v>
      </c>
      <c r="S177" s="379">
        <f t="shared" si="83"/>
        <v>4.6713935749356299</v>
      </c>
      <c r="T177" s="379">
        <f t="shared" si="83"/>
        <v>4.767435252361814</v>
      </c>
      <c r="U177" s="379">
        <f t="shared" si="83"/>
        <v>4.8644463773324373</v>
      </c>
      <c r="V177" s="379">
        <f t="shared" si="83"/>
        <v>4.9658015527574877</v>
      </c>
      <c r="W177" s="379">
        <f t="shared" si="83"/>
        <v>5.0718408328952354</v>
      </c>
      <c r="X177" s="379">
        <f t="shared" si="83"/>
        <v>5.0688437363812291</v>
      </c>
      <c r="Y177" s="379">
        <f t="shared" si="83"/>
        <v>5.1820225090668908</v>
      </c>
      <c r="Z177" s="379">
        <f t="shared" si="83"/>
        <v>5.3008193758489144</v>
      </c>
      <c r="AA177" s="379">
        <f t="shared" si="83"/>
        <v>5.4247339556255412</v>
      </c>
      <c r="AB177" s="379">
        <f t="shared" si="83"/>
        <v>5.5547435420363023</v>
      </c>
      <c r="AC177" s="379">
        <f t="shared" si="83"/>
        <v>5.7173578871950816</v>
      </c>
      <c r="AD177" s="379">
        <f t="shared" si="83"/>
        <v>5.89090588670153</v>
      </c>
      <c r="AE177" s="379">
        <f t="shared" si="83"/>
        <v>6.0709534125486302</v>
      </c>
      <c r="AF177" s="379">
        <f t="shared" si="83"/>
        <v>6.2579559042445831</v>
      </c>
      <c r="AG177" s="379">
        <f t="shared" si="83"/>
        <v>6.4521410573415716</v>
      </c>
    </row>
    <row r="178" spans="1:33">
      <c r="A178" s="300" t="s">
        <v>181</v>
      </c>
      <c r="B178" s="300" t="str">
        <f t="shared" si="79"/>
        <v>H2 ICE</v>
      </c>
      <c r="C178" s="379">
        <f t="shared" ref="C178:AG178" si="84">C170/($C$17)*1000</f>
        <v>7.0319209369954212</v>
      </c>
      <c r="D178" s="379">
        <f t="shared" si="84"/>
        <v>6.9781659909648388</v>
      </c>
      <c r="E178" s="379">
        <f t="shared" si="84"/>
        <v>6.9314559508067326</v>
      </c>
      <c r="F178" s="379">
        <f t="shared" si="84"/>
        <v>6.891925459384078</v>
      </c>
      <c r="G178" s="379">
        <f t="shared" si="84"/>
        <v>6.8593167080638633</v>
      </c>
      <c r="H178" s="379">
        <f t="shared" si="84"/>
        <v>6.8734253167689401</v>
      </c>
      <c r="I178" s="379">
        <f t="shared" si="84"/>
        <v>6.6873305765477165</v>
      </c>
      <c r="J178" s="379">
        <f t="shared" si="84"/>
        <v>6.5987702514210334</v>
      </c>
      <c r="K178" s="379">
        <f t="shared" si="84"/>
        <v>6.5169076251716227</v>
      </c>
      <c r="L178" s="379">
        <f t="shared" si="84"/>
        <v>6.4425084044787866</v>
      </c>
      <c r="M178" s="379">
        <f t="shared" si="84"/>
        <v>6.3743824594602367</v>
      </c>
      <c r="N178" s="379">
        <f t="shared" si="84"/>
        <v>6.1937685492945063</v>
      </c>
      <c r="O178" s="379">
        <f t="shared" si="84"/>
        <v>6.1395419814469978</v>
      </c>
      <c r="P178" s="379">
        <f t="shared" si="84"/>
        <v>6.0911923161243537</v>
      </c>
      <c r="Q178" s="379">
        <f t="shared" si="84"/>
        <v>6.0496993898235649</v>
      </c>
      <c r="R178" s="379">
        <f t="shared" si="84"/>
        <v>6.0137275131303056</v>
      </c>
      <c r="S178" s="379">
        <f t="shared" si="84"/>
        <v>5.8771185736541893</v>
      </c>
      <c r="T178" s="379">
        <f t="shared" si="84"/>
        <v>5.8905715689382054</v>
      </c>
      <c r="U178" s="379">
        <f t="shared" si="84"/>
        <v>5.9095335554187161</v>
      </c>
      <c r="V178" s="379">
        <f t="shared" si="84"/>
        <v>5.9343075502292688</v>
      </c>
      <c r="W178" s="379">
        <f t="shared" si="84"/>
        <v>5.9642734937854609</v>
      </c>
      <c r="X178" s="379">
        <f t="shared" si="84"/>
        <v>5.8494343178146346</v>
      </c>
      <c r="Y178" s="379">
        <f t="shared" si="84"/>
        <v>5.8889310213517287</v>
      </c>
      <c r="Z178" s="379">
        <f t="shared" si="84"/>
        <v>5.9346379999910432</v>
      </c>
      <c r="AA178" s="379">
        <f t="shared" si="84"/>
        <v>5.9858028907888237</v>
      </c>
      <c r="AB178" s="379">
        <f t="shared" si="84"/>
        <v>6.0430953878917233</v>
      </c>
      <c r="AC178" s="379">
        <f t="shared" si="84"/>
        <v>6.0841321291012047</v>
      </c>
      <c r="AD178" s="379">
        <f t="shared" si="84"/>
        <v>6.2173479324718581</v>
      </c>
      <c r="AE178" s="379">
        <f t="shared" si="84"/>
        <v>6.356904062921263</v>
      </c>
      <c r="AF178" s="379">
        <f t="shared" si="84"/>
        <v>6.5031528106544467</v>
      </c>
      <c r="AG178" s="379">
        <f t="shared" si="84"/>
        <v>6.6559315508609025</v>
      </c>
    </row>
    <row r="179" spans="1:33">
      <c r="A179" s="300" t="str">
        <f>A170</f>
        <v>FCET</v>
      </c>
      <c r="B179" s="300" t="str">
        <f t="shared" si="79"/>
        <v>FCET</v>
      </c>
      <c r="C179" s="379">
        <f t="shared" ref="C179:AG179" si="85">C170/($C$19)*1000</f>
        <v>7.6911635248387418</v>
      </c>
      <c r="D179" s="379">
        <f t="shared" si="85"/>
        <v>7.6323690526177916</v>
      </c>
      <c r="E179" s="379">
        <f t="shared" si="85"/>
        <v>7.5812799461948632</v>
      </c>
      <c r="F179" s="379">
        <f t="shared" si="85"/>
        <v>7.5380434712013349</v>
      </c>
      <c r="G179" s="379">
        <f t="shared" si="85"/>
        <v>7.5023776494448509</v>
      </c>
      <c r="H179" s="379">
        <f t="shared" si="85"/>
        <v>7.5178089402160282</v>
      </c>
      <c r="I179" s="379">
        <f t="shared" si="85"/>
        <v>7.314267818099065</v>
      </c>
      <c r="J179" s="379">
        <f t="shared" si="85"/>
        <v>7.2174049624917558</v>
      </c>
      <c r="K179" s="379">
        <f t="shared" si="85"/>
        <v>7.1278677150314618</v>
      </c>
      <c r="L179" s="379">
        <f t="shared" si="85"/>
        <v>7.0464935673986728</v>
      </c>
      <c r="M179" s="379">
        <f t="shared" si="85"/>
        <v>6.9719808150346347</v>
      </c>
      <c r="N179" s="379">
        <f t="shared" si="85"/>
        <v>6.774434350790866</v>
      </c>
      <c r="O179" s="379">
        <f t="shared" si="85"/>
        <v>6.7151240422076537</v>
      </c>
      <c r="P179" s="379">
        <f t="shared" si="85"/>
        <v>6.6622415957610119</v>
      </c>
      <c r="Q179" s="379">
        <f t="shared" si="85"/>
        <v>6.6168587076195244</v>
      </c>
      <c r="R179" s="379">
        <f t="shared" si="85"/>
        <v>6.5775144674862718</v>
      </c>
      <c r="S179" s="379">
        <f t="shared" si="85"/>
        <v>6.4280984399342698</v>
      </c>
      <c r="T179" s="379">
        <f t="shared" si="85"/>
        <v>6.4428126535261621</v>
      </c>
      <c r="U179" s="379">
        <f t="shared" si="85"/>
        <v>6.4635523262392205</v>
      </c>
      <c r="V179" s="379">
        <f t="shared" si="85"/>
        <v>6.4906488830632627</v>
      </c>
      <c r="W179" s="379">
        <f t="shared" si="85"/>
        <v>6.5234241338278478</v>
      </c>
      <c r="X179" s="379">
        <f t="shared" si="85"/>
        <v>6.3978187851097568</v>
      </c>
      <c r="Y179" s="379">
        <f t="shared" si="85"/>
        <v>6.4410183046034524</v>
      </c>
      <c r="Z179" s="379">
        <f t="shared" si="85"/>
        <v>6.4910103124902037</v>
      </c>
      <c r="AA179" s="379">
        <f t="shared" si="85"/>
        <v>6.5469719118002763</v>
      </c>
      <c r="AB179" s="379">
        <f t="shared" si="85"/>
        <v>6.6096355805065725</v>
      </c>
      <c r="AC179" s="379">
        <f t="shared" si="85"/>
        <v>6.6545195162044424</v>
      </c>
      <c r="AD179" s="379">
        <f t="shared" si="85"/>
        <v>6.8002243011410952</v>
      </c>
      <c r="AE179" s="379">
        <f t="shared" si="85"/>
        <v>6.9528638188201315</v>
      </c>
      <c r="AF179" s="379">
        <f t="shared" si="85"/>
        <v>7.1128233866533019</v>
      </c>
      <c r="AG179" s="379">
        <f t="shared" si="85"/>
        <v>7.2799251337541113</v>
      </c>
    </row>
    <row r="180" spans="1:33">
      <c r="A180" s="300" t="s">
        <v>334</v>
      </c>
      <c r="C180" s="379">
        <f t="shared" ref="C180:AG180" si="86">C174*0.9</f>
        <v>2.9337383659543965</v>
      </c>
      <c r="D180" s="379">
        <f t="shared" si="86"/>
        <v>3.1465495361207285</v>
      </c>
      <c r="E180" s="379">
        <f t="shared" si="86"/>
        <v>3.2221825846310832</v>
      </c>
      <c r="F180" s="379">
        <f t="shared" si="86"/>
        <v>3.3000821290885218</v>
      </c>
      <c r="G180" s="379">
        <f t="shared" si="86"/>
        <v>3.3803044184276385</v>
      </c>
      <c r="H180" s="379">
        <f t="shared" si="86"/>
        <v>3.5138482337169377</v>
      </c>
      <c r="I180" s="379">
        <f t="shared" si="86"/>
        <v>3.6003410888898975</v>
      </c>
      <c r="J180" s="379">
        <f t="shared" si="86"/>
        <v>3.6893311668184396</v>
      </c>
      <c r="K180" s="379">
        <f t="shared" si="86"/>
        <v>3.7808531624894393</v>
      </c>
      <c r="L180" s="379">
        <f t="shared" si="86"/>
        <v>3.8749555797081281</v>
      </c>
      <c r="M180" s="379">
        <f t="shared" si="86"/>
        <v>3.9717007674457183</v>
      </c>
      <c r="N180" s="379">
        <f t="shared" si="86"/>
        <v>4.1197026959216636</v>
      </c>
      <c r="O180" s="379">
        <f t="shared" si="86"/>
        <v>4.2233182821917312</v>
      </c>
      <c r="P180" s="379">
        <f t="shared" si="86"/>
        <v>4.3305703331247578</v>
      </c>
      <c r="Q180" s="379">
        <f t="shared" si="86"/>
        <v>4.4407207432846478</v>
      </c>
      <c r="R180" s="379">
        <f t="shared" si="86"/>
        <v>4.5546200149030378</v>
      </c>
      <c r="S180" s="379">
        <f t="shared" si="86"/>
        <v>4.6715326998132456</v>
      </c>
      <c r="T180" s="379">
        <f t="shared" si="86"/>
        <v>4.7923120493947708</v>
      </c>
      <c r="U180" s="379">
        <f t="shared" si="86"/>
        <v>4.9162393354508014</v>
      </c>
      <c r="V180" s="379">
        <f t="shared" si="86"/>
        <v>5.0441707525540584</v>
      </c>
      <c r="W180" s="379">
        <f t="shared" si="86"/>
        <v>5.176170393368519</v>
      </c>
      <c r="X180" s="379">
        <f t="shared" si="86"/>
        <v>5.3776012757886669</v>
      </c>
      <c r="Y180" s="379">
        <f t="shared" si="86"/>
        <v>5.5199219109448228</v>
      </c>
      <c r="Z180" s="379">
        <f t="shared" si="86"/>
        <v>5.666599600009385</v>
      </c>
      <c r="AA180" s="379">
        <f t="shared" si="86"/>
        <v>5.817721335518244</v>
      </c>
      <c r="AB180" s="379">
        <f t="shared" si="86"/>
        <v>5.9733609407650521</v>
      </c>
      <c r="AC180" s="379">
        <f t="shared" si="86"/>
        <v>6.1335941440475468</v>
      </c>
      <c r="AD180" s="379">
        <f t="shared" si="86"/>
        <v>6.2993223154730611</v>
      </c>
      <c r="AE180" s="379">
        <f t="shared" si="86"/>
        <v>6.4698315470394245</v>
      </c>
      <c r="AF180" s="379">
        <f t="shared" si="86"/>
        <v>6.6460123562919966</v>
      </c>
      <c r="AG180" s="379">
        <f t="shared" si="86"/>
        <v>6.8279487904170368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 t="shared" ref="D182:AG182" si="87">C182+1</f>
        <v>2026</v>
      </c>
      <c r="E182" s="360">
        <f t="shared" si="87"/>
        <v>2027</v>
      </c>
      <c r="F182" s="360">
        <f t="shared" si="87"/>
        <v>2028</v>
      </c>
      <c r="G182" s="360">
        <f t="shared" si="87"/>
        <v>2029</v>
      </c>
      <c r="H182" s="360">
        <f t="shared" si="87"/>
        <v>2030</v>
      </c>
      <c r="I182" s="360">
        <f t="shared" si="87"/>
        <v>2031</v>
      </c>
      <c r="J182" s="360">
        <f t="shared" si="87"/>
        <v>2032</v>
      </c>
      <c r="K182" s="360">
        <f t="shared" si="87"/>
        <v>2033</v>
      </c>
      <c r="L182" s="360">
        <f t="shared" si="87"/>
        <v>2034</v>
      </c>
      <c r="M182" s="360">
        <f t="shared" si="87"/>
        <v>2035</v>
      </c>
      <c r="N182" s="360">
        <f t="shared" si="87"/>
        <v>2036</v>
      </c>
      <c r="O182" s="360">
        <f t="shared" si="87"/>
        <v>2037</v>
      </c>
      <c r="P182" s="360">
        <f t="shared" si="87"/>
        <v>2038</v>
      </c>
      <c r="Q182" s="360">
        <f t="shared" si="87"/>
        <v>2039</v>
      </c>
      <c r="R182" s="360">
        <f t="shared" si="87"/>
        <v>2040</v>
      </c>
      <c r="S182" s="360">
        <f t="shared" si="87"/>
        <v>2041</v>
      </c>
      <c r="T182" s="360">
        <f t="shared" si="87"/>
        <v>2042</v>
      </c>
      <c r="U182" s="360">
        <f t="shared" si="87"/>
        <v>2043</v>
      </c>
      <c r="V182" s="360">
        <f t="shared" si="87"/>
        <v>2044</v>
      </c>
      <c r="W182" s="360">
        <f t="shared" si="87"/>
        <v>2045</v>
      </c>
      <c r="X182" s="360">
        <f t="shared" si="87"/>
        <v>2046</v>
      </c>
      <c r="Y182" s="360">
        <f t="shared" si="87"/>
        <v>2047</v>
      </c>
      <c r="Z182" s="360">
        <f t="shared" si="87"/>
        <v>2048</v>
      </c>
      <c r="AA182" s="360">
        <f t="shared" si="87"/>
        <v>2049</v>
      </c>
      <c r="AB182" s="360">
        <f t="shared" si="87"/>
        <v>2050</v>
      </c>
      <c r="AC182" s="360">
        <f t="shared" si="87"/>
        <v>2051</v>
      </c>
      <c r="AD182" s="360">
        <f t="shared" si="87"/>
        <v>2052</v>
      </c>
      <c r="AE182" s="360">
        <f t="shared" si="87"/>
        <v>2053</v>
      </c>
      <c r="AF182" s="360">
        <f t="shared" si="87"/>
        <v>2054</v>
      </c>
      <c r="AG182" s="360">
        <f t="shared" si="87"/>
        <v>2055</v>
      </c>
    </row>
    <row r="183" spans="1:33">
      <c r="A183" s="300" t="str">
        <f>A174</f>
        <v xml:space="preserve">Diesel   </v>
      </c>
      <c r="B183" s="300" t="str">
        <f t="shared" ref="B183:B188" si="88">A183</f>
        <v xml:space="preserve">Diesel   </v>
      </c>
      <c r="C183" s="379">
        <f t="shared" ref="C183:AG183" si="89">C165/($C$17*$C$24)*1000</f>
        <v>4.3462790606731794</v>
      </c>
      <c r="D183" s="379">
        <f t="shared" si="89"/>
        <v>4.6615548683270056</v>
      </c>
      <c r="E183" s="379">
        <f t="shared" si="89"/>
        <v>4.7736038290830862</v>
      </c>
      <c r="F183" s="379">
        <f t="shared" si="89"/>
        <v>4.8890105616126247</v>
      </c>
      <c r="G183" s="379">
        <f t="shared" si="89"/>
        <v>5.0078583976705762</v>
      </c>
      <c r="H183" s="379">
        <f t="shared" si="89"/>
        <v>5.2057010869880553</v>
      </c>
      <c r="I183" s="379">
        <f t="shared" si="89"/>
        <v>5.3338386502072552</v>
      </c>
      <c r="J183" s="379">
        <f t="shared" si="89"/>
        <v>5.465675802693986</v>
      </c>
      <c r="K183" s="379">
        <f t="shared" si="89"/>
        <v>5.6012639444287995</v>
      </c>
      <c r="L183" s="379">
        <f t="shared" si="89"/>
        <v>5.7406749329009292</v>
      </c>
      <c r="M183" s="379">
        <f t="shared" si="89"/>
        <v>5.8840011369566207</v>
      </c>
      <c r="N183" s="379">
        <f t="shared" si="89"/>
        <v>6.1032632532172792</v>
      </c>
      <c r="O183" s="379">
        <f t="shared" si="89"/>
        <v>6.2567678254692298</v>
      </c>
      <c r="P183" s="379">
        <f t="shared" si="89"/>
        <v>6.415659752777418</v>
      </c>
      <c r="Q183" s="379">
        <f t="shared" si="89"/>
        <v>6.5788455456068853</v>
      </c>
      <c r="R183" s="379">
        <f t="shared" si="89"/>
        <v>6.7475852072637599</v>
      </c>
      <c r="S183" s="379">
        <f t="shared" si="89"/>
        <v>6.9207891849085126</v>
      </c>
      <c r="T183" s="379">
        <f t="shared" si="89"/>
        <v>7.0997215546589194</v>
      </c>
      <c r="U183" s="379">
        <f t="shared" si="89"/>
        <v>7.2833175340011866</v>
      </c>
      <c r="V183" s="379">
        <f t="shared" si="89"/>
        <v>7.472845559339345</v>
      </c>
      <c r="W183" s="379">
        <f t="shared" si="89"/>
        <v>7.668400582768176</v>
      </c>
      <c r="X183" s="379">
        <f t="shared" si="89"/>
        <v>7.9668167048720999</v>
      </c>
      <c r="Y183" s="379">
        <f t="shared" si="89"/>
        <v>8.1776620902886279</v>
      </c>
      <c r="Z183" s="379">
        <f t="shared" si="89"/>
        <v>8.394962370384274</v>
      </c>
      <c r="AA183" s="379">
        <f t="shared" si="89"/>
        <v>8.6188464229899893</v>
      </c>
      <c r="AB183" s="379">
        <f t="shared" si="89"/>
        <v>8.8494236159482256</v>
      </c>
      <c r="AC183" s="379">
        <f t="shared" si="89"/>
        <v>9.0868061393296991</v>
      </c>
      <c r="AD183" s="379">
        <f t="shared" si="89"/>
        <v>9.3323293562563876</v>
      </c>
      <c r="AE183" s="379">
        <f t="shared" si="89"/>
        <v>9.5849356252435918</v>
      </c>
      <c r="AF183" s="379">
        <f t="shared" si="89"/>
        <v>9.8459442315436974</v>
      </c>
      <c r="AG183" s="379">
        <f t="shared" si="89"/>
        <v>10.115479689506721</v>
      </c>
    </row>
    <row r="184" spans="1:33">
      <c r="A184" s="300" t="str">
        <f>A175</f>
        <v>CNG</v>
      </c>
      <c r="B184" s="300" t="str">
        <f t="shared" si="88"/>
        <v>CNG</v>
      </c>
      <c r="C184" s="379">
        <f t="shared" ref="C184:AG184" si="90">C169/($C$17*$C$24)*1000</f>
        <v>8.7056243807877465</v>
      </c>
      <c r="D184" s="379">
        <f t="shared" si="90"/>
        <v>8.6945175187074977</v>
      </c>
      <c r="E184" s="379">
        <f t="shared" si="90"/>
        <v>8.6924184175927053</v>
      </c>
      <c r="F184" s="379">
        <f t="shared" si="90"/>
        <v>8.6992283896126903</v>
      </c>
      <c r="G184" s="379">
        <f t="shared" si="90"/>
        <v>8.7148559060055355</v>
      </c>
      <c r="H184" s="379">
        <f t="shared" si="90"/>
        <v>8.8351186024834529</v>
      </c>
      <c r="I184" s="379">
        <f t="shared" si="90"/>
        <v>8.5535634955786701</v>
      </c>
      <c r="J184" s="379">
        <f t="shared" si="90"/>
        <v>8.44114507512211</v>
      </c>
      <c r="K184" s="379">
        <f t="shared" si="90"/>
        <v>8.3381478434071816</v>
      </c>
      <c r="L184" s="379">
        <f t="shared" si="90"/>
        <v>8.244375110001851</v>
      </c>
      <c r="M184" s="379">
        <f t="shared" si="90"/>
        <v>8.159880302717383</v>
      </c>
      <c r="N184" s="379">
        <f t="shared" si="90"/>
        <v>7.9962168757553389</v>
      </c>
      <c r="O184" s="379">
        <f t="shared" si="90"/>
        <v>7.9277727183583186</v>
      </c>
      <c r="P184" s="379">
        <f t="shared" si="90"/>
        <v>7.8691864735045343</v>
      </c>
      <c r="Q184" s="379">
        <f t="shared" si="90"/>
        <v>7.8189146329165364</v>
      </c>
      <c r="R184" s="379">
        <f t="shared" si="90"/>
        <v>7.7782192894832622</v>
      </c>
      <c r="S184" s="379">
        <f t="shared" si="90"/>
        <v>7.5786845956263678</v>
      </c>
      <c r="T184" s="379">
        <f t="shared" si="90"/>
        <v>7.5898230871353149</v>
      </c>
      <c r="U184" s="379">
        <f t="shared" si="90"/>
        <v>7.6079392685233422</v>
      </c>
      <c r="V184" s="379">
        <f t="shared" si="90"/>
        <v>7.6347627750536082</v>
      </c>
      <c r="W184" s="379">
        <f t="shared" si="90"/>
        <v>7.6697453205840391</v>
      </c>
      <c r="X184" s="379">
        <f t="shared" si="90"/>
        <v>7.6574175273734904</v>
      </c>
      <c r="Y184" s="379">
        <f t="shared" si="90"/>
        <v>7.7075832565538516</v>
      </c>
      <c r="Z184" s="379">
        <f t="shared" si="90"/>
        <v>7.7656189392544785</v>
      </c>
      <c r="AA184" s="379">
        <f t="shared" si="90"/>
        <v>7.8318849189288313</v>
      </c>
      <c r="AB184" s="379">
        <f t="shared" si="90"/>
        <v>7.9063220459341368</v>
      </c>
      <c r="AC184" s="379">
        <f t="shared" si="90"/>
        <v>7.9683273378378834</v>
      </c>
      <c r="AD184" s="379">
        <f t="shared" si="90"/>
        <v>8.1452055062024584</v>
      </c>
      <c r="AE184" s="379">
        <f t="shared" si="90"/>
        <v>8.3307592303341949</v>
      </c>
      <c r="AF184" s="379">
        <f t="shared" si="90"/>
        <v>8.5266142899226178</v>
      </c>
      <c r="AG184" s="379">
        <f t="shared" si="90"/>
        <v>8.7325868982367005</v>
      </c>
    </row>
    <row r="185" spans="1:33">
      <c r="A185" s="300" t="str">
        <f>A176</f>
        <v>LNG</v>
      </c>
      <c r="B185" s="300" t="str">
        <f t="shared" si="88"/>
        <v>LNG</v>
      </c>
      <c r="C185" s="379">
        <f t="shared" ref="C185:AG185" si="91">C167/($C$17*$C$24)*1000</f>
        <v>4.2457978501359692</v>
      </c>
      <c r="D185" s="379">
        <f t="shared" si="91"/>
        <v>4.3812617277912018</v>
      </c>
      <c r="E185" s="379">
        <f t="shared" si="91"/>
        <v>4.5087770827020082</v>
      </c>
      <c r="F185" s="379">
        <f t="shared" si="91"/>
        <v>4.6405179270784052</v>
      </c>
      <c r="G185" s="379">
        <f t="shared" si="91"/>
        <v>4.7767667011629795</v>
      </c>
      <c r="H185" s="379">
        <f t="shared" si="91"/>
        <v>4.9964776595073896</v>
      </c>
      <c r="I185" s="379">
        <f t="shared" si="91"/>
        <v>5.1443754922518155</v>
      </c>
      <c r="J185" s="379">
        <f t="shared" si="91"/>
        <v>5.2970544069017391</v>
      </c>
      <c r="K185" s="379">
        <f t="shared" si="91"/>
        <v>5.4546115603357288</v>
      </c>
      <c r="L185" s="379">
        <f t="shared" si="91"/>
        <v>5.6173445016768273</v>
      </c>
      <c r="M185" s="379">
        <f t="shared" si="91"/>
        <v>5.785356951227846</v>
      </c>
      <c r="N185" s="379">
        <f t="shared" si="91"/>
        <v>6.0414009396986064</v>
      </c>
      <c r="O185" s="379">
        <f t="shared" si="91"/>
        <v>6.2223678927518469</v>
      </c>
      <c r="P185" s="379">
        <f t="shared" si="91"/>
        <v>6.4101896558240874</v>
      </c>
      <c r="Q185" s="379">
        <f t="shared" si="91"/>
        <v>6.603808692005118</v>
      </c>
      <c r="R185" s="379">
        <f t="shared" si="91"/>
        <v>6.8045229674028214</v>
      </c>
      <c r="S185" s="379">
        <f t="shared" si="91"/>
        <v>7.0112829700467545</v>
      </c>
      <c r="T185" s="379">
        <f t="shared" si="91"/>
        <v>7.2256089273533703</v>
      </c>
      <c r="U185" s="379">
        <f t="shared" si="91"/>
        <v>7.4464599101332372</v>
      </c>
      <c r="V185" s="379">
        <f t="shared" si="91"/>
        <v>7.6749370977333307</v>
      </c>
      <c r="W185" s="379">
        <f t="shared" si="91"/>
        <v>7.9111845201908153</v>
      </c>
      <c r="X185" s="379">
        <f t="shared" si="91"/>
        <v>8.2645049188958719</v>
      </c>
      <c r="Y185" s="379">
        <f t="shared" si="91"/>
        <v>8.5204096945034848</v>
      </c>
      <c r="Z185" s="379">
        <f t="shared" si="91"/>
        <v>8.7848443737665498</v>
      </c>
      <c r="AA185" s="379">
        <f t="shared" si="91"/>
        <v>9.0582040720296835</v>
      </c>
      <c r="AB185" s="379">
        <f t="shared" si="91"/>
        <v>9.3404279117316804</v>
      </c>
      <c r="AC185" s="379">
        <f t="shared" si="91"/>
        <v>9.631922248741553</v>
      </c>
      <c r="AD185" s="379">
        <f t="shared" si="91"/>
        <v>9.9340443708023951</v>
      </c>
      <c r="AE185" s="379">
        <f t="shared" si="91"/>
        <v>10.245806123376616</v>
      </c>
      <c r="AF185" s="379">
        <f t="shared" si="91"/>
        <v>10.568577236256186</v>
      </c>
      <c r="AG185" s="379">
        <f t="shared" si="91"/>
        <v>10.902558204920101</v>
      </c>
    </row>
    <row r="186" spans="1:33">
      <c r="A186" s="300" t="str">
        <f>A178</f>
        <v>H2 ICE</v>
      </c>
      <c r="B186" s="300" t="str">
        <f t="shared" si="88"/>
        <v>H2 ICE</v>
      </c>
      <c r="C186" s="379">
        <f t="shared" ref="C186:AG186" si="92">C170/($C$17*$C$24)*1000</f>
        <v>9.3758945826605622</v>
      </c>
      <c r="D186" s="379">
        <f t="shared" si="92"/>
        <v>9.3042213212864517</v>
      </c>
      <c r="E186" s="379">
        <f t="shared" si="92"/>
        <v>9.241941267742309</v>
      </c>
      <c r="F186" s="379">
        <f t="shared" si="92"/>
        <v>9.1892339458454373</v>
      </c>
      <c r="G186" s="379">
        <f t="shared" si="92"/>
        <v>9.1457556107518165</v>
      </c>
      <c r="H186" s="379">
        <f t="shared" si="92"/>
        <v>9.1645670890252529</v>
      </c>
      <c r="I186" s="379">
        <f t="shared" si="92"/>
        <v>8.9164407687302898</v>
      </c>
      <c r="J186" s="379">
        <f t="shared" si="92"/>
        <v>8.7983603352280451</v>
      </c>
      <c r="K186" s="379">
        <f t="shared" si="92"/>
        <v>8.6892101668954975</v>
      </c>
      <c r="L186" s="379">
        <f t="shared" si="92"/>
        <v>8.5900112059717149</v>
      </c>
      <c r="M186" s="379">
        <f t="shared" si="92"/>
        <v>8.499176612613649</v>
      </c>
      <c r="N186" s="379">
        <f t="shared" si="92"/>
        <v>8.2583580657260089</v>
      </c>
      <c r="O186" s="379">
        <f t="shared" si="92"/>
        <v>8.1860559752626632</v>
      </c>
      <c r="P186" s="379">
        <f t="shared" si="92"/>
        <v>8.1215897548324723</v>
      </c>
      <c r="Q186" s="379">
        <f t="shared" si="92"/>
        <v>8.066265853098086</v>
      </c>
      <c r="R186" s="379">
        <f t="shared" si="92"/>
        <v>8.0183033508404087</v>
      </c>
      <c r="S186" s="379">
        <f t="shared" si="92"/>
        <v>7.8361580982055852</v>
      </c>
      <c r="T186" s="379">
        <f t="shared" si="92"/>
        <v>7.8540954252509403</v>
      </c>
      <c r="U186" s="379">
        <f t="shared" si="92"/>
        <v>7.8793780738916217</v>
      </c>
      <c r="V186" s="379">
        <f t="shared" si="92"/>
        <v>7.9124100669723578</v>
      </c>
      <c r="W186" s="379">
        <f t="shared" si="92"/>
        <v>7.9523646583806142</v>
      </c>
      <c r="X186" s="379">
        <f t="shared" si="92"/>
        <v>7.7992457570861804</v>
      </c>
      <c r="Y186" s="379">
        <f t="shared" si="92"/>
        <v>7.8519080284689711</v>
      </c>
      <c r="Z186" s="379">
        <f t="shared" si="92"/>
        <v>7.9128506666547249</v>
      </c>
      <c r="AA186" s="379">
        <f t="shared" si="92"/>
        <v>7.9810705210517661</v>
      </c>
      <c r="AB186" s="379">
        <f t="shared" si="92"/>
        <v>8.0574605171889644</v>
      </c>
      <c r="AC186" s="379">
        <f t="shared" si="92"/>
        <v>8.112176172134939</v>
      </c>
      <c r="AD186" s="379">
        <f t="shared" si="92"/>
        <v>8.2897972432958102</v>
      </c>
      <c r="AE186" s="379">
        <f t="shared" si="92"/>
        <v>8.4758720838950161</v>
      </c>
      <c r="AF186" s="379">
        <f t="shared" si="92"/>
        <v>8.6708704142059307</v>
      </c>
      <c r="AG186" s="379">
        <f t="shared" si="92"/>
        <v>8.8745754011478688</v>
      </c>
    </row>
    <row r="187" spans="1:33">
      <c r="A187" s="300" t="str">
        <f>A177</f>
        <v>BET</v>
      </c>
      <c r="B187" s="300" t="str">
        <f t="shared" si="88"/>
        <v>BET</v>
      </c>
      <c r="C187" s="379">
        <f t="shared" ref="C187:AG187" si="93">C168/($C$18*$C$24)*1000</f>
        <v>5.9393525710714918</v>
      </c>
      <c r="D187" s="379">
        <f t="shared" si="93"/>
        <v>5.9797367205054224</v>
      </c>
      <c r="E187" s="379">
        <f t="shared" si="93"/>
        <v>6.012738293259182</v>
      </c>
      <c r="F187" s="379">
        <f t="shared" si="93"/>
        <v>5.9947440811329233</v>
      </c>
      <c r="G187" s="379">
        <f t="shared" si="93"/>
        <v>5.9693567256772315</v>
      </c>
      <c r="H187" s="379">
        <f t="shared" si="93"/>
        <v>6.035146464521385</v>
      </c>
      <c r="I187" s="379">
        <f t="shared" si="93"/>
        <v>5.8300573004990417</v>
      </c>
      <c r="J187" s="379">
        <f t="shared" si="93"/>
        <v>5.8550767025709369</v>
      </c>
      <c r="K187" s="379">
        <f t="shared" si="93"/>
        <v>5.8599152168910251</v>
      </c>
      <c r="L187" s="379">
        <f t="shared" si="93"/>
        <v>5.8788727482065442</v>
      </c>
      <c r="M187" s="379">
        <f t="shared" si="93"/>
        <v>5.9121605804161526</v>
      </c>
      <c r="N187" s="379">
        <f t="shared" si="93"/>
        <v>5.8412821667093207</v>
      </c>
      <c r="O187" s="379">
        <f t="shared" si="93"/>
        <v>5.908981050063594</v>
      </c>
      <c r="P187" s="379">
        <f t="shared" si="93"/>
        <v>5.9771884632390266</v>
      </c>
      <c r="Q187" s="379">
        <f t="shared" si="93"/>
        <v>6.0557055037733276</v>
      </c>
      <c r="R187" s="379">
        <f t="shared" si="93"/>
        <v>6.1442582756383066</v>
      </c>
      <c r="S187" s="379">
        <f t="shared" si="93"/>
        <v>6.2285247665808399</v>
      </c>
      <c r="T187" s="379">
        <f t="shared" si="93"/>
        <v>6.3565803364824189</v>
      </c>
      <c r="U187" s="379">
        <f t="shared" si="93"/>
        <v>6.4859285031099176</v>
      </c>
      <c r="V187" s="379">
        <f t="shared" si="93"/>
        <v>6.621068737009983</v>
      </c>
      <c r="W187" s="379">
        <f t="shared" si="93"/>
        <v>6.7624544438603147</v>
      </c>
      <c r="X187" s="379">
        <f t="shared" si="93"/>
        <v>6.7584583151749733</v>
      </c>
      <c r="Y187" s="379">
        <f t="shared" si="93"/>
        <v>6.9093633454225207</v>
      </c>
      <c r="Z187" s="379">
        <f t="shared" si="93"/>
        <v>7.0677591677985516</v>
      </c>
      <c r="AA187" s="379">
        <f t="shared" si="93"/>
        <v>7.2329786075007219</v>
      </c>
      <c r="AB187" s="379">
        <f t="shared" si="93"/>
        <v>7.4063247227150697</v>
      </c>
      <c r="AC187" s="379">
        <f t="shared" si="93"/>
        <v>7.6231438495934416</v>
      </c>
      <c r="AD187" s="379">
        <f t="shared" si="93"/>
        <v>7.854541182268707</v>
      </c>
      <c r="AE187" s="379">
        <f t="shared" si="93"/>
        <v>8.0946045500648403</v>
      </c>
      <c r="AF187" s="379">
        <f t="shared" si="93"/>
        <v>8.3439412056594424</v>
      </c>
      <c r="AG187" s="379">
        <f t="shared" si="93"/>
        <v>8.6028547431220943</v>
      </c>
    </row>
    <row r="188" spans="1:33">
      <c r="A188" s="300" t="str">
        <f t="shared" ref="A188" si="94">A179</f>
        <v>FCET</v>
      </c>
      <c r="B188" s="300" t="str">
        <f t="shared" si="88"/>
        <v>FCET</v>
      </c>
      <c r="C188" s="379">
        <f t="shared" ref="C188:AG188" si="95">C170/($C$19*$C$24)*1000</f>
        <v>10.25488469978499</v>
      </c>
      <c r="D188" s="379">
        <f t="shared" si="95"/>
        <v>10.176492070157057</v>
      </c>
      <c r="E188" s="379">
        <f t="shared" si="95"/>
        <v>10.108373261593151</v>
      </c>
      <c r="F188" s="379">
        <f t="shared" si="95"/>
        <v>10.050724628268446</v>
      </c>
      <c r="G188" s="379">
        <f t="shared" si="95"/>
        <v>10.003170199259801</v>
      </c>
      <c r="H188" s="379">
        <f t="shared" si="95"/>
        <v>10.023745253621371</v>
      </c>
      <c r="I188" s="379">
        <f t="shared" si="95"/>
        <v>9.7523570907987533</v>
      </c>
      <c r="J188" s="379">
        <f t="shared" si="95"/>
        <v>9.6232066166556756</v>
      </c>
      <c r="K188" s="379">
        <f t="shared" si="95"/>
        <v>9.503823620041949</v>
      </c>
      <c r="L188" s="379">
        <f t="shared" si="95"/>
        <v>9.3953247565315632</v>
      </c>
      <c r="M188" s="379">
        <f t="shared" si="95"/>
        <v>9.2959744200461785</v>
      </c>
      <c r="N188" s="379">
        <f t="shared" si="95"/>
        <v>9.0325791343878201</v>
      </c>
      <c r="O188" s="379">
        <f t="shared" si="95"/>
        <v>8.9534987229435377</v>
      </c>
      <c r="P188" s="379">
        <f t="shared" si="95"/>
        <v>8.8829887943480159</v>
      </c>
      <c r="Q188" s="379">
        <f t="shared" si="95"/>
        <v>8.8224782768260326</v>
      </c>
      <c r="R188" s="379">
        <f t="shared" si="95"/>
        <v>8.7700192899816951</v>
      </c>
      <c r="S188" s="379">
        <f t="shared" si="95"/>
        <v>8.5707979199123603</v>
      </c>
      <c r="T188" s="379">
        <f t="shared" si="95"/>
        <v>8.5904168713682161</v>
      </c>
      <c r="U188" s="379">
        <f t="shared" si="95"/>
        <v>8.6180697683189607</v>
      </c>
      <c r="V188" s="379">
        <f t="shared" si="95"/>
        <v>8.6541985107510175</v>
      </c>
      <c r="W188" s="379">
        <f t="shared" si="95"/>
        <v>8.6978988451037971</v>
      </c>
      <c r="X188" s="379">
        <f t="shared" si="95"/>
        <v>8.5304250468130096</v>
      </c>
      <c r="Y188" s="379">
        <f t="shared" si="95"/>
        <v>8.5880244061379365</v>
      </c>
      <c r="Z188" s="379">
        <f t="shared" si="95"/>
        <v>8.6546804166536049</v>
      </c>
      <c r="AA188" s="379">
        <f t="shared" si="95"/>
        <v>8.7292958824003684</v>
      </c>
      <c r="AB188" s="379">
        <f t="shared" si="95"/>
        <v>8.8128474406754282</v>
      </c>
      <c r="AC188" s="379">
        <f t="shared" si="95"/>
        <v>8.8726926882725898</v>
      </c>
      <c r="AD188" s="379">
        <f t="shared" si="95"/>
        <v>9.0669657348547936</v>
      </c>
      <c r="AE188" s="379">
        <f t="shared" si="95"/>
        <v>9.2704850917601735</v>
      </c>
      <c r="AF188" s="379">
        <f t="shared" si="95"/>
        <v>9.4837645155377359</v>
      </c>
      <c r="AG188" s="379">
        <f t="shared" si="95"/>
        <v>9.7065668450054829</v>
      </c>
    </row>
    <row r="189" spans="1:33">
      <c r="A189" s="300" t="s">
        <v>334</v>
      </c>
      <c r="C189" s="379">
        <f t="shared" ref="C189:AG189" si="96">C183*0.9</f>
        <v>3.9116511546058614</v>
      </c>
      <c r="D189" s="379">
        <f t="shared" si="96"/>
        <v>4.1953993814943056</v>
      </c>
      <c r="E189" s="379">
        <f t="shared" si="96"/>
        <v>4.2962434461747776</v>
      </c>
      <c r="F189" s="379">
        <f t="shared" si="96"/>
        <v>4.4001095054513621</v>
      </c>
      <c r="G189" s="379">
        <f t="shared" si="96"/>
        <v>4.5070725579035189</v>
      </c>
      <c r="H189" s="379">
        <f t="shared" si="96"/>
        <v>4.6851309782892496</v>
      </c>
      <c r="I189" s="379">
        <f t="shared" si="96"/>
        <v>4.8004547851865302</v>
      </c>
      <c r="J189" s="379">
        <f t="shared" si="96"/>
        <v>4.9191082224245877</v>
      </c>
      <c r="K189" s="379">
        <f t="shared" si="96"/>
        <v>5.0411375499859199</v>
      </c>
      <c r="L189" s="379">
        <f t="shared" si="96"/>
        <v>5.1666074396108366</v>
      </c>
      <c r="M189" s="379">
        <f t="shared" si="96"/>
        <v>5.2956010232609589</v>
      </c>
      <c r="N189" s="379">
        <f t="shared" si="96"/>
        <v>5.4929369278955518</v>
      </c>
      <c r="O189" s="379">
        <f t="shared" si="96"/>
        <v>5.6310910429223071</v>
      </c>
      <c r="P189" s="379">
        <f t="shared" si="96"/>
        <v>5.7740937774996759</v>
      </c>
      <c r="Q189" s="379">
        <f t="shared" si="96"/>
        <v>5.9209609910461971</v>
      </c>
      <c r="R189" s="379">
        <f t="shared" si="96"/>
        <v>6.0728266865373843</v>
      </c>
      <c r="S189" s="379">
        <f t="shared" si="96"/>
        <v>6.2287102664176617</v>
      </c>
      <c r="T189" s="379">
        <f t="shared" si="96"/>
        <v>6.3897493991930272</v>
      </c>
      <c r="U189" s="379">
        <f t="shared" si="96"/>
        <v>6.5549857806010685</v>
      </c>
      <c r="V189" s="379">
        <f t="shared" si="96"/>
        <v>6.725561003405411</v>
      </c>
      <c r="W189" s="379">
        <f t="shared" si="96"/>
        <v>6.9015605244913587</v>
      </c>
      <c r="X189" s="379">
        <f t="shared" si="96"/>
        <v>7.1701350343848897</v>
      </c>
      <c r="Y189" s="379">
        <f t="shared" si="96"/>
        <v>7.3598958812597655</v>
      </c>
      <c r="Z189" s="379">
        <f t="shared" si="96"/>
        <v>7.5554661333458464</v>
      </c>
      <c r="AA189" s="379">
        <f t="shared" si="96"/>
        <v>7.7569617806909905</v>
      </c>
      <c r="AB189" s="379">
        <f t="shared" si="96"/>
        <v>7.9644812543534034</v>
      </c>
      <c r="AC189" s="379">
        <f t="shared" si="96"/>
        <v>8.1781255253967302</v>
      </c>
      <c r="AD189" s="379">
        <f t="shared" si="96"/>
        <v>8.3990964206307499</v>
      </c>
      <c r="AE189" s="379">
        <f t="shared" si="96"/>
        <v>8.6264420627192333</v>
      </c>
      <c r="AF189" s="379">
        <f t="shared" si="96"/>
        <v>8.8613498083893276</v>
      </c>
      <c r="AG189" s="379">
        <f t="shared" si="96"/>
        <v>9.1039317205560497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 t="shared" ref="D191:AG191" si="97">C191+1</f>
        <v>2026</v>
      </c>
      <c r="E191" s="360">
        <f t="shared" si="97"/>
        <v>2027</v>
      </c>
      <c r="F191" s="360">
        <f t="shared" si="97"/>
        <v>2028</v>
      </c>
      <c r="G191" s="360">
        <f t="shared" si="97"/>
        <v>2029</v>
      </c>
      <c r="H191" s="360">
        <f t="shared" si="97"/>
        <v>2030</v>
      </c>
      <c r="I191" s="360">
        <f t="shared" si="97"/>
        <v>2031</v>
      </c>
      <c r="J191" s="360">
        <f t="shared" si="97"/>
        <v>2032</v>
      </c>
      <c r="K191" s="360">
        <f t="shared" si="97"/>
        <v>2033</v>
      </c>
      <c r="L191" s="360">
        <f t="shared" si="97"/>
        <v>2034</v>
      </c>
      <c r="M191" s="360">
        <f t="shared" si="97"/>
        <v>2035</v>
      </c>
      <c r="N191" s="360">
        <f t="shared" si="97"/>
        <v>2036</v>
      </c>
      <c r="O191" s="360">
        <f t="shared" si="97"/>
        <v>2037</v>
      </c>
      <c r="P191" s="360">
        <f t="shared" si="97"/>
        <v>2038</v>
      </c>
      <c r="Q191" s="360">
        <f t="shared" si="97"/>
        <v>2039</v>
      </c>
      <c r="R191" s="360">
        <f t="shared" si="97"/>
        <v>2040</v>
      </c>
      <c r="S191" s="360">
        <f t="shared" si="97"/>
        <v>2041</v>
      </c>
      <c r="T191" s="360">
        <f t="shared" si="97"/>
        <v>2042</v>
      </c>
      <c r="U191" s="360">
        <f t="shared" si="97"/>
        <v>2043</v>
      </c>
      <c r="V191" s="360">
        <f t="shared" si="97"/>
        <v>2044</v>
      </c>
      <c r="W191" s="360">
        <f t="shared" si="97"/>
        <v>2045</v>
      </c>
      <c r="X191" s="360">
        <f t="shared" si="97"/>
        <v>2046</v>
      </c>
      <c r="Y191" s="360">
        <f t="shared" si="97"/>
        <v>2047</v>
      </c>
      <c r="Z191" s="360">
        <f t="shared" si="97"/>
        <v>2048</v>
      </c>
      <c r="AA191" s="360">
        <f t="shared" si="97"/>
        <v>2049</v>
      </c>
      <c r="AB191" s="360">
        <f t="shared" si="97"/>
        <v>2050</v>
      </c>
      <c r="AC191" s="360">
        <f t="shared" si="97"/>
        <v>2051</v>
      </c>
      <c r="AD191" s="360">
        <f t="shared" si="97"/>
        <v>2052</v>
      </c>
      <c r="AE191" s="360">
        <f t="shared" si="97"/>
        <v>2053</v>
      </c>
      <c r="AF191" s="360">
        <f t="shared" si="97"/>
        <v>2054</v>
      </c>
      <c r="AG191" s="360">
        <f t="shared" si="97"/>
        <v>2055</v>
      </c>
    </row>
    <row r="192" spans="1:33">
      <c r="A192" s="300" t="str">
        <f>A165</f>
        <v xml:space="preserve">Diesel   </v>
      </c>
      <c r="C192" s="433">
        <f t="shared" ref="C192:AG192" si="98">C165/C168</f>
        <v>0.86333191005455867</v>
      </c>
      <c r="D192" s="433">
        <f t="shared" si="98"/>
        <v>0.91970390357607235</v>
      </c>
      <c r="E192" s="433">
        <f t="shared" si="98"/>
        <v>0.93664143085525275</v>
      </c>
      <c r="F192" s="433">
        <f t="shared" si="98"/>
        <v>0.96216514509724471</v>
      </c>
      <c r="G192" s="433">
        <f t="shared" si="98"/>
        <v>0.98974610151872167</v>
      </c>
      <c r="H192" s="433">
        <f t="shared" si="98"/>
        <v>1.0176318832162716</v>
      </c>
      <c r="I192" s="433">
        <f t="shared" si="98"/>
        <v>1.0793600589961443</v>
      </c>
      <c r="J192" s="433">
        <f t="shared" si="98"/>
        <v>1.1013125075874897</v>
      </c>
      <c r="K192" s="433">
        <f t="shared" si="98"/>
        <v>1.1277010842032675</v>
      </c>
      <c r="L192" s="433">
        <f t="shared" si="98"/>
        <v>1.1520416705019629</v>
      </c>
      <c r="M192" s="433">
        <f t="shared" si="98"/>
        <v>1.174156046633239</v>
      </c>
      <c r="N192" s="433">
        <f t="shared" si="98"/>
        <v>1.2326881176877966</v>
      </c>
      <c r="O192" s="433">
        <f t="shared" si="98"/>
        <v>1.2492136895129442</v>
      </c>
      <c r="P192" s="433">
        <f t="shared" si="98"/>
        <v>1.2663205842572594</v>
      </c>
      <c r="Q192" s="433">
        <f t="shared" si="98"/>
        <v>1.2816936600900481</v>
      </c>
      <c r="R192" s="433">
        <f t="shared" si="98"/>
        <v>1.2956216806269754</v>
      </c>
      <c r="S192" s="433">
        <f t="shared" si="98"/>
        <v>1.3109004636983286</v>
      </c>
      <c r="T192" s="433">
        <f t="shared" si="98"/>
        <v>1.3177015860837302</v>
      </c>
      <c r="U192" s="433">
        <f t="shared" si="98"/>
        <v>1.3248184875044315</v>
      </c>
      <c r="V192" s="433">
        <f t="shared" si="98"/>
        <v>1.3315491530246295</v>
      </c>
      <c r="W192" s="433">
        <f t="shared" si="98"/>
        <v>1.3378263065112794</v>
      </c>
      <c r="X192" s="433">
        <f t="shared" si="98"/>
        <v>1.3907096822298008</v>
      </c>
      <c r="Y192" s="433">
        <f t="shared" si="98"/>
        <v>1.3963375650316703</v>
      </c>
      <c r="Z192" s="433">
        <f t="shared" si="98"/>
        <v>1.4013167191349742</v>
      </c>
      <c r="AA192" s="433">
        <f t="shared" si="98"/>
        <v>1.4058249735679558</v>
      </c>
      <c r="AB192" s="433">
        <f t="shared" si="98"/>
        <v>1.4096507543448848</v>
      </c>
      <c r="AC192" s="433">
        <f t="shared" si="98"/>
        <v>1.406295024338688</v>
      </c>
      <c r="AD192" s="433">
        <f t="shared" si="98"/>
        <v>1.4017434287024853</v>
      </c>
      <c r="AE192" s="433">
        <f t="shared" si="98"/>
        <v>1.3969885804463202</v>
      </c>
      <c r="AF192" s="433">
        <f t="shared" si="98"/>
        <v>1.3921480671035116</v>
      </c>
      <c r="AG192" s="433">
        <f t="shared" si="98"/>
        <v>1.3872131110496535</v>
      </c>
    </row>
    <row r="193" spans="1:33">
      <c r="A193" s="300" t="str">
        <f>A169</f>
        <v>H2-ICE</v>
      </c>
      <c r="C193" s="433">
        <f t="shared" ref="C193:AG193" si="99">C169/C168</f>
        <v>1.7292592629150965</v>
      </c>
      <c r="D193" s="433">
        <f t="shared" si="99"/>
        <v>1.715389377050424</v>
      </c>
      <c r="E193" s="433">
        <f t="shared" si="99"/>
        <v>1.7055624043712143</v>
      </c>
      <c r="F193" s="433">
        <f t="shared" si="99"/>
        <v>1.7120221444080734</v>
      </c>
      <c r="G193" s="433">
        <f t="shared" si="99"/>
        <v>1.722391883580128</v>
      </c>
      <c r="H193" s="433">
        <f t="shared" si="99"/>
        <v>1.7271253634515451</v>
      </c>
      <c r="I193" s="433">
        <f t="shared" si="99"/>
        <v>1.730906276824913</v>
      </c>
      <c r="J193" s="433">
        <f t="shared" si="99"/>
        <v>1.7008580430274389</v>
      </c>
      <c r="K193" s="433">
        <f t="shared" si="99"/>
        <v>1.6787172424912926</v>
      </c>
      <c r="L193" s="433">
        <f t="shared" si="99"/>
        <v>1.6544855413319479</v>
      </c>
      <c r="M193" s="433">
        <f t="shared" si="99"/>
        <v>1.6283091342491895</v>
      </c>
      <c r="N193" s="433">
        <f t="shared" si="99"/>
        <v>1.6150116946048982</v>
      </c>
      <c r="O193" s="433">
        <f t="shared" si="99"/>
        <v>1.5828431681301423</v>
      </c>
      <c r="P193" s="433">
        <f t="shared" si="99"/>
        <v>1.5532171587565333</v>
      </c>
      <c r="Q193" s="433">
        <f t="shared" si="99"/>
        <v>1.5232844796738532</v>
      </c>
      <c r="R193" s="433">
        <f t="shared" si="99"/>
        <v>1.4935164564171666</v>
      </c>
      <c r="S193" s="433">
        <f t="shared" si="99"/>
        <v>1.4355156449923445</v>
      </c>
      <c r="T193" s="433">
        <f t="shared" si="99"/>
        <v>1.4086639656241542</v>
      </c>
      <c r="U193" s="433">
        <f t="shared" si="99"/>
        <v>1.3838664245651195</v>
      </c>
      <c r="V193" s="433">
        <f t="shared" si="99"/>
        <v>1.3604003757258643</v>
      </c>
      <c r="W193" s="433">
        <f t="shared" si="99"/>
        <v>1.3380609089692501</v>
      </c>
      <c r="X193" s="433">
        <f t="shared" si="99"/>
        <v>1.3367001012690498</v>
      </c>
      <c r="Y193" s="433">
        <f t="shared" si="99"/>
        <v>1.3160715028218319</v>
      </c>
      <c r="Z193" s="433">
        <f t="shared" si="99"/>
        <v>1.296264494573355</v>
      </c>
      <c r="AA193" s="433">
        <f t="shared" si="99"/>
        <v>1.2774632321758896</v>
      </c>
      <c r="AB193" s="433">
        <f t="shared" si="99"/>
        <v>1.2594213272895101</v>
      </c>
      <c r="AC193" s="433">
        <f t="shared" si="99"/>
        <v>1.2331966717108784</v>
      </c>
      <c r="AD193" s="433">
        <f t="shared" si="99"/>
        <v>1.2234339207173739</v>
      </c>
      <c r="AE193" s="433">
        <f t="shared" si="99"/>
        <v>1.2141944365879742</v>
      </c>
      <c r="AF193" s="433">
        <f t="shared" si="99"/>
        <v>1.2056039851032005</v>
      </c>
      <c r="AG193" s="433">
        <f t="shared" si="99"/>
        <v>1.1975664437526157</v>
      </c>
    </row>
    <row r="194" spans="1:33">
      <c r="A194" s="300" t="str">
        <f>A170</f>
        <v>FCET</v>
      </c>
      <c r="C194" s="433">
        <f t="shared" ref="C194:AG194" si="100">C170/C168</f>
        <v>1.8623997367681224</v>
      </c>
      <c r="D194" s="433">
        <f t="shared" si="100"/>
        <v>1.8356812073723281</v>
      </c>
      <c r="E194" s="433">
        <f t="shared" si="100"/>
        <v>1.8133857359841032</v>
      </c>
      <c r="F194" s="433">
        <f t="shared" si="100"/>
        <v>1.8084560263090415</v>
      </c>
      <c r="G194" s="433">
        <f t="shared" si="100"/>
        <v>1.8075542961428677</v>
      </c>
      <c r="H194" s="433">
        <f t="shared" si="100"/>
        <v>1.7915273101211835</v>
      </c>
      <c r="I194" s="433">
        <f t="shared" si="100"/>
        <v>1.8043384259099011</v>
      </c>
      <c r="J194" s="433">
        <f t="shared" si="100"/>
        <v>1.772835534568719</v>
      </c>
      <c r="K194" s="433">
        <f t="shared" si="100"/>
        <v>1.749396533227888</v>
      </c>
      <c r="L194" s="433">
        <f t="shared" si="100"/>
        <v>1.7238479751992288</v>
      </c>
      <c r="M194" s="433">
        <f t="shared" si="100"/>
        <v>1.6960159216192381</v>
      </c>
      <c r="N194" s="433">
        <f t="shared" si="100"/>
        <v>1.6679568678059795</v>
      </c>
      <c r="O194" s="433">
        <f t="shared" si="100"/>
        <v>1.6344114841196682</v>
      </c>
      <c r="P194" s="433">
        <f t="shared" si="100"/>
        <v>1.6030364264540253</v>
      </c>
      <c r="Q194" s="433">
        <f t="shared" si="100"/>
        <v>1.571473556089233</v>
      </c>
      <c r="R194" s="433">
        <f t="shared" si="100"/>
        <v>1.5396156319759191</v>
      </c>
      <c r="S194" s="433">
        <f t="shared" si="100"/>
        <v>1.4842849579858874</v>
      </c>
      <c r="T194" s="433">
        <f t="shared" si="100"/>
        <v>1.4577126609021402</v>
      </c>
      <c r="U194" s="433">
        <f t="shared" si="100"/>
        <v>1.4332405107420898</v>
      </c>
      <c r="V194" s="433">
        <f t="shared" si="100"/>
        <v>1.4098729646424053</v>
      </c>
      <c r="W194" s="433">
        <f t="shared" si="100"/>
        <v>1.3873665732667939</v>
      </c>
      <c r="X194" s="433">
        <f t="shared" si="100"/>
        <v>1.3614580315166891</v>
      </c>
      <c r="Y194" s="433">
        <f t="shared" si="100"/>
        <v>1.3407149887429524</v>
      </c>
      <c r="Z194" s="433">
        <f t="shared" si="100"/>
        <v>1.3208409336436406</v>
      </c>
      <c r="AA194" s="433">
        <f t="shared" si="100"/>
        <v>1.3017969811334946</v>
      </c>
      <c r="AB194" s="433">
        <f t="shared" si="100"/>
        <v>1.2834966195640194</v>
      </c>
      <c r="AC194" s="433">
        <f t="shared" si="100"/>
        <v>1.255459048262888</v>
      </c>
      <c r="AD194" s="433">
        <f t="shared" si="100"/>
        <v>1.2451520266240632</v>
      </c>
      <c r="AE194" s="433">
        <f t="shared" si="100"/>
        <v>1.2353443959853589</v>
      </c>
      <c r="AF194" s="433">
        <f t="shared" si="100"/>
        <v>1.2260007982341816</v>
      </c>
      <c r="AG194" s="433">
        <f t="shared" si="100"/>
        <v>1.2170384133381027</v>
      </c>
    </row>
    <row r="195" spans="1:33"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433"/>
      <c r="AD195" s="433"/>
      <c r="AE195" s="433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3728-C1F9-4BF1-B564-F26C60147976}">
  <sheetPr>
    <tabColor rgb="FF0070C0"/>
  </sheetPr>
  <dimension ref="A1:AL20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42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7">
      <c r="G1" s="341" t="s">
        <v>247</v>
      </c>
    </row>
    <row r="2" spans="1:7">
      <c r="A2" s="352" t="s">
        <v>868</v>
      </c>
      <c r="B2" s="352" t="str">
        <f>'No change with year'!B9</f>
        <v>Parcel Load and FMCG</v>
      </c>
      <c r="F2" s="341" t="s">
        <v>249</v>
      </c>
      <c r="G2" s="341" t="s">
        <v>250</v>
      </c>
    </row>
    <row r="3" spans="1:7">
      <c r="A3" s="352" t="s">
        <v>4</v>
      </c>
      <c r="B3" s="352" t="str">
        <f>'No change with year'!C9</f>
        <v>28T Rigid</v>
      </c>
      <c r="F3" s="341" t="s">
        <v>252</v>
      </c>
    </row>
    <row r="4" spans="1:7" s="344" customFormat="1">
      <c r="A4" s="342"/>
      <c r="B4" s="342"/>
      <c r="C4" s="421"/>
    </row>
    <row r="5" spans="1:7">
      <c r="A5" s="328" t="s">
        <v>254</v>
      </c>
      <c r="B5" s="300" t="s">
        <v>255</v>
      </c>
      <c r="C5" s="422">
        <f>'No change with year'!AR9</f>
        <v>28000</v>
      </c>
      <c r="D5" s="423" t="s">
        <v>169</v>
      </c>
      <c r="E5" s="423">
        <v>2</v>
      </c>
    </row>
    <row r="6" spans="1:7">
      <c r="A6" s="328" t="s">
        <v>256</v>
      </c>
      <c r="B6" s="300" t="s">
        <v>257</v>
      </c>
      <c r="C6" s="422">
        <f>'Changing with year'!C83</f>
        <v>3600000</v>
      </c>
      <c r="D6" s="423" t="s">
        <v>169</v>
      </c>
      <c r="E6" s="423"/>
    </row>
    <row r="7" spans="1:7">
      <c r="A7" s="328" t="s">
        <v>258</v>
      </c>
      <c r="B7" s="300" t="s">
        <v>257</v>
      </c>
      <c r="C7" s="422">
        <f>'Changing with year'!C94</f>
        <v>3850000</v>
      </c>
      <c r="D7" s="423" t="s">
        <v>169</v>
      </c>
      <c r="E7" s="423">
        <v>4</v>
      </c>
    </row>
    <row r="8" spans="1:7">
      <c r="A8" s="328" t="s">
        <v>259</v>
      </c>
      <c r="B8" s="300" t="s">
        <v>257</v>
      </c>
      <c r="C8" s="422">
        <f>'Changing with year'!C107</f>
        <v>4180375</v>
      </c>
      <c r="D8" s="423" t="s">
        <v>169</v>
      </c>
      <c r="E8" s="423">
        <v>5</v>
      </c>
    </row>
    <row r="9" spans="1:7">
      <c r="A9" s="328" t="s">
        <v>260</v>
      </c>
      <c r="B9" s="300" t="s">
        <v>257</v>
      </c>
      <c r="C9" s="422">
        <f>'Changing with year'!C119</f>
        <v>5179200</v>
      </c>
      <c r="D9" s="423" t="s">
        <v>169</v>
      </c>
      <c r="E9" s="423">
        <v>6</v>
      </c>
    </row>
    <row r="10" spans="1:7">
      <c r="A10" s="328" t="s">
        <v>261</v>
      </c>
      <c r="B10" s="300" t="s">
        <v>257</v>
      </c>
      <c r="C10" s="422">
        <f>'Changing with year'!C131</f>
        <v>8762500</v>
      </c>
      <c r="D10" s="423" t="s">
        <v>169</v>
      </c>
      <c r="E10" s="423">
        <v>8</v>
      </c>
    </row>
    <row r="11" spans="1:7">
      <c r="A11" s="328" t="s">
        <v>262</v>
      </c>
      <c r="B11" s="300" t="s">
        <v>257</v>
      </c>
      <c r="C11" s="422">
        <f>'Changing with year'!C144</f>
        <v>11491400</v>
      </c>
      <c r="D11" s="423" t="s">
        <v>169</v>
      </c>
      <c r="E11" s="423">
        <v>9</v>
      </c>
    </row>
    <row r="12" spans="1:7">
      <c r="A12" s="328" t="s">
        <v>263</v>
      </c>
      <c r="B12" s="300" t="s">
        <v>193</v>
      </c>
      <c r="C12" s="422">
        <f>'No change with year'!G9</f>
        <v>250</v>
      </c>
      <c r="D12" s="423"/>
      <c r="E12" s="423"/>
    </row>
    <row r="13" spans="1:7">
      <c r="A13" s="328" t="s">
        <v>264</v>
      </c>
      <c r="B13" s="300" t="s">
        <v>265</v>
      </c>
      <c r="C13" s="422">
        <f>'No change with year'!D22</f>
        <v>3000</v>
      </c>
      <c r="D13" s="423" t="s">
        <v>169</v>
      </c>
      <c r="E13" s="423">
        <v>10</v>
      </c>
    </row>
    <row r="14" spans="1:7">
      <c r="A14" s="328" t="s">
        <v>266</v>
      </c>
      <c r="B14" s="300" t="s">
        <v>194</v>
      </c>
      <c r="C14" s="422">
        <f>'No change with year'!J9</f>
        <v>80</v>
      </c>
      <c r="D14" s="423" t="s">
        <v>169</v>
      </c>
      <c r="E14" s="423">
        <v>11</v>
      </c>
    </row>
    <row r="15" spans="1:7">
      <c r="A15" s="328" t="s">
        <v>209</v>
      </c>
      <c r="B15" s="300" t="s">
        <v>267</v>
      </c>
      <c r="C15" s="434">
        <f>'No change with year'!D23</f>
        <v>25000</v>
      </c>
      <c r="D15" s="423" t="s">
        <v>169</v>
      </c>
      <c r="E15" s="423">
        <v>12</v>
      </c>
    </row>
    <row r="16" spans="1:7">
      <c r="A16" s="328" t="s">
        <v>268</v>
      </c>
      <c r="B16" s="300" t="s">
        <v>193</v>
      </c>
      <c r="C16" s="422">
        <f>'No change with year'!I9</f>
        <v>70</v>
      </c>
      <c r="D16" s="423"/>
      <c r="E16" s="423"/>
    </row>
    <row r="17" spans="1:5">
      <c r="A17" s="328" t="s">
        <v>269</v>
      </c>
      <c r="B17" s="300" t="s">
        <v>255</v>
      </c>
      <c r="C17" s="422">
        <f>'No change with year'!AX9</f>
        <v>18500</v>
      </c>
      <c r="D17" s="423" t="s">
        <v>169</v>
      </c>
      <c r="E17" s="423">
        <v>13</v>
      </c>
    </row>
    <row r="18" spans="1:5">
      <c r="A18" s="328" t="s">
        <v>270</v>
      </c>
      <c r="B18" s="300" t="s">
        <v>255</v>
      </c>
      <c r="C18" s="422">
        <f>'No change with year'!AY9</f>
        <v>16500</v>
      </c>
      <c r="D18" s="423" t="s">
        <v>169</v>
      </c>
      <c r="E18" s="423">
        <v>14</v>
      </c>
    </row>
    <row r="19" spans="1:5">
      <c r="A19" s="328" t="s">
        <v>271</v>
      </c>
      <c r="B19" s="300" t="s">
        <v>255</v>
      </c>
      <c r="C19" s="422">
        <f>'No change with year'!AZ9</f>
        <v>17600</v>
      </c>
      <c r="D19" s="423" t="s">
        <v>169</v>
      </c>
      <c r="E19" s="423">
        <v>18</v>
      </c>
    </row>
    <row r="20" spans="1:5">
      <c r="A20" s="328" t="s">
        <v>272</v>
      </c>
      <c r="B20" s="300" t="s">
        <v>273</v>
      </c>
      <c r="C20" s="424">
        <f>'Changing with year'!C267</f>
        <v>7</v>
      </c>
      <c r="D20" s="423" t="s">
        <v>169</v>
      </c>
      <c r="E20" s="423">
        <v>19</v>
      </c>
    </row>
    <row r="21" spans="1:5">
      <c r="A21" s="328" t="s">
        <v>274</v>
      </c>
      <c r="B21" s="300" t="s">
        <v>195</v>
      </c>
      <c r="C21" s="422">
        <f>'No change with year'!K9</f>
        <v>360</v>
      </c>
      <c r="D21" s="423" t="s">
        <v>169</v>
      </c>
      <c r="E21" s="423">
        <v>20</v>
      </c>
    </row>
    <row r="22" spans="1:5">
      <c r="A22" s="328" t="s">
        <v>172</v>
      </c>
      <c r="B22" s="300" t="s">
        <v>196</v>
      </c>
      <c r="C22" s="422">
        <f>'No change with year'!L9</f>
        <v>300</v>
      </c>
      <c r="D22" s="423" t="s">
        <v>169</v>
      </c>
      <c r="E22" s="423">
        <v>21</v>
      </c>
    </row>
    <row r="23" spans="1:5">
      <c r="A23" s="328" t="s">
        <v>174</v>
      </c>
      <c r="B23" s="300" t="s">
        <v>197</v>
      </c>
      <c r="C23" s="422">
        <f>'No change with year'!Q9</f>
        <v>8</v>
      </c>
      <c r="D23" s="423" t="s">
        <v>275</v>
      </c>
      <c r="E23" s="423">
        <v>2</v>
      </c>
    </row>
    <row r="24" spans="1:5">
      <c r="A24" s="328" t="s">
        <v>276</v>
      </c>
      <c r="B24" s="300" t="s">
        <v>198</v>
      </c>
      <c r="C24" s="390">
        <f>'No change with year'!O9</f>
        <v>0.75</v>
      </c>
      <c r="D24" s="423" t="s">
        <v>275</v>
      </c>
      <c r="E24" s="423">
        <v>3</v>
      </c>
    </row>
    <row r="25" spans="1:5">
      <c r="A25" s="328" t="s">
        <v>685</v>
      </c>
      <c r="B25" s="300" t="s">
        <v>277</v>
      </c>
      <c r="C25" s="345">
        <f>'No change with year'!D28</f>
        <v>7</v>
      </c>
      <c r="D25" s="423" t="s">
        <v>275</v>
      </c>
      <c r="E25" s="423">
        <v>4</v>
      </c>
    </row>
    <row r="26" spans="1:5">
      <c r="A26" s="328" t="s">
        <v>686</v>
      </c>
      <c r="B26" s="300" t="s">
        <v>198</v>
      </c>
      <c r="C26" s="325">
        <f>'No change with year'!D27</f>
        <v>0.12</v>
      </c>
      <c r="D26" s="423"/>
      <c r="E26" s="423"/>
    </row>
    <row r="27" spans="1:5">
      <c r="A27" s="328" t="s">
        <v>687</v>
      </c>
      <c r="B27" s="300" t="s">
        <v>277</v>
      </c>
      <c r="C27" s="425">
        <f>'No change with year'!D30</f>
        <v>7</v>
      </c>
      <c r="D27" s="423"/>
      <c r="E27" s="423"/>
    </row>
    <row r="28" spans="1:5">
      <c r="A28" s="328" t="s">
        <v>688</v>
      </c>
      <c r="B28" s="300" t="s">
        <v>198</v>
      </c>
      <c r="C28" s="325">
        <f>'No change with year'!D29</f>
        <v>0.12</v>
      </c>
      <c r="D28" s="423"/>
      <c r="E28" s="423"/>
    </row>
    <row r="29" spans="1:5">
      <c r="A29" s="328" t="s">
        <v>221</v>
      </c>
      <c r="B29" s="300" t="s">
        <v>198</v>
      </c>
      <c r="C29" s="349">
        <f>'No change with year'!D32</f>
        <v>0.02</v>
      </c>
      <c r="D29" s="423"/>
      <c r="E29" s="423"/>
    </row>
    <row r="30" spans="1:5">
      <c r="D30" s="423" t="s">
        <v>275</v>
      </c>
      <c r="E30" s="423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year'!E9</f>
        <v>157.5</v>
      </c>
      <c r="F35" s="355">
        <f>'No change with year'!F9</f>
        <v>28.2</v>
      </c>
      <c r="G35" s="328"/>
      <c r="H35" s="355">
        <f>'No change with year'!H9</f>
        <v>28.2</v>
      </c>
    </row>
    <row r="36" spans="1:38">
      <c r="A36" s="443"/>
      <c r="B36" s="328" t="s">
        <v>282</v>
      </c>
      <c r="C36" s="358">
        <f>'No change with year'!S9</f>
        <v>4.5</v>
      </c>
      <c r="D36" s="358">
        <f>'No change with year'!T9</f>
        <v>4.8</v>
      </c>
      <c r="E36" s="358">
        <f>'No change with year'!U9</f>
        <v>4.6500000000000004</v>
      </c>
      <c r="F36" s="358">
        <f>'No change with year'!V9</f>
        <v>13.5</v>
      </c>
      <c r="G36" s="358">
        <f>'No change with year'!W9</f>
        <v>1.1499999999999999</v>
      </c>
      <c r="H36" s="358">
        <f>'No change with year'!X9</f>
        <v>18</v>
      </c>
    </row>
    <row r="37" spans="1:38" ht="28.8">
      <c r="A37" s="296" t="s">
        <v>283</v>
      </c>
      <c r="B37" s="296" t="s">
        <v>284</v>
      </c>
      <c r="C37" s="297">
        <f>($C$21*$C$22)/C36</f>
        <v>24000</v>
      </c>
      <c r="D37" s="297">
        <f>($C$21*$C$22)/D36</f>
        <v>22500</v>
      </c>
      <c r="E37" s="297">
        <f>($C$21*$C$22)/E36</f>
        <v>23225.806451612902</v>
      </c>
      <c r="F37" s="297">
        <f>($C$21*$C$22)/F36</f>
        <v>8000</v>
      </c>
      <c r="G37" s="435">
        <f>($C$21*$C$22*G36)</f>
        <v>124199.99999999999</v>
      </c>
      <c r="H37" s="297">
        <f>($C$21*$C$22)/H36</f>
        <v>6000</v>
      </c>
    </row>
    <row r="38" spans="1:38">
      <c r="L38" s="300" t="s">
        <v>285</v>
      </c>
      <c r="M38" s="300" t="s">
        <v>281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426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426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426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426"/>
    </row>
    <row r="45" spans="1:38">
      <c r="A45" s="32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426"/>
      <c r="AK45" s="365"/>
      <c r="AL45" s="365"/>
    </row>
    <row r="46" spans="1:38">
      <c r="A46" s="32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42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426"/>
      <c r="AI51" s="426"/>
    </row>
    <row r="52" spans="1:37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K53" s="339"/>
    </row>
    <row r="54" spans="1:37" s="371" customFormat="1" ht="9.75" customHeight="1">
      <c r="A54" s="370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373"/>
    </row>
    <row r="55" spans="1:37">
      <c r="A55" s="328" t="s">
        <v>299</v>
      </c>
      <c r="B55" s="328" t="s">
        <v>300</v>
      </c>
      <c r="C55" s="338">
        <f>'Changing with year'!C157</f>
        <v>4.2</v>
      </c>
      <c r="D55" s="338">
        <f>'Changing with year'!D157</f>
        <v>4.3680000000000003</v>
      </c>
      <c r="E55" s="338">
        <f>'Changing with year'!E157</f>
        <v>4.5427200000000001</v>
      </c>
      <c r="F55" s="338">
        <f>'Changing with year'!F157</f>
        <v>4.7244288000000001</v>
      </c>
      <c r="G55" s="338">
        <f>'Changing with year'!G157</f>
        <v>4.9134059520000006</v>
      </c>
      <c r="H55" s="338">
        <f>'Changing with year'!H157</f>
        <v>5.1099421900800008</v>
      </c>
      <c r="I55" s="338">
        <f>'Changing with year'!I157</f>
        <v>5.3143398776832012</v>
      </c>
      <c r="J55" s="338">
        <f>'Changing with year'!J157</f>
        <v>5.5269134727905298</v>
      </c>
      <c r="K55" s="338">
        <f>'Changing with year'!K157</f>
        <v>5.747990011702151</v>
      </c>
      <c r="L55" s="338">
        <f>'Changing with year'!L157</f>
        <v>5.9779096121702375</v>
      </c>
      <c r="M55" s="338">
        <f>'Changing with year'!M157</f>
        <v>6.2170259966570471</v>
      </c>
      <c r="N55" s="338">
        <f>'Changing with year'!N157</f>
        <v>6.4657070365233293</v>
      </c>
      <c r="O55" s="338">
        <f>'Changing with year'!O157</f>
        <v>6.7243353179842629</v>
      </c>
      <c r="P55" s="338">
        <f>'Changing with year'!P157</f>
        <v>6.9933087307036335</v>
      </c>
      <c r="Q55" s="338">
        <f>'Changing with year'!Q157</f>
        <v>7.2730410799317786</v>
      </c>
      <c r="R55" s="338">
        <f>'Changing with year'!R157</f>
        <v>7.56396272312905</v>
      </c>
      <c r="S55" s="338">
        <f>'Changing with year'!S157</f>
        <v>7.8665212320542119</v>
      </c>
      <c r="T55" s="338">
        <f>'Changing with year'!T157</f>
        <v>8.1811820813363809</v>
      </c>
      <c r="U55" s="338">
        <f>'Changing with year'!U157</f>
        <v>8.508429364589837</v>
      </c>
      <c r="V55" s="338">
        <f>'Changing with year'!V157</f>
        <v>8.8487665391734307</v>
      </c>
      <c r="W55" s="338">
        <f>'Changing with year'!W157</f>
        <v>9.2027172007403681</v>
      </c>
      <c r="X55" s="338">
        <f>'Changing with year'!X157</f>
        <v>9.5708258887699831</v>
      </c>
      <c r="Y55" s="338">
        <f>'Changing with year'!Y157</f>
        <v>9.9536589243207825</v>
      </c>
      <c r="Z55" s="338">
        <f>'Changing with year'!Z157</f>
        <v>10.351805281293615</v>
      </c>
      <c r="AA55" s="338">
        <f>'Changing with year'!AA157</f>
        <v>10.765877492545359</v>
      </c>
      <c r="AB55" s="338">
        <f>'Changing with year'!AB157</f>
        <v>11.196512592247174</v>
      </c>
      <c r="AC55" s="338">
        <f>'Changing with year'!AC157</f>
        <v>11.644373095937061</v>
      </c>
      <c r="AD55" s="338">
        <f>'Changing with year'!AD157</f>
        <v>12.110148019774543</v>
      </c>
      <c r="AE55" s="338">
        <f>'Changing with year'!AE157</f>
        <v>12.594553940565525</v>
      </c>
      <c r="AF55" s="338">
        <f>'Changing with year'!AF157</f>
        <v>13.098336098188147</v>
      </c>
      <c r="AG55" s="338">
        <f>'Changing with year'!AG157</f>
        <v>13.622269542115674</v>
      </c>
      <c r="AH55" s="339"/>
    </row>
    <row r="56" spans="1:37">
      <c r="A56" s="328" t="s">
        <v>301</v>
      </c>
      <c r="B56" s="328" t="s">
        <v>300</v>
      </c>
      <c r="C56" s="338">
        <f>'Changing with year'!C189</f>
        <v>4.7</v>
      </c>
      <c r="D56" s="338">
        <f>'Changing with year'!D189</f>
        <v>4.8880000000000008</v>
      </c>
      <c r="E56" s="338">
        <f>'Changing with year'!E189</f>
        <v>5.0835200000000009</v>
      </c>
      <c r="F56" s="338">
        <f>'Changing with year'!F189</f>
        <v>5.2868608000000012</v>
      </c>
      <c r="G56" s="338">
        <f>'Changing with year'!G189</f>
        <v>5.4983352320000014</v>
      </c>
      <c r="H56" s="338">
        <f>'Changing with year'!H189</f>
        <v>5.7182686412800017</v>
      </c>
      <c r="I56" s="338">
        <f>'Changing with year'!I189</f>
        <v>5.9469993869312017</v>
      </c>
      <c r="J56" s="338">
        <f>'Changing with year'!J189</f>
        <v>6.1848793624084504</v>
      </c>
      <c r="K56" s="338">
        <f>'Changing with year'!K189</f>
        <v>6.4322745369047887</v>
      </c>
      <c r="L56" s="338">
        <f>'Changing with year'!L189</f>
        <v>6.6895655183809808</v>
      </c>
      <c r="M56" s="338">
        <f>'Changing with year'!M189</f>
        <v>6.95714813911622</v>
      </c>
      <c r="N56" s="338">
        <f>'Changing with year'!N189</f>
        <v>7.2354340646808692</v>
      </c>
      <c r="O56" s="338">
        <f>'Changing with year'!O189</f>
        <v>7.5248514272681044</v>
      </c>
      <c r="P56" s="338">
        <f>'Changing with year'!P189</f>
        <v>7.8258454843588288</v>
      </c>
      <c r="Q56" s="338">
        <f>'Changing with year'!Q189</f>
        <v>8.1388793037331819</v>
      </c>
      <c r="R56" s="338">
        <f>'Changing with year'!R189</f>
        <v>8.4644344758825092</v>
      </c>
      <c r="S56" s="338">
        <f>'Changing with year'!S189</f>
        <v>8.8030118549178091</v>
      </c>
      <c r="T56" s="338">
        <f>'Changing with year'!T189</f>
        <v>9.1551323291145223</v>
      </c>
      <c r="U56" s="338">
        <f>'Changing with year'!U189</f>
        <v>9.5213376222791037</v>
      </c>
      <c r="V56" s="338">
        <f>'Changing with year'!V189</f>
        <v>9.9021911271702674</v>
      </c>
      <c r="W56" s="338">
        <f>'Changing with year'!W189</f>
        <v>10.298278772257078</v>
      </c>
      <c r="X56" s="338">
        <f>'Changing with year'!X189</f>
        <v>10.710209923147362</v>
      </c>
      <c r="Y56" s="338">
        <f>'Changing with year'!Y189</f>
        <v>11.138618320073256</v>
      </c>
      <c r="Z56" s="338">
        <f>'Changing with year'!Z189</f>
        <v>11.584163052876187</v>
      </c>
      <c r="AA56" s="338">
        <f>'Changing with year'!AA189</f>
        <v>12.047529574991236</v>
      </c>
      <c r="AB56" s="338">
        <f>'Changing with year'!AB189</f>
        <v>12.529430757990886</v>
      </c>
      <c r="AC56" s="338">
        <f>'Changing with year'!AC189</f>
        <v>13.030607988310521</v>
      </c>
      <c r="AD56" s="338">
        <f>'Changing with year'!AD189</f>
        <v>13.551832307842943</v>
      </c>
      <c r="AE56" s="338">
        <f>'Changing with year'!AE189</f>
        <v>14.093905600156662</v>
      </c>
      <c r="AF56" s="338">
        <f>'Changing with year'!AF189</f>
        <v>14.657661824162929</v>
      </c>
      <c r="AG56" s="338">
        <f>'Changing with year'!AG189</f>
        <v>15.243968297129447</v>
      </c>
      <c r="AH56" s="339"/>
    </row>
    <row r="57" spans="1:37" ht="28.8">
      <c r="A57" s="296" t="s">
        <v>302</v>
      </c>
      <c r="B57" s="328" t="s">
        <v>300</v>
      </c>
      <c r="C57" s="338">
        <f>'Changing with year'!C221</f>
        <v>6.9229789539871325</v>
      </c>
      <c r="D57" s="338">
        <f>'Changing with year'!D221</f>
        <v>6.9657044801374539</v>
      </c>
      <c r="E57" s="338">
        <f>'Changing with year'!E221</f>
        <v>7.0159938681340179</v>
      </c>
      <c r="F57" s="338">
        <f>'Changing with year'!F221</f>
        <v>7.0740033014306674</v>
      </c>
      <c r="G57" s="338">
        <f>'Changing with year'!G221</f>
        <v>7.1398988700949007</v>
      </c>
      <c r="H57" s="338">
        <f>'Changing with year'!H221</f>
        <v>7.2138568755905279</v>
      </c>
      <c r="I57" s="338">
        <f>'Changing with year'!I221</f>
        <v>7.3119369962367973</v>
      </c>
      <c r="J57" s="338">
        <f>'Changing with year'!J221</f>
        <v>7.4177498047964656</v>
      </c>
      <c r="K57" s="338">
        <f>'Changing with year'!K221</f>
        <v>7.5315284191243164</v>
      </c>
      <c r="L57" s="338">
        <f>'Changing with year'!L221</f>
        <v>7.6535168055825604</v>
      </c>
      <c r="M57" s="338">
        <f>'Changing with year'!M221</f>
        <v>7.7839701825052678</v>
      </c>
      <c r="N57" s="338">
        <f>'Changing with year'!N221</f>
        <v>7.9231554404108975</v>
      </c>
      <c r="O57" s="338">
        <f>'Changing with year'!O221</f>
        <v>8.071351579620643</v>
      </c>
      <c r="P57" s="338">
        <f>'Changing with year'!P221</f>
        <v>8.2288501659669127</v>
      </c>
      <c r="Q57" s="338">
        <f>'Changing with year'!Q221</f>
        <v>8.3959558053038048</v>
      </c>
      <c r="R57" s="338">
        <f>'Changing with year'!R221</f>
        <v>8.5729866375602075</v>
      </c>
      <c r="S57" s="338">
        <f>'Changing with year'!S221</f>
        <v>8.7862133930987536</v>
      </c>
      <c r="T57" s="338">
        <f>'Changing with year'!T221</f>
        <v>9.0092661459584811</v>
      </c>
      <c r="U57" s="338">
        <f>'Changing with year'!U221</f>
        <v>9.2425249667612395</v>
      </c>
      <c r="V57" s="338">
        <f>'Changing with year'!V221</f>
        <v>9.4863852586464628</v>
      </c>
      <c r="W57" s="338">
        <f>'Changing with year'!W221</f>
        <v>9.7412583692749486</v>
      </c>
      <c r="X57" s="338">
        <f>'Changing with year'!X221</f>
        <v>10.007572227325745</v>
      </c>
      <c r="Y57" s="338">
        <f>'Changing with year'!Y221</f>
        <v>10.28577200446578</v>
      </c>
      <c r="Z57" s="338">
        <f>'Changing with year'!Z221</f>
        <v>10.576320803810942</v>
      </c>
      <c r="AA57" s="338">
        <f>'Changing with year'!AA221</f>
        <v>10.879700375938247</v>
      </c>
      <c r="AB57" s="338">
        <f>'Changing with year'!AB221</f>
        <v>11.196411863550896</v>
      </c>
      <c r="AC57" s="338">
        <f>'Changing with year'!AC221</f>
        <v>11.573893280802553</v>
      </c>
      <c r="AD57" s="338">
        <f>'Changing with year'!AD221</f>
        <v>11.96577020417137</v>
      </c>
      <c r="AE57" s="338">
        <f>'Changing with year'!AE221</f>
        <v>12.372611416396309</v>
      </c>
      <c r="AF57" s="338">
        <f>'Changing with year'!AF221</f>
        <v>12.795008381150828</v>
      </c>
      <c r="AG57" s="338">
        <f>'Changing with year'!AG221</f>
        <v>13.233576149576514</v>
      </c>
      <c r="AH57" s="339"/>
      <c r="AI57" s="339"/>
    </row>
    <row r="58" spans="1:37">
      <c r="A58" s="328" t="s">
        <v>303</v>
      </c>
      <c r="B58" s="374" t="s">
        <v>300</v>
      </c>
      <c r="C58" s="338">
        <f>'Changing with year'!C253</f>
        <v>7.0366666666666662</v>
      </c>
      <c r="D58" s="338">
        <f>'Changing with year'!D253</f>
        <v>7.0765499999999992</v>
      </c>
      <c r="E58" s="338">
        <f>'Changing with year'!E253</f>
        <v>7.1240682500000005</v>
      </c>
      <c r="F58" s="338">
        <f>'Changing with year'!F253</f>
        <v>7.1793758237499992</v>
      </c>
      <c r="G58" s="338">
        <f>'Changing with year'!G253</f>
        <v>7.2426370793562489</v>
      </c>
      <c r="H58" s="338">
        <f>'Changing with year'!H253</f>
        <v>7.3140266296203436</v>
      </c>
      <c r="I58" s="338">
        <f>'Changing with year'!I253</f>
        <v>7.4101033551860169</v>
      </c>
      <c r="J58" s="338">
        <f>'Changing with year'!J253</f>
        <v>7.513952836566701</v>
      </c>
      <c r="K58" s="338">
        <f>'Changing with year'!K253</f>
        <v>7.6258073902591468</v>
      </c>
      <c r="L58" s="338">
        <f>'Changing with year'!L253</f>
        <v>7.7459101972946929</v>
      </c>
      <c r="M58" s="338">
        <f>'Changing with year'!M253</f>
        <v>7.8745157063831606</v>
      </c>
      <c r="N58" s="338">
        <f>'Changing with year'!N253</f>
        <v>8.0118900538112321</v>
      </c>
      <c r="O58" s="338">
        <f>'Changing with year'!O253</f>
        <v>8.158311500752971</v>
      </c>
      <c r="P58" s="338">
        <f>'Changing with year'!P253</f>
        <v>8.3140708886765928</v>
      </c>
      <c r="Q58" s="338">
        <f>'Changing with year'!Q253</f>
        <v>8.4794721135592912</v>
      </c>
      <c r="R58" s="338">
        <f>'Changing with year'!R253</f>
        <v>8.654832619650584</v>
      </c>
      <c r="S58" s="338">
        <f>'Changing with year'!S253</f>
        <v>8.8672409153682263</v>
      </c>
      <c r="T58" s="338">
        <f>'Changing with year'!T253</f>
        <v>9.0894833930052581</v>
      </c>
      <c r="U58" s="338">
        <f>'Changing with year'!U253</f>
        <v>9.3219400413375499</v>
      </c>
      <c r="V58" s="338">
        <f>'Changing with year'!V253</f>
        <v>9.5650061824770098</v>
      </c>
      <c r="W58" s="338">
        <f>'Changing with year'!W253</f>
        <v>9.819093083867191</v>
      </c>
      <c r="X58" s="338">
        <f>'Changing with year'!X253</f>
        <v>10.084628594772067</v>
      </c>
      <c r="Y58" s="338">
        <f>'Changing with year'!Y253</f>
        <v>10.362057808237633</v>
      </c>
      <c r="Z58" s="338">
        <f>'Changing with year'!Z253</f>
        <v>10.65184374954508</v>
      </c>
      <c r="AA58" s="338">
        <f>'Changing with year'!AA253</f>
        <v>10.954468092215043</v>
      </c>
      <c r="AB58" s="338">
        <f>'Changing with year'!AB253</f>
        <v>11.270431902664924</v>
      </c>
      <c r="AC58" s="338">
        <f>'Changing with year'!AC253</f>
        <v>11.64865352030772</v>
      </c>
      <c r="AD58" s="338">
        <f>'Changing with year'!AD253</f>
        <v>12.041278046071589</v>
      </c>
      <c r="AE58" s="338">
        <f>'Changing with year'!AE253</f>
        <v>12.448874336715532</v>
      </c>
      <c r="AF58" s="338">
        <f>'Changing with year'!AF253</f>
        <v>12.872033930673242</v>
      </c>
      <c r="AG58" s="338">
        <f>'Changing with year'!AG253</f>
        <v>13.311371954594151</v>
      </c>
      <c r="AH58" s="339"/>
    </row>
    <row r="59" spans="1:37">
      <c r="A59" s="328" t="s">
        <v>304</v>
      </c>
      <c r="B59" s="374" t="s">
        <v>305</v>
      </c>
      <c r="C59" s="361">
        <f>'Changing with year'!C267*$C$21*$C$22</f>
        <v>756000</v>
      </c>
      <c r="D59" s="361">
        <f>'Changing with year'!D267*$C$21*$C$22</f>
        <v>763560.00000000012</v>
      </c>
      <c r="E59" s="361">
        <f>'Changing with year'!E267*$C$21*$C$22</f>
        <v>771195.6</v>
      </c>
      <c r="F59" s="361">
        <f>'Changing with year'!F267*$C$21*$C$22</f>
        <v>778907.5560000001</v>
      </c>
      <c r="G59" s="361">
        <f>'Changing with year'!G267*$C$21*$C$22</f>
        <v>786696.63156000001</v>
      </c>
      <c r="H59" s="361">
        <f>'Changing with year'!H267*$C$21*$C$22</f>
        <v>794563.59787559998</v>
      </c>
      <c r="I59" s="361">
        <f>'Changing with year'!I267*$C$21*$C$22</f>
        <v>802509.23385435599</v>
      </c>
      <c r="J59" s="361">
        <f>'Changing with year'!J267*$C$21*$C$22</f>
        <v>810534.32619289949</v>
      </c>
      <c r="K59" s="361">
        <f>'Changing with year'!K267*$C$21*$C$22</f>
        <v>818639.6694548286</v>
      </c>
      <c r="L59" s="361">
        <f>'Changing with year'!L267*$C$21*$C$22</f>
        <v>826826.06614937691</v>
      </c>
      <c r="M59" s="361">
        <f>'Changing with year'!M267*$C$21*$C$22</f>
        <v>835094.32681087067</v>
      </c>
      <c r="N59" s="361">
        <f>'Changing with year'!N267*$C$21*$C$22</f>
        <v>843445.27007897932</v>
      </c>
      <c r="O59" s="361">
        <f>'Changing with year'!O267*$C$21*$C$22</f>
        <v>851879.7227797691</v>
      </c>
      <c r="P59" s="361">
        <f>'Changing with year'!P267*$C$21*$C$22</f>
        <v>860398.52000756678</v>
      </c>
      <c r="Q59" s="361">
        <f>'Changing with year'!Q267*$C$21*$C$22</f>
        <v>869002.50520764268</v>
      </c>
      <c r="R59" s="361">
        <f>'Changing with year'!R267*$C$21*$C$22</f>
        <v>877692.53025971889</v>
      </c>
      <c r="S59" s="361">
        <f>'Changing with year'!S267*$C$21*$C$22</f>
        <v>886469.45556231611</v>
      </c>
      <c r="T59" s="361">
        <f>'Changing with year'!T267*$C$21*$C$22</f>
        <v>895334.15011793945</v>
      </c>
      <c r="U59" s="361">
        <f>'Changing with year'!U267*$C$21*$C$22</f>
        <v>904287.49161911872</v>
      </c>
      <c r="V59" s="361">
        <f>'Changing with year'!V267*$C$21*$C$22</f>
        <v>913330.36653530993</v>
      </c>
      <c r="W59" s="361">
        <f>'Changing with year'!W267*$C$21*$C$22</f>
        <v>922463.67020066304</v>
      </c>
      <c r="X59" s="361">
        <f>'Changing with year'!X267*$C$21*$C$22</f>
        <v>931688.30690266972</v>
      </c>
      <c r="Y59" s="361">
        <f>'Changing with year'!Y267*$C$21*$C$22</f>
        <v>941005.18997169647</v>
      </c>
      <c r="Z59" s="361">
        <f>'Changing with year'!Z267*$C$21*$C$22</f>
        <v>950415.24187141354</v>
      </c>
      <c r="AA59" s="361">
        <f>'Changing with year'!AA267*$C$21*$C$22</f>
        <v>959919.39429012756</v>
      </c>
      <c r="AB59" s="361">
        <f>'Changing with year'!AB267*$C$21*$C$22</f>
        <v>969518.588233029</v>
      </c>
      <c r="AC59" s="361">
        <f>'Changing with year'!AC267*$C$21*$C$22</f>
        <v>979213.77411535941</v>
      </c>
      <c r="AD59" s="361">
        <f>'Changing with year'!AD267*$C$21*$C$22</f>
        <v>989005.91185651289</v>
      </c>
      <c r="AE59" s="361">
        <f>'Changing with year'!AE267*$C$21*$C$22</f>
        <v>998895.97097507794</v>
      </c>
      <c r="AF59" s="361">
        <f>'Changing with year'!AF267*$C$21*$C$22</f>
        <v>1008884.9306848288</v>
      </c>
      <c r="AG59" s="361">
        <f>'Changing with year'!AG267*$C$21*$C$22</f>
        <v>1018973.779991677</v>
      </c>
      <c r="AH59" s="339"/>
      <c r="AI59" s="376"/>
      <c r="AJ59" s="376"/>
    </row>
    <row r="60" spans="1:37">
      <c r="A60" s="328" t="s">
        <v>306</v>
      </c>
      <c r="B60" s="374"/>
      <c r="C60" s="361">
        <f>'Changing with year'!C278*$C$21*$C$22</f>
        <v>756000</v>
      </c>
      <c r="D60" s="361">
        <f>'Changing with year'!D278*$C$21*$C$22</f>
        <v>763560.00000000012</v>
      </c>
      <c r="E60" s="361">
        <f>'Changing with year'!E278*$C$21*$C$22</f>
        <v>771195.6</v>
      </c>
      <c r="F60" s="361">
        <f>'Changing with year'!F278*$C$21*$C$22</f>
        <v>778907.5560000001</v>
      </c>
      <c r="G60" s="361">
        <f>'Changing with year'!G278*$C$21*$C$22</f>
        <v>786696.63156000001</v>
      </c>
      <c r="H60" s="361">
        <f>'Changing with year'!H278*$C$21*$C$22</f>
        <v>794563.59787559998</v>
      </c>
      <c r="I60" s="361">
        <f>'Changing with year'!I278*$C$21*$C$22</f>
        <v>802509.23385435599</v>
      </c>
      <c r="J60" s="361">
        <f>'Changing with year'!J278*$C$21*$C$22</f>
        <v>810534.32619289949</v>
      </c>
      <c r="K60" s="361">
        <f>'Changing with year'!K278*$C$21*$C$22</f>
        <v>818639.6694548286</v>
      </c>
      <c r="L60" s="361">
        <f>'Changing with year'!L278*$C$21*$C$22</f>
        <v>826826.06614937691</v>
      </c>
      <c r="M60" s="361">
        <f>'Changing with year'!M278*$C$21*$C$22</f>
        <v>835094.32681087067</v>
      </c>
      <c r="N60" s="361">
        <f>'Changing with year'!N278*$C$21*$C$22</f>
        <v>843445.27007897932</v>
      </c>
      <c r="O60" s="361">
        <f>'Changing with year'!O278*$C$21*$C$22</f>
        <v>851879.7227797691</v>
      </c>
      <c r="P60" s="361">
        <f>'Changing with year'!P278*$C$21*$C$22</f>
        <v>860398.52000756678</v>
      </c>
      <c r="Q60" s="361">
        <f>'Changing with year'!Q278*$C$21*$C$22</f>
        <v>869002.50520764268</v>
      </c>
      <c r="R60" s="361">
        <f>'Changing with year'!R278*$C$21*$C$22</f>
        <v>877692.53025971889</v>
      </c>
      <c r="S60" s="361">
        <f>'Changing with year'!S278*$C$21*$C$22</f>
        <v>886469.45556231611</v>
      </c>
      <c r="T60" s="361">
        <f>'Changing with year'!T278*$C$21*$C$22</f>
        <v>895334.15011793945</v>
      </c>
      <c r="U60" s="361">
        <f>'Changing with year'!U278*$C$21*$C$22</f>
        <v>904287.49161911872</v>
      </c>
      <c r="V60" s="361">
        <f>'Changing with year'!V278*$C$21*$C$22</f>
        <v>913330.36653530993</v>
      </c>
      <c r="W60" s="361">
        <f>'Changing with year'!W278*$C$21*$C$22</f>
        <v>922463.67020066304</v>
      </c>
      <c r="X60" s="361">
        <f>'Changing with year'!X278*$C$21*$C$22</f>
        <v>931688.30690266972</v>
      </c>
      <c r="Y60" s="361">
        <f>'Changing with year'!Y278*$C$21*$C$22</f>
        <v>941005.18997169647</v>
      </c>
      <c r="Z60" s="361">
        <f>'Changing with year'!Z278*$C$21*$C$22</f>
        <v>950415.24187141354</v>
      </c>
      <c r="AA60" s="361">
        <f>'Changing with year'!AA278*$C$21*$C$22</f>
        <v>959919.39429012756</v>
      </c>
      <c r="AB60" s="361">
        <f>'Changing with year'!AB278*$C$21*$C$22</f>
        <v>969518.588233029</v>
      </c>
      <c r="AC60" s="361">
        <f>'Changing with year'!AC278*$C$21*$C$22</f>
        <v>979213.77411535941</v>
      </c>
      <c r="AD60" s="361">
        <f>'Changing with year'!AD278*$C$21*$C$22</f>
        <v>989005.91185651289</v>
      </c>
      <c r="AE60" s="361">
        <f>'Changing with year'!AE278*$C$21*$C$22</f>
        <v>998895.97097507794</v>
      </c>
      <c r="AF60" s="361">
        <f>'Changing with year'!AF278*$C$21*$C$22</f>
        <v>1008884.9306848288</v>
      </c>
      <c r="AG60" s="361">
        <f>'Changing with year'!AG278*$C$21*$C$22</f>
        <v>1018973.779991677</v>
      </c>
      <c r="AH60" s="339"/>
      <c r="AI60" s="376"/>
      <c r="AJ60" s="376"/>
    </row>
    <row r="61" spans="1:37">
      <c r="C61" s="380"/>
      <c r="D61" s="380"/>
      <c r="E61" s="380"/>
      <c r="F61" s="380"/>
      <c r="G61" s="380"/>
    </row>
    <row r="62" spans="1:37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7">
      <c r="A63" s="300" t="s">
        <v>308</v>
      </c>
      <c r="B63" s="300" t="s">
        <v>309</v>
      </c>
      <c r="C63" s="376">
        <f>'Changing with year'!C83</f>
        <v>3600000</v>
      </c>
      <c r="D63" s="376">
        <f>'Changing with year'!D83</f>
        <v>3708000</v>
      </c>
      <c r="E63" s="376">
        <f>'Changing with year'!E83</f>
        <v>3819200</v>
      </c>
      <c r="F63" s="376">
        <f>'Changing with year'!F83</f>
        <v>3933800</v>
      </c>
      <c r="G63" s="376">
        <f>'Changing with year'!G83</f>
        <v>4051800</v>
      </c>
      <c r="H63" s="376">
        <f>'Changing with year'!H83</f>
        <v>4573400</v>
      </c>
      <c r="I63" s="376">
        <f>'Changing with year'!I83</f>
        <v>4710600</v>
      </c>
      <c r="J63" s="376">
        <f>'Changing with year'!J83</f>
        <v>4851900</v>
      </c>
      <c r="K63" s="376">
        <f>'Changing with year'!K83</f>
        <v>4997500</v>
      </c>
      <c r="L63" s="376">
        <f>'Changing with year'!L83</f>
        <v>5147400</v>
      </c>
      <c r="M63" s="376">
        <f>'Changing with year'!M83</f>
        <v>5301800</v>
      </c>
      <c r="N63" s="376">
        <f>'Changing with year'!N83</f>
        <v>5460900</v>
      </c>
      <c r="O63" s="376">
        <f>'Changing with year'!O83</f>
        <v>5624700</v>
      </c>
      <c r="P63" s="376">
        <f>'Changing with year'!P83</f>
        <v>5793400</v>
      </c>
      <c r="Q63" s="376">
        <f>'Changing with year'!Q83</f>
        <v>5967200</v>
      </c>
      <c r="R63" s="376">
        <f>'Changing with year'!R83</f>
        <v>6146200</v>
      </c>
      <c r="S63" s="376">
        <f>'Changing with year'!S83</f>
        <v>6330600</v>
      </c>
      <c r="T63" s="376">
        <f>'Changing with year'!T83</f>
        <v>6520500</v>
      </c>
      <c r="U63" s="376">
        <f>'Changing with year'!U83</f>
        <v>6716100</v>
      </c>
      <c r="V63" s="376">
        <f>'Changing with year'!V83</f>
        <v>6917600</v>
      </c>
      <c r="W63" s="376">
        <f>'Changing with year'!W83</f>
        <v>7125100</v>
      </c>
      <c r="X63" s="376">
        <f>'Changing with year'!X83</f>
        <v>7338900</v>
      </c>
      <c r="Y63" s="376">
        <f>'Changing with year'!Y83</f>
        <v>7559100</v>
      </c>
      <c r="Z63" s="376">
        <f>'Changing with year'!Z83</f>
        <v>7785900</v>
      </c>
      <c r="AA63" s="376">
        <f>'Changing with year'!AA83</f>
        <v>8019500</v>
      </c>
      <c r="AB63" s="376">
        <f>'Changing with year'!AB83</f>
        <v>8260100</v>
      </c>
      <c r="AC63" s="376">
        <f>'Changing with year'!AC83</f>
        <v>8507900</v>
      </c>
      <c r="AD63" s="376">
        <f>'Changing with year'!AD83</f>
        <v>8763100</v>
      </c>
      <c r="AE63" s="376">
        <f>'Changing with year'!AE83</f>
        <v>9026000</v>
      </c>
      <c r="AF63" s="376">
        <f>'Changing with year'!AF83</f>
        <v>9296800</v>
      </c>
      <c r="AG63" s="376">
        <f>'Changing with year'!AG83</f>
        <v>9575700</v>
      </c>
    </row>
    <row r="64" spans="1:37">
      <c r="A64" s="300" t="s">
        <v>310</v>
      </c>
      <c r="B64" s="300" t="s">
        <v>309</v>
      </c>
      <c r="C64" s="376">
        <f>(C63*'No change with year'!$Y$9)</f>
        <v>1980000.0000000002</v>
      </c>
      <c r="D64" s="376">
        <f>(D63*'No change with year'!$Y$9)</f>
        <v>2039400.0000000002</v>
      </c>
      <c r="E64" s="376">
        <f>(E63*'No change with year'!$Y$9)</f>
        <v>2100560</v>
      </c>
      <c r="F64" s="376">
        <f>(F63*'No change with year'!$Y$9)</f>
        <v>2163590</v>
      </c>
      <c r="G64" s="376">
        <f>(G63*'No change with year'!$Y$9)</f>
        <v>2228490</v>
      </c>
      <c r="H64" s="376">
        <f>(H63*'No change with year'!$Y$9)</f>
        <v>2515370</v>
      </c>
      <c r="I64" s="376">
        <f>(I63*'No change with year'!$Y$9)</f>
        <v>2590830</v>
      </c>
      <c r="J64" s="376">
        <f>(J63*'No change with year'!$Y$9)</f>
        <v>2668545</v>
      </c>
      <c r="K64" s="376">
        <f>(K63*'No change with year'!$Y$9)</f>
        <v>2748625</v>
      </c>
      <c r="L64" s="376">
        <f>(L63*'No change with year'!$Y$9)</f>
        <v>2831070</v>
      </c>
      <c r="M64" s="376">
        <f>(M63*'No change with year'!$Y$9)</f>
        <v>2915990.0000000005</v>
      </c>
      <c r="N64" s="376">
        <f>(N63*'No change with year'!$Z$9)</f>
        <v>2457405.0000000005</v>
      </c>
      <c r="O64" s="376">
        <f>(O63*'No change with year'!$Z$9)</f>
        <v>2531115.0000000005</v>
      </c>
      <c r="P64" s="376">
        <f>(P63*'No change with year'!$Z$9)</f>
        <v>2607030.0000000005</v>
      </c>
      <c r="Q64" s="376">
        <f>(Q63*'No change with year'!$Z$9)</f>
        <v>2685240.0000000005</v>
      </c>
      <c r="R64" s="376">
        <f>(R63*'No change with year'!$Z$9)</f>
        <v>2765790.0000000005</v>
      </c>
      <c r="S64" s="376">
        <f>(S63*'No change with year'!$Z$9)</f>
        <v>2848770.0000000005</v>
      </c>
      <c r="T64" s="376">
        <f>(T63*'No change with year'!$Z$9)</f>
        <v>2934225.0000000005</v>
      </c>
      <c r="U64" s="376">
        <f>(U63*'No change with year'!$Z$9)</f>
        <v>3022245.0000000005</v>
      </c>
      <c r="V64" s="376">
        <f>(V63*'No change with year'!$Z$9)</f>
        <v>3112920.0000000005</v>
      </c>
      <c r="W64" s="376">
        <f>(W63*'No change with year'!$Z$9)</f>
        <v>3206295.0000000005</v>
      </c>
      <c r="X64" s="376">
        <f>(X63*'No change with year'!$AA$9)</f>
        <v>2568615.0000000005</v>
      </c>
      <c r="Y64" s="376">
        <f>(Y63*'No change with year'!$AA$9)</f>
        <v>2645685.0000000005</v>
      </c>
      <c r="Z64" s="376">
        <f>(Z63*'No change with year'!$AA$9)</f>
        <v>2725065.0000000005</v>
      </c>
      <c r="AA64" s="376">
        <f>(AA63*'No change with year'!$AA$9)</f>
        <v>2806825.0000000005</v>
      </c>
      <c r="AB64" s="376">
        <f>(AB63*'No change with year'!$AA$9)</f>
        <v>2891035.0000000005</v>
      </c>
      <c r="AC64" s="376">
        <f>(AC63*'No change with year'!$AA$9)</f>
        <v>2977765.0000000005</v>
      </c>
      <c r="AD64" s="376">
        <f>(AD63*'No change with year'!$AA$9)</f>
        <v>3067085.0000000005</v>
      </c>
      <c r="AE64" s="376">
        <f>(AE63*'No change with year'!$AA$9)</f>
        <v>3159100.0000000005</v>
      </c>
      <c r="AF64" s="376">
        <f>(AF63*'No change with year'!$AA$9)</f>
        <v>3253880.0000000005</v>
      </c>
      <c r="AG64" s="376">
        <f>(AG63*'No change with year'!$AA$9)</f>
        <v>3351495.0000000005</v>
      </c>
    </row>
    <row r="65" spans="1:35" s="371" customFormat="1" ht="11.85" customHeight="1">
      <c r="A65" s="428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00" t="s">
        <v>312</v>
      </c>
      <c r="B66" s="300" t="s">
        <v>313</v>
      </c>
      <c r="C66" s="376">
        <f t="shared" ref="C66:AG66" si="4">-PMT($C$26,$C$25,C63)</f>
        <v>788823.84924500715</v>
      </c>
      <c r="D66" s="376">
        <f t="shared" si="4"/>
        <v>812488.56472235743</v>
      </c>
      <c r="E66" s="376">
        <f t="shared" si="4"/>
        <v>836854.45695459202</v>
      </c>
      <c r="F66" s="376">
        <f t="shared" si="4"/>
        <v>861965.34948889131</v>
      </c>
      <c r="G66" s="376">
        <f t="shared" si="4"/>
        <v>887821.24232525553</v>
      </c>
      <c r="H66" s="376">
        <f t="shared" si="4"/>
        <v>1002113.0533714209</v>
      </c>
      <c r="I66" s="376">
        <f t="shared" si="4"/>
        <v>1032176.0067370918</v>
      </c>
      <c r="J66" s="376">
        <f t="shared" si="4"/>
        <v>1063137.3428199585</v>
      </c>
      <c r="K66" s="376">
        <f t="shared" si="4"/>
        <v>1095040.8851672008</v>
      </c>
      <c r="L66" s="376">
        <f t="shared" si="4"/>
        <v>1127886.6337788193</v>
      </c>
      <c r="M66" s="376">
        <f t="shared" si="4"/>
        <v>1161718.4122019941</v>
      </c>
      <c r="N66" s="376">
        <f t="shared" si="4"/>
        <v>1196580.0439839053</v>
      </c>
      <c r="O66" s="376">
        <f t="shared" si="4"/>
        <v>1232471.5291245531</v>
      </c>
      <c r="P66" s="376">
        <f t="shared" si="4"/>
        <v>1269436.6911711181</v>
      </c>
      <c r="Q66" s="376">
        <f t="shared" si="4"/>
        <v>1307519.3536707796</v>
      </c>
      <c r="R66" s="376">
        <f t="shared" si="4"/>
        <v>1346741.4283971286</v>
      </c>
      <c r="S66" s="376">
        <f t="shared" si="4"/>
        <v>1387146.738897345</v>
      </c>
      <c r="T66" s="376">
        <f t="shared" si="4"/>
        <v>1428757.1969450191</v>
      </c>
      <c r="U66" s="376">
        <f t="shared" si="4"/>
        <v>1471616.6260873312</v>
      </c>
      <c r="V66" s="376">
        <f t="shared" si="4"/>
        <v>1515768.8498714615</v>
      </c>
      <c r="W66" s="376">
        <f t="shared" si="4"/>
        <v>1561235.7800710001</v>
      </c>
      <c r="X66" s="376">
        <f t="shared" si="4"/>
        <v>1608083.1520067176</v>
      </c>
      <c r="Y66" s="376">
        <f t="shared" si="4"/>
        <v>1656332.8774522038</v>
      </c>
      <c r="Z66" s="376">
        <f t="shared" si="4"/>
        <v>1706028.779954639</v>
      </c>
      <c r="AA66" s="376">
        <f t="shared" si="4"/>
        <v>1757214.6830612042</v>
      </c>
      <c r="AB66" s="376">
        <f t="shared" si="4"/>
        <v>1809934.4103190787</v>
      </c>
      <c r="AC66" s="376">
        <f t="shared" si="4"/>
        <v>1864231.7852754435</v>
      </c>
      <c r="AD66" s="376">
        <f t="shared" si="4"/>
        <v>1920150.6314774784</v>
      </c>
      <c r="AE66" s="376">
        <f t="shared" si="4"/>
        <v>1977756.684245954</v>
      </c>
      <c r="AF66" s="376">
        <f t="shared" si="4"/>
        <v>2037093.7671280508</v>
      </c>
      <c r="AG66" s="376">
        <f t="shared" si="4"/>
        <v>2098205.7036709487</v>
      </c>
    </row>
    <row r="67" spans="1:35">
      <c r="A67" s="300" t="s">
        <v>314</v>
      </c>
      <c r="B67" s="300" t="s">
        <v>313</v>
      </c>
      <c r="C67" s="376">
        <f t="shared" ref="C67:AG67" si="5">C41*$C$37</f>
        <v>2134231.1066057137</v>
      </c>
      <c r="D67" s="376">
        <f t="shared" si="5"/>
        <v>2376000</v>
      </c>
      <c r="E67" s="376">
        <f t="shared" si="5"/>
        <v>2423520</v>
      </c>
      <c r="F67" s="376">
        <f t="shared" si="5"/>
        <v>2471990.4</v>
      </c>
      <c r="G67" s="376">
        <f t="shared" si="5"/>
        <v>2521430.2080000001</v>
      </c>
      <c r="H67" s="376">
        <f t="shared" si="5"/>
        <v>2571858.8121600002</v>
      </c>
      <c r="I67" s="376">
        <f t="shared" si="5"/>
        <v>2623295.9884032002</v>
      </c>
      <c r="J67" s="376">
        <f t="shared" si="5"/>
        <v>2675761.908171264</v>
      </c>
      <c r="K67" s="376">
        <f t="shared" si="5"/>
        <v>2729277.1463346896</v>
      </c>
      <c r="L67" s="376">
        <f t="shared" si="5"/>
        <v>2783862.6892613834</v>
      </c>
      <c r="M67" s="376">
        <f t="shared" si="5"/>
        <v>2839539.9430466113</v>
      </c>
      <c r="N67" s="376">
        <f t="shared" si="5"/>
        <v>2896330.741907543</v>
      </c>
      <c r="O67" s="376">
        <f t="shared" si="5"/>
        <v>2954257.3567456943</v>
      </c>
      <c r="P67" s="376">
        <f t="shared" si="5"/>
        <v>3013342.5038806079</v>
      </c>
      <c r="Q67" s="376">
        <f t="shared" si="5"/>
        <v>3073609.3539582202</v>
      </c>
      <c r="R67" s="376">
        <f t="shared" si="5"/>
        <v>3135081.5410373849</v>
      </c>
      <c r="S67" s="376">
        <f t="shared" si="5"/>
        <v>3197783.1718581328</v>
      </c>
      <c r="T67" s="376">
        <f t="shared" si="5"/>
        <v>3261738.8352952953</v>
      </c>
      <c r="U67" s="376">
        <f t="shared" si="5"/>
        <v>3326973.6120012016</v>
      </c>
      <c r="V67" s="376">
        <f t="shared" si="5"/>
        <v>3393513.0842412258</v>
      </c>
      <c r="W67" s="376">
        <f t="shared" si="5"/>
        <v>3461383.3459260501</v>
      </c>
      <c r="X67" s="376">
        <f t="shared" si="5"/>
        <v>3530611.0128445714</v>
      </c>
      <c r="Y67" s="376">
        <f t="shared" si="5"/>
        <v>3601223.2331014625</v>
      </c>
      <c r="Z67" s="376">
        <f t="shared" si="5"/>
        <v>3673247.6977634924</v>
      </c>
      <c r="AA67" s="376">
        <f t="shared" si="5"/>
        <v>3746712.6517187618</v>
      </c>
      <c r="AB67" s="376">
        <f t="shared" si="5"/>
        <v>3821646.9047531374</v>
      </c>
      <c r="AC67" s="376">
        <f t="shared" si="5"/>
        <v>3898079.8428481999</v>
      </c>
      <c r="AD67" s="376">
        <f t="shared" si="5"/>
        <v>3976041.4397051637</v>
      </c>
      <c r="AE67" s="376">
        <f t="shared" si="5"/>
        <v>4055562.2684992668</v>
      </c>
      <c r="AF67" s="376">
        <f t="shared" si="5"/>
        <v>4136673.5138692525</v>
      </c>
      <c r="AG67" s="376">
        <f t="shared" si="5"/>
        <v>4219406.9841466378</v>
      </c>
    </row>
    <row r="68" spans="1:35">
      <c r="A68" s="300" t="s">
        <v>315</v>
      </c>
      <c r="B68" s="300" t="s">
        <v>313</v>
      </c>
      <c r="C68" s="329">
        <f t="shared" ref="C68:AG68" si="6">$C$37*$AH$68*C42</f>
        <v>66000</v>
      </c>
      <c r="D68" s="329">
        <f t="shared" si="6"/>
        <v>67649.999999999985</v>
      </c>
      <c r="E68" s="329">
        <f t="shared" si="6"/>
        <v>69341.249999999985</v>
      </c>
      <c r="F68" s="329">
        <f t="shared" si="6"/>
        <v>71074.781249999971</v>
      </c>
      <c r="G68" s="329">
        <f t="shared" si="6"/>
        <v>72851.650781249977</v>
      </c>
      <c r="H68" s="329">
        <f t="shared" si="6"/>
        <v>74672.942050781217</v>
      </c>
      <c r="I68" s="329">
        <f t="shared" si="6"/>
        <v>76539.765602050742</v>
      </c>
      <c r="J68" s="329">
        <f t="shared" si="6"/>
        <v>78453.259742102004</v>
      </c>
      <c r="K68" s="329">
        <f t="shared" si="6"/>
        <v>80414.591235654545</v>
      </c>
      <c r="L68" s="329">
        <f t="shared" si="6"/>
        <v>82424.956016545912</v>
      </c>
      <c r="M68" s="329">
        <f t="shared" si="6"/>
        <v>84485.579916959541</v>
      </c>
      <c r="N68" s="329">
        <f t="shared" si="6"/>
        <v>86597.719414883526</v>
      </c>
      <c r="O68" s="329">
        <f t="shared" si="6"/>
        <v>88762.662400255605</v>
      </c>
      <c r="P68" s="329">
        <f t="shared" si="6"/>
        <v>90981.728960262</v>
      </c>
      <c r="Q68" s="329">
        <f t="shared" si="6"/>
        <v>93256.272184268528</v>
      </c>
      <c r="R68" s="329">
        <f t="shared" si="6"/>
        <v>95587.678988875239</v>
      </c>
      <c r="S68" s="329">
        <f t="shared" si="6"/>
        <v>97977.370963597117</v>
      </c>
      <c r="T68" s="329">
        <f t="shared" si="6"/>
        <v>100426.80523768705</v>
      </c>
      <c r="U68" s="329">
        <f t="shared" si="6"/>
        <v>102937.47536862921</v>
      </c>
      <c r="V68" s="329">
        <f t="shared" si="6"/>
        <v>105510.91225284494</v>
      </c>
      <c r="W68" s="329">
        <f t="shared" si="6"/>
        <v>108148.68505916605</v>
      </c>
      <c r="X68" s="329">
        <f t="shared" si="6"/>
        <v>110852.4021856452</v>
      </c>
      <c r="Y68" s="329">
        <f t="shared" si="6"/>
        <v>113623.71224028632</v>
      </c>
      <c r="Z68" s="329">
        <f t="shared" si="6"/>
        <v>116464.30504629346</v>
      </c>
      <c r="AA68" s="329">
        <f t="shared" si="6"/>
        <v>119375.9126724508</v>
      </c>
      <c r="AB68" s="329">
        <f t="shared" si="6"/>
        <v>122360.31048926205</v>
      </c>
      <c r="AC68" s="329">
        <f t="shared" si="6"/>
        <v>125419.31825149359</v>
      </c>
      <c r="AD68" s="329">
        <f t="shared" si="6"/>
        <v>128554.80120778093</v>
      </c>
      <c r="AE68" s="329">
        <f t="shared" si="6"/>
        <v>131768.67123797545</v>
      </c>
      <c r="AF68" s="329">
        <f t="shared" si="6"/>
        <v>135062.8880189248</v>
      </c>
      <c r="AG68" s="329">
        <f t="shared" si="6"/>
        <v>138439.46021939791</v>
      </c>
      <c r="AH68" s="439">
        <f>'No change with year'!D20</f>
        <v>0.05</v>
      </c>
      <c r="AI68" s="300" t="s">
        <v>316</v>
      </c>
    </row>
    <row r="69" spans="1:35">
      <c r="A69" s="300" t="s">
        <v>317</v>
      </c>
      <c r="B69" s="300" t="s">
        <v>313</v>
      </c>
      <c r="C69" s="376">
        <f t="shared" ref="C69:AG69" si="7">$C$22*$C$21*C55</f>
        <v>453600</v>
      </c>
      <c r="D69" s="376">
        <f t="shared" si="7"/>
        <v>471744.00000000006</v>
      </c>
      <c r="E69" s="376">
        <f t="shared" si="7"/>
        <v>490613.76000000001</v>
      </c>
      <c r="F69" s="376">
        <f t="shared" si="7"/>
        <v>510238.31040000002</v>
      </c>
      <c r="G69" s="376">
        <f t="shared" si="7"/>
        <v>530647.84281600011</v>
      </c>
      <c r="H69" s="376">
        <f t="shared" si="7"/>
        <v>551873.75652864005</v>
      </c>
      <c r="I69" s="376">
        <f t="shared" si="7"/>
        <v>573948.70678978576</v>
      </c>
      <c r="J69" s="376">
        <f t="shared" si="7"/>
        <v>596906.65506137721</v>
      </c>
      <c r="K69" s="376">
        <f t="shared" si="7"/>
        <v>620782.92126383225</v>
      </c>
      <c r="L69" s="376">
        <f t="shared" si="7"/>
        <v>645614.23811438563</v>
      </c>
      <c r="M69" s="376">
        <f t="shared" si="7"/>
        <v>671438.80763896112</v>
      </c>
      <c r="N69" s="376">
        <f t="shared" si="7"/>
        <v>698296.35994451959</v>
      </c>
      <c r="O69" s="376">
        <f t="shared" si="7"/>
        <v>726228.21434230043</v>
      </c>
      <c r="P69" s="376">
        <f t="shared" si="7"/>
        <v>755277.34291599237</v>
      </c>
      <c r="Q69" s="376">
        <f t="shared" si="7"/>
        <v>785488.43663263205</v>
      </c>
      <c r="R69" s="376">
        <f t="shared" si="7"/>
        <v>816907.97409793746</v>
      </c>
      <c r="S69" s="376">
        <f t="shared" si="7"/>
        <v>849584.2930618549</v>
      </c>
      <c r="T69" s="376">
        <f t="shared" si="7"/>
        <v>883567.66478432913</v>
      </c>
      <c r="U69" s="376">
        <f t="shared" si="7"/>
        <v>918910.37137570244</v>
      </c>
      <c r="V69" s="376">
        <f t="shared" si="7"/>
        <v>955666.78623073047</v>
      </c>
      <c r="W69" s="376">
        <f t="shared" si="7"/>
        <v>993893.45767995971</v>
      </c>
      <c r="X69" s="376">
        <f t="shared" si="7"/>
        <v>1033649.1959871582</v>
      </c>
      <c r="Y69" s="376">
        <f t="shared" si="7"/>
        <v>1074995.1638266444</v>
      </c>
      <c r="Z69" s="376">
        <f t="shared" si="7"/>
        <v>1117994.9703797104</v>
      </c>
      <c r="AA69" s="376">
        <f t="shared" si="7"/>
        <v>1162714.7691948987</v>
      </c>
      <c r="AB69" s="376">
        <f t="shared" si="7"/>
        <v>1209223.3599626948</v>
      </c>
      <c r="AC69" s="376">
        <f t="shared" si="7"/>
        <v>1257592.2943612025</v>
      </c>
      <c r="AD69" s="376">
        <f t="shared" si="7"/>
        <v>1307895.9861356507</v>
      </c>
      <c r="AE69" s="376">
        <f t="shared" si="7"/>
        <v>1360211.8255810768</v>
      </c>
      <c r="AF69" s="376">
        <f t="shared" si="7"/>
        <v>1414620.2986043198</v>
      </c>
      <c r="AG69" s="376">
        <f t="shared" si="7"/>
        <v>1471205.1105484928</v>
      </c>
    </row>
    <row r="70" spans="1:35">
      <c r="A70" s="300" t="s">
        <v>318</v>
      </c>
      <c r="B70" s="300" t="s">
        <v>313</v>
      </c>
      <c r="C70" s="376">
        <f>'Changing with year'!C289</f>
        <v>450000</v>
      </c>
      <c r="D70" s="376">
        <f>'Changing with year'!D289</f>
        <v>470000</v>
      </c>
      <c r="E70" s="376">
        <f>'Changing with year'!E289</f>
        <v>491000</v>
      </c>
      <c r="F70" s="376">
        <f>'Changing with year'!F289</f>
        <v>513000</v>
      </c>
      <c r="G70" s="376">
        <f>'Changing with year'!G289</f>
        <v>536000</v>
      </c>
      <c r="H70" s="376">
        <f>'Changing with year'!H289</f>
        <v>560000</v>
      </c>
      <c r="I70" s="376">
        <f>'Changing with year'!I289</f>
        <v>585000</v>
      </c>
      <c r="J70" s="376">
        <f>'Changing with year'!J289</f>
        <v>611000</v>
      </c>
      <c r="K70" s="376">
        <f>'Changing with year'!K289</f>
        <v>638000</v>
      </c>
      <c r="L70" s="376">
        <f>'Changing with year'!L289</f>
        <v>667000</v>
      </c>
      <c r="M70" s="376">
        <f>'Changing with year'!M289</f>
        <v>697000</v>
      </c>
      <c r="N70" s="376">
        <f>'Changing with year'!N289</f>
        <v>728000</v>
      </c>
      <c r="O70" s="376">
        <f>'Changing with year'!O289</f>
        <v>761000</v>
      </c>
      <c r="P70" s="376">
        <f>'Changing with year'!P289</f>
        <v>795000</v>
      </c>
      <c r="Q70" s="376">
        <f>'Changing with year'!Q289</f>
        <v>831000</v>
      </c>
      <c r="R70" s="376">
        <f>'Changing with year'!R289</f>
        <v>868000</v>
      </c>
      <c r="S70" s="376">
        <f>'Changing with year'!S289</f>
        <v>907000</v>
      </c>
      <c r="T70" s="376">
        <f>'Changing with year'!T289</f>
        <v>948000</v>
      </c>
      <c r="U70" s="376">
        <f>'Changing with year'!U289</f>
        <v>991000</v>
      </c>
      <c r="V70" s="376">
        <f>'Changing with year'!V289</f>
        <v>1036000</v>
      </c>
      <c r="W70" s="376">
        <f>'Changing with year'!W289</f>
        <v>1083000</v>
      </c>
      <c r="X70" s="376">
        <f>'Changing with year'!X289</f>
        <v>1132000</v>
      </c>
      <c r="Y70" s="376">
        <f>'Changing with year'!Y289</f>
        <v>1183000</v>
      </c>
      <c r="Z70" s="376">
        <f>'Changing with year'!Z289</f>
        <v>1236000</v>
      </c>
      <c r="AA70" s="376">
        <f>'Changing with year'!AA289</f>
        <v>1292000</v>
      </c>
      <c r="AB70" s="376">
        <f>'Changing with year'!AB289</f>
        <v>1350000</v>
      </c>
      <c r="AC70" s="376">
        <f>'Changing with year'!AC289</f>
        <v>1411000</v>
      </c>
      <c r="AD70" s="376">
        <f>'Changing with year'!AD289</f>
        <v>1474000</v>
      </c>
      <c r="AE70" s="376">
        <f>'Changing with year'!AE289</f>
        <v>1540000</v>
      </c>
      <c r="AF70" s="376">
        <f>'Changing with year'!AF289</f>
        <v>1609000</v>
      </c>
      <c r="AG70" s="376">
        <f>'Changing with year'!AG289</f>
        <v>1681000</v>
      </c>
      <c r="AH70" s="339"/>
    </row>
    <row r="71" spans="1:35">
      <c r="A71" s="300" t="s">
        <v>272</v>
      </c>
      <c r="B71" s="300" t="s">
        <v>313</v>
      </c>
      <c r="C71" s="376">
        <f t="shared" ref="C71:AG71" si="8">C59</f>
        <v>756000</v>
      </c>
      <c r="D71" s="376">
        <f t="shared" si="8"/>
        <v>763560.00000000012</v>
      </c>
      <c r="E71" s="376">
        <f t="shared" si="8"/>
        <v>771195.6</v>
      </c>
      <c r="F71" s="376">
        <f t="shared" si="8"/>
        <v>778907.5560000001</v>
      </c>
      <c r="G71" s="376">
        <f t="shared" si="8"/>
        <v>786696.63156000001</v>
      </c>
      <c r="H71" s="376">
        <f t="shared" si="8"/>
        <v>794563.59787559998</v>
      </c>
      <c r="I71" s="376">
        <f t="shared" si="8"/>
        <v>802509.23385435599</v>
      </c>
      <c r="J71" s="376">
        <f t="shared" si="8"/>
        <v>810534.32619289949</v>
      </c>
      <c r="K71" s="376">
        <f t="shared" si="8"/>
        <v>818639.6694548286</v>
      </c>
      <c r="L71" s="376">
        <f t="shared" si="8"/>
        <v>826826.06614937691</v>
      </c>
      <c r="M71" s="376">
        <f t="shared" si="8"/>
        <v>835094.32681087067</v>
      </c>
      <c r="N71" s="376">
        <f t="shared" si="8"/>
        <v>843445.27007897932</v>
      </c>
      <c r="O71" s="376">
        <f t="shared" si="8"/>
        <v>851879.7227797691</v>
      </c>
      <c r="P71" s="376">
        <f t="shared" si="8"/>
        <v>860398.52000756678</v>
      </c>
      <c r="Q71" s="376">
        <f t="shared" si="8"/>
        <v>869002.50520764268</v>
      </c>
      <c r="R71" s="376">
        <f t="shared" si="8"/>
        <v>877692.53025971889</v>
      </c>
      <c r="S71" s="376">
        <f t="shared" si="8"/>
        <v>886469.45556231611</v>
      </c>
      <c r="T71" s="376">
        <f t="shared" si="8"/>
        <v>895334.15011793945</v>
      </c>
      <c r="U71" s="376">
        <f t="shared" si="8"/>
        <v>904287.49161911872</v>
      </c>
      <c r="V71" s="376">
        <f t="shared" si="8"/>
        <v>913330.36653530993</v>
      </c>
      <c r="W71" s="376">
        <f t="shared" si="8"/>
        <v>922463.67020066304</v>
      </c>
      <c r="X71" s="376">
        <f t="shared" si="8"/>
        <v>931688.30690266972</v>
      </c>
      <c r="Y71" s="376">
        <f t="shared" si="8"/>
        <v>941005.18997169647</v>
      </c>
      <c r="Z71" s="376">
        <f t="shared" si="8"/>
        <v>950415.24187141354</v>
      </c>
      <c r="AA71" s="376">
        <f t="shared" si="8"/>
        <v>959919.39429012756</v>
      </c>
      <c r="AB71" s="376">
        <f t="shared" si="8"/>
        <v>969518.588233029</v>
      </c>
      <c r="AC71" s="376">
        <f t="shared" si="8"/>
        <v>979213.77411535941</v>
      </c>
      <c r="AD71" s="376">
        <f t="shared" si="8"/>
        <v>989005.91185651289</v>
      </c>
      <c r="AE71" s="376">
        <f t="shared" si="8"/>
        <v>998895.97097507794</v>
      </c>
      <c r="AF71" s="376">
        <f t="shared" si="8"/>
        <v>1008884.9306848288</v>
      </c>
      <c r="AG71" s="376">
        <f t="shared" si="8"/>
        <v>1018973.779991677</v>
      </c>
    </row>
    <row r="72" spans="1:35">
      <c r="A72" s="300" t="s">
        <v>319</v>
      </c>
      <c r="B72" s="300" t="s">
        <v>313</v>
      </c>
      <c r="C72" s="376">
        <f t="shared" ref="C72:AG72" si="9">C63*$C$29</f>
        <v>72000</v>
      </c>
      <c r="D72" s="376">
        <f t="shared" si="9"/>
        <v>74160</v>
      </c>
      <c r="E72" s="376">
        <f t="shared" si="9"/>
        <v>76384</v>
      </c>
      <c r="F72" s="376">
        <f t="shared" si="9"/>
        <v>78676</v>
      </c>
      <c r="G72" s="376">
        <f t="shared" si="9"/>
        <v>81036</v>
      </c>
      <c r="H72" s="376">
        <f t="shared" si="9"/>
        <v>91468</v>
      </c>
      <c r="I72" s="376">
        <f t="shared" si="9"/>
        <v>94212</v>
      </c>
      <c r="J72" s="376">
        <f t="shared" si="9"/>
        <v>97038</v>
      </c>
      <c r="K72" s="376">
        <f t="shared" si="9"/>
        <v>99950</v>
      </c>
      <c r="L72" s="376">
        <f t="shared" si="9"/>
        <v>102948</v>
      </c>
      <c r="M72" s="376">
        <f t="shared" si="9"/>
        <v>106036</v>
      </c>
      <c r="N72" s="376">
        <f t="shared" si="9"/>
        <v>109218</v>
      </c>
      <c r="O72" s="376">
        <f t="shared" si="9"/>
        <v>112494</v>
      </c>
      <c r="P72" s="376">
        <f t="shared" si="9"/>
        <v>115868</v>
      </c>
      <c r="Q72" s="376">
        <f t="shared" si="9"/>
        <v>119344</v>
      </c>
      <c r="R72" s="376">
        <f t="shared" si="9"/>
        <v>122924</v>
      </c>
      <c r="S72" s="376">
        <f t="shared" si="9"/>
        <v>126612</v>
      </c>
      <c r="T72" s="376">
        <f t="shared" si="9"/>
        <v>130410</v>
      </c>
      <c r="U72" s="376">
        <f t="shared" si="9"/>
        <v>134322</v>
      </c>
      <c r="V72" s="376">
        <f t="shared" si="9"/>
        <v>138352</v>
      </c>
      <c r="W72" s="376">
        <f t="shared" si="9"/>
        <v>142502</v>
      </c>
      <c r="X72" s="376">
        <f t="shared" si="9"/>
        <v>146778</v>
      </c>
      <c r="Y72" s="376">
        <f t="shared" si="9"/>
        <v>151182</v>
      </c>
      <c r="Z72" s="376">
        <f t="shared" si="9"/>
        <v>155718</v>
      </c>
      <c r="AA72" s="376">
        <f t="shared" si="9"/>
        <v>160390</v>
      </c>
      <c r="AB72" s="376">
        <f t="shared" si="9"/>
        <v>165202</v>
      </c>
      <c r="AC72" s="376">
        <f t="shared" si="9"/>
        <v>170158</v>
      </c>
      <c r="AD72" s="376">
        <f t="shared" si="9"/>
        <v>175262</v>
      </c>
      <c r="AE72" s="376">
        <f t="shared" si="9"/>
        <v>180520</v>
      </c>
      <c r="AF72" s="376">
        <f t="shared" si="9"/>
        <v>185936</v>
      </c>
      <c r="AG72" s="376">
        <f t="shared" si="9"/>
        <v>191514</v>
      </c>
    </row>
    <row r="73" spans="1:35" s="371" customFormat="1" ht="11.85" customHeight="1">
      <c r="A73" s="428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7.3039245300463627</v>
      </c>
      <c r="D74" s="379">
        <f t="shared" si="10"/>
        <v>7.5230422659477538</v>
      </c>
      <c r="E74" s="379">
        <f t="shared" si="10"/>
        <v>7.7486523792091857</v>
      </c>
      <c r="F74" s="379">
        <f t="shared" si="10"/>
        <v>7.9811606434156603</v>
      </c>
      <c r="G74" s="379">
        <f t="shared" si="10"/>
        <v>8.2205670585671804</v>
      </c>
      <c r="H74" s="379">
        <f t="shared" si="10"/>
        <v>9.2788245682538975</v>
      </c>
      <c r="I74" s="379">
        <f t="shared" si="10"/>
        <v>9.5571852475656645</v>
      </c>
      <c r="J74" s="379">
        <f t="shared" si="10"/>
        <v>9.8438642853699854</v>
      </c>
      <c r="K74" s="379">
        <f t="shared" si="10"/>
        <v>10.13926745525186</v>
      </c>
      <c r="L74" s="379">
        <f t="shared" si="10"/>
        <v>10.443394757211291</v>
      </c>
      <c r="M74" s="379">
        <f t="shared" si="10"/>
        <v>10.756651964833278</v>
      </c>
      <c r="N74" s="379">
        <f t="shared" si="10"/>
        <v>11.079444851702828</v>
      </c>
      <c r="O74" s="379">
        <f t="shared" si="10"/>
        <v>11.411773417819935</v>
      </c>
      <c r="P74" s="379">
        <f t="shared" si="10"/>
        <v>11.754043436769612</v>
      </c>
      <c r="Q74" s="379">
        <f t="shared" si="10"/>
        <v>12.106660682136848</v>
      </c>
      <c r="R74" s="379">
        <f t="shared" si="10"/>
        <v>12.469828040714154</v>
      </c>
      <c r="S74" s="379">
        <f t="shared" si="10"/>
        <v>12.843951286086527</v>
      </c>
      <c r="T74" s="379">
        <f t="shared" si="10"/>
        <v>13.229233305046472</v>
      </c>
      <c r="U74" s="379">
        <f t="shared" si="10"/>
        <v>13.626079871178993</v>
      </c>
      <c r="V74" s="379">
        <f t="shared" si="10"/>
        <v>14.034896758069088</v>
      </c>
      <c r="W74" s="379">
        <f t="shared" si="10"/>
        <v>14.455886852509261</v>
      </c>
      <c r="X74" s="379">
        <f t="shared" si="10"/>
        <v>14.889658814877015</v>
      </c>
      <c r="Y74" s="379">
        <f t="shared" si="10"/>
        <v>15.33641553196485</v>
      </c>
      <c r="Z74" s="379">
        <f t="shared" si="10"/>
        <v>15.796562777357769</v>
      </c>
      <c r="AA74" s="379">
        <f t="shared" si="10"/>
        <v>16.270506324640778</v>
      </c>
      <c r="AB74" s="379">
        <f t="shared" si="10"/>
        <v>16.758651947398878</v>
      </c>
      <c r="AC74" s="379">
        <f t="shared" si="10"/>
        <v>17.26140541921707</v>
      </c>
      <c r="AD74" s="379">
        <f t="shared" si="10"/>
        <v>17.779172513680354</v>
      </c>
      <c r="AE74" s="379">
        <f t="shared" si="10"/>
        <v>18.31256189116624</v>
      </c>
      <c r="AF74" s="379">
        <f t="shared" si="10"/>
        <v>18.861979325259728</v>
      </c>
      <c r="AG74" s="379">
        <f t="shared" si="10"/>
        <v>19.42783058954582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20.372510246349201</v>
      </c>
      <c r="D75" s="379">
        <f t="shared" si="11"/>
        <v>22.62638888888889</v>
      </c>
      <c r="E75" s="379">
        <f t="shared" si="11"/>
        <v>23.082048611111112</v>
      </c>
      <c r="F75" s="379">
        <f t="shared" si="11"/>
        <v>23.546899826388888</v>
      </c>
      <c r="G75" s="379">
        <f t="shared" si="11"/>
        <v>24.021128322048614</v>
      </c>
      <c r="H75" s="379">
        <f t="shared" si="11"/>
        <v>24.504923650099826</v>
      </c>
      <c r="I75" s="379">
        <f t="shared" si="11"/>
        <v>24.998479203752325</v>
      </c>
      <c r="J75" s="379">
        <f t="shared" si="11"/>
        <v>25.50199229549413</v>
      </c>
      <c r="K75" s="379">
        <f t="shared" si="11"/>
        <v>26.015664236762444</v>
      </c>
      <c r="L75" s="379">
        <f t="shared" si="11"/>
        <v>26.539700419240088</v>
      </c>
      <c r="M75" s="379">
        <f t="shared" si="11"/>
        <v>27.074310397810841</v>
      </c>
      <c r="N75" s="379">
        <f t="shared" si="11"/>
        <v>27.619707975207657</v>
      </c>
      <c r="O75" s="379">
        <f t="shared" si="11"/>
        <v>28.176111288388423</v>
      </c>
      <c r="P75" s="379">
        <f t="shared" si="11"/>
        <v>28.743742896674721</v>
      </c>
      <c r="Q75" s="379">
        <f t="shared" si="11"/>
        <v>29.322829871689709</v>
      </c>
      <c r="R75" s="379">
        <f t="shared" si="11"/>
        <v>29.913603889132041</v>
      </c>
      <c r="S75" s="379">
        <f t="shared" si="11"/>
        <v>30.516301322423427</v>
      </c>
      <c r="T75" s="379">
        <f t="shared" si="11"/>
        <v>31.131163338268358</v>
      </c>
      <c r="U75" s="379">
        <f t="shared" si="11"/>
        <v>31.758435994165101</v>
      </c>
      <c r="V75" s="379">
        <f t="shared" si="11"/>
        <v>32.398370337908062</v>
      </c>
      <c r="W75" s="379">
        <f t="shared" si="11"/>
        <v>33.051222509122368</v>
      </c>
      <c r="X75" s="379">
        <f t="shared" si="11"/>
        <v>33.717253842872381</v>
      </c>
      <c r="Y75" s="379">
        <f t="shared" si="11"/>
        <v>34.396730975386561</v>
      </c>
      <c r="Z75" s="379">
        <f t="shared" si="11"/>
        <v>35.089925951942462</v>
      </c>
      <c r="AA75" s="379">
        <f t="shared" si="11"/>
        <v>35.797116336955675</v>
      </c>
      <c r="AB75" s="379">
        <f t="shared" si="11"/>
        <v>36.518585326318515</v>
      </c>
      <c r="AC75" s="379">
        <f t="shared" si="11"/>
        <v>37.254621862034199</v>
      </c>
      <c r="AD75" s="379">
        <f t="shared" si="11"/>
        <v>38.005520749193934</v>
      </c>
      <c r="AE75" s="379">
        <f t="shared" si="11"/>
        <v>38.771582775344832</v>
      </c>
      <c r="AF75" s="379">
        <f t="shared" si="11"/>
        <v>39.553114832297943</v>
      </c>
      <c r="AG75" s="379">
        <f t="shared" si="11"/>
        <v>40.350430040426261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16.033333333333335</v>
      </c>
      <c r="D76" s="379">
        <f t="shared" si="12"/>
        <v>16.476518518518517</v>
      </c>
      <c r="E76" s="379">
        <f t="shared" si="12"/>
        <v>16.936975555555556</v>
      </c>
      <c r="F76" s="379">
        <f t="shared" si="12"/>
        <v>17.415017281481482</v>
      </c>
      <c r="G76" s="379">
        <f t="shared" si="12"/>
        <v>17.910930318296295</v>
      </c>
      <c r="H76" s="379">
        <f t="shared" si="12"/>
        <v>18.499123651891111</v>
      </c>
      <c r="I76" s="379">
        <f t="shared" si="12"/>
        <v>19.033980931890202</v>
      </c>
      <c r="J76" s="379">
        <f t="shared" si="12"/>
        <v>19.587768344947008</v>
      </c>
      <c r="K76" s="379">
        <f t="shared" si="12"/>
        <v>20.160857321469077</v>
      </c>
      <c r="L76" s="379">
        <f t="shared" si="12"/>
        <v>20.762854669108915</v>
      </c>
      <c r="M76" s="379">
        <f t="shared" si="12"/>
        <v>21.384899393053995</v>
      </c>
      <c r="N76" s="379">
        <f t="shared" si="12"/>
        <v>22.027403981699067</v>
      </c>
      <c r="O76" s="379">
        <f t="shared" si="12"/>
        <v>22.700017936315458</v>
      </c>
      <c r="P76" s="379">
        <f t="shared" si="12"/>
        <v>23.393924656699618</v>
      </c>
      <c r="Q76" s="379">
        <f t="shared" si="12"/>
        <v>24.11884205407662</v>
      </c>
      <c r="R76" s="379">
        <f t="shared" si="12"/>
        <v>24.865967632941263</v>
      </c>
      <c r="S76" s="379">
        <f t="shared" si="12"/>
        <v>25.645053228001583</v>
      </c>
      <c r="T76" s="379">
        <f t="shared" si="12"/>
        <v>26.456590878724707</v>
      </c>
      <c r="U76" s="379">
        <f t="shared" si="12"/>
        <v>27.301109842544637</v>
      </c>
      <c r="V76" s="379">
        <f t="shared" si="12"/>
        <v>28.179158821907784</v>
      </c>
      <c r="W76" s="379">
        <f t="shared" si="12"/>
        <v>29.091288221116876</v>
      </c>
      <c r="X76" s="379">
        <f t="shared" si="12"/>
        <v>30.038106508239149</v>
      </c>
      <c r="Y76" s="379">
        <f t="shared" si="12"/>
        <v>31.020206979614269</v>
      </c>
      <c r="Z76" s="379">
        <f t="shared" si="12"/>
        <v>32.038224187510409</v>
      </c>
      <c r="AA76" s="379">
        <f t="shared" si="12"/>
        <v>33.102075587824316</v>
      </c>
      <c r="AB76" s="379">
        <f t="shared" si="12"/>
        <v>34.203184705515959</v>
      </c>
      <c r="AC76" s="379">
        <f t="shared" si="12"/>
        <v>35.351519152560762</v>
      </c>
      <c r="AD76" s="379">
        <f t="shared" si="12"/>
        <v>36.538554611038549</v>
      </c>
      <c r="AE76" s="379">
        <f t="shared" si="12"/>
        <v>37.774331449594023</v>
      </c>
      <c r="AF76" s="379">
        <f t="shared" si="12"/>
        <v>39.059641011936556</v>
      </c>
      <c r="AG76" s="379">
        <f t="shared" si="12"/>
        <v>40.395304542038609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2.6190476190476195</v>
      </c>
      <c r="D77" s="379">
        <f t="shared" si="13"/>
        <v>2.6976190476190478</v>
      </c>
      <c r="E77" s="379">
        <f t="shared" si="13"/>
        <v>2.7785185185185184</v>
      </c>
      <c r="F77" s="379">
        <f t="shared" si="13"/>
        <v>2.8618915343915345</v>
      </c>
      <c r="G77" s="379">
        <f t="shared" si="13"/>
        <v>2.9477380952380954</v>
      </c>
      <c r="H77" s="379">
        <f t="shared" si="13"/>
        <v>3.3272089947089949</v>
      </c>
      <c r="I77" s="379">
        <f t="shared" si="13"/>
        <v>3.4270238095238095</v>
      </c>
      <c r="J77" s="379">
        <f t="shared" si="13"/>
        <v>3.5298214285714287</v>
      </c>
      <c r="K77" s="379">
        <f t="shared" si="13"/>
        <v>3.6357473544973544</v>
      </c>
      <c r="L77" s="379">
        <f t="shared" si="13"/>
        <v>3.7448015873015872</v>
      </c>
      <c r="M77" s="379">
        <f t="shared" si="13"/>
        <v>3.8571296296296302</v>
      </c>
      <c r="N77" s="379">
        <f t="shared" si="13"/>
        <v>3.2505357142857148</v>
      </c>
      <c r="O77" s="379">
        <f t="shared" si="13"/>
        <v>3.3480357142857149</v>
      </c>
      <c r="P77" s="379">
        <f t="shared" si="13"/>
        <v>3.4484523809523817</v>
      </c>
      <c r="Q77" s="379">
        <f t="shared" si="13"/>
        <v>3.5519047619047623</v>
      </c>
      <c r="R77" s="379">
        <f t="shared" si="13"/>
        <v>3.6584523809523817</v>
      </c>
      <c r="S77" s="379">
        <f t="shared" si="13"/>
        <v>3.7682142857142864</v>
      </c>
      <c r="T77" s="379">
        <f t="shared" si="13"/>
        <v>3.8812500000000005</v>
      </c>
      <c r="U77" s="379">
        <f t="shared" si="13"/>
        <v>3.9976785714285721</v>
      </c>
      <c r="V77" s="379">
        <f t="shared" si="13"/>
        <v>4.1176190476190486</v>
      </c>
      <c r="W77" s="379">
        <f t="shared" si="13"/>
        <v>4.2411309523809528</v>
      </c>
      <c r="X77" s="379">
        <f t="shared" si="13"/>
        <v>3.3976388888888893</v>
      </c>
      <c r="Y77" s="379">
        <f t="shared" si="13"/>
        <v>3.4995833333333342</v>
      </c>
      <c r="Z77" s="379">
        <f t="shared" si="13"/>
        <v>3.6045833333333341</v>
      </c>
      <c r="AA77" s="379">
        <f t="shared" si="13"/>
        <v>3.712731481481482</v>
      </c>
      <c r="AB77" s="379">
        <f t="shared" si="13"/>
        <v>3.824120370370371</v>
      </c>
      <c r="AC77" s="379">
        <f t="shared" si="13"/>
        <v>3.9388425925925934</v>
      </c>
      <c r="AD77" s="379">
        <f t="shared" si="13"/>
        <v>4.0569907407407415</v>
      </c>
      <c r="AE77" s="379">
        <f t="shared" si="13"/>
        <v>4.1787037037037047</v>
      </c>
      <c r="AF77" s="379">
        <f t="shared" si="13"/>
        <v>4.3040740740740748</v>
      </c>
      <c r="AG77" s="379">
        <f t="shared" si="13"/>
        <v>4.4331944444444451</v>
      </c>
    </row>
    <row r="78" spans="1:35" s="352" customFormat="1">
      <c r="A78" s="380" t="s">
        <v>323</v>
      </c>
      <c r="B78" s="352" t="s">
        <v>300</v>
      </c>
      <c r="C78" s="429">
        <f>SUM(C74:C76)-C77</f>
        <v>41.090720490681278</v>
      </c>
      <c r="D78" s="429">
        <f t="shared" ref="D78:AG78" si="14">SUM(D74:D76)-D77</f>
        <v>43.928330625736116</v>
      </c>
      <c r="E78" s="429">
        <f t="shared" si="14"/>
        <v>44.989158027357341</v>
      </c>
      <c r="F78" s="429">
        <f t="shared" si="14"/>
        <v>46.081186216894494</v>
      </c>
      <c r="G78" s="429">
        <f t="shared" si="14"/>
        <v>47.204887603673995</v>
      </c>
      <c r="H78" s="429">
        <f t="shared" si="14"/>
        <v>48.955662875535836</v>
      </c>
      <c r="I78" s="429">
        <f t="shared" si="14"/>
        <v>50.162621573684383</v>
      </c>
      <c r="J78" s="429">
        <f t="shared" si="14"/>
        <v>51.403803497239693</v>
      </c>
      <c r="K78" s="429">
        <f t="shared" si="14"/>
        <v>52.680041658986028</v>
      </c>
      <c r="L78" s="429">
        <f t="shared" si="14"/>
        <v>54.001148258258702</v>
      </c>
      <c r="M78" s="429">
        <f t="shared" si="14"/>
        <v>55.358732126068482</v>
      </c>
      <c r="N78" s="429">
        <f t="shared" si="14"/>
        <v>57.476021094323833</v>
      </c>
      <c r="O78" s="429">
        <f t="shared" si="14"/>
        <v>58.939866928238104</v>
      </c>
      <c r="P78" s="429">
        <f t="shared" si="14"/>
        <v>60.443258609191567</v>
      </c>
      <c r="Q78" s="429">
        <f t="shared" si="14"/>
        <v>61.996427845998411</v>
      </c>
      <c r="R78" s="429">
        <f t="shared" si="14"/>
        <v>63.590947181835077</v>
      </c>
      <c r="S78" s="429">
        <f t="shared" si="14"/>
        <v>65.23709155079726</v>
      </c>
      <c r="T78" s="429">
        <f t="shared" si="14"/>
        <v>66.935737522039545</v>
      </c>
      <c r="U78" s="429">
        <f t="shared" si="14"/>
        <v>68.687947136460167</v>
      </c>
      <c r="V78" s="429">
        <f t="shared" si="14"/>
        <v>70.49480687026589</v>
      </c>
      <c r="W78" s="429">
        <f t="shared" si="14"/>
        <v>72.357266630367548</v>
      </c>
      <c r="X78" s="429">
        <f t="shared" si="14"/>
        <v>75.247380277099651</v>
      </c>
      <c r="Y78" s="429">
        <f t="shared" si="14"/>
        <v>77.253770153632345</v>
      </c>
      <c r="Z78" s="429">
        <f t="shared" si="14"/>
        <v>79.320129583477311</v>
      </c>
      <c r="AA78" s="429">
        <f t="shared" si="14"/>
        <v>81.456966767939292</v>
      </c>
      <c r="AB78" s="429">
        <f t="shared" si="14"/>
        <v>83.656301608862975</v>
      </c>
      <c r="AC78" s="429">
        <f t="shared" si="14"/>
        <v>85.928703841219445</v>
      </c>
      <c r="AD78" s="429">
        <f t="shared" si="14"/>
        <v>88.26625713317209</v>
      </c>
      <c r="AE78" s="429">
        <f t="shared" si="14"/>
        <v>90.679772412401391</v>
      </c>
      <c r="AF78" s="429">
        <f t="shared" si="14"/>
        <v>93.170661095420158</v>
      </c>
      <c r="AG78" s="429">
        <f t="shared" si="14"/>
        <v>95.740370727566244</v>
      </c>
    </row>
    <row r="79" spans="1:35" s="344" customFormat="1">
      <c r="A79" s="342" t="s">
        <v>179</v>
      </c>
      <c r="B79" s="342"/>
      <c r="H79" s="430">
        <f>H81/K58</f>
        <v>637702.96719161444</v>
      </c>
      <c r="AB79" s="430">
        <f>AB81/AE58</f>
        <v>705525.63729366683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00" t="s">
        <v>324</v>
      </c>
      <c r="B81" s="300" t="s">
        <v>309</v>
      </c>
      <c r="C81" s="376">
        <f>'Changing with year'!C94</f>
        <v>3850000</v>
      </c>
      <c r="D81" s="376">
        <f>ROUND(('Changing with year'!D94)/1000,0)*1000</f>
        <v>3966000</v>
      </c>
      <c r="E81" s="376">
        <f>ROUND(('Changing with year'!E94)/1000,0)*1000</f>
        <v>4084000</v>
      </c>
      <c r="F81" s="376">
        <f>ROUND(('Changing with year'!F94)/1000,0)*1000</f>
        <v>4207000</v>
      </c>
      <c r="G81" s="376">
        <f>ROUND(('Changing with year'!G94)/1000,0)*1000</f>
        <v>4333000</v>
      </c>
      <c r="H81" s="376">
        <f>ROUND(('Changing with year'!H94)/1000,0)*1000</f>
        <v>4863000</v>
      </c>
      <c r="I81" s="376">
        <f>ROUND(('Changing with year'!I94)/1000,0)*1000</f>
        <v>5009000</v>
      </c>
      <c r="J81" s="376">
        <f>ROUND(('Changing with year'!J94)/1000,0)*1000</f>
        <v>5159000</v>
      </c>
      <c r="K81" s="376">
        <f>ROUND(('Changing with year'!K94)/1000,0)*1000</f>
        <v>5314000</v>
      </c>
      <c r="L81" s="376">
        <f>ROUND(('Changing with year'!L94)/1000,0)*1000</f>
        <v>5474000</v>
      </c>
      <c r="M81" s="376">
        <f>ROUND(('Changing with year'!M94)/1000,0)*1000</f>
        <v>5638000</v>
      </c>
      <c r="N81" s="376">
        <f>ROUND(('Changing with year'!N94)/1000,0)*1000</f>
        <v>5807000</v>
      </c>
      <c r="O81" s="376">
        <f>ROUND(('Changing with year'!O94)/1000,0)*1000</f>
        <v>5981000</v>
      </c>
      <c r="P81" s="376">
        <f>ROUND(('Changing with year'!P94)/1000,0)*1000</f>
        <v>6161000</v>
      </c>
      <c r="Q81" s="376">
        <f>ROUND(('Changing with year'!Q94)/1000,0)*1000</f>
        <v>6345000</v>
      </c>
      <c r="R81" s="376">
        <f>ROUND(('Changing with year'!R94)/1000,0)*1000</f>
        <v>6536000</v>
      </c>
      <c r="S81" s="376">
        <f>ROUND(('Changing with year'!S94)/1000,0)*1000</f>
        <v>6732000</v>
      </c>
      <c r="T81" s="376">
        <f>ROUND(('Changing with year'!T94)/1000,0)*1000</f>
        <v>6934000</v>
      </c>
      <c r="U81" s="376">
        <f>ROUND(('Changing with year'!U94)/1000,0)*1000</f>
        <v>7142000</v>
      </c>
      <c r="V81" s="376">
        <f>ROUND(('Changing with year'!V94)/1000,0)*1000</f>
        <v>7356000</v>
      </c>
      <c r="W81" s="376">
        <f>ROUND(('Changing with year'!W94)/1000,0)*1000</f>
        <v>7577000</v>
      </c>
      <c r="X81" s="376">
        <f>ROUND(('Changing with year'!X94)/1000,0)*1000</f>
        <v>7804000</v>
      </c>
      <c r="Y81" s="376">
        <f>ROUND(('Changing with year'!Y94)/1000,0)*1000</f>
        <v>8038000</v>
      </c>
      <c r="Z81" s="376">
        <f>ROUND(('Changing with year'!Z94)/1000,0)*1000</f>
        <v>8279000</v>
      </c>
      <c r="AA81" s="376">
        <f>ROUND(('Changing with year'!AA94)/1000,0)*1000</f>
        <v>8528000</v>
      </c>
      <c r="AB81" s="376">
        <f>ROUND(('Changing with year'!AB94)/1000,0)*1000</f>
        <v>8783000</v>
      </c>
      <c r="AC81" s="376">
        <f>ROUND(('Changing with year'!AC94)/1000,0)*1000</f>
        <v>9047000</v>
      </c>
      <c r="AD81" s="376">
        <f>ROUND(('Changing with year'!AD94)/1000,0)*1000</f>
        <v>9318000</v>
      </c>
      <c r="AE81" s="376">
        <f>ROUND(('Changing with year'!AE94)/1000,0)*1000</f>
        <v>9598000</v>
      </c>
      <c r="AF81" s="376">
        <f>ROUND(('Changing with year'!AF94)/1000,0)*1000</f>
        <v>9886000</v>
      </c>
      <c r="AG81" s="376">
        <f>ROUND(('Changing with year'!AG94)/1000,0)*1000</f>
        <v>10182000</v>
      </c>
    </row>
    <row r="82" spans="1:34">
      <c r="A82" s="300" t="s">
        <v>310</v>
      </c>
      <c r="B82" s="300" t="s">
        <v>309</v>
      </c>
      <c r="C82" s="376">
        <f>(C81*'No change with year'!$AB$9)</f>
        <v>1925000</v>
      </c>
      <c r="D82" s="376">
        <f>(D81*'No change with year'!$AB$9)</f>
        <v>1983000</v>
      </c>
      <c r="E82" s="376">
        <f>(E81*'No change with year'!$AB$9)</f>
        <v>2042000</v>
      </c>
      <c r="F82" s="376">
        <f>(F81*'No change with year'!$AB$9)</f>
        <v>2103500</v>
      </c>
      <c r="G82" s="376">
        <f>(G81*'No change with year'!$AB$9)</f>
        <v>2166500</v>
      </c>
      <c r="H82" s="376">
        <f>(H81*'No change with year'!$AB$9)</f>
        <v>2431500</v>
      </c>
      <c r="I82" s="376">
        <f>(I81*'No change with year'!$AB$9)</f>
        <v>2504500</v>
      </c>
      <c r="J82" s="376">
        <f>(J81*'No change with year'!$AB$9)</f>
        <v>2579500</v>
      </c>
      <c r="K82" s="376">
        <f>(K81*'No change with year'!$AB$9)</f>
        <v>2657000</v>
      </c>
      <c r="L82" s="376">
        <f>(L81*'No change with year'!$AB$9)</f>
        <v>2737000</v>
      </c>
      <c r="M82" s="376">
        <f>(M81*'No change with year'!$AB$9)</f>
        <v>2819000</v>
      </c>
      <c r="N82" s="376">
        <f>(N81*'No change with year'!$AC$9)</f>
        <v>2322800.0000000005</v>
      </c>
      <c r="O82" s="376">
        <f>(O81*'No change with year'!$AC$9)</f>
        <v>2392400.0000000005</v>
      </c>
      <c r="P82" s="376">
        <f>(P81*'No change with year'!$AC$9)</f>
        <v>2464400.0000000005</v>
      </c>
      <c r="Q82" s="376">
        <f>(Q81*'No change with year'!$AC$9)</f>
        <v>2538000.0000000005</v>
      </c>
      <c r="R82" s="376">
        <f>(R81*'No change with year'!$AC$9)</f>
        <v>2614400.0000000005</v>
      </c>
      <c r="S82" s="376">
        <f>(S81*'No change with year'!$AC$9)</f>
        <v>2692800.0000000005</v>
      </c>
      <c r="T82" s="376">
        <f>(T81*'No change with year'!$AC$9)</f>
        <v>2773600.0000000005</v>
      </c>
      <c r="U82" s="376">
        <f>(U81*'No change with year'!$AC$9)</f>
        <v>2856800.0000000005</v>
      </c>
      <c r="V82" s="376">
        <f>(V81*'No change with year'!$AC$9)</f>
        <v>2942400.0000000005</v>
      </c>
      <c r="W82" s="376">
        <f>(W81*'No change with year'!$AC$9)</f>
        <v>3030800.0000000005</v>
      </c>
      <c r="X82" s="376">
        <f>(X81*'No change with year'!$AD$9)</f>
        <v>2341200.0000000005</v>
      </c>
      <c r="Y82" s="376">
        <f>(Y81*'No change with year'!$AD$9)</f>
        <v>2411400.0000000005</v>
      </c>
      <c r="Z82" s="376">
        <f>(Z81*'No change with year'!$AD$9)</f>
        <v>2483700.0000000005</v>
      </c>
      <c r="AA82" s="376">
        <f>(AA81*'No change with year'!$AD$9)</f>
        <v>2558400.0000000005</v>
      </c>
      <c r="AB82" s="376">
        <f>(AB81*'No change with year'!$AD$9)</f>
        <v>2634900.0000000005</v>
      </c>
      <c r="AC82" s="376">
        <f>(AC81*'No change with year'!$AD$9)</f>
        <v>2714100.0000000005</v>
      </c>
      <c r="AD82" s="376">
        <f>(AD81*'No change with year'!$AD$9)</f>
        <v>2795400.0000000005</v>
      </c>
      <c r="AE82" s="376">
        <f>(AE81*'No change with year'!$AD$9)</f>
        <v>2879400.0000000005</v>
      </c>
      <c r="AF82" s="376">
        <f>(AF81*'No change with year'!$AD$9)</f>
        <v>2965800.0000000005</v>
      </c>
      <c r="AG82" s="376">
        <f>(AG81*'No change with year'!$AD$9)</f>
        <v>3054600.0000000005</v>
      </c>
    </row>
    <row r="83" spans="1:34" s="371" customFormat="1" ht="11.85" customHeight="1">
      <c r="A83" s="428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00" t="s">
        <v>312</v>
      </c>
      <c r="B84" s="300" t="s">
        <v>313</v>
      </c>
      <c r="C84" s="376">
        <f t="shared" ref="C84:AG84" si="16">-PMT($C$26,$C$25,C81)</f>
        <v>843603.28322035482</v>
      </c>
      <c r="D84" s="376">
        <f t="shared" si="16"/>
        <v>869020.94058491627</v>
      </c>
      <c r="E84" s="376">
        <f t="shared" si="16"/>
        <v>894876.83342128026</v>
      </c>
      <c r="F84" s="376">
        <f t="shared" si="16"/>
        <v>921828.3149371515</v>
      </c>
      <c r="G84" s="376">
        <f t="shared" si="16"/>
        <v>949437.14966072666</v>
      </c>
      <c r="H84" s="376">
        <f t="shared" si="16"/>
        <v>1065569.5496884638</v>
      </c>
      <c r="I84" s="376">
        <f t="shared" si="16"/>
        <v>1097560.7391300667</v>
      </c>
      <c r="J84" s="376">
        <f t="shared" si="16"/>
        <v>1130428.3995152756</v>
      </c>
      <c r="K84" s="376">
        <f t="shared" si="16"/>
        <v>1164391.6485799912</v>
      </c>
      <c r="L84" s="376">
        <f t="shared" si="16"/>
        <v>1199450.4863242134</v>
      </c>
      <c r="M84" s="376">
        <f t="shared" si="16"/>
        <v>1235385.7950120417</v>
      </c>
      <c r="N84" s="376">
        <f t="shared" si="16"/>
        <v>1272416.6923793769</v>
      </c>
      <c r="O84" s="376">
        <f t="shared" si="16"/>
        <v>1310543.1784262189</v>
      </c>
      <c r="P84" s="376">
        <f t="shared" si="16"/>
        <v>1349984.3708884693</v>
      </c>
      <c r="Q84" s="376">
        <f t="shared" si="16"/>
        <v>1390302.0342943249</v>
      </c>
      <c r="R84" s="376">
        <f t="shared" si="16"/>
        <v>1432153.5218514907</v>
      </c>
      <c r="S84" s="376">
        <f t="shared" si="16"/>
        <v>1475100.5980881634</v>
      </c>
      <c r="T84" s="376">
        <f t="shared" si="16"/>
        <v>1519362.3807402444</v>
      </c>
      <c r="U84" s="376">
        <f t="shared" si="16"/>
        <v>1564938.8698077337</v>
      </c>
      <c r="V84" s="376">
        <f t="shared" si="16"/>
        <v>1611830.0652906313</v>
      </c>
      <c r="W84" s="376">
        <f t="shared" si="16"/>
        <v>1660255.0849248385</v>
      </c>
      <c r="X84" s="376">
        <f t="shared" si="16"/>
        <v>1709994.8109744543</v>
      </c>
      <c r="Y84" s="376">
        <f t="shared" si="16"/>
        <v>1761268.3611753797</v>
      </c>
      <c r="Z84" s="376">
        <f t="shared" si="16"/>
        <v>1814075.7355276151</v>
      </c>
      <c r="AA84" s="376">
        <f t="shared" si="16"/>
        <v>1868636.0517670615</v>
      </c>
      <c r="AB84" s="376">
        <f t="shared" si="16"/>
        <v>1924511.0744219162</v>
      </c>
      <c r="AC84" s="376">
        <f t="shared" si="16"/>
        <v>1982358.1566998831</v>
      </c>
      <c r="AD84" s="376">
        <f t="shared" si="16"/>
        <v>2041739.0631291603</v>
      </c>
      <c r="AE84" s="376">
        <f t="shared" si="16"/>
        <v>2103092.0291815493</v>
      </c>
      <c r="AF84" s="376">
        <f t="shared" si="16"/>
        <v>2166197.9371211501</v>
      </c>
      <c r="AG84" s="376">
        <f t="shared" si="16"/>
        <v>2231056.7869479619</v>
      </c>
    </row>
    <row r="85" spans="1:34">
      <c r="A85" s="300" t="s">
        <v>321</v>
      </c>
      <c r="B85" s="300" t="s">
        <v>309</v>
      </c>
      <c r="C85" s="376">
        <f t="shared" ref="C85:AG85" si="17">C43*$D$37</f>
        <v>1957500</v>
      </c>
      <c r="D85" s="376">
        <f t="shared" si="17"/>
        <v>2058750</v>
      </c>
      <c r="E85" s="376">
        <f t="shared" si="17"/>
        <v>2120512.5</v>
      </c>
      <c r="F85" s="376">
        <f t="shared" si="17"/>
        <v>2184127.875</v>
      </c>
      <c r="G85" s="376">
        <f t="shared" si="17"/>
        <v>2249651.7112500002</v>
      </c>
      <c r="H85" s="376">
        <f t="shared" si="17"/>
        <v>2317141.2625874998</v>
      </c>
      <c r="I85" s="376">
        <f t="shared" si="17"/>
        <v>2386655.5004651248</v>
      </c>
      <c r="J85" s="376">
        <f t="shared" si="17"/>
        <v>2458255.1654790789</v>
      </c>
      <c r="K85" s="376">
        <f t="shared" si="17"/>
        <v>2532002.8204434514</v>
      </c>
      <c r="L85" s="376">
        <f t="shared" si="17"/>
        <v>2607962.9050567551</v>
      </c>
      <c r="M85" s="376">
        <f t="shared" si="17"/>
        <v>2686201.7922084574</v>
      </c>
      <c r="N85" s="376">
        <f t="shared" si="17"/>
        <v>2766787.8459747112</v>
      </c>
      <c r="O85" s="376">
        <f t="shared" si="17"/>
        <v>2849791.4813539525</v>
      </c>
      <c r="P85" s="376">
        <f t="shared" si="17"/>
        <v>2935285.225794571</v>
      </c>
      <c r="Q85" s="376">
        <f t="shared" si="17"/>
        <v>3023343.7825684082</v>
      </c>
      <c r="R85" s="376">
        <f t="shared" si="17"/>
        <v>3114044.0960454606</v>
      </c>
      <c r="S85" s="376">
        <f t="shared" si="17"/>
        <v>3207465.4189268243</v>
      </c>
      <c r="T85" s="376">
        <f t="shared" si="17"/>
        <v>3303689.3814946292</v>
      </c>
      <c r="U85" s="376">
        <f t="shared" si="17"/>
        <v>3402800.0629394678</v>
      </c>
      <c r="V85" s="376">
        <f t="shared" si="17"/>
        <v>3504884.0648276517</v>
      </c>
      <c r="W85" s="376">
        <f t="shared" si="17"/>
        <v>3610030.5867724814</v>
      </c>
      <c r="X85" s="376">
        <f t="shared" si="17"/>
        <v>3718331.5043756557</v>
      </c>
      <c r="Y85" s="376">
        <f t="shared" si="17"/>
        <v>3829881.4495069254</v>
      </c>
      <c r="Z85" s="376">
        <f t="shared" si="17"/>
        <v>3944777.8929921328</v>
      </c>
      <c r="AA85" s="376">
        <f t="shared" si="17"/>
        <v>4063121.2297818973</v>
      </c>
      <c r="AB85" s="376">
        <f t="shared" si="17"/>
        <v>4185014.8666753536</v>
      </c>
      <c r="AC85" s="376">
        <f t="shared" si="17"/>
        <v>4310565.3126756148</v>
      </c>
      <c r="AD85" s="376">
        <f t="shared" si="17"/>
        <v>4439882.2720558839</v>
      </c>
      <c r="AE85" s="376">
        <f t="shared" si="17"/>
        <v>4573078.74021756</v>
      </c>
      <c r="AF85" s="376">
        <f t="shared" si="17"/>
        <v>4710271.102424087</v>
      </c>
      <c r="AG85" s="376">
        <f t="shared" si="17"/>
        <v>4851579.2354968097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507600</v>
      </c>
      <c r="D86" s="376">
        <f t="shared" si="18"/>
        <v>527904.00000000012</v>
      </c>
      <c r="E86" s="376">
        <f t="shared" si="18"/>
        <v>549020.16000000015</v>
      </c>
      <c r="F86" s="376">
        <f t="shared" si="18"/>
        <v>570980.96640000015</v>
      </c>
      <c r="G86" s="376">
        <f t="shared" si="18"/>
        <v>593820.20505600015</v>
      </c>
      <c r="H86" s="376">
        <f t="shared" si="18"/>
        <v>617573.01325824019</v>
      </c>
      <c r="I86" s="376">
        <f t="shared" si="18"/>
        <v>642275.93378856988</v>
      </c>
      <c r="J86" s="376">
        <f t="shared" si="18"/>
        <v>667966.97114011261</v>
      </c>
      <c r="K86" s="376">
        <f t="shared" si="18"/>
        <v>694685.64998571726</v>
      </c>
      <c r="L86" s="376">
        <f t="shared" si="18"/>
        <v>722473.07598514599</v>
      </c>
      <c r="M86" s="376">
        <f t="shared" si="18"/>
        <v>751371.99902455183</v>
      </c>
      <c r="N86" s="376">
        <f t="shared" si="18"/>
        <v>781426.87898553384</v>
      </c>
      <c r="O86" s="376">
        <f t="shared" si="18"/>
        <v>812683.95414495526</v>
      </c>
      <c r="P86" s="376">
        <f t="shared" si="18"/>
        <v>845191.31231075351</v>
      </c>
      <c r="Q86" s="376">
        <f t="shared" si="18"/>
        <v>878998.96480318357</v>
      </c>
      <c r="R86" s="376">
        <f t="shared" si="18"/>
        <v>914158.92339531099</v>
      </c>
      <c r="S86" s="376">
        <f t="shared" si="18"/>
        <v>950725.28033112339</v>
      </c>
      <c r="T86" s="376">
        <f t="shared" si="18"/>
        <v>988754.29154436837</v>
      </c>
      <c r="U86" s="376">
        <f t="shared" si="18"/>
        <v>1028304.4632061432</v>
      </c>
      <c r="V86" s="376">
        <f t="shared" si="18"/>
        <v>1069436.6417343889</v>
      </c>
      <c r="W86" s="376">
        <f t="shared" si="18"/>
        <v>1112214.1074037643</v>
      </c>
      <c r="X86" s="376">
        <f t="shared" si="18"/>
        <v>1156702.6716999151</v>
      </c>
      <c r="Y86" s="376">
        <f t="shared" si="18"/>
        <v>1202970.7785679116</v>
      </c>
      <c r="Z86" s="376">
        <f t="shared" si="18"/>
        <v>1251089.6097106282</v>
      </c>
      <c r="AA86" s="376">
        <f t="shared" si="18"/>
        <v>1301133.1940990533</v>
      </c>
      <c r="AB86" s="376">
        <f t="shared" si="18"/>
        <v>1353178.5218630156</v>
      </c>
      <c r="AC86" s="376">
        <f t="shared" si="18"/>
        <v>1407305.6627375362</v>
      </c>
      <c r="AD86" s="376">
        <f t="shared" si="18"/>
        <v>1463597.8892470377</v>
      </c>
      <c r="AE86" s="376">
        <f t="shared" si="18"/>
        <v>1522141.8048169194</v>
      </c>
      <c r="AF86" s="376">
        <f t="shared" si="18"/>
        <v>1583027.4770095965</v>
      </c>
      <c r="AG86" s="376">
        <f t="shared" si="18"/>
        <v>1646348.5760899801</v>
      </c>
    </row>
    <row r="87" spans="1:34">
      <c r="A87" s="300" t="s">
        <v>318</v>
      </c>
      <c r="B87" s="300" t="s">
        <v>313</v>
      </c>
      <c r="C87" s="376">
        <f>'Changing with year'!C289</f>
        <v>450000</v>
      </c>
      <c r="D87" s="376">
        <f>'Changing with year'!D289</f>
        <v>470000</v>
      </c>
      <c r="E87" s="376">
        <f>'Changing with year'!E289</f>
        <v>491000</v>
      </c>
      <c r="F87" s="376">
        <f>'Changing with year'!F289</f>
        <v>513000</v>
      </c>
      <c r="G87" s="376">
        <f>'Changing with year'!G289</f>
        <v>536000</v>
      </c>
      <c r="H87" s="376">
        <f>'Changing with year'!H289</f>
        <v>560000</v>
      </c>
      <c r="I87" s="376">
        <f>'Changing with year'!I289</f>
        <v>585000</v>
      </c>
      <c r="J87" s="376">
        <f>'Changing with year'!J289</f>
        <v>611000</v>
      </c>
      <c r="K87" s="376">
        <f>'Changing with year'!K289</f>
        <v>638000</v>
      </c>
      <c r="L87" s="376">
        <f>'Changing with year'!L289</f>
        <v>667000</v>
      </c>
      <c r="M87" s="376">
        <f>'Changing with year'!M289</f>
        <v>697000</v>
      </c>
      <c r="N87" s="376">
        <f>'Changing with year'!N289</f>
        <v>728000</v>
      </c>
      <c r="O87" s="376">
        <f>'Changing with year'!O289</f>
        <v>761000</v>
      </c>
      <c r="P87" s="376">
        <f>'Changing with year'!P289</f>
        <v>795000</v>
      </c>
      <c r="Q87" s="376">
        <f>'Changing with year'!Q289</f>
        <v>831000</v>
      </c>
      <c r="R87" s="376">
        <f>'Changing with year'!R289</f>
        <v>868000</v>
      </c>
      <c r="S87" s="376">
        <f>'Changing with year'!S289</f>
        <v>907000</v>
      </c>
      <c r="T87" s="376">
        <f>'Changing with year'!T289</f>
        <v>948000</v>
      </c>
      <c r="U87" s="376">
        <f>'Changing with year'!U289</f>
        <v>991000</v>
      </c>
      <c r="V87" s="376">
        <f>'Changing with year'!V289</f>
        <v>1036000</v>
      </c>
      <c r="W87" s="376">
        <f>'Changing with year'!W289</f>
        <v>1083000</v>
      </c>
      <c r="X87" s="376">
        <f>'Changing with year'!X289</f>
        <v>1132000</v>
      </c>
      <c r="Y87" s="376">
        <f>'Changing with year'!Y289</f>
        <v>1183000</v>
      </c>
      <c r="Z87" s="376">
        <f>'Changing with year'!Z289</f>
        <v>1236000</v>
      </c>
      <c r="AA87" s="376">
        <f>'Changing with year'!AA289</f>
        <v>1292000</v>
      </c>
      <c r="AB87" s="376">
        <f>'Changing with year'!AB289</f>
        <v>1350000</v>
      </c>
      <c r="AC87" s="376">
        <f>'Changing with year'!AC289</f>
        <v>1411000</v>
      </c>
      <c r="AD87" s="376">
        <f>'Changing with year'!AD289</f>
        <v>1474000</v>
      </c>
      <c r="AE87" s="376">
        <f>'Changing with year'!AE289</f>
        <v>1540000</v>
      </c>
      <c r="AF87" s="376">
        <f>'Changing with year'!AF289</f>
        <v>1609000</v>
      </c>
      <c r="AG87" s="376">
        <f>'Changing with year'!AG289</f>
        <v>1681000</v>
      </c>
      <c r="AH87" s="339"/>
    </row>
    <row r="88" spans="1:34">
      <c r="A88" s="300" t="s">
        <v>272</v>
      </c>
      <c r="B88" s="300" t="s">
        <v>313</v>
      </c>
      <c r="C88" s="376">
        <f t="shared" ref="C88:AG88" si="19">C59</f>
        <v>756000</v>
      </c>
      <c r="D88" s="376">
        <f t="shared" si="19"/>
        <v>763560.00000000012</v>
      </c>
      <c r="E88" s="376">
        <f t="shared" si="19"/>
        <v>771195.6</v>
      </c>
      <c r="F88" s="376">
        <f t="shared" si="19"/>
        <v>778907.5560000001</v>
      </c>
      <c r="G88" s="376">
        <f t="shared" si="19"/>
        <v>786696.63156000001</v>
      </c>
      <c r="H88" s="376">
        <f t="shared" si="19"/>
        <v>794563.59787559998</v>
      </c>
      <c r="I88" s="376">
        <f t="shared" si="19"/>
        <v>802509.23385435599</v>
      </c>
      <c r="J88" s="376">
        <f t="shared" si="19"/>
        <v>810534.32619289949</v>
      </c>
      <c r="K88" s="376">
        <f t="shared" si="19"/>
        <v>818639.6694548286</v>
      </c>
      <c r="L88" s="376">
        <f t="shared" si="19"/>
        <v>826826.06614937691</v>
      </c>
      <c r="M88" s="376">
        <f t="shared" si="19"/>
        <v>835094.32681087067</v>
      </c>
      <c r="N88" s="376">
        <f t="shared" si="19"/>
        <v>843445.27007897932</v>
      </c>
      <c r="O88" s="376">
        <f t="shared" si="19"/>
        <v>851879.7227797691</v>
      </c>
      <c r="P88" s="376">
        <f t="shared" si="19"/>
        <v>860398.52000756678</v>
      </c>
      <c r="Q88" s="376">
        <f t="shared" si="19"/>
        <v>869002.50520764268</v>
      </c>
      <c r="R88" s="376">
        <f t="shared" si="19"/>
        <v>877692.53025971889</v>
      </c>
      <c r="S88" s="376">
        <f t="shared" si="19"/>
        <v>886469.45556231611</v>
      </c>
      <c r="T88" s="376">
        <f t="shared" si="19"/>
        <v>895334.15011793945</v>
      </c>
      <c r="U88" s="376">
        <f t="shared" si="19"/>
        <v>904287.49161911872</v>
      </c>
      <c r="V88" s="376">
        <f t="shared" si="19"/>
        <v>913330.36653530993</v>
      </c>
      <c r="W88" s="376">
        <f t="shared" si="19"/>
        <v>922463.67020066304</v>
      </c>
      <c r="X88" s="376">
        <f t="shared" si="19"/>
        <v>931688.30690266972</v>
      </c>
      <c r="Y88" s="376">
        <f t="shared" si="19"/>
        <v>941005.18997169647</v>
      </c>
      <c r="Z88" s="376">
        <f t="shared" si="19"/>
        <v>950415.24187141354</v>
      </c>
      <c r="AA88" s="376">
        <f t="shared" si="19"/>
        <v>959919.39429012756</v>
      </c>
      <c r="AB88" s="376">
        <f t="shared" si="19"/>
        <v>969518.588233029</v>
      </c>
      <c r="AC88" s="376">
        <f t="shared" si="19"/>
        <v>979213.77411535941</v>
      </c>
      <c r="AD88" s="376">
        <f t="shared" si="19"/>
        <v>989005.91185651289</v>
      </c>
      <c r="AE88" s="376">
        <f t="shared" si="19"/>
        <v>998895.97097507794</v>
      </c>
      <c r="AF88" s="376">
        <f t="shared" si="19"/>
        <v>1008884.9306848288</v>
      </c>
      <c r="AG88" s="376">
        <f t="shared" si="19"/>
        <v>1018973.779991677</v>
      </c>
    </row>
    <row r="89" spans="1:34">
      <c r="A89" s="300" t="s">
        <v>319</v>
      </c>
      <c r="B89" s="300" t="s">
        <v>309</v>
      </c>
      <c r="C89" s="376">
        <f t="shared" ref="C89:AG89" si="20">C81*$C$29</f>
        <v>77000</v>
      </c>
      <c r="D89" s="376">
        <f t="shared" si="20"/>
        <v>79320</v>
      </c>
      <c r="E89" s="376">
        <f t="shared" si="20"/>
        <v>81680</v>
      </c>
      <c r="F89" s="376">
        <f t="shared" si="20"/>
        <v>84140</v>
      </c>
      <c r="G89" s="376">
        <f t="shared" si="20"/>
        <v>86660</v>
      </c>
      <c r="H89" s="376">
        <f t="shared" si="20"/>
        <v>97260</v>
      </c>
      <c r="I89" s="376">
        <f t="shared" si="20"/>
        <v>100180</v>
      </c>
      <c r="J89" s="376">
        <f t="shared" si="20"/>
        <v>103180</v>
      </c>
      <c r="K89" s="376">
        <f t="shared" si="20"/>
        <v>106280</v>
      </c>
      <c r="L89" s="376">
        <f t="shared" si="20"/>
        <v>109480</v>
      </c>
      <c r="M89" s="376">
        <f t="shared" si="20"/>
        <v>112760</v>
      </c>
      <c r="N89" s="376">
        <f t="shared" si="20"/>
        <v>116140</v>
      </c>
      <c r="O89" s="376">
        <f t="shared" si="20"/>
        <v>119620</v>
      </c>
      <c r="P89" s="376">
        <f t="shared" si="20"/>
        <v>123220</v>
      </c>
      <c r="Q89" s="376">
        <f t="shared" si="20"/>
        <v>126900</v>
      </c>
      <c r="R89" s="376">
        <f t="shared" si="20"/>
        <v>130720</v>
      </c>
      <c r="S89" s="376">
        <f t="shared" si="20"/>
        <v>134640</v>
      </c>
      <c r="T89" s="376">
        <f t="shared" si="20"/>
        <v>138680</v>
      </c>
      <c r="U89" s="376">
        <f t="shared" si="20"/>
        <v>142840</v>
      </c>
      <c r="V89" s="376">
        <f t="shared" si="20"/>
        <v>147120</v>
      </c>
      <c r="W89" s="376">
        <f t="shared" si="20"/>
        <v>151540</v>
      </c>
      <c r="X89" s="376">
        <f t="shared" si="20"/>
        <v>156080</v>
      </c>
      <c r="Y89" s="376">
        <f t="shared" si="20"/>
        <v>160760</v>
      </c>
      <c r="Z89" s="376">
        <f t="shared" si="20"/>
        <v>165580</v>
      </c>
      <c r="AA89" s="376">
        <f t="shared" si="20"/>
        <v>170560</v>
      </c>
      <c r="AB89" s="376">
        <f t="shared" si="20"/>
        <v>175660</v>
      </c>
      <c r="AC89" s="376">
        <f t="shared" si="20"/>
        <v>180940</v>
      </c>
      <c r="AD89" s="376">
        <f t="shared" si="20"/>
        <v>186360</v>
      </c>
      <c r="AE89" s="376">
        <f t="shared" si="20"/>
        <v>191960</v>
      </c>
      <c r="AF89" s="376">
        <f t="shared" si="20"/>
        <v>197720</v>
      </c>
      <c r="AG89" s="376">
        <f t="shared" si="20"/>
        <v>203640</v>
      </c>
    </row>
    <row r="90" spans="1:34" s="371" customFormat="1" ht="11.85" customHeight="1">
      <c r="A90" s="428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7.8111415112995815</v>
      </c>
      <c r="D91" s="379">
        <f t="shared" si="21"/>
        <v>8.0464901906010766</v>
      </c>
      <c r="E91" s="379">
        <f t="shared" si="21"/>
        <v>8.2858966057525958</v>
      </c>
      <c r="F91" s="379">
        <f t="shared" si="21"/>
        <v>8.5354473605291812</v>
      </c>
      <c r="G91" s="379">
        <f t="shared" si="21"/>
        <v>8.7910847190808017</v>
      </c>
      <c r="H91" s="379">
        <f t="shared" si="21"/>
        <v>9.8663847193376277</v>
      </c>
      <c r="I91" s="379">
        <f t="shared" si="21"/>
        <v>10.162599436389506</v>
      </c>
      <c r="J91" s="379">
        <f t="shared" si="21"/>
        <v>10.466929625141441</v>
      </c>
      <c r="K91" s="379">
        <f t="shared" si="21"/>
        <v>10.781404153518437</v>
      </c>
      <c r="L91" s="379">
        <f t="shared" si="21"/>
        <v>11.106023021520494</v>
      </c>
      <c r="M91" s="379">
        <f t="shared" si="21"/>
        <v>11.438757361222608</v>
      </c>
      <c r="N91" s="379">
        <f t="shared" si="21"/>
        <v>11.781636040549786</v>
      </c>
      <c r="O91" s="379">
        <f t="shared" si="21"/>
        <v>12.134659059502027</v>
      </c>
      <c r="P91" s="379">
        <f t="shared" si="21"/>
        <v>12.499855286004346</v>
      </c>
      <c r="Q91" s="379">
        <f t="shared" si="21"/>
        <v>12.873166984206712</v>
      </c>
      <c r="R91" s="379">
        <f t="shared" si="21"/>
        <v>13.260680757884174</v>
      </c>
      <c r="S91" s="379">
        <f t="shared" si="21"/>
        <v>13.658338871186698</v>
      </c>
      <c r="T91" s="379">
        <f t="shared" si="21"/>
        <v>14.0681701920393</v>
      </c>
      <c r="U91" s="379">
        <f t="shared" si="21"/>
        <v>14.490174720441978</v>
      </c>
      <c r="V91" s="379">
        <f t="shared" si="21"/>
        <v>14.924352456394734</v>
      </c>
      <c r="W91" s="379">
        <f t="shared" si="21"/>
        <v>15.372732267822579</v>
      </c>
      <c r="X91" s="379">
        <f t="shared" si="21"/>
        <v>15.833285286800503</v>
      </c>
      <c r="Y91" s="379">
        <f t="shared" si="21"/>
        <v>16.308040381253516</v>
      </c>
      <c r="Z91" s="379">
        <f t="shared" si="21"/>
        <v>16.796997551181622</v>
      </c>
      <c r="AA91" s="379">
        <f t="shared" si="21"/>
        <v>17.302185664509828</v>
      </c>
      <c r="AB91" s="379">
        <f t="shared" si="21"/>
        <v>17.819546985388111</v>
      </c>
      <c r="AC91" s="379">
        <f t="shared" si="21"/>
        <v>18.355168117591511</v>
      </c>
      <c r="AD91" s="379">
        <f t="shared" si="21"/>
        <v>18.904991325270004</v>
      </c>
      <c r="AE91" s="379">
        <f t="shared" si="21"/>
        <v>19.473074344273606</v>
      </c>
      <c r="AF91" s="379">
        <f t="shared" si="21"/>
        <v>20.057388306677314</v>
      </c>
      <c r="AG91" s="379">
        <f t="shared" si="21"/>
        <v>20.657933212481129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18.125</v>
      </c>
      <c r="D92" s="379">
        <f t="shared" si="22"/>
        <v>19.0625</v>
      </c>
      <c r="E92" s="379">
        <f t="shared" si="22"/>
        <v>19.634374999999999</v>
      </c>
      <c r="F92" s="379">
        <f t="shared" si="22"/>
        <v>20.22340625</v>
      </c>
      <c r="G92" s="379">
        <f t="shared" si="22"/>
        <v>20.830108437500002</v>
      </c>
      <c r="H92" s="379">
        <f t="shared" si="22"/>
        <v>21.455011690625</v>
      </c>
      <c r="I92" s="379">
        <f t="shared" si="22"/>
        <v>22.098662041343747</v>
      </c>
      <c r="J92" s="379">
        <f t="shared" si="22"/>
        <v>22.761621902584064</v>
      </c>
      <c r="K92" s="379">
        <f t="shared" si="22"/>
        <v>23.444470559661585</v>
      </c>
      <c r="L92" s="379">
        <f t="shared" si="22"/>
        <v>24.147804676451436</v>
      </c>
      <c r="M92" s="379">
        <f t="shared" si="22"/>
        <v>24.872238816744975</v>
      </c>
      <c r="N92" s="379">
        <f t="shared" si="22"/>
        <v>25.618405981247328</v>
      </c>
      <c r="O92" s="379">
        <f t="shared" si="22"/>
        <v>26.386958160684745</v>
      </c>
      <c r="P92" s="379">
        <f t="shared" si="22"/>
        <v>27.178566905505289</v>
      </c>
      <c r="Q92" s="379">
        <f t="shared" si="22"/>
        <v>27.993923912670446</v>
      </c>
      <c r="R92" s="379">
        <f t="shared" si="22"/>
        <v>28.833741630050561</v>
      </c>
      <c r="S92" s="379">
        <f t="shared" si="22"/>
        <v>29.698753878952079</v>
      </c>
      <c r="T92" s="379">
        <f t="shared" si="22"/>
        <v>30.589716495320641</v>
      </c>
      <c r="U92" s="379">
        <f t="shared" si="22"/>
        <v>31.507407990180258</v>
      </c>
      <c r="V92" s="379">
        <f t="shared" si="22"/>
        <v>32.452630229885663</v>
      </c>
      <c r="W92" s="379">
        <f t="shared" si="22"/>
        <v>33.426209136782234</v>
      </c>
      <c r="X92" s="379">
        <f t="shared" si="22"/>
        <v>34.428995410885697</v>
      </c>
      <c r="Y92" s="379">
        <f t="shared" si="22"/>
        <v>35.461865273212275</v>
      </c>
      <c r="Z92" s="379">
        <f t="shared" si="22"/>
        <v>36.525721231408639</v>
      </c>
      <c r="AA92" s="379">
        <f t="shared" si="22"/>
        <v>37.621492868350899</v>
      </c>
      <c r="AB92" s="379">
        <f t="shared" si="22"/>
        <v>38.750137654401421</v>
      </c>
      <c r="AC92" s="379">
        <f t="shared" si="22"/>
        <v>39.912641784033468</v>
      </c>
      <c r="AD92" s="379">
        <f t="shared" si="22"/>
        <v>41.110021037554482</v>
      </c>
      <c r="AE92" s="379">
        <f t="shared" si="22"/>
        <v>42.343321668681114</v>
      </c>
      <c r="AF92" s="379">
        <f t="shared" si="22"/>
        <v>43.613621318741544</v>
      </c>
      <c r="AG92" s="379">
        <f t="shared" si="22"/>
        <v>44.922029958303796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16.579629629629629</v>
      </c>
      <c r="D93" s="379">
        <f t="shared" si="23"/>
        <v>17.044296296296299</v>
      </c>
      <c r="E93" s="379">
        <f t="shared" si="23"/>
        <v>17.526812592592595</v>
      </c>
      <c r="F93" s="379">
        <f t="shared" si="23"/>
        <v>18.028041874074077</v>
      </c>
      <c r="G93" s="379">
        <f t="shared" si="23"/>
        <v>18.547933672370373</v>
      </c>
      <c r="H93" s="379">
        <f t="shared" si="23"/>
        <v>19.161079732720744</v>
      </c>
      <c r="I93" s="379">
        <f t="shared" si="23"/>
        <v>19.721899700397461</v>
      </c>
      <c r="J93" s="379">
        <f t="shared" si="23"/>
        <v>20.302604604935301</v>
      </c>
      <c r="K93" s="379">
        <f t="shared" si="23"/>
        <v>20.903752957782828</v>
      </c>
      <c r="L93" s="379">
        <f t="shared" si="23"/>
        <v>21.534992056801141</v>
      </c>
      <c r="M93" s="379">
        <f t="shared" si="23"/>
        <v>22.18728079477243</v>
      </c>
      <c r="N93" s="379">
        <f t="shared" si="23"/>
        <v>22.861223602449197</v>
      </c>
      <c r="O93" s="379">
        <f t="shared" si="23"/>
        <v>23.566515527080778</v>
      </c>
      <c r="P93" s="379">
        <f t="shared" si="23"/>
        <v>24.294535484428888</v>
      </c>
      <c r="Q93" s="379">
        <f t="shared" si="23"/>
        <v>25.054643240840985</v>
      </c>
      <c r="R93" s="379">
        <f t="shared" si="23"/>
        <v>25.838624570879904</v>
      </c>
      <c r="S93" s="379">
        <f t="shared" si="23"/>
        <v>26.655877184198513</v>
      </c>
      <c r="T93" s="379">
        <f t="shared" si="23"/>
        <v>27.507115200576923</v>
      </c>
      <c r="U93" s="379">
        <f t="shared" si="23"/>
        <v>28.392888470604273</v>
      </c>
      <c r="V93" s="379">
        <f t="shared" si="23"/>
        <v>29.313768595089801</v>
      </c>
      <c r="W93" s="379">
        <f t="shared" si="23"/>
        <v>30.270534977818773</v>
      </c>
      <c r="X93" s="379">
        <f t="shared" si="23"/>
        <v>31.263620172246156</v>
      </c>
      <c r="Y93" s="379">
        <f t="shared" si="23"/>
        <v>32.293851560551929</v>
      </c>
      <c r="Z93" s="379">
        <f t="shared" si="23"/>
        <v>33.361896773907795</v>
      </c>
      <c r="AA93" s="379">
        <f t="shared" si="23"/>
        <v>34.477894336936856</v>
      </c>
      <c r="AB93" s="379">
        <f t="shared" si="23"/>
        <v>35.632936204593001</v>
      </c>
      <c r="AC93" s="379">
        <f t="shared" si="23"/>
        <v>36.83758737826755</v>
      </c>
      <c r="AD93" s="379">
        <f t="shared" si="23"/>
        <v>38.082998158366209</v>
      </c>
      <c r="AE93" s="379">
        <f t="shared" si="23"/>
        <v>39.379609035111088</v>
      </c>
      <c r="AF93" s="379">
        <f t="shared" si="23"/>
        <v>40.728077849022455</v>
      </c>
      <c r="AG93" s="379">
        <f t="shared" si="23"/>
        <v>42.12928107483016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2.5462962962962963</v>
      </c>
      <c r="D94" s="379">
        <f t="shared" si="24"/>
        <v>2.623015873015873</v>
      </c>
      <c r="E94" s="379">
        <f t="shared" si="24"/>
        <v>2.7010582010582009</v>
      </c>
      <c r="F94" s="379">
        <f t="shared" si="24"/>
        <v>2.7824074074074074</v>
      </c>
      <c r="G94" s="379">
        <f t="shared" si="24"/>
        <v>2.8657407407407409</v>
      </c>
      <c r="H94" s="379">
        <f t="shared" si="24"/>
        <v>3.2162698412698414</v>
      </c>
      <c r="I94" s="379">
        <f t="shared" si="24"/>
        <v>3.3128306878306879</v>
      </c>
      <c r="J94" s="379">
        <f t="shared" si="24"/>
        <v>3.4120370370370372</v>
      </c>
      <c r="K94" s="379">
        <f t="shared" si="24"/>
        <v>3.5145502645502646</v>
      </c>
      <c r="L94" s="379">
        <f t="shared" si="24"/>
        <v>3.6203703703703702</v>
      </c>
      <c r="M94" s="379">
        <f t="shared" si="24"/>
        <v>3.7288359788359786</v>
      </c>
      <c r="N94" s="379">
        <f t="shared" si="24"/>
        <v>3.0724867724867733</v>
      </c>
      <c r="O94" s="379">
        <f t="shared" si="24"/>
        <v>3.164550264550265</v>
      </c>
      <c r="P94" s="379">
        <f t="shared" si="24"/>
        <v>3.2597883597883603</v>
      </c>
      <c r="Q94" s="379">
        <f t="shared" si="24"/>
        <v>3.3571428571428577</v>
      </c>
      <c r="R94" s="379">
        <f t="shared" si="24"/>
        <v>3.4582010582010589</v>
      </c>
      <c r="S94" s="379">
        <f t="shared" si="24"/>
        <v>3.5619047619047626</v>
      </c>
      <c r="T94" s="379">
        <f t="shared" si="24"/>
        <v>3.6687830687830694</v>
      </c>
      <c r="U94" s="379">
        <f t="shared" si="24"/>
        <v>3.7788359788359793</v>
      </c>
      <c r="V94" s="379">
        <f t="shared" si="24"/>
        <v>3.8920634920634929</v>
      </c>
      <c r="W94" s="379">
        <f t="shared" si="24"/>
        <v>4.0089947089947096</v>
      </c>
      <c r="X94" s="379">
        <f t="shared" si="24"/>
        <v>3.0968253968253974</v>
      </c>
      <c r="Y94" s="379">
        <f t="shared" si="24"/>
        <v>3.1896825396825403</v>
      </c>
      <c r="Z94" s="379">
        <f t="shared" si="24"/>
        <v>3.2853174603174611</v>
      </c>
      <c r="AA94" s="379">
        <f t="shared" si="24"/>
        <v>3.3841269841269845</v>
      </c>
      <c r="AB94" s="379">
        <f t="shared" si="24"/>
        <v>3.4853174603174608</v>
      </c>
      <c r="AC94" s="379">
        <f t="shared" si="24"/>
        <v>3.5900793650793656</v>
      </c>
      <c r="AD94" s="379">
        <f t="shared" si="24"/>
        <v>3.6976190476190482</v>
      </c>
      <c r="AE94" s="379">
        <f t="shared" si="24"/>
        <v>3.8087301587301594</v>
      </c>
      <c r="AF94" s="379">
        <f t="shared" si="24"/>
        <v>3.9230158730158737</v>
      </c>
      <c r="AG94" s="379">
        <f t="shared" si="24"/>
        <v>4.0404761904761912</v>
      </c>
    </row>
    <row r="95" spans="1:34" s="352" customFormat="1">
      <c r="A95" s="380" t="s">
        <v>323</v>
      </c>
      <c r="B95" s="352" t="s">
        <v>300</v>
      </c>
      <c r="C95" s="429">
        <f>SUM(C91:C93)-C94</f>
        <v>39.969474844632913</v>
      </c>
      <c r="D95" s="429">
        <f t="shared" ref="D95" si="25">SUM(D91:D93)-D94</f>
        <v>41.530270613881498</v>
      </c>
      <c r="E95" s="429">
        <f t="shared" ref="E95" si="26">SUM(E91:E93)-E94</f>
        <v>42.746025997286992</v>
      </c>
      <c r="F95" s="429">
        <f t="shared" ref="F95:AG95" si="27">SUM(F91:F93)-F94</f>
        <v>44.004488077195852</v>
      </c>
      <c r="G95" s="429">
        <f t="shared" si="27"/>
        <v>45.303386088210438</v>
      </c>
      <c r="H95" s="429">
        <f t="shared" si="27"/>
        <v>47.266206301413526</v>
      </c>
      <c r="I95" s="429">
        <f t="shared" si="27"/>
        <v>48.670330490300024</v>
      </c>
      <c r="J95" s="429">
        <f t="shared" si="27"/>
        <v>50.119119095623773</v>
      </c>
      <c r="K95" s="429">
        <f t="shared" si="27"/>
        <v>51.615077406412581</v>
      </c>
      <c r="L95" s="429">
        <f t="shared" si="27"/>
        <v>53.168449384402706</v>
      </c>
      <c r="M95" s="429">
        <f t="shared" si="27"/>
        <v>54.769440993904034</v>
      </c>
      <c r="N95" s="429">
        <f t="shared" si="27"/>
        <v>57.18877885175953</v>
      </c>
      <c r="O95" s="429">
        <f t="shared" si="27"/>
        <v>58.923582482717286</v>
      </c>
      <c r="P95" s="429">
        <f t="shared" si="27"/>
        <v>60.713169316150157</v>
      </c>
      <c r="Q95" s="429">
        <f t="shared" si="27"/>
        <v>62.564591280575286</v>
      </c>
      <c r="R95" s="429">
        <f t="shared" si="27"/>
        <v>64.474845900613587</v>
      </c>
      <c r="S95" s="429">
        <f t="shared" si="27"/>
        <v>66.451065172432536</v>
      </c>
      <c r="T95" s="429">
        <f t="shared" si="27"/>
        <v>68.496218819153796</v>
      </c>
      <c r="U95" s="429">
        <f t="shared" si="27"/>
        <v>70.611635202390531</v>
      </c>
      <c r="V95" s="429">
        <f t="shared" si="27"/>
        <v>72.798687789306697</v>
      </c>
      <c r="W95" s="429">
        <f t="shared" si="27"/>
        <v>75.060481673428882</v>
      </c>
      <c r="X95" s="429">
        <f t="shared" si="27"/>
        <v>78.429075473106963</v>
      </c>
      <c r="Y95" s="429">
        <f t="shared" si="27"/>
        <v>80.87407467533518</v>
      </c>
      <c r="Z95" s="429">
        <f t="shared" si="27"/>
        <v>83.399298096180587</v>
      </c>
      <c r="AA95" s="429">
        <f t="shared" si="27"/>
        <v>86.017445885670597</v>
      </c>
      <c r="AB95" s="429">
        <f t="shared" si="27"/>
        <v>88.717303384065062</v>
      </c>
      <c r="AC95" s="429">
        <f t="shared" si="27"/>
        <v>91.515317914813167</v>
      </c>
      <c r="AD95" s="429">
        <f t="shared" si="27"/>
        <v>94.400391473571659</v>
      </c>
      <c r="AE95" s="429">
        <f t="shared" si="27"/>
        <v>97.387274889335657</v>
      </c>
      <c r="AF95" s="429">
        <f t="shared" si="27"/>
        <v>100.47607160142545</v>
      </c>
      <c r="AG95" s="429">
        <f t="shared" si="27"/>
        <v>103.66876805513888</v>
      </c>
    </row>
    <row r="96" spans="1:34" s="344" customFormat="1">
      <c r="A96" s="342" t="s">
        <v>180</v>
      </c>
      <c r="B96" s="342"/>
      <c r="H96" s="430">
        <f>H98/H63</f>
        <v>1.1332925176017843</v>
      </c>
      <c r="AB96" s="430">
        <f>AB98/AB63</f>
        <v>1.0900594423796321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00" t="s">
        <v>326</v>
      </c>
      <c r="B98" s="300" t="s">
        <v>309</v>
      </c>
      <c r="C98" s="376">
        <f>ROUND(('Changing with year'!C107)/1000,0)*1000</f>
        <v>4180000</v>
      </c>
      <c r="D98" s="376">
        <f>ROUND(('Changing with year'!D107)/1000,0)*1000</f>
        <v>4294000</v>
      </c>
      <c r="E98" s="376">
        <f>ROUND(('Changing with year'!E107)/1000,0)*1000</f>
        <v>4411000</v>
      </c>
      <c r="F98" s="376">
        <f>ROUND(('Changing with year'!F107)/1000,0)*1000</f>
        <v>4532000</v>
      </c>
      <c r="G98" s="376">
        <f>ROUND(('Changing with year'!G107)/1000,0)*1000</f>
        <v>4656000</v>
      </c>
      <c r="H98" s="376">
        <f>ROUND(('Changing with year'!H107)/1000,0)*1000</f>
        <v>5183000</v>
      </c>
      <c r="I98" s="376">
        <f>ROUND(('Changing with year'!I107)/1000,0)*1000</f>
        <v>5327000</v>
      </c>
      <c r="J98" s="376">
        <f>ROUND(('Changing with year'!J107)/1000,0)*1000</f>
        <v>5474000</v>
      </c>
      <c r="K98" s="376">
        <f>ROUND(('Changing with year'!K107)/1000,0)*1000</f>
        <v>5626000</v>
      </c>
      <c r="L98" s="376">
        <f>ROUND(('Changing with year'!L107)/1000,0)*1000</f>
        <v>5782000</v>
      </c>
      <c r="M98" s="376">
        <f>ROUND(('Changing with year'!M107)/1000,0)*1000</f>
        <v>5943000</v>
      </c>
      <c r="N98" s="376">
        <f>ROUND(('Changing with year'!N107)/1000,0)*1000</f>
        <v>6108000</v>
      </c>
      <c r="O98" s="376">
        <f>ROUND(('Changing with year'!O107)/1000,0)*1000</f>
        <v>6279000</v>
      </c>
      <c r="P98" s="376">
        <f>ROUND(('Changing with year'!P107)/1000,0)*1000</f>
        <v>6454000</v>
      </c>
      <c r="Q98" s="376">
        <f>ROUND(('Changing with year'!Q107)/1000,0)*1000</f>
        <v>6634000</v>
      </c>
      <c r="R98" s="376">
        <f>ROUND(('Changing with year'!R107)/1000,0)*1000</f>
        <v>6820000</v>
      </c>
      <c r="S98" s="376">
        <f>ROUND(('Changing with year'!S107)/1000,0)*1000</f>
        <v>7011000</v>
      </c>
      <c r="T98" s="376">
        <f>ROUND(('Changing with year'!T107)/1000,0)*1000</f>
        <v>7208000</v>
      </c>
      <c r="U98" s="376">
        <f>ROUND(('Changing with year'!U107)/1000,0)*1000</f>
        <v>7410000</v>
      </c>
      <c r="V98" s="376">
        <f>ROUND(('Changing with year'!V107)/1000,0)*1000</f>
        <v>7619000</v>
      </c>
      <c r="W98" s="376">
        <f>ROUND(('Changing with year'!W107)/1000,0)*1000</f>
        <v>7833000</v>
      </c>
      <c r="X98" s="376">
        <f>ROUND(('Changing with year'!X107)/1000,0)*1000</f>
        <v>8054000</v>
      </c>
      <c r="Y98" s="376">
        <f>ROUND(('Changing with year'!Y107)/1000,0)*1000</f>
        <v>8282000</v>
      </c>
      <c r="Z98" s="376">
        <f>ROUND(('Changing with year'!Z107)/1000,0)*1000</f>
        <v>8516000</v>
      </c>
      <c r="AA98" s="376">
        <f>ROUND(('Changing with year'!AA107)/1000,0)*1000</f>
        <v>8756000</v>
      </c>
      <c r="AB98" s="376">
        <f>ROUND(('Changing with year'!AB107)/1000,0)*1000</f>
        <v>9004000</v>
      </c>
      <c r="AC98" s="376">
        <f>ROUND(('Changing with year'!AC107)/1000,0)*1000</f>
        <v>9260000</v>
      </c>
      <c r="AD98" s="376">
        <f>ROUND(('Changing with year'!AD107)/1000,0)*1000</f>
        <v>9522000</v>
      </c>
      <c r="AE98" s="376">
        <f>ROUND(('Changing with year'!AE107)/1000,0)*1000</f>
        <v>9793000</v>
      </c>
      <c r="AF98" s="376">
        <f>ROUND(('Changing with year'!AF107)/1000,0)*1000</f>
        <v>10071000</v>
      </c>
      <c r="AG98" s="376">
        <f>ROUND(('Changing with year'!AG107)/1000,0)*1000</f>
        <v>10358000</v>
      </c>
    </row>
    <row r="99" spans="1:34">
      <c r="A99" s="300" t="s">
        <v>310</v>
      </c>
      <c r="B99" s="300" t="s">
        <v>309</v>
      </c>
      <c r="C99" s="376">
        <f>(C98*'No change with year'!$AE$9)</f>
        <v>2090000</v>
      </c>
      <c r="D99" s="376">
        <f>(D98*'No change with year'!$AE$9)</f>
        <v>2147000</v>
      </c>
      <c r="E99" s="376">
        <f>(E98*'No change with year'!$AE$9)</f>
        <v>2205500</v>
      </c>
      <c r="F99" s="376">
        <f>(F98*'No change with year'!$AE$9)</f>
        <v>2266000</v>
      </c>
      <c r="G99" s="376">
        <f>(G98*'No change with year'!$AE$9)</f>
        <v>2328000</v>
      </c>
      <c r="H99" s="376">
        <f>(H98*'No change with year'!$AE$9)</f>
        <v>2591500</v>
      </c>
      <c r="I99" s="376">
        <f>(I98*'No change with year'!$AE$9)</f>
        <v>2663500</v>
      </c>
      <c r="J99" s="376">
        <f>(J98*'No change with year'!$AE$9)</f>
        <v>2737000</v>
      </c>
      <c r="K99" s="376">
        <f>(K98*'No change with year'!$AE$9)</f>
        <v>2813000</v>
      </c>
      <c r="L99" s="376">
        <f>(L98*'No change with year'!$AE$9)</f>
        <v>2891000</v>
      </c>
      <c r="M99" s="376">
        <f>(M98*'No change with year'!$AE$9)</f>
        <v>2971500</v>
      </c>
      <c r="N99" s="376">
        <f>(N98*'No change with year'!$AF$9)</f>
        <v>2443200.0000000005</v>
      </c>
      <c r="O99" s="376">
        <f>(O98*'No change with year'!$AF$9)</f>
        <v>2511600.0000000005</v>
      </c>
      <c r="P99" s="376">
        <f>(P98*'No change with year'!$AF$9)</f>
        <v>2581600.0000000005</v>
      </c>
      <c r="Q99" s="376">
        <f>(Q98*'No change with year'!$AF$9)</f>
        <v>2653600.0000000005</v>
      </c>
      <c r="R99" s="376">
        <f>(R98*'No change with year'!$AF$9)</f>
        <v>2728000.0000000005</v>
      </c>
      <c r="S99" s="376">
        <f>(S98*'No change with year'!$AF$9)</f>
        <v>2804400.0000000005</v>
      </c>
      <c r="T99" s="376">
        <f>(T98*'No change with year'!$AF$9)</f>
        <v>2883200.0000000005</v>
      </c>
      <c r="U99" s="376">
        <f>(U98*'No change with year'!$AF$9)</f>
        <v>2964000.0000000005</v>
      </c>
      <c r="V99" s="376">
        <f>(V98*'No change with year'!$AF$9)</f>
        <v>3047600.0000000005</v>
      </c>
      <c r="W99" s="376">
        <f>(W98*'No change with year'!$AF$9)</f>
        <v>3133200.0000000005</v>
      </c>
      <c r="X99" s="376">
        <f>(X98*'No change with year'!$AG$9)</f>
        <v>2416200.0000000005</v>
      </c>
      <c r="Y99" s="376">
        <f>(Y98*'No change with year'!$AG$9)</f>
        <v>2484600.0000000005</v>
      </c>
      <c r="Z99" s="376">
        <f>(Z98*'No change with year'!$AG$9)</f>
        <v>2554800.0000000005</v>
      </c>
      <c r="AA99" s="376">
        <f>(AA98*'No change with year'!$AG$9)</f>
        <v>2626800.0000000005</v>
      </c>
      <c r="AB99" s="376">
        <f>(AB98*'No change with year'!$AG$9)</f>
        <v>2701200.0000000005</v>
      </c>
      <c r="AC99" s="376">
        <f>(AC98*'No change with year'!$AG$9)</f>
        <v>2778000.0000000005</v>
      </c>
      <c r="AD99" s="376">
        <f>(AD98*'No change with year'!$AG$9)</f>
        <v>2856600.0000000005</v>
      </c>
      <c r="AE99" s="376">
        <f>(AE98*'No change with year'!$AG$9)</f>
        <v>2937900.0000000005</v>
      </c>
      <c r="AF99" s="376">
        <f>(AF98*'No change with year'!$AG$9)</f>
        <v>3021300.0000000005</v>
      </c>
      <c r="AG99" s="376">
        <f>(AG98*'No change with year'!$AG$9)</f>
        <v>3107400.0000000005</v>
      </c>
    </row>
    <row r="100" spans="1:34" s="371" customFormat="1" ht="11.85" customHeight="1">
      <c r="A100" s="428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00" t="s">
        <v>312</v>
      </c>
      <c r="B101" s="300" t="s">
        <v>313</v>
      </c>
      <c r="C101" s="376">
        <f t="shared" ref="C101:AG101" si="29">-PMT($C$26,$C$25,C98)</f>
        <v>915912.13606781384</v>
      </c>
      <c r="D101" s="376">
        <f t="shared" si="29"/>
        <v>940891.55796057242</v>
      </c>
      <c r="E101" s="376">
        <f t="shared" si="29"/>
        <v>966528.33306103514</v>
      </c>
      <c r="F101" s="376">
        <f t="shared" si="29"/>
        <v>993041.57910510339</v>
      </c>
      <c r="G101" s="376">
        <f t="shared" si="29"/>
        <v>1020212.178356876</v>
      </c>
      <c r="H101" s="376">
        <f t="shared" si="29"/>
        <v>1135687.225176909</v>
      </c>
      <c r="I101" s="376">
        <f t="shared" si="29"/>
        <v>1167240.1791467092</v>
      </c>
      <c r="J101" s="376">
        <f t="shared" si="29"/>
        <v>1199450.4863242134</v>
      </c>
      <c r="K101" s="376">
        <f t="shared" si="29"/>
        <v>1232756.3821812251</v>
      </c>
      <c r="L101" s="376">
        <f t="shared" si="29"/>
        <v>1266938.7489818421</v>
      </c>
      <c r="M101" s="376">
        <f t="shared" si="29"/>
        <v>1302216.7044619659</v>
      </c>
      <c r="N101" s="376">
        <f t="shared" si="29"/>
        <v>1338371.1308856956</v>
      </c>
      <c r="O101" s="376">
        <f t="shared" si="29"/>
        <v>1375840.2637248333</v>
      </c>
      <c r="P101" s="376">
        <f t="shared" si="29"/>
        <v>1414185.8675075767</v>
      </c>
      <c r="Q101" s="376">
        <f t="shared" si="29"/>
        <v>1453627.0599698271</v>
      </c>
      <c r="R101" s="376">
        <f t="shared" si="29"/>
        <v>1494382.9588474857</v>
      </c>
      <c r="S101" s="376">
        <f t="shared" si="29"/>
        <v>1536234.4464046515</v>
      </c>
      <c r="T101" s="376">
        <f t="shared" si="29"/>
        <v>1579400.6403772254</v>
      </c>
      <c r="U101" s="376">
        <f t="shared" si="29"/>
        <v>1623662.4230293063</v>
      </c>
      <c r="V101" s="376">
        <f t="shared" si="29"/>
        <v>1669458.0298326972</v>
      </c>
      <c r="W101" s="376">
        <f t="shared" si="29"/>
        <v>1716349.2253155948</v>
      </c>
      <c r="X101" s="376">
        <f t="shared" si="29"/>
        <v>1764774.2449498021</v>
      </c>
      <c r="Y101" s="376">
        <f t="shared" si="29"/>
        <v>1814733.0887353192</v>
      </c>
      <c r="Z101" s="376">
        <f t="shared" si="29"/>
        <v>1866006.6389362446</v>
      </c>
      <c r="AA101" s="376">
        <f t="shared" si="29"/>
        <v>1918594.8955525784</v>
      </c>
      <c r="AB101" s="376">
        <f t="shared" si="29"/>
        <v>1972936.0940561234</v>
      </c>
      <c r="AC101" s="376">
        <f t="shared" si="29"/>
        <v>2029030.2344468795</v>
      </c>
      <c r="AD101" s="376">
        <f t="shared" si="29"/>
        <v>2086439.0812530438</v>
      </c>
      <c r="AE101" s="376">
        <f t="shared" si="29"/>
        <v>2145819.9876823211</v>
      </c>
      <c r="AF101" s="376">
        <f t="shared" si="29"/>
        <v>2206734.7182629076</v>
      </c>
      <c r="AG101" s="376">
        <f t="shared" si="29"/>
        <v>2269621.508466607</v>
      </c>
    </row>
    <row r="102" spans="1:34">
      <c r="A102" s="300" t="s">
        <v>321</v>
      </c>
      <c r="B102" s="300" t="s">
        <v>309</v>
      </c>
      <c r="C102" s="376">
        <f t="shared" ref="C102:AG102" si="30">$E$37*C44</f>
        <v>1927741.9354838708</v>
      </c>
      <c r="D102" s="376">
        <f t="shared" si="30"/>
        <v>1997419.3548387096</v>
      </c>
      <c r="E102" s="376">
        <f t="shared" si="30"/>
        <v>2057341.9354838708</v>
      </c>
      <c r="F102" s="376">
        <f t="shared" si="30"/>
        <v>2119062.1935483869</v>
      </c>
      <c r="G102" s="376">
        <f t="shared" si="30"/>
        <v>2182634.0593548384</v>
      </c>
      <c r="H102" s="376">
        <f t="shared" si="30"/>
        <v>2248113.0811354835</v>
      </c>
      <c r="I102" s="376">
        <f t="shared" si="30"/>
        <v>2315556.4735695482</v>
      </c>
      <c r="J102" s="376">
        <f t="shared" si="30"/>
        <v>2385023.1677766349</v>
      </c>
      <c r="K102" s="376">
        <f t="shared" si="30"/>
        <v>2456573.8628099342</v>
      </c>
      <c r="L102" s="376">
        <f t="shared" si="30"/>
        <v>2530271.0786942323</v>
      </c>
      <c r="M102" s="376">
        <f t="shared" si="30"/>
        <v>2606179.211055059</v>
      </c>
      <c r="N102" s="376">
        <f t="shared" si="30"/>
        <v>2684364.587386711</v>
      </c>
      <c r="O102" s="376">
        <f t="shared" si="30"/>
        <v>2764895.5250083124</v>
      </c>
      <c r="P102" s="376">
        <f t="shared" si="30"/>
        <v>2847842.3907585619</v>
      </c>
      <c r="Q102" s="376">
        <f t="shared" si="30"/>
        <v>2933277.6624813187</v>
      </c>
      <c r="R102" s="376">
        <f t="shared" si="30"/>
        <v>3021275.9923557583</v>
      </c>
      <c r="S102" s="376">
        <f t="shared" si="30"/>
        <v>3111914.2721264311</v>
      </c>
      <c r="T102" s="376">
        <f t="shared" si="30"/>
        <v>3205271.700290224</v>
      </c>
      <c r="U102" s="376">
        <f t="shared" si="30"/>
        <v>3301429.8512989311</v>
      </c>
      <c r="V102" s="376">
        <f t="shared" si="30"/>
        <v>3400472.7468378986</v>
      </c>
      <c r="W102" s="376">
        <f t="shared" si="30"/>
        <v>3502486.9292430361</v>
      </c>
      <c r="X102" s="376">
        <f t="shared" si="30"/>
        <v>3607561.5371203274</v>
      </c>
      <c r="Y102" s="376">
        <f t="shared" si="30"/>
        <v>3715788.3832339374</v>
      </c>
      <c r="Z102" s="376">
        <f t="shared" si="30"/>
        <v>3827262.0347309555</v>
      </c>
      <c r="AA102" s="376">
        <f t="shared" si="30"/>
        <v>3942079.8957728841</v>
      </c>
      <c r="AB102" s="376">
        <f t="shared" si="30"/>
        <v>4060342.2926460709</v>
      </c>
      <c r="AC102" s="376">
        <f t="shared" si="30"/>
        <v>4182152.5614254531</v>
      </c>
      <c r="AD102" s="376">
        <f t="shared" si="30"/>
        <v>4307617.1382682165</v>
      </c>
      <c r="AE102" s="376">
        <f t="shared" si="30"/>
        <v>4436845.6524162628</v>
      </c>
      <c r="AF102" s="376">
        <f t="shared" si="30"/>
        <v>4569951.0219887514</v>
      </c>
      <c r="AG102" s="376">
        <f t="shared" si="30"/>
        <v>4707049.552648413</v>
      </c>
    </row>
    <row r="103" spans="1:34">
      <c r="A103" s="300" t="s">
        <v>317</v>
      </c>
      <c r="B103" s="300" t="s">
        <v>309</v>
      </c>
      <c r="C103" s="376">
        <f t="shared" ref="C103:AG103" si="31">C56*$C$21*$C$22</f>
        <v>507600</v>
      </c>
      <c r="D103" s="376">
        <f t="shared" si="31"/>
        <v>527904.00000000012</v>
      </c>
      <c r="E103" s="376">
        <f t="shared" si="31"/>
        <v>549020.16000000015</v>
      </c>
      <c r="F103" s="376">
        <f t="shared" si="31"/>
        <v>570980.96640000015</v>
      </c>
      <c r="G103" s="376">
        <f t="shared" si="31"/>
        <v>593820.20505600015</v>
      </c>
      <c r="H103" s="376">
        <f t="shared" si="31"/>
        <v>617573.01325824019</v>
      </c>
      <c r="I103" s="376">
        <f t="shared" si="31"/>
        <v>642275.93378856988</v>
      </c>
      <c r="J103" s="376">
        <f t="shared" si="31"/>
        <v>667966.97114011261</v>
      </c>
      <c r="K103" s="376">
        <f t="shared" si="31"/>
        <v>694685.64998571726</v>
      </c>
      <c r="L103" s="376">
        <f t="shared" si="31"/>
        <v>722473.07598514599</v>
      </c>
      <c r="M103" s="376">
        <f t="shared" si="31"/>
        <v>751371.99902455183</v>
      </c>
      <c r="N103" s="376">
        <f t="shared" si="31"/>
        <v>781426.87898553384</v>
      </c>
      <c r="O103" s="376">
        <f t="shared" si="31"/>
        <v>812683.95414495526</v>
      </c>
      <c r="P103" s="376">
        <f t="shared" si="31"/>
        <v>845191.31231075351</v>
      </c>
      <c r="Q103" s="376">
        <f t="shared" si="31"/>
        <v>878998.96480318357</v>
      </c>
      <c r="R103" s="376">
        <f t="shared" si="31"/>
        <v>914158.92339531099</v>
      </c>
      <c r="S103" s="376">
        <f t="shared" si="31"/>
        <v>950725.28033112339</v>
      </c>
      <c r="T103" s="376">
        <f t="shared" si="31"/>
        <v>988754.29154436837</v>
      </c>
      <c r="U103" s="376">
        <f t="shared" si="31"/>
        <v>1028304.4632061432</v>
      </c>
      <c r="V103" s="376">
        <f t="shared" si="31"/>
        <v>1069436.6417343889</v>
      </c>
      <c r="W103" s="376">
        <f t="shared" si="31"/>
        <v>1112214.1074037643</v>
      </c>
      <c r="X103" s="376">
        <f t="shared" si="31"/>
        <v>1156702.6716999151</v>
      </c>
      <c r="Y103" s="376">
        <f t="shared" si="31"/>
        <v>1202970.7785679116</v>
      </c>
      <c r="Z103" s="376">
        <f t="shared" si="31"/>
        <v>1251089.6097106282</v>
      </c>
      <c r="AA103" s="376">
        <f t="shared" si="31"/>
        <v>1301133.1940990533</v>
      </c>
      <c r="AB103" s="376">
        <f t="shared" si="31"/>
        <v>1353178.5218630156</v>
      </c>
      <c r="AC103" s="376">
        <f t="shared" si="31"/>
        <v>1407305.6627375362</v>
      </c>
      <c r="AD103" s="376">
        <f t="shared" si="31"/>
        <v>1463597.8892470377</v>
      </c>
      <c r="AE103" s="376">
        <f t="shared" si="31"/>
        <v>1522141.8048169194</v>
      </c>
      <c r="AF103" s="376">
        <f t="shared" si="31"/>
        <v>1583027.4770095965</v>
      </c>
      <c r="AG103" s="376">
        <f t="shared" si="31"/>
        <v>1646348.5760899801</v>
      </c>
    </row>
    <row r="104" spans="1:34">
      <c r="A104" s="300" t="s">
        <v>318</v>
      </c>
      <c r="B104" s="300" t="s">
        <v>313</v>
      </c>
      <c r="C104" s="376">
        <f>'Changing with year'!C289</f>
        <v>450000</v>
      </c>
      <c r="D104" s="376">
        <f>'Changing with year'!D289</f>
        <v>470000</v>
      </c>
      <c r="E104" s="376">
        <f>'Changing with year'!E289</f>
        <v>491000</v>
      </c>
      <c r="F104" s="376">
        <f>'Changing with year'!F289</f>
        <v>513000</v>
      </c>
      <c r="G104" s="376">
        <f>'Changing with year'!G289</f>
        <v>536000</v>
      </c>
      <c r="H104" s="376">
        <f>'Changing with year'!H289</f>
        <v>560000</v>
      </c>
      <c r="I104" s="376">
        <f>'Changing with year'!I289</f>
        <v>585000</v>
      </c>
      <c r="J104" s="376">
        <f>'Changing with year'!J289</f>
        <v>611000</v>
      </c>
      <c r="K104" s="376">
        <f>'Changing with year'!K289</f>
        <v>638000</v>
      </c>
      <c r="L104" s="376">
        <f>'Changing with year'!L289</f>
        <v>667000</v>
      </c>
      <c r="M104" s="376">
        <f>'Changing with year'!M289</f>
        <v>697000</v>
      </c>
      <c r="N104" s="376">
        <f>'Changing with year'!N289</f>
        <v>728000</v>
      </c>
      <c r="O104" s="376">
        <f>'Changing with year'!O289</f>
        <v>761000</v>
      </c>
      <c r="P104" s="376">
        <f>'Changing with year'!P289</f>
        <v>795000</v>
      </c>
      <c r="Q104" s="376">
        <f>'Changing with year'!Q289</f>
        <v>831000</v>
      </c>
      <c r="R104" s="376">
        <f>'Changing with year'!R289</f>
        <v>868000</v>
      </c>
      <c r="S104" s="376">
        <f>'Changing with year'!S289</f>
        <v>907000</v>
      </c>
      <c r="T104" s="376">
        <f>'Changing with year'!T289</f>
        <v>948000</v>
      </c>
      <c r="U104" s="376">
        <f>'Changing with year'!U289</f>
        <v>991000</v>
      </c>
      <c r="V104" s="376">
        <f>'Changing with year'!V289</f>
        <v>1036000</v>
      </c>
      <c r="W104" s="376">
        <f>'Changing with year'!W289</f>
        <v>1083000</v>
      </c>
      <c r="X104" s="376">
        <f>'Changing with year'!X289</f>
        <v>1132000</v>
      </c>
      <c r="Y104" s="376">
        <f>'Changing with year'!Y289</f>
        <v>1183000</v>
      </c>
      <c r="Z104" s="376">
        <f>'Changing with year'!Z289</f>
        <v>1236000</v>
      </c>
      <c r="AA104" s="376">
        <f>'Changing with year'!AA289</f>
        <v>1292000</v>
      </c>
      <c r="AB104" s="376">
        <f>'Changing with year'!AB289</f>
        <v>1350000</v>
      </c>
      <c r="AC104" s="376">
        <f>'Changing with year'!AC289</f>
        <v>1411000</v>
      </c>
      <c r="AD104" s="376">
        <f>'Changing with year'!AD289</f>
        <v>1474000</v>
      </c>
      <c r="AE104" s="376">
        <f>'Changing with year'!AE289</f>
        <v>1540000</v>
      </c>
      <c r="AF104" s="376">
        <f>'Changing with year'!AF289</f>
        <v>1609000</v>
      </c>
      <c r="AG104" s="376">
        <f>'Changing with year'!AG289</f>
        <v>1681000</v>
      </c>
      <c r="AH104" s="339"/>
    </row>
    <row r="105" spans="1:34">
      <c r="A105" s="300" t="s">
        <v>272</v>
      </c>
      <c r="B105" s="300" t="s">
        <v>313</v>
      </c>
      <c r="C105" s="376">
        <f t="shared" ref="C105:AG105" si="32">C59</f>
        <v>756000</v>
      </c>
      <c r="D105" s="376">
        <f t="shared" si="32"/>
        <v>763560.00000000012</v>
      </c>
      <c r="E105" s="376">
        <f t="shared" si="32"/>
        <v>771195.6</v>
      </c>
      <c r="F105" s="376">
        <f t="shared" si="32"/>
        <v>778907.5560000001</v>
      </c>
      <c r="G105" s="376">
        <f t="shared" si="32"/>
        <v>786696.63156000001</v>
      </c>
      <c r="H105" s="376">
        <f t="shared" si="32"/>
        <v>794563.59787559998</v>
      </c>
      <c r="I105" s="376">
        <f t="shared" si="32"/>
        <v>802509.23385435599</v>
      </c>
      <c r="J105" s="376">
        <f t="shared" si="32"/>
        <v>810534.32619289949</v>
      </c>
      <c r="K105" s="376">
        <f t="shared" si="32"/>
        <v>818639.6694548286</v>
      </c>
      <c r="L105" s="376">
        <f t="shared" si="32"/>
        <v>826826.06614937691</v>
      </c>
      <c r="M105" s="376">
        <f t="shared" si="32"/>
        <v>835094.32681087067</v>
      </c>
      <c r="N105" s="376">
        <f t="shared" si="32"/>
        <v>843445.27007897932</v>
      </c>
      <c r="O105" s="376">
        <f t="shared" si="32"/>
        <v>851879.7227797691</v>
      </c>
      <c r="P105" s="376">
        <f t="shared" si="32"/>
        <v>860398.52000756678</v>
      </c>
      <c r="Q105" s="376">
        <f t="shared" si="32"/>
        <v>869002.50520764268</v>
      </c>
      <c r="R105" s="376">
        <f t="shared" si="32"/>
        <v>877692.53025971889</v>
      </c>
      <c r="S105" s="376">
        <f t="shared" si="32"/>
        <v>886469.45556231611</v>
      </c>
      <c r="T105" s="376">
        <f t="shared" si="32"/>
        <v>895334.15011793945</v>
      </c>
      <c r="U105" s="376">
        <f t="shared" si="32"/>
        <v>904287.49161911872</v>
      </c>
      <c r="V105" s="376">
        <f t="shared" si="32"/>
        <v>913330.36653530993</v>
      </c>
      <c r="W105" s="376">
        <f t="shared" si="32"/>
        <v>922463.67020066304</v>
      </c>
      <c r="X105" s="376">
        <f t="shared" si="32"/>
        <v>931688.30690266972</v>
      </c>
      <c r="Y105" s="376">
        <f t="shared" si="32"/>
        <v>941005.18997169647</v>
      </c>
      <c r="Z105" s="376">
        <f t="shared" si="32"/>
        <v>950415.24187141354</v>
      </c>
      <c r="AA105" s="376">
        <f t="shared" si="32"/>
        <v>959919.39429012756</v>
      </c>
      <c r="AB105" s="376">
        <f t="shared" si="32"/>
        <v>969518.588233029</v>
      </c>
      <c r="AC105" s="376">
        <f t="shared" si="32"/>
        <v>979213.77411535941</v>
      </c>
      <c r="AD105" s="376">
        <f t="shared" si="32"/>
        <v>989005.91185651289</v>
      </c>
      <c r="AE105" s="376">
        <f t="shared" si="32"/>
        <v>998895.97097507794</v>
      </c>
      <c r="AF105" s="376">
        <f t="shared" si="32"/>
        <v>1008884.9306848288</v>
      </c>
      <c r="AG105" s="376">
        <f t="shared" si="32"/>
        <v>1018973.779991677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83600</v>
      </c>
      <c r="D106" s="376">
        <f t="shared" si="33"/>
        <v>85880</v>
      </c>
      <c r="E106" s="376">
        <f t="shared" si="33"/>
        <v>88220</v>
      </c>
      <c r="F106" s="376">
        <f t="shared" si="33"/>
        <v>90640</v>
      </c>
      <c r="G106" s="376">
        <f t="shared" si="33"/>
        <v>93120</v>
      </c>
      <c r="H106" s="376">
        <f t="shared" si="33"/>
        <v>103660</v>
      </c>
      <c r="I106" s="376">
        <f t="shared" si="33"/>
        <v>106540</v>
      </c>
      <c r="J106" s="376">
        <f t="shared" si="33"/>
        <v>109480</v>
      </c>
      <c r="K106" s="376">
        <f t="shared" si="33"/>
        <v>112520</v>
      </c>
      <c r="L106" s="376">
        <f t="shared" si="33"/>
        <v>115640</v>
      </c>
      <c r="M106" s="376">
        <f t="shared" si="33"/>
        <v>118860</v>
      </c>
      <c r="N106" s="376">
        <f t="shared" si="33"/>
        <v>122160</v>
      </c>
      <c r="O106" s="376">
        <f t="shared" si="33"/>
        <v>125580</v>
      </c>
      <c r="P106" s="376">
        <f t="shared" si="33"/>
        <v>129080</v>
      </c>
      <c r="Q106" s="376">
        <f t="shared" si="33"/>
        <v>132680</v>
      </c>
      <c r="R106" s="376">
        <f t="shared" si="33"/>
        <v>136400</v>
      </c>
      <c r="S106" s="376">
        <f t="shared" si="33"/>
        <v>140220</v>
      </c>
      <c r="T106" s="376">
        <f t="shared" si="33"/>
        <v>144160</v>
      </c>
      <c r="U106" s="376">
        <f t="shared" si="33"/>
        <v>148200</v>
      </c>
      <c r="V106" s="376">
        <f t="shared" si="33"/>
        <v>152380</v>
      </c>
      <c r="W106" s="376">
        <f t="shared" si="33"/>
        <v>156660</v>
      </c>
      <c r="X106" s="376">
        <f t="shared" si="33"/>
        <v>161080</v>
      </c>
      <c r="Y106" s="376">
        <f t="shared" si="33"/>
        <v>165640</v>
      </c>
      <c r="Z106" s="376">
        <f t="shared" si="33"/>
        <v>170320</v>
      </c>
      <c r="AA106" s="376">
        <f t="shared" si="33"/>
        <v>175120</v>
      </c>
      <c r="AB106" s="376">
        <f t="shared" si="33"/>
        <v>180080</v>
      </c>
      <c r="AC106" s="376">
        <f t="shared" si="33"/>
        <v>185200</v>
      </c>
      <c r="AD106" s="376">
        <f t="shared" si="33"/>
        <v>190440</v>
      </c>
      <c r="AE106" s="376">
        <f t="shared" si="33"/>
        <v>195860</v>
      </c>
      <c r="AF106" s="376">
        <f t="shared" si="33"/>
        <v>201420</v>
      </c>
      <c r="AG106" s="376">
        <f t="shared" si="33"/>
        <v>207160</v>
      </c>
    </row>
    <row r="107" spans="1:34" s="371" customFormat="1" ht="11.85" customHeight="1">
      <c r="A107" s="428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8.4806679265538314</v>
      </c>
      <c r="D108" s="379">
        <f t="shared" si="34"/>
        <v>8.7119588700053008</v>
      </c>
      <c r="E108" s="379">
        <f t="shared" si="34"/>
        <v>8.9493364172318071</v>
      </c>
      <c r="F108" s="379">
        <f t="shared" si="34"/>
        <v>9.1948294361583649</v>
      </c>
      <c r="G108" s="379">
        <f t="shared" si="34"/>
        <v>9.4464090588599632</v>
      </c>
      <c r="H108" s="379">
        <f t="shared" si="34"/>
        <v>10.515622455341751</v>
      </c>
      <c r="I108" s="379">
        <f t="shared" si="34"/>
        <v>10.807779436543603</v>
      </c>
      <c r="J108" s="379">
        <f t="shared" si="34"/>
        <v>11.106023021520494</v>
      </c>
      <c r="K108" s="379">
        <f t="shared" si="34"/>
        <v>11.414410946122455</v>
      </c>
      <c r="L108" s="379">
        <f t="shared" si="34"/>
        <v>11.730914342424464</v>
      </c>
      <c r="M108" s="379">
        <f t="shared" si="34"/>
        <v>12.057562078351536</v>
      </c>
      <c r="N108" s="379">
        <f t="shared" si="34"/>
        <v>12.392325285978663</v>
      </c>
      <c r="O108" s="379">
        <f t="shared" si="34"/>
        <v>12.739261701155863</v>
      </c>
      <c r="P108" s="379">
        <f t="shared" si="34"/>
        <v>13.094313588033117</v>
      </c>
      <c r="Q108" s="379">
        <f t="shared" si="34"/>
        <v>13.459509814535435</v>
      </c>
      <c r="R108" s="379">
        <f t="shared" si="34"/>
        <v>13.836879248587831</v>
      </c>
      <c r="S108" s="379">
        <f t="shared" si="34"/>
        <v>14.224393022265291</v>
      </c>
      <c r="T108" s="379">
        <f t="shared" si="34"/>
        <v>14.624080003492827</v>
      </c>
      <c r="U108" s="379">
        <f t="shared" si="34"/>
        <v>15.033911324345429</v>
      </c>
      <c r="V108" s="379">
        <f t="shared" si="34"/>
        <v>15.457944720673122</v>
      </c>
      <c r="W108" s="379">
        <f t="shared" si="34"/>
        <v>15.892122456625877</v>
      </c>
      <c r="X108" s="379">
        <f t="shared" si="34"/>
        <v>16.340502268053722</v>
      </c>
      <c r="Y108" s="379">
        <f t="shared" si="34"/>
        <v>16.803084154956661</v>
      </c>
      <c r="Z108" s="379">
        <f t="shared" si="34"/>
        <v>17.277839249409674</v>
      </c>
      <c r="AA108" s="379">
        <f t="shared" si="34"/>
        <v>17.764767551412763</v>
      </c>
      <c r="AB108" s="379">
        <f t="shared" si="34"/>
        <v>18.267926796815956</v>
      </c>
      <c r="AC108" s="379">
        <f t="shared" si="34"/>
        <v>18.787316985619256</v>
      </c>
      <c r="AD108" s="379">
        <f t="shared" si="34"/>
        <v>19.31888038197263</v>
      </c>
      <c r="AE108" s="379">
        <f t="shared" si="34"/>
        <v>19.868703589651123</v>
      </c>
      <c r="AF108" s="379">
        <f t="shared" si="34"/>
        <v>20.432728872804699</v>
      </c>
      <c r="AG108" s="379">
        <f t="shared" si="34"/>
        <v>21.015013967283398</v>
      </c>
    </row>
    <row r="109" spans="1:34">
      <c r="A109" s="300" t="s">
        <v>321</v>
      </c>
      <c r="B109" s="300" t="s">
        <v>300</v>
      </c>
      <c r="C109" s="379">
        <f t="shared" si="34"/>
        <v>17.849462365591396</v>
      </c>
      <c r="D109" s="379">
        <f t="shared" si="34"/>
        <v>18.494623655913976</v>
      </c>
      <c r="E109" s="379">
        <f t="shared" si="34"/>
        <v>19.049462365591395</v>
      </c>
      <c r="F109" s="379">
        <f t="shared" si="34"/>
        <v>19.620946236559138</v>
      </c>
      <c r="G109" s="379">
        <f t="shared" si="34"/>
        <v>20.209574623655911</v>
      </c>
      <c r="H109" s="379">
        <f t="shared" si="34"/>
        <v>20.815861862365587</v>
      </c>
      <c r="I109" s="379">
        <f t="shared" si="34"/>
        <v>21.440337718236556</v>
      </c>
      <c r="J109" s="379">
        <f t="shared" si="34"/>
        <v>22.083547849783656</v>
      </c>
      <c r="K109" s="379">
        <f t="shared" si="34"/>
        <v>22.746054285277168</v>
      </c>
      <c r="L109" s="379">
        <f t="shared" si="34"/>
        <v>23.428435913835482</v>
      </c>
      <c r="M109" s="379">
        <f t="shared" si="34"/>
        <v>24.131288991250546</v>
      </c>
      <c r="N109" s="379">
        <f t="shared" si="34"/>
        <v>24.855227660988064</v>
      </c>
      <c r="O109" s="379">
        <f t="shared" si="34"/>
        <v>25.600884490817709</v>
      </c>
      <c r="P109" s="379">
        <f t="shared" si="34"/>
        <v>26.368911025542239</v>
      </c>
      <c r="Q109" s="379">
        <f t="shared" si="34"/>
        <v>27.159978356308507</v>
      </c>
      <c r="R109" s="379">
        <f t="shared" si="34"/>
        <v>27.974777706997763</v>
      </c>
      <c r="S109" s="379">
        <f t="shared" si="34"/>
        <v>28.814021038207695</v>
      </c>
      <c r="T109" s="379">
        <f t="shared" si="34"/>
        <v>29.678441669353926</v>
      </c>
      <c r="U109" s="379">
        <f t="shared" si="34"/>
        <v>30.568794919434549</v>
      </c>
      <c r="V109" s="379">
        <f t="shared" si="34"/>
        <v>31.485858767017579</v>
      </c>
      <c r="W109" s="379">
        <f t="shared" si="34"/>
        <v>32.430434530028108</v>
      </c>
      <c r="X109" s="379">
        <f t="shared" si="34"/>
        <v>33.403347565928954</v>
      </c>
      <c r="Y109" s="379">
        <f t="shared" si="34"/>
        <v>34.405447992906829</v>
      </c>
      <c r="Z109" s="379">
        <f t="shared" si="34"/>
        <v>35.437611432694034</v>
      </c>
      <c r="AA109" s="379">
        <f t="shared" si="34"/>
        <v>36.500739775674852</v>
      </c>
      <c r="AB109" s="379">
        <f t="shared" si="34"/>
        <v>37.595761968945098</v>
      </c>
      <c r="AC109" s="379">
        <f t="shared" si="34"/>
        <v>38.723634828013452</v>
      </c>
      <c r="AD109" s="379">
        <f t="shared" si="34"/>
        <v>39.885343872853859</v>
      </c>
      <c r="AE109" s="379">
        <f t="shared" si="34"/>
        <v>41.08190418903947</v>
      </c>
      <c r="AF109" s="379">
        <f t="shared" si="34"/>
        <v>42.314361314710659</v>
      </c>
      <c r="AG109" s="379">
        <f t="shared" si="34"/>
        <v>43.583792154151972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16.640740740740739</v>
      </c>
      <c r="D110" s="379">
        <f t="shared" si="35"/>
        <v>17.105037037037039</v>
      </c>
      <c r="E110" s="379">
        <f t="shared" si="35"/>
        <v>17.587368148148151</v>
      </c>
      <c r="F110" s="379">
        <f t="shared" si="35"/>
        <v>18.088227059259264</v>
      </c>
      <c r="G110" s="379">
        <f t="shared" si="35"/>
        <v>18.607748487185187</v>
      </c>
      <c r="H110" s="379">
        <f t="shared" si="35"/>
        <v>19.22033899198</v>
      </c>
      <c r="I110" s="379">
        <f t="shared" si="35"/>
        <v>19.780788589286349</v>
      </c>
      <c r="J110" s="379">
        <f t="shared" si="35"/>
        <v>20.360937938268634</v>
      </c>
      <c r="K110" s="379">
        <f t="shared" si="35"/>
        <v>20.961530735560608</v>
      </c>
      <c r="L110" s="379">
        <f t="shared" si="35"/>
        <v>21.592029093838175</v>
      </c>
      <c r="M110" s="379">
        <f t="shared" si="35"/>
        <v>22.243762276253914</v>
      </c>
      <c r="N110" s="379">
        <f t="shared" si="35"/>
        <v>22.916964343189939</v>
      </c>
      <c r="O110" s="379">
        <f t="shared" si="35"/>
        <v>23.621700712265966</v>
      </c>
      <c r="P110" s="379">
        <f t="shared" si="35"/>
        <v>24.348794743688149</v>
      </c>
      <c r="Q110" s="379">
        <f t="shared" si="35"/>
        <v>25.108161759359504</v>
      </c>
      <c r="R110" s="379">
        <f t="shared" si="35"/>
        <v>25.891217163472497</v>
      </c>
      <c r="S110" s="379">
        <f t="shared" si="35"/>
        <v>26.707543850865182</v>
      </c>
      <c r="T110" s="379">
        <f t="shared" si="35"/>
        <v>27.557855941317666</v>
      </c>
      <c r="U110" s="379">
        <f t="shared" si="35"/>
        <v>28.442518100233904</v>
      </c>
      <c r="V110" s="379">
        <f t="shared" si="35"/>
        <v>29.362472298793502</v>
      </c>
      <c r="W110" s="379">
        <f t="shared" si="35"/>
        <v>30.317942385226182</v>
      </c>
      <c r="X110" s="379">
        <f t="shared" si="35"/>
        <v>31.309916468542454</v>
      </c>
      <c r="Y110" s="379">
        <f t="shared" si="35"/>
        <v>32.339036745737111</v>
      </c>
      <c r="Z110" s="379">
        <f t="shared" si="35"/>
        <v>33.405785662796681</v>
      </c>
      <c r="AA110" s="379">
        <f t="shared" si="35"/>
        <v>34.520116559159078</v>
      </c>
      <c r="AB110" s="379">
        <f t="shared" si="35"/>
        <v>35.673862130518927</v>
      </c>
      <c r="AC110" s="379">
        <f t="shared" si="35"/>
        <v>36.877031822711999</v>
      </c>
      <c r="AD110" s="379">
        <f t="shared" si="35"/>
        <v>38.120775936143986</v>
      </c>
      <c r="AE110" s="379">
        <f t="shared" si="35"/>
        <v>39.415720146222192</v>
      </c>
      <c r="AF110" s="379">
        <f t="shared" si="35"/>
        <v>40.76233710828172</v>
      </c>
      <c r="AG110" s="379">
        <f t="shared" si="35"/>
        <v>42.161873667422753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2.7645502645502646</v>
      </c>
      <c r="D111" s="379">
        <f t="shared" si="36"/>
        <v>2.8399470899470898</v>
      </c>
      <c r="E111" s="379">
        <f t="shared" si="36"/>
        <v>2.9173280423280423</v>
      </c>
      <c r="F111" s="379">
        <f t="shared" si="36"/>
        <v>2.9973544973544972</v>
      </c>
      <c r="G111" s="379">
        <f t="shared" si="36"/>
        <v>3.0793650793650795</v>
      </c>
      <c r="H111" s="379">
        <f t="shared" si="36"/>
        <v>3.427910052910053</v>
      </c>
      <c r="I111" s="379">
        <f t="shared" si="36"/>
        <v>3.5231481481481484</v>
      </c>
      <c r="J111" s="379">
        <f t="shared" si="36"/>
        <v>3.6203703703703702</v>
      </c>
      <c r="K111" s="379">
        <f t="shared" si="36"/>
        <v>3.7208994708994707</v>
      </c>
      <c r="L111" s="379">
        <f t="shared" si="36"/>
        <v>3.824074074074074</v>
      </c>
      <c r="M111" s="379">
        <f t="shared" si="36"/>
        <v>3.9305555555555554</v>
      </c>
      <c r="N111" s="379">
        <f t="shared" si="36"/>
        <v>3.2317460317460323</v>
      </c>
      <c r="O111" s="379">
        <f t="shared" si="36"/>
        <v>3.3222222222222229</v>
      </c>
      <c r="P111" s="379">
        <f t="shared" si="36"/>
        <v>3.4148148148148154</v>
      </c>
      <c r="Q111" s="379">
        <f t="shared" si="36"/>
        <v>3.5100529100529108</v>
      </c>
      <c r="R111" s="379">
        <f t="shared" si="36"/>
        <v>3.6084656084656093</v>
      </c>
      <c r="S111" s="379">
        <f t="shared" si="36"/>
        <v>3.7095238095238101</v>
      </c>
      <c r="T111" s="379">
        <f t="shared" si="36"/>
        <v>3.8137566137566146</v>
      </c>
      <c r="U111" s="379">
        <f t="shared" si="36"/>
        <v>3.9206349206349214</v>
      </c>
      <c r="V111" s="379">
        <f t="shared" si="36"/>
        <v>4.0312169312169317</v>
      </c>
      <c r="W111" s="379">
        <f t="shared" si="36"/>
        <v>4.1444444444444448</v>
      </c>
      <c r="X111" s="379">
        <f t="shared" si="36"/>
        <v>3.1960317460317467</v>
      </c>
      <c r="Y111" s="379">
        <f t="shared" si="36"/>
        <v>3.2865079365079373</v>
      </c>
      <c r="Z111" s="379">
        <f t="shared" si="36"/>
        <v>3.3793650793650798</v>
      </c>
      <c r="AA111" s="379">
        <f t="shared" si="36"/>
        <v>3.4746031746031751</v>
      </c>
      <c r="AB111" s="379">
        <f t="shared" si="36"/>
        <v>3.5730158730158736</v>
      </c>
      <c r="AC111" s="379">
        <f t="shared" si="36"/>
        <v>3.6746031746031753</v>
      </c>
      <c r="AD111" s="379">
        <f t="shared" si="36"/>
        <v>3.7785714285714294</v>
      </c>
      <c r="AE111" s="379">
        <f t="shared" si="36"/>
        <v>3.8861111111111115</v>
      </c>
      <c r="AF111" s="379">
        <f t="shared" si="36"/>
        <v>3.9964285714285719</v>
      </c>
      <c r="AG111" s="379">
        <f t="shared" si="36"/>
        <v>4.1103174603174608</v>
      </c>
    </row>
    <row r="112" spans="1:34" s="352" customFormat="1">
      <c r="A112" s="380" t="s">
        <v>323</v>
      </c>
      <c r="B112" s="352" t="s">
        <v>300</v>
      </c>
      <c r="C112" s="429">
        <f>SUM(C108:C110)-C111</f>
        <v>40.206320768335701</v>
      </c>
      <c r="D112" s="429">
        <f t="shared" ref="D112" si="37">SUM(D108:D110)-D111</f>
        <v>41.471672473009228</v>
      </c>
      <c r="E112" s="429">
        <f t="shared" ref="E112" si="38">SUM(E108:E110)-E111</f>
        <v>42.668838888643307</v>
      </c>
      <c r="F112" s="429">
        <f t="shared" ref="F112:AG112" si="39">SUM(F108:F110)-F111</f>
        <v>43.906648234622267</v>
      </c>
      <c r="G112" s="429">
        <f t="shared" si="39"/>
        <v>45.184367090335975</v>
      </c>
      <c r="H112" s="429">
        <f t="shared" si="39"/>
        <v>47.123913256777286</v>
      </c>
      <c r="I112" s="429">
        <f t="shared" si="39"/>
        <v>48.505757595918361</v>
      </c>
      <c r="J112" s="429">
        <f t="shared" si="39"/>
        <v>49.930138439202409</v>
      </c>
      <c r="K112" s="429">
        <f t="shared" si="39"/>
        <v>51.401096496060767</v>
      </c>
      <c r="L112" s="429">
        <f t="shared" si="39"/>
        <v>52.927305276024043</v>
      </c>
      <c r="M112" s="429">
        <f t="shared" si="39"/>
        <v>54.502057790300441</v>
      </c>
      <c r="N112" s="429">
        <f t="shared" si="39"/>
        <v>56.932771258410632</v>
      </c>
      <c r="O112" s="429">
        <f t="shared" si="39"/>
        <v>58.639624682017313</v>
      </c>
      <c r="P112" s="429">
        <f t="shared" si="39"/>
        <v>60.397204542448691</v>
      </c>
      <c r="Q112" s="429">
        <f t="shared" si="39"/>
        <v>62.217597020150542</v>
      </c>
      <c r="R112" s="429">
        <f t="shared" si="39"/>
        <v>64.094408510592487</v>
      </c>
      <c r="S112" s="429">
        <f t="shared" si="39"/>
        <v>66.036434101814351</v>
      </c>
      <c r="T112" s="429">
        <f t="shared" si="39"/>
        <v>68.046621000407811</v>
      </c>
      <c r="U112" s="429">
        <f t="shared" si="39"/>
        <v>70.124589423378964</v>
      </c>
      <c r="V112" s="429">
        <f t="shared" si="39"/>
        <v>72.275058855267275</v>
      </c>
      <c r="W112" s="429">
        <f t="shared" si="39"/>
        <v>74.496054927435722</v>
      </c>
      <c r="X112" s="429">
        <f t="shared" si="39"/>
        <v>77.857734556493384</v>
      </c>
      <c r="Y112" s="429">
        <f t="shared" si="39"/>
        <v>80.261060957092681</v>
      </c>
      <c r="Z112" s="429">
        <f t="shared" si="39"/>
        <v>82.741871265535309</v>
      </c>
      <c r="AA112" s="429">
        <f t="shared" si="39"/>
        <v>85.311020711643522</v>
      </c>
      <c r="AB112" s="429">
        <f t="shared" si="39"/>
        <v>87.964535023264105</v>
      </c>
      <c r="AC112" s="429">
        <f t="shared" si="39"/>
        <v>90.713380461741522</v>
      </c>
      <c r="AD112" s="429">
        <f t="shared" si="39"/>
        <v>93.546428762399046</v>
      </c>
      <c r="AE112" s="429">
        <f t="shared" si="39"/>
        <v>96.480216813801675</v>
      </c>
      <c r="AF112" s="429">
        <f t="shared" si="39"/>
        <v>99.512998724368515</v>
      </c>
      <c r="AG112" s="429">
        <f t="shared" si="39"/>
        <v>102.65036232854067</v>
      </c>
    </row>
    <row r="113" spans="1:34" s="344" customFormat="1">
      <c r="A113" s="342" t="s">
        <v>327</v>
      </c>
      <c r="B113" s="342"/>
      <c r="H113" s="430">
        <f>H115/H63</f>
        <v>1.267109808894914</v>
      </c>
      <c r="AB113" s="430">
        <f>AB115/AB63</f>
        <v>1.1085822205542306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00" t="s">
        <v>328</v>
      </c>
      <c r="B115" s="300" t="s">
        <v>309</v>
      </c>
      <c r="C115" s="376">
        <f>ROUND(('Changing with year'!C119)/1000,0)*1000</f>
        <v>5179000</v>
      </c>
      <c r="D115" s="376">
        <f>ROUND(('Changing with year'!D119)/1000,0)*1000</f>
        <v>5208000</v>
      </c>
      <c r="E115" s="376">
        <f>ROUND(('Changing with year'!E119)/1000,0)*1000</f>
        <v>5244000</v>
      </c>
      <c r="F115" s="376">
        <f>ROUND(('Changing with year'!F119)/1000,0)*1000</f>
        <v>5288000</v>
      </c>
      <c r="G115" s="376">
        <f>ROUND(('Changing with year'!G119)/1000,0)*1000</f>
        <v>5338000</v>
      </c>
      <c r="H115" s="376">
        <f>ROUND(('Changing with year'!H119)/1000,0)*1000</f>
        <v>5795000</v>
      </c>
      <c r="I115" s="376">
        <f>ROUND(('Changing with year'!I119)/1000,0)*1000</f>
        <v>5884000</v>
      </c>
      <c r="J115" s="376">
        <f>ROUND(('Changing with year'!J119)/1000,0)*1000</f>
        <v>5978000</v>
      </c>
      <c r="K115" s="376">
        <f>ROUND(('Changing with year'!K119)/1000,0)*1000</f>
        <v>6079000</v>
      </c>
      <c r="L115" s="376">
        <f>ROUND(('Changing with year'!L119)/1000,0)*1000</f>
        <v>6185000</v>
      </c>
      <c r="M115" s="376">
        <f>ROUND(('Changing with year'!M119)/1000,0)*1000</f>
        <v>6298000</v>
      </c>
      <c r="N115" s="376">
        <f>ROUND(('Changing with year'!N119)/1000,0)*1000</f>
        <v>6417000</v>
      </c>
      <c r="O115" s="376">
        <f>ROUND(('Changing with year'!O119)/1000,0)*1000</f>
        <v>6543000</v>
      </c>
      <c r="P115" s="376">
        <f>ROUND(('Changing with year'!P119)/1000,0)*1000</f>
        <v>6675000</v>
      </c>
      <c r="Q115" s="376">
        <f>ROUND(('Changing with year'!Q119)/1000,0)*1000</f>
        <v>6813000</v>
      </c>
      <c r="R115" s="376">
        <f>ROUND(('Changing with year'!R119)/1000,0)*1000</f>
        <v>6959000</v>
      </c>
      <c r="S115" s="376">
        <f>ROUND(('Changing with year'!S119)/1000,0)*1000</f>
        <v>7151000</v>
      </c>
      <c r="T115" s="376">
        <f>ROUND(('Changing with year'!T119)/1000,0)*1000</f>
        <v>7349000</v>
      </c>
      <c r="U115" s="376">
        <f>ROUND(('Changing with year'!U119)/1000,0)*1000</f>
        <v>7553000</v>
      </c>
      <c r="V115" s="376">
        <f>ROUND(('Changing with year'!V119)/1000,0)*1000</f>
        <v>7763000</v>
      </c>
      <c r="W115" s="376">
        <f>ROUND(('Changing with year'!W119)/1000,0)*1000</f>
        <v>7979000</v>
      </c>
      <c r="X115" s="376">
        <f>ROUND(('Changing with year'!X119)/1000,0)*1000</f>
        <v>8201000</v>
      </c>
      <c r="Y115" s="376">
        <f>ROUND(('Changing with year'!Y119)/1000,0)*1000</f>
        <v>8430000</v>
      </c>
      <c r="Z115" s="376">
        <f>ROUND(('Changing with year'!Z119)/1000,0)*1000</f>
        <v>8666000</v>
      </c>
      <c r="AA115" s="376">
        <f>ROUND(('Changing with year'!AA119)/1000,0)*1000</f>
        <v>8908000</v>
      </c>
      <c r="AB115" s="376">
        <f>ROUND(('Changing with year'!AB119)/1000,0)*1000</f>
        <v>9157000</v>
      </c>
      <c r="AC115" s="376">
        <f>ROUND(('Changing with year'!AC119)/1000,0)*1000</f>
        <v>9414000</v>
      </c>
      <c r="AD115" s="376">
        <f>ROUND(('Changing with year'!AD119)/1000,0)*1000</f>
        <v>9679000</v>
      </c>
      <c r="AE115" s="376">
        <f>ROUND(('Changing with year'!AE119)/1000,0)*1000</f>
        <v>9951000</v>
      </c>
      <c r="AF115" s="376">
        <f>ROUND(('Changing with year'!AF119)/1000,0)*1000</f>
        <v>10231000</v>
      </c>
      <c r="AG115" s="376">
        <f>ROUND(('Changing with year'!AG119)/1000,0)*1000</f>
        <v>10519000</v>
      </c>
    </row>
    <row r="116" spans="1:34">
      <c r="A116" s="300" t="s">
        <v>310</v>
      </c>
      <c r="B116" s="300" t="s">
        <v>309</v>
      </c>
      <c r="C116" s="376">
        <f>(C115*'No change with year'!$AH$9)</f>
        <v>1294750.0000000002</v>
      </c>
      <c r="D116" s="376">
        <f>(D115*'No change with year'!$AH$9)</f>
        <v>1302000.0000000002</v>
      </c>
      <c r="E116" s="376">
        <f>(E115*'No change with year'!$AH$9)</f>
        <v>1311000.0000000002</v>
      </c>
      <c r="F116" s="376">
        <f>(F115*'No change with year'!$AH$9)</f>
        <v>1322000.0000000002</v>
      </c>
      <c r="G116" s="376">
        <f>(G115*'No change with year'!$AH$9)</f>
        <v>1334500.0000000002</v>
      </c>
      <c r="H116" s="376">
        <f>(H115*'No change with year'!$AH$9)</f>
        <v>1448750.0000000002</v>
      </c>
      <c r="I116" s="376">
        <f>(I115*'No change with year'!$AH$9)</f>
        <v>1471000.0000000002</v>
      </c>
      <c r="J116" s="376">
        <f>(J115*'No change with year'!$AH$9)</f>
        <v>1494500.0000000002</v>
      </c>
      <c r="K116" s="376">
        <f>(K115*'No change with year'!$AH$9)</f>
        <v>1519750.0000000002</v>
      </c>
      <c r="L116" s="376">
        <f>(L115*'No change with year'!$AH$9)</f>
        <v>1546250.0000000002</v>
      </c>
      <c r="M116" s="376">
        <f>(M115*'No change with year'!$AH$9)</f>
        <v>1574500.0000000005</v>
      </c>
      <c r="N116" s="376">
        <f>(N115*'No change with year'!$AI$9)</f>
        <v>2245950.0000000005</v>
      </c>
      <c r="O116" s="376">
        <f>(O115*'No change with year'!$AI$9)</f>
        <v>2290050.0000000005</v>
      </c>
      <c r="P116" s="376">
        <f>(P115*'No change with year'!$AI$9)</f>
        <v>2336250.0000000005</v>
      </c>
      <c r="Q116" s="376">
        <f>(Q115*'No change with year'!$AI$9)</f>
        <v>2384550.0000000005</v>
      </c>
      <c r="R116" s="376">
        <f>(R115*'No change with year'!$AI$9)</f>
        <v>2435650.0000000005</v>
      </c>
      <c r="S116" s="376">
        <f>(S115*'No change with year'!$AI$9)</f>
        <v>2502850.0000000005</v>
      </c>
      <c r="T116" s="376">
        <f>(T115*'No change with year'!$AI$9)</f>
        <v>2572150.0000000005</v>
      </c>
      <c r="U116" s="376">
        <f>(U115*'No change with year'!$AI$9)</f>
        <v>2643550.0000000005</v>
      </c>
      <c r="V116" s="376">
        <f>(V115*'No change with year'!$AI$9)</f>
        <v>2717050.0000000005</v>
      </c>
      <c r="W116" s="376">
        <f>(W115*'No change with year'!$AI$9)</f>
        <v>2792650.0000000009</v>
      </c>
      <c r="X116" s="376">
        <f>(X115*'No change with year'!$AJ$9)</f>
        <v>3280400</v>
      </c>
      <c r="Y116" s="376">
        <f>(Y115*'No change with year'!$AJ$9)</f>
        <v>3372000</v>
      </c>
      <c r="Z116" s="376">
        <f>(Z115*'No change with year'!$AJ$9)</f>
        <v>3466400</v>
      </c>
      <c r="AA116" s="376">
        <f>(AA115*'No change with year'!$AJ$9)</f>
        <v>3563200</v>
      </c>
      <c r="AB116" s="376">
        <f>(AB115*'No change with year'!$AJ$9)</f>
        <v>3662800</v>
      </c>
      <c r="AC116" s="376">
        <f>(AC115*'No change with year'!$AJ$9)</f>
        <v>3765600</v>
      </c>
      <c r="AD116" s="376">
        <f>(AD115*'No change with year'!$AJ$9)</f>
        <v>3871600</v>
      </c>
      <c r="AE116" s="376">
        <f>(AE115*'No change with year'!$AJ$9)</f>
        <v>3980400</v>
      </c>
      <c r="AF116" s="376">
        <f>(AF115*'No change with year'!$AJ$9)</f>
        <v>4092400</v>
      </c>
      <c r="AG116" s="376">
        <f>(AG115*'No change with year'!$AJ$9)</f>
        <v>4207600</v>
      </c>
    </row>
    <row r="117" spans="1:34" s="371" customFormat="1" ht="11.85" customHeight="1">
      <c r="A117" s="428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00" t="s">
        <v>312</v>
      </c>
      <c r="B118" s="300" t="s">
        <v>313</v>
      </c>
      <c r="C118" s="376">
        <f>-PMT($C$28,$C$27,C115)</f>
        <v>1134810.7542333035</v>
      </c>
      <c r="D118" s="376">
        <f t="shared" ref="D118:AG118" si="41">-PMT($C$28,$C$27,D115)</f>
        <v>1141165.1685744436</v>
      </c>
      <c r="E118" s="376">
        <f t="shared" si="41"/>
        <v>1149053.4070668938</v>
      </c>
      <c r="F118" s="376">
        <f t="shared" si="41"/>
        <v>1158694.5874465548</v>
      </c>
      <c r="G118" s="376">
        <f t="shared" si="41"/>
        <v>1169650.4742416246</v>
      </c>
      <c r="H118" s="376">
        <f t="shared" si="41"/>
        <v>1269787.2795485603</v>
      </c>
      <c r="I118" s="376">
        <f t="shared" si="41"/>
        <v>1289288.7580437839</v>
      </c>
      <c r="J118" s="376">
        <f t="shared" si="41"/>
        <v>1309885.8252185148</v>
      </c>
      <c r="K118" s="376">
        <f t="shared" si="41"/>
        <v>1332016.716544555</v>
      </c>
      <c r="L118" s="376">
        <f t="shared" si="41"/>
        <v>1355243.1965501027</v>
      </c>
      <c r="M118" s="376">
        <f t="shared" si="41"/>
        <v>1380003.5007069597</v>
      </c>
      <c r="N118" s="376">
        <f t="shared" si="41"/>
        <v>1406078.5112792251</v>
      </c>
      <c r="O118" s="376">
        <f t="shared" si="41"/>
        <v>1433687.3460028004</v>
      </c>
      <c r="P118" s="376">
        <f t="shared" si="41"/>
        <v>1462610.887141784</v>
      </c>
      <c r="Q118" s="376">
        <f t="shared" si="41"/>
        <v>1492849.1346961758</v>
      </c>
      <c r="R118" s="376">
        <f t="shared" si="41"/>
        <v>1524840.3241377792</v>
      </c>
      <c r="S118" s="376">
        <f t="shared" si="41"/>
        <v>1566910.9294308461</v>
      </c>
      <c r="T118" s="376">
        <f t="shared" si="41"/>
        <v>1610296.2411393216</v>
      </c>
      <c r="U118" s="376">
        <f t="shared" si="41"/>
        <v>1654996.2592632051</v>
      </c>
      <c r="V118" s="376">
        <f t="shared" si="41"/>
        <v>1701010.9838024972</v>
      </c>
      <c r="W118" s="376">
        <f t="shared" si="41"/>
        <v>1748340.4147571977</v>
      </c>
      <c r="X118" s="376">
        <f t="shared" si="41"/>
        <v>1796984.5521273066</v>
      </c>
      <c r="Y118" s="376">
        <f t="shared" si="41"/>
        <v>1847162.5136487251</v>
      </c>
      <c r="Z118" s="376">
        <f t="shared" si="41"/>
        <v>1898874.2993214533</v>
      </c>
      <c r="AA118" s="376">
        <f t="shared" si="41"/>
        <v>1951900.7914095898</v>
      </c>
      <c r="AB118" s="376">
        <f t="shared" si="41"/>
        <v>2006461.1076490362</v>
      </c>
      <c r="AC118" s="376">
        <f t="shared" si="41"/>
        <v>2062774.3657756939</v>
      </c>
      <c r="AD118" s="376">
        <f t="shared" si="41"/>
        <v>2120840.5657895622</v>
      </c>
      <c r="AE118" s="376">
        <f t="shared" si="41"/>
        <v>2180440.5899547408</v>
      </c>
      <c r="AF118" s="376">
        <f t="shared" si="41"/>
        <v>2241793.5560071301</v>
      </c>
      <c r="AG118" s="376">
        <f t="shared" si="41"/>
        <v>2304899.4639467304</v>
      </c>
    </row>
    <row r="119" spans="1:34">
      <c r="A119" s="300" t="s">
        <v>321</v>
      </c>
      <c r="B119" s="300" t="s">
        <v>313</v>
      </c>
      <c r="C119" s="376">
        <f t="shared" ref="C119:AG119" si="42">$F$37*C50</f>
        <v>5772000</v>
      </c>
      <c r="D119" s="376">
        <f t="shared" si="42"/>
        <v>5718400.0000000009</v>
      </c>
      <c r="E119" s="376">
        <f t="shared" si="42"/>
        <v>5670148</v>
      </c>
      <c r="F119" s="376">
        <f t="shared" si="42"/>
        <v>5627124.7600000007</v>
      </c>
      <c r="G119" s="376">
        <f t="shared" si="42"/>
        <v>5589216.7851999998</v>
      </c>
      <c r="H119" s="376">
        <f t="shared" si="42"/>
        <v>5556316.1432440011</v>
      </c>
      <c r="I119" s="376">
        <f t="shared" si="42"/>
        <v>5225400.5795918405</v>
      </c>
      <c r="J119" s="376">
        <f t="shared" si="42"/>
        <v>5051240.3388362871</v>
      </c>
      <c r="K119" s="376">
        <f t="shared" si="42"/>
        <v>4882872.7723510619</v>
      </c>
      <c r="L119" s="376">
        <f t="shared" si="42"/>
        <v>4720079.264305871</v>
      </c>
      <c r="M119" s="376">
        <f t="shared" si="42"/>
        <v>4562650.267295721</v>
      </c>
      <c r="N119" s="376">
        <f t="shared" si="42"/>
        <v>4410384.9018542273</v>
      </c>
      <c r="O119" s="376">
        <f t="shared" si="42"/>
        <v>4263090.5743648587</v>
      </c>
      <c r="P119" s="376">
        <f t="shared" si="42"/>
        <v>4120582.6125036892</v>
      </c>
      <c r="Q119" s="376">
        <f t="shared" si="42"/>
        <v>3982683.9173886338</v>
      </c>
      <c r="R119" s="376">
        <f t="shared" si="42"/>
        <v>3849224.6316496944</v>
      </c>
      <c r="S119" s="376">
        <f t="shared" si="42"/>
        <v>3553924.8650970887</v>
      </c>
      <c r="T119" s="376">
        <f t="shared" si="42"/>
        <v>3453013.3361563226</v>
      </c>
      <c r="U119" s="376">
        <f t="shared" si="42"/>
        <v>3355692.92366806</v>
      </c>
      <c r="V119" s="376">
        <f t="shared" si="42"/>
        <v>3261808.4147951622</v>
      </c>
      <c r="W119" s="376">
        <f t="shared" si="42"/>
        <v>3171211.8199609276</v>
      </c>
      <c r="X119" s="376">
        <f t="shared" si="42"/>
        <v>3083762.025878428</v>
      </c>
      <c r="Y119" s="376">
        <f t="shared" si="42"/>
        <v>2999324.4655219051</v>
      </c>
      <c r="Z119" s="376">
        <f t="shared" si="42"/>
        <v>2917770.8042051112</v>
      </c>
      <c r="AA119" s="376">
        <f t="shared" si="42"/>
        <v>2838978.6409729021</v>
      </c>
      <c r="AB119" s="376">
        <f t="shared" si="42"/>
        <v>2762831.2245517112</v>
      </c>
      <c r="AC119" s="376">
        <f t="shared" si="42"/>
        <v>2669997.6655461448</v>
      </c>
      <c r="AD119" s="376">
        <f t="shared" si="42"/>
        <v>2679199.6447200943</v>
      </c>
      <c r="AE119" s="376">
        <f t="shared" si="42"/>
        <v>2691527.8151658811</v>
      </c>
      <c r="AF119" s="376">
        <f t="shared" si="42"/>
        <v>2706931.9497022927</v>
      </c>
      <c r="AG119" s="376">
        <f t="shared" si="42"/>
        <v>2725366.6560642016</v>
      </c>
    </row>
    <row r="120" spans="1:34">
      <c r="A120" s="300" t="s">
        <v>317</v>
      </c>
      <c r="B120" s="300" t="s">
        <v>313</v>
      </c>
      <c r="C120" s="376">
        <f t="shared" ref="C120:AG120" si="43">$C$22*$C$21*C56</f>
        <v>507600</v>
      </c>
      <c r="D120" s="376">
        <f t="shared" si="43"/>
        <v>527904.00000000012</v>
      </c>
      <c r="E120" s="376">
        <f t="shared" si="43"/>
        <v>549020.16000000015</v>
      </c>
      <c r="F120" s="376">
        <f t="shared" si="43"/>
        <v>570980.96640000015</v>
      </c>
      <c r="G120" s="376">
        <f t="shared" si="43"/>
        <v>593820.20505600015</v>
      </c>
      <c r="H120" s="376">
        <f t="shared" si="43"/>
        <v>617573.01325824019</v>
      </c>
      <c r="I120" s="376">
        <f t="shared" si="43"/>
        <v>642275.93378856976</v>
      </c>
      <c r="J120" s="376">
        <f t="shared" si="43"/>
        <v>667966.97114011261</v>
      </c>
      <c r="K120" s="376">
        <f t="shared" si="43"/>
        <v>694685.64998571714</v>
      </c>
      <c r="L120" s="376">
        <f t="shared" si="43"/>
        <v>722473.07598514587</v>
      </c>
      <c r="M120" s="376">
        <f t="shared" si="43"/>
        <v>751371.99902455171</v>
      </c>
      <c r="N120" s="376">
        <f t="shared" si="43"/>
        <v>781426.87898553384</v>
      </c>
      <c r="O120" s="376">
        <f t="shared" si="43"/>
        <v>812683.95414495526</v>
      </c>
      <c r="P120" s="376">
        <f t="shared" si="43"/>
        <v>845191.31231075351</v>
      </c>
      <c r="Q120" s="376">
        <f t="shared" si="43"/>
        <v>878998.96480318368</v>
      </c>
      <c r="R120" s="376">
        <f t="shared" si="43"/>
        <v>914158.92339531099</v>
      </c>
      <c r="S120" s="376">
        <f t="shared" si="43"/>
        <v>950725.28033112339</v>
      </c>
      <c r="T120" s="376">
        <f t="shared" si="43"/>
        <v>988754.29154436837</v>
      </c>
      <c r="U120" s="376">
        <f t="shared" si="43"/>
        <v>1028304.4632061432</v>
      </c>
      <c r="V120" s="376">
        <f t="shared" si="43"/>
        <v>1069436.6417343889</v>
      </c>
      <c r="W120" s="376">
        <f t="shared" si="43"/>
        <v>1112214.1074037645</v>
      </c>
      <c r="X120" s="376">
        <f t="shared" si="43"/>
        <v>1156702.6716999151</v>
      </c>
      <c r="Y120" s="376">
        <f t="shared" si="43"/>
        <v>1202970.7785679116</v>
      </c>
      <c r="Z120" s="376">
        <f t="shared" si="43"/>
        <v>1251089.6097106282</v>
      </c>
      <c r="AA120" s="376">
        <f t="shared" si="43"/>
        <v>1301133.1940990535</v>
      </c>
      <c r="AB120" s="376">
        <f t="shared" si="43"/>
        <v>1353178.5218630156</v>
      </c>
      <c r="AC120" s="376">
        <f t="shared" si="43"/>
        <v>1407305.6627375362</v>
      </c>
      <c r="AD120" s="376">
        <f t="shared" si="43"/>
        <v>1463597.8892470379</v>
      </c>
      <c r="AE120" s="376">
        <f t="shared" si="43"/>
        <v>1522141.8048169194</v>
      </c>
      <c r="AF120" s="376">
        <f t="shared" si="43"/>
        <v>1583027.4770095963</v>
      </c>
      <c r="AG120" s="376">
        <f t="shared" si="43"/>
        <v>1646348.5760899803</v>
      </c>
    </row>
    <row r="121" spans="1:34">
      <c r="A121" s="300" t="s">
        <v>318</v>
      </c>
      <c r="B121" s="300" t="s">
        <v>313</v>
      </c>
      <c r="C121" s="376">
        <f>'Changing with year'!C289</f>
        <v>450000</v>
      </c>
      <c r="D121" s="376">
        <f>'Changing with year'!D289</f>
        <v>470000</v>
      </c>
      <c r="E121" s="376">
        <f>'Changing with year'!E289</f>
        <v>491000</v>
      </c>
      <c r="F121" s="376">
        <f>'Changing with year'!F289</f>
        <v>513000</v>
      </c>
      <c r="G121" s="376">
        <f>'Changing with year'!G289</f>
        <v>536000</v>
      </c>
      <c r="H121" s="376">
        <f>'Changing with year'!H289</f>
        <v>560000</v>
      </c>
      <c r="I121" s="376">
        <f>'Changing with year'!I289</f>
        <v>585000</v>
      </c>
      <c r="J121" s="376">
        <f>'Changing with year'!J289</f>
        <v>611000</v>
      </c>
      <c r="K121" s="376">
        <f>'Changing with year'!K289</f>
        <v>638000</v>
      </c>
      <c r="L121" s="376">
        <f>'Changing with year'!L289</f>
        <v>667000</v>
      </c>
      <c r="M121" s="376">
        <f>'Changing with year'!M289</f>
        <v>697000</v>
      </c>
      <c r="N121" s="376">
        <f>'Changing with year'!N289</f>
        <v>728000</v>
      </c>
      <c r="O121" s="376">
        <f>'Changing with year'!O289</f>
        <v>761000</v>
      </c>
      <c r="P121" s="376">
        <f>'Changing with year'!P289</f>
        <v>795000</v>
      </c>
      <c r="Q121" s="376">
        <f>'Changing with year'!Q289</f>
        <v>831000</v>
      </c>
      <c r="R121" s="376">
        <f>'Changing with year'!R289</f>
        <v>868000</v>
      </c>
      <c r="S121" s="376">
        <f>'Changing with year'!S289</f>
        <v>907000</v>
      </c>
      <c r="T121" s="376">
        <f>'Changing with year'!T289</f>
        <v>948000</v>
      </c>
      <c r="U121" s="376">
        <f>'Changing with year'!U289</f>
        <v>991000</v>
      </c>
      <c r="V121" s="376">
        <f>'Changing with year'!V289</f>
        <v>1036000</v>
      </c>
      <c r="W121" s="376">
        <f>'Changing with year'!W289</f>
        <v>1083000</v>
      </c>
      <c r="X121" s="376">
        <f>'Changing with year'!X289</f>
        <v>1132000</v>
      </c>
      <c r="Y121" s="376">
        <f>'Changing with year'!Y289</f>
        <v>1183000</v>
      </c>
      <c r="Z121" s="376">
        <f>'Changing with year'!Z289</f>
        <v>1236000</v>
      </c>
      <c r="AA121" s="376">
        <f>'Changing with year'!AA289</f>
        <v>1292000</v>
      </c>
      <c r="AB121" s="376">
        <f>'Changing with year'!AB289</f>
        <v>1350000</v>
      </c>
      <c r="AC121" s="376">
        <f>'Changing with year'!AC289</f>
        <v>1411000</v>
      </c>
      <c r="AD121" s="376">
        <f>'Changing with year'!AD289</f>
        <v>1474000</v>
      </c>
      <c r="AE121" s="376">
        <f>'Changing with year'!AE289</f>
        <v>1540000</v>
      </c>
      <c r="AF121" s="376">
        <f>'Changing with year'!AF289</f>
        <v>1609000</v>
      </c>
      <c r="AG121" s="376">
        <f>'Changing with year'!AG289</f>
        <v>1681000</v>
      </c>
      <c r="AH121" s="339"/>
    </row>
    <row r="122" spans="1:34">
      <c r="A122" s="300" t="s">
        <v>272</v>
      </c>
      <c r="B122" s="300" t="s">
        <v>313</v>
      </c>
      <c r="C122" s="376">
        <f t="shared" ref="C122:AG122" si="44">C60</f>
        <v>756000</v>
      </c>
      <c r="D122" s="376">
        <f t="shared" si="44"/>
        <v>763560.00000000012</v>
      </c>
      <c r="E122" s="376">
        <f t="shared" si="44"/>
        <v>771195.6</v>
      </c>
      <c r="F122" s="376">
        <f t="shared" si="44"/>
        <v>778907.5560000001</v>
      </c>
      <c r="G122" s="376">
        <f t="shared" si="44"/>
        <v>786696.63156000001</v>
      </c>
      <c r="H122" s="376">
        <f t="shared" si="44"/>
        <v>794563.59787559998</v>
      </c>
      <c r="I122" s="376">
        <f t="shared" si="44"/>
        <v>802509.23385435599</v>
      </c>
      <c r="J122" s="376">
        <f t="shared" si="44"/>
        <v>810534.32619289949</v>
      </c>
      <c r="K122" s="376">
        <f t="shared" si="44"/>
        <v>818639.6694548286</v>
      </c>
      <c r="L122" s="376">
        <f t="shared" si="44"/>
        <v>826826.06614937691</v>
      </c>
      <c r="M122" s="376">
        <f t="shared" si="44"/>
        <v>835094.32681087067</v>
      </c>
      <c r="N122" s="376">
        <f t="shared" si="44"/>
        <v>843445.27007897932</v>
      </c>
      <c r="O122" s="376">
        <f t="shared" si="44"/>
        <v>851879.7227797691</v>
      </c>
      <c r="P122" s="376">
        <f t="shared" si="44"/>
        <v>860398.52000756678</v>
      </c>
      <c r="Q122" s="376">
        <f t="shared" si="44"/>
        <v>869002.50520764268</v>
      </c>
      <c r="R122" s="376">
        <f t="shared" si="44"/>
        <v>877692.53025971889</v>
      </c>
      <c r="S122" s="376">
        <f t="shared" si="44"/>
        <v>886469.45556231611</v>
      </c>
      <c r="T122" s="376">
        <f t="shared" si="44"/>
        <v>895334.15011793945</v>
      </c>
      <c r="U122" s="376">
        <f t="shared" si="44"/>
        <v>904287.49161911872</v>
      </c>
      <c r="V122" s="376">
        <f t="shared" si="44"/>
        <v>913330.36653530993</v>
      </c>
      <c r="W122" s="376">
        <f t="shared" si="44"/>
        <v>922463.67020066304</v>
      </c>
      <c r="X122" s="376">
        <f t="shared" si="44"/>
        <v>931688.30690266972</v>
      </c>
      <c r="Y122" s="376">
        <f t="shared" si="44"/>
        <v>941005.18997169647</v>
      </c>
      <c r="Z122" s="376">
        <f t="shared" si="44"/>
        <v>950415.24187141354</v>
      </c>
      <c r="AA122" s="376">
        <f t="shared" si="44"/>
        <v>959919.39429012756</v>
      </c>
      <c r="AB122" s="376">
        <f t="shared" si="44"/>
        <v>969518.588233029</v>
      </c>
      <c r="AC122" s="376">
        <f t="shared" si="44"/>
        <v>979213.77411535941</v>
      </c>
      <c r="AD122" s="376">
        <f t="shared" si="44"/>
        <v>989005.91185651289</v>
      </c>
      <c r="AE122" s="376">
        <f t="shared" si="44"/>
        <v>998895.97097507794</v>
      </c>
      <c r="AF122" s="376">
        <f t="shared" si="44"/>
        <v>1008884.9306848288</v>
      </c>
      <c r="AG122" s="376">
        <f t="shared" si="44"/>
        <v>1018973.779991677</v>
      </c>
    </row>
    <row r="123" spans="1:34">
      <c r="A123" s="300" t="s">
        <v>319</v>
      </c>
      <c r="B123" s="300" t="s">
        <v>313</v>
      </c>
      <c r="C123" s="376">
        <f t="shared" ref="C123:AG123" si="45">C115*$C$29</f>
        <v>103580</v>
      </c>
      <c r="D123" s="376">
        <f t="shared" si="45"/>
        <v>104160</v>
      </c>
      <c r="E123" s="376">
        <f t="shared" si="45"/>
        <v>104880</v>
      </c>
      <c r="F123" s="376">
        <f t="shared" si="45"/>
        <v>105760</v>
      </c>
      <c r="G123" s="376">
        <f t="shared" si="45"/>
        <v>106760</v>
      </c>
      <c r="H123" s="376">
        <f t="shared" si="45"/>
        <v>115900</v>
      </c>
      <c r="I123" s="376">
        <f t="shared" si="45"/>
        <v>117680</v>
      </c>
      <c r="J123" s="376">
        <f t="shared" si="45"/>
        <v>119560</v>
      </c>
      <c r="K123" s="376">
        <f t="shared" si="45"/>
        <v>121580</v>
      </c>
      <c r="L123" s="376">
        <f t="shared" si="45"/>
        <v>123700</v>
      </c>
      <c r="M123" s="376">
        <f t="shared" si="45"/>
        <v>125960</v>
      </c>
      <c r="N123" s="376">
        <f t="shared" si="45"/>
        <v>128340</v>
      </c>
      <c r="O123" s="376">
        <f t="shared" si="45"/>
        <v>130860</v>
      </c>
      <c r="P123" s="376">
        <f t="shared" si="45"/>
        <v>133500</v>
      </c>
      <c r="Q123" s="376">
        <f t="shared" si="45"/>
        <v>136260</v>
      </c>
      <c r="R123" s="376">
        <f t="shared" si="45"/>
        <v>139180</v>
      </c>
      <c r="S123" s="376">
        <f t="shared" si="45"/>
        <v>143020</v>
      </c>
      <c r="T123" s="376">
        <f t="shared" si="45"/>
        <v>146980</v>
      </c>
      <c r="U123" s="376">
        <f t="shared" si="45"/>
        <v>151060</v>
      </c>
      <c r="V123" s="376">
        <f t="shared" si="45"/>
        <v>155260</v>
      </c>
      <c r="W123" s="376">
        <f t="shared" si="45"/>
        <v>159580</v>
      </c>
      <c r="X123" s="376">
        <f t="shared" si="45"/>
        <v>164020</v>
      </c>
      <c r="Y123" s="376">
        <f t="shared" si="45"/>
        <v>168600</v>
      </c>
      <c r="Z123" s="376">
        <f t="shared" si="45"/>
        <v>173320</v>
      </c>
      <c r="AA123" s="376">
        <f t="shared" si="45"/>
        <v>178160</v>
      </c>
      <c r="AB123" s="376">
        <f t="shared" si="45"/>
        <v>183140</v>
      </c>
      <c r="AC123" s="376">
        <f t="shared" si="45"/>
        <v>188280</v>
      </c>
      <c r="AD123" s="376">
        <f t="shared" si="45"/>
        <v>193580</v>
      </c>
      <c r="AE123" s="376">
        <f t="shared" si="45"/>
        <v>199020</v>
      </c>
      <c r="AF123" s="376">
        <f t="shared" si="45"/>
        <v>204620</v>
      </c>
      <c r="AG123" s="376">
        <f t="shared" si="45"/>
        <v>210380</v>
      </c>
    </row>
    <row r="124" spans="1:34" s="371" customFormat="1" ht="11.85" customHeight="1">
      <c r="A124" s="428" t="s">
        <v>320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428"/>
      <c r="U124" s="428"/>
      <c r="V124" s="428"/>
      <c r="W124" s="428"/>
      <c r="X124" s="428"/>
      <c r="Y124" s="428"/>
      <c r="Z124" s="428"/>
      <c r="AA124" s="428"/>
      <c r="AB124" s="428"/>
      <c r="AC124" s="428"/>
      <c r="AD124" s="428"/>
      <c r="AE124" s="428"/>
      <c r="AF124" s="428"/>
      <c r="AG124" s="428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10.507506983641699</v>
      </c>
      <c r="D125" s="379">
        <f t="shared" si="46"/>
        <v>10.566344153467069</v>
      </c>
      <c r="E125" s="379">
        <f t="shared" si="46"/>
        <v>10.639383398767535</v>
      </c>
      <c r="F125" s="379">
        <f t="shared" si="46"/>
        <v>10.7286535874681</v>
      </c>
      <c r="G125" s="379">
        <f t="shared" si="46"/>
        <v>10.830096983718747</v>
      </c>
      <c r="H125" s="379">
        <f t="shared" si="46"/>
        <v>11.757289625449632</v>
      </c>
      <c r="I125" s="379">
        <f t="shared" si="46"/>
        <v>11.937858870775777</v>
      </c>
      <c r="J125" s="379">
        <f t="shared" si="46"/>
        <v>12.128572455726989</v>
      </c>
      <c r="K125" s="379">
        <f t="shared" si="46"/>
        <v>12.333488116153287</v>
      </c>
      <c r="L125" s="379">
        <f t="shared" si="46"/>
        <v>12.548548116204655</v>
      </c>
      <c r="M125" s="379">
        <f t="shared" si="46"/>
        <v>12.777810191731108</v>
      </c>
      <c r="N125" s="379">
        <f t="shared" si="46"/>
        <v>13.01924547480764</v>
      </c>
      <c r="O125" s="379">
        <f t="shared" si="46"/>
        <v>13.274882833359262</v>
      </c>
      <c r="P125" s="379">
        <f t="shared" si="46"/>
        <v>13.542693399460962</v>
      </c>
      <c r="Q125" s="379">
        <f t="shared" si="46"/>
        <v>13.822677173112739</v>
      </c>
      <c r="R125" s="379">
        <f t="shared" si="46"/>
        <v>14.118891890164623</v>
      </c>
      <c r="S125" s="379">
        <f t="shared" si="46"/>
        <v>14.508434531767094</v>
      </c>
      <c r="T125" s="379">
        <f t="shared" si="46"/>
        <v>14.910150380919644</v>
      </c>
      <c r="U125" s="379">
        <f t="shared" si="46"/>
        <v>15.32403943762227</v>
      </c>
      <c r="V125" s="379">
        <f t="shared" si="46"/>
        <v>15.750101701874973</v>
      </c>
      <c r="W125" s="379">
        <f t="shared" si="46"/>
        <v>16.188337173677755</v>
      </c>
      <c r="X125" s="379">
        <f t="shared" si="46"/>
        <v>16.638745853030617</v>
      </c>
      <c r="Y125" s="379">
        <f t="shared" si="46"/>
        <v>17.103356607858565</v>
      </c>
      <c r="Z125" s="379">
        <f t="shared" si="46"/>
        <v>17.582169438161603</v>
      </c>
      <c r="AA125" s="379">
        <f t="shared" si="46"/>
        <v>18.073155476014719</v>
      </c>
      <c r="AB125" s="379">
        <f t="shared" si="46"/>
        <v>18.578343589342929</v>
      </c>
      <c r="AC125" s="379">
        <f t="shared" si="46"/>
        <v>19.099762646071241</v>
      </c>
      <c r="AD125" s="379">
        <f t="shared" si="46"/>
        <v>19.63741264619965</v>
      </c>
      <c r="AE125" s="379">
        <f t="shared" si="46"/>
        <v>20.189264721803156</v>
      </c>
      <c r="AF125" s="379">
        <f t="shared" si="46"/>
        <v>20.757347740806761</v>
      </c>
      <c r="AG125" s="379">
        <f t="shared" si="46"/>
        <v>21.341661703210466</v>
      </c>
    </row>
    <row r="126" spans="1:34">
      <c r="A126" s="300" t="s">
        <v>321</v>
      </c>
      <c r="B126" s="300" t="s">
        <v>300</v>
      </c>
      <c r="C126" s="379">
        <f t="shared" si="46"/>
        <v>53.444444444444443</v>
      </c>
      <c r="D126" s="379">
        <f t="shared" si="46"/>
        <v>52.948148148148157</v>
      </c>
      <c r="E126" s="379">
        <f t="shared" si="46"/>
        <v>52.501370370370367</v>
      </c>
      <c r="F126" s="379">
        <f t="shared" si="46"/>
        <v>52.103007037037045</v>
      </c>
      <c r="G126" s="379">
        <f t="shared" si="46"/>
        <v>51.75200727037037</v>
      </c>
      <c r="H126" s="379">
        <f t="shared" si="46"/>
        <v>51.447371696703712</v>
      </c>
      <c r="I126" s="379">
        <f t="shared" si="46"/>
        <v>48.383338699924451</v>
      </c>
      <c r="J126" s="379">
        <f t="shared" si="46"/>
        <v>46.77074387811377</v>
      </c>
      <c r="K126" s="379">
        <f t="shared" si="46"/>
        <v>45.211784929176503</v>
      </c>
      <c r="L126" s="379">
        <f t="shared" si="46"/>
        <v>43.704437632461769</v>
      </c>
      <c r="M126" s="379">
        <f t="shared" si="46"/>
        <v>42.246761734219639</v>
      </c>
      <c r="N126" s="379">
        <f t="shared" si="46"/>
        <v>40.836897239390993</v>
      </c>
      <c r="O126" s="379">
        <f t="shared" si="46"/>
        <v>39.473060873748693</v>
      </c>
      <c r="P126" s="379">
        <f t="shared" si="46"/>
        <v>38.153542708367496</v>
      </c>
      <c r="Q126" s="379">
        <f t="shared" si="46"/>
        <v>36.876702938783644</v>
      </c>
      <c r="R126" s="379">
        <f t="shared" si="46"/>
        <v>35.640968811571241</v>
      </c>
      <c r="S126" s="379">
        <f t="shared" si="46"/>
        <v>32.906711713861931</v>
      </c>
      <c r="T126" s="379">
        <f t="shared" si="46"/>
        <v>31.972345705151135</v>
      </c>
      <c r="U126" s="379">
        <f t="shared" si="46"/>
        <v>31.071230774704258</v>
      </c>
      <c r="V126" s="379">
        <f t="shared" si="46"/>
        <v>30.201929766621873</v>
      </c>
      <c r="W126" s="379">
        <f t="shared" si="46"/>
        <v>29.363072407045625</v>
      </c>
      <c r="X126" s="379">
        <f t="shared" si="46"/>
        <v>28.553352091466927</v>
      </c>
      <c r="Y126" s="379">
        <f t="shared" si="46"/>
        <v>27.77152282890653</v>
      </c>
      <c r="Z126" s="379">
        <f t="shared" si="46"/>
        <v>27.01639633523251</v>
      </c>
      <c r="AA126" s="379">
        <f t="shared" si="46"/>
        <v>26.286839268267613</v>
      </c>
      <c r="AB126" s="379">
        <f t="shared" si="46"/>
        <v>25.581770597701031</v>
      </c>
      <c r="AC126" s="379">
        <f t="shared" si="46"/>
        <v>24.72220060690875</v>
      </c>
      <c r="AD126" s="379">
        <f t="shared" si="46"/>
        <v>24.807404117778649</v>
      </c>
      <c r="AE126" s="379">
        <f t="shared" si="46"/>
        <v>24.921553844128528</v>
      </c>
      <c r="AF126" s="379">
        <f t="shared" si="46"/>
        <v>25.064184719465672</v>
      </c>
      <c r="AG126" s="379">
        <f t="shared" si="46"/>
        <v>25.234876445038903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16.825740740740741</v>
      </c>
      <c r="D127" s="379">
        <f t="shared" si="47"/>
        <v>17.274296296296299</v>
      </c>
      <c r="E127" s="379">
        <f t="shared" si="47"/>
        <v>17.74162740740741</v>
      </c>
      <c r="F127" s="379">
        <f t="shared" si="47"/>
        <v>18.228227059259261</v>
      </c>
      <c r="G127" s="379">
        <f t="shared" si="47"/>
        <v>18.734044783481483</v>
      </c>
      <c r="H127" s="379">
        <f t="shared" si="47"/>
        <v>19.333672325313334</v>
      </c>
      <c r="I127" s="379">
        <f t="shared" si="47"/>
        <v>19.8839367374345</v>
      </c>
      <c r="J127" s="379">
        <f t="shared" si="47"/>
        <v>20.454271271601964</v>
      </c>
      <c r="K127" s="379">
        <f t="shared" si="47"/>
        <v>21.045419624449494</v>
      </c>
      <c r="L127" s="379">
        <f t="shared" si="47"/>
        <v>21.666658723467801</v>
      </c>
      <c r="M127" s="379">
        <f t="shared" si="47"/>
        <v>22.309503016994654</v>
      </c>
      <c r="N127" s="379">
        <f t="shared" si="47"/>
        <v>22.974186565412161</v>
      </c>
      <c r="O127" s="379">
        <f t="shared" si="47"/>
        <v>23.670589601154852</v>
      </c>
      <c r="P127" s="379">
        <f t="shared" si="47"/>
        <v>24.389720669614075</v>
      </c>
      <c r="Q127" s="379">
        <f t="shared" si="47"/>
        <v>25.141309907507651</v>
      </c>
      <c r="R127" s="379">
        <f t="shared" si="47"/>
        <v>25.916957904213238</v>
      </c>
      <c r="S127" s="379">
        <f t="shared" si="47"/>
        <v>26.733469776791107</v>
      </c>
      <c r="T127" s="379">
        <f t="shared" si="47"/>
        <v>27.583967052428775</v>
      </c>
      <c r="U127" s="379">
        <f t="shared" si="47"/>
        <v>28.468999581715384</v>
      </c>
      <c r="V127" s="379">
        <f t="shared" si="47"/>
        <v>29.38913896546017</v>
      </c>
      <c r="W127" s="379">
        <f t="shared" si="47"/>
        <v>30.344979422263219</v>
      </c>
      <c r="X127" s="379">
        <f t="shared" si="47"/>
        <v>31.337138690764675</v>
      </c>
      <c r="Y127" s="379">
        <f t="shared" si="47"/>
        <v>32.366444153144521</v>
      </c>
      <c r="Z127" s="379">
        <f t="shared" si="47"/>
        <v>33.43356344057446</v>
      </c>
      <c r="AA127" s="379">
        <f t="shared" si="47"/>
        <v>34.548264707307233</v>
      </c>
      <c r="AB127" s="379">
        <f t="shared" si="47"/>
        <v>35.702195463852263</v>
      </c>
      <c r="AC127" s="379">
        <f t="shared" si="47"/>
        <v>36.905550341230516</v>
      </c>
      <c r="AD127" s="379">
        <f t="shared" si="47"/>
        <v>38.149850010218067</v>
      </c>
      <c r="AE127" s="379">
        <f t="shared" si="47"/>
        <v>39.444979405481455</v>
      </c>
      <c r="AF127" s="379">
        <f t="shared" si="47"/>
        <v>40.791966737911345</v>
      </c>
      <c r="AG127" s="379">
        <f t="shared" si="47"/>
        <v>42.191688482237566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1.7126322751322753</v>
      </c>
      <c r="D128" s="379">
        <f t="shared" si="48"/>
        <v>1.7222222222222225</v>
      </c>
      <c r="E128" s="379">
        <f t="shared" si="48"/>
        <v>1.7341269841269844</v>
      </c>
      <c r="F128" s="379">
        <f t="shared" si="48"/>
        <v>1.7486772486772491</v>
      </c>
      <c r="G128" s="379">
        <f t="shared" si="48"/>
        <v>1.7652116402116405</v>
      </c>
      <c r="H128" s="379">
        <f t="shared" si="48"/>
        <v>1.9163359788359791</v>
      </c>
      <c r="I128" s="379">
        <f t="shared" si="48"/>
        <v>1.945767195767196</v>
      </c>
      <c r="J128" s="379">
        <f t="shared" si="48"/>
        <v>1.9768518518518521</v>
      </c>
      <c r="K128" s="379">
        <f t="shared" si="48"/>
        <v>2.0102513227513232</v>
      </c>
      <c r="L128" s="379">
        <f t="shared" si="48"/>
        <v>2.045304232804233</v>
      </c>
      <c r="M128" s="379">
        <f t="shared" si="48"/>
        <v>2.0826719576719581</v>
      </c>
      <c r="N128" s="379">
        <f t="shared" si="48"/>
        <v>2.9708333333333341</v>
      </c>
      <c r="O128" s="379">
        <f t="shared" si="48"/>
        <v>3.0291666666666672</v>
      </c>
      <c r="P128" s="379">
        <f t="shared" si="48"/>
        <v>3.0902777777777786</v>
      </c>
      <c r="Q128" s="379">
        <f t="shared" si="48"/>
        <v>3.1541666666666672</v>
      </c>
      <c r="R128" s="379">
        <f t="shared" si="48"/>
        <v>3.2217592592592599</v>
      </c>
      <c r="S128" s="379">
        <f t="shared" si="48"/>
        <v>3.3106481481481489</v>
      </c>
      <c r="T128" s="379">
        <f t="shared" si="48"/>
        <v>3.4023148148148152</v>
      </c>
      <c r="U128" s="379">
        <f t="shared" si="48"/>
        <v>3.4967592592592598</v>
      </c>
      <c r="V128" s="379">
        <f t="shared" si="48"/>
        <v>3.5939814814814821</v>
      </c>
      <c r="W128" s="379">
        <f t="shared" si="48"/>
        <v>3.6939814814814826</v>
      </c>
      <c r="X128" s="379">
        <f t="shared" si="48"/>
        <v>4.3391534391534394</v>
      </c>
      <c r="Y128" s="379">
        <f t="shared" si="48"/>
        <v>4.4603174603174605</v>
      </c>
      <c r="Z128" s="379">
        <f t="shared" si="48"/>
        <v>4.5851851851851855</v>
      </c>
      <c r="AA128" s="379">
        <f t="shared" si="48"/>
        <v>4.7132275132275137</v>
      </c>
      <c r="AB128" s="379">
        <f t="shared" si="48"/>
        <v>4.8449735449735449</v>
      </c>
      <c r="AC128" s="379">
        <f t="shared" si="48"/>
        <v>4.980952380952381</v>
      </c>
      <c r="AD128" s="379">
        <f t="shared" si="48"/>
        <v>5.121164021164021</v>
      </c>
      <c r="AE128" s="379">
        <f t="shared" si="48"/>
        <v>5.265079365079365</v>
      </c>
      <c r="AF128" s="379">
        <f t="shared" si="48"/>
        <v>5.4132275132275129</v>
      </c>
      <c r="AG128" s="379">
        <f t="shared" si="48"/>
        <v>5.5656084656084657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79.06505989369461</v>
      </c>
      <c r="D129" s="384">
        <f t="shared" ref="D129:AG129" si="49">SUM(D125:D127)-D128</f>
        <v>79.066566375689291</v>
      </c>
      <c r="E129" s="384">
        <f t="shared" si="49"/>
        <v>79.148254192418321</v>
      </c>
      <c r="F129" s="384">
        <f t="shared" si="49"/>
        <v>79.311210435087148</v>
      </c>
      <c r="G129" s="384">
        <f t="shared" si="49"/>
        <v>79.55093739735895</v>
      </c>
      <c r="H129" s="384">
        <f t="shared" si="49"/>
        <v>80.621997668630698</v>
      </c>
      <c r="I129" s="384">
        <f t="shared" si="49"/>
        <v>78.259367112367542</v>
      </c>
      <c r="J129" s="384">
        <f t="shared" si="49"/>
        <v>77.376735753590879</v>
      </c>
      <c r="K129" s="384">
        <f t="shared" si="49"/>
        <v>76.580441347027957</v>
      </c>
      <c r="L129" s="384">
        <f t="shared" si="49"/>
        <v>75.874340239329996</v>
      </c>
      <c r="M129" s="384">
        <f t="shared" si="49"/>
        <v>75.25140298527343</v>
      </c>
      <c r="N129" s="384">
        <f t="shared" si="49"/>
        <v>73.859495946277463</v>
      </c>
      <c r="O129" s="384">
        <f t="shared" si="49"/>
        <v>73.389366641596141</v>
      </c>
      <c r="P129" s="384">
        <f t="shared" si="49"/>
        <v>72.995678999664761</v>
      </c>
      <c r="Q129" s="384">
        <f t="shared" si="49"/>
        <v>72.686523352737368</v>
      </c>
      <c r="R129" s="384">
        <f t="shared" si="49"/>
        <v>72.455059346689836</v>
      </c>
      <c r="S129" s="384">
        <f t="shared" si="49"/>
        <v>70.837967874271982</v>
      </c>
      <c r="T129" s="384">
        <f t="shared" si="49"/>
        <v>71.064148323684748</v>
      </c>
      <c r="U129" s="384">
        <f t="shared" si="49"/>
        <v>71.367510534782653</v>
      </c>
      <c r="V129" s="384">
        <f t="shared" si="49"/>
        <v>71.74718895247554</v>
      </c>
      <c r="W129" s="384">
        <f t="shared" si="49"/>
        <v>72.202407521505108</v>
      </c>
      <c r="X129" s="384">
        <f t="shared" si="49"/>
        <v>72.190083196108787</v>
      </c>
      <c r="Y129" s="384">
        <f t="shared" si="49"/>
        <v>72.781006129592171</v>
      </c>
      <c r="Z129" s="384">
        <f t="shared" si="49"/>
        <v>73.446944028783392</v>
      </c>
      <c r="AA129" s="384">
        <f t="shared" si="49"/>
        <v>74.195031938362064</v>
      </c>
      <c r="AB129" s="384">
        <f t="shared" si="49"/>
        <v>75.017336105922681</v>
      </c>
      <c r="AC129" s="384">
        <f t="shared" si="49"/>
        <v>75.746561213258133</v>
      </c>
      <c r="AD129" s="384">
        <f t="shared" si="49"/>
        <v>77.473502753032335</v>
      </c>
      <c r="AE129" s="384">
        <f t="shared" si="49"/>
        <v>79.290718606333783</v>
      </c>
      <c r="AF129" s="384">
        <f t="shared" si="49"/>
        <v>81.200271684956263</v>
      </c>
      <c r="AG129" s="384">
        <f t="shared" si="49"/>
        <v>83.202618164878473</v>
      </c>
    </row>
    <row r="130" spans="1:34" s="344" customFormat="1">
      <c r="A130" s="342" t="s">
        <v>182</v>
      </c>
      <c r="B130" s="342"/>
      <c r="H130" s="431">
        <f>H132/H63</f>
        <v>1.8137490707132549</v>
      </c>
      <c r="AB130" s="431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00" t="s">
        <v>329</v>
      </c>
      <c r="B132" s="300" t="s">
        <v>309</v>
      </c>
      <c r="C132" s="376">
        <f>ROUND(('Changing with year'!C131)/1000,0)*1000</f>
        <v>8763000</v>
      </c>
      <c r="D132" s="376">
        <f>ROUND(('Changing with year'!D131)/1000,0)*1000</f>
        <v>8718000</v>
      </c>
      <c r="E132" s="376">
        <f>ROUND(('Changing with year'!E131)/1000,0)*1000</f>
        <v>8680000</v>
      </c>
      <c r="F132" s="376">
        <f>ROUND(('Changing with year'!F131)/1000,0)*1000</f>
        <v>8470000</v>
      </c>
      <c r="G132" s="376">
        <f>ROUND(('Changing with year'!G131)/1000,0)*1000</f>
        <v>8275000</v>
      </c>
      <c r="H132" s="376">
        <f>ROUND(('Changing with year'!H131)/1000,0)*1000</f>
        <v>8295000</v>
      </c>
      <c r="I132" s="376">
        <f>ROUND(('Changing with year'!I131)/1000,0)*1000</f>
        <v>8150000</v>
      </c>
      <c r="J132" s="376">
        <f>ROUND(('Changing with year'!J131)/1000,0)*1000</f>
        <v>8190000</v>
      </c>
      <c r="K132" s="376">
        <f>ROUND(('Changing with year'!K131)/1000,0)*1000</f>
        <v>8235000</v>
      </c>
      <c r="L132" s="376">
        <f>ROUND(('Changing with year'!L131)/1000,0)*1000</f>
        <v>8286000</v>
      </c>
      <c r="M132" s="376">
        <f>ROUND(('Changing with year'!M131)/1000,0)*1000</f>
        <v>8343000</v>
      </c>
      <c r="N132" s="376">
        <f>ROUND(('Changing with year'!N131)/1000,0)*1000</f>
        <v>8407000</v>
      </c>
      <c r="O132" s="376">
        <f>ROUND(('Changing with year'!O131)/1000,0)*1000</f>
        <v>8476000</v>
      </c>
      <c r="P132" s="376">
        <f>ROUND(('Changing with year'!P131)/1000,0)*1000</f>
        <v>8552000</v>
      </c>
      <c r="Q132" s="376">
        <f>ROUND(('Changing with year'!Q131)/1000,0)*1000</f>
        <v>8635000</v>
      </c>
      <c r="R132" s="376">
        <f>ROUND(('Changing with year'!R131)/1000,0)*1000</f>
        <v>8724000</v>
      </c>
      <c r="S132" s="376">
        <f>ROUND(('Changing with year'!S131)/1000,0)*1000</f>
        <v>8740000</v>
      </c>
      <c r="T132" s="376">
        <f>ROUND(('Changing with year'!T131)/1000,0)*1000</f>
        <v>8903000</v>
      </c>
      <c r="U132" s="376">
        <f>ROUND(('Changing with year'!U131)/1000,0)*1000</f>
        <v>9072000</v>
      </c>
      <c r="V132" s="376">
        <f>ROUND(('Changing with year'!V131)/1000,0)*1000</f>
        <v>9247000</v>
      </c>
      <c r="W132" s="376">
        <f>ROUND(('Changing with year'!W131)/1000,0)*1000</f>
        <v>9427000</v>
      </c>
      <c r="X132" s="376">
        <f>ROUND(('Changing with year'!X131)/1000,0)*1000</f>
        <v>9614000</v>
      </c>
      <c r="Y132" s="376">
        <f>ROUND(('Changing with year'!Y131)/1000,0)*1000</f>
        <v>9807000</v>
      </c>
      <c r="Z132" s="376">
        <f>ROUND(('Changing with year'!Z131)/1000,0)*1000</f>
        <v>10007000</v>
      </c>
      <c r="AA132" s="376">
        <f>ROUND(('Changing with year'!AA131)/1000,0)*1000</f>
        <v>10214000</v>
      </c>
      <c r="AB132" s="376">
        <f>ROUND(('Changing with year'!AB131)/1000,0)*1000</f>
        <v>10427000</v>
      </c>
      <c r="AC132" s="376">
        <f>ROUND(('Changing with year'!AC131)/1000,0)*1000</f>
        <v>10688000</v>
      </c>
      <c r="AD132" s="376">
        <f>ROUND(('Changing with year'!AD131)/1000,0)*1000</f>
        <v>10956000</v>
      </c>
      <c r="AE132" s="376">
        <f>ROUND(('Changing with year'!AE131)/1000,0)*1000</f>
        <v>11232000</v>
      </c>
      <c r="AF132" s="376">
        <f>ROUND(('Changing with year'!AF131)/1000,0)*1000</f>
        <v>11516000</v>
      </c>
      <c r="AG132" s="376">
        <f>ROUND(('Changing with year'!AG131)/1000,0)*1000</f>
        <v>11807000</v>
      </c>
    </row>
    <row r="133" spans="1:34">
      <c r="A133" s="300" t="s">
        <v>310</v>
      </c>
      <c r="B133" s="300" t="s">
        <v>309</v>
      </c>
      <c r="C133" s="376">
        <f>(C132*'No change with year'!$AK$9)</f>
        <v>1752600.0000000007</v>
      </c>
      <c r="D133" s="376">
        <f>(D132*'No change with year'!$AK$9)</f>
        <v>1743600.0000000005</v>
      </c>
      <c r="E133" s="376">
        <f>(E132*'No change with year'!$AK$9)</f>
        <v>1736000.0000000005</v>
      </c>
      <c r="F133" s="376">
        <f>(F132*'No change with year'!$AK$9)</f>
        <v>1694000.0000000005</v>
      </c>
      <c r="G133" s="376">
        <f>(G132*'No change with year'!$AK$9)</f>
        <v>1655000.0000000005</v>
      </c>
      <c r="H133" s="376">
        <f>(H132*'No change with year'!$AK$9)</f>
        <v>1659000.0000000005</v>
      </c>
      <c r="I133" s="376">
        <f>(I132*'No change with year'!$AK$9)</f>
        <v>1630000.0000000005</v>
      </c>
      <c r="J133" s="376">
        <f>(J132*'No change with year'!$AK$9)</f>
        <v>1638000.0000000005</v>
      </c>
      <c r="K133" s="376">
        <f>(K132*'No change with year'!$AK$9)</f>
        <v>1647000.0000000005</v>
      </c>
      <c r="L133" s="376">
        <f>(L132*'No change with year'!$AK$9)</f>
        <v>1657200.0000000005</v>
      </c>
      <c r="M133" s="376">
        <f>(M132*'No change with year'!$AK$9)</f>
        <v>1668600.0000000005</v>
      </c>
      <c r="N133" s="376">
        <f>(N132*'No change with year'!$AL$9)</f>
        <v>2522100.0000000005</v>
      </c>
      <c r="O133" s="376">
        <f>(O132*'No change with year'!$AL$9)</f>
        <v>2542800.0000000005</v>
      </c>
      <c r="P133" s="376">
        <f>(P132*'No change with year'!$AL$9)</f>
        <v>2565600.0000000005</v>
      </c>
      <c r="Q133" s="376">
        <f>(Q132*'No change with year'!$AL$9)</f>
        <v>2590500.0000000005</v>
      </c>
      <c r="R133" s="376">
        <f>(R132*'No change with year'!$AL$9)</f>
        <v>2617200.0000000005</v>
      </c>
      <c r="S133" s="376">
        <f>(S132*'No change with year'!$AL$9)</f>
        <v>2622000.0000000005</v>
      </c>
      <c r="T133" s="376">
        <f>(T132*'No change with year'!$AL$9)</f>
        <v>2670900.0000000005</v>
      </c>
      <c r="U133" s="376">
        <f>(U132*'No change with year'!$AL$9)</f>
        <v>2721600.0000000005</v>
      </c>
      <c r="V133" s="376">
        <f>(V132*'No change with year'!$AL$9)</f>
        <v>2774100.0000000005</v>
      </c>
      <c r="W133" s="376">
        <f>(W132*'No change with year'!$AL$9)</f>
        <v>2828100.0000000005</v>
      </c>
      <c r="X133" s="376">
        <f>(X132*'No change with year'!$AM$9)</f>
        <v>3845600</v>
      </c>
      <c r="Y133" s="376">
        <f>(Y132*'No change with year'!$AM$9)</f>
        <v>3922800</v>
      </c>
      <c r="Z133" s="376">
        <f>(Z132*'No change with year'!$AM$9)</f>
        <v>4002800</v>
      </c>
      <c r="AA133" s="376">
        <f>(AA132*'No change with year'!$AM$9)</f>
        <v>4085600</v>
      </c>
      <c r="AB133" s="376">
        <f>(AB132*'No change with year'!$AM$9)</f>
        <v>4170800</v>
      </c>
      <c r="AC133" s="376">
        <f>(AC132*'No change with year'!$AM$9)</f>
        <v>4275200</v>
      </c>
      <c r="AD133" s="376">
        <f>(AD132*'No change with year'!$AM$9)</f>
        <v>4382400</v>
      </c>
      <c r="AE133" s="376">
        <f>(AE132*'No change with year'!$AM$9)</f>
        <v>4492800</v>
      </c>
      <c r="AF133" s="376">
        <f>(AF132*'No change with year'!$AM$9)</f>
        <v>4606400</v>
      </c>
      <c r="AG133" s="376">
        <f>(AG132*'No change with year'!$AM$9)</f>
        <v>4722800</v>
      </c>
    </row>
    <row r="134" spans="1:34" s="371" customFormat="1" ht="11.85" customHeight="1">
      <c r="A134" s="428" t="s">
        <v>311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428"/>
      <c r="O134" s="428"/>
      <c r="P134" s="428"/>
      <c r="Q134" s="428"/>
      <c r="R134" s="428"/>
      <c r="S134" s="428"/>
      <c r="T134" s="428"/>
      <c r="U134" s="428"/>
      <c r="V134" s="428"/>
      <c r="W134" s="428"/>
      <c r="X134" s="428"/>
      <c r="Y134" s="428"/>
      <c r="Z134" s="428"/>
      <c r="AA134" s="428"/>
      <c r="AB134" s="428"/>
      <c r="AC134" s="428"/>
      <c r="AD134" s="428"/>
      <c r="AE134" s="428"/>
      <c r="AF134" s="428"/>
      <c r="AG134" s="428"/>
    </row>
    <row r="135" spans="1:34">
      <c r="A135" s="300" t="s">
        <v>325</v>
      </c>
      <c r="B135" s="300" t="s">
        <v>313</v>
      </c>
      <c r="C135" s="376">
        <f>-PMT($C$28,$C$27,C132)</f>
        <v>1920128.7197038883</v>
      </c>
      <c r="D135" s="376">
        <f t="shared" ref="D135:AG135" si="51">-PMT($C$28,$C$27,D132)</f>
        <v>1910268.4215883256</v>
      </c>
      <c r="E135" s="376">
        <f t="shared" si="51"/>
        <v>1901941.9476240729</v>
      </c>
      <c r="F135" s="376">
        <f t="shared" si="51"/>
        <v>1855927.2230847806</v>
      </c>
      <c r="G135" s="376">
        <f t="shared" si="51"/>
        <v>1813199.2645840095</v>
      </c>
      <c r="H135" s="376">
        <f t="shared" si="51"/>
        <v>1817581.6193020374</v>
      </c>
      <c r="I135" s="376">
        <f t="shared" si="51"/>
        <v>1785809.5475963356</v>
      </c>
      <c r="J135" s="376">
        <f t="shared" si="51"/>
        <v>1794574.2570323911</v>
      </c>
      <c r="K135" s="376">
        <f t="shared" si="51"/>
        <v>1804434.555147954</v>
      </c>
      <c r="L135" s="376">
        <f t="shared" si="51"/>
        <v>1815609.5596789247</v>
      </c>
      <c r="M135" s="376">
        <f t="shared" si="51"/>
        <v>1828099.270625304</v>
      </c>
      <c r="N135" s="376">
        <f t="shared" si="51"/>
        <v>1842122.8057229931</v>
      </c>
      <c r="O135" s="376">
        <f t="shared" si="51"/>
        <v>1857241.9295001891</v>
      </c>
      <c r="P135" s="376">
        <f t="shared" si="51"/>
        <v>1873894.8774286949</v>
      </c>
      <c r="Q135" s="376">
        <f t="shared" si="51"/>
        <v>1892081.6495085103</v>
      </c>
      <c r="R135" s="376">
        <f t="shared" si="51"/>
        <v>1911583.1280037342</v>
      </c>
      <c r="S135" s="376">
        <f t="shared" si="51"/>
        <v>1915089.0117781563</v>
      </c>
      <c r="T135" s="376">
        <f t="shared" si="51"/>
        <v>1950805.2027300829</v>
      </c>
      <c r="U135" s="376">
        <f t="shared" si="51"/>
        <v>1987836.1000974181</v>
      </c>
      <c r="V135" s="376">
        <f t="shared" si="51"/>
        <v>2026181.7038801613</v>
      </c>
      <c r="W135" s="376">
        <f t="shared" si="51"/>
        <v>2065622.8963424116</v>
      </c>
      <c r="X135" s="376">
        <f t="shared" si="51"/>
        <v>2106597.9129559719</v>
      </c>
      <c r="Y135" s="376">
        <f t="shared" si="51"/>
        <v>2148887.6359849405</v>
      </c>
      <c r="Z135" s="376">
        <f t="shared" si="51"/>
        <v>2192711.1831652187</v>
      </c>
      <c r="AA135" s="376">
        <f t="shared" si="51"/>
        <v>2238068.5544968066</v>
      </c>
      <c r="AB135" s="376">
        <f t="shared" si="51"/>
        <v>2284740.6322438028</v>
      </c>
      <c r="AC135" s="376">
        <f t="shared" si="51"/>
        <v>2341930.3613140658</v>
      </c>
      <c r="AD135" s="376">
        <f t="shared" si="51"/>
        <v>2400653.9145356384</v>
      </c>
      <c r="AE135" s="376">
        <f t="shared" si="51"/>
        <v>2461130.4096444226</v>
      </c>
      <c r="AF135" s="376">
        <f t="shared" si="51"/>
        <v>2523359.8466404174</v>
      </c>
      <c r="AG135" s="376">
        <f t="shared" si="51"/>
        <v>2587123.1077877218</v>
      </c>
    </row>
    <row r="136" spans="1:34">
      <c r="A136" s="300" t="s">
        <v>330</v>
      </c>
      <c r="B136" s="300" t="s">
        <v>313</v>
      </c>
      <c r="C136" s="376">
        <f t="shared" ref="C136:AG136" si="52">$G$37*C51</f>
        <v>1481687.0960723909</v>
      </c>
      <c r="D136" s="376">
        <f t="shared" si="52"/>
        <v>1500317.0960723911</v>
      </c>
      <c r="E136" s="376">
        <f t="shared" si="52"/>
        <v>1508173.5784889534</v>
      </c>
      <c r="F136" s="376">
        <f t="shared" si="52"/>
        <v>1507577.0860639899</v>
      </c>
      <c r="G136" s="376">
        <f t="shared" si="52"/>
        <v>1494019.9533812962</v>
      </c>
      <c r="H136" s="376">
        <f t="shared" si="52"/>
        <v>1505017.9695686505</v>
      </c>
      <c r="I136" s="376">
        <f t="shared" si="52"/>
        <v>1305694.8294057469</v>
      </c>
      <c r="J136" s="376">
        <f t="shared" si="52"/>
        <v>1273220.0604259949</v>
      </c>
      <c r="K136" s="376">
        <f t="shared" si="52"/>
        <v>1218719.4327458525</v>
      </c>
      <c r="L136" s="376">
        <f t="shared" si="52"/>
        <v>1172758.6271063504</v>
      </c>
      <c r="M136" s="376">
        <f t="shared" si="52"/>
        <v>1136519.0845576334</v>
      </c>
      <c r="N136" s="376">
        <f t="shared" si="52"/>
        <v>1124020.7778539816</v>
      </c>
      <c r="O136" s="376">
        <f t="shared" si="52"/>
        <v>1112300.0103978314</v>
      </c>
      <c r="P136" s="376">
        <f t="shared" si="52"/>
        <v>1097336.921381078</v>
      </c>
      <c r="Q136" s="376">
        <f t="shared" si="52"/>
        <v>1087106.4887277181</v>
      </c>
      <c r="R136" s="376">
        <f t="shared" si="52"/>
        <v>1082606.6929060444</v>
      </c>
      <c r="S136" s="376">
        <f t="shared" si="52"/>
        <v>1083169.8909940377</v>
      </c>
      <c r="T136" s="376">
        <f t="shared" si="52"/>
        <v>1088720.8762079282</v>
      </c>
      <c r="U136" s="376">
        <f t="shared" si="52"/>
        <v>1090675.2483746856</v>
      </c>
      <c r="V136" s="376">
        <f t="shared" si="52"/>
        <v>1093393.5257802517</v>
      </c>
      <c r="W136" s="376">
        <f t="shared" si="52"/>
        <v>1097006.2511337716</v>
      </c>
      <c r="X136" s="376">
        <f t="shared" si="52"/>
        <v>1101483.5166162802</v>
      </c>
      <c r="Y136" s="376">
        <f t="shared" si="52"/>
        <v>1106789.3434540285</v>
      </c>
      <c r="Z136" s="376">
        <f t="shared" si="52"/>
        <v>1113064.8653913406</v>
      </c>
      <c r="AA136" s="376">
        <f t="shared" si="52"/>
        <v>1120465.7848836978</v>
      </c>
      <c r="AB136" s="376">
        <f t="shared" si="52"/>
        <v>1128870.4893243629</v>
      </c>
      <c r="AC136" s="376">
        <f t="shared" si="52"/>
        <v>1159035.387013146</v>
      </c>
      <c r="AD136" s="376">
        <f t="shared" si="52"/>
        <v>1196053.2725710473</v>
      </c>
      <c r="AE136" s="376">
        <f t="shared" si="52"/>
        <v>1234427.9477768377</v>
      </c>
      <c r="AF136" s="376">
        <f t="shared" si="52"/>
        <v>1274666.6100222592</v>
      </c>
      <c r="AG136" s="376">
        <f t="shared" si="52"/>
        <v>1316994.6918834771</v>
      </c>
    </row>
    <row r="137" spans="1:34">
      <c r="A137" s="300" t="s">
        <v>317</v>
      </c>
      <c r="B137" s="300" t="s">
        <v>313</v>
      </c>
      <c r="C137" s="376">
        <f t="shared" ref="C137:AG137" si="53">$C$22*$C$21*C57</f>
        <v>747681.72703061032</v>
      </c>
      <c r="D137" s="376">
        <f t="shared" si="53"/>
        <v>752296.08385484503</v>
      </c>
      <c r="E137" s="376">
        <f t="shared" si="53"/>
        <v>757727.33775847394</v>
      </c>
      <c r="F137" s="376">
        <f t="shared" si="53"/>
        <v>763992.35655451205</v>
      </c>
      <c r="G137" s="376">
        <f t="shared" si="53"/>
        <v>771109.07797024923</v>
      </c>
      <c r="H137" s="376">
        <f t="shared" si="53"/>
        <v>779096.54256377707</v>
      </c>
      <c r="I137" s="376">
        <f t="shared" si="53"/>
        <v>789689.19559357408</v>
      </c>
      <c r="J137" s="376">
        <f t="shared" si="53"/>
        <v>801116.97891801829</v>
      </c>
      <c r="K137" s="376">
        <f t="shared" si="53"/>
        <v>813405.06926542614</v>
      </c>
      <c r="L137" s="376">
        <f t="shared" si="53"/>
        <v>826579.8150029165</v>
      </c>
      <c r="M137" s="376">
        <f t="shared" si="53"/>
        <v>840668.77971056895</v>
      </c>
      <c r="N137" s="376">
        <f t="shared" si="53"/>
        <v>855700.78756437695</v>
      </c>
      <c r="O137" s="376">
        <f t="shared" si="53"/>
        <v>871705.97059902945</v>
      </c>
      <c r="P137" s="376">
        <f t="shared" si="53"/>
        <v>888715.81792442652</v>
      </c>
      <c r="Q137" s="376">
        <f t="shared" si="53"/>
        <v>906763.22697281092</v>
      </c>
      <c r="R137" s="376">
        <f t="shared" si="53"/>
        <v>925882.55685650243</v>
      </c>
      <c r="S137" s="376">
        <f t="shared" si="53"/>
        <v>948911.04645466537</v>
      </c>
      <c r="T137" s="376">
        <f t="shared" si="53"/>
        <v>973000.74376351596</v>
      </c>
      <c r="U137" s="376">
        <f t="shared" si="53"/>
        <v>998192.69641021383</v>
      </c>
      <c r="V137" s="376">
        <f t="shared" si="53"/>
        <v>1024529.607933818</v>
      </c>
      <c r="W137" s="376">
        <f t="shared" si="53"/>
        <v>1052055.9038816944</v>
      </c>
      <c r="X137" s="376">
        <f t="shared" si="53"/>
        <v>1080817.8005511805</v>
      </c>
      <c r="Y137" s="376">
        <f t="shared" si="53"/>
        <v>1110863.3764823042</v>
      </c>
      <c r="Z137" s="376">
        <f t="shared" si="53"/>
        <v>1142242.6468115817</v>
      </c>
      <c r="AA137" s="376">
        <f t="shared" si="53"/>
        <v>1175007.6406013307</v>
      </c>
      <c r="AB137" s="376">
        <f t="shared" si="53"/>
        <v>1209212.4812634967</v>
      </c>
      <c r="AC137" s="376">
        <f t="shared" si="53"/>
        <v>1249980.4743266758</v>
      </c>
      <c r="AD137" s="376">
        <f t="shared" si="53"/>
        <v>1292303.182050508</v>
      </c>
      <c r="AE137" s="376">
        <f t="shared" si="53"/>
        <v>1336242.0329708012</v>
      </c>
      <c r="AF137" s="376">
        <f t="shared" si="53"/>
        <v>1381860.9051642893</v>
      </c>
      <c r="AG137" s="376">
        <f t="shared" si="53"/>
        <v>1429226.2241542635</v>
      </c>
    </row>
    <row r="138" spans="1:34">
      <c r="A138" s="300" t="s">
        <v>318</v>
      </c>
      <c r="B138" s="300" t="s">
        <v>313</v>
      </c>
      <c r="C138" s="376">
        <f>'Changing with year'!C300</f>
        <v>510000</v>
      </c>
      <c r="D138" s="376">
        <f>'Changing with year'!D300</f>
        <v>533000</v>
      </c>
      <c r="E138" s="376">
        <f>'Changing with year'!E300</f>
        <v>557000</v>
      </c>
      <c r="F138" s="376">
        <f>'Changing with year'!F300</f>
        <v>582000</v>
      </c>
      <c r="G138" s="376">
        <f>'Changing with year'!G300</f>
        <v>608000</v>
      </c>
      <c r="H138" s="376">
        <f>'Changing with year'!H300</f>
        <v>635000</v>
      </c>
      <c r="I138" s="376">
        <f>'Changing with year'!I300</f>
        <v>664000</v>
      </c>
      <c r="J138" s="376">
        <f>'Changing with year'!J300</f>
        <v>694000</v>
      </c>
      <c r="K138" s="376">
        <f>'Changing with year'!K300</f>
        <v>725000</v>
      </c>
      <c r="L138" s="376">
        <f>'Changing with year'!L300</f>
        <v>758000</v>
      </c>
      <c r="M138" s="376">
        <f>'Changing with year'!M300</f>
        <v>792000</v>
      </c>
      <c r="N138" s="376">
        <f>'Changing with year'!N300</f>
        <v>828000</v>
      </c>
      <c r="O138" s="376">
        <f>'Changing with year'!O300</f>
        <v>865000</v>
      </c>
      <c r="P138" s="376">
        <f>'Changing with year'!P300</f>
        <v>904000</v>
      </c>
      <c r="Q138" s="376">
        <f>'Changing with year'!Q300</f>
        <v>945000</v>
      </c>
      <c r="R138" s="376">
        <f>'Changing with year'!R300</f>
        <v>988000</v>
      </c>
      <c r="S138" s="376">
        <f>'Changing with year'!S300</f>
        <v>1032000</v>
      </c>
      <c r="T138" s="376">
        <f>'Changing with year'!T300</f>
        <v>1078000</v>
      </c>
      <c r="U138" s="376">
        <f>'Changing with year'!U300</f>
        <v>1127000</v>
      </c>
      <c r="V138" s="376">
        <f>'Changing with year'!V300</f>
        <v>1178000</v>
      </c>
      <c r="W138" s="376">
        <f>'Changing with year'!W300</f>
        <v>1231000</v>
      </c>
      <c r="X138" s="376">
        <f>'Changing with year'!X300</f>
        <v>1286000</v>
      </c>
      <c r="Y138" s="376">
        <f>'Changing with year'!Y300</f>
        <v>1344000</v>
      </c>
      <c r="Z138" s="376">
        <f>'Changing with year'!Z300</f>
        <v>1404000</v>
      </c>
      <c r="AA138" s="376">
        <f>'Changing with year'!AA300</f>
        <v>1467000</v>
      </c>
      <c r="AB138" s="376">
        <f>'Changing with year'!AB300</f>
        <v>1533000</v>
      </c>
      <c r="AC138" s="376">
        <f>'Changing with year'!AC300</f>
        <v>1602000</v>
      </c>
      <c r="AD138" s="376">
        <f>'Changing with year'!AD300</f>
        <v>1674000</v>
      </c>
      <c r="AE138" s="376">
        <f>'Changing with year'!AE300</f>
        <v>1749000</v>
      </c>
      <c r="AF138" s="376">
        <f>'Changing with year'!AF300</f>
        <v>1828000</v>
      </c>
      <c r="AG138" s="376">
        <f>'Changing with year'!AG300</f>
        <v>1910000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C60</f>
        <v>756000</v>
      </c>
      <c r="D139" s="376">
        <f t="shared" si="54"/>
        <v>763560.00000000012</v>
      </c>
      <c r="E139" s="376">
        <f t="shared" si="54"/>
        <v>771195.6</v>
      </c>
      <c r="F139" s="376">
        <f t="shared" si="54"/>
        <v>778907.5560000001</v>
      </c>
      <c r="G139" s="376">
        <f t="shared" si="54"/>
        <v>786696.63156000001</v>
      </c>
      <c r="H139" s="376">
        <f t="shared" si="54"/>
        <v>794563.59787559998</v>
      </c>
      <c r="I139" s="376">
        <f t="shared" si="54"/>
        <v>802509.23385435599</v>
      </c>
      <c r="J139" s="376">
        <f t="shared" si="54"/>
        <v>810534.32619289949</v>
      </c>
      <c r="K139" s="376">
        <f t="shared" si="54"/>
        <v>818639.6694548286</v>
      </c>
      <c r="L139" s="376">
        <f t="shared" si="54"/>
        <v>826826.06614937691</v>
      </c>
      <c r="M139" s="376">
        <f t="shared" si="54"/>
        <v>835094.32681087067</v>
      </c>
      <c r="N139" s="376">
        <f t="shared" si="54"/>
        <v>843445.27007897932</v>
      </c>
      <c r="O139" s="376">
        <f t="shared" si="54"/>
        <v>851879.7227797691</v>
      </c>
      <c r="P139" s="376">
        <f t="shared" si="54"/>
        <v>860398.52000756678</v>
      </c>
      <c r="Q139" s="376">
        <f t="shared" si="54"/>
        <v>869002.50520764268</v>
      </c>
      <c r="R139" s="376">
        <f t="shared" si="54"/>
        <v>877692.53025971889</v>
      </c>
      <c r="S139" s="376">
        <f t="shared" si="54"/>
        <v>886469.45556231611</v>
      </c>
      <c r="T139" s="376">
        <f t="shared" si="54"/>
        <v>895334.15011793945</v>
      </c>
      <c r="U139" s="376">
        <f t="shared" si="54"/>
        <v>904287.49161911872</v>
      </c>
      <c r="V139" s="376">
        <f t="shared" si="54"/>
        <v>913330.36653530993</v>
      </c>
      <c r="W139" s="376">
        <f t="shared" si="54"/>
        <v>922463.67020066304</v>
      </c>
      <c r="X139" s="376">
        <f t="shared" si="54"/>
        <v>931688.30690266972</v>
      </c>
      <c r="Y139" s="376">
        <f t="shared" si="54"/>
        <v>941005.18997169647</v>
      </c>
      <c r="Z139" s="376">
        <f t="shared" si="54"/>
        <v>950415.24187141354</v>
      </c>
      <c r="AA139" s="376">
        <f t="shared" si="54"/>
        <v>959919.39429012756</v>
      </c>
      <c r="AB139" s="376">
        <f t="shared" si="54"/>
        <v>969518.588233029</v>
      </c>
      <c r="AC139" s="376">
        <f t="shared" si="54"/>
        <v>979213.77411535941</v>
      </c>
      <c r="AD139" s="376">
        <f t="shared" si="54"/>
        <v>989005.91185651289</v>
      </c>
      <c r="AE139" s="376">
        <f t="shared" si="54"/>
        <v>998895.97097507794</v>
      </c>
      <c r="AF139" s="376">
        <f t="shared" si="54"/>
        <v>1008884.9306848288</v>
      </c>
      <c r="AG139" s="376">
        <f t="shared" si="54"/>
        <v>1018973.779991677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175260</v>
      </c>
      <c r="D140" s="386">
        <f t="shared" si="55"/>
        <v>174360</v>
      </c>
      <c r="E140" s="386">
        <f t="shared" si="55"/>
        <v>173600</v>
      </c>
      <c r="F140" s="386">
        <f t="shared" si="55"/>
        <v>169400</v>
      </c>
      <c r="G140" s="386">
        <f t="shared" si="55"/>
        <v>165500</v>
      </c>
      <c r="H140" s="386">
        <f t="shared" si="55"/>
        <v>165900</v>
      </c>
      <c r="I140" s="386">
        <f t="shared" si="55"/>
        <v>163000</v>
      </c>
      <c r="J140" s="386">
        <f t="shared" si="55"/>
        <v>163800</v>
      </c>
      <c r="K140" s="386">
        <f t="shared" si="55"/>
        <v>164700</v>
      </c>
      <c r="L140" s="386">
        <f t="shared" si="55"/>
        <v>165720</v>
      </c>
      <c r="M140" s="386">
        <f t="shared" si="55"/>
        <v>166860</v>
      </c>
      <c r="N140" s="386">
        <f t="shared" si="55"/>
        <v>168140</v>
      </c>
      <c r="O140" s="386">
        <f t="shared" si="55"/>
        <v>169520</v>
      </c>
      <c r="P140" s="386">
        <f t="shared" si="55"/>
        <v>171040</v>
      </c>
      <c r="Q140" s="386">
        <f t="shared" si="55"/>
        <v>172700</v>
      </c>
      <c r="R140" s="386">
        <f t="shared" si="55"/>
        <v>174480</v>
      </c>
      <c r="S140" s="386">
        <f t="shared" si="55"/>
        <v>174800</v>
      </c>
      <c r="T140" s="386">
        <f t="shared" si="55"/>
        <v>178060</v>
      </c>
      <c r="U140" s="386">
        <f t="shared" si="55"/>
        <v>181440</v>
      </c>
      <c r="V140" s="386">
        <f t="shared" si="55"/>
        <v>184940</v>
      </c>
      <c r="W140" s="386">
        <f t="shared" si="55"/>
        <v>188540</v>
      </c>
      <c r="X140" s="386">
        <f t="shared" si="55"/>
        <v>192280</v>
      </c>
      <c r="Y140" s="386">
        <f t="shared" si="55"/>
        <v>196140</v>
      </c>
      <c r="Z140" s="386">
        <f t="shared" si="55"/>
        <v>200140</v>
      </c>
      <c r="AA140" s="386">
        <f t="shared" si="55"/>
        <v>204280</v>
      </c>
      <c r="AB140" s="386">
        <f t="shared" si="55"/>
        <v>208540</v>
      </c>
      <c r="AC140" s="386">
        <f t="shared" si="55"/>
        <v>213760</v>
      </c>
      <c r="AD140" s="386">
        <f t="shared" si="55"/>
        <v>219120</v>
      </c>
      <c r="AE140" s="386">
        <f t="shared" si="55"/>
        <v>224640</v>
      </c>
      <c r="AF140" s="386">
        <f t="shared" si="55"/>
        <v>230320</v>
      </c>
      <c r="AG140" s="386">
        <f t="shared" si="55"/>
        <v>236140</v>
      </c>
    </row>
    <row r="141" spans="1:34" s="371" customFormat="1" ht="11.85" customHeight="1">
      <c r="A141" s="428" t="s">
        <v>320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28"/>
      <c r="O141" s="428"/>
      <c r="P141" s="428"/>
      <c r="Q141" s="428"/>
      <c r="R141" s="428"/>
      <c r="S141" s="428"/>
      <c r="T141" s="428"/>
      <c r="U141" s="428"/>
      <c r="V141" s="428"/>
      <c r="W141" s="428"/>
      <c r="X141" s="428"/>
      <c r="Y141" s="428"/>
      <c r="Z141" s="428"/>
      <c r="AA141" s="428"/>
      <c r="AB141" s="428"/>
      <c r="AC141" s="428"/>
      <c r="AD141" s="428"/>
      <c r="AE141" s="428"/>
      <c r="AF141" s="428"/>
      <c r="AG141" s="428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17.778969626887854</v>
      </c>
      <c r="D142" s="379">
        <f t="shared" si="56"/>
        <v>17.687670570262274</v>
      </c>
      <c r="E142" s="379">
        <f t="shared" si="56"/>
        <v>17.610573589111787</v>
      </c>
      <c r="F142" s="379">
        <f t="shared" si="56"/>
        <v>17.184511324859081</v>
      </c>
      <c r="G142" s="379">
        <f t="shared" si="56"/>
        <v>16.788882079481571</v>
      </c>
      <c r="H142" s="379">
        <f t="shared" si="56"/>
        <v>16.829459437981829</v>
      </c>
      <c r="I142" s="379">
        <f t="shared" si="56"/>
        <v>16.53527358885496</v>
      </c>
      <c r="J142" s="379">
        <f t="shared" si="56"/>
        <v>16.616428305855475</v>
      </c>
      <c r="K142" s="379">
        <f t="shared" si="56"/>
        <v>16.707727362481055</v>
      </c>
      <c r="L142" s="379">
        <f t="shared" si="56"/>
        <v>16.811199626656709</v>
      </c>
      <c r="M142" s="379">
        <f t="shared" si="56"/>
        <v>16.926845098382444</v>
      </c>
      <c r="N142" s="379">
        <f t="shared" si="56"/>
        <v>17.056692645583269</v>
      </c>
      <c r="O142" s="379">
        <f t="shared" si="56"/>
        <v>17.196684532409158</v>
      </c>
      <c r="P142" s="379">
        <f t="shared" si="56"/>
        <v>17.350878494710138</v>
      </c>
      <c r="Q142" s="379">
        <f t="shared" si="56"/>
        <v>17.519274532486207</v>
      </c>
      <c r="R142" s="379">
        <f t="shared" si="56"/>
        <v>17.699843777812355</v>
      </c>
      <c r="S142" s="379">
        <f t="shared" si="56"/>
        <v>17.732305664612557</v>
      </c>
      <c r="T142" s="379">
        <f t="shared" si="56"/>
        <v>18.063011136389658</v>
      </c>
      <c r="U142" s="379">
        <f t="shared" si="56"/>
        <v>18.405889815716833</v>
      </c>
      <c r="V142" s="379">
        <f t="shared" si="56"/>
        <v>18.760941702594085</v>
      </c>
      <c r="W142" s="379">
        <f t="shared" si="56"/>
        <v>19.126137929096405</v>
      </c>
      <c r="X142" s="379">
        <f t="shared" si="56"/>
        <v>19.505536231073815</v>
      </c>
      <c r="Y142" s="379">
        <f t="shared" si="56"/>
        <v>19.897107740601299</v>
      </c>
      <c r="Z142" s="379">
        <f t="shared" si="56"/>
        <v>20.302881325603877</v>
      </c>
      <c r="AA142" s="379">
        <f t="shared" si="56"/>
        <v>20.722856986081542</v>
      </c>
      <c r="AB142" s="379">
        <f t="shared" si="56"/>
        <v>21.155005854109284</v>
      </c>
      <c r="AC142" s="379">
        <f t="shared" si="56"/>
        <v>21.684540382537644</v>
      </c>
      <c r="AD142" s="379">
        <f t="shared" si="56"/>
        <v>22.228276986441095</v>
      </c>
      <c r="AE142" s="379">
        <f t="shared" si="56"/>
        <v>22.788244533744653</v>
      </c>
      <c r="AF142" s="379">
        <f t="shared" si="56"/>
        <v>23.36444302444831</v>
      </c>
      <c r="AG142" s="379">
        <f t="shared" si="56"/>
        <v>23.954843590627053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13.71932496363325</v>
      </c>
      <c r="D143" s="379">
        <f t="shared" si="57"/>
        <v>13.891824963633251</v>
      </c>
      <c r="E143" s="379">
        <f t="shared" si="57"/>
        <v>13.964570171194014</v>
      </c>
      <c r="F143" s="379">
        <f t="shared" si="57"/>
        <v>13.959047093185092</v>
      </c>
      <c r="G143" s="379">
        <f t="shared" si="57"/>
        <v>13.833518086863855</v>
      </c>
      <c r="H143" s="379">
        <f t="shared" si="57"/>
        <v>13.935351570080098</v>
      </c>
      <c r="I143" s="379">
        <f t="shared" si="57"/>
        <v>12.0897669389421</v>
      </c>
      <c r="J143" s="379">
        <f t="shared" si="57"/>
        <v>11.789074633574026</v>
      </c>
      <c r="K143" s="379">
        <f t="shared" si="57"/>
        <v>11.284439192091227</v>
      </c>
      <c r="L143" s="379">
        <f t="shared" si="57"/>
        <v>10.858876176910652</v>
      </c>
      <c r="M143" s="379">
        <f t="shared" si="57"/>
        <v>10.523324857015124</v>
      </c>
      <c r="N143" s="379">
        <f t="shared" si="57"/>
        <v>10.407599794944273</v>
      </c>
      <c r="O143" s="379">
        <f t="shared" si="57"/>
        <v>10.299074170350291</v>
      </c>
      <c r="P143" s="379">
        <f t="shared" si="57"/>
        <v>10.160527049824797</v>
      </c>
      <c r="Q143" s="379">
        <f t="shared" si="57"/>
        <v>10.065800821552946</v>
      </c>
      <c r="R143" s="379">
        <f t="shared" si="57"/>
        <v>10.024136045426337</v>
      </c>
      <c r="S143" s="379">
        <f t="shared" si="57"/>
        <v>10.029350842537387</v>
      </c>
      <c r="T143" s="379">
        <f t="shared" si="57"/>
        <v>10.080748853777113</v>
      </c>
      <c r="U143" s="379">
        <f t="shared" si="57"/>
        <v>10.098844892358201</v>
      </c>
      <c r="V143" s="379">
        <f t="shared" si="57"/>
        <v>10.124014127594924</v>
      </c>
      <c r="W143" s="379">
        <f t="shared" si="57"/>
        <v>10.157465288275663</v>
      </c>
      <c r="X143" s="379">
        <f t="shared" si="57"/>
        <v>10.198921450150742</v>
      </c>
      <c r="Y143" s="379">
        <f t="shared" si="57"/>
        <v>10.248049476426189</v>
      </c>
      <c r="Z143" s="379">
        <f t="shared" si="57"/>
        <v>10.30615616103093</v>
      </c>
      <c r="AA143" s="379">
        <f t="shared" si="57"/>
        <v>10.374683193367572</v>
      </c>
      <c r="AB143" s="379">
        <f t="shared" si="57"/>
        <v>10.452504530781139</v>
      </c>
      <c r="AC143" s="379">
        <f t="shared" si="57"/>
        <v>10.731809139010611</v>
      </c>
      <c r="AD143" s="379">
        <f t="shared" si="57"/>
        <v>11.074567338620808</v>
      </c>
      <c r="AE143" s="379">
        <f t="shared" si="57"/>
        <v>11.429888405341091</v>
      </c>
      <c r="AF143" s="379">
        <f t="shared" si="57"/>
        <v>11.802468611317215</v>
      </c>
      <c r="AG143" s="379">
        <f t="shared" si="57"/>
        <v>12.194395295217381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20.267978953987132</v>
      </c>
      <c r="D144" s="379">
        <f t="shared" si="58"/>
        <v>20.585334109767086</v>
      </c>
      <c r="E144" s="379">
        <f t="shared" si="58"/>
        <v>20.921508682948836</v>
      </c>
      <c r="F144" s="379">
        <f t="shared" si="58"/>
        <v>21.243517708838073</v>
      </c>
      <c r="G144" s="379">
        <f t="shared" si="58"/>
        <v>21.586163977131939</v>
      </c>
      <c r="H144" s="379">
        <f t="shared" si="58"/>
        <v>21.98666796703127</v>
      </c>
      <c r="I144" s="379">
        <f t="shared" si="58"/>
        <v>22.399985457851205</v>
      </c>
      <c r="J144" s="379">
        <f t="shared" si="58"/>
        <v>22.865289862138127</v>
      </c>
      <c r="K144" s="379">
        <f t="shared" si="58"/>
        <v>23.349488321483843</v>
      </c>
      <c r="L144" s="379">
        <f t="shared" si="58"/>
        <v>23.862276677336048</v>
      </c>
      <c r="M144" s="379">
        <f t="shared" si="58"/>
        <v>24.394658393717034</v>
      </c>
      <c r="N144" s="379">
        <f t="shared" si="58"/>
        <v>24.956352385586634</v>
      </c>
      <c r="O144" s="379">
        <f t="shared" si="58"/>
        <v>25.538015679433322</v>
      </c>
      <c r="P144" s="379">
        <f t="shared" si="58"/>
        <v>26.149577203074013</v>
      </c>
      <c r="Q144" s="379">
        <f t="shared" si="58"/>
        <v>26.791349372041239</v>
      </c>
      <c r="R144" s="379">
        <f t="shared" si="58"/>
        <v>27.463473028853898</v>
      </c>
      <c r="S144" s="379">
        <f t="shared" si="58"/>
        <v>28.168337981638714</v>
      </c>
      <c r="T144" s="379">
        <f t="shared" si="58"/>
        <v>28.929582350754217</v>
      </c>
      <c r="U144" s="379">
        <f t="shared" si="58"/>
        <v>29.730742481753076</v>
      </c>
      <c r="V144" s="379">
        <f t="shared" si="58"/>
        <v>30.562962726565999</v>
      </c>
      <c r="W144" s="379">
        <f t="shared" si="58"/>
        <v>31.426477537799606</v>
      </c>
      <c r="X144" s="379">
        <f t="shared" si="58"/>
        <v>32.322093587535655</v>
      </c>
      <c r="Y144" s="379">
        <f t="shared" si="58"/>
        <v>33.259338578277784</v>
      </c>
      <c r="Z144" s="379">
        <f t="shared" si="58"/>
        <v>34.229610080398103</v>
      </c>
      <c r="AA144" s="379">
        <f t="shared" si="58"/>
        <v>35.242657730476466</v>
      </c>
      <c r="AB144" s="379">
        <f t="shared" si="58"/>
        <v>36.298806199041906</v>
      </c>
      <c r="AC144" s="379">
        <f t="shared" si="58"/>
        <v>37.453280078166991</v>
      </c>
      <c r="AD144" s="379">
        <f t="shared" si="58"/>
        <v>38.652121239879826</v>
      </c>
      <c r="AE144" s="379">
        <f t="shared" si="58"/>
        <v>39.896092629128503</v>
      </c>
      <c r="AF144" s="379">
        <f t="shared" si="58"/>
        <v>41.195054035639984</v>
      </c>
      <c r="AG144" s="379">
        <f t="shared" si="58"/>
        <v>42.540185223573523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2.3182539682539693</v>
      </c>
      <c r="D145" s="379">
        <f t="shared" si="59"/>
        <v>2.306349206349207</v>
      </c>
      <c r="E145" s="379">
        <f t="shared" si="59"/>
        <v>2.2962962962962967</v>
      </c>
      <c r="F145" s="379">
        <f t="shared" si="59"/>
        <v>2.2407407407407414</v>
      </c>
      <c r="G145" s="379">
        <f t="shared" si="59"/>
        <v>2.18915343915344</v>
      </c>
      <c r="H145" s="379">
        <f t="shared" si="59"/>
        <v>2.1944444444444451</v>
      </c>
      <c r="I145" s="379">
        <f t="shared" si="59"/>
        <v>2.1560846560846567</v>
      </c>
      <c r="J145" s="379">
        <f t="shared" si="59"/>
        <v>2.1666666666666674</v>
      </c>
      <c r="K145" s="379">
        <f t="shared" si="59"/>
        <v>2.1785714285714293</v>
      </c>
      <c r="L145" s="379">
        <f t="shared" si="59"/>
        <v>2.1920634920634927</v>
      </c>
      <c r="M145" s="379">
        <f t="shared" si="59"/>
        <v>2.2071428571428577</v>
      </c>
      <c r="N145" s="379">
        <f t="shared" si="59"/>
        <v>3.3361111111111117</v>
      </c>
      <c r="O145" s="379">
        <f t="shared" si="59"/>
        <v>3.363492063492064</v>
      </c>
      <c r="P145" s="379">
        <f t="shared" si="59"/>
        <v>3.3936507936507945</v>
      </c>
      <c r="Q145" s="379">
        <f t="shared" si="59"/>
        <v>3.4265873015873023</v>
      </c>
      <c r="R145" s="379">
        <f t="shared" si="59"/>
        <v>3.4619047619047625</v>
      </c>
      <c r="S145" s="379">
        <f t="shared" si="59"/>
        <v>3.4682539682539688</v>
      </c>
      <c r="T145" s="379">
        <f t="shared" si="59"/>
        <v>3.5329365079365087</v>
      </c>
      <c r="U145" s="379">
        <f t="shared" si="59"/>
        <v>3.6000000000000005</v>
      </c>
      <c r="V145" s="379">
        <f t="shared" si="59"/>
        <v>3.6694444444444452</v>
      </c>
      <c r="W145" s="379">
        <f t="shared" si="59"/>
        <v>3.7408730158730163</v>
      </c>
      <c r="X145" s="379">
        <f t="shared" si="59"/>
        <v>5.0867724867724871</v>
      </c>
      <c r="Y145" s="379">
        <f t="shared" si="59"/>
        <v>5.1888888888888891</v>
      </c>
      <c r="Z145" s="379">
        <f t="shared" si="59"/>
        <v>5.2947089947089951</v>
      </c>
      <c r="AA145" s="379">
        <f t="shared" si="59"/>
        <v>5.4042328042328043</v>
      </c>
      <c r="AB145" s="379">
        <f t="shared" si="59"/>
        <v>5.5169312169312166</v>
      </c>
      <c r="AC145" s="379">
        <f t="shared" si="59"/>
        <v>5.6550264550264551</v>
      </c>
      <c r="AD145" s="379">
        <f t="shared" si="59"/>
        <v>5.7968253968253967</v>
      </c>
      <c r="AE145" s="379">
        <f t="shared" si="59"/>
        <v>5.9428571428571431</v>
      </c>
      <c r="AF145" s="379">
        <f t="shared" si="59"/>
        <v>6.0931216931216934</v>
      </c>
      <c r="AG145" s="379">
        <f t="shared" si="59"/>
        <v>6.2470899470899468</v>
      </c>
    </row>
    <row r="146" spans="1:34" s="352" customFormat="1">
      <c r="A146" s="380" t="s">
        <v>323</v>
      </c>
      <c r="B146" s="352" t="s">
        <v>300</v>
      </c>
      <c r="C146" s="429">
        <f>SUM(C142:C144)-C145</f>
        <v>49.448019576254268</v>
      </c>
      <c r="D146" s="429">
        <f t="shared" ref="D146:AG146" si="60">SUM(D142:D144)-D145</f>
        <v>49.858480437313403</v>
      </c>
      <c r="E146" s="429">
        <f t="shared" si="60"/>
        <v>50.200356146958335</v>
      </c>
      <c r="F146" s="429">
        <f t="shared" si="60"/>
        <v>50.146335386141509</v>
      </c>
      <c r="G146" s="429">
        <f t="shared" si="60"/>
        <v>50.019410704323917</v>
      </c>
      <c r="H146" s="429">
        <f t="shared" si="60"/>
        <v>50.55703453064875</v>
      </c>
      <c r="I146" s="429">
        <f t="shared" si="60"/>
        <v>48.868941329563611</v>
      </c>
      <c r="J146" s="429">
        <f t="shared" si="60"/>
        <v>49.104126134900966</v>
      </c>
      <c r="K146" s="429">
        <f t="shared" si="60"/>
        <v>49.163083447484695</v>
      </c>
      <c r="L146" s="429">
        <f t="shared" si="60"/>
        <v>49.340288988839923</v>
      </c>
      <c r="M146" s="429">
        <f t="shared" si="60"/>
        <v>49.637685491971752</v>
      </c>
      <c r="N146" s="429">
        <f t="shared" si="60"/>
        <v>49.084533715003069</v>
      </c>
      <c r="O146" s="429">
        <f t="shared" si="60"/>
        <v>49.670282318700714</v>
      </c>
      <c r="P146" s="429">
        <f t="shared" si="60"/>
        <v>50.267331953958156</v>
      </c>
      <c r="Q146" s="429">
        <f t="shared" si="60"/>
        <v>50.94983742449309</v>
      </c>
      <c r="R146" s="429">
        <f t="shared" si="60"/>
        <v>51.725548090187829</v>
      </c>
      <c r="S146" s="429">
        <f t="shared" si="60"/>
        <v>52.46174052053469</v>
      </c>
      <c r="T146" s="429">
        <f t="shared" si="60"/>
        <v>53.540405832984476</v>
      </c>
      <c r="U146" s="429">
        <f t="shared" si="60"/>
        <v>54.635477189828109</v>
      </c>
      <c r="V146" s="429">
        <f t="shared" si="60"/>
        <v>55.778474112310562</v>
      </c>
      <c r="W146" s="429">
        <f t="shared" si="60"/>
        <v>56.96920773929866</v>
      </c>
      <c r="X146" s="429">
        <f t="shared" si="60"/>
        <v>56.939778781987727</v>
      </c>
      <c r="Y146" s="429">
        <f t="shared" si="60"/>
        <v>58.215606906416383</v>
      </c>
      <c r="Z146" s="429">
        <f t="shared" si="60"/>
        <v>59.54393857232391</v>
      </c>
      <c r="AA146" s="429">
        <f t="shared" si="60"/>
        <v>60.935965105692773</v>
      </c>
      <c r="AB146" s="429">
        <f t="shared" si="60"/>
        <v>62.389385367001104</v>
      </c>
      <c r="AC146" s="429">
        <f t="shared" si="60"/>
        <v>64.21460314468878</v>
      </c>
      <c r="AD146" s="429">
        <f t="shared" si="60"/>
        <v>66.158140168116333</v>
      </c>
      <c r="AE146" s="429">
        <f t="shared" si="60"/>
        <v>68.171368425357088</v>
      </c>
      <c r="AF146" s="429">
        <f t="shared" si="60"/>
        <v>70.268843978283812</v>
      </c>
      <c r="AG146" s="429">
        <f t="shared" si="60"/>
        <v>72.442334162328009</v>
      </c>
    </row>
    <row r="147" spans="1:34" s="344" customFormat="1">
      <c r="A147" s="342" t="s">
        <v>331</v>
      </c>
      <c r="B147" s="342"/>
      <c r="H147" s="431">
        <f>H149/H63</f>
        <v>2.3697905278348714</v>
      </c>
      <c r="AB147" s="431">
        <f>AB149/AB63</f>
        <v>1.4395709495042432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00" t="s">
        <v>332</v>
      </c>
      <c r="B149" s="300" t="s">
        <v>309</v>
      </c>
      <c r="C149" s="376">
        <f>ROUND(('Changing with year'!C144)/1000,0)*1000</f>
        <v>11491000</v>
      </c>
      <c r="D149" s="376">
        <f>ROUND(('Changing with year'!D144)/1000,0)*1000</f>
        <v>11294000</v>
      </c>
      <c r="E149" s="376">
        <f>ROUND(('Changing with year'!E144)/1000,0)*1000</f>
        <v>11110000</v>
      </c>
      <c r="F149" s="376">
        <f>ROUND(('Changing with year'!F144)/1000,0)*1000</f>
        <v>10939000</v>
      </c>
      <c r="G149" s="376">
        <f>ROUND(('Changing with year'!G144)/1000,0)*1000</f>
        <v>10782000</v>
      </c>
      <c r="H149" s="376">
        <f>ROUND(('Changing with year'!H144)/1000,0)*1000</f>
        <v>10838000</v>
      </c>
      <c r="I149" s="376">
        <f>ROUND(('Changing with year'!I144)/1000,0)*1000</f>
        <v>10763000</v>
      </c>
      <c r="J149" s="376">
        <f>ROUND(('Changing with year'!J144)/1000,0)*1000</f>
        <v>10705000</v>
      </c>
      <c r="K149" s="376">
        <f>ROUND(('Changing with year'!K144)/1000,0)*1000</f>
        <v>10656000</v>
      </c>
      <c r="L149" s="376">
        <f>ROUND(('Changing with year'!L144)/1000,0)*1000</f>
        <v>10616000</v>
      </c>
      <c r="M149" s="376">
        <f>ROUND(('Changing with year'!M144)/1000,0)*1000</f>
        <v>10586000</v>
      </c>
      <c r="N149" s="376">
        <f>ROUND(('Changing with year'!N144)/1000,0)*1000</f>
        <v>10565000</v>
      </c>
      <c r="O149" s="376">
        <f>ROUND(('Changing with year'!O144)/1000,0)*1000</f>
        <v>10553000</v>
      </c>
      <c r="P149" s="376">
        <f>ROUND(('Changing with year'!P144)/1000,0)*1000</f>
        <v>10551000</v>
      </c>
      <c r="Q149" s="376">
        <f>ROUND(('Changing with year'!Q144)/1000,0)*1000</f>
        <v>10558000</v>
      </c>
      <c r="R149" s="376">
        <f>ROUND(('Changing with year'!R144)/1000,0)*1000</f>
        <v>10575000</v>
      </c>
      <c r="S149" s="376">
        <f>ROUND(('Changing with year'!S144)/1000,0)*1000</f>
        <v>10540000</v>
      </c>
      <c r="T149" s="376">
        <f>ROUND(('Changing with year'!T144)/1000,0)*1000</f>
        <v>10679000</v>
      </c>
      <c r="U149" s="376">
        <f>ROUND(('Changing with year'!U144)/1000,0)*1000</f>
        <v>10825000</v>
      </c>
      <c r="V149" s="376">
        <f>ROUND(('Changing with year'!V144)/1000,0)*1000</f>
        <v>10978000</v>
      </c>
      <c r="W149" s="376">
        <f>ROUND(('Changing with year'!W144)/1000,0)*1000</f>
        <v>11138000</v>
      </c>
      <c r="X149" s="376">
        <f>ROUND(('Changing with year'!X144)/1000,0)*1000</f>
        <v>11146000</v>
      </c>
      <c r="Y149" s="376">
        <f>ROUND(('Changing with year'!Y144)/1000,0)*1000</f>
        <v>11321000</v>
      </c>
      <c r="Z149" s="376">
        <f>ROUND(('Changing with year'!Z144)/1000,0)*1000</f>
        <v>11503000</v>
      </c>
      <c r="AA149" s="376">
        <f>ROUND(('Changing with year'!AA144)/1000,0)*1000</f>
        <v>11693000</v>
      </c>
      <c r="AB149" s="376">
        <f>ROUND(('Changing with year'!AB144)/1000,0)*1000</f>
        <v>11891000</v>
      </c>
      <c r="AC149" s="376">
        <f>ROUND(('Changing with year'!AC144)/1000,0)*1000</f>
        <v>12011000</v>
      </c>
      <c r="AD149" s="376">
        <f>ROUND(('Changing with year'!AD144)/1000,0)*1000</f>
        <v>12293000</v>
      </c>
      <c r="AE149" s="376">
        <f>ROUND(('Changing with year'!AE144)/1000,0)*1000</f>
        <v>12582000</v>
      </c>
      <c r="AF149" s="376">
        <f>ROUND(('Changing with year'!AF144)/1000,0)*1000</f>
        <v>12879000</v>
      </c>
      <c r="AG149" s="376">
        <f>ROUND(('Changing with year'!AG144)/1000,0)*1000</f>
        <v>13184000</v>
      </c>
    </row>
    <row r="150" spans="1:34">
      <c r="A150" s="300" t="s">
        <v>310</v>
      </c>
      <c r="B150" s="300" t="s">
        <v>309</v>
      </c>
      <c r="C150" s="376">
        <f>(C149*'No change with year'!$AN$9)</f>
        <v>1149100.0000000005</v>
      </c>
      <c r="D150" s="376">
        <f>(D149*'No change with year'!$AN$9)</f>
        <v>1129400.0000000005</v>
      </c>
      <c r="E150" s="376">
        <f>(E149*'No change with year'!$AN$9)</f>
        <v>1111000.0000000005</v>
      </c>
      <c r="F150" s="376">
        <f>(F149*'No change with year'!$AN$9)</f>
        <v>1093900.0000000005</v>
      </c>
      <c r="G150" s="376">
        <f>(G149*'No change with year'!$AN$9)</f>
        <v>1078200.0000000005</v>
      </c>
      <c r="H150" s="376">
        <f>(H149*'No change with year'!$AN$9)</f>
        <v>1083800.0000000005</v>
      </c>
      <c r="I150" s="376">
        <f>(I149*'No change with year'!$AN$9)</f>
        <v>1076300.0000000005</v>
      </c>
      <c r="J150" s="376">
        <f>(J149*'No change with year'!$AN$9)</f>
        <v>1070500.0000000005</v>
      </c>
      <c r="K150" s="376">
        <f>(K149*'No change with year'!$AN$9)</f>
        <v>1065600.0000000005</v>
      </c>
      <c r="L150" s="376">
        <f>(L149*'No change with year'!$AN$9)</f>
        <v>1061600.0000000005</v>
      </c>
      <c r="M150" s="376">
        <f>(M149*'No change with year'!$AN$9)</f>
        <v>1058600.0000000005</v>
      </c>
      <c r="N150" s="376">
        <f>(N149*'No change with year'!$AO$9)</f>
        <v>2113000.0000000009</v>
      </c>
      <c r="O150" s="376">
        <f>(O149*'No change with year'!$AO$9)</f>
        <v>2110600.0000000009</v>
      </c>
      <c r="P150" s="376">
        <f>(P149*'No change with year'!$AO$9)</f>
        <v>2110200.0000000009</v>
      </c>
      <c r="Q150" s="376">
        <f>(Q149*'No change with year'!$AO$9)</f>
        <v>2111600.0000000009</v>
      </c>
      <c r="R150" s="376">
        <f>(R149*'No change with year'!$AO$9)</f>
        <v>2115000.0000000009</v>
      </c>
      <c r="S150" s="376">
        <f>(S149*'No change with year'!$AO$9)</f>
        <v>2108000.0000000009</v>
      </c>
      <c r="T150" s="376">
        <f>(T149*'No change with year'!$AO$9)</f>
        <v>2135800.0000000009</v>
      </c>
      <c r="U150" s="376">
        <f>(U149*'No change with year'!$AO$9)</f>
        <v>2165000.0000000009</v>
      </c>
      <c r="V150" s="376">
        <f>(V149*'No change with year'!$AO$9)</f>
        <v>2195600.0000000009</v>
      </c>
      <c r="W150" s="376">
        <f>(W149*'No change with year'!$AO$9)</f>
        <v>2227600.0000000009</v>
      </c>
      <c r="X150" s="376">
        <f>(X149*'No change with year'!$AP$9)</f>
        <v>3343800.0000000005</v>
      </c>
      <c r="Y150" s="376">
        <f>(Y149*'No change with year'!$AP$9)</f>
        <v>3396300.0000000005</v>
      </c>
      <c r="Z150" s="376">
        <f>(Z149*'No change with year'!$AP$9)</f>
        <v>3450900.0000000005</v>
      </c>
      <c r="AA150" s="376">
        <f>(AA149*'No change with year'!$AP$9)</f>
        <v>3507900.0000000005</v>
      </c>
      <c r="AB150" s="376">
        <f>(AB149*'No change with year'!$AP$9)</f>
        <v>3567300.0000000005</v>
      </c>
      <c r="AC150" s="376">
        <f>(AC149*'No change with year'!$AP$9)</f>
        <v>3603300.0000000005</v>
      </c>
      <c r="AD150" s="376">
        <f>(AD149*'No change with year'!$AP$9)</f>
        <v>3687900.0000000005</v>
      </c>
      <c r="AE150" s="376">
        <f>(AE149*'No change with year'!$AP$9)</f>
        <v>3774600.0000000005</v>
      </c>
      <c r="AF150" s="376">
        <f>(AF149*'No change with year'!$AP$9)</f>
        <v>3863700.0000000005</v>
      </c>
      <c r="AG150" s="376">
        <f>(AG149*'No change with year'!$AP$9)</f>
        <v>3955200.0000000005</v>
      </c>
    </row>
    <row r="151" spans="1:34" s="371" customFormat="1" ht="11.85" customHeight="1">
      <c r="A151" s="428" t="s">
        <v>311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</row>
    <row r="152" spans="1:34">
      <c r="A152" s="300" t="s">
        <v>325</v>
      </c>
      <c r="B152" s="300" t="s">
        <v>313</v>
      </c>
      <c r="C152" s="376">
        <f>-PMT($C$28,$C$27,C149)</f>
        <v>2517881.9032428823</v>
      </c>
      <c r="D152" s="376">
        <f t="shared" ref="D152:AG152" si="62">-PMT($C$28,$C$27,D149)</f>
        <v>2474715.7092703087</v>
      </c>
      <c r="E152" s="376">
        <f t="shared" si="62"/>
        <v>2434398.0458644526</v>
      </c>
      <c r="F152" s="376">
        <f t="shared" si="62"/>
        <v>2396928.9130253149</v>
      </c>
      <c r="G152" s="376">
        <f t="shared" si="62"/>
        <v>2362527.4284887961</v>
      </c>
      <c r="H152" s="376">
        <f t="shared" si="62"/>
        <v>2374798.021699274</v>
      </c>
      <c r="I152" s="376">
        <f t="shared" si="62"/>
        <v>2358364.1915066703</v>
      </c>
      <c r="J152" s="376">
        <f t="shared" si="62"/>
        <v>2345655.3628243892</v>
      </c>
      <c r="K152" s="376">
        <f t="shared" si="62"/>
        <v>2334918.5937652211</v>
      </c>
      <c r="L152" s="376">
        <f t="shared" si="62"/>
        <v>2326153.8843291653</v>
      </c>
      <c r="M152" s="376">
        <f t="shared" si="62"/>
        <v>2319580.3522521239</v>
      </c>
      <c r="N152" s="376">
        <f t="shared" si="62"/>
        <v>2314978.8797981949</v>
      </c>
      <c r="O152" s="376">
        <f t="shared" si="62"/>
        <v>2312349.4669673778</v>
      </c>
      <c r="P152" s="376">
        <f t="shared" si="62"/>
        <v>2311911.231495575</v>
      </c>
      <c r="Q152" s="376">
        <f t="shared" si="62"/>
        <v>2313445.0556468847</v>
      </c>
      <c r="R152" s="376">
        <f t="shared" si="62"/>
        <v>2317170.0571572082</v>
      </c>
      <c r="S152" s="376">
        <f t="shared" si="62"/>
        <v>2309500.9364006598</v>
      </c>
      <c r="T152" s="376">
        <f t="shared" si="62"/>
        <v>2339958.3016909529</v>
      </c>
      <c r="U152" s="376">
        <f t="shared" si="62"/>
        <v>2371949.4911325565</v>
      </c>
      <c r="V152" s="376">
        <f t="shared" si="62"/>
        <v>2405474.5047254693</v>
      </c>
      <c r="W152" s="376">
        <f t="shared" si="62"/>
        <v>2440533.3424696918</v>
      </c>
      <c r="X152" s="376">
        <f t="shared" si="62"/>
        <v>2442286.2843569028</v>
      </c>
      <c r="Y152" s="376">
        <f t="shared" si="62"/>
        <v>2480631.888139646</v>
      </c>
      <c r="Z152" s="376">
        <f t="shared" si="62"/>
        <v>2520511.3160736994</v>
      </c>
      <c r="AA152" s="376">
        <f t="shared" si="62"/>
        <v>2562143.6858949638</v>
      </c>
      <c r="AB152" s="376">
        <f t="shared" si="62"/>
        <v>2605528.9976034388</v>
      </c>
      <c r="AC152" s="376">
        <f t="shared" si="62"/>
        <v>2631823.125911606</v>
      </c>
      <c r="AD152" s="376">
        <f t="shared" si="62"/>
        <v>2693614.327435798</v>
      </c>
      <c r="AE152" s="376">
        <f t="shared" si="62"/>
        <v>2756939.3531113002</v>
      </c>
      <c r="AF152" s="376">
        <f t="shared" si="62"/>
        <v>2822017.3206740129</v>
      </c>
      <c r="AG152" s="376">
        <f t="shared" si="62"/>
        <v>2888848.2301239371</v>
      </c>
    </row>
    <row r="153" spans="1:34">
      <c r="A153" s="300" t="s">
        <v>333</v>
      </c>
      <c r="B153" s="300" t="s">
        <v>313</v>
      </c>
      <c r="C153" s="376">
        <f t="shared" ref="C153:AG153" si="63">$H$37*C50</f>
        <v>4329000</v>
      </c>
      <c r="D153" s="376">
        <f t="shared" si="63"/>
        <v>4288800</v>
      </c>
      <c r="E153" s="376">
        <f t="shared" si="63"/>
        <v>4252611</v>
      </c>
      <c r="F153" s="376">
        <f t="shared" si="63"/>
        <v>4220343.57</v>
      </c>
      <c r="G153" s="376">
        <f t="shared" si="63"/>
        <v>4191912.5889000003</v>
      </c>
      <c r="H153" s="376">
        <f t="shared" si="63"/>
        <v>4167237.1074330006</v>
      </c>
      <c r="I153" s="376">
        <f t="shared" si="63"/>
        <v>3919050.4346938799</v>
      </c>
      <c r="J153" s="376">
        <f t="shared" si="63"/>
        <v>3788430.2541272156</v>
      </c>
      <c r="K153" s="376">
        <f t="shared" si="63"/>
        <v>3662154.5792632964</v>
      </c>
      <c r="L153" s="376">
        <f t="shared" si="63"/>
        <v>3540059.4482294032</v>
      </c>
      <c r="M153" s="376">
        <f t="shared" si="63"/>
        <v>3421987.700471791</v>
      </c>
      <c r="N153" s="376">
        <f t="shared" si="63"/>
        <v>3307788.6763906702</v>
      </c>
      <c r="O153" s="376">
        <f t="shared" si="63"/>
        <v>3197317.9307736442</v>
      </c>
      <c r="P153" s="376">
        <f t="shared" si="63"/>
        <v>3090436.9593777671</v>
      </c>
      <c r="Q153" s="376">
        <f t="shared" si="63"/>
        <v>2987012.9380414751</v>
      </c>
      <c r="R153" s="376">
        <f t="shared" si="63"/>
        <v>2886918.4737372706</v>
      </c>
      <c r="S153" s="376">
        <f t="shared" si="63"/>
        <v>2665443.6488228166</v>
      </c>
      <c r="T153" s="376">
        <f t="shared" si="63"/>
        <v>2589760.0021172417</v>
      </c>
      <c r="U153" s="376">
        <f t="shared" si="63"/>
        <v>2516769.6927510449</v>
      </c>
      <c r="V153" s="376">
        <f t="shared" si="63"/>
        <v>2446356.3110963716</v>
      </c>
      <c r="W153" s="376">
        <f t="shared" si="63"/>
        <v>2378408.8649706957</v>
      </c>
      <c r="X153" s="376">
        <f t="shared" si="63"/>
        <v>2312821.5194088211</v>
      </c>
      <c r="Y153" s="376">
        <f t="shared" si="63"/>
        <v>2249493.3491414287</v>
      </c>
      <c r="Z153" s="376">
        <f t="shared" si="63"/>
        <v>2188328.1031538337</v>
      </c>
      <c r="AA153" s="376">
        <f t="shared" si="63"/>
        <v>2129233.9807296768</v>
      </c>
      <c r="AB153" s="376">
        <f t="shared" si="63"/>
        <v>2072123.4184137834</v>
      </c>
      <c r="AC153" s="376">
        <f t="shared" si="63"/>
        <v>2002498.2491596085</v>
      </c>
      <c r="AD153" s="376">
        <f t="shared" si="63"/>
        <v>2009399.7335400709</v>
      </c>
      <c r="AE153" s="376">
        <f t="shared" si="63"/>
        <v>2018645.861374411</v>
      </c>
      <c r="AF153" s="376">
        <f t="shared" si="63"/>
        <v>2030198.9622767193</v>
      </c>
      <c r="AG153" s="376">
        <f t="shared" si="63"/>
        <v>2044024.9920481513</v>
      </c>
    </row>
    <row r="154" spans="1:34">
      <c r="A154" s="300" t="s">
        <v>317</v>
      </c>
      <c r="B154" s="300" t="s">
        <v>313</v>
      </c>
      <c r="C154" s="376">
        <f t="shared" ref="C154:AG154" si="64">$C$22*$C$21*C58</f>
        <v>759960</v>
      </c>
      <c r="D154" s="376">
        <f t="shared" si="64"/>
        <v>764267.39999999991</v>
      </c>
      <c r="E154" s="376">
        <f t="shared" si="64"/>
        <v>769399.37100000004</v>
      </c>
      <c r="F154" s="376">
        <f t="shared" si="64"/>
        <v>775372.58896499989</v>
      </c>
      <c r="G154" s="376">
        <f t="shared" si="64"/>
        <v>782204.80457047489</v>
      </c>
      <c r="H154" s="376">
        <f t="shared" si="64"/>
        <v>789914.87599899713</v>
      </c>
      <c r="I154" s="376">
        <f t="shared" si="64"/>
        <v>800291.16236008983</v>
      </c>
      <c r="J154" s="376">
        <f t="shared" si="64"/>
        <v>811506.90634920367</v>
      </c>
      <c r="K154" s="376">
        <f t="shared" si="64"/>
        <v>823587.19814798783</v>
      </c>
      <c r="L154" s="376">
        <f t="shared" si="64"/>
        <v>836558.30130782689</v>
      </c>
      <c r="M154" s="376">
        <f t="shared" si="64"/>
        <v>850447.69628938136</v>
      </c>
      <c r="N154" s="376">
        <f t="shared" si="64"/>
        <v>865284.12581161305</v>
      </c>
      <c r="O154" s="376">
        <f t="shared" si="64"/>
        <v>881097.64208132087</v>
      </c>
      <c r="P154" s="376">
        <f t="shared" si="64"/>
        <v>897919.65597707208</v>
      </c>
      <c r="Q154" s="376">
        <f t="shared" si="64"/>
        <v>915782.98826440342</v>
      </c>
      <c r="R154" s="376">
        <f t="shared" si="64"/>
        <v>934721.92292226304</v>
      </c>
      <c r="S154" s="376">
        <f t="shared" si="64"/>
        <v>957662.0188597684</v>
      </c>
      <c r="T154" s="376">
        <f t="shared" si="64"/>
        <v>981664.20644456788</v>
      </c>
      <c r="U154" s="376">
        <f t="shared" si="64"/>
        <v>1006769.5244644554</v>
      </c>
      <c r="V154" s="376">
        <f t="shared" si="64"/>
        <v>1033020.667707517</v>
      </c>
      <c r="W154" s="376">
        <f t="shared" si="64"/>
        <v>1060462.0530576566</v>
      </c>
      <c r="X154" s="376">
        <f t="shared" si="64"/>
        <v>1089139.8882353832</v>
      </c>
      <c r="Y154" s="376">
        <f t="shared" si="64"/>
        <v>1119102.2432896644</v>
      </c>
      <c r="Z154" s="376">
        <f t="shared" si="64"/>
        <v>1150399.1249508685</v>
      </c>
      <c r="AA154" s="376">
        <f t="shared" si="64"/>
        <v>1183082.5539592246</v>
      </c>
      <c r="AB154" s="376">
        <f t="shared" si="64"/>
        <v>1217206.6454878119</v>
      </c>
      <c r="AC154" s="376">
        <f t="shared" si="64"/>
        <v>1258054.5801932337</v>
      </c>
      <c r="AD154" s="376">
        <f t="shared" si="64"/>
        <v>1300458.0289757317</v>
      </c>
      <c r="AE154" s="376">
        <f t="shared" si="64"/>
        <v>1344478.4283652774</v>
      </c>
      <c r="AF154" s="376">
        <f t="shared" si="64"/>
        <v>1390179.6645127102</v>
      </c>
      <c r="AG154" s="376">
        <f t="shared" si="64"/>
        <v>1437628.1710961682</v>
      </c>
    </row>
    <row r="155" spans="1:34">
      <c r="A155" s="300" t="s">
        <v>318</v>
      </c>
      <c r="B155" s="300" t="s">
        <v>313</v>
      </c>
      <c r="C155" s="376">
        <f>'Changing with year'!C300</f>
        <v>510000</v>
      </c>
      <c r="D155" s="376">
        <f>'Changing with year'!D300</f>
        <v>533000</v>
      </c>
      <c r="E155" s="376">
        <f>'Changing with year'!E300</f>
        <v>557000</v>
      </c>
      <c r="F155" s="376">
        <f>'Changing with year'!F300</f>
        <v>582000</v>
      </c>
      <c r="G155" s="376">
        <f>'Changing with year'!G300</f>
        <v>608000</v>
      </c>
      <c r="H155" s="376">
        <f>'Changing with year'!H300</f>
        <v>635000</v>
      </c>
      <c r="I155" s="376">
        <f>'Changing with year'!I300</f>
        <v>664000</v>
      </c>
      <c r="J155" s="376">
        <f>'Changing with year'!J300</f>
        <v>694000</v>
      </c>
      <c r="K155" s="376">
        <f>'Changing with year'!K300</f>
        <v>725000</v>
      </c>
      <c r="L155" s="376">
        <f>'Changing with year'!L300</f>
        <v>758000</v>
      </c>
      <c r="M155" s="376">
        <f>'Changing with year'!M300</f>
        <v>792000</v>
      </c>
      <c r="N155" s="376">
        <f>'Changing with year'!N300</f>
        <v>828000</v>
      </c>
      <c r="O155" s="376">
        <f>'Changing with year'!O300</f>
        <v>865000</v>
      </c>
      <c r="P155" s="376">
        <f>'Changing with year'!P300</f>
        <v>904000</v>
      </c>
      <c r="Q155" s="376">
        <f>'Changing with year'!Q300</f>
        <v>945000</v>
      </c>
      <c r="R155" s="376">
        <f>'Changing with year'!R300</f>
        <v>988000</v>
      </c>
      <c r="S155" s="376">
        <f>'Changing with year'!S300</f>
        <v>1032000</v>
      </c>
      <c r="T155" s="376">
        <f>'Changing with year'!T300</f>
        <v>1078000</v>
      </c>
      <c r="U155" s="376">
        <f>'Changing with year'!U300</f>
        <v>1127000</v>
      </c>
      <c r="V155" s="376">
        <f>'Changing with year'!V300</f>
        <v>1178000</v>
      </c>
      <c r="W155" s="376">
        <f>'Changing with year'!W300</f>
        <v>1231000</v>
      </c>
      <c r="X155" s="376">
        <f>'Changing with year'!X300</f>
        <v>1286000</v>
      </c>
      <c r="Y155" s="376">
        <f>'Changing with year'!Y300</f>
        <v>1344000</v>
      </c>
      <c r="Z155" s="376">
        <f>'Changing with year'!Z300</f>
        <v>1404000</v>
      </c>
      <c r="AA155" s="376">
        <f>'Changing with year'!AA300</f>
        <v>1467000</v>
      </c>
      <c r="AB155" s="376">
        <f>'Changing with year'!AB300</f>
        <v>1533000</v>
      </c>
      <c r="AC155" s="376">
        <f>'Changing with year'!AC300</f>
        <v>1602000</v>
      </c>
      <c r="AD155" s="376">
        <f>'Changing with year'!AD300</f>
        <v>1674000</v>
      </c>
      <c r="AE155" s="376">
        <f>'Changing with year'!AE300</f>
        <v>1749000</v>
      </c>
      <c r="AF155" s="376">
        <f>'Changing with year'!AF300</f>
        <v>1828000</v>
      </c>
      <c r="AG155" s="376">
        <f>'Changing with year'!AG300</f>
        <v>1910000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C60</f>
        <v>756000</v>
      </c>
      <c r="D156" s="376">
        <f t="shared" si="65"/>
        <v>763560.00000000012</v>
      </c>
      <c r="E156" s="376">
        <f t="shared" si="65"/>
        <v>771195.6</v>
      </c>
      <c r="F156" s="376">
        <f t="shared" si="65"/>
        <v>778907.5560000001</v>
      </c>
      <c r="G156" s="376">
        <f t="shared" si="65"/>
        <v>786696.63156000001</v>
      </c>
      <c r="H156" s="376">
        <f t="shared" si="65"/>
        <v>794563.59787559998</v>
      </c>
      <c r="I156" s="376">
        <f t="shared" si="65"/>
        <v>802509.23385435599</v>
      </c>
      <c r="J156" s="376">
        <f t="shared" si="65"/>
        <v>810534.32619289949</v>
      </c>
      <c r="K156" s="376">
        <f t="shared" si="65"/>
        <v>818639.6694548286</v>
      </c>
      <c r="L156" s="376">
        <f t="shared" si="65"/>
        <v>826826.06614937691</v>
      </c>
      <c r="M156" s="376">
        <f t="shared" si="65"/>
        <v>835094.32681087067</v>
      </c>
      <c r="N156" s="376">
        <f t="shared" si="65"/>
        <v>843445.27007897932</v>
      </c>
      <c r="O156" s="376">
        <f t="shared" si="65"/>
        <v>851879.7227797691</v>
      </c>
      <c r="P156" s="376">
        <f t="shared" si="65"/>
        <v>860398.52000756678</v>
      </c>
      <c r="Q156" s="376">
        <f t="shared" si="65"/>
        <v>869002.50520764268</v>
      </c>
      <c r="R156" s="376">
        <f t="shared" si="65"/>
        <v>877692.53025971889</v>
      </c>
      <c r="S156" s="376">
        <f t="shared" si="65"/>
        <v>886469.45556231611</v>
      </c>
      <c r="T156" s="376">
        <f t="shared" si="65"/>
        <v>895334.15011793945</v>
      </c>
      <c r="U156" s="376">
        <f t="shared" si="65"/>
        <v>904287.49161911872</v>
      </c>
      <c r="V156" s="376">
        <f t="shared" si="65"/>
        <v>913330.36653530993</v>
      </c>
      <c r="W156" s="376">
        <f t="shared" si="65"/>
        <v>922463.67020066304</v>
      </c>
      <c r="X156" s="376">
        <f t="shared" si="65"/>
        <v>931688.30690266972</v>
      </c>
      <c r="Y156" s="376">
        <f t="shared" si="65"/>
        <v>941005.18997169647</v>
      </c>
      <c r="Z156" s="376">
        <f t="shared" si="65"/>
        <v>950415.24187141354</v>
      </c>
      <c r="AA156" s="376">
        <f t="shared" si="65"/>
        <v>959919.39429012756</v>
      </c>
      <c r="AB156" s="376">
        <f t="shared" si="65"/>
        <v>969518.588233029</v>
      </c>
      <c r="AC156" s="376">
        <f t="shared" si="65"/>
        <v>979213.77411535941</v>
      </c>
      <c r="AD156" s="376">
        <f t="shared" si="65"/>
        <v>989005.91185651289</v>
      </c>
      <c r="AE156" s="376">
        <f t="shared" si="65"/>
        <v>998895.97097507794</v>
      </c>
      <c r="AF156" s="376">
        <f t="shared" si="65"/>
        <v>1008884.9306848288</v>
      </c>
      <c r="AG156" s="376">
        <f t="shared" si="65"/>
        <v>1018973.779991677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229820</v>
      </c>
      <c r="D157" s="376">
        <f t="shared" si="66"/>
        <v>225880</v>
      </c>
      <c r="E157" s="376">
        <f t="shared" si="66"/>
        <v>222200</v>
      </c>
      <c r="F157" s="376">
        <f t="shared" si="66"/>
        <v>218780</v>
      </c>
      <c r="G157" s="376">
        <f t="shared" si="66"/>
        <v>215640</v>
      </c>
      <c r="H157" s="376">
        <f t="shared" si="66"/>
        <v>216760</v>
      </c>
      <c r="I157" s="376">
        <f t="shared" si="66"/>
        <v>215260</v>
      </c>
      <c r="J157" s="376">
        <f t="shared" si="66"/>
        <v>214100</v>
      </c>
      <c r="K157" s="376">
        <f t="shared" si="66"/>
        <v>213120</v>
      </c>
      <c r="L157" s="376">
        <f t="shared" si="66"/>
        <v>212320</v>
      </c>
      <c r="M157" s="376">
        <f t="shared" si="66"/>
        <v>211720</v>
      </c>
      <c r="N157" s="376">
        <f t="shared" si="66"/>
        <v>211300</v>
      </c>
      <c r="O157" s="376">
        <f t="shared" si="66"/>
        <v>211060</v>
      </c>
      <c r="P157" s="376">
        <f t="shared" si="66"/>
        <v>211020</v>
      </c>
      <c r="Q157" s="376">
        <f t="shared" si="66"/>
        <v>211160</v>
      </c>
      <c r="R157" s="376">
        <f t="shared" si="66"/>
        <v>211500</v>
      </c>
      <c r="S157" s="376">
        <f t="shared" si="66"/>
        <v>210800</v>
      </c>
      <c r="T157" s="376">
        <f t="shared" si="66"/>
        <v>213580</v>
      </c>
      <c r="U157" s="376">
        <f t="shared" si="66"/>
        <v>216500</v>
      </c>
      <c r="V157" s="376">
        <f t="shared" si="66"/>
        <v>219560</v>
      </c>
      <c r="W157" s="376">
        <f t="shared" si="66"/>
        <v>222760</v>
      </c>
      <c r="X157" s="376">
        <f t="shared" si="66"/>
        <v>222920</v>
      </c>
      <c r="Y157" s="376">
        <f t="shared" si="66"/>
        <v>226420</v>
      </c>
      <c r="Z157" s="376">
        <f t="shared" si="66"/>
        <v>230060</v>
      </c>
      <c r="AA157" s="376">
        <f t="shared" si="66"/>
        <v>233860</v>
      </c>
      <c r="AB157" s="376">
        <f t="shared" si="66"/>
        <v>237820</v>
      </c>
      <c r="AC157" s="376">
        <f t="shared" si="66"/>
        <v>240220</v>
      </c>
      <c r="AD157" s="376">
        <f t="shared" si="66"/>
        <v>245860</v>
      </c>
      <c r="AE157" s="376">
        <f t="shared" si="66"/>
        <v>251640</v>
      </c>
      <c r="AF157" s="376">
        <f t="shared" si="66"/>
        <v>257580</v>
      </c>
      <c r="AG157" s="376">
        <f t="shared" si="66"/>
        <v>263680</v>
      </c>
    </row>
    <row r="158" spans="1:34" s="371" customFormat="1" ht="11.85" customHeight="1">
      <c r="A158" s="428" t="s">
        <v>320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8"/>
      <c r="AA158" s="428"/>
      <c r="AB158" s="428"/>
      <c r="AC158" s="428"/>
      <c r="AD158" s="428"/>
      <c r="AE158" s="428"/>
      <c r="AF158" s="428"/>
      <c r="AG158" s="428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23.313721326322984</v>
      </c>
      <c r="D159" s="379">
        <f t="shared" si="67"/>
        <v>22.914034345095452</v>
      </c>
      <c r="E159" s="379">
        <f t="shared" si="67"/>
        <v>22.54072264689308</v>
      </c>
      <c r="F159" s="379">
        <f t="shared" si="67"/>
        <v>22.19378623171588</v>
      </c>
      <c r="G159" s="379">
        <f t="shared" si="67"/>
        <v>21.875253967488852</v>
      </c>
      <c r="H159" s="379">
        <f t="shared" si="67"/>
        <v>21.988870571289574</v>
      </c>
      <c r="I159" s="379">
        <f t="shared" si="67"/>
        <v>21.836705476913615</v>
      </c>
      <c r="J159" s="379">
        <f t="shared" si="67"/>
        <v>21.719031137262863</v>
      </c>
      <c r="K159" s="379">
        <f t="shared" si="67"/>
        <v>21.619616608937232</v>
      </c>
      <c r="L159" s="379">
        <f t="shared" si="67"/>
        <v>21.538461891936716</v>
      </c>
      <c r="M159" s="379">
        <f t="shared" si="67"/>
        <v>21.477595854186333</v>
      </c>
      <c r="N159" s="379">
        <f t="shared" si="67"/>
        <v>21.434989627761063</v>
      </c>
      <c r="O159" s="379">
        <f t="shared" si="67"/>
        <v>21.410643212660904</v>
      </c>
      <c r="P159" s="379">
        <f t="shared" si="67"/>
        <v>21.406585476810879</v>
      </c>
      <c r="Q159" s="379">
        <f t="shared" si="67"/>
        <v>21.420787552285969</v>
      </c>
      <c r="R159" s="379">
        <f t="shared" si="67"/>
        <v>21.455278307011188</v>
      </c>
      <c r="S159" s="379">
        <f t="shared" si="67"/>
        <v>21.38426792963574</v>
      </c>
      <c r="T159" s="379">
        <f t="shared" si="67"/>
        <v>21.666280571212525</v>
      </c>
      <c r="U159" s="379">
        <f t="shared" si="67"/>
        <v>21.96249528826441</v>
      </c>
      <c r="V159" s="379">
        <f t="shared" si="67"/>
        <v>22.272912080791382</v>
      </c>
      <c r="W159" s="379">
        <f t="shared" si="67"/>
        <v>22.597530948793441</v>
      </c>
      <c r="X159" s="379">
        <f t="shared" si="67"/>
        <v>22.613761892193544</v>
      </c>
      <c r="Y159" s="379">
        <f t="shared" si="67"/>
        <v>22.968813779070796</v>
      </c>
      <c r="Z159" s="379">
        <f t="shared" si="67"/>
        <v>23.338067741423142</v>
      </c>
      <c r="AA159" s="379">
        <f t="shared" si="67"/>
        <v>23.723552647175591</v>
      </c>
      <c r="AB159" s="379">
        <f t="shared" si="67"/>
        <v>24.125268496328136</v>
      </c>
      <c r="AC159" s="379">
        <f t="shared" si="67"/>
        <v>24.368732647329686</v>
      </c>
      <c r="AD159" s="379">
        <f t="shared" si="67"/>
        <v>24.940873402183314</v>
      </c>
      <c r="AE159" s="379">
        <f t="shared" si="67"/>
        <v>25.527216232512039</v>
      </c>
      <c r="AF159" s="379">
        <f t="shared" si="67"/>
        <v>26.12979000624086</v>
      </c>
      <c r="AG159" s="379">
        <f t="shared" si="67"/>
        <v>26.748594723369788</v>
      </c>
    </row>
    <row r="160" spans="1:34">
      <c r="A160" s="300" t="s">
        <v>321</v>
      </c>
      <c r="B160" s="300" t="s">
        <v>300</v>
      </c>
      <c r="C160" s="379">
        <f t="shared" si="67"/>
        <v>40.083333333333336</v>
      </c>
      <c r="D160" s="379">
        <f t="shared" si="67"/>
        <v>39.711111111111109</v>
      </c>
      <c r="E160" s="379">
        <f t="shared" si="67"/>
        <v>39.376027777777779</v>
      </c>
      <c r="F160" s="379">
        <f t="shared" si="67"/>
        <v>39.07725527777778</v>
      </c>
      <c r="G160" s="379">
        <f t="shared" si="67"/>
        <v>38.814005452777778</v>
      </c>
      <c r="H160" s="379">
        <f t="shared" si="67"/>
        <v>38.58552877252778</v>
      </c>
      <c r="I160" s="379">
        <f t="shared" si="67"/>
        <v>36.287504024943331</v>
      </c>
      <c r="J160" s="379">
        <f t="shared" si="67"/>
        <v>35.078057908585329</v>
      </c>
      <c r="K160" s="379">
        <f t="shared" si="67"/>
        <v>33.908838696882377</v>
      </c>
      <c r="L160" s="379">
        <f t="shared" si="67"/>
        <v>32.778328224346325</v>
      </c>
      <c r="M160" s="379">
        <f t="shared" si="67"/>
        <v>31.685071300664731</v>
      </c>
      <c r="N160" s="379">
        <f t="shared" si="67"/>
        <v>30.627672929543245</v>
      </c>
      <c r="O160" s="379">
        <f t="shared" si="67"/>
        <v>29.60479565531152</v>
      </c>
      <c r="P160" s="379">
        <f t="shared" si="67"/>
        <v>28.615157031275622</v>
      </c>
      <c r="Q160" s="379">
        <f t="shared" si="67"/>
        <v>27.657527204087732</v>
      </c>
      <c r="R160" s="379">
        <f t="shared" si="67"/>
        <v>26.730726608678431</v>
      </c>
      <c r="S160" s="379">
        <f t="shared" si="67"/>
        <v>24.68003378539645</v>
      </c>
      <c r="T160" s="379">
        <f t="shared" si="67"/>
        <v>23.979259278863349</v>
      </c>
      <c r="U160" s="379">
        <f t="shared" si="67"/>
        <v>23.303423081028193</v>
      </c>
      <c r="V160" s="379">
        <f t="shared" si="67"/>
        <v>22.651447324966405</v>
      </c>
      <c r="W160" s="379">
        <f t="shared" si="67"/>
        <v>22.022304305284219</v>
      </c>
      <c r="X160" s="379">
        <f t="shared" si="67"/>
        <v>21.415014068600197</v>
      </c>
      <c r="Y160" s="379">
        <f t="shared" si="67"/>
        <v>20.828642121679895</v>
      </c>
      <c r="Z160" s="379">
        <f t="shared" si="67"/>
        <v>20.262297251424386</v>
      </c>
      <c r="AA160" s="379">
        <f t="shared" si="67"/>
        <v>19.71512945120071</v>
      </c>
      <c r="AB160" s="379">
        <f t="shared" si="67"/>
        <v>19.186327948275771</v>
      </c>
      <c r="AC160" s="379">
        <f t="shared" si="67"/>
        <v>18.541650455181561</v>
      </c>
      <c r="AD160" s="379">
        <f t="shared" si="67"/>
        <v>18.605553088333991</v>
      </c>
      <c r="AE160" s="379">
        <f t="shared" si="67"/>
        <v>18.691165383096397</v>
      </c>
      <c r="AF160" s="379">
        <f t="shared" si="67"/>
        <v>18.798138539599254</v>
      </c>
      <c r="AG160" s="379">
        <f t="shared" si="67"/>
        <v>18.92615733377918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20.886851851851851</v>
      </c>
      <c r="D161" s="379">
        <f t="shared" si="68"/>
        <v>21.173216666666665</v>
      </c>
      <c r="E161" s="379">
        <f t="shared" si="68"/>
        <v>21.479583064814815</v>
      </c>
      <c r="F161" s="379">
        <f t="shared" si="68"/>
        <v>21.80611245337963</v>
      </c>
      <c r="G161" s="379">
        <f t="shared" si="68"/>
        <v>22.153161445652543</v>
      </c>
      <c r="H161" s="379">
        <f t="shared" si="68"/>
        <v>22.557763646987009</v>
      </c>
      <c r="I161" s="379">
        <f t="shared" si="68"/>
        <v>22.982040705689315</v>
      </c>
      <c r="J161" s="379">
        <f t="shared" si="68"/>
        <v>23.427233634649102</v>
      </c>
      <c r="K161" s="379">
        <f t="shared" si="68"/>
        <v>23.892100625952008</v>
      </c>
      <c r="L161" s="379">
        <f t="shared" si="68"/>
        <v>24.386151550529661</v>
      </c>
      <c r="M161" s="379">
        <f t="shared" si="68"/>
        <v>24.900574287965298</v>
      </c>
      <c r="N161" s="379">
        <f t="shared" si="68"/>
        <v>25.444716628616597</v>
      </c>
      <c r="O161" s="379">
        <f t="shared" si="68"/>
        <v>26.009605230195277</v>
      </c>
      <c r="P161" s="379">
        <f t="shared" si="68"/>
        <v>26.604983110968877</v>
      </c>
      <c r="Q161" s="379">
        <f t="shared" si="68"/>
        <v>27.230976791407837</v>
      </c>
      <c r="R161" s="379">
        <f t="shared" si="68"/>
        <v>27.888096788722056</v>
      </c>
      <c r="S161" s="379">
        <f t="shared" si="68"/>
        <v>28.582698837241519</v>
      </c>
      <c r="T161" s="379">
        <f t="shared" si="68"/>
        <v>29.338688486689882</v>
      </c>
      <c r="U161" s="379">
        <f t="shared" si="68"/>
        <v>30.134787185959016</v>
      </c>
      <c r="V161" s="379">
        <f t="shared" si="68"/>
        <v>30.962139205952099</v>
      </c>
      <c r="W161" s="379">
        <f t="shared" si="68"/>
        <v>31.821164104243703</v>
      </c>
      <c r="X161" s="379">
        <f t="shared" si="68"/>
        <v>32.682853658685673</v>
      </c>
      <c r="Y161" s="379">
        <f t="shared" si="68"/>
        <v>33.615994752420008</v>
      </c>
      <c r="Z161" s="379">
        <f t="shared" si="68"/>
        <v>34.582170063169279</v>
      </c>
      <c r="AA161" s="379">
        <f t="shared" si="68"/>
        <v>35.591314335642153</v>
      </c>
      <c r="AB161" s="379">
        <f t="shared" si="68"/>
        <v>36.643937349267048</v>
      </c>
      <c r="AC161" s="379">
        <f t="shared" si="68"/>
        <v>37.773040317672155</v>
      </c>
      <c r="AD161" s="379">
        <f t="shared" si="68"/>
        <v>38.975221674372634</v>
      </c>
      <c r="AE161" s="379">
        <f t="shared" si="68"/>
        <v>40.222355549447727</v>
      </c>
      <c r="AF161" s="379">
        <f t="shared" si="68"/>
        <v>41.524486992569805</v>
      </c>
      <c r="AG161" s="379">
        <f t="shared" si="68"/>
        <v>42.872981028591163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1.5199735449735456</v>
      </c>
      <c r="D162" s="379">
        <f t="shared" si="69"/>
        <v>1.4939153439153445</v>
      </c>
      <c r="E162" s="379">
        <f t="shared" si="69"/>
        <v>1.4695767195767202</v>
      </c>
      <c r="F162" s="379">
        <f t="shared" si="69"/>
        <v>1.4469576719576727</v>
      </c>
      <c r="G162" s="379">
        <f t="shared" si="69"/>
        <v>1.4261904761904769</v>
      </c>
      <c r="H162" s="379">
        <f t="shared" si="69"/>
        <v>1.4335978835978842</v>
      </c>
      <c r="I162" s="379">
        <f t="shared" si="69"/>
        <v>1.4236772486772493</v>
      </c>
      <c r="J162" s="379">
        <f t="shared" si="69"/>
        <v>1.4160052910052916</v>
      </c>
      <c r="K162" s="379">
        <f t="shared" si="69"/>
        <v>1.4095238095238101</v>
      </c>
      <c r="L162" s="379">
        <f t="shared" si="69"/>
        <v>1.4042328042328049</v>
      </c>
      <c r="M162" s="379">
        <f t="shared" si="69"/>
        <v>1.400264550264551</v>
      </c>
      <c r="N162" s="379">
        <f t="shared" si="69"/>
        <v>2.794973544973546</v>
      </c>
      <c r="O162" s="379">
        <f t="shared" si="69"/>
        <v>2.7917989417989428</v>
      </c>
      <c r="P162" s="379">
        <f t="shared" si="69"/>
        <v>2.7912698412698425</v>
      </c>
      <c r="Q162" s="379">
        <f t="shared" si="69"/>
        <v>2.7931216931216944</v>
      </c>
      <c r="R162" s="379">
        <f t="shared" si="69"/>
        <v>2.7976190476190488</v>
      </c>
      <c r="S162" s="379">
        <f t="shared" si="69"/>
        <v>2.7883597883597897</v>
      </c>
      <c r="T162" s="379">
        <f t="shared" si="69"/>
        <v>2.8251322751322765</v>
      </c>
      <c r="U162" s="379">
        <f t="shared" si="69"/>
        <v>2.8637566137566148</v>
      </c>
      <c r="V162" s="379">
        <f t="shared" si="69"/>
        <v>2.9042328042328056</v>
      </c>
      <c r="W162" s="379">
        <f t="shared" si="69"/>
        <v>2.9465608465608479</v>
      </c>
      <c r="X162" s="379">
        <f t="shared" si="69"/>
        <v>4.4230158730158733</v>
      </c>
      <c r="Y162" s="379">
        <f t="shared" si="69"/>
        <v>4.4924603174603179</v>
      </c>
      <c r="Z162" s="379">
        <f t="shared" si="69"/>
        <v>4.5646825396825399</v>
      </c>
      <c r="AA162" s="379">
        <f t="shared" si="69"/>
        <v>4.6400793650793659</v>
      </c>
      <c r="AB162" s="379">
        <f t="shared" si="69"/>
        <v>4.7186507936507942</v>
      </c>
      <c r="AC162" s="379">
        <f t="shared" si="69"/>
        <v>4.7662698412698417</v>
      </c>
      <c r="AD162" s="379">
        <f t="shared" si="69"/>
        <v>4.8781746031746041</v>
      </c>
      <c r="AE162" s="379">
        <f t="shared" si="69"/>
        <v>4.9928571428571438</v>
      </c>
      <c r="AF162" s="379">
        <f t="shared" si="69"/>
        <v>5.1107142857142867</v>
      </c>
      <c r="AG162" s="379">
        <f t="shared" si="69"/>
        <v>5.2317460317460327</v>
      </c>
    </row>
    <row r="163" spans="1:33">
      <c r="A163" s="380" t="s">
        <v>323</v>
      </c>
      <c r="B163" s="300" t="s">
        <v>300</v>
      </c>
      <c r="C163" s="432">
        <f>SUM(C159:C161)-C162</f>
        <v>82.763932966534639</v>
      </c>
      <c r="D163" s="432">
        <f t="shared" ref="D163:AG163" si="70">SUM(D159:D161)-D162</f>
        <v>82.304446778957882</v>
      </c>
      <c r="E163" s="432">
        <f t="shared" si="70"/>
        <v>81.926756769908948</v>
      </c>
      <c r="F163" s="432">
        <f t="shared" si="70"/>
        <v>81.630196290915606</v>
      </c>
      <c r="G163" s="432">
        <f t="shared" si="70"/>
        <v>81.416230389728696</v>
      </c>
      <c r="H163" s="432">
        <f t="shared" si="70"/>
        <v>81.698565107206477</v>
      </c>
      <c r="I163" s="432">
        <f t="shared" si="70"/>
        <v>79.682572958869002</v>
      </c>
      <c r="J163" s="432">
        <f t="shared" si="70"/>
        <v>78.808317389492004</v>
      </c>
      <c r="K163" s="432">
        <f t="shared" si="70"/>
        <v>78.011032122247812</v>
      </c>
      <c r="L163" s="432">
        <f t="shared" si="70"/>
        <v>77.2987088625799</v>
      </c>
      <c r="M163" s="432">
        <f t="shared" si="70"/>
        <v>76.662976892551811</v>
      </c>
      <c r="N163" s="432">
        <f t="shared" si="70"/>
        <v>74.712405640947367</v>
      </c>
      <c r="O163" s="432">
        <f t="shared" si="70"/>
        <v>74.233245156368753</v>
      </c>
      <c r="P163" s="432">
        <f t="shared" si="70"/>
        <v>73.83545577778554</v>
      </c>
      <c r="Q163" s="432">
        <f t="shared" si="70"/>
        <v>73.51616985465985</v>
      </c>
      <c r="R163" s="432">
        <f t="shared" si="70"/>
        <v>73.276482656792624</v>
      </c>
      <c r="S163" s="432">
        <f t="shared" si="70"/>
        <v>71.858640763913925</v>
      </c>
      <c r="T163" s="432">
        <f t="shared" si="70"/>
        <v>72.159096061633491</v>
      </c>
      <c r="U163" s="432">
        <f t="shared" si="70"/>
        <v>72.536948941494998</v>
      </c>
      <c r="V163" s="432">
        <f t="shared" si="70"/>
        <v>72.982265807477077</v>
      </c>
      <c r="W163" s="432">
        <f t="shared" si="70"/>
        <v>73.494438511760521</v>
      </c>
      <c r="X163" s="432">
        <f t="shared" si="70"/>
        <v>72.28861374646354</v>
      </c>
      <c r="Y163" s="432">
        <f t="shared" si="70"/>
        <v>72.920990335710385</v>
      </c>
      <c r="Z163" s="432">
        <f t="shared" si="70"/>
        <v>73.617852516334267</v>
      </c>
      <c r="AA163" s="432">
        <f t="shared" si="70"/>
        <v>74.389917068939098</v>
      </c>
      <c r="AB163" s="432">
        <f t="shared" si="70"/>
        <v>75.236883000220161</v>
      </c>
      <c r="AC163" s="432">
        <f t="shared" si="70"/>
        <v>75.917153578913556</v>
      </c>
      <c r="AD163" s="432">
        <f t="shared" si="70"/>
        <v>77.643473561715339</v>
      </c>
      <c r="AE163" s="432">
        <f t="shared" si="70"/>
        <v>79.447880022199016</v>
      </c>
      <c r="AF163" s="432">
        <f t="shared" si="70"/>
        <v>81.341701252695643</v>
      </c>
      <c r="AG163" s="432">
        <f t="shared" si="70"/>
        <v>83.315987053994107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41.090720490681278</v>
      </c>
      <c r="D165" s="379">
        <f t="shared" si="72"/>
        <v>43.928330625736116</v>
      </c>
      <c r="E165" s="379">
        <f t="shared" si="72"/>
        <v>44.989158027357341</v>
      </c>
      <c r="F165" s="379">
        <f t="shared" si="72"/>
        <v>46.081186216894494</v>
      </c>
      <c r="G165" s="379">
        <f t="shared" si="72"/>
        <v>47.204887603673995</v>
      </c>
      <c r="H165" s="379">
        <f t="shared" si="72"/>
        <v>48.955662875535836</v>
      </c>
      <c r="I165" s="379">
        <f t="shared" si="72"/>
        <v>50.162621573684383</v>
      </c>
      <c r="J165" s="379">
        <f t="shared" si="72"/>
        <v>51.403803497239693</v>
      </c>
      <c r="K165" s="379">
        <f t="shared" si="72"/>
        <v>52.680041658986028</v>
      </c>
      <c r="L165" s="379">
        <f t="shared" si="72"/>
        <v>54.001148258258702</v>
      </c>
      <c r="M165" s="379">
        <f t="shared" si="72"/>
        <v>55.358732126068482</v>
      </c>
      <c r="N165" s="379">
        <f t="shared" si="72"/>
        <v>57.476021094323833</v>
      </c>
      <c r="O165" s="379">
        <f t="shared" si="72"/>
        <v>58.939866928238104</v>
      </c>
      <c r="P165" s="379">
        <f t="shared" si="72"/>
        <v>60.443258609191567</v>
      </c>
      <c r="Q165" s="379">
        <f t="shared" si="72"/>
        <v>61.996427845998411</v>
      </c>
      <c r="R165" s="379">
        <f t="shared" si="72"/>
        <v>63.590947181835077</v>
      </c>
      <c r="S165" s="379">
        <f t="shared" si="72"/>
        <v>65.23709155079726</v>
      </c>
      <c r="T165" s="379">
        <f t="shared" si="72"/>
        <v>66.935737522039545</v>
      </c>
      <c r="U165" s="379">
        <f t="shared" si="72"/>
        <v>68.687947136460167</v>
      </c>
      <c r="V165" s="379">
        <f t="shared" si="72"/>
        <v>70.49480687026589</v>
      </c>
      <c r="W165" s="379">
        <f t="shared" si="72"/>
        <v>72.357266630367548</v>
      </c>
      <c r="X165" s="379">
        <f t="shared" si="72"/>
        <v>75.247380277099651</v>
      </c>
      <c r="Y165" s="379">
        <f t="shared" si="72"/>
        <v>77.253770153632345</v>
      </c>
      <c r="Z165" s="379">
        <f t="shared" si="72"/>
        <v>79.320129583477311</v>
      </c>
      <c r="AA165" s="379">
        <f t="shared" si="72"/>
        <v>81.456966767939292</v>
      </c>
      <c r="AB165" s="379">
        <f t="shared" si="72"/>
        <v>83.656301608862975</v>
      </c>
      <c r="AC165" s="379">
        <f t="shared" si="72"/>
        <v>85.928703841219445</v>
      </c>
      <c r="AD165" s="379">
        <f t="shared" si="72"/>
        <v>88.26625713317209</v>
      </c>
      <c r="AE165" s="379">
        <f t="shared" si="72"/>
        <v>90.679772412401391</v>
      </c>
      <c r="AF165" s="379">
        <f t="shared" si="72"/>
        <v>93.170661095420158</v>
      </c>
      <c r="AG165" s="379">
        <f t="shared" si="72"/>
        <v>95.740370727566244</v>
      </c>
    </row>
    <row r="166" spans="1:33">
      <c r="A166" s="300" t="s">
        <v>179</v>
      </c>
      <c r="B166" s="300" t="s">
        <v>179</v>
      </c>
      <c r="C166" s="379">
        <f t="shared" ref="C166:AG166" si="73">C95</f>
        <v>39.969474844632913</v>
      </c>
      <c r="D166" s="379">
        <f t="shared" si="73"/>
        <v>41.530270613881498</v>
      </c>
      <c r="E166" s="379">
        <f t="shared" si="73"/>
        <v>42.746025997286992</v>
      </c>
      <c r="F166" s="379">
        <f t="shared" si="73"/>
        <v>44.004488077195852</v>
      </c>
      <c r="G166" s="379">
        <f t="shared" si="73"/>
        <v>45.303386088210438</v>
      </c>
      <c r="H166" s="379">
        <f t="shared" si="73"/>
        <v>47.266206301413526</v>
      </c>
      <c r="I166" s="379">
        <f t="shared" si="73"/>
        <v>48.670330490300024</v>
      </c>
      <c r="J166" s="379">
        <f t="shared" si="73"/>
        <v>50.119119095623773</v>
      </c>
      <c r="K166" s="379">
        <f t="shared" si="73"/>
        <v>51.615077406412581</v>
      </c>
      <c r="L166" s="379">
        <f t="shared" si="73"/>
        <v>53.168449384402706</v>
      </c>
      <c r="M166" s="379">
        <f t="shared" si="73"/>
        <v>54.769440993904034</v>
      </c>
      <c r="N166" s="379">
        <f t="shared" si="73"/>
        <v>57.18877885175953</v>
      </c>
      <c r="O166" s="379">
        <f t="shared" si="73"/>
        <v>58.923582482717286</v>
      </c>
      <c r="P166" s="379">
        <f t="shared" si="73"/>
        <v>60.713169316150157</v>
      </c>
      <c r="Q166" s="379">
        <f t="shared" si="73"/>
        <v>62.564591280575286</v>
      </c>
      <c r="R166" s="379">
        <f t="shared" si="73"/>
        <v>64.474845900613587</v>
      </c>
      <c r="S166" s="379">
        <f t="shared" si="73"/>
        <v>66.451065172432536</v>
      </c>
      <c r="T166" s="379">
        <f t="shared" si="73"/>
        <v>68.496218819153796</v>
      </c>
      <c r="U166" s="379">
        <f t="shared" si="73"/>
        <v>70.611635202390531</v>
      </c>
      <c r="V166" s="379">
        <f t="shared" si="73"/>
        <v>72.798687789306697</v>
      </c>
      <c r="W166" s="379">
        <f t="shared" si="73"/>
        <v>75.060481673428882</v>
      </c>
      <c r="X166" s="379">
        <f t="shared" si="73"/>
        <v>78.429075473106963</v>
      </c>
      <c r="Y166" s="379">
        <f t="shared" si="73"/>
        <v>80.87407467533518</v>
      </c>
      <c r="Z166" s="379">
        <f t="shared" si="73"/>
        <v>83.399298096180587</v>
      </c>
      <c r="AA166" s="379">
        <f t="shared" si="73"/>
        <v>86.017445885670597</v>
      </c>
      <c r="AB166" s="379">
        <f t="shared" si="73"/>
        <v>88.717303384065062</v>
      </c>
      <c r="AC166" s="379">
        <f t="shared" si="73"/>
        <v>91.515317914813167</v>
      </c>
      <c r="AD166" s="379">
        <f t="shared" si="73"/>
        <v>94.400391473571659</v>
      </c>
      <c r="AE166" s="379">
        <f t="shared" si="73"/>
        <v>97.387274889335657</v>
      </c>
      <c r="AF166" s="379">
        <f t="shared" si="73"/>
        <v>100.47607160142545</v>
      </c>
      <c r="AG166" s="379">
        <f t="shared" si="73"/>
        <v>103.66876805513888</v>
      </c>
    </row>
    <row r="167" spans="1:33">
      <c r="A167" s="300" t="s">
        <v>180</v>
      </c>
      <c r="B167" s="300" t="s">
        <v>180</v>
      </c>
      <c r="C167" s="379">
        <f t="shared" ref="C167:AG167" si="74">C112</f>
        <v>40.206320768335701</v>
      </c>
      <c r="D167" s="379">
        <f t="shared" si="74"/>
        <v>41.471672473009228</v>
      </c>
      <c r="E167" s="379">
        <f t="shared" si="74"/>
        <v>42.668838888643307</v>
      </c>
      <c r="F167" s="379">
        <f t="shared" si="74"/>
        <v>43.906648234622267</v>
      </c>
      <c r="G167" s="379">
        <f t="shared" si="74"/>
        <v>45.184367090335975</v>
      </c>
      <c r="H167" s="379">
        <f t="shared" si="74"/>
        <v>47.123913256777286</v>
      </c>
      <c r="I167" s="379">
        <f t="shared" si="74"/>
        <v>48.505757595918361</v>
      </c>
      <c r="J167" s="379">
        <f t="shared" si="74"/>
        <v>49.930138439202409</v>
      </c>
      <c r="K167" s="379">
        <f t="shared" si="74"/>
        <v>51.401096496060767</v>
      </c>
      <c r="L167" s="379">
        <f t="shared" si="74"/>
        <v>52.927305276024043</v>
      </c>
      <c r="M167" s="379">
        <f t="shared" si="74"/>
        <v>54.502057790300441</v>
      </c>
      <c r="N167" s="379">
        <f t="shared" si="74"/>
        <v>56.932771258410632</v>
      </c>
      <c r="O167" s="379">
        <f t="shared" si="74"/>
        <v>58.639624682017313</v>
      </c>
      <c r="P167" s="379">
        <f t="shared" si="74"/>
        <v>60.397204542448691</v>
      </c>
      <c r="Q167" s="379">
        <f t="shared" si="74"/>
        <v>62.217597020150542</v>
      </c>
      <c r="R167" s="379">
        <f t="shared" si="74"/>
        <v>64.094408510592487</v>
      </c>
      <c r="S167" s="379">
        <f t="shared" si="74"/>
        <v>66.036434101814351</v>
      </c>
      <c r="T167" s="379">
        <f t="shared" si="74"/>
        <v>68.046621000407811</v>
      </c>
      <c r="U167" s="379">
        <f t="shared" si="74"/>
        <v>70.124589423378964</v>
      </c>
      <c r="V167" s="379">
        <f t="shared" si="74"/>
        <v>72.275058855267275</v>
      </c>
      <c r="W167" s="379">
        <f t="shared" si="74"/>
        <v>74.496054927435722</v>
      </c>
      <c r="X167" s="379">
        <f t="shared" si="74"/>
        <v>77.857734556493384</v>
      </c>
      <c r="Y167" s="379">
        <f t="shared" si="74"/>
        <v>80.261060957092681</v>
      </c>
      <c r="Z167" s="379">
        <f t="shared" si="74"/>
        <v>82.741871265535309</v>
      </c>
      <c r="AA167" s="379">
        <f t="shared" si="74"/>
        <v>85.311020711643522</v>
      </c>
      <c r="AB167" s="379">
        <f t="shared" si="74"/>
        <v>87.964535023264105</v>
      </c>
      <c r="AC167" s="379">
        <f t="shared" si="74"/>
        <v>90.713380461741522</v>
      </c>
      <c r="AD167" s="379">
        <f t="shared" si="74"/>
        <v>93.546428762399046</v>
      </c>
      <c r="AE167" s="379">
        <f t="shared" si="74"/>
        <v>96.480216813801675</v>
      </c>
      <c r="AF167" s="379">
        <f t="shared" si="74"/>
        <v>99.512998724368515</v>
      </c>
      <c r="AG167" s="379">
        <f t="shared" si="74"/>
        <v>102.65036232854067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49.448019576254268</v>
      </c>
      <c r="D168" s="379">
        <f t="shared" si="75"/>
        <v>49.858480437313403</v>
      </c>
      <c r="E168" s="379">
        <f t="shared" si="75"/>
        <v>50.200356146958335</v>
      </c>
      <c r="F168" s="379">
        <f t="shared" si="75"/>
        <v>50.146335386141509</v>
      </c>
      <c r="G168" s="379">
        <f t="shared" si="75"/>
        <v>50.019410704323917</v>
      </c>
      <c r="H168" s="379">
        <f t="shared" si="75"/>
        <v>50.55703453064875</v>
      </c>
      <c r="I168" s="379">
        <f t="shared" si="75"/>
        <v>48.868941329563611</v>
      </c>
      <c r="J168" s="379">
        <f t="shared" si="75"/>
        <v>49.104126134900966</v>
      </c>
      <c r="K168" s="379">
        <f t="shared" si="75"/>
        <v>49.163083447484695</v>
      </c>
      <c r="L168" s="379">
        <f t="shared" si="75"/>
        <v>49.340288988839923</v>
      </c>
      <c r="M168" s="379">
        <f t="shared" si="75"/>
        <v>49.637685491971752</v>
      </c>
      <c r="N168" s="379">
        <f t="shared" si="75"/>
        <v>49.084533715003069</v>
      </c>
      <c r="O168" s="379">
        <f t="shared" si="75"/>
        <v>49.670282318700714</v>
      </c>
      <c r="P168" s="379">
        <f t="shared" si="75"/>
        <v>50.267331953958156</v>
      </c>
      <c r="Q168" s="379">
        <f t="shared" si="75"/>
        <v>50.94983742449309</v>
      </c>
      <c r="R168" s="379">
        <f t="shared" si="75"/>
        <v>51.725548090187829</v>
      </c>
      <c r="S168" s="379">
        <f t="shared" si="75"/>
        <v>52.46174052053469</v>
      </c>
      <c r="T168" s="379">
        <f t="shared" si="75"/>
        <v>53.540405832984476</v>
      </c>
      <c r="U168" s="379">
        <f t="shared" si="75"/>
        <v>54.635477189828109</v>
      </c>
      <c r="V168" s="379">
        <f t="shared" si="75"/>
        <v>55.778474112310562</v>
      </c>
      <c r="W168" s="379">
        <f t="shared" si="75"/>
        <v>56.96920773929866</v>
      </c>
      <c r="X168" s="379">
        <f t="shared" si="75"/>
        <v>56.939778781987727</v>
      </c>
      <c r="Y168" s="379">
        <f t="shared" si="75"/>
        <v>58.215606906416383</v>
      </c>
      <c r="Z168" s="379">
        <f t="shared" si="75"/>
        <v>59.54393857232391</v>
      </c>
      <c r="AA168" s="379">
        <f t="shared" si="75"/>
        <v>60.935965105692773</v>
      </c>
      <c r="AB168" s="379">
        <f t="shared" si="75"/>
        <v>62.389385367001104</v>
      </c>
      <c r="AC168" s="379">
        <f t="shared" si="75"/>
        <v>64.21460314468878</v>
      </c>
      <c r="AD168" s="379">
        <f t="shared" si="75"/>
        <v>66.158140168116333</v>
      </c>
      <c r="AE168" s="379">
        <f t="shared" si="75"/>
        <v>68.171368425357088</v>
      </c>
      <c r="AF168" s="379">
        <f t="shared" si="75"/>
        <v>70.268843978283812</v>
      </c>
      <c r="AG168" s="379">
        <f t="shared" si="75"/>
        <v>72.442334162328009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79.06505989369461</v>
      </c>
      <c r="D169" s="379">
        <f t="shared" si="76"/>
        <v>79.066566375689291</v>
      </c>
      <c r="E169" s="379">
        <f t="shared" si="76"/>
        <v>79.148254192418321</v>
      </c>
      <c r="F169" s="379">
        <f t="shared" si="76"/>
        <v>79.311210435087148</v>
      </c>
      <c r="G169" s="379">
        <f t="shared" si="76"/>
        <v>79.55093739735895</v>
      </c>
      <c r="H169" s="379">
        <f t="shared" si="76"/>
        <v>80.621997668630698</v>
      </c>
      <c r="I169" s="379">
        <f t="shared" si="76"/>
        <v>78.259367112367542</v>
      </c>
      <c r="J169" s="379">
        <f t="shared" si="76"/>
        <v>77.376735753590879</v>
      </c>
      <c r="K169" s="379">
        <f t="shared" si="76"/>
        <v>76.580441347027957</v>
      </c>
      <c r="L169" s="379">
        <f t="shared" si="76"/>
        <v>75.874340239329996</v>
      </c>
      <c r="M169" s="379">
        <f t="shared" si="76"/>
        <v>75.25140298527343</v>
      </c>
      <c r="N169" s="379">
        <f t="shared" si="76"/>
        <v>73.859495946277463</v>
      </c>
      <c r="O169" s="379">
        <f t="shared" si="76"/>
        <v>73.389366641596141</v>
      </c>
      <c r="P169" s="379">
        <f t="shared" si="76"/>
        <v>72.995678999664761</v>
      </c>
      <c r="Q169" s="379">
        <f t="shared" si="76"/>
        <v>72.686523352737368</v>
      </c>
      <c r="R169" s="379">
        <f t="shared" si="76"/>
        <v>72.455059346689836</v>
      </c>
      <c r="S169" s="379">
        <f t="shared" si="76"/>
        <v>70.837967874271982</v>
      </c>
      <c r="T169" s="379">
        <f t="shared" si="76"/>
        <v>71.064148323684748</v>
      </c>
      <c r="U169" s="379">
        <f t="shared" si="76"/>
        <v>71.367510534782653</v>
      </c>
      <c r="V169" s="379">
        <f t="shared" si="76"/>
        <v>71.74718895247554</v>
      </c>
      <c r="W169" s="379">
        <f t="shared" si="76"/>
        <v>72.202407521505108</v>
      </c>
      <c r="X169" s="379">
        <f t="shared" si="76"/>
        <v>72.190083196108787</v>
      </c>
      <c r="Y169" s="379">
        <f t="shared" si="76"/>
        <v>72.781006129592171</v>
      </c>
      <c r="Z169" s="379">
        <f t="shared" si="76"/>
        <v>73.446944028783392</v>
      </c>
      <c r="AA169" s="379">
        <f t="shared" si="76"/>
        <v>74.195031938362064</v>
      </c>
      <c r="AB169" s="379">
        <f t="shared" si="76"/>
        <v>75.017336105922681</v>
      </c>
      <c r="AC169" s="379">
        <f t="shared" si="76"/>
        <v>75.746561213258133</v>
      </c>
      <c r="AD169" s="379">
        <f t="shared" si="76"/>
        <v>77.473502753032335</v>
      </c>
      <c r="AE169" s="379">
        <f t="shared" si="76"/>
        <v>79.290718606333783</v>
      </c>
      <c r="AF169" s="379">
        <f t="shared" si="76"/>
        <v>81.200271684956263</v>
      </c>
      <c r="AG169" s="379">
        <f t="shared" si="76"/>
        <v>83.202618164878473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82.763932966534639</v>
      </c>
      <c r="D170" s="379">
        <f t="shared" si="78"/>
        <v>82.304446778957882</v>
      </c>
      <c r="E170" s="379">
        <f t="shared" si="78"/>
        <v>81.926756769908948</v>
      </c>
      <c r="F170" s="379">
        <f t="shared" si="78"/>
        <v>81.630196290915606</v>
      </c>
      <c r="G170" s="379">
        <f t="shared" si="78"/>
        <v>81.416230389728696</v>
      </c>
      <c r="H170" s="379">
        <f t="shared" si="78"/>
        <v>81.698565107206477</v>
      </c>
      <c r="I170" s="379">
        <f t="shared" si="78"/>
        <v>79.682572958869002</v>
      </c>
      <c r="J170" s="379">
        <f t="shared" si="78"/>
        <v>78.808317389492004</v>
      </c>
      <c r="K170" s="379">
        <f t="shared" si="78"/>
        <v>78.011032122247812</v>
      </c>
      <c r="L170" s="379">
        <f t="shared" si="78"/>
        <v>77.2987088625799</v>
      </c>
      <c r="M170" s="379">
        <f t="shared" si="78"/>
        <v>76.662976892551811</v>
      </c>
      <c r="N170" s="379">
        <f t="shared" si="78"/>
        <v>74.712405640947367</v>
      </c>
      <c r="O170" s="379">
        <f t="shared" si="78"/>
        <v>74.233245156368753</v>
      </c>
      <c r="P170" s="379">
        <f t="shared" si="78"/>
        <v>73.83545577778554</v>
      </c>
      <c r="Q170" s="379">
        <f t="shared" si="78"/>
        <v>73.51616985465985</v>
      </c>
      <c r="R170" s="379">
        <f t="shared" si="78"/>
        <v>73.276482656792624</v>
      </c>
      <c r="S170" s="379">
        <f t="shared" si="78"/>
        <v>71.858640763913925</v>
      </c>
      <c r="T170" s="379">
        <f t="shared" si="78"/>
        <v>72.159096061633491</v>
      </c>
      <c r="U170" s="379">
        <f t="shared" si="78"/>
        <v>72.536948941494998</v>
      </c>
      <c r="V170" s="379">
        <f t="shared" si="78"/>
        <v>72.982265807477077</v>
      </c>
      <c r="W170" s="379">
        <f t="shared" si="78"/>
        <v>73.494438511760521</v>
      </c>
      <c r="X170" s="379">
        <f t="shared" si="78"/>
        <v>72.28861374646354</v>
      </c>
      <c r="Y170" s="379">
        <f t="shared" si="78"/>
        <v>72.920990335710385</v>
      </c>
      <c r="Z170" s="379">
        <f t="shared" si="78"/>
        <v>73.617852516334267</v>
      </c>
      <c r="AA170" s="379">
        <f t="shared" si="78"/>
        <v>74.389917068939098</v>
      </c>
      <c r="AB170" s="379">
        <f t="shared" si="78"/>
        <v>75.236883000220161</v>
      </c>
      <c r="AC170" s="379">
        <f t="shared" si="78"/>
        <v>75.917153578913556</v>
      </c>
      <c r="AD170" s="379">
        <f t="shared" si="78"/>
        <v>77.643473561715339</v>
      </c>
      <c r="AE170" s="379">
        <f t="shared" si="78"/>
        <v>79.447880022199016</v>
      </c>
      <c r="AF170" s="379">
        <f t="shared" si="78"/>
        <v>81.341701252695643</v>
      </c>
      <c r="AG170" s="379">
        <f t="shared" si="78"/>
        <v>83.315987053994107</v>
      </c>
    </row>
    <row r="171" spans="1:33">
      <c r="A171" s="300" t="s">
        <v>334</v>
      </c>
      <c r="C171" s="379">
        <f t="shared" ref="C171:AG171" si="79">C165*0.9</f>
        <v>36.981648441613153</v>
      </c>
      <c r="D171" s="379">
        <f t="shared" si="79"/>
        <v>39.535497563162508</v>
      </c>
      <c r="E171" s="379">
        <f t="shared" si="79"/>
        <v>40.49024222462161</v>
      </c>
      <c r="F171" s="379">
        <f t="shared" si="79"/>
        <v>41.473067595205045</v>
      </c>
      <c r="G171" s="379">
        <f t="shared" si="79"/>
        <v>42.4843988433066</v>
      </c>
      <c r="H171" s="379">
        <f t="shared" si="79"/>
        <v>44.060096587982251</v>
      </c>
      <c r="I171" s="379">
        <f t="shared" si="79"/>
        <v>45.146359416315946</v>
      </c>
      <c r="J171" s="379">
        <f t="shared" si="79"/>
        <v>46.263423147515724</v>
      </c>
      <c r="K171" s="379">
        <f t="shared" si="79"/>
        <v>47.412037493087425</v>
      </c>
      <c r="L171" s="379">
        <f t="shared" si="79"/>
        <v>48.601033432432835</v>
      </c>
      <c r="M171" s="379">
        <f t="shared" si="79"/>
        <v>49.822858913461637</v>
      </c>
      <c r="N171" s="379">
        <f t="shared" si="79"/>
        <v>51.728418984891448</v>
      </c>
      <c r="O171" s="379">
        <f t="shared" si="79"/>
        <v>53.045880235414295</v>
      </c>
      <c r="P171" s="379">
        <f t="shared" si="79"/>
        <v>54.398932748272408</v>
      </c>
      <c r="Q171" s="379">
        <f t="shared" si="79"/>
        <v>55.796785061398573</v>
      </c>
      <c r="R171" s="379">
        <f t="shared" si="79"/>
        <v>57.23185246365157</v>
      </c>
      <c r="S171" s="379">
        <f t="shared" si="79"/>
        <v>58.713382395717538</v>
      </c>
      <c r="T171" s="379">
        <f t="shared" si="79"/>
        <v>60.242163769835592</v>
      </c>
      <c r="U171" s="379">
        <f t="shared" si="79"/>
        <v>61.819152422814149</v>
      </c>
      <c r="V171" s="379">
        <f t="shared" si="79"/>
        <v>63.445326183239303</v>
      </c>
      <c r="W171" s="379">
        <f t="shared" si="79"/>
        <v>65.12153996733079</v>
      </c>
      <c r="X171" s="379">
        <f t="shared" si="79"/>
        <v>67.722642249389693</v>
      </c>
      <c r="Y171" s="379">
        <f t="shared" si="79"/>
        <v>69.528393138269109</v>
      </c>
      <c r="Z171" s="379">
        <f t="shared" si="79"/>
        <v>71.388116625129584</v>
      </c>
      <c r="AA171" s="379">
        <f t="shared" si="79"/>
        <v>73.31127009114536</v>
      </c>
      <c r="AB171" s="379">
        <f t="shared" si="79"/>
        <v>75.290671447976678</v>
      </c>
      <c r="AC171" s="379">
        <f t="shared" si="79"/>
        <v>77.335833457097507</v>
      </c>
      <c r="AD171" s="379">
        <f t="shared" si="79"/>
        <v>79.439631419854877</v>
      </c>
      <c r="AE171" s="379">
        <f t="shared" si="79"/>
        <v>81.611795171161248</v>
      </c>
      <c r="AF171" s="379">
        <f t="shared" si="79"/>
        <v>83.853594985878146</v>
      </c>
      <c r="AG171" s="379">
        <f t="shared" si="79"/>
        <v>86.16633365480962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2.2211200265233124</v>
      </c>
      <c r="D174" s="379">
        <f t="shared" si="81"/>
        <v>2.374504358147898</v>
      </c>
      <c r="E174" s="379">
        <f t="shared" si="81"/>
        <v>2.4318463798571535</v>
      </c>
      <c r="F174" s="379">
        <f t="shared" si="81"/>
        <v>2.4908749306429456</v>
      </c>
      <c r="G174" s="379">
        <f t="shared" si="81"/>
        <v>2.5516155461445402</v>
      </c>
      <c r="H174" s="379">
        <f t="shared" si="81"/>
        <v>2.6462520473262612</v>
      </c>
      <c r="I174" s="379">
        <f t="shared" si="81"/>
        <v>2.7114930580369938</v>
      </c>
      <c r="J174" s="379">
        <f t="shared" si="81"/>
        <v>2.7785839728237671</v>
      </c>
      <c r="K174" s="379">
        <f t="shared" si="81"/>
        <v>2.8475698194046504</v>
      </c>
      <c r="L174" s="379">
        <f t="shared" si="81"/>
        <v>2.9189809869329029</v>
      </c>
      <c r="M174" s="379">
        <f t="shared" si="81"/>
        <v>2.9923638987064045</v>
      </c>
      <c r="N174" s="379">
        <f t="shared" si="81"/>
        <v>3.1068119510445316</v>
      </c>
      <c r="O174" s="379">
        <f t="shared" si="81"/>
        <v>3.185938752877735</v>
      </c>
      <c r="P174" s="379">
        <f t="shared" si="81"/>
        <v>3.2672031680644089</v>
      </c>
      <c r="Q174" s="379">
        <f t="shared" si="81"/>
        <v>3.35115826194586</v>
      </c>
      <c r="R174" s="379">
        <f t="shared" si="81"/>
        <v>3.4373484963154097</v>
      </c>
      <c r="S174" s="379">
        <f t="shared" si="81"/>
        <v>3.526329273016068</v>
      </c>
      <c r="T174" s="379">
        <f t="shared" si="81"/>
        <v>3.6181479741642999</v>
      </c>
      <c r="U174" s="379">
        <f t="shared" si="81"/>
        <v>3.7128620073762253</v>
      </c>
      <c r="V174" s="379">
        <f t="shared" si="81"/>
        <v>3.8105301010954533</v>
      </c>
      <c r="W174" s="379">
        <f t="shared" si="81"/>
        <v>3.9112036016414895</v>
      </c>
      <c r="X174" s="379">
        <f t="shared" si="81"/>
        <v>4.0674259609243055</v>
      </c>
      <c r="Y174" s="379">
        <f t="shared" si="81"/>
        <v>4.1758794677639104</v>
      </c>
      <c r="Z174" s="379">
        <f t="shared" si="81"/>
        <v>4.2875745720798548</v>
      </c>
      <c r="AA174" s="379">
        <f t="shared" si="81"/>
        <v>4.403079284753475</v>
      </c>
      <c r="AB174" s="379">
        <f t="shared" si="81"/>
        <v>4.5219622491277276</v>
      </c>
      <c r="AC174" s="379">
        <f t="shared" si="81"/>
        <v>4.6447948022280778</v>
      </c>
      <c r="AD174" s="379">
        <f t="shared" si="81"/>
        <v>4.7711490342255178</v>
      </c>
      <c r="AE174" s="379">
        <f t="shared" si="81"/>
        <v>4.901609319589264</v>
      </c>
      <c r="AF174" s="379">
        <f t="shared" si="81"/>
        <v>5.0362519511037922</v>
      </c>
      <c r="AG174" s="379">
        <f t="shared" si="81"/>
        <v>5.1751551744630406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4.27378702128079</v>
      </c>
      <c r="D175" s="379">
        <f t="shared" si="83"/>
        <v>4.2738684527399622</v>
      </c>
      <c r="E175" s="379">
        <f t="shared" si="83"/>
        <v>4.2782840104009905</v>
      </c>
      <c r="F175" s="379">
        <f t="shared" si="83"/>
        <v>4.2870924559506571</v>
      </c>
      <c r="G175" s="379">
        <f t="shared" si="83"/>
        <v>4.3000506701275105</v>
      </c>
      <c r="H175" s="379">
        <f t="shared" si="83"/>
        <v>4.3579458199259831</v>
      </c>
      <c r="I175" s="379">
        <f t="shared" si="83"/>
        <v>4.2302360601279752</v>
      </c>
      <c r="J175" s="379">
        <f t="shared" si="83"/>
        <v>4.1825262569508581</v>
      </c>
      <c r="K175" s="379">
        <f t="shared" si="83"/>
        <v>4.139483316055566</v>
      </c>
      <c r="L175" s="379">
        <f t="shared" si="83"/>
        <v>4.1013156886124325</v>
      </c>
      <c r="M175" s="379">
        <f t="shared" si="83"/>
        <v>4.0676434046093748</v>
      </c>
      <c r="N175" s="379">
        <f t="shared" si="83"/>
        <v>3.9924051862852687</v>
      </c>
      <c r="O175" s="379">
        <f t="shared" si="83"/>
        <v>3.9669927914376291</v>
      </c>
      <c r="P175" s="379">
        <f t="shared" si="83"/>
        <v>3.9457123783602577</v>
      </c>
      <c r="Q175" s="379">
        <f t="shared" si="83"/>
        <v>3.9290012623101283</v>
      </c>
      <c r="R175" s="379">
        <f t="shared" si="83"/>
        <v>3.9164896944156671</v>
      </c>
      <c r="S175" s="379">
        <f t="shared" si="83"/>
        <v>3.8290793445552422</v>
      </c>
      <c r="T175" s="379">
        <f t="shared" si="83"/>
        <v>3.8413053147937704</v>
      </c>
      <c r="U175" s="379">
        <f t="shared" si="83"/>
        <v>3.8577032721504136</v>
      </c>
      <c r="V175" s="379">
        <f t="shared" si="83"/>
        <v>3.8782264298635427</v>
      </c>
      <c r="W175" s="379">
        <f t="shared" si="83"/>
        <v>3.902832839000276</v>
      </c>
      <c r="X175" s="379">
        <f t="shared" si="83"/>
        <v>3.9021666592491235</v>
      </c>
      <c r="Y175" s="379">
        <f t="shared" si="83"/>
        <v>3.9341084394374146</v>
      </c>
      <c r="Z175" s="379">
        <f t="shared" si="83"/>
        <v>3.9701050826369406</v>
      </c>
      <c r="AA175" s="379">
        <f t="shared" si="83"/>
        <v>4.01054226693849</v>
      </c>
      <c r="AB175" s="379">
        <f t="shared" si="83"/>
        <v>4.0549911408606851</v>
      </c>
      <c r="AC175" s="379">
        <f t="shared" si="83"/>
        <v>4.0944087142301697</v>
      </c>
      <c r="AD175" s="379">
        <f t="shared" si="83"/>
        <v>4.1877569055693158</v>
      </c>
      <c r="AE175" s="379">
        <f t="shared" si="83"/>
        <v>4.2859847895315557</v>
      </c>
      <c r="AF175" s="379">
        <f t="shared" si="83"/>
        <v>4.3892038748625009</v>
      </c>
      <c r="AG175" s="379">
        <f t="shared" si="83"/>
        <v>4.4974388197231603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2.1733146361262539</v>
      </c>
      <c r="D176" s="379">
        <f t="shared" si="84"/>
        <v>2.241712025568066</v>
      </c>
      <c r="E176" s="379">
        <f t="shared" si="84"/>
        <v>2.306423723710449</v>
      </c>
      <c r="F176" s="379">
        <f t="shared" si="84"/>
        <v>2.3733323370066088</v>
      </c>
      <c r="G176" s="379">
        <f t="shared" si="84"/>
        <v>2.4423982210992419</v>
      </c>
      <c r="H176" s="379">
        <f t="shared" si="84"/>
        <v>2.5472385544203942</v>
      </c>
      <c r="I176" s="379">
        <f t="shared" si="84"/>
        <v>2.6219328430226141</v>
      </c>
      <c r="J176" s="379">
        <f t="shared" si="84"/>
        <v>2.6989264021190489</v>
      </c>
      <c r="K176" s="379">
        <f t="shared" si="84"/>
        <v>2.7784376484357169</v>
      </c>
      <c r="L176" s="379">
        <f t="shared" si="84"/>
        <v>2.8609354203256241</v>
      </c>
      <c r="M176" s="379">
        <f t="shared" si="84"/>
        <v>2.9460571778540778</v>
      </c>
      <c r="N176" s="379">
        <f t="shared" si="84"/>
        <v>3.0774470950492234</v>
      </c>
      <c r="O176" s="379">
        <f t="shared" si="84"/>
        <v>3.169709442271206</v>
      </c>
      <c r="P176" s="379">
        <f t="shared" si="84"/>
        <v>3.2647137590512805</v>
      </c>
      <c r="Q176" s="379">
        <f t="shared" si="84"/>
        <v>3.3631133524405699</v>
      </c>
      <c r="R176" s="379">
        <f t="shared" si="84"/>
        <v>3.4645626221941885</v>
      </c>
      <c r="S176" s="379">
        <f t="shared" si="84"/>
        <v>3.5695369784764512</v>
      </c>
      <c r="T176" s="379">
        <f t="shared" si="84"/>
        <v>3.6781957297517738</v>
      </c>
      <c r="U176" s="379">
        <f t="shared" si="84"/>
        <v>3.790518347209674</v>
      </c>
      <c r="V176" s="379">
        <f t="shared" si="84"/>
        <v>3.9067599381225553</v>
      </c>
      <c r="W176" s="379">
        <f t="shared" si="84"/>
        <v>4.0268137798613903</v>
      </c>
      <c r="X176" s="379">
        <f t="shared" si="84"/>
        <v>4.2085261922428856</v>
      </c>
      <c r="Y176" s="379">
        <f t="shared" si="84"/>
        <v>4.3384357274104159</v>
      </c>
      <c r="Z176" s="379">
        <f t="shared" si="84"/>
        <v>4.4725335819208274</v>
      </c>
      <c r="AA176" s="379">
        <f t="shared" si="84"/>
        <v>4.6114065249537042</v>
      </c>
      <c r="AB176" s="379">
        <f t="shared" si="84"/>
        <v>4.754839730987249</v>
      </c>
      <c r="AC176" s="379">
        <f t="shared" si="84"/>
        <v>4.903425970904947</v>
      </c>
      <c r="AD176" s="379">
        <f t="shared" si="84"/>
        <v>5.0565637168864344</v>
      </c>
      <c r="AE176" s="379">
        <f t="shared" si="84"/>
        <v>5.2151468548000901</v>
      </c>
      <c r="AF176" s="379">
        <f t="shared" si="84"/>
        <v>5.3790810121280277</v>
      </c>
      <c r="AG176" s="379">
        <f t="shared" si="84"/>
        <v>5.5486682339751709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2.9968496712881372</v>
      </c>
      <c r="D177" s="379">
        <f t="shared" si="85"/>
        <v>3.0217260871099034</v>
      </c>
      <c r="E177" s="379">
        <f t="shared" si="85"/>
        <v>3.0424458270883838</v>
      </c>
      <c r="F177" s="379">
        <f t="shared" si="85"/>
        <v>3.0391718415843338</v>
      </c>
      <c r="G177" s="379">
        <f t="shared" si="85"/>
        <v>3.0314794366256921</v>
      </c>
      <c r="H177" s="379">
        <f t="shared" si="85"/>
        <v>3.0640626988271968</v>
      </c>
      <c r="I177" s="379">
        <f t="shared" si="85"/>
        <v>2.9617540199735521</v>
      </c>
      <c r="J177" s="379">
        <f t="shared" si="85"/>
        <v>2.9760076445394521</v>
      </c>
      <c r="K177" s="379">
        <f t="shared" si="85"/>
        <v>2.9795808149990726</v>
      </c>
      <c r="L177" s="379">
        <f t="shared" si="85"/>
        <v>2.9903205447781773</v>
      </c>
      <c r="M177" s="379">
        <f t="shared" si="85"/>
        <v>3.0083445752710154</v>
      </c>
      <c r="N177" s="379">
        <f t="shared" si="85"/>
        <v>2.9748202251517011</v>
      </c>
      <c r="O177" s="379">
        <f t="shared" si="85"/>
        <v>3.0103201405273157</v>
      </c>
      <c r="P177" s="379">
        <f t="shared" si="85"/>
        <v>3.0465049669065549</v>
      </c>
      <c r="Q177" s="379">
        <f t="shared" si="85"/>
        <v>3.087868934817763</v>
      </c>
      <c r="R177" s="379">
        <f t="shared" si="85"/>
        <v>3.1348817024356261</v>
      </c>
      <c r="S177" s="379">
        <f t="shared" si="85"/>
        <v>3.1794994254869509</v>
      </c>
      <c r="T177" s="379">
        <f t="shared" si="85"/>
        <v>3.2448730807869381</v>
      </c>
      <c r="U177" s="379">
        <f t="shared" si="85"/>
        <v>3.3112410418077642</v>
      </c>
      <c r="V177" s="379">
        <f t="shared" si="85"/>
        <v>3.3805135825642765</v>
      </c>
      <c r="W177" s="379">
        <f t="shared" si="85"/>
        <v>3.4526792569271914</v>
      </c>
      <c r="X177" s="379">
        <f t="shared" si="85"/>
        <v>3.4508956837568316</v>
      </c>
      <c r="Y177" s="379">
        <f t="shared" si="85"/>
        <v>3.5282186003888714</v>
      </c>
      <c r="Z177" s="379">
        <f t="shared" si="85"/>
        <v>3.608723549837813</v>
      </c>
      <c r="AA177" s="379">
        <f t="shared" si="85"/>
        <v>3.6930887942844106</v>
      </c>
      <c r="AB177" s="379">
        <f t="shared" si="85"/>
        <v>3.7811748707273396</v>
      </c>
      <c r="AC177" s="379">
        <f t="shared" si="85"/>
        <v>3.8917941299811383</v>
      </c>
      <c r="AD177" s="379">
        <f t="shared" si="85"/>
        <v>4.0095842526131111</v>
      </c>
      <c r="AE177" s="379">
        <f t="shared" si="85"/>
        <v>4.1315980863852779</v>
      </c>
      <c r="AF177" s="379">
        <f t="shared" si="85"/>
        <v>4.2587178168656861</v>
      </c>
      <c r="AG177" s="379">
        <f t="shared" si="85"/>
        <v>4.3904444946865464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4.4737261062991696</v>
      </c>
      <c r="D178" s="379">
        <f t="shared" si="87"/>
        <v>4.4488890150788043</v>
      </c>
      <c r="E178" s="379">
        <f t="shared" si="87"/>
        <v>4.4284733389139967</v>
      </c>
      <c r="F178" s="379">
        <f t="shared" si="87"/>
        <v>4.4124430427521952</v>
      </c>
      <c r="G178" s="379">
        <f t="shared" si="87"/>
        <v>4.4008773183637127</v>
      </c>
      <c r="H178" s="379">
        <f t="shared" si="87"/>
        <v>4.4161386544435928</v>
      </c>
      <c r="I178" s="379">
        <f t="shared" si="87"/>
        <v>4.3071661058848107</v>
      </c>
      <c r="J178" s="379">
        <f t="shared" si="87"/>
        <v>4.2599090480806492</v>
      </c>
      <c r="K178" s="379">
        <f t="shared" si="87"/>
        <v>4.21681254714853</v>
      </c>
      <c r="L178" s="379">
        <f t="shared" si="87"/>
        <v>4.1783085871664811</v>
      </c>
      <c r="M178" s="379">
        <f t="shared" si="87"/>
        <v>4.1439446968946925</v>
      </c>
      <c r="N178" s="379">
        <f t="shared" si="87"/>
        <v>4.0385084130241822</v>
      </c>
      <c r="O178" s="379">
        <f t="shared" si="87"/>
        <v>4.0126078462902024</v>
      </c>
      <c r="P178" s="379">
        <f t="shared" si="87"/>
        <v>3.9911057177181375</v>
      </c>
      <c r="Q178" s="379">
        <f t="shared" si="87"/>
        <v>3.9738470191708029</v>
      </c>
      <c r="R178" s="379">
        <f t="shared" si="87"/>
        <v>3.9608909544212225</v>
      </c>
      <c r="S178" s="379">
        <f t="shared" si="87"/>
        <v>3.8842508521034556</v>
      </c>
      <c r="T178" s="379">
        <f t="shared" si="87"/>
        <v>3.9004916790072159</v>
      </c>
      <c r="U178" s="379">
        <f t="shared" si="87"/>
        <v>3.9209161589997299</v>
      </c>
      <c r="V178" s="379">
        <f t="shared" si="87"/>
        <v>3.9449873409447069</v>
      </c>
      <c r="W178" s="379">
        <f t="shared" si="87"/>
        <v>3.9726723519870548</v>
      </c>
      <c r="X178" s="379">
        <f t="shared" si="87"/>
        <v>3.9074926349439751</v>
      </c>
      <c r="Y178" s="379">
        <f t="shared" si="87"/>
        <v>3.9416751532816421</v>
      </c>
      <c r="Z178" s="379">
        <f t="shared" si="87"/>
        <v>3.9793433792613113</v>
      </c>
      <c r="AA178" s="379">
        <f t="shared" si="87"/>
        <v>4.0210765983210326</v>
      </c>
      <c r="AB178" s="379">
        <f t="shared" si="87"/>
        <v>4.0668585405524409</v>
      </c>
      <c r="AC178" s="379">
        <f t="shared" si="87"/>
        <v>4.103629923184517</v>
      </c>
      <c r="AD178" s="379">
        <f t="shared" si="87"/>
        <v>4.1969445168494772</v>
      </c>
      <c r="AE178" s="379">
        <f t="shared" si="87"/>
        <v>4.2944800011999469</v>
      </c>
      <c r="AF178" s="379">
        <f t="shared" si="87"/>
        <v>4.3968487163619265</v>
      </c>
      <c r="AG178" s="379">
        <f t="shared" si="87"/>
        <v>4.5035668677834657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4.7024961912803773</v>
      </c>
      <c r="D179" s="379">
        <f t="shared" si="88"/>
        <v>4.6763890215316977</v>
      </c>
      <c r="E179" s="379">
        <f t="shared" si="88"/>
        <v>4.6549293619266443</v>
      </c>
      <c r="F179" s="379">
        <f t="shared" si="88"/>
        <v>4.6380793347111133</v>
      </c>
      <c r="G179" s="379">
        <f t="shared" si="88"/>
        <v>4.6259221812345848</v>
      </c>
      <c r="H179" s="379">
        <f t="shared" si="88"/>
        <v>4.6419639265458228</v>
      </c>
      <c r="I179" s="379">
        <f t="shared" si="88"/>
        <v>4.527418918117557</v>
      </c>
      <c r="J179" s="379">
        <f t="shared" si="88"/>
        <v>4.477745306221137</v>
      </c>
      <c r="K179" s="379">
        <f t="shared" si="88"/>
        <v>4.4324450069458976</v>
      </c>
      <c r="L179" s="379">
        <f t="shared" si="88"/>
        <v>4.3919720944647667</v>
      </c>
      <c r="M179" s="379">
        <f t="shared" si="88"/>
        <v>4.3558509598040809</v>
      </c>
      <c r="N179" s="379">
        <f t="shared" si="88"/>
        <v>4.2450230477811006</v>
      </c>
      <c r="O179" s="379">
        <f t="shared" si="88"/>
        <v>4.2177980202482246</v>
      </c>
      <c r="P179" s="379">
        <f t="shared" si="88"/>
        <v>4.1951963510105417</v>
      </c>
      <c r="Q179" s="379">
        <f t="shared" si="88"/>
        <v>4.1770551053784004</v>
      </c>
      <c r="R179" s="379">
        <f t="shared" si="88"/>
        <v>4.1634365145904901</v>
      </c>
      <c r="S179" s="379">
        <f t="shared" si="88"/>
        <v>4.0828773161314729</v>
      </c>
      <c r="T179" s="379">
        <f t="shared" si="88"/>
        <v>4.0999486398655387</v>
      </c>
      <c r="U179" s="379">
        <f t="shared" si="88"/>
        <v>4.1214175534940338</v>
      </c>
      <c r="V179" s="379">
        <f t="shared" si="88"/>
        <v>4.1467196481521071</v>
      </c>
      <c r="W179" s="379">
        <f t="shared" si="88"/>
        <v>4.1758203699863934</v>
      </c>
      <c r="X179" s="379">
        <f t="shared" si="88"/>
        <v>4.1073075992308832</v>
      </c>
      <c r="Y179" s="379">
        <f t="shared" si="88"/>
        <v>4.1432380872562717</v>
      </c>
      <c r="Z179" s="379">
        <f t="shared" si="88"/>
        <v>4.1828325293371735</v>
      </c>
      <c r="AA179" s="379">
        <f t="shared" si="88"/>
        <v>4.2266998334624484</v>
      </c>
      <c r="AB179" s="379">
        <f t="shared" si="88"/>
        <v>4.2748228977397824</v>
      </c>
      <c r="AC179" s="379">
        <f t="shared" si="88"/>
        <v>4.3134746351655426</v>
      </c>
      <c r="AD179" s="379">
        <f t="shared" si="88"/>
        <v>4.4115609978247354</v>
      </c>
      <c r="AE179" s="379">
        <f t="shared" si="88"/>
        <v>4.5140840921703989</v>
      </c>
      <c r="AF179" s="379">
        <f t="shared" si="88"/>
        <v>4.6216875711758885</v>
      </c>
      <c r="AG179" s="379">
        <f t="shared" si="88"/>
        <v>4.7338629007951196</v>
      </c>
    </row>
    <row r="180" spans="1:33">
      <c r="A180" s="300" t="s">
        <v>334</v>
      </c>
      <c r="C180" s="379">
        <f t="shared" ref="C180:AG180" si="89">C174*0.9</f>
        <v>1.9990080238709813</v>
      </c>
      <c r="D180" s="379">
        <f t="shared" si="89"/>
        <v>2.1370539223331084</v>
      </c>
      <c r="E180" s="379">
        <f t="shared" si="89"/>
        <v>2.1886617418714382</v>
      </c>
      <c r="F180" s="379">
        <f t="shared" si="89"/>
        <v>2.2417874375786511</v>
      </c>
      <c r="G180" s="379">
        <f t="shared" si="89"/>
        <v>2.2964539915300861</v>
      </c>
      <c r="H180" s="379">
        <f t="shared" si="89"/>
        <v>2.3816268425936351</v>
      </c>
      <c r="I180" s="379">
        <f t="shared" si="89"/>
        <v>2.4403437522332947</v>
      </c>
      <c r="J180" s="379">
        <f t="shared" si="89"/>
        <v>2.5007255755413906</v>
      </c>
      <c r="K180" s="379">
        <f t="shared" si="89"/>
        <v>2.5628128374641852</v>
      </c>
      <c r="L180" s="379">
        <f t="shared" si="89"/>
        <v>2.6270828882396127</v>
      </c>
      <c r="M180" s="379">
        <f t="shared" si="89"/>
        <v>2.6931275088357642</v>
      </c>
      <c r="N180" s="379">
        <f t="shared" si="89"/>
        <v>2.7961307559400783</v>
      </c>
      <c r="O180" s="379">
        <f t="shared" si="89"/>
        <v>2.8673448775899617</v>
      </c>
      <c r="P180" s="379">
        <f t="shared" si="89"/>
        <v>2.9404828512579679</v>
      </c>
      <c r="Q180" s="379">
        <f t="shared" si="89"/>
        <v>3.0160424357512738</v>
      </c>
      <c r="R180" s="379">
        <f t="shared" si="89"/>
        <v>3.0936136466838686</v>
      </c>
      <c r="S180" s="379">
        <f t="shared" si="89"/>
        <v>3.1736963457144611</v>
      </c>
      <c r="T180" s="379">
        <f t="shared" si="89"/>
        <v>3.2563331767478698</v>
      </c>
      <c r="U180" s="379">
        <f t="shared" si="89"/>
        <v>3.3415758066386028</v>
      </c>
      <c r="V180" s="379">
        <f t="shared" si="89"/>
        <v>3.429477090985908</v>
      </c>
      <c r="W180" s="379">
        <f t="shared" si="89"/>
        <v>3.5200832414773404</v>
      </c>
      <c r="X180" s="379">
        <f t="shared" si="89"/>
        <v>3.6606833648318751</v>
      </c>
      <c r="Y180" s="379">
        <f t="shared" si="89"/>
        <v>3.7582915209875196</v>
      </c>
      <c r="Z180" s="379">
        <f t="shared" si="89"/>
        <v>3.8588171148718695</v>
      </c>
      <c r="AA180" s="379">
        <f t="shared" si="89"/>
        <v>3.9627713562781275</v>
      </c>
      <c r="AB180" s="379">
        <f t="shared" si="89"/>
        <v>4.0697660242149549</v>
      </c>
      <c r="AC180" s="379">
        <f t="shared" si="89"/>
        <v>4.1803153220052698</v>
      </c>
      <c r="AD180" s="379">
        <f t="shared" si="89"/>
        <v>4.2940341308029666</v>
      </c>
      <c r="AE180" s="379">
        <f t="shared" si="89"/>
        <v>4.4114483876303376</v>
      </c>
      <c r="AF180" s="379">
        <f t="shared" si="89"/>
        <v>4.5326267559934132</v>
      </c>
      <c r="AG180" s="379">
        <f t="shared" si="89"/>
        <v>4.6576396570167367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 t="shared" ref="A183:A188" si="91">A174</f>
        <v xml:space="preserve">Diesel   </v>
      </c>
      <c r="B183" s="300" t="str">
        <f>A183</f>
        <v xml:space="preserve">Diesel   </v>
      </c>
      <c r="C183" s="379">
        <f t="shared" ref="C183:AG183" si="92">C165/($C$17*$C$24)*1000</f>
        <v>2.9614933686977496</v>
      </c>
      <c r="D183" s="379">
        <f t="shared" si="92"/>
        <v>3.1660058108638642</v>
      </c>
      <c r="E183" s="379">
        <f t="shared" si="92"/>
        <v>3.2424618398095384</v>
      </c>
      <c r="F183" s="379">
        <f t="shared" si="92"/>
        <v>3.3211665741905945</v>
      </c>
      <c r="G183" s="379">
        <f t="shared" si="92"/>
        <v>3.4021540615260539</v>
      </c>
      <c r="H183" s="379">
        <f t="shared" si="92"/>
        <v>3.528336063101682</v>
      </c>
      <c r="I183" s="379">
        <f t="shared" si="92"/>
        <v>3.6153240773826583</v>
      </c>
      <c r="J183" s="379">
        <f t="shared" si="92"/>
        <v>3.7047786304316896</v>
      </c>
      <c r="K183" s="379">
        <f t="shared" si="92"/>
        <v>3.7967597592062003</v>
      </c>
      <c r="L183" s="379">
        <f t="shared" si="92"/>
        <v>3.8919746492438705</v>
      </c>
      <c r="M183" s="379">
        <f t="shared" si="92"/>
        <v>3.9898185316085395</v>
      </c>
      <c r="N183" s="379">
        <f t="shared" si="92"/>
        <v>4.1424159347260421</v>
      </c>
      <c r="O183" s="379">
        <f t="shared" si="92"/>
        <v>4.2479183371703142</v>
      </c>
      <c r="P183" s="379">
        <f t="shared" si="92"/>
        <v>4.3562708907525449</v>
      </c>
      <c r="Q183" s="379">
        <f t="shared" si="92"/>
        <v>4.4682110159278139</v>
      </c>
      <c r="R183" s="379">
        <f t="shared" si="92"/>
        <v>4.5831313284205457</v>
      </c>
      <c r="S183" s="379">
        <f t="shared" si="92"/>
        <v>4.7017723640214237</v>
      </c>
      <c r="T183" s="379">
        <f t="shared" si="92"/>
        <v>4.8241972988857329</v>
      </c>
      <c r="U183" s="379">
        <f t="shared" si="92"/>
        <v>4.9504826765016334</v>
      </c>
      <c r="V183" s="379">
        <f t="shared" si="92"/>
        <v>5.0807068014606047</v>
      </c>
      <c r="W183" s="379">
        <f t="shared" si="92"/>
        <v>5.2149381355219857</v>
      </c>
      <c r="X183" s="379">
        <f t="shared" si="92"/>
        <v>5.4232346145657413</v>
      </c>
      <c r="Y183" s="379">
        <f t="shared" si="92"/>
        <v>5.5678392903518805</v>
      </c>
      <c r="Z183" s="379">
        <f t="shared" si="92"/>
        <v>5.7167660961064728</v>
      </c>
      <c r="AA183" s="379">
        <f t="shared" si="92"/>
        <v>5.8707723796713003</v>
      </c>
      <c r="AB183" s="379">
        <f t="shared" si="92"/>
        <v>6.0292829988369707</v>
      </c>
      <c r="AC183" s="379">
        <f t="shared" si="92"/>
        <v>6.1930597363041047</v>
      </c>
      <c r="AD183" s="379">
        <f t="shared" si="92"/>
        <v>6.361532045634025</v>
      </c>
      <c r="AE183" s="379">
        <f t="shared" si="92"/>
        <v>6.5354790927856854</v>
      </c>
      <c r="AF183" s="379">
        <f t="shared" si="92"/>
        <v>6.7150026014717232</v>
      </c>
      <c r="AG183" s="379">
        <f t="shared" si="92"/>
        <v>6.9002068992840533</v>
      </c>
    </row>
    <row r="184" spans="1:33">
      <c r="A184" s="300" t="str">
        <f t="shared" si="91"/>
        <v>CNG</v>
      </c>
      <c r="B184" s="300" t="str">
        <f t="shared" ref="B184:B188" si="93">A184</f>
        <v>CNG</v>
      </c>
      <c r="C184" s="379">
        <f t="shared" ref="C184:AG184" si="94">C169/($C$17*$C$24)*1000</f>
        <v>5.6983826950410528</v>
      </c>
      <c r="D184" s="379">
        <f t="shared" si="94"/>
        <v>5.6984912703199484</v>
      </c>
      <c r="E184" s="379">
        <f t="shared" si="94"/>
        <v>5.7043786805346537</v>
      </c>
      <c r="F184" s="379">
        <f t="shared" si="94"/>
        <v>5.7161232746008759</v>
      </c>
      <c r="G184" s="379">
        <f t="shared" si="94"/>
        <v>5.7334008935033483</v>
      </c>
      <c r="H184" s="379">
        <f t="shared" si="94"/>
        <v>5.8105944265679783</v>
      </c>
      <c r="I184" s="379">
        <f t="shared" si="94"/>
        <v>5.6403147468372996</v>
      </c>
      <c r="J184" s="379">
        <f t="shared" si="94"/>
        <v>5.5767016759344772</v>
      </c>
      <c r="K184" s="379">
        <f t="shared" si="94"/>
        <v>5.5193110880740868</v>
      </c>
      <c r="L184" s="379">
        <f t="shared" si="94"/>
        <v>5.468420918149909</v>
      </c>
      <c r="M184" s="379">
        <f t="shared" si="94"/>
        <v>5.4235245394791658</v>
      </c>
      <c r="N184" s="379">
        <f t="shared" si="94"/>
        <v>5.3232069150470247</v>
      </c>
      <c r="O184" s="379">
        <f t="shared" si="94"/>
        <v>5.2893237219168387</v>
      </c>
      <c r="P184" s="379">
        <f t="shared" si="94"/>
        <v>5.2609498378136763</v>
      </c>
      <c r="Q184" s="379">
        <f t="shared" si="94"/>
        <v>5.2386683497468374</v>
      </c>
      <c r="R184" s="379">
        <f t="shared" si="94"/>
        <v>5.2219862592208894</v>
      </c>
      <c r="S184" s="379">
        <f t="shared" si="94"/>
        <v>5.1054391260736569</v>
      </c>
      <c r="T184" s="379">
        <f t="shared" si="94"/>
        <v>5.1217404197250271</v>
      </c>
      <c r="U184" s="379">
        <f t="shared" si="94"/>
        <v>5.1436043628672188</v>
      </c>
      <c r="V184" s="379">
        <f t="shared" si="94"/>
        <v>5.1709685731513906</v>
      </c>
      <c r="W184" s="379">
        <f t="shared" si="94"/>
        <v>5.203777118667035</v>
      </c>
      <c r="X184" s="379">
        <f t="shared" si="94"/>
        <v>5.2028888789988317</v>
      </c>
      <c r="Y184" s="379">
        <f t="shared" si="94"/>
        <v>5.2454779192498862</v>
      </c>
      <c r="Z184" s="379">
        <f t="shared" si="94"/>
        <v>5.2934734435159205</v>
      </c>
      <c r="AA184" s="379">
        <f t="shared" si="94"/>
        <v>5.3473896892513206</v>
      </c>
      <c r="AB184" s="379">
        <f t="shared" si="94"/>
        <v>5.4066548544809141</v>
      </c>
      <c r="AC184" s="379">
        <f t="shared" si="94"/>
        <v>5.4592116189735593</v>
      </c>
      <c r="AD184" s="379">
        <f t="shared" si="94"/>
        <v>5.5836758740924202</v>
      </c>
      <c r="AE184" s="379">
        <f t="shared" si="94"/>
        <v>5.7146463860420749</v>
      </c>
      <c r="AF184" s="379">
        <f t="shared" si="94"/>
        <v>5.8522718331500014</v>
      </c>
      <c r="AG184" s="379">
        <f t="shared" si="94"/>
        <v>5.9965850929642137</v>
      </c>
    </row>
    <row r="185" spans="1:33">
      <c r="A185" s="300" t="str">
        <f t="shared" si="91"/>
        <v>LNG</v>
      </c>
      <c r="B185" s="300" t="str">
        <f>A185</f>
        <v>LNG</v>
      </c>
      <c r="C185" s="379">
        <f t="shared" ref="C185:AG185" si="95">C167/($C$17*$C$24)*1000</f>
        <v>2.8977528481683388</v>
      </c>
      <c r="D185" s="379">
        <f t="shared" si="95"/>
        <v>2.9889493674240883</v>
      </c>
      <c r="E185" s="379">
        <f t="shared" si="95"/>
        <v>3.0752316316139319</v>
      </c>
      <c r="F185" s="379">
        <f t="shared" si="95"/>
        <v>3.1644431160088122</v>
      </c>
      <c r="G185" s="379">
        <f t="shared" si="95"/>
        <v>3.2565309614656557</v>
      </c>
      <c r="H185" s="379">
        <f t="shared" si="95"/>
        <v>3.3963180725605251</v>
      </c>
      <c r="I185" s="379">
        <f t="shared" si="95"/>
        <v>3.4959104573634852</v>
      </c>
      <c r="J185" s="379">
        <f t="shared" si="95"/>
        <v>3.5985685361587323</v>
      </c>
      <c r="K185" s="379">
        <f t="shared" si="95"/>
        <v>3.7045835312476227</v>
      </c>
      <c r="L185" s="379">
        <f t="shared" si="95"/>
        <v>3.8145805604341652</v>
      </c>
      <c r="M185" s="379">
        <f t="shared" si="95"/>
        <v>3.9280762371387703</v>
      </c>
      <c r="N185" s="379">
        <f t="shared" si="95"/>
        <v>4.1032627933989643</v>
      </c>
      <c r="O185" s="379">
        <f t="shared" si="95"/>
        <v>4.2262792563616083</v>
      </c>
      <c r="P185" s="379">
        <f t="shared" si="95"/>
        <v>4.3529516787350415</v>
      </c>
      <c r="Q185" s="379">
        <f t="shared" si="95"/>
        <v>4.4841511365874265</v>
      </c>
      <c r="R185" s="379">
        <f t="shared" si="95"/>
        <v>4.6194168295922511</v>
      </c>
      <c r="S185" s="379">
        <f t="shared" si="95"/>
        <v>4.7593826379686019</v>
      </c>
      <c r="T185" s="379">
        <f t="shared" si="95"/>
        <v>4.9042609730023647</v>
      </c>
      <c r="U185" s="379">
        <f t="shared" si="95"/>
        <v>5.0540244629462316</v>
      </c>
      <c r="V185" s="379">
        <f t="shared" si="95"/>
        <v>5.2090132508300737</v>
      </c>
      <c r="W185" s="379">
        <f t="shared" si="95"/>
        <v>5.3690850398151868</v>
      </c>
      <c r="X185" s="379">
        <f t="shared" si="95"/>
        <v>5.6113682563238481</v>
      </c>
      <c r="Y185" s="379">
        <f t="shared" si="95"/>
        <v>5.7845809698805537</v>
      </c>
      <c r="Z185" s="379">
        <f t="shared" si="95"/>
        <v>5.9633781092277705</v>
      </c>
      <c r="AA185" s="379">
        <f t="shared" si="95"/>
        <v>6.148542033271605</v>
      </c>
      <c r="AB185" s="379">
        <f t="shared" si="95"/>
        <v>6.3397863079829984</v>
      </c>
      <c r="AC185" s="379">
        <f t="shared" si="95"/>
        <v>6.5379012945399291</v>
      </c>
      <c r="AD185" s="379">
        <f t="shared" si="95"/>
        <v>6.74208495584858</v>
      </c>
      <c r="AE185" s="379">
        <f t="shared" si="95"/>
        <v>6.9535291397334538</v>
      </c>
      <c r="AF185" s="379">
        <f t="shared" si="95"/>
        <v>7.1721080161707036</v>
      </c>
      <c r="AG185" s="379">
        <f t="shared" si="95"/>
        <v>7.3982243119668949</v>
      </c>
    </row>
    <row r="186" spans="1:33">
      <c r="A186" s="300" t="str">
        <f t="shared" si="91"/>
        <v>BET</v>
      </c>
      <c r="B186" s="300" t="str">
        <f>A186</f>
        <v>BET</v>
      </c>
      <c r="C186" s="379">
        <f t="shared" ref="C186:AG186" si="96">C168/($C$18*$C$24)*1000</f>
        <v>3.9957995617175168</v>
      </c>
      <c r="D186" s="379">
        <f t="shared" si="96"/>
        <v>4.0289681161465376</v>
      </c>
      <c r="E186" s="379">
        <f t="shared" si="96"/>
        <v>4.0565944361178454</v>
      </c>
      <c r="F186" s="379">
        <f t="shared" si="96"/>
        <v>4.0522291221124451</v>
      </c>
      <c r="G186" s="379">
        <f t="shared" si="96"/>
        <v>4.0419725821675891</v>
      </c>
      <c r="H186" s="379">
        <f t="shared" si="96"/>
        <v>4.0854169317695961</v>
      </c>
      <c r="I186" s="379">
        <f t="shared" si="96"/>
        <v>3.9490053599647363</v>
      </c>
      <c r="J186" s="379">
        <f t="shared" si="96"/>
        <v>3.9680101927192704</v>
      </c>
      <c r="K186" s="379">
        <f t="shared" si="96"/>
        <v>3.9727744199987631</v>
      </c>
      <c r="L186" s="379">
        <f t="shared" si="96"/>
        <v>3.9870940597042366</v>
      </c>
      <c r="M186" s="379">
        <f t="shared" si="96"/>
        <v>4.0111261003613539</v>
      </c>
      <c r="N186" s="379">
        <f t="shared" si="96"/>
        <v>3.9664269668689349</v>
      </c>
      <c r="O186" s="379">
        <f t="shared" si="96"/>
        <v>4.0137601873697548</v>
      </c>
      <c r="P186" s="379">
        <f t="shared" si="96"/>
        <v>4.0620066225420732</v>
      </c>
      <c r="Q186" s="379">
        <f t="shared" si="96"/>
        <v>4.1171585797570174</v>
      </c>
      <c r="R186" s="379">
        <f t="shared" si="96"/>
        <v>4.1798422699141682</v>
      </c>
      <c r="S186" s="379">
        <f t="shared" si="96"/>
        <v>4.2393325673159348</v>
      </c>
      <c r="T186" s="379">
        <f t="shared" si="96"/>
        <v>4.3264974410492503</v>
      </c>
      <c r="U186" s="379">
        <f t="shared" si="96"/>
        <v>4.4149880557436854</v>
      </c>
      <c r="V186" s="379">
        <f t="shared" si="96"/>
        <v>4.5073514434190356</v>
      </c>
      <c r="W186" s="379">
        <f t="shared" si="96"/>
        <v>4.6035723425695885</v>
      </c>
      <c r="X186" s="379">
        <f t="shared" si="96"/>
        <v>4.6011942450091095</v>
      </c>
      <c r="Y186" s="379">
        <f t="shared" si="96"/>
        <v>4.7042914671851621</v>
      </c>
      <c r="Z186" s="379">
        <f t="shared" si="96"/>
        <v>4.8116313997837503</v>
      </c>
      <c r="AA186" s="379">
        <f t="shared" si="96"/>
        <v>4.9241183923792144</v>
      </c>
      <c r="AB186" s="379">
        <f t="shared" si="96"/>
        <v>5.0415664943031189</v>
      </c>
      <c r="AC186" s="379">
        <f t="shared" si="96"/>
        <v>5.1890588399748507</v>
      </c>
      <c r="AD186" s="379">
        <f t="shared" si="96"/>
        <v>5.3461123368174812</v>
      </c>
      <c r="AE186" s="379">
        <f t="shared" si="96"/>
        <v>5.5087974485137039</v>
      </c>
      <c r="AF186" s="379">
        <f t="shared" si="96"/>
        <v>5.6782904224875805</v>
      </c>
      <c r="AG186" s="379">
        <f t="shared" si="96"/>
        <v>5.8539259929153946</v>
      </c>
    </row>
    <row r="187" spans="1:33">
      <c r="A187" s="300" t="str">
        <f t="shared" si="91"/>
        <v>H2 ICE</v>
      </c>
      <c r="B187" s="300" t="str">
        <f t="shared" ref="B187" si="97">A187</f>
        <v>H2 ICE</v>
      </c>
      <c r="C187" s="379">
        <f t="shared" ref="C187:AG187" si="98">C170/($C$17*$C$24)*1000</f>
        <v>5.9649681417322258</v>
      </c>
      <c r="D187" s="379">
        <f t="shared" si="98"/>
        <v>5.9318520201050724</v>
      </c>
      <c r="E187" s="379">
        <f t="shared" si="98"/>
        <v>5.904631118551996</v>
      </c>
      <c r="F187" s="379">
        <f t="shared" si="98"/>
        <v>5.8832573903362597</v>
      </c>
      <c r="G187" s="379">
        <f t="shared" si="98"/>
        <v>5.8678364244849508</v>
      </c>
      <c r="H187" s="379">
        <f t="shared" si="98"/>
        <v>5.8881848725914576</v>
      </c>
      <c r="I187" s="379">
        <f t="shared" si="98"/>
        <v>5.7428881411797486</v>
      </c>
      <c r="J187" s="379">
        <f t="shared" si="98"/>
        <v>5.679878730774198</v>
      </c>
      <c r="K187" s="379">
        <f t="shared" si="98"/>
        <v>5.6224167295313734</v>
      </c>
      <c r="L187" s="379">
        <f t="shared" si="98"/>
        <v>5.5710781162219751</v>
      </c>
      <c r="M187" s="379">
        <f t="shared" si="98"/>
        <v>5.5252595958595903</v>
      </c>
      <c r="N187" s="379">
        <f t="shared" si="98"/>
        <v>5.384677884032242</v>
      </c>
      <c r="O187" s="379">
        <f t="shared" si="98"/>
        <v>5.3501437950536035</v>
      </c>
      <c r="P187" s="379">
        <f t="shared" si="98"/>
        <v>5.3214742902908503</v>
      </c>
      <c r="Q187" s="379">
        <f t="shared" si="98"/>
        <v>5.2984626922277371</v>
      </c>
      <c r="R187" s="379">
        <f t="shared" si="98"/>
        <v>5.281187939228297</v>
      </c>
      <c r="S187" s="379">
        <f t="shared" si="98"/>
        <v>5.1790011361379404</v>
      </c>
      <c r="T187" s="379">
        <f t="shared" si="98"/>
        <v>5.2006555720096213</v>
      </c>
      <c r="U187" s="379">
        <f t="shared" si="98"/>
        <v>5.2278882119996393</v>
      </c>
      <c r="V187" s="379">
        <f t="shared" si="98"/>
        <v>5.2599831212596095</v>
      </c>
      <c r="W187" s="379">
        <f t="shared" si="98"/>
        <v>5.2968964693160734</v>
      </c>
      <c r="X187" s="379">
        <f t="shared" si="98"/>
        <v>5.2099901799252999</v>
      </c>
      <c r="Y187" s="379">
        <f t="shared" si="98"/>
        <v>5.2555668710421903</v>
      </c>
      <c r="Z187" s="379">
        <f t="shared" si="98"/>
        <v>5.3057911723484157</v>
      </c>
      <c r="AA187" s="379">
        <f t="shared" si="98"/>
        <v>5.3614354644280429</v>
      </c>
      <c r="AB187" s="379">
        <f t="shared" si="98"/>
        <v>5.4224780540699218</v>
      </c>
      <c r="AC187" s="379">
        <f t="shared" si="98"/>
        <v>5.4715065642460221</v>
      </c>
      <c r="AD187" s="379">
        <f t="shared" si="98"/>
        <v>5.5959260224659699</v>
      </c>
      <c r="AE187" s="379">
        <f t="shared" si="98"/>
        <v>5.7259733349332622</v>
      </c>
      <c r="AF187" s="379">
        <f t="shared" si="98"/>
        <v>5.8624649551492354</v>
      </c>
      <c r="AG187" s="379">
        <f t="shared" si="98"/>
        <v>6.004755823711287</v>
      </c>
    </row>
    <row r="188" spans="1:33">
      <c r="A188" s="300" t="str">
        <f t="shared" si="91"/>
        <v>FCET</v>
      </c>
      <c r="B188" s="300" t="str">
        <f t="shared" si="93"/>
        <v>FCET</v>
      </c>
      <c r="C188" s="379">
        <f t="shared" ref="C188:AG188" si="99">C170/($C$19*$C$24)*1000</f>
        <v>6.2699949217071698</v>
      </c>
      <c r="D188" s="379">
        <f t="shared" si="99"/>
        <v>6.2351853620422641</v>
      </c>
      <c r="E188" s="379">
        <f t="shared" si="99"/>
        <v>6.2065724825688591</v>
      </c>
      <c r="F188" s="379">
        <f t="shared" si="99"/>
        <v>6.1841057796148187</v>
      </c>
      <c r="G188" s="379">
        <f t="shared" si="99"/>
        <v>6.1678962416461136</v>
      </c>
      <c r="H188" s="379">
        <f t="shared" si="99"/>
        <v>6.1892852353944301</v>
      </c>
      <c r="I188" s="379">
        <f t="shared" si="99"/>
        <v>6.0365585574900757</v>
      </c>
      <c r="J188" s="379">
        <f t="shared" si="99"/>
        <v>5.9703270749615154</v>
      </c>
      <c r="K188" s="379">
        <f t="shared" si="99"/>
        <v>5.9099266759278644</v>
      </c>
      <c r="L188" s="379">
        <f t="shared" si="99"/>
        <v>5.8559627926196898</v>
      </c>
      <c r="M188" s="379">
        <f t="shared" si="99"/>
        <v>5.807801279738773</v>
      </c>
      <c r="N188" s="379">
        <f t="shared" si="99"/>
        <v>5.6600307303748005</v>
      </c>
      <c r="O188" s="379">
        <f t="shared" si="99"/>
        <v>5.6237306936642995</v>
      </c>
      <c r="P188" s="379">
        <f t="shared" si="99"/>
        <v>5.5935951346807231</v>
      </c>
      <c r="Q188" s="379">
        <f t="shared" si="99"/>
        <v>5.5694068071712</v>
      </c>
      <c r="R188" s="379">
        <f t="shared" si="99"/>
        <v>5.5512486861206529</v>
      </c>
      <c r="S188" s="379">
        <f t="shared" si="99"/>
        <v>5.4438364215086308</v>
      </c>
      <c r="T188" s="379">
        <f t="shared" si="99"/>
        <v>5.4665981864873858</v>
      </c>
      <c r="U188" s="379">
        <f t="shared" si="99"/>
        <v>5.4952234046587121</v>
      </c>
      <c r="V188" s="379">
        <f t="shared" si="99"/>
        <v>5.5289595308694759</v>
      </c>
      <c r="W188" s="379">
        <f t="shared" si="99"/>
        <v>5.5677604933151912</v>
      </c>
      <c r="X188" s="379">
        <f t="shared" si="99"/>
        <v>5.4764101323078433</v>
      </c>
      <c r="Y188" s="379">
        <f t="shared" si="99"/>
        <v>5.5243174496750287</v>
      </c>
      <c r="Z188" s="379">
        <f t="shared" si="99"/>
        <v>5.5771100391162323</v>
      </c>
      <c r="AA188" s="379">
        <f t="shared" si="99"/>
        <v>5.6355997779499321</v>
      </c>
      <c r="AB188" s="379">
        <f t="shared" si="99"/>
        <v>5.6997638636530423</v>
      </c>
      <c r="AC188" s="379">
        <f t="shared" si="99"/>
        <v>5.7512995135540574</v>
      </c>
      <c r="AD188" s="379">
        <f t="shared" si="99"/>
        <v>5.88208133043298</v>
      </c>
      <c r="AE188" s="379">
        <f t="shared" si="99"/>
        <v>6.0187787895605309</v>
      </c>
      <c r="AF188" s="379">
        <f t="shared" si="99"/>
        <v>6.1622500949011849</v>
      </c>
      <c r="AG188" s="379">
        <f t="shared" si="99"/>
        <v>6.3118172010601601</v>
      </c>
    </row>
    <row r="189" spans="1:33">
      <c r="A189" s="300" t="s">
        <v>334</v>
      </c>
      <c r="C189" s="379">
        <f t="shared" ref="C189:AG189" si="100">C183*0.9</f>
        <v>2.6653440318279746</v>
      </c>
      <c r="D189" s="379">
        <f t="shared" si="100"/>
        <v>2.8494052297774779</v>
      </c>
      <c r="E189" s="379">
        <f t="shared" si="100"/>
        <v>2.9182156558285848</v>
      </c>
      <c r="F189" s="379">
        <f t="shared" si="100"/>
        <v>2.9890499167715352</v>
      </c>
      <c r="G189" s="379">
        <f t="shared" si="100"/>
        <v>3.0619386553734484</v>
      </c>
      <c r="H189" s="379">
        <f t="shared" si="100"/>
        <v>3.1755024567915138</v>
      </c>
      <c r="I189" s="379">
        <f t="shared" si="100"/>
        <v>3.2537916696443925</v>
      </c>
      <c r="J189" s="379">
        <f t="shared" si="100"/>
        <v>3.3343007673885205</v>
      </c>
      <c r="K189" s="379">
        <f t="shared" si="100"/>
        <v>3.4170837832855803</v>
      </c>
      <c r="L189" s="379">
        <f t="shared" si="100"/>
        <v>3.5027771843194837</v>
      </c>
      <c r="M189" s="379">
        <f t="shared" si="100"/>
        <v>3.5908366784476855</v>
      </c>
      <c r="N189" s="379">
        <f t="shared" si="100"/>
        <v>3.7281743412534381</v>
      </c>
      <c r="O189" s="379">
        <f t="shared" si="100"/>
        <v>3.8231265034532829</v>
      </c>
      <c r="P189" s="379">
        <f t="shared" si="100"/>
        <v>3.9206438016772904</v>
      </c>
      <c r="Q189" s="379">
        <f t="shared" si="100"/>
        <v>4.0213899143350327</v>
      </c>
      <c r="R189" s="379">
        <f t="shared" si="100"/>
        <v>4.1248181955784915</v>
      </c>
      <c r="S189" s="379">
        <f t="shared" si="100"/>
        <v>4.2315951276192818</v>
      </c>
      <c r="T189" s="379">
        <f t="shared" si="100"/>
        <v>4.3417775689971601</v>
      </c>
      <c r="U189" s="379">
        <f t="shared" si="100"/>
        <v>4.4554344088514704</v>
      </c>
      <c r="V189" s="379">
        <f t="shared" si="100"/>
        <v>4.5726361213145443</v>
      </c>
      <c r="W189" s="379">
        <f t="shared" si="100"/>
        <v>4.6934443219697872</v>
      </c>
      <c r="X189" s="379">
        <f t="shared" si="100"/>
        <v>4.8809111531091673</v>
      </c>
      <c r="Y189" s="379">
        <f t="shared" si="100"/>
        <v>5.0110553613166928</v>
      </c>
      <c r="Z189" s="379">
        <f t="shared" si="100"/>
        <v>5.1450894864958254</v>
      </c>
      <c r="AA189" s="379">
        <f t="shared" si="100"/>
        <v>5.28369514170417</v>
      </c>
      <c r="AB189" s="379">
        <f t="shared" si="100"/>
        <v>5.4263546989532738</v>
      </c>
      <c r="AC189" s="379">
        <f t="shared" si="100"/>
        <v>5.5737537626736939</v>
      </c>
      <c r="AD189" s="379">
        <f t="shared" si="100"/>
        <v>5.725378841070623</v>
      </c>
      <c r="AE189" s="379">
        <f t="shared" si="100"/>
        <v>5.8819311835071169</v>
      </c>
      <c r="AF189" s="379">
        <f t="shared" si="100"/>
        <v>6.043502341324551</v>
      </c>
      <c r="AG189" s="379">
        <f t="shared" si="100"/>
        <v>6.2101862093556477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433">
        <f t="shared" ref="C192:AG192" si="102">C165/C168</f>
        <v>0.83098819412403124</v>
      </c>
      <c r="D192" s="433">
        <f t="shared" si="102"/>
        <v>0.88106035804614602</v>
      </c>
      <c r="E192" s="433">
        <f t="shared" si="102"/>
        <v>0.89619200899002505</v>
      </c>
      <c r="F192" s="433">
        <f t="shared" si="102"/>
        <v>0.91893427230635749</v>
      </c>
      <c r="G192" s="433">
        <f t="shared" si="102"/>
        <v>0.94373138225703601</v>
      </c>
      <c r="H192" s="433">
        <f t="shared" si="102"/>
        <v>0.96832544333386228</v>
      </c>
      <c r="I192" s="433">
        <f t="shared" si="102"/>
        <v>1.0264724425969538</v>
      </c>
      <c r="J192" s="433">
        <f t="shared" si="102"/>
        <v>1.0468326705584976</v>
      </c>
      <c r="K192" s="433">
        <f t="shared" si="102"/>
        <v>1.0715365669701757</v>
      </c>
      <c r="L192" s="433">
        <f t="shared" si="102"/>
        <v>1.0944635583807181</v>
      </c>
      <c r="M192" s="433">
        <f t="shared" si="102"/>
        <v>1.1152561119116249</v>
      </c>
      <c r="N192" s="433">
        <f t="shared" si="102"/>
        <v>1.1709599082277895</v>
      </c>
      <c r="O192" s="433">
        <f t="shared" si="102"/>
        <v>1.1866223459343499</v>
      </c>
      <c r="P192" s="433">
        <f t="shared" si="102"/>
        <v>1.202436179914103</v>
      </c>
      <c r="Q192" s="433">
        <f t="shared" si="102"/>
        <v>1.2168130651619096</v>
      </c>
      <c r="R192" s="433">
        <f t="shared" si="102"/>
        <v>1.2293914618547672</v>
      </c>
      <c r="S192" s="433">
        <f t="shared" si="102"/>
        <v>1.243517483474686</v>
      </c>
      <c r="T192" s="433">
        <f t="shared" si="102"/>
        <v>1.2501910749582448</v>
      </c>
      <c r="U192" s="433">
        <f t="shared" si="102"/>
        <v>1.2572041221092933</v>
      </c>
      <c r="V192" s="433">
        <f t="shared" si="102"/>
        <v>1.2638353413598915</v>
      </c>
      <c r="W192" s="433">
        <f t="shared" si="102"/>
        <v>1.2701118639649582</v>
      </c>
      <c r="X192" s="433">
        <f t="shared" si="102"/>
        <v>1.3215256870808803</v>
      </c>
      <c r="Y192" s="433">
        <f t="shared" si="102"/>
        <v>1.3270285110626858</v>
      </c>
      <c r="Z192" s="433">
        <f t="shared" si="102"/>
        <v>1.3321276940243485</v>
      </c>
      <c r="AA192" s="433">
        <f t="shared" si="102"/>
        <v>1.3367633814718953</v>
      </c>
      <c r="AB192" s="433">
        <f t="shared" si="102"/>
        <v>1.3408739502202298</v>
      </c>
      <c r="AC192" s="433">
        <f t="shared" si="102"/>
        <v>1.3381489510665403</v>
      </c>
      <c r="AD192" s="433">
        <f t="shared" si="102"/>
        <v>1.3341707748869027</v>
      </c>
      <c r="AE192" s="433">
        <f t="shared" si="102"/>
        <v>1.3301738619445411</v>
      </c>
      <c r="AF192" s="433">
        <f t="shared" si="102"/>
        <v>1.3259170895740653</v>
      </c>
      <c r="AG192" s="433">
        <f t="shared" si="102"/>
        <v>1.3216080325770874</v>
      </c>
    </row>
    <row r="193" spans="1:33">
      <c r="A193" s="300" t="str">
        <f>A169</f>
        <v>H2-ICE</v>
      </c>
      <c r="C193" s="433">
        <f t="shared" ref="C193:AG193" si="103">C169/C168</f>
        <v>1.598953013108394</v>
      </c>
      <c r="D193" s="433">
        <f t="shared" si="103"/>
        <v>1.5858198180568086</v>
      </c>
      <c r="E193" s="433">
        <f t="shared" si="103"/>
        <v>1.5766472644281022</v>
      </c>
      <c r="F193" s="433">
        <f t="shared" si="103"/>
        <v>1.5815953414016704</v>
      </c>
      <c r="G193" s="433">
        <f t="shared" si="103"/>
        <v>1.5904013317470409</v>
      </c>
      <c r="H193" s="433">
        <f t="shared" si="103"/>
        <v>1.5946741816859518</v>
      </c>
      <c r="I193" s="433">
        <f t="shared" si="103"/>
        <v>1.6014131876645337</v>
      </c>
      <c r="J193" s="433">
        <f t="shared" si="103"/>
        <v>1.5757685116117979</v>
      </c>
      <c r="K193" s="433">
        <f t="shared" si="103"/>
        <v>1.5576818209303347</v>
      </c>
      <c r="L193" s="433">
        <f t="shared" si="103"/>
        <v>1.5377765674719031</v>
      </c>
      <c r="M193" s="433">
        <f t="shared" si="103"/>
        <v>1.5160135336576956</v>
      </c>
      <c r="N193" s="433">
        <f t="shared" si="103"/>
        <v>1.5047407066169549</v>
      </c>
      <c r="O193" s="433">
        <f t="shared" si="103"/>
        <v>1.4775306927129195</v>
      </c>
      <c r="P193" s="433">
        <f t="shared" si="103"/>
        <v>1.4521494609366656</v>
      </c>
      <c r="Q193" s="433">
        <f t="shared" si="103"/>
        <v>1.4266291518683984</v>
      </c>
      <c r="R193" s="433">
        <f t="shared" si="103"/>
        <v>1.4007596250185377</v>
      </c>
      <c r="S193" s="433">
        <f t="shared" si="103"/>
        <v>1.3502786444255395</v>
      </c>
      <c r="T193" s="433">
        <f t="shared" si="103"/>
        <v>1.3272993959994317</v>
      </c>
      <c r="U193" s="433">
        <f t="shared" si="103"/>
        <v>1.3062485074820518</v>
      </c>
      <c r="V193" s="433">
        <f t="shared" si="103"/>
        <v>1.2862881262763086</v>
      </c>
      <c r="W193" s="433">
        <f t="shared" si="103"/>
        <v>1.2673935690297171</v>
      </c>
      <c r="X193" s="433">
        <f t="shared" si="103"/>
        <v>1.2678321683073579</v>
      </c>
      <c r="Y193" s="433">
        <f t="shared" si="103"/>
        <v>1.2501974985263002</v>
      </c>
      <c r="Z193" s="433">
        <f t="shared" si="103"/>
        <v>1.2334915323005122</v>
      </c>
      <c r="AA193" s="433">
        <f t="shared" si="103"/>
        <v>1.2175901671479492</v>
      </c>
      <c r="AB193" s="433">
        <f t="shared" si="103"/>
        <v>1.2024054358708385</v>
      </c>
      <c r="AC193" s="433">
        <f t="shared" si="103"/>
        <v>1.1795846661636367</v>
      </c>
      <c r="AD193" s="433">
        <f t="shared" si="103"/>
        <v>1.1710350768047924</v>
      </c>
      <c r="AE193" s="433">
        <f t="shared" si="103"/>
        <v>1.1631088012139819</v>
      </c>
      <c r="AF193" s="433">
        <f t="shared" si="103"/>
        <v>1.1555657826112913</v>
      </c>
      <c r="AG193" s="433">
        <f t="shared" si="103"/>
        <v>1.1485358544416713</v>
      </c>
    </row>
    <row r="194" spans="1:33">
      <c r="A194" s="300" t="str">
        <f>A170</f>
        <v>FCET</v>
      </c>
      <c r="C194" s="433">
        <f t="shared" ref="C194:AG194" si="104">C170/C168</f>
        <v>1.6737562732700262</v>
      </c>
      <c r="D194" s="433">
        <f t="shared" si="104"/>
        <v>1.6507612357428039</v>
      </c>
      <c r="E194" s="433">
        <f t="shared" si="104"/>
        <v>1.6319955286785934</v>
      </c>
      <c r="F194" s="433">
        <f t="shared" si="104"/>
        <v>1.627839714753613</v>
      </c>
      <c r="G194" s="433">
        <f t="shared" si="104"/>
        <v>1.6276927145543258</v>
      </c>
      <c r="H194" s="433">
        <f t="shared" si="104"/>
        <v>1.6159682992814595</v>
      </c>
      <c r="I194" s="433">
        <f t="shared" si="104"/>
        <v>1.6305360990225599</v>
      </c>
      <c r="J194" s="433">
        <f t="shared" si="104"/>
        <v>1.6049225104421248</v>
      </c>
      <c r="K194" s="433">
        <f t="shared" si="104"/>
        <v>1.5867807031586634</v>
      </c>
      <c r="L194" s="433">
        <f t="shared" si="104"/>
        <v>1.5666448342056485</v>
      </c>
      <c r="M194" s="433">
        <f t="shared" si="104"/>
        <v>1.5444510785046786</v>
      </c>
      <c r="N194" s="433">
        <f t="shared" si="104"/>
        <v>1.5221170496341283</v>
      </c>
      <c r="O194" s="433">
        <f t="shared" si="104"/>
        <v>1.4945202984767445</v>
      </c>
      <c r="P194" s="433">
        <f t="shared" si="104"/>
        <v>1.468855674405285</v>
      </c>
      <c r="Q194" s="433">
        <f t="shared" si="104"/>
        <v>1.4429127465540932</v>
      </c>
      <c r="R194" s="433">
        <f t="shared" si="104"/>
        <v>1.4166400427314745</v>
      </c>
      <c r="S194" s="433">
        <f t="shared" si="104"/>
        <v>1.3697342110825861</v>
      </c>
      <c r="T194" s="433">
        <f t="shared" si="104"/>
        <v>1.3477502633567759</v>
      </c>
      <c r="U194" s="433">
        <f t="shared" si="104"/>
        <v>1.3276528854954293</v>
      </c>
      <c r="V194" s="433">
        <f t="shared" si="104"/>
        <v>1.3084306619884669</v>
      </c>
      <c r="W194" s="433">
        <f t="shared" si="104"/>
        <v>1.2900730311729853</v>
      </c>
      <c r="X194" s="433">
        <f t="shared" si="104"/>
        <v>1.2695626026796445</v>
      </c>
      <c r="Y194" s="433">
        <f t="shared" si="104"/>
        <v>1.2526020806230436</v>
      </c>
      <c r="Z194" s="433">
        <f t="shared" si="104"/>
        <v>1.2363618242504355</v>
      </c>
      <c r="AA194" s="433">
        <f t="shared" si="104"/>
        <v>1.2207883626674427</v>
      </c>
      <c r="AB194" s="433">
        <f t="shared" si="104"/>
        <v>1.2059244141875187</v>
      </c>
      <c r="AC194" s="433">
        <f t="shared" si="104"/>
        <v>1.1822412638423772</v>
      </c>
      <c r="AD194" s="433">
        <f t="shared" si="104"/>
        <v>1.1736042362196595</v>
      </c>
      <c r="AE194" s="433">
        <f t="shared" si="104"/>
        <v>1.1654141886441509</v>
      </c>
      <c r="AF194" s="433">
        <f t="shared" si="104"/>
        <v>1.1575784750042826</v>
      </c>
      <c r="AG194" s="433">
        <f t="shared" si="104"/>
        <v>1.1501008080068282</v>
      </c>
    </row>
    <row r="195" spans="1:33">
      <c r="C195" s="433"/>
      <c r="D195" s="433"/>
      <c r="E195" s="433"/>
      <c r="F195" s="433"/>
      <c r="G195" s="433"/>
      <c r="H195" s="433"/>
      <c r="I195" s="433"/>
      <c r="J195" s="433"/>
      <c r="K195" s="433"/>
      <c r="L195" s="433"/>
      <c r="M195" s="433"/>
      <c r="N195" s="433"/>
      <c r="O195" s="433"/>
      <c r="P195" s="433"/>
      <c r="Q195" s="433"/>
      <c r="R195" s="433"/>
      <c r="S195" s="433"/>
      <c r="T195" s="433"/>
      <c r="U195" s="433"/>
      <c r="V195" s="433"/>
      <c r="W195" s="433"/>
      <c r="X195" s="433"/>
      <c r="Y195" s="433"/>
      <c r="Z195" s="433"/>
      <c r="AA195" s="433"/>
      <c r="AB195" s="433"/>
      <c r="AC195" s="433"/>
      <c r="AD195" s="433"/>
      <c r="AE195" s="433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A1EF-0C5D-456F-AD63-4DDD060418C7}">
  <sheetPr>
    <tabColor rgb="FF0070C0"/>
  </sheetPr>
  <dimension ref="A1:AO200"/>
  <sheetViews>
    <sheetView workbookViewId="0">
      <pane xSplit="2" ySplit="4" topLeftCell="C13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ColWidth="9.109375" defaultRowHeight="14.4"/>
  <cols>
    <col min="1" max="1" width="30.6640625" style="300" customWidth="1"/>
    <col min="2" max="2" width="29" style="300" customWidth="1"/>
    <col min="3" max="3" width="15.44140625" style="340" customWidth="1"/>
    <col min="4" max="6" width="15.6640625" style="300" customWidth="1"/>
    <col min="7" max="31" width="14.44140625" style="300" customWidth="1"/>
    <col min="32" max="32" width="12.109375" style="300" bestFit="1" customWidth="1"/>
    <col min="33" max="33" width="13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68"/>
    </row>
    <row r="2" spans="1:21">
      <c r="A2" s="352" t="s">
        <v>868</v>
      </c>
      <c r="B2" s="352" t="str">
        <f>'No change with year'!B10</f>
        <v>Perishables</v>
      </c>
      <c r="F2" s="341" t="s">
        <v>249</v>
      </c>
      <c r="G2" s="341" t="s">
        <v>250</v>
      </c>
    </row>
    <row r="3" spans="1:21">
      <c r="A3" s="352" t="s">
        <v>4</v>
      </c>
      <c r="B3" s="352" t="str">
        <f>'No change with year'!C10</f>
        <v>15T Rigid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year'!AR10</f>
        <v>16000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year'!C81</f>
        <v>2000000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year'!C92</f>
        <v>2150000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year'!C105</f>
        <v>2580375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year'!C117</f>
        <v>3579200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year'!C129</f>
        <v>6545000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year'!C142</f>
        <v>10016400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year'!G10</f>
        <v>200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year'!J10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year'!I10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year'!AX10</f>
        <v>9500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year'!AY10</f>
        <v>7900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year'!AZ10</f>
        <v>8600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year'!C265</f>
        <v>5.3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year'!K10</f>
        <v>400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year'!L10</f>
        <v>300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year'!Q10</f>
        <v>6.666666666666667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year'!O10</f>
        <v>0.8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 ht="15.6">
      <c r="A27" s="328" t="s">
        <v>687</v>
      </c>
      <c r="B27" s="300" t="s">
        <v>198</v>
      </c>
      <c r="C27" s="345">
        <f>'No change with year'!D30</f>
        <v>7</v>
      </c>
      <c r="D27" s="347"/>
      <c r="E27" s="347"/>
    </row>
    <row r="28" spans="1:5" ht="15.6">
      <c r="A28" s="328" t="s">
        <v>688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C29" s="349">
        <f>'No change with year'!D32</f>
        <v>0.02</v>
      </c>
      <c r="D29" s="347"/>
      <c r="E29" s="347"/>
    </row>
    <row r="30" spans="1:5" ht="15.6">
      <c r="A30" s="328"/>
      <c r="C30" s="345"/>
      <c r="D30" s="347"/>
      <c r="E30" s="347"/>
    </row>
    <row r="31" spans="1:5" ht="15.6">
      <c r="C31" s="300"/>
      <c r="D31" s="347"/>
      <c r="E31" s="347"/>
    </row>
    <row r="32" spans="1:5">
      <c r="A32" s="328" t="s">
        <v>278</v>
      </c>
      <c r="B32" s="300" t="s">
        <v>198</v>
      </c>
      <c r="C32" s="325">
        <f>'No change with year'!D34</f>
        <v>0.5</v>
      </c>
      <c r="D32" s="325">
        <f>'No change with year'!H34</f>
        <v>0.3</v>
      </c>
      <c r="E32" s="325">
        <f>'No change with year'!I34</f>
        <v>0.25</v>
      </c>
    </row>
    <row r="33" spans="1:38">
      <c r="A33" s="328" t="s">
        <v>279</v>
      </c>
      <c r="C33" s="326">
        <f>'No change with year'!D36</f>
        <v>0.4</v>
      </c>
      <c r="D33" s="326"/>
      <c r="E33" s="326">
        <f>'No change with year'!I36</f>
        <v>0.35</v>
      </c>
    </row>
    <row r="34" spans="1:38">
      <c r="C34" s="300"/>
    </row>
    <row r="35" spans="1:38" s="352" customFormat="1">
      <c r="A35" s="350"/>
      <c r="B35" s="350"/>
      <c r="C35" s="351" t="s">
        <v>178</v>
      </c>
      <c r="D35" s="351" t="s">
        <v>179</v>
      </c>
      <c r="E35" s="351" t="s">
        <v>180</v>
      </c>
      <c r="F35" s="351" t="s">
        <v>181</v>
      </c>
      <c r="G35" s="351" t="s">
        <v>182</v>
      </c>
      <c r="H35" s="351" t="s">
        <v>239</v>
      </c>
    </row>
    <row r="36" spans="1:38">
      <c r="A36" s="328" t="s">
        <v>280</v>
      </c>
      <c r="B36" s="328" t="s">
        <v>281</v>
      </c>
      <c r="C36" s="353"/>
      <c r="D36" s="353"/>
      <c r="E36" s="354">
        <f>'No change with year'!$E$10</f>
        <v>157.5</v>
      </c>
      <c r="F36" s="355">
        <f>'No change with year'!$F$10</f>
        <v>28.2</v>
      </c>
      <c r="G36" s="328"/>
      <c r="H36" s="355">
        <f>'No change with year'!$H$10</f>
        <v>28.2</v>
      </c>
    </row>
    <row r="37" spans="1:38" ht="28.8">
      <c r="A37" s="296" t="s">
        <v>345</v>
      </c>
      <c r="B37" s="328" t="s">
        <v>346</v>
      </c>
      <c r="C37" s="358">
        <f>'No change with year'!S10</f>
        <v>6</v>
      </c>
      <c r="D37" s="358">
        <f>'No change with year'!T10</f>
        <v>6.3</v>
      </c>
      <c r="E37" s="358">
        <f>'No change with year'!U10</f>
        <v>6.15</v>
      </c>
      <c r="F37" s="358">
        <f>'No change with year'!V10</f>
        <v>18</v>
      </c>
      <c r="G37" s="357">
        <f>'No change with year'!$W$10</f>
        <v>0.85</v>
      </c>
      <c r="H37" s="358">
        <f>'No change with year'!X10</f>
        <v>24</v>
      </c>
    </row>
    <row r="38" spans="1:38" ht="28.8">
      <c r="A38" s="296" t="s">
        <v>283</v>
      </c>
      <c r="B38" s="296" t="s">
        <v>284</v>
      </c>
      <c r="C38" s="297">
        <f>($C$21*$C$22)/C37</f>
        <v>20000</v>
      </c>
      <c r="D38" s="297">
        <f>($C$21*$C$22)/D37</f>
        <v>19047.61904761905</v>
      </c>
      <c r="E38" s="297">
        <f>($C$21*$C$22)/E37</f>
        <v>19512.195121951219</v>
      </c>
      <c r="F38" s="297">
        <f>($C$21*$C$22)/F37</f>
        <v>6666.666666666667</v>
      </c>
      <c r="G38" s="297">
        <f>($C$21*$C$22*G37)</f>
        <v>102000</v>
      </c>
      <c r="H38" s="297">
        <f>($C$21*$C$22)/H37</f>
        <v>5000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 t="shared" ref="D40:AG40" si="0">C40+1</f>
        <v>2026</v>
      </c>
      <c r="E40" s="360">
        <f t="shared" si="0"/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">
        <v>74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">
        <v>75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 s="371" customFormat="1" ht="9.75" customHeight="1">
      <c r="A54" s="370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3"/>
    </row>
    <row r="55" spans="1:41">
      <c r="A55" s="328" t="s">
        <v>299</v>
      </c>
      <c r="B55" s="328" t="s">
        <v>300</v>
      </c>
      <c r="C55" s="338">
        <f>'Changing with year'!C158</f>
        <v>3.1</v>
      </c>
      <c r="D55" s="338">
        <f>'Changing with year'!D158</f>
        <v>3.2240000000000002</v>
      </c>
      <c r="E55" s="338">
        <f>'Changing with year'!E158</f>
        <v>3.3529600000000004</v>
      </c>
      <c r="F55" s="338">
        <f>'Changing with year'!F158</f>
        <v>3.4870784000000006</v>
      </c>
      <c r="G55" s="338">
        <f>'Changing with year'!G158</f>
        <v>3.6265615360000005</v>
      </c>
      <c r="H55" s="338">
        <f>'Changing with year'!H158</f>
        <v>3.7716239974400008</v>
      </c>
      <c r="I55" s="338">
        <f>'Changing with year'!I158</f>
        <v>3.9224889573376007</v>
      </c>
      <c r="J55" s="338">
        <f>'Changing with year'!J158</f>
        <v>4.0793885156311047</v>
      </c>
      <c r="K55" s="338">
        <f>'Changing with year'!K158</f>
        <v>4.2425640562563487</v>
      </c>
      <c r="L55" s="338">
        <f>'Changing with year'!L158</f>
        <v>4.4122666185066031</v>
      </c>
      <c r="M55" s="338">
        <f>'Changing with year'!M158</f>
        <v>4.588757283246867</v>
      </c>
      <c r="N55" s="338">
        <f>'Changing with year'!N158</f>
        <v>4.7723075745767423</v>
      </c>
      <c r="O55" s="338">
        <f>'Changing with year'!O158</f>
        <v>4.9631998775598118</v>
      </c>
      <c r="P55" s="338">
        <f>'Changing with year'!P158</f>
        <v>5.1617278726622047</v>
      </c>
      <c r="Q55" s="338">
        <f>'Changing with year'!Q158</f>
        <v>5.3681969875686928</v>
      </c>
      <c r="R55" s="338">
        <f>'Changing with year'!R158</f>
        <v>5.5829248670714406</v>
      </c>
      <c r="S55" s="338">
        <f>'Changing with year'!S158</f>
        <v>5.8062418617542981</v>
      </c>
      <c r="T55" s="338">
        <f>'Changing with year'!T158</f>
        <v>6.0384915362244707</v>
      </c>
      <c r="U55" s="338">
        <f>'Changing with year'!U158</f>
        <v>6.2800311976734493</v>
      </c>
      <c r="V55" s="338">
        <f>'Changing with year'!V158</f>
        <v>6.5312324455803878</v>
      </c>
      <c r="W55" s="338">
        <f>'Changing with year'!W158</f>
        <v>6.792481743403604</v>
      </c>
      <c r="X55" s="338">
        <f>'Changing with year'!X158</f>
        <v>7.0641810131397484</v>
      </c>
      <c r="Y55" s="338">
        <f>'Changing with year'!Y158</f>
        <v>7.3467482536653383</v>
      </c>
      <c r="Z55" s="338">
        <f>'Changing with year'!Z158</f>
        <v>7.6406181838119522</v>
      </c>
      <c r="AA55" s="338">
        <f>'Changing with year'!AA158</f>
        <v>7.9462429111644308</v>
      </c>
      <c r="AB55" s="338">
        <f>'Changing with year'!AB158</f>
        <v>8.2640926276110083</v>
      </c>
      <c r="AC55" s="338">
        <f>'Changing with year'!AC158</f>
        <v>8.5946563327154486</v>
      </c>
      <c r="AD55" s="338">
        <f>'Changing with year'!AD158</f>
        <v>8.9384425860240668</v>
      </c>
      <c r="AE55" s="338">
        <f>'Changing with year'!AE158</f>
        <v>9.2959802894650299</v>
      </c>
      <c r="AF55" s="338">
        <f>'Changing with year'!AF158</f>
        <v>9.6678195010436312</v>
      </c>
      <c r="AG55" s="338">
        <f>'Changing with year'!AG158</f>
        <v>10.054532281085377</v>
      </c>
      <c r="AH55" s="339"/>
    </row>
    <row r="56" spans="1:41">
      <c r="A56" s="328" t="s">
        <v>301</v>
      </c>
      <c r="B56" s="328" t="s">
        <v>300</v>
      </c>
      <c r="C56" s="338">
        <f>'Changing with year'!C190</f>
        <v>3.6</v>
      </c>
      <c r="D56" s="338">
        <f>'Changing with year'!D190</f>
        <v>3.7440000000000002</v>
      </c>
      <c r="E56" s="338">
        <f>'Changing with year'!E190</f>
        <v>3.8937600000000003</v>
      </c>
      <c r="F56" s="338">
        <f>'Changing with year'!F190</f>
        <v>4.0495104000000008</v>
      </c>
      <c r="G56" s="338">
        <f>'Changing with year'!G190</f>
        <v>4.2114908160000013</v>
      </c>
      <c r="H56" s="338">
        <f>'Changing with year'!H190</f>
        <v>4.3799504486400016</v>
      </c>
      <c r="I56" s="338">
        <f>'Changing with year'!I190</f>
        <v>4.5551484665856021</v>
      </c>
      <c r="J56" s="338">
        <f>'Changing with year'!J190</f>
        <v>4.7373544052490262</v>
      </c>
      <c r="K56" s="338">
        <f>'Changing with year'!K190</f>
        <v>4.9268485814589873</v>
      </c>
      <c r="L56" s="338">
        <f>'Changing with year'!L190</f>
        <v>5.1239225247173472</v>
      </c>
      <c r="M56" s="338">
        <f>'Changing with year'!M190</f>
        <v>5.3288794257060417</v>
      </c>
      <c r="N56" s="338">
        <f>'Changing with year'!N190</f>
        <v>5.5420346027342839</v>
      </c>
      <c r="O56" s="338">
        <f>'Changing with year'!O190</f>
        <v>5.7637159868436552</v>
      </c>
      <c r="P56" s="338">
        <f>'Changing with year'!P190</f>
        <v>5.9942646263174018</v>
      </c>
      <c r="Q56" s="338">
        <f>'Changing with year'!Q190</f>
        <v>6.2340352113700979</v>
      </c>
      <c r="R56" s="338">
        <f>'Changing with year'!R190</f>
        <v>6.4833966198249016</v>
      </c>
      <c r="S56" s="338">
        <f>'Changing with year'!S190</f>
        <v>6.742732484617898</v>
      </c>
      <c r="T56" s="338">
        <f>'Changing with year'!T190</f>
        <v>7.0124417840026139</v>
      </c>
      <c r="U56" s="338">
        <f>'Changing with year'!U190</f>
        <v>7.2929394553627187</v>
      </c>
      <c r="V56" s="338">
        <f>'Changing with year'!V190</f>
        <v>7.5846570335772281</v>
      </c>
      <c r="W56" s="338">
        <f>'Changing with year'!W190</f>
        <v>7.8880433149203171</v>
      </c>
      <c r="X56" s="338">
        <f>'Changing with year'!X190</f>
        <v>8.2035650475171309</v>
      </c>
      <c r="Y56" s="338">
        <f>'Changing with year'!Y190</f>
        <v>8.5317076494178163</v>
      </c>
      <c r="Z56" s="338">
        <f>'Changing with year'!Z190</f>
        <v>8.87297595539453</v>
      </c>
      <c r="AA56" s="338">
        <f>'Changing with year'!AA190</f>
        <v>9.2278949936103114</v>
      </c>
      <c r="AB56" s="338">
        <f>'Changing with year'!AB190</f>
        <v>9.5970107933547251</v>
      </c>
      <c r="AC56" s="338">
        <f>'Changing with year'!AC190</f>
        <v>9.9808912250889144</v>
      </c>
      <c r="AD56" s="338">
        <f>'Changing with year'!AD190</f>
        <v>10.380126874092472</v>
      </c>
      <c r="AE56" s="338">
        <f>'Changing with year'!AE190</f>
        <v>10.795331949056171</v>
      </c>
      <c r="AF56" s="338">
        <f>'Changing with year'!AF190</f>
        <v>11.227145227018418</v>
      </c>
      <c r="AG56" s="338">
        <f>'Changing with year'!AG190</f>
        <v>11.676231036099155</v>
      </c>
      <c r="AH56" s="339"/>
    </row>
    <row r="57" spans="1:41" ht="28.8">
      <c r="A57" s="337" t="s">
        <v>302</v>
      </c>
      <c r="B57" s="328" t="s">
        <v>300</v>
      </c>
      <c r="C57" s="338">
        <f>'Changing with year'!C222</f>
        <v>5.1981448468707354</v>
      </c>
      <c r="D57" s="338">
        <f>'Changing with year'!D222</f>
        <v>5.2228912256989668</v>
      </c>
      <c r="E57" s="338">
        <f>'Changing with year'!E222</f>
        <v>5.2532069450564931</v>
      </c>
      <c r="F57" s="338">
        <f>'Changing with year'!F222</f>
        <v>5.2892002914300811</v>
      </c>
      <c r="G57" s="338">
        <f>'Changing with year'!G222</f>
        <v>5.3309867449443278</v>
      </c>
      <c r="H57" s="338">
        <f>'Changing with year'!H222</f>
        <v>5.3786891955527212</v>
      </c>
      <c r="I57" s="338">
        <f>'Changing with year'!I222</f>
        <v>5.4448534461043856</v>
      </c>
      <c r="J57" s="338">
        <f>'Changing with year'!J222</f>
        <v>5.5166439330235271</v>
      </c>
      <c r="K57" s="338">
        <f>'Changing with year'!K222</f>
        <v>5.5942261124379344</v>
      </c>
      <c r="L57" s="338">
        <f>'Changing with year'!L222</f>
        <v>5.67777325058705</v>
      </c>
      <c r="M57" s="338">
        <f>'Changing with year'!M222</f>
        <v>5.7674667123890968</v>
      </c>
      <c r="N57" s="338">
        <f>'Changing with year'!N222</f>
        <v>5.8634962620276552</v>
      </c>
      <c r="O57" s="338">
        <f>'Changing with year'!O222</f>
        <v>5.9660603760288948</v>
      </c>
      <c r="P57" s="338">
        <f>'Changing with year'!P222</f>
        <v>6.0753665693197823</v>
      </c>
      <c r="Q57" s="338">
        <f>'Changing with year'!Q222</f>
        <v>6.1916317347773093</v>
      </c>
      <c r="R57" s="338">
        <f>'Changing with year'!R222</f>
        <v>6.3150824967994437</v>
      </c>
      <c r="S57" s="338">
        <f>'Changing with year'!S222</f>
        <v>6.4662439489867722</v>
      </c>
      <c r="T57" s="338">
        <f>'Changing with year'!T222</f>
        <v>6.6244662777384411</v>
      </c>
      <c r="U57" s="338">
        <f>'Changing with year'!U222</f>
        <v>6.7900217739322546</v>
      </c>
      <c r="V57" s="338">
        <f>'Changing with year'!V222</f>
        <v>6.9631937215229787</v>
      </c>
      <c r="W57" s="338">
        <f>'Changing with year'!W222</f>
        <v>7.1442768362509952</v>
      </c>
      <c r="X57" s="338">
        <f>'Changing with year'!X222</f>
        <v>7.3335777219094638</v>
      </c>
      <c r="Y57" s="338">
        <f>'Changing with year'!Y222</f>
        <v>7.5314153448721832</v>
      </c>
      <c r="Z57" s="338">
        <f>'Changing with year'!Z222</f>
        <v>7.7381215276125506</v>
      </c>
      <c r="AA57" s="338">
        <f>'Changing with year'!AA222</f>
        <v>7.9540414619730777</v>
      </c>
      <c r="AB57" s="338">
        <f>'Changing with year'!AB222</f>
        <v>8.1795342429754658</v>
      </c>
      <c r="AC57" s="338">
        <f>'Changing with year'!AC222</f>
        <v>8.4516702994734221</v>
      </c>
      <c r="AD57" s="338">
        <f>'Changing with year'!AD222</f>
        <v>8.7341413450990864</v>
      </c>
      <c r="AE57" s="338">
        <f>'Changing with year'!AE222</f>
        <v>9.0273552748862453</v>
      </c>
      <c r="AF57" s="338">
        <f>'Changing with year'!AF222</f>
        <v>9.3317362446247216</v>
      </c>
      <c r="AG57" s="338">
        <f>'Changing with year'!AG222</f>
        <v>9.6477253207401681</v>
      </c>
      <c r="AH57" s="339"/>
      <c r="AI57" s="339" t="e">
        <f>#REF!</f>
        <v>#REF!</v>
      </c>
    </row>
    <row r="58" spans="1:41">
      <c r="A58" s="328" t="s">
        <v>303</v>
      </c>
      <c r="B58" s="374" t="s">
        <v>300</v>
      </c>
      <c r="C58" s="338">
        <f>'Changing with year'!C254</f>
        <v>5.8050000000000006</v>
      </c>
      <c r="D58" s="338">
        <f>'Changing with year'!D254</f>
        <v>5.8145749999999996</v>
      </c>
      <c r="E58" s="338">
        <f>'Changing with year'!E254</f>
        <v>5.8300986249999998</v>
      </c>
      <c r="F58" s="338">
        <f>'Changing with year'!F254</f>
        <v>5.8516696793749992</v>
      </c>
      <c r="G58" s="338">
        <f>'Changing with year'!G254</f>
        <v>5.8793943981906249</v>
      </c>
      <c r="H58" s="338">
        <f>'Changing with year'!H254</f>
        <v>5.9133866574678597</v>
      </c>
      <c r="I58" s="338">
        <f>'Changing with year'!I254</f>
        <v>5.9688569587812221</v>
      </c>
      <c r="J58" s="338">
        <f>'Changing with year'!J254</f>
        <v>6.0301673754468261</v>
      </c>
      <c r="K58" s="338">
        <f>'Changing with year'!K254</f>
        <v>6.0974790860127674</v>
      </c>
      <c r="L58" s="338">
        <f>'Changing with year'!L254</f>
        <v>6.1709611646903859</v>
      </c>
      <c r="M58" s="338">
        <f>'Changing with year'!M254</f>
        <v>6.2507908682103652</v>
      </c>
      <c r="N58" s="338">
        <f>'Changing with year'!N254</f>
        <v>6.3371539347324983</v>
      </c>
      <c r="O58" s="338">
        <f>'Changing with year'!O254</f>
        <v>6.4302448952796407</v>
      </c>
      <c r="P58" s="338">
        <f>'Changing with year'!P254</f>
        <v>6.5302673981855133</v>
      </c>
      <c r="Q58" s="338">
        <f>'Changing with year'!Q254</f>
        <v>6.6374345470657259</v>
      </c>
      <c r="R58" s="338">
        <f>'Changing with year'!R254</f>
        <v>6.7519692528420912</v>
      </c>
      <c r="S58" s="338">
        <f>'Changing with year'!S254</f>
        <v>6.8987618374689932</v>
      </c>
      <c r="T58" s="338">
        <f>'Changing with year'!T254</f>
        <v>7.0526589873358398</v>
      </c>
      <c r="U58" s="338">
        <f>'Changing with year'!U254</f>
        <v>7.2139325564336794</v>
      </c>
      <c r="V58" s="338">
        <f>'Changing with year'!V254</f>
        <v>7.3828653961993886</v>
      </c>
      <c r="W58" s="338">
        <f>'Changing with year'!W254</f>
        <v>7.5597517941806416</v>
      </c>
      <c r="X58" s="338">
        <f>'Changing with year'!X254</f>
        <v>7.7448979302598122</v>
      </c>
      <c r="Y58" s="338">
        <f>'Changing with year'!Y254</f>
        <v>7.9386223511390313</v>
      </c>
      <c r="Z58" s="338">
        <f>'Changing with year'!Z254</f>
        <v>8.1412564638167293</v>
      </c>
      <c r="AA58" s="338">
        <f>'Changing with year'!AA254</f>
        <v>8.3531450488152146</v>
      </c>
      <c r="AB58" s="338">
        <f>'Changing with year'!AB254</f>
        <v>8.5746467939491815</v>
      </c>
      <c r="AC58" s="338">
        <f>'Changing with year'!AC254</f>
        <v>8.8507339759568744</v>
      </c>
      <c r="AD58" s="338">
        <f>'Changing with year'!AD254</f>
        <v>9.1371956583473732</v>
      </c>
      <c r="AE58" s="338">
        <f>'Changing with year'!AE254</f>
        <v>9.4344401312670154</v>
      </c>
      <c r="AF58" s="338">
        <f>'Changing with year'!AF254</f>
        <v>9.7428919495692998</v>
      </c>
      <c r="AG58" s="338">
        <f>'Changing with year'!AG254</f>
        <v>10.062992582734191</v>
      </c>
      <c r="AH58" s="339"/>
    </row>
    <row r="59" spans="1:41">
      <c r="A59" s="328" t="s">
        <v>304</v>
      </c>
      <c r="B59" s="374" t="s">
        <v>305</v>
      </c>
      <c r="C59" s="361">
        <f>'Changing with year'!C265*$C$21*$C$22</f>
        <v>636000</v>
      </c>
      <c r="D59" s="361">
        <f>'Changing with year'!D265*$C$21*$C$22</f>
        <v>642360</v>
      </c>
      <c r="E59" s="361">
        <f>'Changing with year'!E265*$C$21*$C$22</f>
        <v>648783.6</v>
      </c>
      <c r="F59" s="361">
        <f>'Changing with year'!F265*$C$21*$C$22</f>
        <v>655271.43599999999</v>
      </c>
      <c r="G59" s="361">
        <f>'Changing with year'!G265*$C$21*$C$22</f>
        <v>661824.15035999997</v>
      </c>
      <c r="H59" s="361">
        <f>'Changing with year'!H265*$C$21*$C$22</f>
        <v>668442.3918636</v>
      </c>
      <c r="I59" s="361">
        <f>'Changing with year'!I265*$C$21*$C$22</f>
        <v>675126.81578223605</v>
      </c>
      <c r="J59" s="361">
        <f>'Changing with year'!J265*$C$21*$C$22</f>
        <v>681878.08394005825</v>
      </c>
      <c r="K59" s="361">
        <f>'Changing with year'!K265*$C$21*$C$22</f>
        <v>688696.86477945896</v>
      </c>
      <c r="L59" s="361">
        <f>'Changing with year'!L265*$C$21*$C$22</f>
        <v>695583.83342725353</v>
      </c>
      <c r="M59" s="361">
        <f>'Changing with year'!M265*$C$21*$C$22</f>
        <v>702539.67176152603</v>
      </c>
      <c r="N59" s="361">
        <f>'Changing with year'!N265*$C$21*$C$22</f>
        <v>709565.06847914134</v>
      </c>
      <c r="O59" s="361">
        <f>'Changing with year'!O265*$C$21*$C$22</f>
        <v>716660.7191639326</v>
      </c>
      <c r="P59" s="361">
        <f>'Changing with year'!P265*$C$21*$C$22</f>
        <v>723827.32635557198</v>
      </c>
      <c r="Q59" s="361">
        <f>'Changing with year'!Q265*$C$21*$C$22</f>
        <v>731065.59961912769</v>
      </c>
      <c r="R59" s="361">
        <f>'Changing with year'!R265*$C$21*$C$22</f>
        <v>738376.25561531901</v>
      </c>
      <c r="S59" s="361">
        <f>'Changing with year'!S265*$C$21*$C$22</f>
        <v>745760.01817147224</v>
      </c>
      <c r="T59" s="361">
        <f>'Changing with year'!T265*$C$21*$C$22</f>
        <v>753217.61835318699</v>
      </c>
      <c r="U59" s="361">
        <f>'Changing with year'!U265*$C$21*$C$22</f>
        <v>760749.79453671887</v>
      </c>
      <c r="V59" s="361">
        <f>'Changing with year'!V265*$C$21*$C$22</f>
        <v>768357.29248208611</v>
      </c>
      <c r="W59" s="361">
        <f>'Changing with year'!W265*$C$21*$C$22</f>
        <v>776040.86540690705</v>
      </c>
      <c r="X59" s="361">
        <f>'Changing with year'!X265*$C$21*$C$22</f>
        <v>783801.27406097599</v>
      </c>
      <c r="Y59" s="361">
        <f>'Changing with year'!Y265*$C$21*$C$22</f>
        <v>791639.28680158569</v>
      </c>
      <c r="Z59" s="361">
        <f>'Changing with year'!Z265*$C$21*$C$22</f>
        <v>799555.67966960161</v>
      </c>
      <c r="AA59" s="361">
        <f>'Changing with year'!AA265*$C$21*$C$22</f>
        <v>807551.23646629776</v>
      </c>
      <c r="AB59" s="361">
        <f>'Changing with year'!AB265*$C$21*$C$22</f>
        <v>815626.74883096071</v>
      </c>
      <c r="AC59" s="361">
        <f>'Changing with year'!AC265*$C$21*$C$22</f>
        <v>823783.01631927036</v>
      </c>
      <c r="AD59" s="361">
        <f>'Changing with year'!AD265*$C$21*$C$22</f>
        <v>832020.84648246306</v>
      </c>
      <c r="AE59" s="361">
        <f>'Changing with year'!AE265*$C$21*$C$22</f>
        <v>840341.05494728766</v>
      </c>
      <c r="AF59" s="361">
        <f>'Changing with year'!AF265*$C$21*$C$22</f>
        <v>848744.46549676056</v>
      </c>
      <c r="AG59" s="361">
        <f>'Changing with year'!AG265*$C$21*$C$22</f>
        <v>857231.91015172808</v>
      </c>
      <c r="AH59" s="339"/>
      <c r="AI59" s="376"/>
      <c r="AJ59" s="376"/>
    </row>
    <row r="60" spans="1:41">
      <c r="A60" s="328" t="s">
        <v>306</v>
      </c>
      <c r="B60" s="374"/>
      <c r="C60" s="361">
        <f>'Changing with year'!C276*$C$21*$C$22</f>
        <v>636000</v>
      </c>
      <c r="D60" s="361">
        <f>'Changing with year'!D276*$C$21*$C$22</f>
        <v>642360</v>
      </c>
      <c r="E60" s="361">
        <f>'Changing with year'!E276*$C$21*$C$22</f>
        <v>648783.6</v>
      </c>
      <c r="F60" s="361">
        <f>'Changing with year'!F276*$C$21*$C$22</f>
        <v>655271.43599999999</v>
      </c>
      <c r="G60" s="361">
        <f>'Changing with year'!G276*$C$21*$C$22</f>
        <v>661824.15035999997</v>
      </c>
      <c r="H60" s="361">
        <f>'Changing with year'!H276*$C$21*$C$22</f>
        <v>668442.3918636</v>
      </c>
      <c r="I60" s="361">
        <f>'Changing with year'!I276*$C$21*$C$22</f>
        <v>675126.81578223605</v>
      </c>
      <c r="J60" s="361">
        <f>'Changing with year'!J276*$C$21*$C$22</f>
        <v>681878.08394005825</v>
      </c>
      <c r="K60" s="361">
        <f>'Changing with year'!K276*$C$21*$C$22</f>
        <v>688696.86477945896</v>
      </c>
      <c r="L60" s="361">
        <f>'Changing with year'!L276*$C$21*$C$22</f>
        <v>695583.83342725353</v>
      </c>
      <c r="M60" s="361">
        <f>'Changing with year'!M276*$C$21*$C$22</f>
        <v>702539.67176152603</v>
      </c>
      <c r="N60" s="361">
        <f>'Changing with year'!N276*$C$21*$C$22</f>
        <v>709565.06847914134</v>
      </c>
      <c r="O60" s="361">
        <f>'Changing with year'!O276*$C$21*$C$22</f>
        <v>716660.7191639326</v>
      </c>
      <c r="P60" s="361">
        <f>'Changing with year'!P276*$C$21*$C$22</f>
        <v>723827.32635557198</v>
      </c>
      <c r="Q60" s="361">
        <f>'Changing with year'!Q276*$C$21*$C$22</f>
        <v>731065.59961912769</v>
      </c>
      <c r="R60" s="361">
        <f>'Changing with year'!R276*$C$21*$C$22</f>
        <v>738376.25561531901</v>
      </c>
      <c r="S60" s="361">
        <f>'Changing with year'!S276*$C$21*$C$22</f>
        <v>745760.01817147224</v>
      </c>
      <c r="T60" s="361">
        <f>'Changing with year'!T276*$C$21*$C$22</f>
        <v>753217.61835318699</v>
      </c>
      <c r="U60" s="361">
        <f>'Changing with year'!U276*$C$21*$C$22</f>
        <v>760749.79453671887</v>
      </c>
      <c r="V60" s="361">
        <f>'Changing with year'!V276*$C$21*$C$22</f>
        <v>768357.29248208611</v>
      </c>
      <c r="W60" s="361">
        <f>'Changing with year'!W276*$C$21*$C$22</f>
        <v>776040.86540690705</v>
      </c>
      <c r="X60" s="361">
        <f>'Changing with year'!X276*$C$21*$C$22</f>
        <v>783801.27406097599</v>
      </c>
      <c r="Y60" s="361">
        <f>'Changing with year'!Y276*$C$21*$C$22</f>
        <v>791639.28680158569</v>
      </c>
      <c r="Z60" s="361">
        <f>'Changing with year'!Z276*$C$21*$C$22</f>
        <v>799555.67966960161</v>
      </c>
      <c r="AA60" s="361">
        <f>'Changing with year'!AA276*$C$21*$C$22</f>
        <v>807551.23646629776</v>
      </c>
      <c r="AB60" s="361">
        <f>'Changing with year'!AB276*$C$21*$C$22</f>
        <v>815626.74883096071</v>
      </c>
      <c r="AC60" s="361">
        <f>'Changing with year'!AC276*$C$21*$C$22</f>
        <v>823783.01631927036</v>
      </c>
      <c r="AD60" s="361">
        <f>'Changing with year'!AD276*$C$21*$C$22</f>
        <v>832020.84648246306</v>
      </c>
      <c r="AE60" s="361">
        <f>'Changing with year'!AE276*$C$21*$C$22</f>
        <v>840341.05494728766</v>
      </c>
      <c r="AF60" s="361">
        <f>'Changing with year'!AF276*$C$21*$C$22</f>
        <v>848744.46549676056</v>
      </c>
      <c r="AG60" s="361">
        <f>'Changing with year'!AG276*$C$21*$C$22</f>
        <v>857231.91015172808</v>
      </c>
      <c r="AH60" s="339"/>
      <c r="AI60" s="376"/>
      <c r="AJ60" s="376"/>
    </row>
    <row r="61" spans="1:41">
      <c r="C61" s="392"/>
      <c r="D61" s="392"/>
      <c r="E61" s="392"/>
      <c r="F61" s="392"/>
      <c r="G61" s="392"/>
    </row>
    <row r="62" spans="1:41">
      <c r="A62" s="360" t="s">
        <v>307</v>
      </c>
      <c r="B62" s="360"/>
      <c r="C62" s="360">
        <v>2025</v>
      </c>
      <c r="D62" s="360">
        <f t="shared" ref="D62:AG62" si="3">C62+1</f>
        <v>2026</v>
      </c>
      <c r="E62" s="360">
        <f t="shared" si="3"/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year'!C81</f>
        <v>2000000</v>
      </c>
      <c r="D63" s="376">
        <f>'Changing with year'!D81</f>
        <v>2060000</v>
      </c>
      <c r="E63" s="376">
        <f>'Changing with year'!E81</f>
        <v>2121800</v>
      </c>
      <c r="F63" s="376">
        <f>'Changing with year'!F81</f>
        <v>2185500</v>
      </c>
      <c r="G63" s="376">
        <f>'Changing with year'!G81</f>
        <v>2251100</v>
      </c>
      <c r="H63" s="376">
        <f>'Changing with year'!H81</f>
        <v>2718600</v>
      </c>
      <c r="I63" s="376">
        <f>'Changing with year'!I81</f>
        <v>2800200</v>
      </c>
      <c r="J63" s="376">
        <f>'Changing with year'!J81</f>
        <v>2884200</v>
      </c>
      <c r="K63" s="376">
        <f>'Changing with year'!K81</f>
        <v>2970700</v>
      </c>
      <c r="L63" s="376">
        <f>'Changing with year'!L81</f>
        <v>3059800</v>
      </c>
      <c r="M63" s="376">
        <f>'Changing with year'!M81</f>
        <v>3151600</v>
      </c>
      <c r="N63" s="376">
        <f>'Changing with year'!N81</f>
        <v>3246100</v>
      </c>
      <c r="O63" s="376">
        <f>'Changing with year'!O81</f>
        <v>3343500</v>
      </c>
      <c r="P63" s="376">
        <f>'Changing with year'!P81</f>
        <v>3443800</v>
      </c>
      <c r="Q63" s="376">
        <f>'Changing with year'!Q81</f>
        <v>3547100</v>
      </c>
      <c r="R63" s="376">
        <f>'Changing with year'!R81</f>
        <v>3653500</v>
      </c>
      <c r="S63" s="376">
        <f>'Changing with year'!S81</f>
        <v>3763100</v>
      </c>
      <c r="T63" s="376">
        <f>'Changing with year'!T81</f>
        <v>3876000</v>
      </c>
      <c r="U63" s="376">
        <f>'Changing with year'!U81</f>
        <v>3992300</v>
      </c>
      <c r="V63" s="376">
        <f>'Changing with year'!V81</f>
        <v>4112100</v>
      </c>
      <c r="W63" s="376">
        <f>'Changing with year'!W81</f>
        <v>4235500</v>
      </c>
      <c r="X63" s="376">
        <f>'Changing with year'!X81</f>
        <v>4362600</v>
      </c>
      <c r="Y63" s="376">
        <f>'Changing with year'!Y81</f>
        <v>4493500</v>
      </c>
      <c r="Z63" s="376">
        <f>'Changing with year'!Z81</f>
        <v>4628300</v>
      </c>
      <c r="AA63" s="376">
        <f>'Changing with year'!AA81</f>
        <v>4767100</v>
      </c>
      <c r="AB63" s="376">
        <f>'Changing with year'!AB81</f>
        <v>4910100</v>
      </c>
      <c r="AC63" s="376">
        <f>'Changing with year'!AC81</f>
        <v>5057400</v>
      </c>
      <c r="AD63" s="376">
        <f>'Changing with year'!AD81</f>
        <v>5209100</v>
      </c>
      <c r="AE63" s="376">
        <f>'Changing with year'!AE81</f>
        <v>5365400</v>
      </c>
      <c r="AF63" s="376">
        <f>'Changing with year'!AF81</f>
        <v>5526400</v>
      </c>
      <c r="AG63" s="376">
        <f>'Changing with year'!AG81</f>
        <v>5692200</v>
      </c>
    </row>
    <row r="64" spans="1:41">
      <c r="A64" s="368" t="s">
        <v>310</v>
      </c>
      <c r="B64" s="300" t="s">
        <v>309</v>
      </c>
      <c r="C64" s="376">
        <f>(C63*'No change with year'!$Y$10)</f>
        <v>1100000</v>
      </c>
      <c r="D64" s="376">
        <f>(D63*'No change with year'!$Y$10)</f>
        <v>1133000</v>
      </c>
      <c r="E64" s="376">
        <f>(E63*'No change with year'!$Y$10)</f>
        <v>1166990</v>
      </c>
      <c r="F64" s="376">
        <f>(F63*'No change with year'!$Y$10)</f>
        <v>1202025</v>
      </c>
      <c r="G64" s="376">
        <f>(G63*'No change with year'!$Y$10)</f>
        <v>1238105</v>
      </c>
      <c r="H64" s="376">
        <f>(H63*'No change with year'!$Y$10)</f>
        <v>1495230.0000000002</v>
      </c>
      <c r="I64" s="376">
        <f>(I63*'No change with year'!$Y$10)</f>
        <v>1540110.0000000002</v>
      </c>
      <c r="J64" s="376">
        <f>(J63*'No change with year'!$Y$10)</f>
        <v>1586310.0000000002</v>
      </c>
      <c r="K64" s="376">
        <f>(K63*'No change with year'!$Y$10)</f>
        <v>1633885.0000000002</v>
      </c>
      <c r="L64" s="376">
        <f>(L63*'No change with year'!$Y$10)</f>
        <v>1682890.0000000002</v>
      </c>
      <c r="M64" s="376">
        <f>(M63*'No change with year'!$Y$10)</f>
        <v>1733380.0000000002</v>
      </c>
      <c r="N64" s="376">
        <f>(N63*'No change with year'!$Z$10)</f>
        <v>1460745.0000000002</v>
      </c>
      <c r="O64" s="376">
        <f>(O63*'No change with year'!$Z$10)</f>
        <v>1504575.0000000002</v>
      </c>
      <c r="P64" s="376">
        <f>(P63*'No change with year'!$Z$10)</f>
        <v>1549710.0000000002</v>
      </c>
      <c r="Q64" s="376">
        <f>(Q63*'No change with year'!$Z$10)</f>
        <v>1596195.0000000002</v>
      </c>
      <c r="R64" s="376">
        <f>(R63*'No change with year'!$Z$10)</f>
        <v>1644075.0000000002</v>
      </c>
      <c r="S64" s="376">
        <f>(S63*'No change with year'!$Z$10)</f>
        <v>1693395.0000000002</v>
      </c>
      <c r="T64" s="376">
        <f>(T63*'No change with year'!$Z$10)</f>
        <v>1744200.0000000002</v>
      </c>
      <c r="U64" s="376">
        <f>(U63*'No change with year'!$Z$10)</f>
        <v>1796535.0000000002</v>
      </c>
      <c r="V64" s="376">
        <f>(V63*'No change with year'!$Z$10)</f>
        <v>1850445.0000000002</v>
      </c>
      <c r="W64" s="376">
        <f>(W63*'No change with year'!$Z$10)</f>
        <v>1905975.0000000002</v>
      </c>
      <c r="X64" s="376">
        <f>(X63*'No change with year'!$AA$10)</f>
        <v>1526910.0000000002</v>
      </c>
      <c r="Y64" s="376">
        <f>(Y63*'No change with year'!$AA$10)</f>
        <v>1572725.0000000002</v>
      </c>
      <c r="Z64" s="376">
        <f>(Z63*'No change with year'!$AA$10)</f>
        <v>1619905.0000000002</v>
      </c>
      <c r="AA64" s="376">
        <f>(AA63*'No change with year'!$AA$10)</f>
        <v>1668485.0000000002</v>
      </c>
      <c r="AB64" s="376">
        <f>(AB63*'No change with year'!$AA$10)</f>
        <v>1718535.0000000002</v>
      </c>
      <c r="AC64" s="376">
        <f>(AC63*'No change with year'!$AA$10)</f>
        <v>1770090.0000000002</v>
      </c>
      <c r="AD64" s="376">
        <f>(AD63*'No change with year'!$AA$10)</f>
        <v>1823185.0000000002</v>
      </c>
      <c r="AE64" s="376">
        <f>(AE63*'No change with year'!$AA$10)</f>
        <v>1877890.0000000002</v>
      </c>
      <c r="AF64" s="376">
        <f>(AF63*'No change with year'!$AA$10)</f>
        <v>1934240.0000000002</v>
      </c>
      <c r="AG64" s="376">
        <f>(AG63*'No change with year'!$AA$10)</f>
        <v>1992270.0000000002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438235.47180278174</v>
      </c>
      <c r="D66" s="376">
        <f t="shared" si="4"/>
        <v>451382.53595686518</v>
      </c>
      <c r="E66" s="376">
        <f t="shared" si="4"/>
        <v>464924.01203557116</v>
      </c>
      <c r="F66" s="376">
        <f t="shared" si="4"/>
        <v>478881.81181248976</v>
      </c>
      <c r="G66" s="376">
        <f t="shared" si="4"/>
        <v>493255.93528762099</v>
      </c>
      <c r="H66" s="376">
        <f t="shared" si="4"/>
        <v>595693.47682152118</v>
      </c>
      <c r="I66" s="376">
        <f t="shared" si="4"/>
        <v>613573.48407107475</v>
      </c>
      <c r="J66" s="376">
        <f t="shared" si="4"/>
        <v>631979.37388679152</v>
      </c>
      <c r="K66" s="376">
        <f t="shared" si="4"/>
        <v>650933.05804226187</v>
      </c>
      <c r="L66" s="376">
        <f t="shared" si="4"/>
        <v>670456.4483110758</v>
      </c>
      <c r="M66" s="376">
        <f t="shared" si="4"/>
        <v>690571.45646682347</v>
      </c>
      <c r="N66" s="376">
        <f t="shared" si="4"/>
        <v>711278.08250950486</v>
      </c>
      <c r="O66" s="376">
        <f t="shared" si="4"/>
        <v>732620.14998630038</v>
      </c>
      <c r="P66" s="376">
        <f t="shared" si="4"/>
        <v>754597.65889720991</v>
      </c>
      <c r="Q66" s="376">
        <f t="shared" si="4"/>
        <v>777232.52101582359</v>
      </c>
      <c r="R66" s="376">
        <f t="shared" si="4"/>
        <v>800546.64811573154</v>
      </c>
      <c r="S66" s="376">
        <f t="shared" si="4"/>
        <v>824561.95197052404</v>
      </c>
      <c r="T66" s="376">
        <f t="shared" si="4"/>
        <v>849300.34435379098</v>
      </c>
      <c r="U66" s="376">
        <f t="shared" si="4"/>
        <v>874783.73703912273</v>
      </c>
      <c r="V66" s="376">
        <f t="shared" si="4"/>
        <v>901034.04180010944</v>
      </c>
      <c r="W66" s="376">
        <f t="shared" si="4"/>
        <v>928073.170410341</v>
      </c>
      <c r="X66" s="376">
        <f t="shared" si="4"/>
        <v>955923.03464340779</v>
      </c>
      <c r="Y66" s="376">
        <f t="shared" si="4"/>
        <v>984605.54627289984</v>
      </c>
      <c r="Z66" s="376">
        <f t="shared" si="4"/>
        <v>1014142.6170724073</v>
      </c>
      <c r="AA66" s="376">
        <f t="shared" si="4"/>
        <v>1044556.1588155205</v>
      </c>
      <c r="AB66" s="376">
        <f t="shared" si="4"/>
        <v>1075889.9950494193</v>
      </c>
      <c r="AC66" s="376">
        <f t="shared" si="4"/>
        <v>1108166.0375476943</v>
      </c>
      <c r="AD66" s="376">
        <f t="shared" si="4"/>
        <v>1141406.1980839351</v>
      </c>
      <c r="AE66" s="376">
        <f t="shared" si="4"/>
        <v>1175654.3002053224</v>
      </c>
      <c r="AF66" s="376">
        <f t="shared" si="4"/>
        <v>1210932.2556854466</v>
      </c>
      <c r="AG66" s="376">
        <f t="shared" si="4"/>
        <v>1247261.9762978971</v>
      </c>
    </row>
    <row r="67" spans="1:35">
      <c r="A67" s="368" t="s">
        <v>314</v>
      </c>
      <c r="B67" s="368" t="s">
        <v>313</v>
      </c>
      <c r="C67" s="376">
        <f t="shared" ref="C67:AG67" si="5">C41*$C$38</f>
        <v>1778525.9221714281</v>
      </c>
      <c r="D67" s="376">
        <f t="shared" si="5"/>
        <v>1980000</v>
      </c>
      <c r="E67" s="376">
        <f t="shared" si="5"/>
        <v>2019600</v>
      </c>
      <c r="F67" s="376">
        <f t="shared" si="5"/>
        <v>2059992</v>
      </c>
      <c r="G67" s="376">
        <f t="shared" si="5"/>
        <v>2101191.8400000003</v>
      </c>
      <c r="H67" s="376">
        <f t="shared" si="5"/>
        <v>2143215.6768</v>
      </c>
      <c r="I67" s="376">
        <f t="shared" si="5"/>
        <v>2186079.990336</v>
      </c>
      <c r="J67" s="376">
        <f t="shared" si="5"/>
        <v>2229801.5901427199</v>
      </c>
      <c r="K67" s="376">
        <f t="shared" si="5"/>
        <v>2274397.6219455744</v>
      </c>
      <c r="L67" s="376">
        <f t="shared" si="5"/>
        <v>2319885.5743844863</v>
      </c>
      <c r="M67" s="376">
        <f t="shared" si="5"/>
        <v>2366283.2858721758</v>
      </c>
      <c r="N67" s="376">
        <f t="shared" si="5"/>
        <v>2413608.9515896193</v>
      </c>
      <c r="O67" s="376">
        <f t="shared" si="5"/>
        <v>2461881.1306214118</v>
      </c>
      <c r="P67" s="376">
        <f t="shared" si="5"/>
        <v>2511118.7532338398</v>
      </c>
      <c r="Q67" s="376">
        <f t="shared" si="5"/>
        <v>2561341.1282985169</v>
      </c>
      <c r="R67" s="376">
        <f t="shared" si="5"/>
        <v>2612567.9508644873</v>
      </c>
      <c r="S67" s="376">
        <f t="shared" si="5"/>
        <v>2664819.3098817775</v>
      </c>
      <c r="T67" s="376">
        <f t="shared" si="5"/>
        <v>2718115.6960794129</v>
      </c>
      <c r="U67" s="376">
        <f t="shared" si="5"/>
        <v>2772478.0100010014</v>
      </c>
      <c r="V67" s="376">
        <f t="shared" si="5"/>
        <v>2827927.5702010216</v>
      </c>
      <c r="W67" s="376">
        <f t="shared" si="5"/>
        <v>2884486.1216050419</v>
      </c>
      <c r="X67" s="376">
        <f t="shared" si="5"/>
        <v>2942175.844037143</v>
      </c>
      <c r="Y67" s="376">
        <f t="shared" si="5"/>
        <v>3001019.3609178858</v>
      </c>
      <c r="Z67" s="376">
        <f t="shared" si="5"/>
        <v>3061039.7481362433</v>
      </c>
      <c r="AA67" s="376">
        <f t="shared" si="5"/>
        <v>3122260.5430989685</v>
      </c>
      <c r="AB67" s="376">
        <f t="shared" si="5"/>
        <v>3184705.7539609475</v>
      </c>
      <c r="AC67" s="376">
        <f t="shared" si="5"/>
        <v>3248399.8690401665</v>
      </c>
      <c r="AD67" s="376">
        <f t="shared" si="5"/>
        <v>3313367.8664209698</v>
      </c>
      <c r="AE67" s="376">
        <f t="shared" si="5"/>
        <v>3379635.2237493894</v>
      </c>
      <c r="AF67" s="376">
        <f t="shared" si="5"/>
        <v>3447227.9282243773</v>
      </c>
      <c r="AG67" s="376">
        <f t="shared" si="5"/>
        <v>3516172.4867888647</v>
      </c>
    </row>
    <row r="68" spans="1:35">
      <c r="A68" s="368" t="s">
        <v>315</v>
      </c>
      <c r="B68" s="368" t="s">
        <v>313</v>
      </c>
      <c r="C68" s="329">
        <f t="shared" ref="C68:AG68" si="6">$C$38*$AH$68*C42</f>
        <v>55000</v>
      </c>
      <c r="D68" s="329">
        <f t="shared" si="6"/>
        <v>56374.999999999993</v>
      </c>
      <c r="E68" s="329">
        <f t="shared" si="6"/>
        <v>57784.374999999993</v>
      </c>
      <c r="F68" s="329">
        <f t="shared" si="6"/>
        <v>59228.984374999985</v>
      </c>
      <c r="G68" s="329">
        <f t="shared" si="6"/>
        <v>60709.708984374978</v>
      </c>
      <c r="H68" s="329">
        <f t="shared" si="6"/>
        <v>62227.45170898435</v>
      </c>
      <c r="I68" s="329">
        <f t="shared" si="6"/>
        <v>63783.138001708947</v>
      </c>
      <c r="J68" s="329">
        <f t="shared" si="6"/>
        <v>65377.716451751665</v>
      </c>
      <c r="K68" s="329">
        <f t="shared" si="6"/>
        <v>67012.159363045459</v>
      </c>
      <c r="L68" s="329">
        <f t="shared" si="6"/>
        <v>68687.463347121593</v>
      </c>
      <c r="M68" s="329">
        <f t="shared" si="6"/>
        <v>70404.649930799627</v>
      </c>
      <c r="N68" s="329">
        <f t="shared" si="6"/>
        <v>72164.7661790696</v>
      </c>
      <c r="O68" s="329">
        <f t="shared" si="6"/>
        <v>73968.885333546335</v>
      </c>
      <c r="P68" s="329">
        <f t="shared" si="6"/>
        <v>75818.107466884991</v>
      </c>
      <c r="Q68" s="329">
        <f t="shared" si="6"/>
        <v>77713.560153557104</v>
      </c>
      <c r="R68" s="329">
        <f t="shared" si="6"/>
        <v>79656.399157396037</v>
      </c>
      <c r="S68" s="329">
        <f t="shared" si="6"/>
        <v>81647.809136330936</v>
      </c>
      <c r="T68" s="329">
        <f t="shared" si="6"/>
        <v>83689.004364739201</v>
      </c>
      <c r="U68" s="329">
        <f t="shared" si="6"/>
        <v>85781.229473857675</v>
      </c>
      <c r="V68" s="329">
        <f t="shared" si="6"/>
        <v>87925.760210704117</v>
      </c>
      <c r="W68" s="329">
        <f t="shared" si="6"/>
        <v>90123.904215971706</v>
      </c>
      <c r="X68" s="329">
        <f t="shared" si="6"/>
        <v>92377.001821370999</v>
      </c>
      <c r="Y68" s="329">
        <f t="shared" si="6"/>
        <v>94686.426866905269</v>
      </c>
      <c r="Z68" s="329">
        <f t="shared" si="6"/>
        <v>97053.587538577893</v>
      </c>
      <c r="AA68" s="329">
        <f t="shared" si="6"/>
        <v>99479.927227042324</v>
      </c>
      <c r="AB68" s="329">
        <f t="shared" si="6"/>
        <v>101966.92540771837</v>
      </c>
      <c r="AC68" s="329">
        <f t="shared" si="6"/>
        <v>104516.09854291132</v>
      </c>
      <c r="AD68" s="329">
        <f t="shared" si="6"/>
        <v>107129.0010064841</v>
      </c>
      <c r="AE68" s="329">
        <f t="shared" si="6"/>
        <v>109807.22603164619</v>
      </c>
      <c r="AF68" s="329">
        <f t="shared" si="6"/>
        <v>112552.40668243733</v>
      </c>
      <c r="AG68" s="329">
        <f t="shared" si="6"/>
        <v>115366.21684949826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$C$22*$C$21*C55</f>
        <v>372000</v>
      </c>
      <c r="D69" s="376">
        <f t="shared" si="7"/>
        <v>386880</v>
      </c>
      <c r="E69" s="376">
        <f t="shared" si="7"/>
        <v>402355.20000000007</v>
      </c>
      <c r="F69" s="376">
        <f t="shared" si="7"/>
        <v>418449.40800000005</v>
      </c>
      <c r="G69" s="376">
        <f t="shared" si="7"/>
        <v>435187.38432000007</v>
      </c>
      <c r="H69" s="376">
        <f t="shared" si="7"/>
        <v>452594.87969280011</v>
      </c>
      <c r="I69" s="376">
        <f t="shared" si="7"/>
        <v>470698.67488051206</v>
      </c>
      <c r="J69" s="376">
        <f t="shared" si="7"/>
        <v>489526.62187573256</v>
      </c>
      <c r="K69" s="376">
        <f t="shared" si="7"/>
        <v>509107.68675076182</v>
      </c>
      <c r="L69" s="376">
        <f t="shared" si="7"/>
        <v>529471.99422079232</v>
      </c>
      <c r="M69" s="376">
        <f t="shared" si="7"/>
        <v>550650.87398962409</v>
      </c>
      <c r="N69" s="376">
        <f t="shared" si="7"/>
        <v>572676.90894920903</v>
      </c>
      <c r="O69" s="376">
        <f t="shared" si="7"/>
        <v>595583.98530717741</v>
      </c>
      <c r="P69" s="376">
        <f t="shared" si="7"/>
        <v>619407.34471946454</v>
      </c>
      <c r="Q69" s="376">
        <f t="shared" si="7"/>
        <v>644183.63850824314</v>
      </c>
      <c r="R69" s="376">
        <f t="shared" si="7"/>
        <v>669950.98404857283</v>
      </c>
      <c r="S69" s="376">
        <f t="shared" si="7"/>
        <v>696749.02341051574</v>
      </c>
      <c r="T69" s="376">
        <f t="shared" si="7"/>
        <v>724618.98434693646</v>
      </c>
      <c r="U69" s="376">
        <f t="shared" si="7"/>
        <v>753603.74372081389</v>
      </c>
      <c r="V69" s="376">
        <f t="shared" si="7"/>
        <v>783747.89346964657</v>
      </c>
      <c r="W69" s="376">
        <f t="shared" si="7"/>
        <v>815097.80920843245</v>
      </c>
      <c r="X69" s="376">
        <f t="shared" si="7"/>
        <v>847701.72157676984</v>
      </c>
      <c r="Y69" s="376">
        <f t="shared" si="7"/>
        <v>881609.79043984064</v>
      </c>
      <c r="Z69" s="376">
        <f t="shared" si="7"/>
        <v>916874.18205743423</v>
      </c>
      <c r="AA69" s="376">
        <f t="shared" si="7"/>
        <v>953549.14933973167</v>
      </c>
      <c r="AB69" s="376">
        <f t="shared" si="7"/>
        <v>991691.115313321</v>
      </c>
      <c r="AC69" s="376">
        <f t="shared" si="7"/>
        <v>1031358.7599258538</v>
      </c>
      <c r="AD69" s="376">
        <f t="shared" si="7"/>
        <v>1072613.110322888</v>
      </c>
      <c r="AE69" s="376">
        <f t="shared" si="7"/>
        <v>1115517.6347358036</v>
      </c>
      <c r="AF69" s="376">
        <f t="shared" si="7"/>
        <v>1160138.3401252357</v>
      </c>
      <c r="AG69" s="376">
        <f t="shared" si="7"/>
        <v>1206543.8737302453</v>
      </c>
    </row>
    <row r="70" spans="1:35">
      <c r="A70" s="368" t="s">
        <v>318</v>
      </c>
      <c r="B70" s="368" t="s">
        <v>313</v>
      </c>
      <c r="C70" s="376">
        <f>'Changing with year'!C287</f>
        <v>400000</v>
      </c>
      <c r="D70" s="376">
        <f>'Changing with year'!D287</f>
        <v>418000</v>
      </c>
      <c r="E70" s="376">
        <f>'Changing with year'!E287</f>
        <v>437000</v>
      </c>
      <c r="F70" s="376">
        <f>'Changing with year'!F287</f>
        <v>457000</v>
      </c>
      <c r="G70" s="376">
        <f>'Changing with year'!G287</f>
        <v>478000</v>
      </c>
      <c r="H70" s="376">
        <f>'Changing with year'!H287</f>
        <v>500000</v>
      </c>
      <c r="I70" s="376">
        <f>'Changing with year'!I287</f>
        <v>523000</v>
      </c>
      <c r="J70" s="376">
        <f>'Changing with year'!J287</f>
        <v>547000</v>
      </c>
      <c r="K70" s="376">
        <f>'Changing with year'!K287</f>
        <v>572000</v>
      </c>
      <c r="L70" s="376">
        <f>'Changing with year'!L287</f>
        <v>598000</v>
      </c>
      <c r="M70" s="376">
        <f>'Changing with year'!M287</f>
        <v>625000</v>
      </c>
      <c r="N70" s="376">
        <f>'Changing with year'!N287</f>
        <v>653000</v>
      </c>
      <c r="O70" s="376">
        <f>'Changing with year'!O287</f>
        <v>682000</v>
      </c>
      <c r="P70" s="376">
        <f>'Changing with year'!P287</f>
        <v>713000</v>
      </c>
      <c r="Q70" s="376">
        <f>'Changing with year'!Q287</f>
        <v>745000</v>
      </c>
      <c r="R70" s="376">
        <f>'Changing with year'!R287</f>
        <v>779000</v>
      </c>
      <c r="S70" s="376">
        <f>'Changing with year'!S287</f>
        <v>814000</v>
      </c>
      <c r="T70" s="376">
        <f>'Changing with year'!T287</f>
        <v>851000</v>
      </c>
      <c r="U70" s="376">
        <f>'Changing with year'!U287</f>
        <v>889000</v>
      </c>
      <c r="V70" s="376">
        <f>'Changing with year'!V287</f>
        <v>929000</v>
      </c>
      <c r="W70" s="376">
        <f>'Changing with year'!W287</f>
        <v>971000</v>
      </c>
      <c r="X70" s="376">
        <f>'Changing with year'!X287</f>
        <v>1015000</v>
      </c>
      <c r="Y70" s="376">
        <f>'Changing with year'!Y287</f>
        <v>1061000</v>
      </c>
      <c r="Z70" s="376">
        <f>'Changing with year'!Z287</f>
        <v>1109000</v>
      </c>
      <c r="AA70" s="376">
        <f>'Changing with year'!AA287</f>
        <v>1159000</v>
      </c>
      <c r="AB70" s="376">
        <f>'Changing with year'!AB287</f>
        <v>1211000</v>
      </c>
      <c r="AC70" s="376">
        <f>'Changing with year'!AC287</f>
        <v>1265000</v>
      </c>
      <c r="AD70" s="376">
        <f>'Changing with year'!AD287</f>
        <v>1322000</v>
      </c>
      <c r="AE70" s="376">
        <f>'Changing with year'!AE287</f>
        <v>1381000</v>
      </c>
      <c r="AF70" s="376">
        <f>'Changing with year'!AF287</f>
        <v>1443000</v>
      </c>
      <c r="AG70" s="376">
        <f>'Changing with year'!AG287</f>
        <v>1508000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C59</f>
        <v>636000</v>
      </c>
      <c r="D71" s="376">
        <f t="shared" si="8"/>
        <v>642360</v>
      </c>
      <c r="E71" s="376">
        <f t="shared" si="8"/>
        <v>648783.6</v>
      </c>
      <c r="F71" s="376">
        <f t="shared" si="8"/>
        <v>655271.43599999999</v>
      </c>
      <c r="G71" s="376">
        <f t="shared" si="8"/>
        <v>661824.15035999997</v>
      </c>
      <c r="H71" s="376">
        <f t="shared" si="8"/>
        <v>668442.3918636</v>
      </c>
      <c r="I71" s="376">
        <f t="shared" si="8"/>
        <v>675126.81578223605</v>
      </c>
      <c r="J71" s="376">
        <f t="shared" si="8"/>
        <v>681878.08394005825</v>
      </c>
      <c r="K71" s="376">
        <f t="shared" si="8"/>
        <v>688696.86477945896</v>
      </c>
      <c r="L71" s="376">
        <f t="shared" si="8"/>
        <v>695583.83342725353</v>
      </c>
      <c r="M71" s="376">
        <f t="shared" si="8"/>
        <v>702539.67176152603</v>
      </c>
      <c r="N71" s="376">
        <f t="shared" si="8"/>
        <v>709565.06847914134</v>
      </c>
      <c r="O71" s="376">
        <f t="shared" si="8"/>
        <v>716660.7191639326</v>
      </c>
      <c r="P71" s="376">
        <f t="shared" si="8"/>
        <v>723827.32635557198</v>
      </c>
      <c r="Q71" s="376">
        <f t="shared" si="8"/>
        <v>731065.59961912769</v>
      </c>
      <c r="R71" s="376">
        <f t="shared" si="8"/>
        <v>738376.25561531901</v>
      </c>
      <c r="S71" s="376">
        <f t="shared" si="8"/>
        <v>745760.01817147224</v>
      </c>
      <c r="T71" s="376">
        <f t="shared" si="8"/>
        <v>753217.61835318699</v>
      </c>
      <c r="U71" s="376">
        <f t="shared" si="8"/>
        <v>760749.79453671887</v>
      </c>
      <c r="V71" s="376">
        <f t="shared" si="8"/>
        <v>768357.29248208611</v>
      </c>
      <c r="W71" s="376">
        <f t="shared" si="8"/>
        <v>776040.86540690705</v>
      </c>
      <c r="X71" s="376">
        <f t="shared" si="8"/>
        <v>783801.27406097599</v>
      </c>
      <c r="Y71" s="376">
        <f t="shared" si="8"/>
        <v>791639.28680158569</v>
      </c>
      <c r="Z71" s="376">
        <f t="shared" si="8"/>
        <v>799555.67966960161</v>
      </c>
      <c r="AA71" s="376">
        <f t="shared" si="8"/>
        <v>807551.23646629776</v>
      </c>
      <c r="AB71" s="376">
        <f t="shared" si="8"/>
        <v>815626.74883096071</v>
      </c>
      <c r="AC71" s="376">
        <f t="shared" si="8"/>
        <v>823783.01631927036</v>
      </c>
      <c r="AD71" s="376">
        <f t="shared" si="8"/>
        <v>832020.84648246306</v>
      </c>
      <c r="AE71" s="376">
        <f t="shared" si="8"/>
        <v>840341.05494728766</v>
      </c>
      <c r="AF71" s="376">
        <f t="shared" si="8"/>
        <v>848744.46549676056</v>
      </c>
      <c r="AG71" s="376">
        <f t="shared" si="8"/>
        <v>857231.91015172808</v>
      </c>
    </row>
    <row r="72" spans="1:35">
      <c r="A72" s="300" t="s">
        <v>319</v>
      </c>
      <c r="B72" s="368" t="s">
        <v>313</v>
      </c>
      <c r="C72" s="376">
        <f t="shared" ref="C72:AG72" si="9">C63*$C$29</f>
        <v>40000</v>
      </c>
      <c r="D72" s="376">
        <f t="shared" si="9"/>
        <v>41200</v>
      </c>
      <c r="E72" s="376">
        <f t="shared" si="9"/>
        <v>42436</v>
      </c>
      <c r="F72" s="376">
        <f t="shared" si="9"/>
        <v>43710</v>
      </c>
      <c r="G72" s="376">
        <f t="shared" si="9"/>
        <v>45022</v>
      </c>
      <c r="H72" s="376">
        <f t="shared" si="9"/>
        <v>54372</v>
      </c>
      <c r="I72" s="376">
        <f t="shared" si="9"/>
        <v>56004</v>
      </c>
      <c r="J72" s="376">
        <f t="shared" si="9"/>
        <v>57684</v>
      </c>
      <c r="K72" s="376">
        <f t="shared" si="9"/>
        <v>59414</v>
      </c>
      <c r="L72" s="376">
        <f t="shared" si="9"/>
        <v>61196</v>
      </c>
      <c r="M72" s="376">
        <f t="shared" si="9"/>
        <v>63032</v>
      </c>
      <c r="N72" s="376">
        <f t="shared" si="9"/>
        <v>64922</v>
      </c>
      <c r="O72" s="376">
        <f t="shared" si="9"/>
        <v>66870</v>
      </c>
      <c r="P72" s="376">
        <f t="shared" si="9"/>
        <v>68876</v>
      </c>
      <c r="Q72" s="376">
        <f t="shared" si="9"/>
        <v>70942</v>
      </c>
      <c r="R72" s="376">
        <f t="shared" si="9"/>
        <v>73070</v>
      </c>
      <c r="S72" s="376">
        <f t="shared" si="9"/>
        <v>75262</v>
      </c>
      <c r="T72" s="376">
        <f t="shared" si="9"/>
        <v>77520</v>
      </c>
      <c r="U72" s="376">
        <f t="shared" si="9"/>
        <v>79846</v>
      </c>
      <c r="V72" s="376">
        <f t="shared" si="9"/>
        <v>82242</v>
      </c>
      <c r="W72" s="376">
        <f t="shared" si="9"/>
        <v>84710</v>
      </c>
      <c r="X72" s="376">
        <f t="shared" si="9"/>
        <v>87252</v>
      </c>
      <c r="Y72" s="376">
        <f t="shared" si="9"/>
        <v>89870</v>
      </c>
      <c r="Z72" s="376">
        <f t="shared" si="9"/>
        <v>92566</v>
      </c>
      <c r="AA72" s="376">
        <f t="shared" si="9"/>
        <v>95342</v>
      </c>
      <c r="AB72" s="376">
        <f t="shared" si="9"/>
        <v>98202</v>
      </c>
      <c r="AC72" s="376">
        <f t="shared" si="9"/>
        <v>101148</v>
      </c>
      <c r="AD72" s="376">
        <f t="shared" si="9"/>
        <v>104182</v>
      </c>
      <c r="AE72" s="376">
        <f t="shared" si="9"/>
        <v>107308</v>
      </c>
      <c r="AF72" s="376">
        <f t="shared" si="9"/>
        <v>110528</v>
      </c>
      <c r="AG72" s="376">
        <f t="shared" si="9"/>
        <v>113844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3.6519622650231813</v>
      </c>
      <c r="D74" s="379">
        <f t="shared" si="10"/>
        <v>3.7615211329738765</v>
      </c>
      <c r="E74" s="379">
        <f t="shared" si="10"/>
        <v>3.8743667669630928</v>
      </c>
      <c r="F74" s="379">
        <f t="shared" si="10"/>
        <v>3.9906817651040813</v>
      </c>
      <c r="G74" s="379">
        <f t="shared" si="10"/>
        <v>4.1104661273968413</v>
      </c>
      <c r="H74" s="379">
        <f t="shared" si="10"/>
        <v>4.96411230684601</v>
      </c>
      <c r="I74" s="379">
        <f t="shared" si="10"/>
        <v>5.1131123672589567</v>
      </c>
      <c r="J74" s="379">
        <f t="shared" si="10"/>
        <v>5.2664947823899295</v>
      </c>
      <c r="K74" s="379">
        <f t="shared" si="10"/>
        <v>5.4244421503521822</v>
      </c>
      <c r="L74" s="379">
        <f t="shared" si="10"/>
        <v>5.587137069258965</v>
      </c>
      <c r="M74" s="379">
        <f t="shared" si="10"/>
        <v>5.7547621372235289</v>
      </c>
      <c r="N74" s="379">
        <f t="shared" si="10"/>
        <v>5.9273173542458739</v>
      </c>
      <c r="O74" s="379">
        <f t="shared" si="10"/>
        <v>6.105167916552503</v>
      </c>
      <c r="P74" s="379">
        <f t="shared" si="10"/>
        <v>6.2883138241434162</v>
      </c>
      <c r="Q74" s="379">
        <f t="shared" si="10"/>
        <v>6.4769376751318628</v>
      </c>
      <c r="R74" s="379">
        <f t="shared" si="10"/>
        <v>6.6712220676310965</v>
      </c>
      <c r="S74" s="379">
        <f t="shared" si="10"/>
        <v>6.8713495997543665</v>
      </c>
      <c r="T74" s="379">
        <f t="shared" si="10"/>
        <v>7.0775028696149249</v>
      </c>
      <c r="U74" s="379">
        <f t="shared" si="10"/>
        <v>7.2898644753260227</v>
      </c>
      <c r="V74" s="379">
        <f t="shared" si="10"/>
        <v>7.5086170150009117</v>
      </c>
      <c r="W74" s="379">
        <f t="shared" si="10"/>
        <v>7.7339430867528414</v>
      </c>
      <c r="X74" s="379">
        <f t="shared" si="10"/>
        <v>7.9660252886950653</v>
      </c>
      <c r="Y74" s="379">
        <f t="shared" si="10"/>
        <v>8.2050462189408329</v>
      </c>
      <c r="Z74" s="379">
        <f t="shared" si="10"/>
        <v>8.4511884756033933</v>
      </c>
      <c r="AA74" s="379">
        <f t="shared" si="10"/>
        <v>8.7046346567960047</v>
      </c>
      <c r="AB74" s="379">
        <f t="shared" si="10"/>
        <v>8.9657499587451603</v>
      </c>
      <c r="AC74" s="379">
        <f t="shared" si="10"/>
        <v>9.2347169795641193</v>
      </c>
      <c r="AD74" s="379">
        <f t="shared" si="10"/>
        <v>9.5117183173661264</v>
      </c>
      <c r="AE74" s="379">
        <f t="shared" si="10"/>
        <v>9.7971191683776873</v>
      </c>
      <c r="AF74" s="379">
        <f t="shared" si="10"/>
        <v>10.091102130712054</v>
      </c>
      <c r="AG74" s="379">
        <f t="shared" si="10"/>
        <v>10.393849802482475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15.279382684761901</v>
      </c>
      <c r="D75" s="379">
        <f t="shared" si="11"/>
        <v>16.969791666666666</v>
      </c>
      <c r="E75" s="379">
        <f t="shared" si="11"/>
        <v>17.311536458333332</v>
      </c>
      <c r="F75" s="379">
        <f t="shared" si="11"/>
        <v>17.660174869791668</v>
      </c>
      <c r="G75" s="379">
        <f t="shared" si="11"/>
        <v>18.015846241536462</v>
      </c>
      <c r="H75" s="379">
        <f t="shared" si="11"/>
        <v>18.378692737574873</v>
      </c>
      <c r="I75" s="379">
        <f t="shared" si="11"/>
        <v>18.74885940281424</v>
      </c>
      <c r="J75" s="379">
        <f t="shared" si="11"/>
        <v>19.126494221620597</v>
      </c>
      <c r="K75" s="379">
        <f t="shared" si="11"/>
        <v>19.511748177571832</v>
      </c>
      <c r="L75" s="379">
        <f t="shared" si="11"/>
        <v>19.904775314430065</v>
      </c>
      <c r="M75" s="379">
        <f t="shared" si="11"/>
        <v>20.305732798358129</v>
      </c>
      <c r="N75" s="379">
        <f t="shared" si="11"/>
        <v>20.714780981405738</v>
      </c>
      <c r="O75" s="379">
        <f t="shared" si="11"/>
        <v>21.13208346629132</v>
      </c>
      <c r="P75" s="379">
        <f t="shared" si="11"/>
        <v>21.557807172506038</v>
      </c>
      <c r="Q75" s="379">
        <f t="shared" si="11"/>
        <v>21.992122403767283</v>
      </c>
      <c r="R75" s="379">
        <f t="shared" si="11"/>
        <v>22.435202916849029</v>
      </c>
      <c r="S75" s="379">
        <f t="shared" si="11"/>
        <v>22.887225991817573</v>
      </c>
      <c r="T75" s="379">
        <f t="shared" si="11"/>
        <v>23.348372503701267</v>
      </c>
      <c r="U75" s="379">
        <f t="shared" si="11"/>
        <v>23.818826995623827</v>
      </c>
      <c r="V75" s="379">
        <f t="shared" si="11"/>
        <v>24.298777753431047</v>
      </c>
      <c r="W75" s="379">
        <f t="shared" si="11"/>
        <v>24.78841688184178</v>
      </c>
      <c r="X75" s="379">
        <f t="shared" si="11"/>
        <v>25.287940382154282</v>
      </c>
      <c r="Y75" s="379">
        <f t="shared" si="11"/>
        <v>25.797548231539924</v>
      </c>
      <c r="Z75" s="379">
        <f t="shared" si="11"/>
        <v>26.317444463956846</v>
      </c>
      <c r="AA75" s="379">
        <f t="shared" si="11"/>
        <v>26.847837252716754</v>
      </c>
      <c r="AB75" s="379">
        <f t="shared" si="11"/>
        <v>27.388938994738883</v>
      </c>
      <c r="AC75" s="379">
        <f t="shared" si="11"/>
        <v>27.940966396525649</v>
      </c>
      <c r="AD75" s="379">
        <f t="shared" si="11"/>
        <v>28.504140561895451</v>
      </c>
      <c r="AE75" s="379">
        <f t="shared" si="11"/>
        <v>29.07868708150863</v>
      </c>
      <c r="AF75" s="379">
        <f t="shared" si="11"/>
        <v>29.664836124223456</v>
      </c>
      <c r="AG75" s="379">
        <f t="shared" si="11"/>
        <v>30.262822530319692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12.066666666666666</v>
      </c>
      <c r="D76" s="379">
        <f t="shared" si="12"/>
        <v>12.403666666666666</v>
      </c>
      <c r="E76" s="379">
        <f t="shared" si="12"/>
        <v>12.75479</v>
      </c>
      <c r="F76" s="379">
        <f t="shared" si="12"/>
        <v>13.120257033333333</v>
      </c>
      <c r="G76" s="379">
        <f t="shared" si="12"/>
        <v>13.500279455666668</v>
      </c>
      <c r="H76" s="379">
        <f t="shared" si="12"/>
        <v>13.961743929636668</v>
      </c>
      <c r="I76" s="379">
        <f t="shared" si="12"/>
        <v>14.373579088856234</v>
      </c>
      <c r="J76" s="379">
        <f t="shared" si="12"/>
        <v>14.800739215131589</v>
      </c>
      <c r="K76" s="379">
        <f t="shared" si="12"/>
        <v>15.243487929418505</v>
      </c>
      <c r="L76" s="379">
        <f t="shared" si="12"/>
        <v>15.702098563733717</v>
      </c>
      <c r="M76" s="379">
        <f t="shared" si="12"/>
        <v>16.176854547926251</v>
      </c>
      <c r="N76" s="379">
        <f t="shared" si="12"/>
        <v>16.668033145236251</v>
      </c>
      <c r="O76" s="379">
        <f t="shared" si="12"/>
        <v>17.175955870592585</v>
      </c>
      <c r="P76" s="379">
        <f t="shared" si="12"/>
        <v>17.709255592291971</v>
      </c>
      <c r="Q76" s="379">
        <f t="shared" si="12"/>
        <v>18.259926984394756</v>
      </c>
      <c r="R76" s="379">
        <f t="shared" si="12"/>
        <v>18.836643663865765</v>
      </c>
      <c r="S76" s="379">
        <f t="shared" si="12"/>
        <v>19.431425346516569</v>
      </c>
      <c r="T76" s="379">
        <f t="shared" si="12"/>
        <v>20.052971689167695</v>
      </c>
      <c r="U76" s="379">
        <f t="shared" si="12"/>
        <v>20.693329485479438</v>
      </c>
      <c r="V76" s="379">
        <f t="shared" si="12"/>
        <v>21.36122654959777</v>
      </c>
      <c r="W76" s="379">
        <f t="shared" si="12"/>
        <v>22.057072288461161</v>
      </c>
      <c r="X76" s="379">
        <f t="shared" si="12"/>
        <v>22.781291630314545</v>
      </c>
      <c r="Y76" s="379">
        <f t="shared" si="12"/>
        <v>23.534325643678553</v>
      </c>
      <c r="Z76" s="379">
        <f t="shared" si="12"/>
        <v>24.31663218105863</v>
      </c>
      <c r="AA76" s="379">
        <f t="shared" si="12"/>
        <v>25.12868654838358</v>
      </c>
      <c r="AB76" s="379">
        <f t="shared" si="12"/>
        <v>25.970998867869014</v>
      </c>
      <c r="AC76" s="379">
        <f t="shared" si="12"/>
        <v>26.844081468709369</v>
      </c>
      <c r="AD76" s="379">
        <f t="shared" si="12"/>
        <v>27.756799640044594</v>
      </c>
      <c r="AE76" s="379">
        <f t="shared" si="12"/>
        <v>28.701389080692429</v>
      </c>
      <c r="AF76" s="379">
        <f t="shared" si="12"/>
        <v>29.686756713516637</v>
      </c>
      <c r="AG76" s="379">
        <f t="shared" si="12"/>
        <v>30.713498199016442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1.3095238095238095</v>
      </c>
      <c r="D77" s="379">
        <f t="shared" si="13"/>
        <v>1.3488095238095239</v>
      </c>
      <c r="E77" s="379">
        <f t="shared" si="13"/>
        <v>1.3892738095238095</v>
      </c>
      <c r="F77" s="379">
        <f t="shared" si="13"/>
        <v>1.4309821428571428</v>
      </c>
      <c r="G77" s="379">
        <f t="shared" si="13"/>
        <v>1.4739345238095238</v>
      </c>
      <c r="H77" s="379">
        <f t="shared" si="13"/>
        <v>1.7800357142857146</v>
      </c>
      <c r="I77" s="379">
        <f t="shared" si="13"/>
        <v>1.833464285714286</v>
      </c>
      <c r="J77" s="379">
        <f t="shared" si="13"/>
        <v>1.8884642857142859</v>
      </c>
      <c r="K77" s="379">
        <f t="shared" si="13"/>
        <v>1.9451011904761908</v>
      </c>
      <c r="L77" s="379">
        <f t="shared" si="13"/>
        <v>2.0034404761904763</v>
      </c>
      <c r="M77" s="379">
        <f t="shared" si="13"/>
        <v>2.0635476190476192</v>
      </c>
      <c r="N77" s="379">
        <f t="shared" si="13"/>
        <v>1.738982142857143</v>
      </c>
      <c r="O77" s="379">
        <f t="shared" si="13"/>
        <v>1.7911607142857147</v>
      </c>
      <c r="P77" s="379">
        <f t="shared" si="13"/>
        <v>1.8448928571428573</v>
      </c>
      <c r="Q77" s="379">
        <f t="shared" si="13"/>
        <v>1.9002321428571431</v>
      </c>
      <c r="R77" s="379">
        <f t="shared" si="13"/>
        <v>1.9572321428571431</v>
      </c>
      <c r="S77" s="379">
        <f t="shared" si="13"/>
        <v>2.015946428571429</v>
      </c>
      <c r="T77" s="379">
        <f t="shared" si="13"/>
        <v>2.0764285714285715</v>
      </c>
      <c r="U77" s="379">
        <f t="shared" si="13"/>
        <v>2.1387321428571431</v>
      </c>
      <c r="V77" s="379">
        <f t="shared" si="13"/>
        <v>2.2029107142857147</v>
      </c>
      <c r="W77" s="379">
        <f t="shared" si="13"/>
        <v>2.2690178571428574</v>
      </c>
      <c r="X77" s="379">
        <f t="shared" si="13"/>
        <v>1.8177500000000002</v>
      </c>
      <c r="Y77" s="379">
        <f t="shared" si="13"/>
        <v>1.8722916666666669</v>
      </c>
      <c r="Z77" s="379">
        <f t="shared" si="13"/>
        <v>1.9284583333333336</v>
      </c>
      <c r="AA77" s="379">
        <f t="shared" si="13"/>
        <v>1.986291666666667</v>
      </c>
      <c r="AB77" s="379">
        <f t="shared" si="13"/>
        <v>2.0458750000000001</v>
      </c>
      <c r="AC77" s="379">
        <f t="shared" si="13"/>
        <v>2.1072500000000001</v>
      </c>
      <c r="AD77" s="379">
        <f t="shared" si="13"/>
        <v>2.1704583333333338</v>
      </c>
      <c r="AE77" s="379">
        <f t="shared" si="13"/>
        <v>2.2355833333333335</v>
      </c>
      <c r="AF77" s="379">
        <f t="shared" si="13"/>
        <v>2.3026666666666671</v>
      </c>
      <c r="AG77" s="379">
        <f t="shared" si="13"/>
        <v>2.3717500000000005</v>
      </c>
    </row>
    <row r="78" spans="1:35" s="352" customFormat="1">
      <c r="A78" s="380" t="s">
        <v>323</v>
      </c>
      <c r="B78" s="352" t="s">
        <v>300</v>
      </c>
      <c r="C78" s="381">
        <f t="shared" ref="C78:AG78" si="14">SUM(C74:C76)-C77</f>
        <v>29.688487806927938</v>
      </c>
      <c r="D78" s="381">
        <f t="shared" si="14"/>
        <v>31.786169942497683</v>
      </c>
      <c r="E78" s="381">
        <f t="shared" si="14"/>
        <v>32.551419415772621</v>
      </c>
      <c r="F78" s="381">
        <f t="shared" si="14"/>
        <v>33.340131525371945</v>
      </c>
      <c r="G78" s="381">
        <f t="shared" si="14"/>
        <v>34.152657300790445</v>
      </c>
      <c r="H78" s="381">
        <f t="shared" si="14"/>
        <v>35.524513259771837</v>
      </c>
      <c r="I78" s="381">
        <f t="shared" si="14"/>
        <v>36.402086573215144</v>
      </c>
      <c r="J78" s="381">
        <f t="shared" si="14"/>
        <v>37.305263933427831</v>
      </c>
      <c r="K78" s="381">
        <f t="shared" si="14"/>
        <v>38.234577066866322</v>
      </c>
      <c r="L78" s="381">
        <f t="shared" si="14"/>
        <v>39.19057047123227</v>
      </c>
      <c r="M78" s="381">
        <f t="shared" si="14"/>
        <v>40.173801864460295</v>
      </c>
      <c r="N78" s="381">
        <f t="shared" si="14"/>
        <v>41.571149338030722</v>
      </c>
      <c r="O78" s="381">
        <f t="shared" si="14"/>
        <v>42.622046539150695</v>
      </c>
      <c r="P78" s="381">
        <f t="shared" si="14"/>
        <v>43.710483731798568</v>
      </c>
      <c r="Q78" s="381">
        <f t="shared" si="14"/>
        <v>44.828754920436758</v>
      </c>
      <c r="R78" s="381">
        <f t="shared" si="14"/>
        <v>45.985836505488741</v>
      </c>
      <c r="S78" s="381">
        <f t="shared" si="14"/>
        <v>47.174054509517077</v>
      </c>
      <c r="T78" s="381">
        <f t="shared" si="14"/>
        <v>48.402418491055315</v>
      </c>
      <c r="U78" s="381">
        <f t="shared" si="14"/>
        <v>49.663288813572144</v>
      </c>
      <c r="V78" s="381">
        <f t="shared" si="14"/>
        <v>50.965710603744014</v>
      </c>
      <c r="W78" s="381">
        <f t="shared" si="14"/>
        <v>52.310414399912929</v>
      </c>
      <c r="X78" s="381">
        <f t="shared" si="14"/>
        <v>54.217507301163891</v>
      </c>
      <c r="Y78" s="381">
        <f t="shared" si="14"/>
        <v>55.664628427492644</v>
      </c>
      <c r="Z78" s="381">
        <f t="shared" si="14"/>
        <v>57.156806787285539</v>
      </c>
      <c r="AA78" s="381">
        <f t="shared" si="14"/>
        <v>58.694866791229678</v>
      </c>
      <c r="AB78" s="381">
        <f t="shared" si="14"/>
        <v>60.279812821353055</v>
      </c>
      <c r="AC78" s="381">
        <f t="shared" si="14"/>
        <v>61.912514844799141</v>
      </c>
      <c r="AD78" s="381">
        <f t="shared" si="14"/>
        <v>63.602200185972841</v>
      </c>
      <c r="AE78" s="381">
        <f t="shared" si="14"/>
        <v>65.341611997245408</v>
      </c>
      <c r="AF78" s="381">
        <f t="shared" si="14"/>
        <v>67.140028301785478</v>
      </c>
      <c r="AG78" s="381">
        <f t="shared" si="14"/>
        <v>68.99842053181861</v>
      </c>
    </row>
    <row r="79" spans="1:35" s="344" customFormat="1">
      <c r="A79" s="342" t="s">
        <v>179</v>
      </c>
      <c r="B79" s="342"/>
      <c r="H79" s="382">
        <f>H81/K58</f>
        <v>474366.40928872942</v>
      </c>
      <c r="AB79" s="382">
        <f>AB81/AE58</f>
        <v>553723.058277837</v>
      </c>
    </row>
    <row r="80" spans="1:35">
      <c r="A80" s="360" t="s">
        <v>41</v>
      </c>
      <c r="B80" s="360"/>
      <c r="C80" s="360">
        <v>2025</v>
      </c>
      <c r="D80" s="360">
        <f t="shared" ref="D80:AG80" si="15">C80+1</f>
        <v>2026</v>
      </c>
      <c r="E80" s="360">
        <f t="shared" si="15"/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year'!C92</f>
        <v>2150000</v>
      </c>
      <c r="D81" s="376">
        <f>'Changing with year'!D92</f>
        <v>2214500</v>
      </c>
      <c r="E81" s="376">
        <f>'Changing with year'!E92</f>
        <v>2280935</v>
      </c>
      <c r="F81" s="376">
        <f>'Changing with year'!F92</f>
        <v>2349363.0500000003</v>
      </c>
      <c r="G81" s="376">
        <f>'Changing with year'!G92</f>
        <v>2419843.9415000002</v>
      </c>
      <c r="H81" s="376">
        <f>'Changing with year'!H92</f>
        <v>2892439.2597450004</v>
      </c>
      <c r="I81" s="376">
        <f>'Changing with year'!I92</f>
        <v>2979212.4375373507</v>
      </c>
      <c r="J81" s="376">
        <f>'Changing with year'!J92</f>
        <v>3068588.8106634715</v>
      </c>
      <c r="K81" s="376">
        <f>'Changing with year'!K92</f>
        <v>3160646.4749833755</v>
      </c>
      <c r="L81" s="376">
        <f>'Changing with year'!L92</f>
        <v>3255465.8692328767</v>
      </c>
      <c r="M81" s="376">
        <f>'Changing with year'!M92</f>
        <v>3353129.8453098629</v>
      </c>
      <c r="N81" s="376">
        <f>'Changing with year'!N92</f>
        <v>3453723.7406691588</v>
      </c>
      <c r="O81" s="376">
        <f>'Changing with year'!O92</f>
        <v>3557335.4528892338</v>
      </c>
      <c r="P81" s="376">
        <f>'Changing with year'!P92</f>
        <v>3664055.5164759108</v>
      </c>
      <c r="Q81" s="376">
        <f>'Changing with year'!Q92</f>
        <v>3773977.1819701884</v>
      </c>
      <c r="R81" s="376">
        <f>'Changing with year'!R92</f>
        <v>3887196.497429294</v>
      </c>
      <c r="S81" s="376">
        <f>'Changing with year'!S92</f>
        <v>4003812.3923521731</v>
      </c>
      <c r="T81" s="376">
        <f>'Changing with year'!T92</f>
        <v>4123926.7641227385</v>
      </c>
      <c r="U81" s="376">
        <f>'Changing with year'!U92</f>
        <v>4247644.5670464206</v>
      </c>
      <c r="V81" s="376">
        <f>'Changing with year'!V92</f>
        <v>4375073.9040578138</v>
      </c>
      <c r="W81" s="376">
        <f>'Changing with year'!W92</f>
        <v>4506326.1211795481</v>
      </c>
      <c r="X81" s="376">
        <f>'Changing with year'!X92</f>
        <v>4641515.9048149344</v>
      </c>
      <c r="Y81" s="376">
        <f>'Changing with year'!Y92</f>
        <v>4780761.3819593824</v>
      </c>
      <c r="Z81" s="376">
        <f>'Changing with year'!Z92</f>
        <v>4924184.2234181641</v>
      </c>
      <c r="AA81" s="376">
        <f>'Changing with year'!AA92</f>
        <v>5071909.7501207087</v>
      </c>
      <c r="AB81" s="376">
        <f>'Changing with year'!AB92</f>
        <v>5224067.0426243301</v>
      </c>
      <c r="AC81" s="376">
        <f>'Changing with year'!AC92</f>
        <v>5380789.05390306</v>
      </c>
      <c r="AD81" s="376">
        <f>'Changing with year'!AD92</f>
        <v>5542212.7255201517</v>
      </c>
      <c r="AE81" s="376">
        <f>'Changing with year'!AE92</f>
        <v>5708479.1072857566</v>
      </c>
      <c r="AF81" s="376">
        <f>'Changing with year'!AF92</f>
        <v>5879733.4805043293</v>
      </c>
      <c r="AG81" s="376">
        <f>'Changing with year'!AG92</f>
        <v>6056125.4849194596</v>
      </c>
    </row>
    <row r="82" spans="1:34">
      <c r="A82" s="368" t="s">
        <v>310</v>
      </c>
      <c r="B82" s="300" t="s">
        <v>309</v>
      </c>
      <c r="C82" s="376">
        <f>(C81*'No change with year'!$AB$10)</f>
        <v>1075000</v>
      </c>
      <c r="D82" s="376">
        <f>(D81*'No change with year'!$AB$10)</f>
        <v>1107250</v>
      </c>
      <c r="E82" s="376">
        <f>(E81*'No change with year'!$AB$10)</f>
        <v>1140467.5</v>
      </c>
      <c r="F82" s="376">
        <f>(F81*'No change with year'!$AB$10)</f>
        <v>1174681.5250000001</v>
      </c>
      <c r="G82" s="376">
        <f>(G81*'No change with year'!$AB$10)</f>
        <v>1209921.9707500001</v>
      </c>
      <c r="H82" s="376">
        <f>(H81*'No change with year'!$AB$10)</f>
        <v>1446219.6298725002</v>
      </c>
      <c r="I82" s="376">
        <f>(I81*'No change with year'!$AB$10)</f>
        <v>1489606.2187686753</v>
      </c>
      <c r="J82" s="376">
        <f>(J81*'No change with year'!$AB$10)</f>
        <v>1534294.4053317357</v>
      </c>
      <c r="K82" s="376">
        <f>(K81*'No change with year'!$AB$10)</f>
        <v>1580323.2374916878</v>
      </c>
      <c r="L82" s="376">
        <f>(L81*'No change with year'!$AB$10)</f>
        <v>1627732.9346164383</v>
      </c>
      <c r="M82" s="376">
        <f>(M81*'No change with year'!$AB$10)</f>
        <v>1676564.9226549314</v>
      </c>
      <c r="N82" s="376">
        <f>(N81*'No change with year'!$AC$10)</f>
        <v>1381489.4962676638</v>
      </c>
      <c r="O82" s="376">
        <f>(O81*'No change with year'!$AC$10)</f>
        <v>1422934.1811556937</v>
      </c>
      <c r="P82" s="376">
        <f>(P81*'No change with year'!$AC$10)</f>
        <v>1465622.2065903647</v>
      </c>
      <c r="Q82" s="376">
        <f>(Q81*'No change with year'!$AC$10)</f>
        <v>1509590.8727880756</v>
      </c>
      <c r="R82" s="376">
        <f>(R81*'No change with year'!$AC$10)</f>
        <v>1554878.598971718</v>
      </c>
      <c r="S82" s="376">
        <f>(S81*'No change with year'!$AC$10)</f>
        <v>1601524.9569408696</v>
      </c>
      <c r="T82" s="376">
        <f>(T81*'No change with year'!$AC$10)</f>
        <v>1649570.7056490958</v>
      </c>
      <c r="U82" s="376">
        <f>(U81*'No change with year'!$AC$10)</f>
        <v>1699057.8268185686</v>
      </c>
      <c r="V82" s="376">
        <f>(V81*'No change with year'!$AC$10)</f>
        <v>1750029.5616231258</v>
      </c>
      <c r="W82" s="376">
        <f>(W81*'No change with year'!$AC$10)</f>
        <v>1802530.4484718195</v>
      </c>
      <c r="X82" s="376">
        <f>(X81*'No change with year'!$AD$10)</f>
        <v>1392454.7714444804</v>
      </c>
      <c r="Y82" s="376">
        <f>(Y81*'No change with year'!$AD$10)</f>
        <v>1434228.4145878151</v>
      </c>
      <c r="Z82" s="376">
        <f>(Z81*'No change with year'!$AD$10)</f>
        <v>1477255.2670254495</v>
      </c>
      <c r="AA82" s="376">
        <f>(AA81*'No change with year'!$AD$10)</f>
        <v>1521572.9250362129</v>
      </c>
      <c r="AB82" s="376">
        <f>(AB81*'No change with year'!$AD$10)</f>
        <v>1567220.1127872993</v>
      </c>
      <c r="AC82" s="376">
        <f>(AC81*'No change with year'!$AD$10)</f>
        <v>1614236.7161709182</v>
      </c>
      <c r="AD82" s="376">
        <f>(AD81*'No change with year'!$AD$10)</f>
        <v>1662663.8176560458</v>
      </c>
      <c r="AE82" s="376">
        <f>(AE81*'No change with year'!$AD$10)</f>
        <v>1712543.7321857272</v>
      </c>
      <c r="AF82" s="376">
        <f>(AF81*'No change with year'!$AD$10)</f>
        <v>1763920.0441512992</v>
      </c>
      <c r="AG82" s="376">
        <f>(AG81*'No change with year'!$AD$10)</f>
        <v>1816837.6454758381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471103.13218799041</v>
      </c>
      <c r="D84" s="376">
        <f t="shared" si="16"/>
        <v>485236.22615363012</v>
      </c>
      <c r="E84" s="376">
        <f t="shared" si="16"/>
        <v>499793.31293823896</v>
      </c>
      <c r="F84" s="376">
        <f t="shared" si="16"/>
        <v>514787.11232638621</v>
      </c>
      <c r="G84" s="376">
        <f t="shared" si="16"/>
        <v>530230.7256961778</v>
      </c>
      <c r="H84" s="376">
        <f t="shared" si="16"/>
        <v>633784.74182761949</v>
      </c>
      <c r="I84" s="376">
        <f t="shared" si="16"/>
        <v>652798.28408244823</v>
      </c>
      <c r="J84" s="376">
        <f t="shared" si="16"/>
        <v>672382.23260492168</v>
      </c>
      <c r="K84" s="376">
        <f t="shared" si="16"/>
        <v>692553.6995830693</v>
      </c>
      <c r="L84" s="376">
        <f t="shared" si="16"/>
        <v>713330.31057056133</v>
      </c>
      <c r="M84" s="376">
        <f t="shared" si="16"/>
        <v>734730.21988767816</v>
      </c>
      <c r="N84" s="376">
        <f t="shared" si="16"/>
        <v>756772.12648430851</v>
      </c>
      <c r="O84" s="376">
        <f t="shared" si="16"/>
        <v>779475.2902788379</v>
      </c>
      <c r="P84" s="376">
        <f t="shared" si="16"/>
        <v>802859.54898720304</v>
      </c>
      <c r="Q84" s="376">
        <f t="shared" si="16"/>
        <v>826945.33545681904</v>
      </c>
      <c r="R84" s="376">
        <f t="shared" si="16"/>
        <v>851753.6955205237</v>
      </c>
      <c r="S84" s="376">
        <f t="shared" si="16"/>
        <v>877306.30638613948</v>
      </c>
      <c r="T84" s="376">
        <f t="shared" si="16"/>
        <v>903625.4955777236</v>
      </c>
      <c r="U84" s="376">
        <f t="shared" si="16"/>
        <v>930734.26044505544</v>
      </c>
      <c r="V84" s="376">
        <f t="shared" si="16"/>
        <v>958656.28825840715</v>
      </c>
      <c r="W84" s="376">
        <f t="shared" si="16"/>
        <v>987415.97690615943</v>
      </c>
      <c r="X84" s="376">
        <f t="shared" si="16"/>
        <v>1017038.456213344</v>
      </c>
      <c r="Y84" s="376">
        <f t="shared" si="16"/>
        <v>1047549.6098997444</v>
      </c>
      <c r="Z84" s="376">
        <f t="shared" si="16"/>
        <v>1078976.0981967368</v>
      </c>
      <c r="AA84" s="376">
        <f t="shared" si="16"/>
        <v>1111345.3811426389</v>
      </c>
      <c r="AB84" s="376">
        <f t="shared" si="16"/>
        <v>1144685.7425769181</v>
      </c>
      <c r="AC84" s="376">
        <f t="shared" si="16"/>
        <v>1179026.3148542256</v>
      </c>
      <c r="AD84" s="376">
        <f t="shared" si="16"/>
        <v>1214397.1042998522</v>
      </c>
      <c r="AE84" s="376">
        <f t="shared" si="16"/>
        <v>1250829.017428848</v>
      </c>
      <c r="AF84" s="376">
        <f t="shared" si="16"/>
        <v>1288353.8879517133</v>
      </c>
      <c r="AG84" s="376">
        <f t="shared" si="16"/>
        <v>1327004.5045902648</v>
      </c>
    </row>
    <row r="85" spans="1:34">
      <c r="A85" s="300" t="s">
        <v>321</v>
      </c>
      <c r="B85" s="300" t="s">
        <v>309</v>
      </c>
      <c r="C85" s="376">
        <f t="shared" ref="C85:AG85" si="17">C43*$D$38</f>
        <v>1657142.8571428573</v>
      </c>
      <c r="D85" s="376">
        <f t="shared" si="17"/>
        <v>1742857.142857143</v>
      </c>
      <c r="E85" s="376">
        <f t="shared" si="17"/>
        <v>1795142.8571428575</v>
      </c>
      <c r="F85" s="376">
        <f t="shared" si="17"/>
        <v>1848997.142857143</v>
      </c>
      <c r="G85" s="376">
        <f t="shared" si="17"/>
        <v>1904467.0571428575</v>
      </c>
      <c r="H85" s="376">
        <f t="shared" si="17"/>
        <v>1961601.0688571432</v>
      </c>
      <c r="I85" s="376">
        <f t="shared" si="17"/>
        <v>2020449.1009228574</v>
      </c>
      <c r="J85" s="376">
        <f t="shared" si="17"/>
        <v>2081062.5739505431</v>
      </c>
      <c r="K85" s="376">
        <f t="shared" si="17"/>
        <v>2143494.4511690596</v>
      </c>
      <c r="L85" s="376">
        <f t="shared" si="17"/>
        <v>2207799.2847041315</v>
      </c>
      <c r="M85" s="376">
        <f t="shared" si="17"/>
        <v>2274033.2632452552</v>
      </c>
      <c r="N85" s="376">
        <f t="shared" si="17"/>
        <v>2342254.2611426129</v>
      </c>
      <c r="O85" s="376">
        <f t="shared" si="17"/>
        <v>2412521.8889768915</v>
      </c>
      <c r="P85" s="376">
        <f t="shared" si="17"/>
        <v>2484897.5456461981</v>
      </c>
      <c r="Q85" s="376">
        <f t="shared" si="17"/>
        <v>2559444.4720155839</v>
      </c>
      <c r="R85" s="376">
        <f t="shared" si="17"/>
        <v>2636227.8061760515</v>
      </c>
      <c r="S85" s="376">
        <f t="shared" si="17"/>
        <v>2715314.6403613328</v>
      </c>
      <c r="T85" s="376">
        <f t="shared" si="17"/>
        <v>2796774.0795721728</v>
      </c>
      <c r="U85" s="376">
        <f t="shared" si="17"/>
        <v>2880677.3019593381</v>
      </c>
      <c r="V85" s="376">
        <f t="shared" si="17"/>
        <v>2967097.6210181182</v>
      </c>
      <c r="W85" s="376">
        <f t="shared" si="17"/>
        <v>3056110.5496486621</v>
      </c>
      <c r="X85" s="376">
        <f t="shared" si="17"/>
        <v>3147793.8661381216</v>
      </c>
      <c r="Y85" s="376">
        <f t="shared" si="17"/>
        <v>3242227.682122265</v>
      </c>
      <c r="Z85" s="376">
        <f t="shared" si="17"/>
        <v>3339494.5125859329</v>
      </c>
      <c r="AA85" s="376">
        <f t="shared" si="17"/>
        <v>3439679.347963511</v>
      </c>
      <c r="AB85" s="376">
        <f t="shared" si="17"/>
        <v>3542869.7284024162</v>
      </c>
      <c r="AC85" s="376">
        <f t="shared" si="17"/>
        <v>3649155.8202544893</v>
      </c>
      <c r="AD85" s="376">
        <f t="shared" si="17"/>
        <v>3758630.4948621243</v>
      </c>
      <c r="AE85" s="376">
        <f t="shared" si="17"/>
        <v>3871389.4097079877</v>
      </c>
      <c r="AF85" s="376">
        <f t="shared" si="17"/>
        <v>3987531.0919992276</v>
      </c>
      <c r="AG85" s="376">
        <f t="shared" si="17"/>
        <v>4107157.0247592046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432000</v>
      </c>
      <c r="D86" s="376">
        <f t="shared" si="18"/>
        <v>449280.00000000006</v>
      </c>
      <c r="E86" s="376">
        <f t="shared" si="18"/>
        <v>467251.20000000001</v>
      </c>
      <c r="F86" s="376">
        <f t="shared" si="18"/>
        <v>485941.24800000014</v>
      </c>
      <c r="G86" s="376">
        <f t="shared" si="18"/>
        <v>505378.89792000019</v>
      </c>
      <c r="H86" s="376">
        <f t="shared" si="18"/>
        <v>525594.05383680016</v>
      </c>
      <c r="I86" s="376">
        <f t="shared" si="18"/>
        <v>546617.81599027221</v>
      </c>
      <c r="J86" s="376">
        <f t="shared" si="18"/>
        <v>568482.52862988319</v>
      </c>
      <c r="K86" s="376">
        <f t="shared" si="18"/>
        <v>591221.82977507845</v>
      </c>
      <c r="L86" s="376">
        <f t="shared" si="18"/>
        <v>614870.70296608168</v>
      </c>
      <c r="M86" s="376">
        <f t="shared" si="18"/>
        <v>639465.53108472505</v>
      </c>
      <c r="N86" s="376">
        <f t="shared" si="18"/>
        <v>665044.15232811403</v>
      </c>
      <c r="O86" s="376">
        <f t="shared" si="18"/>
        <v>691645.91842123854</v>
      </c>
      <c r="P86" s="376">
        <f t="shared" si="18"/>
        <v>719311.75515808817</v>
      </c>
      <c r="Q86" s="376">
        <f t="shared" si="18"/>
        <v>748084.22536441172</v>
      </c>
      <c r="R86" s="376">
        <f t="shared" si="18"/>
        <v>778007.59437898814</v>
      </c>
      <c r="S86" s="376">
        <f t="shared" si="18"/>
        <v>809127.89815414767</v>
      </c>
      <c r="T86" s="376">
        <f t="shared" si="18"/>
        <v>841493.01408031362</v>
      </c>
      <c r="U86" s="376">
        <f t="shared" si="18"/>
        <v>875152.73464352626</v>
      </c>
      <c r="V86" s="376">
        <f t="shared" si="18"/>
        <v>910158.84402926732</v>
      </c>
      <c r="W86" s="376">
        <f t="shared" si="18"/>
        <v>946565.19779043796</v>
      </c>
      <c r="X86" s="376">
        <f t="shared" si="18"/>
        <v>984427.8057020558</v>
      </c>
      <c r="Y86" s="376">
        <f t="shared" si="18"/>
        <v>1023804.9179301379</v>
      </c>
      <c r="Z86" s="376">
        <f t="shared" si="18"/>
        <v>1064757.1146473435</v>
      </c>
      <c r="AA86" s="376">
        <f t="shared" si="18"/>
        <v>1107347.3992332374</v>
      </c>
      <c r="AB86" s="376">
        <f t="shared" si="18"/>
        <v>1151641.295202567</v>
      </c>
      <c r="AC86" s="376">
        <f t="shared" si="18"/>
        <v>1197706.9470106699</v>
      </c>
      <c r="AD86" s="376">
        <f t="shared" si="18"/>
        <v>1245615.2248910968</v>
      </c>
      <c r="AE86" s="376">
        <f t="shared" si="18"/>
        <v>1295439.8338867405</v>
      </c>
      <c r="AF86" s="376">
        <f t="shared" si="18"/>
        <v>1347257.4272422101</v>
      </c>
      <c r="AG86" s="376">
        <f t="shared" si="18"/>
        <v>1401147.7243318986</v>
      </c>
    </row>
    <row r="87" spans="1:34">
      <c r="A87" s="368" t="s">
        <v>318</v>
      </c>
      <c r="B87" s="368" t="s">
        <v>313</v>
      </c>
      <c r="C87" s="376">
        <f>'Changing with year'!C287</f>
        <v>400000</v>
      </c>
      <c r="D87" s="376">
        <f>'Changing with year'!D287</f>
        <v>418000</v>
      </c>
      <c r="E87" s="376">
        <f>'Changing with year'!E287</f>
        <v>437000</v>
      </c>
      <c r="F87" s="376">
        <f>'Changing with year'!F287</f>
        <v>457000</v>
      </c>
      <c r="G87" s="376">
        <f>'Changing with year'!G287</f>
        <v>478000</v>
      </c>
      <c r="H87" s="376">
        <f>'Changing with year'!H287</f>
        <v>500000</v>
      </c>
      <c r="I87" s="376">
        <f>'Changing with year'!I287</f>
        <v>523000</v>
      </c>
      <c r="J87" s="376">
        <f>'Changing with year'!J287</f>
        <v>547000</v>
      </c>
      <c r="K87" s="376">
        <f>'Changing with year'!K287</f>
        <v>572000</v>
      </c>
      <c r="L87" s="376">
        <f>'Changing with year'!L287</f>
        <v>598000</v>
      </c>
      <c r="M87" s="376">
        <f>'Changing with year'!M287</f>
        <v>625000</v>
      </c>
      <c r="N87" s="376">
        <f>'Changing with year'!N287</f>
        <v>653000</v>
      </c>
      <c r="O87" s="376">
        <f>'Changing with year'!O287</f>
        <v>682000</v>
      </c>
      <c r="P87" s="376">
        <f>'Changing with year'!P287</f>
        <v>713000</v>
      </c>
      <c r="Q87" s="376">
        <f>'Changing with year'!Q287</f>
        <v>745000</v>
      </c>
      <c r="R87" s="376">
        <f>'Changing with year'!R287</f>
        <v>779000</v>
      </c>
      <c r="S87" s="376">
        <f>'Changing with year'!S287</f>
        <v>814000</v>
      </c>
      <c r="T87" s="376">
        <f>'Changing with year'!T287</f>
        <v>851000</v>
      </c>
      <c r="U87" s="376">
        <f>'Changing with year'!U287</f>
        <v>889000</v>
      </c>
      <c r="V87" s="376">
        <f>'Changing with year'!V287</f>
        <v>929000</v>
      </c>
      <c r="W87" s="376">
        <f>'Changing with year'!W287</f>
        <v>971000</v>
      </c>
      <c r="X87" s="376">
        <f>'Changing with year'!X287</f>
        <v>1015000</v>
      </c>
      <c r="Y87" s="376">
        <f>'Changing with year'!Y287</f>
        <v>1061000</v>
      </c>
      <c r="Z87" s="376">
        <f>'Changing with year'!Z287</f>
        <v>1109000</v>
      </c>
      <c r="AA87" s="376">
        <f>'Changing with year'!AA287</f>
        <v>1159000</v>
      </c>
      <c r="AB87" s="376">
        <f>'Changing with year'!AB287</f>
        <v>1211000</v>
      </c>
      <c r="AC87" s="376">
        <f>'Changing with year'!AC287</f>
        <v>1265000</v>
      </c>
      <c r="AD87" s="376">
        <f>'Changing with year'!AD287</f>
        <v>1322000</v>
      </c>
      <c r="AE87" s="376">
        <f>'Changing with year'!AE287</f>
        <v>1381000</v>
      </c>
      <c r="AF87" s="376">
        <f>'Changing with year'!AF287</f>
        <v>1443000</v>
      </c>
      <c r="AG87" s="376">
        <f>'Changing with year'!AG287</f>
        <v>1508000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C59</f>
        <v>636000</v>
      </c>
      <c r="D88" s="376">
        <f t="shared" si="19"/>
        <v>642360</v>
      </c>
      <c r="E88" s="376">
        <f t="shared" si="19"/>
        <v>648783.6</v>
      </c>
      <c r="F88" s="376">
        <f t="shared" si="19"/>
        <v>655271.43599999999</v>
      </c>
      <c r="G88" s="376">
        <f t="shared" si="19"/>
        <v>661824.15035999997</v>
      </c>
      <c r="H88" s="376">
        <f t="shared" si="19"/>
        <v>668442.3918636</v>
      </c>
      <c r="I88" s="376">
        <f t="shared" si="19"/>
        <v>675126.81578223605</v>
      </c>
      <c r="J88" s="376">
        <f t="shared" si="19"/>
        <v>681878.08394005825</v>
      </c>
      <c r="K88" s="376">
        <f t="shared" si="19"/>
        <v>688696.86477945896</v>
      </c>
      <c r="L88" s="376">
        <f t="shared" si="19"/>
        <v>695583.83342725353</v>
      </c>
      <c r="M88" s="376">
        <f t="shared" si="19"/>
        <v>702539.67176152603</v>
      </c>
      <c r="N88" s="376">
        <f t="shared" si="19"/>
        <v>709565.06847914134</v>
      </c>
      <c r="O88" s="376">
        <f t="shared" si="19"/>
        <v>716660.7191639326</v>
      </c>
      <c r="P88" s="376">
        <f t="shared" si="19"/>
        <v>723827.32635557198</v>
      </c>
      <c r="Q88" s="376">
        <f t="shared" si="19"/>
        <v>731065.59961912769</v>
      </c>
      <c r="R88" s="376">
        <f t="shared" si="19"/>
        <v>738376.25561531901</v>
      </c>
      <c r="S88" s="376">
        <f t="shared" si="19"/>
        <v>745760.01817147224</v>
      </c>
      <c r="T88" s="376">
        <f t="shared" si="19"/>
        <v>753217.61835318699</v>
      </c>
      <c r="U88" s="376">
        <f t="shared" si="19"/>
        <v>760749.79453671887</v>
      </c>
      <c r="V88" s="376">
        <f t="shared" si="19"/>
        <v>768357.29248208611</v>
      </c>
      <c r="W88" s="376">
        <f t="shared" si="19"/>
        <v>776040.86540690705</v>
      </c>
      <c r="X88" s="376">
        <f t="shared" si="19"/>
        <v>783801.27406097599</v>
      </c>
      <c r="Y88" s="376">
        <f t="shared" si="19"/>
        <v>791639.28680158569</v>
      </c>
      <c r="Z88" s="376">
        <f t="shared" si="19"/>
        <v>799555.67966960161</v>
      </c>
      <c r="AA88" s="376">
        <f t="shared" si="19"/>
        <v>807551.23646629776</v>
      </c>
      <c r="AB88" s="376">
        <f t="shared" si="19"/>
        <v>815626.74883096071</v>
      </c>
      <c r="AC88" s="376">
        <f t="shared" si="19"/>
        <v>823783.01631927036</v>
      </c>
      <c r="AD88" s="376">
        <f t="shared" si="19"/>
        <v>832020.84648246306</v>
      </c>
      <c r="AE88" s="376">
        <f t="shared" si="19"/>
        <v>840341.05494728766</v>
      </c>
      <c r="AF88" s="376">
        <f t="shared" si="19"/>
        <v>848744.46549676056</v>
      </c>
      <c r="AG88" s="376">
        <f t="shared" si="19"/>
        <v>857231.91015172808</v>
      </c>
    </row>
    <row r="89" spans="1:34">
      <c r="A89" s="300" t="s">
        <v>319</v>
      </c>
      <c r="B89" s="300" t="s">
        <v>309</v>
      </c>
      <c r="C89" s="376">
        <f t="shared" ref="C89:AG89" si="20">C81*$C$29</f>
        <v>43000</v>
      </c>
      <c r="D89" s="376">
        <f t="shared" si="20"/>
        <v>44290</v>
      </c>
      <c r="E89" s="376">
        <f t="shared" si="20"/>
        <v>45618.700000000004</v>
      </c>
      <c r="F89" s="376">
        <f t="shared" si="20"/>
        <v>46987.261000000006</v>
      </c>
      <c r="G89" s="376">
        <f t="shared" si="20"/>
        <v>48396.878830000001</v>
      </c>
      <c r="H89" s="376">
        <f t="shared" si="20"/>
        <v>57848.785194900011</v>
      </c>
      <c r="I89" s="376">
        <f t="shared" si="20"/>
        <v>59584.248750747014</v>
      </c>
      <c r="J89" s="376">
        <f t="shared" si="20"/>
        <v>61371.776213269433</v>
      </c>
      <c r="K89" s="376">
        <f t="shared" si="20"/>
        <v>63212.929499667509</v>
      </c>
      <c r="L89" s="376">
        <f t="shared" si="20"/>
        <v>65109.317384657537</v>
      </c>
      <c r="M89" s="376">
        <f t="shared" si="20"/>
        <v>67062.596906197257</v>
      </c>
      <c r="N89" s="376">
        <f t="shared" si="20"/>
        <v>69074.474813383174</v>
      </c>
      <c r="O89" s="376">
        <f t="shared" si="20"/>
        <v>71146.709057784683</v>
      </c>
      <c r="P89" s="376">
        <f t="shared" si="20"/>
        <v>73281.110329518211</v>
      </c>
      <c r="Q89" s="376">
        <f t="shared" si="20"/>
        <v>75479.543639403768</v>
      </c>
      <c r="R89" s="376">
        <f t="shared" si="20"/>
        <v>77743.929948585879</v>
      </c>
      <c r="S89" s="376">
        <f t="shared" si="20"/>
        <v>80076.247847043458</v>
      </c>
      <c r="T89" s="376">
        <f t="shared" si="20"/>
        <v>82478.535282454774</v>
      </c>
      <c r="U89" s="376">
        <f t="shared" si="20"/>
        <v>84952.891340928414</v>
      </c>
      <c r="V89" s="376">
        <f t="shared" si="20"/>
        <v>87501.478081156281</v>
      </c>
      <c r="W89" s="376">
        <f t="shared" si="20"/>
        <v>90126.52242359097</v>
      </c>
      <c r="X89" s="376">
        <f t="shared" si="20"/>
        <v>92830.318096298695</v>
      </c>
      <c r="Y89" s="376">
        <f t="shared" si="20"/>
        <v>95615.227639187651</v>
      </c>
      <c r="Z89" s="376">
        <f t="shared" si="20"/>
        <v>98483.684468363281</v>
      </c>
      <c r="AA89" s="376">
        <f t="shared" si="20"/>
        <v>101438.19500241417</v>
      </c>
      <c r="AB89" s="376">
        <f t="shared" si="20"/>
        <v>104481.34085248661</v>
      </c>
      <c r="AC89" s="376">
        <f t="shared" si="20"/>
        <v>107615.78107806121</v>
      </c>
      <c r="AD89" s="376">
        <f t="shared" si="20"/>
        <v>110844.25451040303</v>
      </c>
      <c r="AE89" s="376">
        <f t="shared" si="20"/>
        <v>114169.58214571513</v>
      </c>
      <c r="AF89" s="376">
        <f t="shared" si="20"/>
        <v>117594.6696100866</v>
      </c>
      <c r="AG89" s="376">
        <f t="shared" si="20"/>
        <v>121122.5096983892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3.9258594348999201</v>
      </c>
      <c r="D91" s="379">
        <f t="shared" si="21"/>
        <v>4.0436352179469175</v>
      </c>
      <c r="E91" s="379">
        <f t="shared" si="21"/>
        <v>4.1649442744853244</v>
      </c>
      <c r="F91" s="379">
        <f t="shared" si="21"/>
        <v>4.2898926027198847</v>
      </c>
      <c r="G91" s="379">
        <f t="shared" si="21"/>
        <v>4.4185893808014818</v>
      </c>
      <c r="H91" s="379">
        <f t="shared" si="21"/>
        <v>5.2815395152301621</v>
      </c>
      <c r="I91" s="379">
        <f t="shared" si="21"/>
        <v>5.4399857006870684</v>
      </c>
      <c r="J91" s="379">
        <f t="shared" si="21"/>
        <v>5.6031852717076802</v>
      </c>
      <c r="K91" s="379">
        <f t="shared" si="21"/>
        <v>5.7712808298589104</v>
      </c>
      <c r="L91" s="379">
        <f t="shared" si="21"/>
        <v>5.9444192547546777</v>
      </c>
      <c r="M91" s="379">
        <f t="shared" si="21"/>
        <v>6.1227518323973182</v>
      </c>
      <c r="N91" s="379">
        <f t="shared" si="21"/>
        <v>6.3064343873692374</v>
      </c>
      <c r="O91" s="379">
        <f t="shared" si="21"/>
        <v>6.495627418990316</v>
      </c>
      <c r="P91" s="379">
        <f t="shared" si="21"/>
        <v>6.6904962415600258</v>
      </c>
      <c r="Q91" s="379">
        <f t="shared" si="21"/>
        <v>6.891211128806825</v>
      </c>
      <c r="R91" s="379">
        <f t="shared" si="21"/>
        <v>7.0979474626710308</v>
      </c>
      <c r="S91" s="379">
        <f t="shared" si="21"/>
        <v>7.3108858865511621</v>
      </c>
      <c r="T91" s="379">
        <f t="shared" si="21"/>
        <v>7.5302124631476968</v>
      </c>
      <c r="U91" s="379">
        <f t="shared" si="21"/>
        <v>7.7561188370421288</v>
      </c>
      <c r="V91" s="379">
        <f t="shared" si="21"/>
        <v>7.988802402153393</v>
      </c>
      <c r="W91" s="379">
        <f t="shared" si="21"/>
        <v>8.2284664742179956</v>
      </c>
      <c r="X91" s="379">
        <f t="shared" si="21"/>
        <v>8.4753204684445329</v>
      </c>
      <c r="Y91" s="379">
        <f t="shared" si="21"/>
        <v>8.7295800824978702</v>
      </c>
      <c r="Z91" s="379">
        <f t="shared" si="21"/>
        <v>8.9914674849728069</v>
      </c>
      <c r="AA91" s="379">
        <f t="shared" si="21"/>
        <v>9.2612115095219902</v>
      </c>
      <c r="AB91" s="379">
        <f t="shared" si="21"/>
        <v>9.5390478548076505</v>
      </c>
      <c r="AC91" s="379">
        <f t="shared" si="21"/>
        <v>9.82521929045188</v>
      </c>
      <c r="AD91" s="379">
        <f t="shared" si="21"/>
        <v>10.119975869165435</v>
      </c>
      <c r="AE91" s="379">
        <f t="shared" si="21"/>
        <v>10.423575145240399</v>
      </c>
      <c r="AF91" s="379">
        <f t="shared" si="21"/>
        <v>10.736282399597611</v>
      </c>
      <c r="AG91" s="379">
        <f t="shared" si="21"/>
        <v>11.05837087158554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13.80952380952381</v>
      </c>
      <c r="D92" s="379">
        <f t="shared" si="22"/>
        <v>14.523809523809526</v>
      </c>
      <c r="E92" s="379">
        <f t="shared" si="22"/>
        <v>14.959523809523812</v>
      </c>
      <c r="F92" s="379">
        <f t="shared" si="22"/>
        <v>15.408309523809525</v>
      </c>
      <c r="G92" s="379">
        <f t="shared" si="22"/>
        <v>15.870558809523812</v>
      </c>
      <c r="H92" s="379">
        <f t="shared" si="22"/>
        <v>16.346675573809527</v>
      </c>
      <c r="I92" s="379">
        <f t="shared" si="22"/>
        <v>16.837075841023811</v>
      </c>
      <c r="J92" s="379">
        <f t="shared" si="22"/>
        <v>17.342188116254526</v>
      </c>
      <c r="K92" s="379">
        <f t="shared" si="22"/>
        <v>17.862453759742163</v>
      </c>
      <c r="L92" s="379">
        <f t="shared" si="22"/>
        <v>18.398327372534428</v>
      </c>
      <c r="M92" s="379">
        <f t="shared" si="22"/>
        <v>18.950277193710459</v>
      </c>
      <c r="N92" s="379">
        <f t="shared" si="22"/>
        <v>19.518785509521773</v>
      </c>
      <c r="O92" s="379">
        <f t="shared" si="22"/>
        <v>20.10434907480743</v>
      </c>
      <c r="P92" s="379">
        <f t="shared" si="22"/>
        <v>20.707479547051651</v>
      </c>
      <c r="Q92" s="379">
        <f t="shared" si="22"/>
        <v>21.328703933463199</v>
      </c>
      <c r="R92" s="379">
        <f t="shared" si="22"/>
        <v>21.968565051467095</v>
      </c>
      <c r="S92" s="379">
        <f t="shared" si="22"/>
        <v>22.627622003011108</v>
      </c>
      <c r="T92" s="379">
        <f t="shared" si="22"/>
        <v>23.30645066310144</v>
      </c>
      <c r="U92" s="379">
        <f t="shared" si="22"/>
        <v>24.005644182994484</v>
      </c>
      <c r="V92" s="379">
        <f t="shared" si="22"/>
        <v>24.725813508484318</v>
      </c>
      <c r="W92" s="379">
        <f t="shared" si="22"/>
        <v>25.46758791373885</v>
      </c>
      <c r="X92" s="379">
        <f t="shared" si="22"/>
        <v>26.231615551151013</v>
      </c>
      <c r="Y92" s="379">
        <f t="shared" si="22"/>
        <v>27.018564017685542</v>
      </c>
      <c r="Z92" s="379">
        <f t="shared" si="22"/>
        <v>27.829120938216107</v>
      </c>
      <c r="AA92" s="379">
        <f t="shared" si="22"/>
        <v>28.663994566362593</v>
      </c>
      <c r="AB92" s="379">
        <f t="shared" si="22"/>
        <v>29.523914403353469</v>
      </c>
      <c r="AC92" s="379">
        <f t="shared" si="22"/>
        <v>30.409631835454078</v>
      </c>
      <c r="AD92" s="379">
        <f t="shared" si="22"/>
        <v>31.321920790517702</v>
      </c>
      <c r="AE92" s="379">
        <f t="shared" si="22"/>
        <v>32.261578414233227</v>
      </c>
      <c r="AF92" s="379">
        <f t="shared" si="22"/>
        <v>33.229425766660228</v>
      </c>
      <c r="AG92" s="379">
        <f t="shared" si="22"/>
        <v>34.226308539660039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12.591666666666667</v>
      </c>
      <c r="D93" s="379">
        <f t="shared" si="23"/>
        <v>12.949416666666666</v>
      </c>
      <c r="E93" s="379">
        <f t="shared" si="23"/>
        <v>13.322112499999998</v>
      </c>
      <c r="F93" s="379">
        <f t="shared" si="23"/>
        <v>13.709999541666667</v>
      </c>
      <c r="G93" s="379">
        <f t="shared" si="23"/>
        <v>14.113332725916669</v>
      </c>
      <c r="H93" s="379">
        <f t="shared" si="23"/>
        <v>14.599043590794167</v>
      </c>
      <c r="I93" s="379">
        <f t="shared" si="23"/>
        <v>15.036074004360461</v>
      </c>
      <c r="J93" s="379">
        <f t="shared" si="23"/>
        <v>15.489436573193425</v>
      </c>
      <c r="K93" s="379">
        <f t="shared" si="23"/>
        <v>15.95943020045171</v>
      </c>
      <c r="L93" s="379">
        <f t="shared" si="23"/>
        <v>16.446365448149937</v>
      </c>
      <c r="M93" s="379">
        <f t="shared" si="23"/>
        <v>16.950564997937072</v>
      </c>
      <c r="N93" s="379">
        <f t="shared" si="23"/>
        <v>17.472364130171986</v>
      </c>
      <c r="O93" s="379">
        <f t="shared" si="23"/>
        <v>18.012111222024636</v>
      </c>
      <c r="P93" s="379">
        <f t="shared" si="23"/>
        <v>18.578501598693151</v>
      </c>
      <c r="Q93" s="379">
        <f t="shared" si="23"/>
        <v>19.163578071857859</v>
      </c>
      <c r="R93" s="379">
        <f t="shared" si="23"/>
        <v>19.776064832857447</v>
      </c>
      <c r="S93" s="379">
        <f t="shared" si="23"/>
        <v>20.408034701438861</v>
      </c>
      <c r="T93" s="379">
        <f t="shared" si="23"/>
        <v>21.068243064299629</v>
      </c>
      <c r="U93" s="379">
        <f t="shared" si="23"/>
        <v>21.748795171009785</v>
      </c>
      <c r="V93" s="379">
        <f t="shared" si="23"/>
        <v>22.45848012160425</v>
      </c>
      <c r="W93" s="379">
        <f t="shared" si="23"/>
        <v>23.197771546841132</v>
      </c>
      <c r="X93" s="379">
        <f t="shared" si="23"/>
        <v>23.967161648827751</v>
      </c>
      <c r="Y93" s="379">
        <f t="shared" si="23"/>
        <v>24.767161936424259</v>
      </c>
      <c r="Z93" s="379">
        <f t="shared" si="23"/>
        <v>25.598303989877575</v>
      </c>
      <c r="AA93" s="379">
        <f t="shared" si="23"/>
        <v>26.461140255849578</v>
      </c>
      <c r="AB93" s="379">
        <f t="shared" si="23"/>
        <v>27.35624487405012</v>
      </c>
      <c r="AC93" s="379">
        <f t="shared" si="23"/>
        <v>28.284214536733344</v>
      </c>
      <c r="AD93" s="379">
        <f t="shared" si="23"/>
        <v>29.254002715699691</v>
      </c>
      <c r="AE93" s="379">
        <f t="shared" si="23"/>
        <v>30.257920591497864</v>
      </c>
      <c r="AF93" s="379">
        <f t="shared" si="23"/>
        <v>31.304971352908815</v>
      </c>
      <c r="AG93" s="379">
        <f t="shared" si="23"/>
        <v>32.395851201516798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1.2797619047619047</v>
      </c>
      <c r="D94" s="379">
        <f t="shared" si="24"/>
        <v>1.318154761904762</v>
      </c>
      <c r="E94" s="379">
        <f t="shared" si="24"/>
        <v>1.3576994047619049</v>
      </c>
      <c r="F94" s="379">
        <f t="shared" si="24"/>
        <v>1.3984303869047621</v>
      </c>
      <c r="G94" s="379">
        <f t="shared" si="24"/>
        <v>1.4403832985119049</v>
      </c>
      <c r="H94" s="379">
        <f t="shared" si="24"/>
        <v>1.7216900355625002</v>
      </c>
      <c r="I94" s="379">
        <f t="shared" si="24"/>
        <v>1.7733407366293754</v>
      </c>
      <c r="J94" s="379">
        <f t="shared" si="24"/>
        <v>1.8265409587282568</v>
      </c>
      <c r="K94" s="379">
        <f t="shared" si="24"/>
        <v>1.8813371874901044</v>
      </c>
      <c r="L94" s="379">
        <f t="shared" si="24"/>
        <v>1.9377773031148076</v>
      </c>
      <c r="M94" s="379">
        <f t="shared" si="24"/>
        <v>1.9959106222082517</v>
      </c>
      <c r="N94" s="379">
        <f t="shared" si="24"/>
        <v>1.6446303526995998</v>
      </c>
      <c r="O94" s="379">
        <f t="shared" si="24"/>
        <v>1.6939692632805878</v>
      </c>
      <c r="P94" s="379">
        <f t="shared" si="24"/>
        <v>1.7447883411790055</v>
      </c>
      <c r="Q94" s="379">
        <f t="shared" si="24"/>
        <v>1.7971319914143757</v>
      </c>
      <c r="R94" s="379">
        <f t="shared" si="24"/>
        <v>1.8510459511568071</v>
      </c>
      <c r="S94" s="379">
        <f t="shared" si="24"/>
        <v>1.9065773296915114</v>
      </c>
      <c r="T94" s="379">
        <f t="shared" si="24"/>
        <v>1.963774649582257</v>
      </c>
      <c r="U94" s="379">
        <f t="shared" si="24"/>
        <v>2.0226878890697244</v>
      </c>
      <c r="V94" s="379">
        <f t="shared" si="24"/>
        <v>2.0833685257418164</v>
      </c>
      <c r="W94" s="379">
        <f t="shared" si="24"/>
        <v>2.1458695815140709</v>
      </c>
      <c r="X94" s="379">
        <f t="shared" si="24"/>
        <v>1.6576842517196195</v>
      </c>
      <c r="Y94" s="379">
        <f t="shared" si="24"/>
        <v>1.7074147792712084</v>
      </c>
      <c r="Z94" s="379">
        <f t="shared" si="24"/>
        <v>1.7586372226493447</v>
      </c>
      <c r="AA94" s="379">
        <f t="shared" si="24"/>
        <v>1.8113963393288248</v>
      </c>
      <c r="AB94" s="379">
        <f t="shared" si="24"/>
        <v>1.8657382295086897</v>
      </c>
      <c r="AC94" s="379">
        <f t="shared" si="24"/>
        <v>1.9217103763939503</v>
      </c>
      <c r="AD94" s="379">
        <f t="shared" si="24"/>
        <v>1.9793616876857687</v>
      </c>
      <c r="AE94" s="379">
        <f t="shared" si="24"/>
        <v>2.0387425383163418</v>
      </c>
      <c r="AF94" s="379">
        <f t="shared" si="24"/>
        <v>2.0999048144658325</v>
      </c>
      <c r="AG94" s="379">
        <f t="shared" si="24"/>
        <v>2.1629019588998073</v>
      </c>
    </row>
    <row r="95" spans="1:34" s="352" customFormat="1">
      <c r="A95" s="380" t="s">
        <v>323</v>
      </c>
      <c r="B95" s="352" t="s">
        <v>300</v>
      </c>
      <c r="C95" s="381">
        <f t="shared" ref="C95:AG95" si="25">SUM(C91:C93)-C94</f>
        <v>29.047288006328493</v>
      </c>
      <c r="D95" s="381">
        <f t="shared" si="25"/>
        <v>30.19870664651835</v>
      </c>
      <c r="E95" s="381">
        <f t="shared" si="25"/>
        <v>31.088881179247227</v>
      </c>
      <c r="F95" s="381">
        <f t="shared" si="25"/>
        <v>32.009771281291314</v>
      </c>
      <c r="G95" s="381">
        <f t="shared" si="25"/>
        <v>32.962097617730059</v>
      </c>
      <c r="H95" s="381">
        <f t="shared" si="25"/>
        <v>34.505568644271349</v>
      </c>
      <c r="I95" s="381">
        <f t="shared" si="25"/>
        <v>35.539794809441958</v>
      </c>
      <c r="J95" s="381">
        <f t="shared" si="25"/>
        <v>36.60826900242737</v>
      </c>
      <c r="K95" s="381">
        <f t="shared" si="25"/>
        <v>37.711827602562678</v>
      </c>
      <c r="L95" s="381">
        <f t="shared" si="25"/>
        <v>38.851334772324236</v>
      </c>
      <c r="M95" s="381">
        <f t="shared" si="25"/>
        <v>40.027683401836597</v>
      </c>
      <c r="N95" s="381">
        <f t="shared" si="25"/>
        <v>41.652953674363395</v>
      </c>
      <c r="O95" s="381">
        <f t="shared" si="25"/>
        <v>42.918118452541798</v>
      </c>
      <c r="P95" s="381">
        <f t="shared" si="25"/>
        <v>44.231689046125823</v>
      </c>
      <c r="Q95" s="381">
        <f t="shared" si="25"/>
        <v>45.586361142713514</v>
      </c>
      <c r="R95" s="381">
        <f t="shared" si="25"/>
        <v>46.991531395838763</v>
      </c>
      <c r="S95" s="381">
        <f t="shared" si="25"/>
        <v>48.439965261309624</v>
      </c>
      <c r="T95" s="381">
        <f t="shared" si="25"/>
        <v>49.941131540966509</v>
      </c>
      <c r="U95" s="381">
        <f t="shared" si="25"/>
        <v>51.487870301976677</v>
      </c>
      <c r="V95" s="381">
        <f t="shared" si="25"/>
        <v>53.089727506500139</v>
      </c>
      <c r="W95" s="381">
        <f t="shared" si="25"/>
        <v>54.747956353283911</v>
      </c>
      <c r="X95" s="381">
        <f t="shared" si="25"/>
        <v>57.016413416703678</v>
      </c>
      <c r="Y95" s="381">
        <f t="shared" si="25"/>
        <v>58.807891257336458</v>
      </c>
      <c r="Z95" s="381">
        <f t="shared" si="25"/>
        <v>60.660255190417139</v>
      </c>
      <c r="AA95" s="381">
        <f t="shared" si="25"/>
        <v>62.574949992405337</v>
      </c>
      <c r="AB95" s="381">
        <f t="shared" si="25"/>
        <v>64.553468902702548</v>
      </c>
      <c r="AC95" s="381">
        <f t="shared" si="25"/>
        <v>66.59735528624536</v>
      </c>
      <c r="AD95" s="381">
        <f t="shared" si="25"/>
        <v>68.716537687697056</v>
      </c>
      <c r="AE95" s="381">
        <f t="shared" si="25"/>
        <v>70.904331612655142</v>
      </c>
      <c r="AF95" s="381">
        <f t="shared" si="25"/>
        <v>73.170774704700833</v>
      </c>
      <c r="AG95" s="381">
        <f t="shared" si="25"/>
        <v>75.517628653862559</v>
      </c>
    </row>
    <row r="96" spans="1:34" s="344" customFormat="1">
      <c r="A96" s="342" t="s">
        <v>180</v>
      </c>
      <c r="B96" s="342"/>
      <c r="H96" s="382">
        <f>H98/H63</f>
        <v>1.2245273302435078</v>
      </c>
      <c r="AB96" s="382">
        <f>AB98/AB63</f>
        <v>1.1515040426875216</v>
      </c>
    </row>
    <row r="97" spans="1:34">
      <c r="A97" s="360" t="s">
        <v>41</v>
      </c>
      <c r="B97" s="360"/>
      <c r="C97" s="360">
        <v>2025</v>
      </c>
      <c r="D97" s="360">
        <f t="shared" ref="D97:AG97" si="26">C97+1</f>
        <v>2026</v>
      </c>
      <c r="E97" s="360">
        <f t="shared" si="26"/>
        <v>2027</v>
      </c>
      <c r="F97" s="360">
        <f t="shared" si="26"/>
        <v>2028</v>
      </c>
      <c r="G97" s="360">
        <f t="shared" si="26"/>
        <v>2029</v>
      </c>
      <c r="H97" s="360">
        <f t="shared" si="26"/>
        <v>2030</v>
      </c>
      <c r="I97" s="360">
        <f t="shared" si="26"/>
        <v>2031</v>
      </c>
      <c r="J97" s="360">
        <f t="shared" si="26"/>
        <v>2032</v>
      </c>
      <c r="K97" s="360">
        <f t="shared" si="26"/>
        <v>2033</v>
      </c>
      <c r="L97" s="360">
        <f t="shared" si="26"/>
        <v>2034</v>
      </c>
      <c r="M97" s="360">
        <f t="shared" si="26"/>
        <v>2035</v>
      </c>
      <c r="N97" s="360">
        <f t="shared" si="26"/>
        <v>2036</v>
      </c>
      <c r="O97" s="360">
        <f t="shared" si="26"/>
        <v>2037</v>
      </c>
      <c r="P97" s="360">
        <f t="shared" si="26"/>
        <v>2038</v>
      </c>
      <c r="Q97" s="360">
        <f t="shared" si="26"/>
        <v>2039</v>
      </c>
      <c r="R97" s="360">
        <f t="shared" si="26"/>
        <v>2040</v>
      </c>
      <c r="S97" s="360">
        <f t="shared" si="26"/>
        <v>2041</v>
      </c>
      <c r="T97" s="360">
        <f t="shared" si="26"/>
        <v>2042</v>
      </c>
      <c r="U97" s="360">
        <f t="shared" si="26"/>
        <v>2043</v>
      </c>
      <c r="V97" s="360">
        <f t="shared" si="26"/>
        <v>2044</v>
      </c>
      <c r="W97" s="360">
        <f t="shared" si="26"/>
        <v>2045</v>
      </c>
      <c r="X97" s="360">
        <f t="shared" si="26"/>
        <v>2046</v>
      </c>
      <c r="Y97" s="360">
        <f t="shared" si="26"/>
        <v>2047</v>
      </c>
      <c r="Z97" s="360">
        <f t="shared" si="26"/>
        <v>2048</v>
      </c>
      <c r="AA97" s="360">
        <f t="shared" si="26"/>
        <v>2049</v>
      </c>
      <c r="AB97" s="360">
        <f t="shared" si="26"/>
        <v>2050</v>
      </c>
      <c r="AC97" s="360">
        <f t="shared" si="26"/>
        <v>2051</v>
      </c>
      <c r="AD97" s="360">
        <f t="shared" si="26"/>
        <v>2052</v>
      </c>
      <c r="AE97" s="360">
        <f t="shared" si="26"/>
        <v>2053</v>
      </c>
      <c r="AF97" s="360">
        <f t="shared" si="26"/>
        <v>2054</v>
      </c>
      <c r="AG97" s="360">
        <f t="shared" si="26"/>
        <v>2055</v>
      </c>
    </row>
    <row r="98" spans="1:34">
      <c r="A98" s="368" t="s">
        <v>326</v>
      </c>
      <c r="B98" s="300" t="s">
        <v>309</v>
      </c>
      <c r="C98" s="376">
        <f>ROUND(('Changing with year'!C105)/1000,0)*1000</f>
        <v>2580000</v>
      </c>
      <c r="D98" s="376">
        <f>ROUND(('Changing with year'!D105)/1000,0)*1000</f>
        <v>2646000</v>
      </c>
      <c r="E98" s="376">
        <f>ROUND(('Changing with year'!E105)/1000,0)*1000</f>
        <v>2714000</v>
      </c>
      <c r="F98" s="376">
        <f>ROUND(('Changing with year'!F105)/1000,0)*1000</f>
        <v>2783000</v>
      </c>
      <c r="G98" s="376">
        <f>ROUND(('Changing with year'!G105)/1000,0)*1000</f>
        <v>2855000</v>
      </c>
      <c r="H98" s="376">
        <f>ROUND(('Changing with year'!H105)/1000,0)*1000</f>
        <v>3329000</v>
      </c>
      <c r="I98" s="376">
        <f>ROUND(('Changing with year'!I105)/1000,0)*1000</f>
        <v>3416000</v>
      </c>
      <c r="J98" s="376">
        <f>ROUND(('Changing with year'!J105)/1000,0)*1000</f>
        <v>3506000</v>
      </c>
      <c r="K98" s="376">
        <f>ROUND(('Changing with year'!K105)/1000,0)*1000</f>
        <v>3599000</v>
      </c>
      <c r="L98" s="376">
        <f>ROUND(('Changing with year'!L105)/1000,0)*1000</f>
        <v>3695000</v>
      </c>
      <c r="M98" s="376">
        <f>ROUND(('Changing with year'!M105)/1000,0)*1000</f>
        <v>3793000</v>
      </c>
      <c r="N98" s="376">
        <f>ROUND(('Changing with year'!N105)/1000,0)*1000</f>
        <v>3894000</v>
      </c>
      <c r="O98" s="376">
        <f>ROUND(('Changing with year'!O105)/1000,0)*1000</f>
        <v>3997000</v>
      </c>
      <c r="P98" s="376">
        <f>ROUND(('Changing with year'!P105)/1000,0)*1000</f>
        <v>4104000</v>
      </c>
      <c r="Q98" s="376">
        <f>ROUND(('Changing with year'!Q105)/1000,0)*1000</f>
        <v>4214000</v>
      </c>
      <c r="R98" s="376">
        <f>ROUND(('Changing with year'!R105)/1000,0)*1000</f>
        <v>4327000</v>
      </c>
      <c r="S98" s="376">
        <f>ROUND(('Changing with year'!S105)/1000,0)*1000</f>
        <v>4444000</v>
      </c>
      <c r="T98" s="376">
        <f>ROUND(('Changing with year'!T105)/1000,0)*1000</f>
        <v>4563000</v>
      </c>
      <c r="U98" s="376">
        <f>ROUND(('Changing with year'!U105)/1000,0)*1000</f>
        <v>4687000</v>
      </c>
      <c r="V98" s="376">
        <f>ROUND(('Changing with year'!V105)/1000,0)*1000</f>
        <v>4813000</v>
      </c>
      <c r="W98" s="376">
        <f>ROUND(('Changing with year'!W105)/1000,0)*1000</f>
        <v>4944000</v>
      </c>
      <c r="X98" s="376">
        <f>ROUND(('Changing with year'!X105)/1000,0)*1000</f>
        <v>5078000</v>
      </c>
      <c r="Y98" s="376">
        <f>ROUND(('Changing with year'!Y105)/1000,0)*1000</f>
        <v>5216000</v>
      </c>
      <c r="Z98" s="376">
        <f>ROUND(('Changing with year'!Z105)/1000,0)*1000</f>
        <v>5358000</v>
      </c>
      <c r="AA98" s="376">
        <f>ROUND(('Changing with year'!AA105)/1000,0)*1000</f>
        <v>5504000</v>
      </c>
      <c r="AB98" s="376">
        <f>ROUND(('Changing with year'!AB105)/1000,0)*1000</f>
        <v>5654000</v>
      </c>
      <c r="AC98" s="376">
        <f>ROUND(('Changing with year'!AC105)/1000,0)*1000</f>
        <v>5809000</v>
      </c>
      <c r="AD98" s="376">
        <f>ROUND(('Changing with year'!AD105)/1000,0)*1000</f>
        <v>5968000</v>
      </c>
      <c r="AE98" s="376">
        <f>ROUND(('Changing with year'!AE105)/1000,0)*1000</f>
        <v>6132000</v>
      </c>
      <c r="AF98" s="376">
        <f>ROUND(('Changing with year'!AF105)/1000,0)*1000</f>
        <v>6301000</v>
      </c>
      <c r="AG98" s="376">
        <f>ROUND(('Changing with year'!AG105)/1000,0)*1000</f>
        <v>6474000</v>
      </c>
    </row>
    <row r="99" spans="1:34">
      <c r="A99" s="368" t="s">
        <v>310</v>
      </c>
      <c r="B99" s="300" t="s">
        <v>309</v>
      </c>
      <c r="C99" s="376">
        <f>(C98*'No change with year'!$AE$10)</f>
        <v>1290000</v>
      </c>
      <c r="D99" s="376">
        <f>(D98*'No change with year'!$AE$10)</f>
        <v>1323000</v>
      </c>
      <c r="E99" s="376">
        <f>(E98*'No change with year'!$AE$10)</f>
        <v>1357000</v>
      </c>
      <c r="F99" s="376">
        <f>(F98*'No change with year'!$AE$10)</f>
        <v>1391500</v>
      </c>
      <c r="G99" s="376">
        <f>(G98*'No change with year'!$AE$10)</f>
        <v>1427500</v>
      </c>
      <c r="H99" s="376">
        <f>(H98*'No change with year'!$AE$10)</f>
        <v>1664500</v>
      </c>
      <c r="I99" s="376">
        <f>(I98*'No change with year'!$AE$10)</f>
        <v>1708000</v>
      </c>
      <c r="J99" s="376">
        <f>(J98*'No change with year'!$AE$10)</f>
        <v>1753000</v>
      </c>
      <c r="K99" s="376">
        <f>(K98*'No change with year'!$AE$10)</f>
        <v>1799500</v>
      </c>
      <c r="L99" s="376">
        <f>(L98*'No change with year'!$AE$10)</f>
        <v>1847500</v>
      </c>
      <c r="M99" s="376">
        <f>(M98*'No change with year'!$AE$10)</f>
        <v>1896500</v>
      </c>
      <c r="N99" s="376">
        <f>(N98*'No change with year'!$AF$10)</f>
        <v>1557600.0000000002</v>
      </c>
      <c r="O99" s="376">
        <f>(O98*'No change with year'!$AF$10)</f>
        <v>1598800.0000000002</v>
      </c>
      <c r="P99" s="376">
        <f>(P98*'No change with year'!$AF$10)</f>
        <v>1641600.0000000002</v>
      </c>
      <c r="Q99" s="376">
        <f>(Q98*'No change with year'!$AF$10)</f>
        <v>1685600.0000000002</v>
      </c>
      <c r="R99" s="376">
        <f>(R98*'No change with year'!$AF$10)</f>
        <v>1730800.0000000002</v>
      </c>
      <c r="S99" s="376">
        <f>(S98*'No change with year'!$AF$10)</f>
        <v>1777600.0000000002</v>
      </c>
      <c r="T99" s="376">
        <f>(T98*'No change with year'!$AF$10)</f>
        <v>1825200.0000000005</v>
      </c>
      <c r="U99" s="376">
        <f>(U98*'No change with year'!$AF$10)</f>
        <v>1874800.0000000005</v>
      </c>
      <c r="V99" s="376">
        <f>(V98*'No change with year'!$AF$10)</f>
        <v>1925200.0000000005</v>
      </c>
      <c r="W99" s="376">
        <f>(W98*'No change with year'!$AF$10)</f>
        <v>1977600.0000000005</v>
      </c>
      <c r="X99" s="376">
        <f>(X98*'No change with year'!$AG$10)</f>
        <v>1523400.0000000002</v>
      </c>
      <c r="Y99" s="376">
        <f>(Y98*'No change with year'!$AG$10)</f>
        <v>1564800.0000000002</v>
      </c>
      <c r="Z99" s="376">
        <f>(Z98*'No change with year'!$AG$10)</f>
        <v>1607400.0000000002</v>
      </c>
      <c r="AA99" s="376">
        <f>(AA98*'No change with year'!$AG$10)</f>
        <v>1651200.0000000002</v>
      </c>
      <c r="AB99" s="376">
        <f>(AB98*'No change with year'!$AG$10)</f>
        <v>1696200.0000000002</v>
      </c>
      <c r="AC99" s="376">
        <f>(AC98*'No change with year'!$AG$10)</f>
        <v>1742700.0000000002</v>
      </c>
      <c r="AD99" s="376">
        <f>(AD98*'No change with year'!$AG$10)</f>
        <v>1790400.0000000002</v>
      </c>
      <c r="AE99" s="376">
        <f>(AE98*'No change with year'!$AG$10)</f>
        <v>1839600.0000000002</v>
      </c>
      <c r="AF99" s="376">
        <f>(AF98*'No change with year'!$AG$10)</f>
        <v>1890300.0000000002</v>
      </c>
      <c r="AG99" s="376">
        <f>(AG98*'No change with year'!$AG$10)</f>
        <v>1942200.0000000002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7">-PMT($C$26,$C$25,C98)</f>
        <v>565323.75862558838</v>
      </c>
      <c r="D101" s="376">
        <f t="shared" si="27"/>
        <v>579785.52919508028</v>
      </c>
      <c r="E101" s="376">
        <f t="shared" si="27"/>
        <v>594685.53523637482</v>
      </c>
      <c r="F101" s="376">
        <f t="shared" si="27"/>
        <v>609804.65901357075</v>
      </c>
      <c r="G101" s="376">
        <f t="shared" si="27"/>
        <v>625581.13599847094</v>
      </c>
      <c r="H101" s="376">
        <f t="shared" si="27"/>
        <v>729442.94281573012</v>
      </c>
      <c r="I101" s="376">
        <f t="shared" si="27"/>
        <v>748506.18583915127</v>
      </c>
      <c r="J101" s="376">
        <f t="shared" si="27"/>
        <v>768226.78207027633</v>
      </c>
      <c r="K101" s="376">
        <f t="shared" si="27"/>
        <v>788604.73150910577</v>
      </c>
      <c r="L101" s="376">
        <f t="shared" si="27"/>
        <v>809640.03415563924</v>
      </c>
      <c r="M101" s="376">
        <f t="shared" si="27"/>
        <v>831113.57227397559</v>
      </c>
      <c r="N101" s="376">
        <f t="shared" si="27"/>
        <v>853244.46360001608</v>
      </c>
      <c r="O101" s="376">
        <f t="shared" si="27"/>
        <v>875813.59039785934</v>
      </c>
      <c r="P101" s="376">
        <f t="shared" si="27"/>
        <v>899259.18813930813</v>
      </c>
      <c r="Q101" s="376">
        <f t="shared" si="27"/>
        <v>923362.13908846118</v>
      </c>
      <c r="R101" s="376">
        <f t="shared" si="27"/>
        <v>948122.44324531825</v>
      </c>
      <c r="S101" s="376">
        <f t="shared" si="27"/>
        <v>973759.21834578097</v>
      </c>
      <c r="T101" s="376">
        <f t="shared" si="27"/>
        <v>999834.22891804646</v>
      </c>
      <c r="U101" s="376">
        <f t="shared" si="27"/>
        <v>1027004.8281698191</v>
      </c>
      <c r="V101" s="376">
        <f t="shared" si="27"/>
        <v>1054613.6628933942</v>
      </c>
      <c r="W101" s="376">
        <f t="shared" si="27"/>
        <v>1083318.0862964764</v>
      </c>
      <c r="X101" s="376">
        <f t="shared" si="27"/>
        <v>1112679.8629072628</v>
      </c>
      <c r="Y101" s="376">
        <f t="shared" si="27"/>
        <v>1142918.1104616546</v>
      </c>
      <c r="Z101" s="376">
        <f t="shared" si="27"/>
        <v>1174032.8289596525</v>
      </c>
      <c r="AA101" s="376">
        <f t="shared" si="27"/>
        <v>1206024.0184012554</v>
      </c>
      <c r="AB101" s="376">
        <f t="shared" si="27"/>
        <v>1238891.678786464</v>
      </c>
      <c r="AC101" s="376">
        <f t="shared" si="27"/>
        <v>1272854.9278511796</v>
      </c>
      <c r="AD101" s="376">
        <f t="shared" si="27"/>
        <v>1307694.6478595007</v>
      </c>
      <c r="AE101" s="376">
        <f t="shared" si="27"/>
        <v>1343629.956547329</v>
      </c>
      <c r="AF101" s="376">
        <f t="shared" si="27"/>
        <v>1380660.8539146639</v>
      </c>
      <c r="AG101" s="376">
        <f t="shared" si="27"/>
        <v>1418568.2222256046</v>
      </c>
    </row>
    <row r="102" spans="1:34">
      <c r="A102" s="300" t="s">
        <v>321</v>
      </c>
      <c r="B102" s="300" t="s">
        <v>309</v>
      </c>
      <c r="C102" s="376">
        <f t="shared" ref="C102:AG102" si="28">$E$38*C44</f>
        <v>1619512.1951219512</v>
      </c>
      <c r="D102" s="376">
        <f t="shared" si="28"/>
        <v>1678048.7804878049</v>
      </c>
      <c r="E102" s="376">
        <f t="shared" si="28"/>
        <v>1728390.243902439</v>
      </c>
      <c r="F102" s="376">
        <f t="shared" si="28"/>
        <v>1780241.9512195121</v>
      </c>
      <c r="G102" s="376">
        <f t="shared" si="28"/>
        <v>1833649.2097560975</v>
      </c>
      <c r="H102" s="376">
        <f t="shared" si="28"/>
        <v>1888658.6860487803</v>
      </c>
      <c r="I102" s="376">
        <f t="shared" si="28"/>
        <v>1945318.4466302439</v>
      </c>
      <c r="J102" s="376">
        <f t="shared" si="28"/>
        <v>2003678.0000291513</v>
      </c>
      <c r="K102" s="376">
        <f t="shared" si="28"/>
        <v>2063788.3400300262</v>
      </c>
      <c r="L102" s="376">
        <f t="shared" si="28"/>
        <v>2125701.9902309268</v>
      </c>
      <c r="M102" s="376">
        <f t="shared" si="28"/>
        <v>2189473.0499378545</v>
      </c>
      <c r="N102" s="376">
        <f t="shared" si="28"/>
        <v>2255157.2414359902</v>
      </c>
      <c r="O102" s="376">
        <f t="shared" si="28"/>
        <v>2322811.9586790702</v>
      </c>
      <c r="P102" s="376">
        <f t="shared" si="28"/>
        <v>2392496.3174394425</v>
      </c>
      <c r="Q102" s="376">
        <f t="shared" si="28"/>
        <v>2464271.2069626255</v>
      </c>
      <c r="R102" s="376">
        <f t="shared" si="28"/>
        <v>2538199.3431715043</v>
      </c>
      <c r="S102" s="376">
        <f t="shared" si="28"/>
        <v>2614345.3234666493</v>
      </c>
      <c r="T102" s="376">
        <f t="shared" si="28"/>
        <v>2692775.6831706492</v>
      </c>
      <c r="U102" s="376">
        <f t="shared" si="28"/>
        <v>2773558.9536657687</v>
      </c>
      <c r="V102" s="376">
        <f t="shared" si="28"/>
        <v>2856765.7222757419</v>
      </c>
      <c r="W102" s="376">
        <f t="shared" si="28"/>
        <v>2942468.6939440141</v>
      </c>
      <c r="X102" s="376">
        <f t="shared" si="28"/>
        <v>3030742.7547623347</v>
      </c>
      <c r="Y102" s="376">
        <f t="shared" si="28"/>
        <v>3121665.037405205</v>
      </c>
      <c r="Z102" s="376">
        <f t="shared" si="28"/>
        <v>3215314.9885273613</v>
      </c>
      <c r="AA102" s="376">
        <f t="shared" si="28"/>
        <v>3311774.4381831819</v>
      </c>
      <c r="AB102" s="376">
        <f t="shared" si="28"/>
        <v>3411127.6713286773</v>
      </c>
      <c r="AC102" s="376">
        <f t="shared" si="28"/>
        <v>3513461.5014685378</v>
      </c>
      <c r="AD102" s="376">
        <f t="shared" si="28"/>
        <v>3618865.3465125943</v>
      </c>
      <c r="AE102" s="376">
        <f t="shared" si="28"/>
        <v>3727431.3069079719</v>
      </c>
      <c r="AF102" s="376">
        <f t="shared" si="28"/>
        <v>3839254.2461152109</v>
      </c>
      <c r="AG102" s="376">
        <f t="shared" si="28"/>
        <v>3954431.8734986675</v>
      </c>
    </row>
    <row r="103" spans="1:34">
      <c r="A103" s="300" t="s">
        <v>317</v>
      </c>
      <c r="B103" s="300" t="s">
        <v>309</v>
      </c>
      <c r="C103" s="376">
        <f t="shared" ref="C103:AG103" si="29">C56*$C$21*$C$22</f>
        <v>432000</v>
      </c>
      <c r="D103" s="376">
        <f t="shared" si="29"/>
        <v>449280.00000000006</v>
      </c>
      <c r="E103" s="376">
        <f t="shared" si="29"/>
        <v>467251.20000000001</v>
      </c>
      <c r="F103" s="376">
        <f t="shared" si="29"/>
        <v>485941.24800000014</v>
      </c>
      <c r="G103" s="376">
        <f t="shared" si="29"/>
        <v>505378.89792000019</v>
      </c>
      <c r="H103" s="376">
        <f t="shared" si="29"/>
        <v>525594.05383680016</v>
      </c>
      <c r="I103" s="376">
        <f t="shared" si="29"/>
        <v>546617.81599027221</v>
      </c>
      <c r="J103" s="376">
        <f t="shared" si="29"/>
        <v>568482.52862988319</v>
      </c>
      <c r="K103" s="376">
        <f t="shared" si="29"/>
        <v>591221.82977507845</v>
      </c>
      <c r="L103" s="376">
        <f t="shared" si="29"/>
        <v>614870.70296608168</v>
      </c>
      <c r="M103" s="376">
        <f t="shared" si="29"/>
        <v>639465.53108472505</v>
      </c>
      <c r="N103" s="376">
        <f t="shared" si="29"/>
        <v>665044.15232811403</v>
      </c>
      <c r="O103" s="376">
        <f t="shared" si="29"/>
        <v>691645.91842123854</v>
      </c>
      <c r="P103" s="376">
        <f t="shared" si="29"/>
        <v>719311.75515808817</v>
      </c>
      <c r="Q103" s="376">
        <f t="shared" si="29"/>
        <v>748084.22536441172</v>
      </c>
      <c r="R103" s="376">
        <f t="shared" si="29"/>
        <v>778007.59437898814</v>
      </c>
      <c r="S103" s="376">
        <f t="shared" si="29"/>
        <v>809127.89815414767</v>
      </c>
      <c r="T103" s="376">
        <f t="shared" si="29"/>
        <v>841493.01408031362</v>
      </c>
      <c r="U103" s="376">
        <f t="shared" si="29"/>
        <v>875152.73464352626</v>
      </c>
      <c r="V103" s="376">
        <f t="shared" si="29"/>
        <v>910158.84402926732</v>
      </c>
      <c r="W103" s="376">
        <f t="shared" si="29"/>
        <v>946565.19779043796</v>
      </c>
      <c r="X103" s="376">
        <f t="shared" si="29"/>
        <v>984427.8057020558</v>
      </c>
      <c r="Y103" s="376">
        <f t="shared" si="29"/>
        <v>1023804.9179301379</v>
      </c>
      <c r="Z103" s="376">
        <f t="shared" si="29"/>
        <v>1064757.1146473435</v>
      </c>
      <c r="AA103" s="376">
        <f t="shared" si="29"/>
        <v>1107347.3992332374</v>
      </c>
      <c r="AB103" s="376">
        <f t="shared" si="29"/>
        <v>1151641.295202567</v>
      </c>
      <c r="AC103" s="376">
        <f t="shared" si="29"/>
        <v>1197706.9470106699</v>
      </c>
      <c r="AD103" s="376">
        <f t="shared" si="29"/>
        <v>1245615.2248910968</v>
      </c>
      <c r="AE103" s="376">
        <f t="shared" si="29"/>
        <v>1295439.8338867405</v>
      </c>
      <c r="AF103" s="376">
        <f t="shared" si="29"/>
        <v>1347257.4272422101</v>
      </c>
      <c r="AG103" s="376">
        <f t="shared" si="29"/>
        <v>1401147.7243318986</v>
      </c>
    </row>
    <row r="104" spans="1:34">
      <c r="A104" s="368" t="s">
        <v>318</v>
      </c>
      <c r="B104" s="368" t="s">
        <v>313</v>
      </c>
      <c r="C104" s="376">
        <f>'Changing with year'!C287</f>
        <v>400000</v>
      </c>
      <c r="D104" s="376">
        <f>'Changing with year'!D287</f>
        <v>418000</v>
      </c>
      <c r="E104" s="376">
        <f>'Changing with year'!E287</f>
        <v>437000</v>
      </c>
      <c r="F104" s="376">
        <f>'Changing with year'!F287</f>
        <v>457000</v>
      </c>
      <c r="G104" s="376">
        <f>'Changing with year'!G287</f>
        <v>478000</v>
      </c>
      <c r="H104" s="376">
        <f>'Changing with year'!H287</f>
        <v>500000</v>
      </c>
      <c r="I104" s="376">
        <f>'Changing with year'!I287</f>
        <v>523000</v>
      </c>
      <c r="J104" s="376">
        <f>'Changing with year'!J287</f>
        <v>547000</v>
      </c>
      <c r="K104" s="376">
        <f>'Changing with year'!K287</f>
        <v>572000</v>
      </c>
      <c r="L104" s="376">
        <f>'Changing with year'!L287</f>
        <v>598000</v>
      </c>
      <c r="M104" s="376">
        <f>'Changing with year'!M287</f>
        <v>625000</v>
      </c>
      <c r="N104" s="376">
        <f>'Changing with year'!N287</f>
        <v>653000</v>
      </c>
      <c r="O104" s="376">
        <f>'Changing with year'!O287</f>
        <v>682000</v>
      </c>
      <c r="P104" s="376">
        <f>'Changing with year'!P287</f>
        <v>713000</v>
      </c>
      <c r="Q104" s="376">
        <f>'Changing with year'!Q287</f>
        <v>745000</v>
      </c>
      <c r="R104" s="376">
        <f>'Changing with year'!R287</f>
        <v>779000</v>
      </c>
      <c r="S104" s="376">
        <f>'Changing with year'!S287</f>
        <v>814000</v>
      </c>
      <c r="T104" s="376">
        <f>'Changing with year'!T287</f>
        <v>851000</v>
      </c>
      <c r="U104" s="376">
        <f>'Changing with year'!U287</f>
        <v>889000</v>
      </c>
      <c r="V104" s="376">
        <f>'Changing with year'!V287</f>
        <v>929000</v>
      </c>
      <c r="W104" s="376">
        <f>'Changing with year'!W287</f>
        <v>971000</v>
      </c>
      <c r="X104" s="376">
        <f>'Changing with year'!X287</f>
        <v>1015000</v>
      </c>
      <c r="Y104" s="376">
        <f>'Changing with year'!Y287</f>
        <v>1061000</v>
      </c>
      <c r="Z104" s="376">
        <f>'Changing with year'!Z287</f>
        <v>1109000</v>
      </c>
      <c r="AA104" s="376">
        <f>'Changing with year'!AA287</f>
        <v>1159000</v>
      </c>
      <c r="AB104" s="376">
        <f>'Changing with year'!AB287</f>
        <v>1211000</v>
      </c>
      <c r="AC104" s="376">
        <f>'Changing with year'!AC287</f>
        <v>1265000</v>
      </c>
      <c r="AD104" s="376">
        <f>'Changing with year'!AD287</f>
        <v>1322000</v>
      </c>
      <c r="AE104" s="376">
        <f>'Changing with year'!AE287</f>
        <v>1381000</v>
      </c>
      <c r="AF104" s="376">
        <f>'Changing with year'!AF287</f>
        <v>1443000</v>
      </c>
      <c r="AG104" s="376">
        <f>'Changing with year'!AG287</f>
        <v>1508000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0">C59</f>
        <v>636000</v>
      </c>
      <c r="D105" s="376">
        <f t="shared" si="30"/>
        <v>642360</v>
      </c>
      <c r="E105" s="376">
        <f t="shared" si="30"/>
        <v>648783.6</v>
      </c>
      <c r="F105" s="376">
        <f t="shared" si="30"/>
        <v>655271.43599999999</v>
      </c>
      <c r="G105" s="376">
        <f t="shared" si="30"/>
        <v>661824.15035999997</v>
      </c>
      <c r="H105" s="376">
        <f t="shared" si="30"/>
        <v>668442.3918636</v>
      </c>
      <c r="I105" s="376">
        <f t="shared" si="30"/>
        <v>675126.81578223605</v>
      </c>
      <c r="J105" s="376">
        <f t="shared" si="30"/>
        <v>681878.08394005825</v>
      </c>
      <c r="K105" s="376">
        <f t="shared" si="30"/>
        <v>688696.86477945896</v>
      </c>
      <c r="L105" s="376">
        <f t="shared" si="30"/>
        <v>695583.83342725353</v>
      </c>
      <c r="M105" s="376">
        <f t="shared" si="30"/>
        <v>702539.67176152603</v>
      </c>
      <c r="N105" s="376">
        <f t="shared" si="30"/>
        <v>709565.06847914134</v>
      </c>
      <c r="O105" s="376">
        <f t="shared" si="30"/>
        <v>716660.7191639326</v>
      </c>
      <c r="P105" s="376">
        <f t="shared" si="30"/>
        <v>723827.32635557198</v>
      </c>
      <c r="Q105" s="376">
        <f t="shared" si="30"/>
        <v>731065.59961912769</v>
      </c>
      <c r="R105" s="376">
        <f t="shared" si="30"/>
        <v>738376.25561531901</v>
      </c>
      <c r="S105" s="376">
        <f t="shared" si="30"/>
        <v>745760.01817147224</v>
      </c>
      <c r="T105" s="376">
        <f t="shared" si="30"/>
        <v>753217.61835318699</v>
      </c>
      <c r="U105" s="376">
        <f t="shared" si="30"/>
        <v>760749.79453671887</v>
      </c>
      <c r="V105" s="376">
        <f t="shared" si="30"/>
        <v>768357.29248208611</v>
      </c>
      <c r="W105" s="376">
        <f t="shared" si="30"/>
        <v>776040.86540690705</v>
      </c>
      <c r="X105" s="376">
        <f t="shared" si="30"/>
        <v>783801.27406097599</v>
      </c>
      <c r="Y105" s="376">
        <f t="shared" si="30"/>
        <v>791639.28680158569</v>
      </c>
      <c r="Z105" s="376">
        <f t="shared" si="30"/>
        <v>799555.67966960161</v>
      </c>
      <c r="AA105" s="376">
        <f t="shared" si="30"/>
        <v>807551.23646629776</v>
      </c>
      <c r="AB105" s="376">
        <f t="shared" si="30"/>
        <v>815626.74883096071</v>
      </c>
      <c r="AC105" s="376">
        <f t="shared" si="30"/>
        <v>823783.01631927036</v>
      </c>
      <c r="AD105" s="376">
        <f t="shared" si="30"/>
        <v>832020.84648246306</v>
      </c>
      <c r="AE105" s="376">
        <f t="shared" si="30"/>
        <v>840341.05494728766</v>
      </c>
      <c r="AF105" s="376">
        <f t="shared" si="30"/>
        <v>848744.46549676056</v>
      </c>
      <c r="AG105" s="376">
        <f t="shared" si="30"/>
        <v>857231.91015172808</v>
      </c>
    </row>
    <row r="106" spans="1:34">
      <c r="A106" s="300" t="s">
        <v>319</v>
      </c>
      <c r="B106" s="300" t="s">
        <v>309</v>
      </c>
      <c r="C106" s="376">
        <f t="shared" ref="C106:AG106" si="31">C98*$C$29</f>
        <v>51600</v>
      </c>
      <c r="D106" s="376">
        <f t="shared" si="31"/>
        <v>52920</v>
      </c>
      <c r="E106" s="376">
        <f t="shared" si="31"/>
        <v>54280</v>
      </c>
      <c r="F106" s="376">
        <f t="shared" si="31"/>
        <v>55660</v>
      </c>
      <c r="G106" s="376">
        <f t="shared" si="31"/>
        <v>57100</v>
      </c>
      <c r="H106" s="376">
        <f t="shared" si="31"/>
        <v>66580</v>
      </c>
      <c r="I106" s="376">
        <f t="shared" si="31"/>
        <v>68320</v>
      </c>
      <c r="J106" s="376">
        <f t="shared" si="31"/>
        <v>70120</v>
      </c>
      <c r="K106" s="376">
        <f t="shared" si="31"/>
        <v>71980</v>
      </c>
      <c r="L106" s="376">
        <f t="shared" si="31"/>
        <v>73900</v>
      </c>
      <c r="M106" s="376">
        <f t="shared" si="31"/>
        <v>75860</v>
      </c>
      <c r="N106" s="376">
        <f t="shared" si="31"/>
        <v>77880</v>
      </c>
      <c r="O106" s="376">
        <f t="shared" si="31"/>
        <v>79940</v>
      </c>
      <c r="P106" s="376">
        <f t="shared" si="31"/>
        <v>82080</v>
      </c>
      <c r="Q106" s="376">
        <f t="shared" si="31"/>
        <v>84280</v>
      </c>
      <c r="R106" s="376">
        <f t="shared" si="31"/>
        <v>86540</v>
      </c>
      <c r="S106" s="376">
        <f t="shared" si="31"/>
        <v>88880</v>
      </c>
      <c r="T106" s="376">
        <f t="shared" si="31"/>
        <v>91260</v>
      </c>
      <c r="U106" s="376">
        <f t="shared" si="31"/>
        <v>93740</v>
      </c>
      <c r="V106" s="376">
        <f t="shared" si="31"/>
        <v>96260</v>
      </c>
      <c r="W106" s="376">
        <f t="shared" si="31"/>
        <v>98880</v>
      </c>
      <c r="X106" s="376">
        <f t="shared" si="31"/>
        <v>101560</v>
      </c>
      <c r="Y106" s="376">
        <f t="shared" si="31"/>
        <v>104320</v>
      </c>
      <c r="Z106" s="376">
        <f t="shared" si="31"/>
        <v>107160</v>
      </c>
      <c r="AA106" s="376">
        <f t="shared" si="31"/>
        <v>110080</v>
      </c>
      <c r="AB106" s="376">
        <f t="shared" si="31"/>
        <v>113080</v>
      </c>
      <c r="AC106" s="376">
        <f t="shared" si="31"/>
        <v>116180</v>
      </c>
      <c r="AD106" s="376">
        <f t="shared" si="31"/>
        <v>119360</v>
      </c>
      <c r="AE106" s="376">
        <f t="shared" si="31"/>
        <v>122640</v>
      </c>
      <c r="AF106" s="376">
        <f t="shared" si="31"/>
        <v>126020</v>
      </c>
      <c r="AG106" s="376">
        <f t="shared" si="31"/>
        <v>129480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8" si="32">C101/($C$22*$C$21)</f>
        <v>4.7110313218799034</v>
      </c>
      <c r="D108" s="379">
        <f t="shared" si="32"/>
        <v>4.8315460766256688</v>
      </c>
      <c r="E108" s="379">
        <f t="shared" si="32"/>
        <v>4.9557127936364571</v>
      </c>
      <c r="F108" s="379">
        <f t="shared" si="32"/>
        <v>5.0817054917797559</v>
      </c>
      <c r="G108" s="379">
        <f t="shared" si="32"/>
        <v>5.2131761333205908</v>
      </c>
      <c r="H108" s="379">
        <f t="shared" si="32"/>
        <v>6.0786911901310843</v>
      </c>
      <c r="I108" s="379">
        <f t="shared" si="32"/>
        <v>6.237551548659594</v>
      </c>
      <c r="J108" s="379">
        <f t="shared" si="32"/>
        <v>6.4018898505856363</v>
      </c>
      <c r="K108" s="379">
        <f t="shared" si="32"/>
        <v>6.5717060959092146</v>
      </c>
      <c r="L108" s="379">
        <f t="shared" si="32"/>
        <v>6.7470002846303272</v>
      </c>
      <c r="M108" s="379">
        <f t="shared" si="32"/>
        <v>6.9259464356164635</v>
      </c>
      <c r="N108" s="379">
        <f t="shared" si="32"/>
        <v>7.1103705300001341</v>
      </c>
      <c r="O108" s="379">
        <f t="shared" si="32"/>
        <v>7.2984465866488275</v>
      </c>
      <c r="P108" s="379">
        <f t="shared" si="32"/>
        <v>7.4938265678275675</v>
      </c>
      <c r="Q108" s="379">
        <f t="shared" si="32"/>
        <v>7.6946844924038436</v>
      </c>
      <c r="R108" s="379">
        <f t="shared" si="32"/>
        <v>7.9010203603776521</v>
      </c>
      <c r="S108" s="379">
        <f t="shared" si="32"/>
        <v>8.114660152881509</v>
      </c>
      <c r="T108" s="379">
        <f t="shared" si="32"/>
        <v>8.331951907650387</v>
      </c>
      <c r="U108" s="379">
        <f t="shared" si="32"/>
        <v>8.5583735680818265</v>
      </c>
      <c r="V108" s="379">
        <f t="shared" si="32"/>
        <v>8.7884471907782853</v>
      </c>
      <c r="W108" s="379">
        <f t="shared" si="32"/>
        <v>9.0276507191373039</v>
      </c>
      <c r="X108" s="379">
        <f t="shared" si="32"/>
        <v>9.2723321908938559</v>
      </c>
      <c r="Y108" s="379">
        <f t="shared" si="32"/>
        <v>9.5243175871804553</v>
      </c>
      <c r="Z108" s="379">
        <f t="shared" si="32"/>
        <v>9.783606907997104</v>
      </c>
      <c r="AA108" s="379">
        <f t="shared" si="32"/>
        <v>10.050200153343795</v>
      </c>
      <c r="AB108" s="379">
        <f t="shared" si="32"/>
        <v>10.324097323220533</v>
      </c>
      <c r="AC108" s="379">
        <f t="shared" si="32"/>
        <v>10.607124398759829</v>
      </c>
      <c r="AD108" s="379">
        <f t="shared" si="32"/>
        <v>10.897455398829173</v>
      </c>
      <c r="AE108" s="379">
        <f t="shared" si="32"/>
        <v>11.196916304561075</v>
      </c>
      <c r="AF108" s="379">
        <f t="shared" si="32"/>
        <v>11.505507115955533</v>
      </c>
      <c r="AG108" s="379">
        <f t="shared" si="32"/>
        <v>11.821401851880038</v>
      </c>
    </row>
    <row r="109" spans="1:34">
      <c r="A109" s="300" t="s">
        <v>321</v>
      </c>
      <c r="B109" s="300" t="s">
        <v>300</v>
      </c>
      <c r="C109" s="379">
        <f t="shared" ref="C109:AG109" si="33">C102/($C$22*$C$21)</f>
        <v>13.495934959349594</v>
      </c>
      <c r="D109" s="379">
        <f t="shared" si="33"/>
        <v>13.983739837398375</v>
      </c>
      <c r="E109" s="379">
        <f t="shared" si="33"/>
        <v>14.403252032520324</v>
      </c>
      <c r="F109" s="379">
        <f t="shared" si="33"/>
        <v>14.835349593495934</v>
      </c>
      <c r="G109" s="379">
        <f t="shared" si="33"/>
        <v>15.280410081300813</v>
      </c>
      <c r="H109" s="379">
        <f t="shared" si="33"/>
        <v>15.738822383739835</v>
      </c>
      <c r="I109" s="379">
        <f t="shared" si="33"/>
        <v>16.210987055252033</v>
      </c>
      <c r="J109" s="379">
        <f t="shared" si="33"/>
        <v>16.697316666909593</v>
      </c>
      <c r="K109" s="379">
        <f t="shared" si="33"/>
        <v>17.198236166916885</v>
      </c>
      <c r="L109" s="379">
        <f t="shared" si="33"/>
        <v>17.714183251924389</v>
      </c>
      <c r="M109" s="379">
        <f t="shared" si="33"/>
        <v>18.24560874948212</v>
      </c>
      <c r="N109" s="379">
        <f t="shared" si="33"/>
        <v>18.792977011966585</v>
      </c>
      <c r="O109" s="379">
        <f t="shared" si="33"/>
        <v>19.356766322325587</v>
      </c>
      <c r="P109" s="379">
        <f t="shared" si="33"/>
        <v>19.937469311995354</v>
      </c>
      <c r="Q109" s="379">
        <f t="shared" si="33"/>
        <v>20.535593391355214</v>
      </c>
      <c r="R109" s="379">
        <f t="shared" si="33"/>
        <v>21.151661193095869</v>
      </c>
      <c r="S109" s="379">
        <f t="shared" si="33"/>
        <v>21.786211028888744</v>
      </c>
      <c r="T109" s="379">
        <f t="shared" si="33"/>
        <v>22.43979735975541</v>
      </c>
      <c r="U109" s="379">
        <f t="shared" si="33"/>
        <v>23.112991280548073</v>
      </c>
      <c r="V109" s="379">
        <f t="shared" si="33"/>
        <v>23.806381018964515</v>
      </c>
      <c r="W109" s="379">
        <f t="shared" si="33"/>
        <v>24.52057244953345</v>
      </c>
      <c r="X109" s="379">
        <f t="shared" si="33"/>
        <v>25.256189623019456</v>
      </c>
      <c r="Y109" s="379">
        <f t="shared" si="33"/>
        <v>26.013875311710041</v>
      </c>
      <c r="Z109" s="379">
        <f t="shared" si="33"/>
        <v>26.794291571061343</v>
      </c>
      <c r="AA109" s="379">
        <f t="shared" si="33"/>
        <v>27.598120318193182</v>
      </c>
      <c r="AB109" s="379">
        <f t="shared" si="33"/>
        <v>28.426063927738976</v>
      </c>
      <c r="AC109" s="379">
        <f t="shared" si="33"/>
        <v>29.278845845571148</v>
      </c>
      <c r="AD109" s="379">
        <f t="shared" si="33"/>
        <v>30.157211220938287</v>
      </c>
      <c r="AE109" s="379">
        <f t="shared" si="33"/>
        <v>31.061927557566431</v>
      </c>
      <c r="AF109" s="379">
        <f t="shared" si="33"/>
        <v>31.993785384293425</v>
      </c>
      <c r="AG109" s="379">
        <f t="shared" si="33"/>
        <v>32.953598945822229</v>
      </c>
    </row>
    <row r="110" spans="1:34">
      <c r="A110" s="300" t="s">
        <v>322</v>
      </c>
      <c r="B110" s="300" t="s">
        <v>300</v>
      </c>
      <c r="C110" s="379">
        <f t="shared" ref="C110:AG110" si="34">(C103+C104+C105+C106)/($C$22*$C$21)</f>
        <v>12.663333333333334</v>
      </c>
      <c r="D110" s="379">
        <f t="shared" si="34"/>
        <v>13.021333333333333</v>
      </c>
      <c r="E110" s="379">
        <f t="shared" si="34"/>
        <v>13.394289999999998</v>
      </c>
      <c r="F110" s="379">
        <f t="shared" si="34"/>
        <v>13.782272366666668</v>
      </c>
      <c r="G110" s="379">
        <f t="shared" si="34"/>
        <v>14.185858735666669</v>
      </c>
      <c r="H110" s="379">
        <f t="shared" si="34"/>
        <v>14.67180371417</v>
      </c>
      <c r="I110" s="379">
        <f t="shared" si="34"/>
        <v>15.108871931437569</v>
      </c>
      <c r="J110" s="379">
        <f t="shared" si="34"/>
        <v>15.562338438082845</v>
      </c>
      <c r="K110" s="379">
        <f t="shared" si="34"/>
        <v>16.032489121287814</v>
      </c>
      <c r="L110" s="379">
        <f t="shared" si="34"/>
        <v>16.519621136611125</v>
      </c>
      <c r="M110" s="379">
        <f t="shared" si="34"/>
        <v>17.023876690385428</v>
      </c>
      <c r="N110" s="379">
        <f t="shared" si="34"/>
        <v>17.545743506727128</v>
      </c>
      <c r="O110" s="379">
        <f t="shared" si="34"/>
        <v>18.085388646543095</v>
      </c>
      <c r="P110" s="379">
        <f t="shared" si="34"/>
        <v>18.651825679280499</v>
      </c>
      <c r="Q110" s="379">
        <f t="shared" si="34"/>
        <v>19.236915208196162</v>
      </c>
      <c r="R110" s="379">
        <f t="shared" si="34"/>
        <v>19.849365416619229</v>
      </c>
      <c r="S110" s="379">
        <f t="shared" si="34"/>
        <v>20.481399302713498</v>
      </c>
      <c r="T110" s="379">
        <f t="shared" si="34"/>
        <v>21.141421936945839</v>
      </c>
      <c r="U110" s="379">
        <f t="shared" si="34"/>
        <v>21.822021076502047</v>
      </c>
      <c r="V110" s="379">
        <f t="shared" si="34"/>
        <v>22.531467804261279</v>
      </c>
      <c r="W110" s="379">
        <f t="shared" si="34"/>
        <v>23.27071719331121</v>
      </c>
      <c r="X110" s="379">
        <f t="shared" si="34"/>
        <v>24.039908998025265</v>
      </c>
      <c r="Y110" s="379">
        <f t="shared" si="34"/>
        <v>24.839701706097696</v>
      </c>
      <c r="Z110" s="379">
        <f t="shared" si="34"/>
        <v>25.670606619307879</v>
      </c>
      <c r="AA110" s="379">
        <f t="shared" si="34"/>
        <v>26.533155297496126</v>
      </c>
      <c r="AB110" s="379">
        <f t="shared" si="34"/>
        <v>27.427900366946066</v>
      </c>
      <c r="AC110" s="379">
        <f t="shared" si="34"/>
        <v>28.3555830277495</v>
      </c>
      <c r="AD110" s="379">
        <f t="shared" si="34"/>
        <v>29.324967261446332</v>
      </c>
      <c r="AE110" s="379">
        <f t="shared" si="34"/>
        <v>30.328507406950237</v>
      </c>
      <c r="AF110" s="379">
        <f t="shared" si="34"/>
        <v>31.375182439491425</v>
      </c>
      <c r="AG110" s="379">
        <f t="shared" si="34"/>
        <v>32.465496954030222</v>
      </c>
    </row>
    <row r="111" spans="1:34">
      <c r="A111" s="300" t="s">
        <v>310</v>
      </c>
      <c r="B111" s="300" t="s">
        <v>300</v>
      </c>
      <c r="C111" s="379">
        <f t="shared" ref="C111:AG111" si="35">C99/($C$22*$C$21*7)</f>
        <v>1.5357142857142858</v>
      </c>
      <c r="D111" s="379">
        <f t="shared" si="35"/>
        <v>1.575</v>
      </c>
      <c r="E111" s="379">
        <f t="shared" si="35"/>
        <v>1.6154761904761905</v>
      </c>
      <c r="F111" s="379">
        <f t="shared" si="35"/>
        <v>1.6565476190476192</v>
      </c>
      <c r="G111" s="379">
        <f t="shared" si="35"/>
        <v>1.6994047619047619</v>
      </c>
      <c r="H111" s="379">
        <f t="shared" si="35"/>
        <v>1.9815476190476191</v>
      </c>
      <c r="I111" s="379">
        <f t="shared" si="35"/>
        <v>2.0333333333333332</v>
      </c>
      <c r="J111" s="379">
        <f t="shared" si="35"/>
        <v>2.086904761904762</v>
      </c>
      <c r="K111" s="379">
        <f t="shared" si="35"/>
        <v>2.1422619047619049</v>
      </c>
      <c r="L111" s="379">
        <f t="shared" si="35"/>
        <v>2.1994047619047619</v>
      </c>
      <c r="M111" s="379">
        <f t="shared" si="35"/>
        <v>2.2577380952380954</v>
      </c>
      <c r="N111" s="379">
        <f t="shared" si="35"/>
        <v>1.8542857142857145</v>
      </c>
      <c r="O111" s="379">
        <f t="shared" si="35"/>
        <v>1.9033333333333335</v>
      </c>
      <c r="P111" s="379">
        <f t="shared" si="35"/>
        <v>1.9542857142857146</v>
      </c>
      <c r="Q111" s="379">
        <f t="shared" si="35"/>
        <v>2.0066666666666668</v>
      </c>
      <c r="R111" s="379">
        <f t="shared" si="35"/>
        <v>2.0604761904761908</v>
      </c>
      <c r="S111" s="379">
        <f t="shared" si="35"/>
        <v>2.1161904761904764</v>
      </c>
      <c r="T111" s="379">
        <f t="shared" si="35"/>
        <v>2.1728571428571435</v>
      </c>
      <c r="U111" s="379">
        <f t="shared" si="35"/>
        <v>2.2319047619047625</v>
      </c>
      <c r="V111" s="379">
        <f t="shared" si="35"/>
        <v>2.2919047619047626</v>
      </c>
      <c r="W111" s="379">
        <f t="shared" si="35"/>
        <v>2.354285714285715</v>
      </c>
      <c r="X111" s="379">
        <f t="shared" si="35"/>
        <v>1.8135714285714288</v>
      </c>
      <c r="Y111" s="379">
        <f t="shared" si="35"/>
        <v>1.8628571428571432</v>
      </c>
      <c r="Z111" s="379">
        <f t="shared" si="35"/>
        <v>1.9135714285714289</v>
      </c>
      <c r="AA111" s="379">
        <f t="shared" si="35"/>
        <v>1.965714285714286</v>
      </c>
      <c r="AB111" s="379">
        <f t="shared" si="35"/>
        <v>2.0192857142857146</v>
      </c>
      <c r="AC111" s="379">
        <f t="shared" si="35"/>
        <v>2.0746428571428575</v>
      </c>
      <c r="AD111" s="379">
        <f t="shared" si="35"/>
        <v>2.1314285714285717</v>
      </c>
      <c r="AE111" s="379">
        <f t="shared" si="35"/>
        <v>2.1900000000000004</v>
      </c>
      <c r="AF111" s="379">
        <f t="shared" si="35"/>
        <v>2.2503571428571432</v>
      </c>
      <c r="AG111" s="379">
        <f t="shared" si="35"/>
        <v>2.3121428571428573</v>
      </c>
    </row>
    <row r="112" spans="1:34" s="352" customFormat="1">
      <c r="A112" s="380" t="s">
        <v>323</v>
      </c>
      <c r="B112" s="352" t="s">
        <v>300</v>
      </c>
      <c r="C112" s="381">
        <f t="shared" ref="C112:AG112" si="36">SUM(C108:C110)-C111</f>
        <v>29.334585328848547</v>
      </c>
      <c r="D112" s="381">
        <f t="shared" si="36"/>
        <v>30.261619247357377</v>
      </c>
      <c r="E112" s="381">
        <f t="shared" si="36"/>
        <v>31.137778635680586</v>
      </c>
      <c r="F112" s="381">
        <f t="shared" si="36"/>
        <v>32.042779832894738</v>
      </c>
      <c r="G112" s="381">
        <f t="shared" si="36"/>
        <v>32.980040188383313</v>
      </c>
      <c r="H112" s="381">
        <f t="shared" si="36"/>
        <v>34.507769668993305</v>
      </c>
      <c r="I112" s="381">
        <f t="shared" si="36"/>
        <v>35.524077202015867</v>
      </c>
      <c r="J112" s="381">
        <f t="shared" si="36"/>
        <v>36.574640193673311</v>
      </c>
      <c r="K112" s="381">
        <f t="shared" si="36"/>
        <v>37.660169479352014</v>
      </c>
      <c r="L112" s="381">
        <f t="shared" si="36"/>
        <v>38.781399911261083</v>
      </c>
      <c r="M112" s="381">
        <f t="shared" si="36"/>
        <v>39.937693780245915</v>
      </c>
      <c r="N112" s="381">
        <f t="shared" si="36"/>
        <v>41.594805334408129</v>
      </c>
      <c r="O112" s="381">
        <f t="shared" si="36"/>
        <v>42.837268222184171</v>
      </c>
      <c r="P112" s="381">
        <f t="shared" si="36"/>
        <v>44.128835844817701</v>
      </c>
      <c r="Q112" s="381">
        <f t="shared" si="36"/>
        <v>45.460526425288556</v>
      </c>
      <c r="R112" s="381">
        <f t="shared" si="36"/>
        <v>46.841570779616561</v>
      </c>
      <c r="S112" s="381">
        <f t="shared" si="36"/>
        <v>48.266080008293279</v>
      </c>
      <c r="T112" s="381">
        <f t="shared" si="36"/>
        <v>49.740314061494487</v>
      </c>
      <c r="U112" s="381">
        <f t="shared" si="36"/>
        <v>51.261481163227181</v>
      </c>
      <c r="V112" s="381">
        <f t="shared" si="36"/>
        <v>52.834391252099323</v>
      </c>
      <c r="W112" s="381">
        <f t="shared" si="36"/>
        <v>54.464654647696243</v>
      </c>
      <c r="X112" s="381">
        <f t="shared" si="36"/>
        <v>56.754859383367155</v>
      </c>
      <c r="Y112" s="381">
        <f t="shared" si="36"/>
        <v>58.515037462131055</v>
      </c>
      <c r="Z112" s="381">
        <f t="shared" si="36"/>
        <v>60.334933669794893</v>
      </c>
      <c r="AA112" s="381">
        <f t="shared" si="36"/>
        <v>62.215761483318815</v>
      </c>
      <c r="AB112" s="381">
        <f t="shared" si="36"/>
        <v>64.158775903619855</v>
      </c>
      <c r="AC112" s="381">
        <f t="shared" si="36"/>
        <v>66.166910414937618</v>
      </c>
      <c r="AD112" s="381">
        <f t="shared" si="36"/>
        <v>68.24820530978522</v>
      </c>
      <c r="AE112" s="381">
        <f t="shared" si="36"/>
        <v>70.397351269077745</v>
      </c>
      <c r="AF112" s="381">
        <f t="shared" si="36"/>
        <v>72.62411779688324</v>
      </c>
      <c r="AG112" s="381">
        <f t="shared" si="36"/>
        <v>74.928354894589631</v>
      </c>
    </row>
    <row r="113" spans="1:34" s="344" customFormat="1">
      <c r="A113" s="342" t="s">
        <v>327</v>
      </c>
      <c r="B113" s="342"/>
      <c r="H113" s="382">
        <f>H115/H63</f>
        <v>1.4496431987052159</v>
      </c>
      <c r="AB113" s="382">
        <f>AB115/AB63</f>
        <v>1.1826643041893241</v>
      </c>
    </row>
    <row r="114" spans="1:34">
      <c r="A114" s="360" t="s">
        <v>41</v>
      </c>
      <c r="B114" s="360"/>
      <c r="C114" s="360">
        <v>2025</v>
      </c>
      <c r="D114" s="360">
        <f t="shared" ref="D114:AG114" si="37">C114+1</f>
        <v>2026</v>
      </c>
      <c r="E114" s="360">
        <f t="shared" si="37"/>
        <v>2027</v>
      </c>
      <c r="F114" s="360">
        <f t="shared" si="37"/>
        <v>2028</v>
      </c>
      <c r="G114" s="360">
        <f t="shared" si="37"/>
        <v>2029</v>
      </c>
      <c r="H114" s="360">
        <f t="shared" si="37"/>
        <v>2030</v>
      </c>
      <c r="I114" s="360">
        <f t="shared" si="37"/>
        <v>2031</v>
      </c>
      <c r="J114" s="360">
        <f t="shared" si="37"/>
        <v>2032</v>
      </c>
      <c r="K114" s="360">
        <f t="shared" si="37"/>
        <v>2033</v>
      </c>
      <c r="L114" s="360">
        <f t="shared" si="37"/>
        <v>2034</v>
      </c>
      <c r="M114" s="360">
        <f t="shared" si="37"/>
        <v>2035</v>
      </c>
      <c r="N114" s="360">
        <f t="shared" si="37"/>
        <v>2036</v>
      </c>
      <c r="O114" s="360">
        <f t="shared" si="37"/>
        <v>2037</v>
      </c>
      <c r="P114" s="360">
        <f t="shared" si="37"/>
        <v>2038</v>
      </c>
      <c r="Q114" s="360">
        <f t="shared" si="37"/>
        <v>2039</v>
      </c>
      <c r="R114" s="360">
        <f t="shared" si="37"/>
        <v>2040</v>
      </c>
      <c r="S114" s="360">
        <f t="shared" si="37"/>
        <v>2041</v>
      </c>
      <c r="T114" s="360">
        <f t="shared" si="37"/>
        <v>2042</v>
      </c>
      <c r="U114" s="360">
        <f t="shared" si="37"/>
        <v>2043</v>
      </c>
      <c r="V114" s="360">
        <f t="shared" si="37"/>
        <v>2044</v>
      </c>
      <c r="W114" s="360">
        <f t="shared" si="37"/>
        <v>2045</v>
      </c>
      <c r="X114" s="360">
        <f t="shared" si="37"/>
        <v>2046</v>
      </c>
      <c r="Y114" s="360">
        <f t="shared" si="37"/>
        <v>2047</v>
      </c>
      <c r="Z114" s="360">
        <f t="shared" si="37"/>
        <v>2048</v>
      </c>
      <c r="AA114" s="360">
        <f t="shared" si="37"/>
        <v>2049</v>
      </c>
      <c r="AB114" s="360">
        <f t="shared" si="37"/>
        <v>2050</v>
      </c>
      <c r="AC114" s="360">
        <f t="shared" si="37"/>
        <v>2051</v>
      </c>
      <c r="AD114" s="360">
        <f t="shared" si="37"/>
        <v>2052</v>
      </c>
      <c r="AE114" s="360">
        <f t="shared" si="37"/>
        <v>2053</v>
      </c>
      <c r="AF114" s="360">
        <f t="shared" si="37"/>
        <v>2054</v>
      </c>
      <c r="AG114" s="360">
        <f t="shared" si="37"/>
        <v>2055</v>
      </c>
    </row>
    <row r="115" spans="1:34">
      <c r="A115" s="368" t="s">
        <v>328</v>
      </c>
      <c r="B115" s="300" t="s">
        <v>309</v>
      </c>
      <c r="C115" s="376">
        <f>ROUND(('Changing with year'!C117)/1000,0)*1000</f>
        <v>3579000</v>
      </c>
      <c r="D115" s="376">
        <f>ROUND(('Changing with year'!D117)/1000,0)*1000</f>
        <v>3560000</v>
      </c>
      <c r="E115" s="376">
        <f>ROUND(('Changing with year'!E117)/1000,0)*1000</f>
        <v>3547000</v>
      </c>
      <c r="F115" s="376">
        <f>ROUND(('Changing with year'!F117)/1000,0)*1000</f>
        <v>3539000</v>
      </c>
      <c r="G115" s="376">
        <f>ROUND(('Changing with year'!G117)/1000,0)*1000</f>
        <v>3537000</v>
      </c>
      <c r="H115" s="376">
        <f>ROUND(('Changing with year'!H117)/1000,0)*1000</f>
        <v>3941000</v>
      </c>
      <c r="I115" s="376">
        <f>ROUND(('Changing with year'!I117)/1000,0)*1000</f>
        <v>3973000</v>
      </c>
      <c r="J115" s="376">
        <f>ROUND(('Changing with year'!J117)/1000,0)*1000</f>
        <v>4010000</v>
      </c>
      <c r="K115" s="376">
        <f>ROUND(('Changing with year'!K117)/1000,0)*1000</f>
        <v>4052000</v>
      </c>
      <c r="L115" s="376">
        <f>ROUND(('Changing with year'!L117)/1000,0)*1000</f>
        <v>4098000</v>
      </c>
      <c r="M115" s="376">
        <f>ROUND(('Changing with year'!M117)/1000,0)*1000</f>
        <v>4148000</v>
      </c>
      <c r="N115" s="376">
        <f>ROUND(('Changing with year'!N117)/1000,0)*1000</f>
        <v>4203000</v>
      </c>
      <c r="O115" s="376">
        <f>ROUND(('Changing with year'!O117)/1000,0)*1000</f>
        <v>4262000</v>
      </c>
      <c r="P115" s="376">
        <f>ROUND(('Changing with year'!P117)/1000,0)*1000</f>
        <v>4325000</v>
      </c>
      <c r="Q115" s="376">
        <f>ROUND(('Changing with year'!Q117)/1000,0)*1000</f>
        <v>4393000</v>
      </c>
      <c r="R115" s="376">
        <f>ROUND(('Changing with year'!R117)/1000,0)*1000</f>
        <v>4466000</v>
      </c>
      <c r="S115" s="376">
        <f>ROUND(('Changing with year'!S117)/1000,0)*1000</f>
        <v>4584000</v>
      </c>
      <c r="T115" s="376">
        <f>ROUND(('Changing with year'!T117)/1000,0)*1000</f>
        <v>4705000</v>
      </c>
      <c r="U115" s="376">
        <f>ROUND(('Changing with year'!U117)/1000,0)*1000</f>
        <v>4829000</v>
      </c>
      <c r="V115" s="376">
        <f>ROUND(('Changing with year'!V117)/1000,0)*1000</f>
        <v>4957000</v>
      </c>
      <c r="W115" s="376">
        <f>ROUND(('Changing with year'!W117)/1000,0)*1000</f>
        <v>5089000</v>
      </c>
      <c r="X115" s="376">
        <f>ROUND(('Changing with year'!X117)/1000,0)*1000</f>
        <v>5225000</v>
      </c>
      <c r="Y115" s="376">
        <f>ROUND(('Changing with year'!Y117)/1000,0)*1000</f>
        <v>5364000</v>
      </c>
      <c r="Z115" s="376">
        <f>ROUND(('Changing with year'!Z117)/1000,0)*1000</f>
        <v>5508000</v>
      </c>
      <c r="AA115" s="376">
        <f>ROUND(('Changing with year'!AA117)/1000,0)*1000</f>
        <v>5656000</v>
      </c>
      <c r="AB115" s="376">
        <f>ROUND(('Changing with year'!AB117)/1000,0)*1000</f>
        <v>5807000</v>
      </c>
      <c r="AC115" s="376">
        <f>ROUND(('Changing with year'!AC117)/1000,0)*1000</f>
        <v>5964000</v>
      </c>
      <c r="AD115" s="376">
        <f>ROUND(('Changing with year'!AD117)/1000,0)*1000</f>
        <v>6125000</v>
      </c>
      <c r="AE115" s="376">
        <f>ROUND(('Changing with year'!AE117)/1000,0)*1000</f>
        <v>6290000</v>
      </c>
      <c r="AF115" s="376">
        <f>ROUND(('Changing with year'!AF117)/1000,0)*1000</f>
        <v>6460000</v>
      </c>
      <c r="AG115" s="376">
        <f>ROUND(('Changing with year'!AG117)/1000,0)*1000</f>
        <v>6635000</v>
      </c>
      <c r="AH115" s="376"/>
    </row>
    <row r="116" spans="1:34">
      <c r="A116" s="368" t="s">
        <v>310</v>
      </c>
      <c r="B116" s="300" t="s">
        <v>309</v>
      </c>
      <c r="C116" s="376">
        <f>(C115*'No change with year'!$AH$10)</f>
        <v>894750.00000000023</v>
      </c>
      <c r="D116" s="376">
        <f>(D115*'No change with year'!$AH$10)</f>
        <v>890000.00000000023</v>
      </c>
      <c r="E116" s="376">
        <f>(E115*'No change with year'!$AH$10)</f>
        <v>886750.00000000023</v>
      </c>
      <c r="F116" s="376">
        <f>(F115*'No change with year'!$AH$10)</f>
        <v>884750.00000000023</v>
      </c>
      <c r="G116" s="376">
        <f>(G115*'No change with year'!$AH$10)</f>
        <v>884250.00000000023</v>
      </c>
      <c r="H116" s="376">
        <f>(H115*'No change with year'!$AH$10)</f>
        <v>985250.00000000023</v>
      </c>
      <c r="I116" s="376">
        <f>(I115*'No change with year'!$AH$10)</f>
        <v>993250.00000000023</v>
      </c>
      <c r="J116" s="376">
        <f>(J115*'No change with year'!$AH$10)</f>
        <v>1002500.0000000002</v>
      </c>
      <c r="K116" s="376">
        <f>(K115*'No change with year'!$AH$10)</f>
        <v>1013000.0000000002</v>
      </c>
      <c r="L116" s="376">
        <f>(L115*'No change with year'!$AH$10)</f>
        <v>1024500.0000000002</v>
      </c>
      <c r="M116" s="376">
        <f>(M115*'No change with year'!$AH$10)</f>
        <v>1037000.0000000002</v>
      </c>
      <c r="N116" s="376">
        <f>(N115*'No change with year'!$AI$10)</f>
        <v>1471050.0000000005</v>
      </c>
      <c r="O116" s="376">
        <f>(O115*'No change with year'!$AI$10)</f>
        <v>1491700.0000000005</v>
      </c>
      <c r="P116" s="376">
        <f>(P115*'No change with year'!$AI$10)</f>
        <v>1513750.0000000005</v>
      </c>
      <c r="Q116" s="376">
        <f>(Q115*'No change with year'!$AI$10)</f>
        <v>1537550.0000000005</v>
      </c>
      <c r="R116" s="376">
        <f>(R115*'No change with year'!$AI$10)</f>
        <v>1563100.0000000005</v>
      </c>
      <c r="S116" s="376">
        <f>(S115*'No change with year'!$AI$10)</f>
        <v>1604400.0000000005</v>
      </c>
      <c r="T116" s="376">
        <f>(T115*'No change with year'!$AI$10)</f>
        <v>1646750.0000000005</v>
      </c>
      <c r="U116" s="376">
        <f>(U115*'No change with year'!$AI$10)</f>
        <v>1690150.0000000005</v>
      </c>
      <c r="V116" s="376">
        <f>(V115*'No change with year'!$AI$10)</f>
        <v>1734950.0000000005</v>
      </c>
      <c r="W116" s="376">
        <f>(W115*'No change with year'!$AI$10)</f>
        <v>1781150.0000000005</v>
      </c>
      <c r="X116" s="376">
        <f>(X115*'No change with year'!$AJ$10)</f>
        <v>2090000</v>
      </c>
      <c r="Y116" s="376">
        <f>(Y115*'No change with year'!$AJ$10)</f>
        <v>2145600</v>
      </c>
      <c r="Z116" s="376">
        <f>(Z115*'No change with year'!$AJ$10)</f>
        <v>2203200</v>
      </c>
      <c r="AA116" s="376">
        <f>(AA115*'No change with year'!$AJ$10)</f>
        <v>2262400</v>
      </c>
      <c r="AB116" s="376">
        <f>(AB115*'No change with year'!$AJ$10)</f>
        <v>2322800</v>
      </c>
      <c r="AC116" s="376">
        <f>(AC115*'No change with year'!$AJ$10)</f>
        <v>2385600</v>
      </c>
      <c r="AD116" s="376">
        <f>(AD115*'No change with year'!$AJ$10)</f>
        <v>2450000</v>
      </c>
      <c r="AE116" s="376">
        <f>(AE115*'No change with year'!$AJ$10)</f>
        <v>2516000</v>
      </c>
      <c r="AF116" s="376">
        <f>(AF115*'No change with year'!$AJ$10)</f>
        <v>2584000</v>
      </c>
      <c r="AG116" s="376">
        <f>(AG115*'No change with year'!$AJ$10)</f>
        <v>2654000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38">-PMT($C$26,$C$25,C115)</f>
        <v>784222.37679107802</v>
      </c>
      <c r="D118" s="376">
        <f t="shared" si="38"/>
        <v>780059.13980895153</v>
      </c>
      <c r="E118" s="376">
        <f t="shared" si="38"/>
        <v>777210.60924223345</v>
      </c>
      <c r="F118" s="376">
        <f t="shared" si="38"/>
        <v>775457.66735502228</v>
      </c>
      <c r="G118" s="376">
        <f t="shared" si="38"/>
        <v>775019.43188321951</v>
      </c>
      <c r="H118" s="376">
        <f t="shared" si="38"/>
        <v>863542.99718738138</v>
      </c>
      <c r="I118" s="376">
        <f t="shared" si="38"/>
        <v>870554.76473622594</v>
      </c>
      <c r="J118" s="376">
        <f t="shared" si="38"/>
        <v>878662.12096457742</v>
      </c>
      <c r="K118" s="376">
        <f t="shared" si="38"/>
        <v>887865.06587243581</v>
      </c>
      <c r="L118" s="376">
        <f t="shared" si="38"/>
        <v>897944.48172389972</v>
      </c>
      <c r="M118" s="376">
        <f t="shared" si="38"/>
        <v>908900.36851896928</v>
      </c>
      <c r="N118" s="376">
        <f t="shared" si="38"/>
        <v>920951.84399354586</v>
      </c>
      <c r="O118" s="376">
        <f t="shared" si="38"/>
        <v>933879.79041172797</v>
      </c>
      <c r="P118" s="376">
        <f t="shared" si="38"/>
        <v>947684.20777351549</v>
      </c>
      <c r="Q118" s="376">
        <f t="shared" si="38"/>
        <v>962584.21381481015</v>
      </c>
      <c r="R118" s="376">
        <f t="shared" si="38"/>
        <v>978579.80853561161</v>
      </c>
      <c r="S118" s="376">
        <f t="shared" si="38"/>
        <v>1004435.7013719758</v>
      </c>
      <c r="T118" s="376">
        <f t="shared" si="38"/>
        <v>1030948.9474160441</v>
      </c>
      <c r="U118" s="376">
        <f t="shared" si="38"/>
        <v>1058119.5466678166</v>
      </c>
      <c r="V118" s="376">
        <f t="shared" si="38"/>
        <v>1086166.6168631946</v>
      </c>
      <c r="W118" s="376">
        <f t="shared" si="38"/>
        <v>1115090.1580021782</v>
      </c>
      <c r="X118" s="376">
        <f t="shared" si="38"/>
        <v>1144890.1700847673</v>
      </c>
      <c r="Y118" s="376">
        <f t="shared" si="38"/>
        <v>1175347.5353750605</v>
      </c>
      <c r="Z118" s="376">
        <f t="shared" si="38"/>
        <v>1206900.4893448609</v>
      </c>
      <c r="AA118" s="376">
        <f t="shared" si="38"/>
        <v>1239329.9142582668</v>
      </c>
      <c r="AB118" s="376">
        <f t="shared" si="38"/>
        <v>1272416.6923793769</v>
      </c>
      <c r="AC118" s="376">
        <f t="shared" si="38"/>
        <v>1306818.1769158952</v>
      </c>
      <c r="AD118" s="376">
        <f t="shared" si="38"/>
        <v>1342096.1323960193</v>
      </c>
      <c r="AE118" s="376">
        <f t="shared" si="38"/>
        <v>1378250.5588197485</v>
      </c>
      <c r="AF118" s="376">
        <f t="shared" si="38"/>
        <v>1415500.573922985</v>
      </c>
      <c r="AG118" s="376">
        <f t="shared" si="38"/>
        <v>1453846.1777057284</v>
      </c>
    </row>
    <row r="119" spans="1:34">
      <c r="A119" s="300" t="s">
        <v>321</v>
      </c>
      <c r="B119" s="368" t="s">
        <v>313</v>
      </c>
      <c r="C119" s="376">
        <f t="shared" ref="C119:AG119" si="39">$F$38*C50</f>
        <v>4810000</v>
      </c>
      <c r="D119" s="376">
        <f t="shared" si="39"/>
        <v>4765333.333333334</v>
      </c>
      <c r="E119" s="376">
        <f t="shared" si="39"/>
        <v>4725123.333333334</v>
      </c>
      <c r="F119" s="376">
        <f t="shared" si="39"/>
        <v>4689270.6333333338</v>
      </c>
      <c r="G119" s="376">
        <f t="shared" si="39"/>
        <v>4657680.6543333335</v>
      </c>
      <c r="H119" s="376">
        <f t="shared" si="39"/>
        <v>4630263.4527033344</v>
      </c>
      <c r="I119" s="376">
        <f t="shared" si="39"/>
        <v>4354500.4829932004</v>
      </c>
      <c r="J119" s="376">
        <f t="shared" si="39"/>
        <v>4209366.9490302391</v>
      </c>
      <c r="K119" s="376">
        <f t="shared" si="39"/>
        <v>4069060.6436258852</v>
      </c>
      <c r="L119" s="376">
        <f t="shared" si="39"/>
        <v>3933399.3869215595</v>
      </c>
      <c r="M119" s="376">
        <f t="shared" si="39"/>
        <v>3802208.5560797681</v>
      </c>
      <c r="N119" s="376">
        <f t="shared" si="39"/>
        <v>3675320.7515451894</v>
      </c>
      <c r="O119" s="376">
        <f t="shared" si="39"/>
        <v>3552575.4786373829</v>
      </c>
      <c r="P119" s="376">
        <f t="shared" si="39"/>
        <v>3433818.8437530743</v>
      </c>
      <c r="Q119" s="376">
        <f t="shared" si="39"/>
        <v>3318903.2644905285</v>
      </c>
      <c r="R119" s="376">
        <f t="shared" si="39"/>
        <v>3207687.1930414122</v>
      </c>
      <c r="S119" s="376">
        <f t="shared" si="39"/>
        <v>2961604.0542475744</v>
      </c>
      <c r="T119" s="376">
        <f t="shared" si="39"/>
        <v>2877511.1134636025</v>
      </c>
      <c r="U119" s="376">
        <f t="shared" si="39"/>
        <v>2796410.7697233832</v>
      </c>
      <c r="V119" s="376">
        <f t="shared" si="39"/>
        <v>2718173.6789959688</v>
      </c>
      <c r="W119" s="376">
        <f t="shared" si="39"/>
        <v>2642676.5166341066</v>
      </c>
      <c r="X119" s="376">
        <f t="shared" si="39"/>
        <v>2569801.6882320237</v>
      </c>
      <c r="Y119" s="376">
        <f t="shared" si="39"/>
        <v>2499437.0546015878</v>
      </c>
      <c r="Z119" s="376">
        <f t="shared" si="39"/>
        <v>2431475.670170926</v>
      </c>
      <c r="AA119" s="376">
        <f t="shared" si="39"/>
        <v>2365815.5341440854</v>
      </c>
      <c r="AB119" s="376">
        <f t="shared" si="39"/>
        <v>2302359.353793093</v>
      </c>
      <c r="AC119" s="376">
        <f t="shared" si="39"/>
        <v>2224998.0546217873</v>
      </c>
      <c r="AD119" s="376">
        <f t="shared" si="39"/>
        <v>2232666.3706000787</v>
      </c>
      <c r="AE119" s="376">
        <f t="shared" si="39"/>
        <v>2242939.845971568</v>
      </c>
      <c r="AF119" s="376">
        <f t="shared" si="39"/>
        <v>2255776.6247519106</v>
      </c>
      <c r="AG119" s="376">
        <f t="shared" si="39"/>
        <v>2271138.8800535016</v>
      </c>
    </row>
    <row r="120" spans="1:34">
      <c r="A120" s="300" t="s">
        <v>317</v>
      </c>
      <c r="B120" s="368" t="s">
        <v>313</v>
      </c>
      <c r="C120" s="376">
        <f t="shared" ref="C120:AG120" si="40">$C$22*$C$21*C56</f>
        <v>432000</v>
      </c>
      <c r="D120" s="376">
        <f t="shared" si="40"/>
        <v>449280</v>
      </c>
      <c r="E120" s="376">
        <f t="shared" si="40"/>
        <v>467251.20000000001</v>
      </c>
      <c r="F120" s="376">
        <f t="shared" si="40"/>
        <v>485941.24800000008</v>
      </c>
      <c r="G120" s="376">
        <f t="shared" si="40"/>
        <v>505378.89792000013</v>
      </c>
      <c r="H120" s="376">
        <f t="shared" si="40"/>
        <v>525594.05383680016</v>
      </c>
      <c r="I120" s="376">
        <f t="shared" si="40"/>
        <v>546617.81599027221</v>
      </c>
      <c r="J120" s="376">
        <f t="shared" si="40"/>
        <v>568482.52862988319</v>
      </c>
      <c r="K120" s="376">
        <f t="shared" si="40"/>
        <v>591221.82977507845</v>
      </c>
      <c r="L120" s="376">
        <f t="shared" si="40"/>
        <v>614870.70296608168</v>
      </c>
      <c r="M120" s="376">
        <f t="shared" si="40"/>
        <v>639465.53108472505</v>
      </c>
      <c r="N120" s="376">
        <f t="shared" si="40"/>
        <v>665044.15232811403</v>
      </c>
      <c r="O120" s="376">
        <f t="shared" si="40"/>
        <v>691645.91842123866</v>
      </c>
      <c r="P120" s="376">
        <f t="shared" si="40"/>
        <v>719311.75515808817</v>
      </c>
      <c r="Q120" s="376">
        <f t="shared" si="40"/>
        <v>748084.22536441172</v>
      </c>
      <c r="R120" s="376">
        <f t="shared" si="40"/>
        <v>778007.59437898814</v>
      </c>
      <c r="S120" s="376">
        <f t="shared" si="40"/>
        <v>809127.89815414778</v>
      </c>
      <c r="T120" s="376">
        <f t="shared" si="40"/>
        <v>841493.01408031362</v>
      </c>
      <c r="U120" s="376">
        <f t="shared" si="40"/>
        <v>875152.73464352626</v>
      </c>
      <c r="V120" s="376">
        <f t="shared" si="40"/>
        <v>910158.84402926732</v>
      </c>
      <c r="W120" s="376">
        <f t="shared" si="40"/>
        <v>946565.19779043808</v>
      </c>
      <c r="X120" s="376">
        <f t="shared" si="40"/>
        <v>984427.80570205569</v>
      </c>
      <c r="Y120" s="376">
        <f t="shared" si="40"/>
        <v>1023804.9179301379</v>
      </c>
      <c r="Z120" s="376">
        <f t="shared" si="40"/>
        <v>1064757.1146473435</v>
      </c>
      <c r="AA120" s="376">
        <f t="shared" si="40"/>
        <v>1107347.3992332374</v>
      </c>
      <c r="AB120" s="376">
        <f t="shared" si="40"/>
        <v>1151641.295202567</v>
      </c>
      <c r="AC120" s="376">
        <f t="shared" si="40"/>
        <v>1197706.9470106696</v>
      </c>
      <c r="AD120" s="376">
        <f t="shared" si="40"/>
        <v>1245615.2248910966</v>
      </c>
      <c r="AE120" s="376">
        <f t="shared" si="40"/>
        <v>1295439.8338867405</v>
      </c>
      <c r="AF120" s="376">
        <f t="shared" si="40"/>
        <v>1347257.4272422101</v>
      </c>
      <c r="AG120" s="376">
        <f t="shared" si="40"/>
        <v>1401147.7243318986</v>
      </c>
    </row>
    <row r="121" spans="1:34">
      <c r="A121" s="368" t="s">
        <v>318</v>
      </c>
      <c r="B121" s="368" t="s">
        <v>313</v>
      </c>
      <c r="C121" s="376">
        <f>'Changing with year'!C287</f>
        <v>400000</v>
      </c>
      <c r="D121" s="376">
        <f>'Changing with year'!D287</f>
        <v>418000</v>
      </c>
      <c r="E121" s="376">
        <f>'Changing with year'!E287</f>
        <v>437000</v>
      </c>
      <c r="F121" s="376">
        <f>'Changing with year'!F287</f>
        <v>457000</v>
      </c>
      <c r="G121" s="376">
        <f>'Changing with year'!G287</f>
        <v>478000</v>
      </c>
      <c r="H121" s="376">
        <f>'Changing with year'!H287</f>
        <v>500000</v>
      </c>
      <c r="I121" s="376">
        <f>'Changing with year'!I287</f>
        <v>523000</v>
      </c>
      <c r="J121" s="376">
        <f>'Changing with year'!J287</f>
        <v>547000</v>
      </c>
      <c r="K121" s="376">
        <f>'Changing with year'!K287</f>
        <v>572000</v>
      </c>
      <c r="L121" s="376">
        <f>'Changing with year'!L287</f>
        <v>598000</v>
      </c>
      <c r="M121" s="376">
        <f>'Changing with year'!M287</f>
        <v>625000</v>
      </c>
      <c r="N121" s="376">
        <f>'Changing with year'!N287</f>
        <v>653000</v>
      </c>
      <c r="O121" s="376">
        <f>'Changing with year'!O287</f>
        <v>682000</v>
      </c>
      <c r="P121" s="376">
        <f>'Changing with year'!P287</f>
        <v>713000</v>
      </c>
      <c r="Q121" s="376">
        <f>'Changing with year'!Q287</f>
        <v>745000</v>
      </c>
      <c r="R121" s="376">
        <f>'Changing with year'!R287</f>
        <v>779000</v>
      </c>
      <c r="S121" s="376">
        <f>'Changing with year'!S287</f>
        <v>814000</v>
      </c>
      <c r="T121" s="376">
        <f>'Changing with year'!T287</f>
        <v>851000</v>
      </c>
      <c r="U121" s="376">
        <f>'Changing with year'!U287</f>
        <v>889000</v>
      </c>
      <c r="V121" s="376">
        <f>'Changing with year'!V287</f>
        <v>929000</v>
      </c>
      <c r="W121" s="376">
        <f>'Changing with year'!W287</f>
        <v>971000</v>
      </c>
      <c r="X121" s="376">
        <f>'Changing with year'!X287</f>
        <v>1015000</v>
      </c>
      <c r="Y121" s="376">
        <f>'Changing with year'!Y287</f>
        <v>1061000</v>
      </c>
      <c r="Z121" s="376">
        <f>'Changing with year'!Z287</f>
        <v>1109000</v>
      </c>
      <c r="AA121" s="376">
        <f>'Changing with year'!AA287</f>
        <v>1159000</v>
      </c>
      <c r="AB121" s="376">
        <f>'Changing with year'!AB287</f>
        <v>1211000</v>
      </c>
      <c r="AC121" s="376">
        <f>'Changing with year'!AC287</f>
        <v>1265000</v>
      </c>
      <c r="AD121" s="376">
        <f>'Changing with year'!AD287</f>
        <v>1322000</v>
      </c>
      <c r="AE121" s="376">
        <f>'Changing with year'!AE287</f>
        <v>1381000</v>
      </c>
      <c r="AF121" s="376">
        <f>'Changing with year'!AF287</f>
        <v>1443000</v>
      </c>
      <c r="AG121" s="376">
        <f>'Changing with year'!AG287</f>
        <v>1508000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1">C60</f>
        <v>636000</v>
      </c>
      <c r="D122" s="376">
        <f t="shared" si="41"/>
        <v>642360</v>
      </c>
      <c r="E122" s="376">
        <f t="shared" si="41"/>
        <v>648783.6</v>
      </c>
      <c r="F122" s="376">
        <f t="shared" si="41"/>
        <v>655271.43599999999</v>
      </c>
      <c r="G122" s="376">
        <f t="shared" si="41"/>
        <v>661824.15035999997</v>
      </c>
      <c r="H122" s="376">
        <f t="shared" si="41"/>
        <v>668442.3918636</v>
      </c>
      <c r="I122" s="376">
        <f t="shared" si="41"/>
        <v>675126.81578223605</v>
      </c>
      <c r="J122" s="376">
        <f t="shared" si="41"/>
        <v>681878.08394005825</v>
      </c>
      <c r="K122" s="376">
        <f t="shared" si="41"/>
        <v>688696.86477945896</v>
      </c>
      <c r="L122" s="376">
        <f t="shared" si="41"/>
        <v>695583.83342725353</v>
      </c>
      <c r="M122" s="376">
        <f t="shared" si="41"/>
        <v>702539.67176152603</v>
      </c>
      <c r="N122" s="376">
        <f t="shared" si="41"/>
        <v>709565.06847914134</v>
      </c>
      <c r="O122" s="376">
        <f t="shared" si="41"/>
        <v>716660.7191639326</v>
      </c>
      <c r="P122" s="376">
        <f t="shared" si="41"/>
        <v>723827.32635557198</v>
      </c>
      <c r="Q122" s="376">
        <f t="shared" si="41"/>
        <v>731065.59961912769</v>
      </c>
      <c r="R122" s="376">
        <f t="shared" si="41"/>
        <v>738376.25561531901</v>
      </c>
      <c r="S122" s="376">
        <f t="shared" si="41"/>
        <v>745760.01817147224</v>
      </c>
      <c r="T122" s="376">
        <f t="shared" si="41"/>
        <v>753217.61835318699</v>
      </c>
      <c r="U122" s="376">
        <f t="shared" si="41"/>
        <v>760749.79453671887</v>
      </c>
      <c r="V122" s="376">
        <f t="shared" si="41"/>
        <v>768357.29248208611</v>
      </c>
      <c r="W122" s="376">
        <f t="shared" si="41"/>
        <v>776040.86540690705</v>
      </c>
      <c r="X122" s="376">
        <f t="shared" si="41"/>
        <v>783801.27406097599</v>
      </c>
      <c r="Y122" s="376">
        <f t="shared" si="41"/>
        <v>791639.28680158569</v>
      </c>
      <c r="Z122" s="376">
        <f t="shared" si="41"/>
        <v>799555.67966960161</v>
      </c>
      <c r="AA122" s="376">
        <f t="shared" si="41"/>
        <v>807551.23646629776</v>
      </c>
      <c r="AB122" s="376">
        <f t="shared" si="41"/>
        <v>815626.74883096071</v>
      </c>
      <c r="AC122" s="376">
        <f t="shared" si="41"/>
        <v>823783.01631927036</v>
      </c>
      <c r="AD122" s="376">
        <f t="shared" si="41"/>
        <v>832020.84648246306</v>
      </c>
      <c r="AE122" s="376">
        <f t="shared" si="41"/>
        <v>840341.05494728766</v>
      </c>
      <c r="AF122" s="376">
        <f t="shared" si="41"/>
        <v>848744.46549676056</v>
      </c>
      <c r="AG122" s="376">
        <f t="shared" si="41"/>
        <v>857231.91015172808</v>
      </c>
    </row>
    <row r="123" spans="1:34">
      <c r="A123" s="300" t="s">
        <v>319</v>
      </c>
      <c r="B123" s="368" t="s">
        <v>313</v>
      </c>
      <c r="C123" s="376">
        <f t="shared" ref="C123:AG123" si="42">C115*$C$29</f>
        <v>71580</v>
      </c>
      <c r="D123" s="376">
        <f t="shared" si="42"/>
        <v>71200</v>
      </c>
      <c r="E123" s="376">
        <f t="shared" si="42"/>
        <v>70940</v>
      </c>
      <c r="F123" s="376">
        <f t="shared" si="42"/>
        <v>70780</v>
      </c>
      <c r="G123" s="376">
        <f t="shared" si="42"/>
        <v>70740</v>
      </c>
      <c r="H123" s="376">
        <f t="shared" si="42"/>
        <v>78820</v>
      </c>
      <c r="I123" s="376">
        <f t="shared" si="42"/>
        <v>79460</v>
      </c>
      <c r="J123" s="376">
        <f t="shared" si="42"/>
        <v>80200</v>
      </c>
      <c r="K123" s="376">
        <f t="shared" si="42"/>
        <v>81040</v>
      </c>
      <c r="L123" s="376">
        <f t="shared" si="42"/>
        <v>81960</v>
      </c>
      <c r="M123" s="376">
        <f t="shared" si="42"/>
        <v>82960</v>
      </c>
      <c r="N123" s="376">
        <f t="shared" si="42"/>
        <v>84060</v>
      </c>
      <c r="O123" s="376">
        <f t="shared" si="42"/>
        <v>85240</v>
      </c>
      <c r="P123" s="376">
        <f t="shared" si="42"/>
        <v>86500</v>
      </c>
      <c r="Q123" s="376">
        <f t="shared" si="42"/>
        <v>87860</v>
      </c>
      <c r="R123" s="376">
        <f t="shared" si="42"/>
        <v>89320</v>
      </c>
      <c r="S123" s="376">
        <f t="shared" si="42"/>
        <v>91680</v>
      </c>
      <c r="T123" s="376">
        <f t="shared" si="42"/>
        <v>94100</v>
      </c>
      <c r="U123" s="376">
        <f t="shared" si="42"/>
        <v>96580</v>
      </c>
      <c r="V123" s="376">
        <f t="shared" si="42"/>
        <v>99140</v>
      </c>
      <c r="W123" s="376">
        <f t="shared" si="42"/>
        <v>101780</v>
      </c>
      <c r="X123" s="376">
        <f t="shared" si="42"/>
        <v>104500</v>
      </c>
      <c r="Y123" s="376">
        <f t="shared" si="42"/>
        <v>107280</v>
      </c>
      <c r="Z123" s="376">
        <f t="shared" si="42"/>
        <v>110160</v>
      </c>
      <c r="AA123" s="376">
        <f t="shared" si="42"/>
        <v>113120</v>
      </c>
      <c r="AB123" s="376">
        <f t="shared" si="42"/>
        <v>116140</v>
      </c>
      <c r="AC123" s="376">
        <f t="shared" si="42"/>
        <v>119280</v>
      </c>
      <c r="AD123" s="376">
        <f t="shared" si="42"/>
        <v>122500</v>
      </c>
      <c r="AE123" s="376">
        <f t="shared" si="42"/>
        <v>125800</v>
      </c>
      <c r="AF123" s="376">
        <f t="shared" si="42"/>
        <v>129200</v>
      </c>
      <c r="AG123" s="376">
        <f t="shared" si="42"/>
        <v>132700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5" si="43">C118/($C$22*$C$21)</f>
        <v>6.5351864732589835</v>
      </c>
      <c r="D125" s="379">
        <f t="shared" si="43"/>
        <v>6.5004928317412629</v>
      </c>
      <c r="E125" s="379">
        <f t="shared" si="43"/>
        <v>6.4767550770186118</v>
      </c>
      <c r="F125" s="379">
        <f t="shared" si="43"/>
        <v>6.4621472279585186</v>
      </c>
      <c r="G125" s="379">
        <f t="shared" si="43"/>
        <v>6.4584952656934957</v>
      </c>
      <c r="H125" s="379">
        <f t="shared" si="43"/>
        <v>7.1961916432281781</v>
      </c>
      <c r="I125" s="379">
        <f t="shared" si="43"/>
        <v>7.2546230394685498</v>
      </c>
      <c r="J125" s="379">
        <f t="shared" si="43"/>
        <v>7.3221843413714787</v>
      </c>
      <c r="K125" s="379">
        <f t="shared" si="43"/>
        <v>7.3988755489369646</v>
      </c>
      <c r="L125" s="379">
        <f t="shared" si="43"/>
        <v>7.4828706810324981</v>
      </c>
      <c r="M125" s="379">
        <f t="shared" si="43"/>
        <v>7.5741697376580772</v>
      </c>
      <c r="N125" s="379">
        <f t="shared" si="43"/>
        <v>7.6745986999462152</v>
      </c>
      <c r="O125" s="379">
        <f t="shared" si="43"/>
        <v>7.7823315867643998</v>
      </c>
      <c r="P125" s="379">
        <f t="shared" si="43"/>
        <v>7.8973683981126293</v>
      </c>
      <c r="Q125" s="379">
        <f t="shared" si="43"/>
        <v>8.0215351151234184</v>
      </c>
      <c r="R125" s="379">
        <f t="shared" si="43"/>
        <v>8.1548317377967638</v>
      </c>
      <c r="S125" s="379">
        <f t="shared" si="43"/>
        <v>8.3702975114331313</v>
      </c>
      <c r="T125" s="379">
        <f t="shared" si="43"/>
        <v>8.5912412284670339</v>
      </c>
      <c r="U125" s="379">
        <f t="shared" si="43"/>
        <v>8.8176628888984716</v>
      </c>
      <c r="V125" s="379">
        <f t="shared" si="43"/>
        <v>9.051388473859955</v>
      </c>
      <c r="W125" s="379">
        <f t="shared" si="43"/>
        <v>9.2924179833514842</v>
      </c>
      <c r="X125" s="379">
        <f t="shared" si="43"/>
        <v>9.5407514173730608</v>
      </c>
      <c r="Y125" s="379">
        <f t="shared" si="43"/>
        <v>9.7945627947921707</v>
      </c>
      <c r="Z125" s="379">
        <f t="shared" si="43"/>
        <v>10.05750407787384</v>
      </c>
      <c r="AA125" s="379">
        <f t="shared" si="43"/>
        <v>10.327749285485556</v>
      </c>
      <c r="AB125" s="379">
        <f t="shared" si="43"/>
        <v>10.603472436494807</v>
      </c>
      <c r="AC125" s="379">
        <f t="shared" si="43"/>
        <v>10.890151474299127</v>
      </c>
      <c r="AD125" s="379">
        <f t="shared" si="43"/>
        <v>11.184134436633494</v>
      </c>
      <c r="AE125" s="379">
        <f t="shared" si="43"/>
        <v>11.485421323497905</v>
      </c>
      <c r="AF125" s="379">
        <f t="shared" si="43"/>
        <v>11.795838116024875</v>
      </c>
      <c r="AG125" s="379">
        <f t="shared" si="43"/>
        <v>12.115384814214403</v>
      </c>
    </row>
    <row r="126" spans="1:34">
      <c r="A126" s="300" t="s">
        <v>321</v>
      </c>
      <c r="B126" s="300" t="s">
        <v>300</v>
      </c>
      <c r="C126" s="379">
        <f t="shared" ref="C126:AG126" si="44">C119/($C$22*$C$21)</f>
        <v>40.083333333333336</v>
      </c>
      <c r="D126" s="379">
        <f t="shared" si="44"/>
        <v>39.711111111111116</v>
      </c>
      <c r="E126" s="379">
        <f t="shared" si="44"/>
        <v>39.376027777777786</v>
      </c>
      <c r="F126" s="379">
        <f t="shared" si="44"/>
        <v>39.07725527777778</v>
      </c>
      <c r="G126" s="379">
        <f t="shared" si="44"/>
        <v>38.814005452777778</v>
      </c>
      <c r="H126" s="379">
        <f t="shared" si="44"/>
        <v>38.585528772527788</v>
      </c>
      <c r="I126" s="379">
        <f t="shared" si="44"/>
        <v>36.287504024943338</v>
      </c>
      <c r="J126" s="379">
        <f t="shared" si="44"/>
        <v>35.078057908585329</v>
      </c>
      <c r="K126" s="379">
        <f t="shared" si="44"/>
        <v>33.908838696882377</v>
      </c>
      <c r="L126" s="379">
        <f t="shared" si="44"/>
        <v>32.778328224346332</v>
      </c>
      <c r="M126" s="379">
        <f t="shared" si="44"/>
        <v>31.685071300664735</v>
      </c>
      <c r="N126" s="379">
        <f t="shared" si="44"/>
        <v>30.627672929543245</v>
      </c>
      <c r="O126" s="379">
        <f t="shared" si="44"/>
        <v>29.604795655311523</v>
      </c>
      <c r="P126" s="379">
        <f t="shared" si="44"/>
        <v>28.615157031275618</v>
      </c>
      <c r="Q126" s="379">
        <f t="shared" si="44"/>
        <v>27.657527204087739</v>
      </c>
      <c r="R126" s="379">
        <f t="shared" si="44"/>
        <v>26.730726608678435</v>
      </c>
      <c r="S126" s="379">
        <f t="shared" si="44"/>
        <v>24.680033785396454</v>
      </c>
      <c r="T126" s="379">
        <f t="shared" si="44"/>
        <v>23.979259278863353</v>
      </c>
      <c r="U126" s="379">
        <f t="shared" si="44"/>
        <v>23.303423081028193</v>
      </c>
      <c r="V126" s="379">
        <f t="shared" si="44"/>
        <v>22.651447324966405</v>
      </c>
      <c r="W126" s="379">
        <f t="shared" si="44"/>
        <v>22.022304305284223</v>
      </c>
      <c r="X126" s="379">
        <f t="shared" si="44"/>
        <v>21.415014068600197</v>
      </c>
      <c r="Y126" s="379">
        <f t="shared" si="44"/>
        <v>20.828642121679898</v>
      </c>
      <c r="Z126" s="379">
        <f t="shared" si="44"/>
        <v>20.262297251424382</v>
      </c>
      <c r="AA126" s="379">
        <f t="shared" si="44"/>
        <v>19.71512945120071</v>
      </c>
      <c r="AB126" s="379">
        <f t="shared" si="44"/>
        <v>19.186327948275775</v>
      </c>
      <c r="AC126" s="379">
        <f t="shared" si="44"/>
        <v>18.541650455181561</v>
      </c>
      <c r="AD126" s="379">
        <f t="shared" si="44"/>
        <v>18.605553088333988</v>
      </c>
      <c r="AE126" s="379">
        <f t="shared" si="44"/>
        <v>18.691165383096401</v>
      </c>
      <c r="AF126" s="379">
        <f t="shared" si="44"/>
        <v>18.798138539599254</v>
      </c>
      <c r="AG126" s="379">
        <f t="shared" si="44"/>
        <v>18.92615733377918</v>
      </c>
    </row>
    <row r="127" spans="1:34">
      <c r="A127" s="300" t="s">
        <v>322</v>
      </c>
      <c r="B127" s="300" t="s">
        <v>300</v>
      </c>
      <c r="C127" s="379">
        <f t="shared" ref="C127:AG127" si="45">(C120+C121+C122+C123)/($C$22*$C$21)</f>
        <v>12.829833333333333</v>
      </c>
      <c r="D127" s="379">
        <f t="shared" si="45"/>
        <v>13.173666666666668</v>
      </c>
      <c r="E127" s="379">
        <f t="shared" si="45"/>
        <v>13.533123333333332</v>
      </c>
      <c r="F127" s="379">
        <f t="shared" si="45"/>
        <v>13.908272366666667</v>
      </c>
      <c r="G127" s="379">
        <f t="shared" si="45"/>
        <v>14.299525402333336</v>
      </c>
      <c r="H127" s="379">
        <f t="shared" si="45"/>
        <v>14.77380371417</v>
      </c>
      <c r="I127" s="379">
        <f t="shared" si="45"/>
        <v>15.201705264770903</v>
      </c>
      <c r="J127" s="379">
        <f t="shared" si="45"/>
        <v>15.646338438082845</v>
      </c>
      <c r="K127" s="379">
        <f t="shared" si="45"/>
        <v>16.107989121287812</v>
      </c>
      <c r="L127" s="379">
        <f t="shared" si="45"/>
        <v>16.586787803277794</v>
      </c>
      <c r="M127" s="379">
        <f t="shared" si="45"/>
        <v>17.083043357052095</v>
      </c>
      <c r="N127" s="379">
        <f t="shared" si="45"/>
        <v>17.597243506727128</v>
      </c>
      <c r="O127" s="379">
        <f t="shared" si="45"/>
        <v>18.129555313209764</v>
      </c>
      <c r="P127" s="379">
        <f t="shared" si="45"/>
        <v>18.688659012613833</v>
      </c>
      <c r="Q127" s="379">
        <f t="shared" si="45"/>
        <v>19.266748541529495</v>
      </c>
      <c r="R127" s="379">
        <f t="shared" si="45"/>
        <v>19.872532083285893</v>
      </c>
      <c r="S127" s="379">
        <f t="shared" si="45"/>
        <v>20.504732636046835</v>
      </c>
      <c r="T127" s="379">
        <f t="shared" si="45"/>
        <v>21.165088603612507</v>
      </c>
      <c r="U127" s="379">
        <f t="shared" si="45"/>
        <v>21.845687743168714</v>
      </c>
      <c r="V127" s="379">
        <f t="shared" si="45"/>
        <v>22.555467804261276</v>
      </c>
      <c r="W127" s="379">
        <f t="shared" si="45"/>
        <v>23.294883859977876</v>
      </c>
      <c r="X127" s="379">
        <f t="shared" si="45"/>
        <v>24.064408998025264</v>
      </c>
      <c r="Y127" s="379">
        <f t="shared" si="45"/>
        <v>24.864368372764361</v>
      </c>
      <c r="Z127" s="379">
        <f t="shared" si="45"/>
        <v>25.695606619307881</v>
      </c>
      <c r="AA127" s="379">
        <f t="shared" si="45"/>
        <v>26.558488630829462</v>
      </c>
      <c r="AB127" s="379">
        <f t="shared" si="45"/>
        <v>27.453400366946067</v>
      </c>
      <c r="AC127" s="379">
        <f t="shared" si="45"/>
        <v>28.381416361082834</v>
      </c>
      <c r="AD127" s="379">
        <f t="shared" si="45"/>
        <v>29.351133928112997</v>
      </c>
      <c r="AE127" s="379">
        <f t="shared" si="45"/>
        <v>30.354840740283571</v>
      </c>
      <c r="AF127" s="379">
        <f t="shared" si="45"/>
        <v>31.401682439491424</v>
      </c>
      <c r="AG127" s="379">
        <f t="shared" si="45"/>
        <v>32.492330287363558</v>
      </c>
    </row>
    <row r="128" spans="1:34">
      <c r="A128" s="300" t="s">
        <v>310</v>
      </c>
      <c r="B128" s="300" t="s">
        <v>300</v>
      </c>
      <c r="C128" s="379">
        <f t="shared" ref="C128:AG128" si="46">C116/($C$22*$C$21*7)</f>
        <v>1.0651785714285718</v>
      </c>
      <c r="D128" s="379">
        <f t="shared" si="46"/>
        <v>1.0595238095238098</v>
      </c>
      <c r="E128" s="379">
        <f t="shared" si="46"/>
        <v>1.0556547619047623</v>
      </c>
      <c r="F128" s="379">
        <f t="shared" si="46"/>
        <v>1.0532738095238099</v>
      </c>
      <c r="G128" s="379">
        <f t="shared" si="46"/>
        <v>1.0526785714285718</v>
      </c>
      <c r="H128" s="379">
        <f t="shared" si="46"/>
        <v>1.1729166666666671</v>
      </c>
      <c r="I128" s="379">
        <f t="shared" si="46"/>
        <v>1.1824404761904765</v>
      </c>
      <c r="J128" s="379">
        <f t="shared" si="46"/>
        <v>1.1934523809523812</v>
      </c>
      <c r="K128" s="379">
        <f t="shared" si="46"/>
        <v>1.2059523809523813</v>
      </c>
      <c r="L128" s="379">
        <f t="shared" si="46"/>
        <v>1.2196428571428575</v>
      </c>
      <c r="M128" s="379">
        <f t="shared" si="46"/>
        <v>1.2345238095238098</v>
      </c>
      <c r="N128" s="379">
        <f t="shared" si="46"/>
        <v>1.7512500000000006</v>
      </c>
      <c r="O128" s="379">
        <f t="shared" si="46"/>
        <v>1.7758333333333338</v>
      </c>
      <c r="P128" s="379">
        <f t="shared" si="46"/>
        <v>1.8020833333333339</v>
      </c>
      <c r="Q128" s="379">
        <f t="shared" si="46"/>
        <v>1.8304166666666672</v>
      </c>
      <c r="R128" s="379">
        <f t="shared" si="46"/>
        <v>1.8608333333333338</v>
      </c>
      <c r="S128" s="379">
        <f t="shared" si="46"/>
        <v>1.9100000000000006</v>
      </c>
      <c r="T128" s="379">
        <f t="shared" si="46"/>
        <v>1.9604166666666671</v>
      </c>
      <c r="U128" s="379">
        <f t="shared" si="46"/>
        <v>2.0120833333333339</v>
      </c>
      <c r="V128" s="379">
        <f t="shared" si="46"/>
        <v>2.0654166666666671</v>
      </c>
      <c r="W128" s="379">
        <f t="shared" si="46"/>
        <v>2.1204166666666673</v>
      </c>
      <c r="X128" s="379">
        <f t="shared" si="46"/>
        <v>2.4880952380952381</v>
      </c>
      <c r="Y128" s="379">
        <f t="shared" si="46"/>
        <v>2.5542857142857143</v>
      </c>
      <c r="Z128" s="379">
        <f t="shared" si="46"/>
        <v>2.6228571428571428</v>
      </c>
      <c r="AA128" s="379">
        <f t="shared" si="46"/>
        <v>2.6933333333333334</v>
      </c>
      <c r="AB128" s="379">
        <f t="shared" si="46"/>
        <v>2.7652380952380953</v>
      </c>
      <c r="AC128" s="379">
        <f t="shared" si="46"/>
        <v>2.84</v>
      </c>
      <c r="AD128" s="379">
        <f t="shared" si="46"/>
        <v>2.9166666666666665</v>
      </c>
      <c r="AE128" s="379">
        <f t="shared" si="46"/>
        <v>2.9952380952380953</v>
      </c>
      <c r="AF128" s="379">
        <f t="shared" si="46"/>
        <v>3.0761904761904764</v>
      </c>
      <c r="AG128" s="379">
        <f t="shared" si="46"/>
        <v>3.1595238095238094</v>
      </c>
    </row>
    <row r="129" spans="1:34" s="352" customFormat="1">
      <c r="A129" s="380" t="s">
        <v>323</v>
      </c>
      <c r="B129" s="352" t="s">
        <v>300</v>
      </c>
      <c r="C129" s="384">
        <f t="shared" ref="C129:AG129" si="47">SUM(C125:C127)-C128</f>
        <v>58.383174568497076</v>
      </c>
      <c r="D129" s="384">
        <f t="shared" si="47"/>
        <v>58.325746799995237</v>
      </c>
      <c r="E129" s="384">
        <f t="shared" si="47"/>
        <v>58.330251426224962</v>
      </c>
      <c r="F129" s="384">
        <f t="shared" si="47"/>
        <v>58.394401062879155</v>
      </c>
      <c r="G129" s="384">
        <f t="shared" si="47"/>
        <v>58.519347549376036</v>
      </c>
      <c r="H129" s="384">
        <f t="shared" si="47"/>
        <v>59.382607463259298</v>
      </c>
      <c r="I129" s="384">
        <f t="shared" si="47"/>
        <v>57.561391852992308</v>
      </c>
      <c r="J129" s="384">
        <f t="shared" si="47"/>
        <v>56.853128307087268</v>
      </c>
      <c r="K129" s="384">
        <f t="shared" si="47"/>
        <v>56.209750986154773</v>
      </c>
      <c r="L129" s="384">
        <f t="shared" si="47"/>
        <v>55.628343851513769</v>
      </c>
      <c r="M129" s="384">
        <f t="shared" si="47"/>
        <v>55.107760585851096</v>
      </c>
      <c r="N129" s="384">
        <f t="shared" si="47"/>
        <v>54.148265136216594</v>
      </c>
      <c r="O129" s="384">
        <f t="shared" si="47"/>
        <v>53.740849221952352</v>
      </c>
      <c r="P129" s="384">
        <f t="shared" si="47"/>
        <v>53.399101108668745</v>
      </c>
      <c r="Q129" s="384">
        <f t="shared" si="47"/>
        <v>53.115394194073986</v>
      </c>
      <c r="R129" s="384">
        <f t="shared" si="47"/>
        <v>52.897257096427765</v>
      </c>
      <c r="S129" s="384">
        <f t="shared" si="47"/>
        <v>51.645063932876418</v>
      </c>
      <c r="T129" s="384">
        <f t="shared" si="47"/>
        <v>51.77517244427623</v>
      </c>
      <c r="U129" s="384">
        <f t="shared" si="47"/>
        <v>51.954690379762042</v>
      </c>
      <c r="V129" s="384">
        <f t="shared" si="47"/>
        <v>52.192886936420976</v>
      </c>
      <c r="W129" s="384">
        <f t="shared" si="47"/>
        <v>52.489189481946909</v>
      </c>
      <c r="X129" s="384">
        <f t="shared" si="47"/>
        <v>52.532079245903283</v>
      </c>
      <c r="Y129" s="384">
        <f t="shared" si="47"/>
        <v>52.933287574950718</v>
      </c>
      <c r="Z129" s="384">
        <f t="shared" si="47"/>
        <v>53.392550805748961</v>
      </c>
      <c r="AA129" s="384">
        <f t="shared" si="47"/>
        <v>53.908034034182393</v>
      </c>
      <c r="AB129" s="384">
        <f t="shared" si="47"/>
        <v>54.477962656478546</v>
      </c>
      <c r="AC129" s="384">
        <f t="shared" si="47"/>
        <v>54.973218290563523</v>
      </c>
      <c r="AD129" s="384">
        <f t="shared" si="47"/>
        <v>56.224154786413813</v>
      </c>
      <c r="AE129" s="384">
        <f t="shared" si="47"/>
        <v>57.536189351639784</v>
      </c>
      <c r="AF129" s="384">
        <f t="shared" si="47"/>
        <v>58.91946861892508</v>
      </c>
      <c r="AG129" s="384">
        <f t="shared" si="47"/>
        <v>60.374348625833328</v>
      </c>
    </row>
    <row r="130" spans="1:34" s="344" customFormat="1">
      <c r="A130" s="342" t="s">
        <v>182</v>
      </c>
      <c r="B130" s="342"/>
      <c r="H130" s="385">
        <f>H132/H63</f>
        <v>2.1915691900242771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 t="shared" ref="D131:AG131" si="48">C131+1</f>
        <v>2026</v>
      </c>
      <c r="E131" s="360">
        <f t="shared" si="48"/>
        <v>2027</v>
      </c>
      <c r="F131" s="360">
        <f t="shared" si="48"/>
        <v>2028</v>
      </c>
      <c r="G131" s="360">
        <f t="shared" si="48"/>
        <v>2029</v>
      </c>
      <c r="H131" s="360">
        <f t="shared" si="48"/>
        <v>2030</v>
      </c>
      <c r="I131" s="360">
        <f t="shared" si="48"/>
        <v>2031</v>
      </c>
      <c r="J131" s="360">
        <f t="shared" si="48"/>
        <v>2032</v>
      </c>
      <c r="K131" s="360">
        <f t="shared" si="48"/>
        <v>2033</v>
      </c>
      <c r="L131" s="360">
        <f t="shared" si="48"/>
        <v>2034</v>
      </c>
      <c r="M131" s="360">
        <f t="shared" si="48"/>
        <v>2035</v>
      </c>
      <c r="N131" s="360">
        <f t="shared" si="48"/>
        <v>2036</v>
      </c>
      <c r="O131" s="360">
        <f t="shared" si="48"/>
        <v>2037</v>
      </c>
      <c r="P131" s="360">
        <f t="shared" si="48"/>
        <v>2038</v>
      </c>
      <c r="Q131" s="360">
        <f t="shared" si="48"/>
        <v>2039</v>
      </c>
      <c r="R131" s="360">
        <f t="shared" si="48"/>
        <v>2040</v>
      </c>
      <c r="S131" s="360">
        <f t="shared" si="48"/>
        <v>2041</v>
      </c>
      <c r="T131" s="360">
        <f t="shared" si="48"/>
        <v>2042</v>
      </c>
      <c r="U131" s="360">
        <f t="shared" si="48"/>
        <v>2043</v>
      </c>
      <c r="V131" s="360">
        <f t="shared" si="48"/>
        <v>2044</v>
      </c>
      <c r="W131" s="360">
        <f t="shared" si="48"/>
        <v>2045</v>
      </c>
      <c r="X131" s="360">
        <f t="shared" si="48"/>
        <v>2046</v>
      </c>
      <c r="Y131" s="360">
        <f t="shared" si="48"/>
        <v>2047</v>
      </c>
      <c r="Z131" s="360">
        <f t="shared" si="48"/>
        <v>2048</v>
      </c>
      <c r="AA131" s="360">
        <f t="shared" si="48"/>
        <v>2049</v>
      </c>
      <c r="AB131" s="360">
        <f t="shared" si="48"/>
        <v>2050</v>
      </c>
      <c r="AC131" s="360">
        <f t="shared" si="48"/>
        <v>2051</v>
      </c>
      <c r="AD131" s="360">
        <f t="shared" si="48"/>
        <v>2052</v>
      </c>
      <c r="AE131" s="360">
        <f t="shared" si="48"/>
        <v>2053</v>
      </c>
      <c r="AF131" s="360">
        <f t="shared" si="48"/>
        <v>2054</v>
      </c>
      <c r="AG131" s="360">
        <f t="shared" si="48"/>
        <v>2055</v>
      </c>
    </row>
    <row r="132" spans="1:34">
      <c r="A132" s="368" t="s">
        <v>329</v>
      </c>
      <c r="B132" s="300" t="s">
        <v>309</v>
      </c>
      <c r="C132" s="376">
        <f>ROUND(('Changing with year'!C129)/1000,0)*1000</f>
        <v>6545000</v>
      </c>
      <c r="D132" s="376">
        <f>ROUND(('Changing with year'!D129)/1000,0)*1000</f>
        <v>6466000</v>
      </c>
      <c r="E132" s="376">
        <f>ROUND(('Changing with year'!E129)/1000,0)*1000</f>
        <v>6393000</v>
      </c>
      <c r="F132" s="376">
        <f>ROUND(('Changing with year'!F129)/1000,0)*1000</f>
        <v>6168000</v>
      </c>
      <c r="G132" s="376">
        <f>ROUND(('Changing with year'!G129)/1000,0)*1000</f>
        <v>5957000</v>
      </c>
      <c r="H132" s="376">
        <f>ROUND(('Changing with year'!H129)/1000,0)*1000</f>
        <v>5958000</v>
      </c>
      <c r="I132" s="376">
        <f>ROUND(('Changing with year'!I129)/1000,0)*1000</f>
        <v>5799000</v>
      </c>
      <c r="J132" s="376">
        <f>ROUND(('Changing with year'!J129)/1000,0)*1000</f>
        <v>5798000</v>
      </c>
      <c r="K132" s="376">
        <f>ROUND(('Changing with year'!K129)/1000,0)*1000</f>
        <v>5802000</v>
      </c>
      <c r="L132" s="376">
        <f>ROUND(('Changing with year'!L129)/1000,0)*1000</f>
        <v>5809000</v>
      </c>
      <c r="M132" s="376">
        <f>ROUND(('Changing with year'!M129)/1000,0)*1000</f>
        <v>5820000</v>
      </c>
      <c r="N132" s="376">
        <f>ROUND(('Changing with year'!N129)/1000,0)*1000</f>
        <v>5835000</v>
      </c>
      <c r="O132" s="376">
        <f>ROUND(('Changing with year'!O129)/1000,0)*1000</f>
        <v>5854000</v>
      </c>
      <c r="P132" s="376">
        <f>ROUND(('Changing with year'!P129)/1000,0)*1000</f>
        <v>5877000</v>
      </c>
      <c r="Q132" s="376">
        <f>ROUND(('Changing with year'!Q129)/1000,0)*1000</f>
        <v>5904000</v>
      </c>
      <c r="R132" s="376">
        <f>ROUND(('Changing with year'!R129)/1000,0)*1000</f>
        <v>5936000</v>
      </c>
      <c r="S132" s="376">
        <f>ROUND(('Changing with year'!S129)/1000,0)*1000</f>
        <v>5904000</v>
      </c>
      <c r="T132" s="376">
        <f>ROUND(('Changing with year'!T129)/1000,0)*1000</f>
        <v>5997000</v>
      </c>
      <c r="U132" s="376">
        <f>ROUND(('Changing with year'!U129)/1000,0)*1000</f>
        <v>6095000</v>
      </c>
      <c r="V132" s="376">
        <f>ROUND(('Changing with year'!V129)/1000,0)*1000</f>
        <v>6196000</v>
      </c>
      <c r="W132" s="376">
        <f>ROUND(('Changing with year'!W129)/1000,0)*1000</f>
        <v>6300000</v>
      </c>
      <c r="X132" s="376">
        <f>ROUND(('Changing with year'!X129)/1000,0)*1000</f>
        <v>6408000</v>
      </c>
      <c r="Y132" s="376">
        <f>ROUND(('Changing with year'!Y129)/1000,0)*1000</f>
        <v>6520000</v>
      </c>
      <c r="Z132" s="376">
        <f>ROUND(('Changing with year'!Z129)/1000,0)*1000</f>
        <v>6636000</v>
      </c>
      <c r="AA132" s="376">
        <f>ROUND(('Changing with year'!AA129)/1000,0)*1000</f>
        <v>6756000</v>
      </c>
      <c r="AB132" s="376">
        <f>ROUND(('Changing with year'!AB129)/1000,0)*1000</f>
        <v>6879000</v>
      </c>
      <c r="AC132" s="376">
        <f>ROUND(('Changing with year'!AC129)/1000,0)*1000</f>
        <v>7040000</v>
      </c>
      <c r="AD132" s="376">
        <f>ROUND(('Changing with year'!AD129)/1000,0)*1000</f>
        <v>7205000</v>
      </c>
      <c r="AE132" s="376">
        <f>ROUND(('Changing with year'!AE129)/1000,0)*1000</f>
        <v>7374000</v>
      </c>
      <c r="AF132" s="376">
        <f>ROUND(('Changing with year'!AF129)/1000,0)*1000</f>
        <v>7548000</v>
      </c>
      <c r="AG132" s="376">
        <f>ROUND(('Changing with year'!AG129)/1000,0)*1000</f>
        <v>7727000</v>
      </c>
    </row>
    <row r="133" spans="1:34">
      <c r="A133" s="368" t="s">
        <v>310</v>
      </c>
      <c r="B133" s="300" t="s">
        <v>309</v>
      </c>
      <c r="C133" s="376">
        <f>(C132*'No change with year'!$AK$10)</f>
        <v>1309000.0000000005</v>
      </c>
      <c r="D133" s="376">
        <f>(D132*'No change with year'!$AK$10)</f>
        <v>1293200.0000000005</v>
      </c>
      <c r="E133" s="376">
        <f>(E132*'No change with year'!$AK$10)</f>
        <v>1278600.0000000005</v>
      </c>
      <c r="F133" s="376">
        <f>(F132*'No change with year'!$AK$10)</f>
        <v>1233600.0000000005</v>
      </c>
      <c r="G133" s="376">
        <f>(G132*'No change with year'!$AK$10)</f>
        <v>1191400.0000000005</v>
      </c>
      <c r="H133" s="376">
        <f>(H132*'No change with year'!$AK$10)</f>
        <v>1191600.0000000005</v>
      </c>
      <c r="I133" s="376">
        <f>(I132*'No change with year'!$AK$10)</f>
        <v>1159800.0000000005</v>
      </c>
      <c r="J133" s="376">
        <f>(J132*'No change with year'!$AK$10)</f>
        <v>1159600.0000000005</v>
      </c>
      <c r="K133" s="376">
        <f>(K132*'No change with year'!$AK$10)</f>
        <v>1160400.0000000005</v>
      </c>
      <c r="L133" s="376">
        <f>(L132*'No change with year'!$AK$10)</f>
        <v>1161800.0000000005</v>
      </c>
      <c r="M133" s="376">
        <f>(M132*'No change with year'!$AK$10)</f>
        <v>1164000.0000000005</v>
      </c>
      <c r="N133" s="376">
        <f>(N132*'No change with year'!$AL$10)</f>
        <v>1750500.0000000002</v>
      </c>
      <c r="O133" s="376">
        <f>(O132*'No change with year'!$AL$10)</f>
        <v>1756200.0000000002</v>
      </c>
      <c r="P133" s="376">
        <f>(P132*'No change with year'!$AL$10)</f>
        <v>1763100.0000000002</v>
      </c>
      <c r="Q133" s="376">
        <f>(Q132*'No change with year'!$AL$10)</f>
        <v>1771200.0000000002</v>
      </c>
      <c r="R133" s="376">
        <f>(R132*'No change with year'!$AL$10)</f>
        <v>1780800.0000000002</v>
      </c>
      <c r="S133" s="376">
        <f>(S132*'No change with year'!$AL$10)</f>
        <v>1771200.0000000002</v>
      </c>
      <c r="T133" s="376">
        <f>(T132*'No change with year'!$AL$10)</f>
        <v>1799100.0000000002</v>
      </c>
      <c r="U133" s="376">
        <f>(U132*'No change with year'!$AL$10)</f>
        <v>1828500.0000000002</v>
      </c>
      <c r="V133" s="376">
        <f>(V132*'No change with year'!$AL$10)</f>
        <v>1858800.0000000002</v>
      </c>
      <c r="W133" s="376">
        <f>(W132*'No change with year'!$AL$10)</f>
        <v>1890000.0000000002</v>
      </c>
      <c r="X133" s="376">
        <f>(X132*'No change with year'!$AM$10)</f>
        <v>2563200</v>
      </c>
      <c r="Y133" s="376">
        <f>(Y132*'No change with year'!$AM$10)</f>
        <v>2608000</v>
      </c>
      <c r="Z133" s="376">
        <f>(Z132*'No change with year'!$AM$10)</f>
        <v>2654400</v>
      </c>
      <c r="AA133" s="376">
        <f>(AA132*'No change with year'!$AM$10)</f>
        <v>2702400</v>
      </c>
      <c r="AB133" s="376">
        <f>(AB132*'No change with year'!$AM$10)</f>
        <v>2751600</v>
      </c>
      <c r="AC133" s="376">
        <f>(AC132*'No change with year'!$AM$10)</f>
        <v>2816000</v>
      </c>
      <c r="AD133" s="376">
        <f>(AD132*'No change with year'!$AM$10)</f>
        <v>2882000</v>
      </c>
      <c r="AE133" s="376">
        <f>(AE132*'No change with year'!$AM$10)</f>
        <v>2949600</v>
      </c>
      <c r="AF133" s="376">
        <f>(AF132*'No change with year'!$AM$10)</f>
        <v>3019200</v>
      </c>
      <c r="AG133" s="376">
        <f>(AG132*'No change with year'!$AM$10)</f>
        <v>3090800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1434125.5814746034</v>
      </c>
      <c r="D135" s="376">
        <f t="shared" ref="D135:AG135" si="49">-PMT($C$28,$C$27,D132)</f>
        <v>1416815.2803383935</v>
      </c>
      <c r="E135" s="376">
        <f t="shared" si="49"/>
        <v>1400819.6856175917</v>
      </c>
      <c r="F135" s="376">
        <f t="shared" si="49"/>
        <v>1351518.1950397789</v>
      </c>
      <c r="G135" s="376">
        <f t="shared" si="49"/>
        <v>1305284.3527645855</v>
      </c>
      <c r="H135" s="376">
        <f t="shared" si="49"/>
        <v>1305503.4705004869</v>
      </c>
      <c r="I135" s="376">
        <f t="shared" si="49"/>
        <v>1270663.7504921658</v>
      </c>
      <c r="J135" s="376">
        <f t="shared" si="49"/>
        <v>1270444.6327562644</v>
      </c>
      <c r="K135" s="376">
        <f t="shared" si="49"/>
        <v>1271321.1036998699</v>
      </c>
      <c r="L135" s="376">
        <f t="shared" si="49"/>
        <v>1272854.9278511796</v>
      </c>
      <c r="M135" s="376">
        <f t="shared" si="49"/>
        <v>1275265.2229460948</v>
      </c>
      <c r="N135" s="376">
        <f t="shared" si="49"/>
        <v>1278551.9889846158</v>
      </c>
      <c r="O135" s="376">
        <f t="shared" si="49"/>
        <v>1282715.2259667423</v>
      </c>
      <c r="P135" s="376">
        <f t="shared" si="49"/>
        <v>1287754.933892474</v>
      </c>
      <c r="Q135" s="376">
        <f t="shared" si="49"/>
        <v>1293671.1127618116</v>
      </c>
      <c r="R135" s="376">
        <f t="shared" si="49"/>
        <v>1300682.8803106563</v>
      </c>
      <c r="S135" s="376">
        <f t="shared" si="49"/>
        <v>1293671.1127618116</v>
      </c>
      <c r="T135" s="376">
        <f t="shared" si="49"/>
        <v>1314049.062200641</v>
      </c>
      <c r="U135" s="376">
        <f t="shared" si="49"/>
        <v>1335522.6003189774</v>
      </c>
      <c r="V135" s="376">
        <f t="shared" si="49"/>
        <v>1357653.4916450179</v>
      </c>
      <c r="W135" s="376">
        <f t="shared" si="49"/>
        <v>1380441.7361787625</v>
      </c>
      <c r="X135" s="376">
        <f t="shared" si="49"/>
        <v>1404106.4516561127</v>
      </c>
      <c r="Y135" s="376">
        <f t="shared" si="49"/>
        <v>1428647.6380770684</v>
      </c>
      <c r="Z135" s="376">
        <f t="shared" si="49"/>
        <v>1454065.2954416298</v>
      </c>
      <c r="AA135" s="376">
        <f t="shared" si="49"/>
        <v>1480359.4237497968</v>
      </c>
      <c r="AB135" s="376">
        <f t="shared" si="49"/>
        <v>1507310.9052656679</v>
      </c>
      <c r="AC135" s="376">
        <f t="shared" si="49"/>
        <v>1542588.8607457916</v>
      </c>
      <c r="AD135" s="376">
        <f t="shared" si="49"/>
        <v>1578743.2871695212</v>
      </c>
      <c r="AE135" s="376">
        <f t="shared" si="49"/>
        <v>1615774.1845368561</v>
      </c>
      <c r="AF135" s="376">
        <f t="shared" si="49"/>
        <v>1653900.6705836982</v>
      </c>
      <c r="AG135" s="376">
        <f t="shared" si="49"/>
        <v>1693122.7453100472</v>
      </c>
    </row>
    <row r="136" spans="1:34">
      <c r="A136" s="300" t="s">
        <v>330</v>
      </c>
      <c r="B136" s="300" t="s">
        <v>313</v>
      </c>
      <c r="C136" s="376">
        <f t="shared" ref="C136:AG136" si="50">$G$38*C51</f>
        <v>1216844.4750352972</v>
      </c>
      <c r="D136" s="376">
        <f t="shared" si="50"/>
        <v>1232144.4750352972</v>
      </c>
      <c r="E136" s="376">
        <f t="shared" si="50"/>
        <v>1238596.6586624256</v>
      </c>
      <c r="F136" s="376">
        <f t="shared" si="50"/>
        <v>1238106.785656417</v>
      </c>
      <c r="G136" s="376">
        <f t="shared" si="50"/>
        <v>1226972.9085740116</v>
      </c>
      <c r="H136" s="376">
        <f t="shared" si="50"/>
        <v>1236005.0957810173</v>
      </c>
      <c r="I136" s="376">
        <f t="shared" si="50"/>
        <v>1072309.763280082</v>
      </c>
      <c r="J136" s="376">
        <f t="shared" si="50"/>
        <v>1045639.6631517834</v>
      </c>
      <c r="K136" s="376">
        <f t="shared" si="50"/>
        <v>1000880.693559396</v>
      </c>
      <c r="L136" s="376">
        <f t="shared" si="50"/>
        <v>963135.10438685783</v>
      </c>
      <c r="M136" s="376">
        <f t="shared" si="50"/>
        <v>933373.16123090673</v>
      </c>
      <c r="N136" s="376">
        <f t="shared" si="50"/>
        <v>923108.85137766623</v>
      </c>
      <c r="O136" s="376">
        <f t="shared" si="50"/>
        <v>913483.10032672156</v>
      </c>
      <c r="P136" s="376">
        <f t="shared" si="50"/>
        <v>901194.57311489515</v>
      </c>
      <c r="Q136" s="376">
        <f t="shared" si="50"/>
        <v>892792.76852034836</v>
      </c>
      <c r="R136" s="376">
        <f t="shared" si="50"/>
        <v>889097.2840291186</v>
      </c>
      <c r="S136" s="376">
        <f t="shared" si="50"/>
        <v>889559.81385983794</v>
      </c>
      <c r="T136" s="376">
        <f t="shared" si="50"/>
        <v>894118.5939871876</v>
      </c>
      <c r="U136" s="376">
        <f t="shared" si="50"/>
        <v>895723.63393090141</v>
      </c>
      <c r="V136" s="376">
        <f t="shared" si="50"/>
        <v>897956.03566494107</v>
      </c>
      <c r="W136" s="376">
        <f t="shared" si="50"/>
        <v>900923.00817749382</v>
      </c>
      <c r="X136" s="376">
        <f t="shared" si="50"/>
        <v>904599.98949163128</v>
      </c>
      <c r="Y136" s="376">
        <f t="shared" si="50"/>
        <v>908957.4318221492</v>
      </c>
      <c r="Z136" s="376">
        <f t="shared" si="50"/>
        <v>914111.24210883048</v>
      </c>
      <c r="AA136" s="376">
        <f t="shared" si="50"/>
        <v>920189.2919334718</v>
      </c>
      <c r="AB136" s="376">
        <f t="shared" si="50"/>
        <v>927091.70620841405</v>
      </c>
      <c r="AC136" s="376">
        <f t="shared" si="50"/>
        <v>951864.81059050641</v>
      </c>
      <c r="AD136" s="376">
        <f t="shared" si="50"/>
        <v>982265.97264288925</v>
      </c>
      <c r="AE136" s="376">
        <f t="shared" si="50"/>
        <v>1013781.406386775</v>
      </c>
      <c r="AF136" s="376">
        <f t="shared" si="50"/>
        <v>1046827.6507429183</v>
      </c>
      <c r="AG136" s="376">
        <f t="shared" si="50"/>
        <v>1081589.8435758026</v>
      </c>
    </row>
    <row r="137" spans="1:34">
      <c r="A137" s="300" t="s">
        <v>317</v>
      </c>
      <c r="B137" s="300" t="s">
        <v>313</v>
      </c>
      <c r="C137" s="376">
        <f t="shared" ref="C137:AG137" si="51">$C$22*$C$21*C57</f>
        <v>623777.38162448828</v>
      </c>
      <c r="D137" s="376">
        <f t="shared" si="51"/>
        <v>626746.947083876</v>
      </c>
      <c r="E137" s="376">
        <f t="shared" si="51"/>
        <v>630384.83340677922</v>
      </c>
      <c r="F137" s="376">
        <f t="shared" si="51"/>
        <v>634704.03497160971</v>
      </c>
      <c r="G137" s="376">
        <f t="shared" si="51"/>
        <v>639718.40939331928</v>
      </c>
      <c r="H137" s="376">
        <f t="shared" si="51"/>
        <v>645442.70346632658</v>
      </c>
      <c r="I137" s="376">
        <f t="shared" si="51"/>
        <v>653382.41353252623</v>
      </c>
      <c r="J137" s="376">
        <f t="shared" si="51"/>
        <v>661997.27196282323</v>
      </c>
      <c r="K137" s="376">
        <f t="shared" si="51"/>
        <v>671307.13349255209</v>
      </c>
      <c r="L137" s="376">
        <f t="shared" si="51"/>
        <v>681332.79007044598</v>
      </c>
      <c r="M137" s="376">
        <f t="shared" si="51"/>
        <v>692096.0054866916</v>
      </c>
      <c r="N137" s="376">
        <f t="shared" si="51"/>
        <v>703619.5514433186</v>
      </c>
      <c r="O137" s="376">
        <f t="shared" si="51"/>
        <v>715927.24512346741</v>
      </c>
      <c r="P137" s="376">
        <f t="shared" si="51"/>
        <v>729043.98831837391</v>
      </c>
      <c r="Q137" s="376">
        <f t="shared" si="51"/>
        <v>742995.80817327707</v>
      </c>
      <c r="R137" s="376">
        <f t="shared" si="51"/>
        <v>757809.89961593319</v>
      </c>
      <c r="S137" s="376">
        <f t="shared" si="51"/>
        <v>775949.27387841267</v>
      </c>
      <c r="T137" s="376">
        <f t="shared" si="51"/>
        <v>794935.95332861296</v>
      </c>
      <c r="U137" s="376">
        <f t="shared" si="51"/>
        <v>814802.61287187051</v>
      </c>
      <c r="V137" s="376">
        <f t="shared" si="51"/>
        <v>835583.24658275745</v>
      </c>
      <c r="W137" s="376">
        <f t="shared" si="51"/>
        <v>857313.2203501194</v>
      </c>
      <c r="X137" s="376">
        <f t="shared" si="51"/>
        <v>880029.32662913564</v>
      </c>
      <c r="Y137" s="376">
        <f t="shared" si="51"/>
        <v>903769.84138466197</v>
      </c>
      <c r="Z137" s="376">
        <f t="shared" si="51"/>
        <v>928574.5833135061</v>
      </c>
      <c r="AA137" s="376">
        <f t="shared" si="51"/>
        <v>954484.97543676931</v>
      </c>
      <c r="AB137" s="376">
        <f t="shared" si="51"/>
        <v>981544.10915705585</v>
      </c>
      <c r="AC137" s="376">
        <f t="shared" si="51"/>
        <v>1014200.4359368107</v>
      </c>
      <c r="AD137" s="376">
        <f t="shared" si="51"/>
        <v>1048096.9614118903</v>
      </c>
      <c r="AE137" s="376">
        <f t="shared" si="51"/>
        <v>1083282.6329863495</v>
      </c>
      <c r="AF137" s="376">
        <f t="shared" si="51"/>
        <v>1119808.3493549665</v>
      </c>
      <c r="AG137" s="376">
        <f t="shared" si="51"/>
        <v>1157727.0384888202</v>
      </c>
    </row>
    <row r="138" spans="1:34">
      <c r="A138" s="368" t="s">
        <v>318</v>
      </c>
      <c r="B138" s="300" t="s">
        <v>313</v>
      </c>
      <c r="C138" s="376">
        <f>'Changing with year'!C298</f>
        <v>460000</v>
      </c>
      <c r="D138" s="376">
        <f>'Changing with year'!D298</f>
        <v>481000</v>
      </c>
      <c r="E138" s="376">
        <f>'Changing with year'!E298</f>
        <v>503000</v>
      </c>
      <c r="F138" s="376">
        <f>'Changing with year'!F298</f>
        <v>526000</v>
      </c>
      <c r="G138" s="376">
        <f>'Changing with year'!G298</f>
        <v>550000</v>
      </c>
      <c r="H138" s="376">
        <f>'Changing with year'!H298</f>
        <v>575000</v>
      </c>
      <c r="I138" s="376">
        <f>'Changing with year'!I298</f>
        <v>601000</v>
      </c>
      <c r="J138" s="376">
        <f>'Changing with year'!J298</f>
        <v>628000</v>
      </c>
      <c r="K138" s="376">
        <f>'Changing with year'!K298</f>
        <v>656000</v>
      </c>
      <c r="L138" s="376">
        <f>'Changing with year'!L298</f>
        <v>686000</v>
      </c>
      <c r="M138" s="376">
        <f>'Changing with year'!M298</f>
        <v>717000</v>
      </c>
      <c r="N138" s="376">
        <f>'Changing with year'!N298</f>
        <v>749000</v>
      </c>
      <c r="O138" s="376">
        <f>'Changing with year'!O298</f>
        <v>783000</v>
      </c>
      <c r="P138" s="376">
        <f>'Changing with year'!P298</f>
        <v>818000</v>
      </c>
      <c r="Q138" s="376">
        <f>'Changing with year'!Q298</f>
        <v>855000</v>
      </c>
      <c r="R138" s="376">
        <f>'Changing with year'!R298</f>
        <v>893000</v>
      </c>
      <c r="S138" s="376">
        <f>'Changing with year'!S298</f>
        <v>933000</v>
      </c>
      <c r="T138" s="376">
        <f>'Changing with year'!T298</f>
        <v>975000</v>
      </c>
      <c r="U138" s="376">
        <f>'Changing with year'!U298</f>
        <v>1019000</v>
      </c>
      <c r="V138" s="376">
        <f>'Changing with year'!V298</f>
        <v>1065000</v>
      </c>
      <c r="W138" s="376">
        <f>'Changing with year'!W298</f>
        <v>1113000</v>
      </c>
      <c r="X138" s="376">
        <f>'Changing with year'!X298</f>
        <v>1163000</v>
      </c>
      <c r="Y138" s="376">
        <f>'Changing with year'!Y298</f>
        <v>1215000</v>
      </c>
      <c r="Z138" s="376">
        <f>'Changing with year'!Z298</f>
        <v>1270000</v>
      </c>
      <c r="AA138" s="376">
        <f>'Changing with year'!AA298</f>
        <v>1327000</v>
      </c>
      <c r="AB138" s="376">
        <f>'Changing with year'!AB298</f>
        <v>1387000</v>
      </c>
      <c r="AC138" s="376">
        <f>'Changing with year'!AC298</f>
        <v>1449000</v>
      </c>
      <c r="AD138" s="376">
        <f>'Changing with year'!AD298</f>
        <v>1514000</v>
      </c>
      <c r="AE138" s="376">
        <f>'Changing with year'!AE298</f>
        <v>1582000</v>
      </c>
      <c r="AF138" s="376">
        <f>'Changing with year'!AF298</f>
        <v>1653000</v>
      </c>
      <c r="AG138" s="376">
        <f>'Changing with year'!AG298</f>
        <v>1727000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2">C60</f>
        <v>636000</v>
      </c>
      <c r="D139" s="376">
        <f t="shared" si="52"/>
        <v>642360</v>
      </c>
      <c r="E139" s="376">
        <f t="shared" si="52"/>
        <v>648783.6</v>
      </c>
      <c r="F139" s="376">
        <f t="shared" si="52"/>
        <v>655271.43599999999</v>
      </c>
      <c r="G139" s="376">
        <f t="shared" si="52"/>
        <v>661824.15035999997</v>
      </c>
      <c r="H139" s="376">
        <f t="shared" si="52"/>
        <v>668442.3918636</v>
      </c>
      <c r="I139" s="376">
        <f t="shared" si="52"/>
        <v>675126.81578223605</v>
      </c>
      <c r="J139" s="376">
        <f t="shared" si="52"/>
        <v>681878.08394005825</v>
      </c>
      <c r="K139" s="376">
        <f t="shared" si="52"/>
        <v>688696.86477945896</v>
      </c>
      <c r="L139" s="376">
        <f t="shared" si="52"/>
        <v>695583.83342725353</v>
      </c>
      <c r="M139" s="376">
        <f t="shared" si="52"/>
        <v>702539.67176152603</v>
      </c>
      <c r="N139" s="376">
        <f t="shared" si="52"/>
        <v>709565.06847914134</v>
      </c>
      <c r="O139" s="376">
        <f t="shared" si="52"/>
        <v>716660.7191639326</v>
      </c>
      <c r="P139" s="376">
        <f t="shared" si="52"/>
        <v>723827.32635557198</v>
      </c>
      <c r="Q139" s="376">
        <f t="shared" si="52"/>
        <v>731065.59961912769</v>
      </c>
      <c r="R139" s="376">
        <f t="shared" si="52"/>
        <v>738376.25561531901</v>
      </c>
      <c r="S139" s="376">
        <f t="shared" si="52"/>
        <v>745760.01817147224</v>
      </c>
      <c r="T139" s="376">
        <f t="shared" si="52"/>
        <v>753217.61835318699</v>
      </c>
      <c r="U139" s="376">
        <f t="shared" si="52"/>
        <v>760749.79453671887</v>
      </c>
      <c r="V139" s="376">
        <f t="shared" si="52"/>
        <v>768357.29248208611</v>
      </c>
      <c r="W139" s="376">
        <f t="shared" si="52"/>
        <v>776040.86540690705</v>
      </c>
      <c r="X139" s="376">
        <f t="shared" si="52"/>
        <v>783801.27406097599</v>
      </c>
      <c r="Y139" s="376">
        <f t="shared" si="52"/>
        <v>791639.28680158569</v>
      </c>
      <c r="Z139" s="376">
        <f t="shared" si="52"/>
        <v>799555.67966960161</v>
      </c>
      <c r="AA139" s="376">
        <f t="shared" si="52"/>
        <v>807551.23646629776</v>
      </c>
      <c r="AB139" s="376">
        <f t="shared" si="52"/>
        <v>815626.74883096071</v>
      </c>
      <c r="AC139" s="376">
        <f t="shared" si="52"/>
        <v>823783.01631927036</v>
      </c>
      <c r="AD139" s="376">
        <f t="shared" si="52"/>
        <v>832020.84648246306</v>
      </c>
      <c r="AE139" s="376">
        <f t="shared" si="52"/>
        <v>840341.05494728766</v>
      </c>
      <c r="AF139" s="376">
        <f t="shared" si="52"/>
        <v>848744.46549676056</v>
      </c>
      <c r="AG139" s="376">
        <f t="shared" si="52"/>
        <v>857231.91015172808</v>
      </c>
    </row>
    <row r="140" spans="1:34">
      <c r="A140" s="300" t="s">
        <v>319</v>
      </c>
      <c r="B140" s="300" t="s">
        <v>313</v>
      </c>
      <c r="C140" s="386">
        <f t="shared" ref="C140:AG140" si="53">((C132)*$C$29)</f>
        <v>130900</v>
      </c>
      <c r="D140" s="386">
        <f t="shared" si="53"/>
        <v>129320</v>
      </c>
      <c r="E140" s="386">
        <f t="shared" si="53"/>
        <v>127860</v>
      </c>
      <c r="F140" s="386">
        <f t="shared" si="53"/>
        <v>123360</v>
      </c>
      <c r="G140" s="386">
        <f t="shared" si="53"/>
        <v>119140</v>
      </c>
      <c r="H140" s="386">
        <f t="shared" si="53"/>
        <v>119160</v>
      </c>
      <c r="I140" s="386">
        <f t="shared" si="53"/>
        <v>115980</v>
      </c>
      <c r="J140" s="386">
        <f t="shared" si="53"/>
        <v>115960</v>
      </c>
      <c r="K140" s="386">
        <f t="shared" si="53"/>
        <v>116040</v>
      </c>
      <c r="L140" s="386">
        <f t="shared" si="53"/>
        <v>116180</v>
      </c>
      <c r="M140" s="386">
        <f t="shared" si="53"/>
        <v>116400</v>
      </c>
      <c r="N140" s="386">
        <f t="shared" si="53"/>
        <v>116700</v>
      </c>
      <c r="O140" s="386">
        <f t="shared" si="53"/>
        <v>117080</v>
      </c>
      <c r="P140" s="386">
        <f t="shared" si="53"/>
        <v>117540</v>
      </c>
      <c r="Q140" s="386">
        <f t="shared" si="53"/>
        <v>118080</v>
      </c>
      <c r="R140" s="386">
        <f t="shared" si="53"/>
        <v>118720</v>
      </c>
      <c r="S140" s="386">
        <f t="shared" si="53"/>
        <v>118080</v>
      </c>
      <c r="T140" s="386">
        <f t="shared" si="53"/>
        <v>119940</v>
      </c>
      <c r="U140" s="386">
        <f t="shared" si="53"/>
        <v>121900</v>
      </c>
      <c r="V140" s="386">
        <f t="shared" si="53"/>
        <v>123920</v>
      </c>
      <c r="W140" s="386">
        <f t="shared" si="53"/>
        <v>126000</v>
      </c>
      <c r="X140" s="386">
        <f t="shared" si="53"/>
        <v>128160</v>
      </c>
      <c r="Y140" s="386">
        <f t="shared" si="53"/>
        <v>130400</v>
      </c>
      <c r="Z140" s="386">
        <f t="shared" si="53"/>
        <v>132720</v>
      </c>
      <c r="AA140" s="386">
        <f t="shared" si="53"/>
        <v>135120</v>
      </c>
      <c r="AB140" s="386">
        <f t="shared" si="53"/>
        <v>137580</v>
      </c>
      <c r="AC140" s="386">
        <f t="shared" si="53"/>
        <v>140800</v>
      </c>
      <c r="AD140" s="386">
        <f t="shared" si="53"/>
        <v>144100</v>
      </c>
      <c r="AE140" s="386">
        <f t="shared" si="53"/>
        <v>147480</v>
      </c>
      <c r="AF140" s="386">
        <f t="shared" si="53"/>
        <v>150960</v>
      </c>
      <c r="AG140" s="386">
        <f t="shared" si="53"/>
        <v>154540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4">(C135)/($C$22*$C$21)</f>
        <v>11.951046512288361</v>
      </c>
      <c r="D142" s="379">
        <f t="shared" si="54"/>
        <v>11.806794002819945</v>
      </c>
      <c r="E142" s="379">
        <f t="shared" si="54"/>
        <v>11.673497380146598</v>
      </c>
      <c r="F142" s="379">
        <f t="shared" si="54"/>
        <v>11.262651625331491</v>
      </c>
      <c r="G142" s="379">
        <f t="shared" si="54"/>
        <v>10.877369606371547</v>
      </c>
      <c r="H142" s="379">
        <f t="shared" si="54"/>
        <v>10.879195587504057</v>
      </c>
      <c r="I142" s="379">
        <f t="shared" si="54"/>
        <v>10.588864587434715</v>
      </c>
      <c r="J142" s="379">
        <f t="shared" si="54"/>
        <v>10.587038606302203</v>
      </c>
      <c r="K142" s="379">
        <f t="shared" si="54"/>
        <v>10.59434253083225</v>
      </c>
      <c r="L142" s="379">
        <f t="shared" si="54"/>
        <v>10.607124398759829</v>
      </c>
      <c r="M142" s="379">
        <f t="shared" si="54"/>
        <v>10.627210191217456</v>
      </c>
      <c r="N142" s="379">
        <f t="shared" si="54"/>
        <v>10.654599908205132</v>
      </c>
      <c r="O142" s="379">
        <f t="shared" si="54"/>
        <v>10.689293549722851</v>
      </c>
      <c r="P142" s="379">
        <f t="shared" si="54"/>
        <v>10.731291115770617</v>
      </c>
      <c r="Q142" s="379">
        <f t="shared" si="54"/>
        <v>10.78059260634843</v>
      </c>
      <c r="R142" s="379">
        <f t="shared" si="54"/>
        <v>10.839024002588802</v>
      </c>
      <c r="S142" s="379">
        <f t="shared" si="54"/>
        <v>10.78059260634843</v>
      </c>
      <c r="T142" s="379">
        <f t="shared" si="54"/>
        <v>10.950408851672009</v>
      </c>
      <c r="U142" s="379">
        <f t="shared" si="54"/>
        <v>11.129355002658144</v>
      </c>
      <c r="V142" s="379">
        <f t="shared" si="54"/>
        <v>11.313779097041815</v>
      </c>
      <c r="W142" s="379">
        <f t="shared" si="54"/>
        <v>11.503681134823021</v>
      </c>
      <c r="X142" s="379">
        <f t="shared" si="54"/>
        <v>11.700887097134272</v>
      </c>
      <c r="Y142" s="379">
        <f t="shared" si="54"/>
        <v>11.905396983975569</v>
      </c>
      <c r="Z142" s="379">
        <f t="shared" si="54"/>
        <v>12.117210795346915</v>
      </c>
      <c r="AA142" s="379">
        <f t="shared" si="54"/>
        <v>12.336328531248308</v>
      </c>
      <c r="AB142" s="379">
        <f t="shared" si="54"/>
        <v>12.560924210547233</v>
      </c>
      <c r="AC142" s="379">
        <f t="shared" si="54"/>
        <v>12.854907172881596</v>
      </c>
      <c r="AD142" s="379">
        <f t="shared" si="54"/>
        <v>13.15619405974601</v>
      </c>
      <c r="AE142" s="379">
        <f t="shared" si="54"/>
        <v>13.464784871140468</v>
      </c>
      <c r="AF142" s="379">
        <f t="shared" si="54"/>
        <v>13.782505588197486</v>
      </c>
      <c r="AG142" s="379">
        <f t="shared" si="54"/>
        <v>14.10935621091706</v>
      </c>
    </row>
    <row r="143" spans="1:34">
      <c r="A143" s="300" t="s">
        <v>321</v>
      </c>
      <c r="B143" s="300" t="s">
        <v>300</v>
      </c>
      <c r="C143" s="379">
        <f t="shared" ref="C143:AG143" si="55">C136/($C$22*$C$21)</f>
        <v>10.140370625294144</v>
      </c>
      <c r="D143" s="379">
        <f t="shared" si="55"/>
        <v>10.267870625294144</v>
      </c>
      <c r="E143" s="379">
        <f t="shared" si="55"/>
        <v>10.32163882218688</v>
      </c>
      <c r="F143" s="379">
        <f t="shared" si="55"/>
        <v>10.317556547136808</v>
      </c>
      <c r="G143" s="379">
        <f t="shared" si="55"/>
        <v>10.224774238116764</v>
      </c>
      <c r="H143" s="379">
        <f t="shared" si="55"/>
        <v>10.300042464841811</v>
      </c>
      <c r="I143" s="379">
        <f t="shared" si="55"/>
        <v>8.9359146940006831</v>
      </c>
      <c r="J143" s="379">
        <f t="shared" si="55"/>
        <v>8.7136638595981957</v>
      </c>
      <c r="K143" s="379">
        <f t="shared" si="55"/>
        <v>8.3406724463283002</v>
      </c>
      <c r="L143" s="379">
        <f t="shared" si="55"/>
        <v>8.0261258698904818</v>
      </c>
      <c r="M143" s="379">
        <f t="shared" si="55"/>
        <v>7.7781096769242231</v>
      </c>
      <c r="N143" s="379">
        <f t="shared" si="55"/>
        <v>7.6925737614805518</v>
      </c>
      <c r="O143" s="379">
        <f t="shared" si="55"/>
        <v>7.6123591693893466</v>
      </c>
      <c r="P143" s="379">
        <f t="shared" si="55"/>
        <v>7.5099547759574596</v>
      </c>
      <c r="Q143" s="379">
        <f t="shared" si="55"/>
        <v>7.4399397376695697</v>
      </c>
      <c r="R143" s="379">
        <f t="shared" si="55"/>
        <v>7.4091440335759886</v>
      </c>
      <c r="S143" s="379">
        <f t="shared" si="55"/>
        <v>7.4129984488319831</v>
      </c>
      <c r="T143" s="379">
        <f t="shared" si="55"/>
        <v>7.4509882832265637</v>
      </c>
      <c r="U143" s="379">
        <f t="shared" si="55"/>
        <v>7.4643636160908455</v>
      </c>
      <c r="V143" s="379">
        <f t="shared" si="55"/>
        <v>7.4829669638745093</v>
      </c>
      <c r="W143" s="379">
        <f t="shared" si="55"/>
        <v>7.5076917348124486</v>
      </c>
      <c r="X143" s="379">
        <f t="shared" si="55"/>
        <v>7.5383332457635941</v>
      </c>
      <c r="Y143" s="379">
        <f t="shared" si="55"/>
        <v>7.5746452651845768</v>
      </c>
      <c r="Z143" s="379">
        <f t="shared" si="55"/>
        <v>7.6175936842402541</v>
      </c>
      <c r="AA143" s="379">
        <f t="shared" si="55"/>
        <v>7.668244099445598</v>
      </c>
      <c r="AB143" s="379">
        <f t="shared" si="55"/>
        <v>7.7257642184034507</v>
      </c>
      <c r="AC143" s="379">
        <f t="shared" si="55"/>
        <v>7.9322067549208866</v>
      </c>
      <c r="AD143" s="379">
        <f t="shared" si="55"/>
        <v>8.1855497720240766</v>
      </c>
      <c r="AE143" s="379">
        <f t="shared" si="55"/>
        <v>8.4481783865564584</v>
      </c>
      <c r="AF143" s="379">
        <f t="shared" si="55"/>
        <v>8.7235637561909858</v>
      </c>
      <c r="AG143" s="379">
        <f t="shared" si="55"/>
        <v>9.0132486964650216</v>
      </c>
    </row>
    <row r="144" spans="1:34">
      <c r="A144" s="300" t="s">
        <v>322</v>
      </c>
      <c r="B144" s="300" t="s">
        <v>300</v>
      </c>
      <c r="C144" s="379">
        <f t="shared" ref="C144:AG144" si="56">(C137+C138+C139+C140)/($C$22*$C$21)</f>
        <v>15.422311513537402</v>
      </c>
      <c r="D144" s="379">
        <f t="shared" si="56"/>
        <v>15.661891225698966</v>
      </c>
      <c r="E144" s="379">
        <f t="shared" si="56"/>
        <v>15.916903611723159</v>
      </c>
      <c r="F144" s="379">
        <f t="shared" si="56"/>
        <v>16.161128924763414</v>
      </c>
      <c r="G144" s="379">
        <f t="shared" si="56"/>
        <v>16.422354664610992</v>
      </c>
      <c r="H144" s="379">
        <f t="shared" si="56"/>
        <v>16.733709127749385</v>
      </c>
      <c r="I144" s="379">
        <f t="shared" si="56"/>
        <v>17.045743577623018</v>
      </c>
      <c r="J144" s="379">
        <f t="shared" si="56"/>
        <v>17.398627965857347</v>
      </c>
      <c r="K144" s="379">
        <f t="shared" si="56"/>
        <v>17.767033318933425</v>
      </c>
      <c r="L144" s="379">
        <f t="shared" si="56"/>
        <v>18.159138529147494</v>
      </c>
      <c r="M144" s="379">
        <f t="shared" si="56"/>
        <v>18.566963977068479</v>
      </c>
      <c r="N144" s="379">
        <f t="shared" si="56"/>
        <v>18.990705166020501</v>
      </c>
      <c r="O144" s="379">
        <f t="shared" si="56"/>
        <v>19.438899702395002</v>
      </c>
      <c r="P144" s="379">
        <f t="shared" si="56"/>
        <v>19.90342762228288</v>
      </c>
      <c r="Q144" s="379">
        <f t="shared" si="56"/>
        <v>20.392845064936708</v>
      </c>
      <c r="R144" s="379">
        <f t="shared" si="56"/>
        <v>20.899217960260437</v>
      </c>
      <c r="S144" s="379">
        <f t="shared" si="56"/>
        <v>21.439910767082374</v>
      </c>
      <c r="T144" s="379">
        <f t="shared" si="56"/>
        <v>22.025779764014999</v>
      </c>
      <c r="U144" s="379">
        <f t="shared" si="56"/>
        <v>22.637103395071581</v>
      </c>
      <c r="V144" s="379">
        <f t="shared" si="56"/>
        <v>23.273837825540365</v>
      </c>
      <c r="W144" s="379">
        <f t="shared" si="56"/>
        <v>23.936284047975221</v>
      </c>
      <c r="X144" s="379">
        <f t="shared" si="56"/>
        <v>24.624921672417596</v>
      </c>
      <c r="Y144" s="379">
        <f t="shared" si="56"/>
        <v>25.340076068218728</v>
      </c>
      <c r="Z144" s="379">
        <f t="shared" si="56"/>
        <v>26.090418858192567</v>
      </c>
      <c r="AA144" s="379">
        <f t="shared" si="56"/>
        <v>26.867968432525561</v>
      </c>
      <c r="AB144" s="379">
        <f t="shared" si="56"/>
        <v>27.681257149900134</v>
      </c>
      <c r="AC144" s="379">
        <f t="shared" si="56"/>
        <v>28.564862102134004</v>
      </c>
      <c r="AD144" s="379">
        <f t="shared" si="56"/>
        <v>29.485148399119616</v>
      </c>
      <c r="AE144" s="379">
        <f t="shared" si="56"/>
        <v>30.442530732780313</v>
      </c>
      <c r="AF144" s="379">
        <f t="shared" si="56"/>
        <v>31.437606790431062</v>
      </c>
      <c r="AG144" s="379">
        <f t="shared" si="56"/>
        <v>32.470824572004567</v>
      </c>
    </row>
    <row r="145" spans="1:34">
      <c r="A145" s="300" t="s">
        <v>310</v>
      </c>
      <c r="B145" s="300" t="s">
        <v>300</v>
      </c>
      <c r="C145" s="379">
        <f t="shared" ref="C145:AG145" si="57">C133/($C$22*$C$21*7)</f>
        <v>1.5583333333333338</v>
      </c>
      <c r="D145" s="379">
        <f t="shared" si="57"/>
        <v>1.5395238095238102</v>
      </c>
      <c r="E145" s="379">
        <f t="shared" si="57"/>
        <v>1.5221428571428577</v>
      </c>
      <c r="F145" s="379">
        <f t="shared" si="57"/>
        <v>1.4685714285714291</v>
      </c>
      <c r="G145" s="379">
        <f t="shared" si="57"/>
        <v>1.4183333333333339</v>
      </c>
      <c r="H145" s="379">
        <f t="shared" si="57"/>
        <v>1.418571428571429</v>
      </c>
      <c r="I145" s="379">
        <f t="shared" si="57"/>
        <v>1.3807142857142862</v>
      </c>
      <c r="J145" s="379">
        <f t="shared" si="57"/>
        <v>1.3804761904761911</v>
      </c>
      <c r="K145" s="379">
        <f t="shared" si="57"/>
        <v>1.3814285714285719</v>
      </c>
      <c r="L145" s="379">
        <f t="shared" si="57"/>
        <v>1.3830952380952386</v>
      </c>
      <c r="M145" s="379">
        <f t="shared" si="57"/>
        <v>1.3857142857142863</v>
      </c>
      <c r="N145" s="379">
        <f t="shared" si="57"/>
        <v>2.0839285714285718</v>
      </c>
      <c r="O145" s="379">
        <f t="shared" si="57"/>
        <v>2.0907142857142862</v>
      </c>
      <c r="P145" s="379">
        <f t="shared" si="57"/>
        <v>2.0989285714285719</v>
      </c>
      <c r="Q145" s="379">
        <f t="shared" si="57"/>
        <v>2.108571428571429</v>
      </c>
      <c r="R145" s="379">
        <f t="shared" si="57"/>
        <v>2.12</v>
      </c>
      <c r="S145" s="379">
        <f t="shared" si="57"/>
        <v>2.108571428571429</v>
      </c>
      <c r="T145" s="379">
        <f t="shared" si="57"/>
        <v>2.1417857142857146</v>
      </c>
      <c r="U145" s="379">
        <f t="shared" si="57"/>
        <v>2.1767857142857148</v>
      </c>
      <c r="V145" s="379">
        <f t="shared" si="57"/>
        <v>2.2128571428571431</v>
      </c>
      <c r="W145" s="379">
        <f t="shared" si="57"/>
        <v>2.2500000000000004</v>
      </c>
      <c r="X145" s="379">
        <f t="shared" si="57"/>
        <v>3.0514285714285716</v>
      </c>
      <c r="Y145" s="379">
        <f t="shared" si="57"/>
        <v>3.1047619047619048</v>
      </c>
      <c r="Z145" s="379">
        <f t="shared" si="57"/>
        <v>3.16</v>
      </c>
      <c r="AA145" s="379">
        <f t="shared" si="57"/>
        <v>3.2171428571428571</v>
      </c>
      <c r="AB145" s="379">
        <f t="shared" si="57"/>
        <v>3.2757142857142858</v>
      </c>
      <c r="AC145" s="379">
        <f t="shared" si="57"/>
        <v>3.3523809523809525</v>
      </c>
      <c r="AD145" s="379">
        <f t="shared" si="57"/>
        <v>3.4309523809523808</v>
      </c>
      <c r="AE145" s="379">
        <f t="shared" si="57"/>
        <v>3.5114285714285716</v>
      </c>
      <c r="AF145" s="379">
        <f t="shared" si="57"/>
        <v>3.5942857142857143</v>
      </c>
      <c r="AG145" s="379">
        <f t="shared" si="57"/>
        <v>3.6795238095238094</v>
      </c>
    </row>
    <row r="146" spans="1:34" s="352" customFormat="1">
      <c r="A146" s="380" t="s">
        <v>323</v>
      </c>
      <c r="B146" s="352" t="s">
        <v>300</v>
      </c>
      <c r="C146" s="381">
        <f t="shared" ref="C146:AG146" si="58">SUM(C142:C144)-C145</f>
        <v>35.955395317786568</v>
      </c>
      <c r="D146" s="381">
        <f t="shared" si="58"/>
        <v>36.197032044289251</v>
      </c>
      <c r="E146" s="381">
        <f t="shared" si="58"/>
        <v>36.389896956913773</v>
      </c>
      <c r="F146" s="381">
        <f t="shared" si="58"/>
        <v>36.272765668660284</v>
      </c>
      <c r="G146" s="381">
        <f t="shared" si="58"/>
        <v>36.106165175765966</v>
      </c>
      <c r="H146" s="381">
        <f t="shared" si="58"/>
        <v>36.494375751523819</v>
      </c>
      <c r="I146" s="381">
        <f t="shared" si="58"/>
        <v>35.189808573344131</v>
      </c>
      <c r="J146" s="381">
        <f t="shared" si="58"/>
        <v>35.318854241281556</v>
      </c>
      <c r="K146" s="381">
        <f t="shared" si="58"/>
        <v>35.320619724665406</v>
      </c>
      <c r="L146" s="381">
        <f t="shared" si="58"/>
        <v>35.409293559702569</v>
      </c>
      <c r="M146" s="381">
        <f t="shared" si="58"/>
        <v>35.586569559495871</v>
      </c>
      <c r="N146" s="381">
        <f t="shared" si="58"/>
        <v>35.253950264277613</v>
      </c>
      <c r="O146" s="381">
        <f t="shared" si="58"/>
        <v>35.649838135792919</v>
      </c>
      <c r="P146" s="381">
        <f t="shared" si="58"/>
        <v>36.045744942582388</v>
      </c>
      <c r="Q146" s="381">
        <f t="shared" si="58"/>
        <v>36.504805980383274</v>
      </c>
      <c r="R146" s="381">
        <f t="shared" si="58"/>
        <v>37.027385996425231</v>
      </c>
      <c r="S146" s="381">
        <f t="shared" si="58"/>
        <v>37.524930393691356</v>
      </c>
      <c r="T146" s="381">
        <f t="shared" si="58"/>
        <v>38.285391184627855</v>
      </c>
      <c r="U146" s="381">
        <f t="shared" si="58"/>
        <v>39.054036299534857</v>
      </c>
      <c r="V146" s="381">
        <f t="shared" si="58"/>
        <v>39.857726743599542</v>
      </c>
      <c r="W146" s="381">
        <f t="shared" si="58"/>
        <v>40.697656917610686</v>
      </c>
      <c r="X146" s="381">
        <f t="shared" si="58"/>
        <v>40.812713443886892</v>
      </c>
      <c r="Y146" s="381">
        <f t="shared" si="58"/>
        <v>41.715356412616963</v>
      </c>
      <c r="Z146" s="381">
        <f t="shared" si="58"/>
        <v>42.665223337779736</v>
      </c>
      <c r="AA146" s="381">
        <f t="shared" si="58"/>
        <v>43.655398206076612</v>
      </c>
      <c r="AB146" s="381">
        <f t="shared" si="58"/>
        <v>44.69223129313653</v>
      </c>
      <c r="AC146" s="381">
        <f t="shared" si="58"/>
        <v>45.999595077555533</v>
      </c>
      <c r="AD146" s="381">
        <f t="shared" si="58"/>
        <v>47.395939849937321</v>
      </c>
      <c r="AE146" s="381">
        <f t="shared" si="58"/>
        <v>48.844065419048668</v>
      </c>
      <c r="AF146" s="381">
        <f t="shared" si="58"/>
        <v>50.349390420533823</v>
      </c>
      <c r="AG146" s="381">
        <f t="shared" si="58"/>
        <v>51.913905669862842</v>
      </c>
    </row>
    <row r="147" spans="1:34" s="344" customFormat="1">
      <c r="A147" s="342" t="s">
        <v>331</v>
      </c>
      <c r="B147" s="342"/>
      <c r="H147" s="385">
        <f>H149/H63</f>
        <v>3.3550356801294785</v>
      </c>
      <c r="AB147" s="385">
        <f>AB149/AB63</f>
        <v>1.7812264515997638</v>
      </c>
    </row>
    <row r="148" spans="1:34">
      <c r="A148" s="360" t="s">
        <v>41</v>
      </c>
      <c r="B148" s="360"/>
      <c r="C148" s="360">
        <v>2025</v>
      </c>
      <c r="D148" s="360">
        <f t="shared" ref="D148:AG148" si="59">C148+1</f>
        <v>2026</v>
      </c>
      <c r="E148" s="360">
        <f t="shared" si="59"/>
        <v>2027</v>
      </c>
      <c r="F148" s="360">
        <f t="shared" si="59"/>
        <v>2028</v>
      </c>
      <c r="G148" s="360">
        <f t="shared" si="59"/>
        <v>2029</v>
      </c>
      <c r="H148" s="360">
        <f t="shared" si="59"/>
        <v>2030</v>
      </c>
      <c r="I148" s="360">
        <f t="shared" si="59"/>
        <v>2031</v>
      </c>
      <c r="J148" s="360">
        <f t="shared" si="59"/>
        <v>2032</v>
      </c>
      <c r="K148" s="360">
        <f t="shared" si="59"/>
        <v>2033</v>
      </c>
      <c r="L148" s="360">
        <f t="shared" si="59"/>
        <v>2034</v>
      </c>
      <c r="M148" s="360">
        <f t="shared" si="59"/>
        <v>2035</v>
      </c>
      <c r="N148" s="360">
        <f t="shared" si="59"/>
        <v>2036</v>
      </c>
      <c r="O148" s="360">
        <f t="shared" si="59"/>
        <v>2037</v>
      </c>
      <c r="P148" s="360">
        <f t="shared" si="59"/>
        <v>2038</v>
      </c>
      <c r="Q148" s="360">
        <f t="shared" si="59"/>
        <v>2039</v>
      </c>
      <c r="R148" s="360">
        <f t="shared" si="59"/>
        <v>2040</v>
      </c>
      <c r="S148" s="360">
        <f t="shared" si="59"/>
        <v>2041</v>
      </c>
      <c r="T148" s="360">
        <f t="shared" si="59"/>
        <v>2042</v>
      </c>
      <c r="U148" s="360">
        <f t="shared" si="59"/>
        <v>2043</v>
      </c>
      <c r="V148" s="360">
        <f t="shared" si="59"/>
        <v>2044</v>
      </c>
      <c r="W148" s="360">
        <f t="shared" si="59"/>
        <v>2045</v>
      </c>
      <c r="X148" s="360">
        <f t="shared" si="59"/>
        <v>2046</v>
      </c>
      <c r="Y148" s="360">
        <f t="shared" si="59"/>
        <v>2047</v>
      </c>
      <c r="Z148" s="360">
        <f t="shared" si="59"/>
        <v>2048</v>
      </c>
      <c r="AA148" s="360">
        <f t="shared" si="59"/>
        <v>2049</v>
      </c>
      <c r="AB148" s="360">
        <f t="shared" si="59"/>
        <v>2050</v>
      </c>
      <c r="AC148" s="360">
        <f t="shared" si="59"/>
        <v>2051</v>
      </c>
      <c r="AD148" s="360">
        <f t="shared" si="59"/>
        <v>2052</v>
      </c>
      <c r="AE148" s="360">
        <f t="shared" si="59"/>
        <v>2053</v>
      </c>
      <c r="AF148" s="360">
        <f t="shared" si="59"/>
        <v>2054</v>
      </c>
      <c r="AG148" s="360">
        <f t="shared" si="59"/>
        <v>2055</v>
      </c>
    </row>
    <row r="149" spans="1:34">
      <c r="A149" s="368" t="s">
        <v>332</v>
      </c>
      <c r="B149" s="300" t="s">
        <v>309</v>
      </c>
      <c r="C149" s="376">
        <f>ROUND(('Changing with year'!C142)/1000,0)*1000</f>
        <v>10016000</v>
      </c>
      <c r="D149" s="376">
        <f>ROUND(('Changing with year'!D142)/1000,0)*1000</f>
        <v>9773000</v>
      </c>
      <c r="E149" s="376">
        <f>ROUND(('Changing with year'!E142)/1000,0)*1000</f>
        <v>9542000</v>
      </c>
      <c r="F149" s="376">
        <f>ROUND(('Changing with year'!F142)/1000,0)*1000</f>
        <v>9324000</v>
      </c>
      <c r="G149" s="376">
        <f>ROUND(('Changing with year'!G142)/1000,0)*1000</f>
        <v>9117000</v>
      </c>
      <c r="H149" s="376">
        <f>ROUND(('Changing with year'!H142)/1000,0)*1000</f>
        <v>9121000</v>
      </c>
      <c r="I149" s="376">
        <f>ROUND(('Changing with year'!I142)/1000,0)*1000</f>
        <v>8994000</v>
      </c>
      <c r="J149" s="376">
        <f>ROUND(('Changing with year'!J142)/1000,0)*1000</f>
        <v>8881000</v>
      </c>
      <c r="K149" s="376">
        <f>ROUND(('Changing with year'!K142)/1000,0)*1000</f>
        <v>8775000</v>
      </c>
      <c r="L149" s="376">
        <f>ROUND(('Changing with year'!L142)/1000,0)*1000</f>
        <v>8678000</v>
      </c>
      <c r="M149" s="376">
        <f>ROUND(('Changing with year'!M142)/1000,0)*1000</f>
        <v>8588000</v>
      </c>
      <c r="N149" s="376">
        <f>ROUND(('Changing with year'!N142)/1000,0)*1000</f>
        <v>8505000</v>
      </c>
      <c r="O149" s="376">
        <f>ROUND(('Changing with year'!O142)/1000,0)*1000</f>
        <v>8431000</v>
      </c>
      <c r="P149" s="376">
        <f>ROUND(('Changing with year'!P142)/1000,0)*1000</f>
        <v>8363000</v>
      </c>
      <c r="Q149" s="376">
        <f>ROUND(('Changing with year'!Q142)/1000,0)*1000</f>
        <v>8303000</v>
      </c>
      <c r="R149" s="376">
        <f>ROUND(('Changing with year'!R142)/1000,0)*1000</f>
        <v>8250000</v>
      </c>
      <c r="S149" s="376">
        <f>ROUND(('Changing with year'!S142)/1000,0)*1000</f>
        <v>8144000</v>
      </c>
      <c r="T149" s="376">
        <f>ROUND(('Changing with year'!T142)/1000,0)*1000</f>
        <v>8210000</v>
      </c>
      <c r="U149" s="376">
        <f>ROUND(('Changing with year'!U142)/1000,0)*1000</f>
        <v>8280000</v>
      </c>
      <c r="V149" s="376">
        <f>ROUND(('Changing with year'!V142)/1000,0)*1000</f>
        <v>8355000</v>
      </c>
      <c r="W149" s="376">
        <f>ROUND(('Changing with year'!W142)/1000,0)*1000</f>
        <v>8434000</v>
      </c>
      <c r="X149" s="376">
        <f>ROUND(('Changing with year'!X142)/1000,0)*1000</f>
        <v>8359000</v>
      </c>
      <c r="Y149" s="376">
        <f>ROUND(('Changing with year'!Y142)/1000,0)*1000</f>
        <v>8448000</v>
      </c>
      <c r="Z149" s="376">
        <f>ROUND(('Changing with year'!Z142)/1000,0)*1000</f>
        <v>8543000</v>
      </c>
      <c r="AA149" s="376">
        <f>ROUND(('Changing with year'!AA142)/1000,0)*1000</f>
        <v>8642000</v>
      </c>
      <c r="AB149" s="376">
        <f>ROUND(('Changing with year'!AB142)/1000,0)*1000</f>
        <v>8746000</v>
      </c>
      <c r="AC149" s="376">
        <f>ROUND(('Changing with year'!AC142)/1000,0)*1000</f>
        <v>8770000</v>
      </c>
      <c r="AD149" s="376">
        <f>ROUND(('Changing with year'!AD142)/1000,0)*1000</f>
        <v>8952000</v>
      </c>
      <c r="AE149" s="376">
        <f>ROUND(('Changing with year'!AE142)/1000,0)*1000</f>
        <v>9139000</v>
      </c>
      <c r="AF149" s="376">
        <f>ROUND(('Changing with year'!AF142)/1000,0)*1000</f>
        <v>9330000</v>
      </c>
      <c r="AG149" s="376">
        <f>ROUND(('Changing with year'!AG142)/1000,0)*1000</f>
        <v>9527000</v>
      </c>
    </row>
    <row r="150" spans="1:34">
      <c r="A150" s="368" t="s">
        <v>310</v>
      </c>
      <c r="B150" s="300" t="s">
        <v>309</v>
      </c>
      <c r="C150" s="376">
        <f>(C149*'No change with year'!$AN$10)</f>
        <v>1001600.0000000003</v>
      </c>
      <c r="D150" s="376">
        <f>(D149*'No change with year'!$AN$10)</f>
        <v>977300.00000000035</v>
      </c>
      <c r="E150" s="376">
        <f>(E149*'No change with year'!$AN$10)</f>
        <v>954200.00000000035</v>
      </c>
      <c r="F150" s="376">
        <f>(F149*'No change with year'!$AN$10)</f>
        <v>932400.00000000035</v>
      </c>
      <c r="G150" s="376">
        <f>(G149*'No change with year'!$AN$10)</f>
        <v>911700.00000000035</v>
      </c>
      <c r="H150" s="376">
        <f>(H149*'No change with year'!$AN$10)</f>
        <v>912100.00000000035</v>
      </c>
      <c r="I150" s="376">
        <f>(I149*'No change with year'!$AN$10)</f>
        <v>899400.00000000035</v>
      </c>
      <c r="J150" s="376">
        <f>(J149*'No change with year'!$AN$10)</f>
        <v>888100.00000000035</v>
      </c>
      <c r="K150" s="376">
        <f>(K149*'No change with year'!$AN$10)</f>
        <v>877500.00000000035</v>
      </c>
      <c r="L150" s="376">
        <f>(L149*'No change with year'!$AN$10)</f>
        <v>867800.00000000023</v>
      </c>
      <c r="M150" s="376">
        <f>(M149*'No change with year'!$AN$10)</f>
        <v>858800.00000000023</v>
      </c>
      <c r="N150" s="376">
        <f>(N149*'No change with year'!$AO$10)</f>
        <v>1701000.0000000005</v>
      </c>
      <c r="O150" s="376">
        <f>(O149*'No change with year'!$AO$10)</f>
        <v>1686200.0000000005</v>
      </c>
      <c r="P150" s="376">
        <f>(P149*'No change with year'!$AO$10)</f>
        <v>1672600.0000000005</v>
      </c>
      <c r="Q150" s="376">
        <f>(Q149*'No change with year'!$AO$10)</f>
        <v>1660600.0000000005</v>
      </c>
      <c r="R150" s="376">
        <f>(R149*'No change with year'!$AO$10)</f>
        <v>1650000.0000000005</v>
      </c>
      <c r="S150" s="376">
        <f>(S149*'No change with year'!$AO$10)</f>
        <v>1628800.0000000005</v>
      </c>
      <c r="T150" s="376">
        <f>(T149*'No change with year'!$AO$10)</f>
        <v>1642000.0000000005</v>
      </c>
      <c r="U150" s="376">
        <f>(U149*'No change with year'!$AO$10)</f>
        <v>1656000.0000000005</v>
      </c>
      <c r="V150" s="376">
        <f>(V149*'No change with year'!$AO$10)</f>
        <v>1671000.0000000005</v>
      </c>
      <c r="W150" s="376">
        <f>(W149*'No change with year'!$AO$10)</f>
        <v>1686800.0000000005</v>
      </c>
      <c r="X150" s="376">
        <f>(X149*'No change with year'!$AP$10)</f>
        <v>2507700.0000000005</v>
      </c>
      <c r="Y150" s="376">
        <f>(Y149*'No change with year'!$AP$10)</f>
        <v>2534400.0000000005</v>
      </c>
      <c r="Z150" s="376">
        <f>(Z149*'No change with year'!$AP$10)</f>
        <v>2562900.0000000005</v>
      </c>
      <c r="AA150" s="376">
        <f>(AA149*'No change with year'!$AP$10)</f>
        <v>2592600.0000000005</v>
      </c>
      <c r="AB150" s="376">
        <f>(AB149*'No change with year'!$AP$10)</f>
        <v>2623800.0000000005</v>
      </c>
      <c r="AC150" s="376">
        <f>(AC149*'No change with year'!$AP$10)</f>
        <v>2631000.0000000005</v>
      </c>
      <c r="AD150" s="376">
        <f>(AD149*'No change with year'!$AP$10)</f>
        <v>2685600.0000000005</v>
      </c>
      <c r="AE150" s="376">
        <f>(AE149*'No change with year'!$AP$10)</f>
        <v>2741700.0000000005</v>
      </c>
      <c r="AF150" s="376">
        <f>(AF149*'No change with year'!$AP$10)</f>
        <v>2799000.0000000005</v>
      </c>
      <c r="AG150" s="376">
        <f>(AG149*'No change with year'!$AP$10)</f>
        <v>2858100.0000000005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2194683.2427883311</v>
      </c>
      <c r="D152" s="376">
        <f t="shared" ref="D152:AG152" si="60">-PMT($C$28,$C$27,D149)</f>
        <v>2141437.632964293</v>
      </c>
      <c r="E152" s="376">
        <f t="shared" si="60"/>
        <v>2090821.4359710717</v>
      </c>
      <c r="F152" s="376">
        <f t="shared" si="60"/>
        <v>2043053.7695445684</v>
      </c>
      <c r="G152" s="376">
        <f t="shared" si="60"/>
        <v>1997696.3982129807</v>
      </c>
      <c r="H152" s="376">
        <f t="shared" si="60"/>
        <v>1998572.8691565862</v>
      </c>
      <c r="I152" s="376">
        <f t="shared" si="60"/>
        <v>1970744.9166971096</v>
      </c>
      <c r="J152" s="376">
        <f t="shared" si="60"/>
        <v>1945984.6125402523</v>
      </c>
      <c r="K152" s="376">
        <f t="shared" si="60"/>
        <v>1922758.1325347049</v>
      </c>
      <c r="L152" s="376">
        <f t="shared" si="60"/>
        <v>1901503.7121522699</v>
      </c>
      <c r="M152" s="376">
        <f t="shared" si="60"/>
        <v>1881783.1159211448</v>
      </c>
      <c r="N152" s="376">
        <f t="shared" si="60"/>
        <v>1863596.3438413294</v>
      </c>
      <c r="O152" s="376">
        <f t="shared" si="60"/>
        <v>1847381.6313846263</v>
      </c>
      <c r="P152" s="376">
        <f t="shared" si="60"/>
        <v>1832481.6253433318</v>
      </c>
      <c r="Q152" s="376">
        <f t="shared" si="60"/>
        <v>1819334.5611892485</v>
      </c>
      <c r="R152" s="376">
        <f t="shared" si="60"/>
        <v>1807721.3211864748</v>
      </c>
      <c r="S152" s="376">
        <f t="shared" si="60"/>
        <v>1784494.8411809274</v>
      </c>
      <c r="T152" s="376">
        <f t="shared" si="60"/>
        <v>1798956.611750419</v>
      </c>
      <c r="U152" s="376">
        <f t="shared" si="60"/>
        <v>1814294.8532635164</v>
      </c>
      <c r="V152" s="376">
        <f t="shared" si="60"/>
        <v>1830728.6834561205</v>
      </c>
      <c r="W152" s="376">
        <f t="shared" si="60"/>
        <v>1848038.9845923306</v>
      </c>
      <c r="X152" s="376">
        <f t="shared" si="60"/>
        <v>1831605.1543997263</v>
      </c>
      <c r="Y152" s="376">
        <f t="shared" si="60"/>
        <v>1851106.63289495</v>
      </c>
      <c r="Z152" s="376">
        <f t="shared" si="60"/>
        <v>1871922.8178055822</v>
      </c>
      <c r="AA152" s="376">
        <f t="shared" si="60"/>
        <v>1893615.4736598199</v>
      </c>
      <c r="AB152" s="376">
        <f t="shared" si="60"/>
        <v>1916403.7181935646</v>
      </c>
      <c r="AC152" s="376">
        <f t="shared" si="60"/>
        <v>1921662.543855198</v>
      </c>
      <c r="AD152" s="376">
        <f t="shared" si="60"/>
        <v>1961541.9717892511</v>
      </c>
      <c r="AE152" s="376">
        <f t="shared" si="60"/>
        <v>2002516.9884028111</v>
      </c>
      <c r="AF152" s="376">
        <f t="shared" si="60"/>
        <v>2044368.4759599767</v>
      </c>
      <c r="AG152" s="376">
        <f t="shared" si="60"/>
        <v>2087534.6699325508</v>
      </c>
    </row>
    <row r="153" spans="1:34">
      <c r="A153" s="300" t="s">
        <v>333</v>
      </c>
      <c r="B153" s="300" t="s">
        <v>313</v>
      </c>
      <c r="C153" s="376">
        <f t="shared" ref="C153:AG153" si="61">$H$38*C50</f>
        <v>3607500</v>
      </c>
      <c r="D153" s="376">
        <f t="shared" si="61"/>
        <v>3574000.0000000005</v>
      </c>
      <c r="E153" s="376">
        <f t="shared" si="61"/>
        <v>3543842.5</v>
      </c>
      <c r="F153" s="376">
        <f t="shared" si="61"/>
        <v>3516952.9750000006</v>
      </c>
      <c r="G153" s="376">
        <f t="shared" si="61"/>
        <v>3493260.4907500003</v>
      </c>
      <c r="H153" s="376">
        <f t="shared" si="61"/>
        <v>3472697.5895275008</v>
      </c>
      <c r="I153" s="376">
        <f t="shared" si="61"/>
        <v>3265875.3622449003</v>
      </c>
      <c r="J153" s="376">
        <f t="shared" si="61"/>
        <v>3157025.2117726794</v>
      </c>
      <c r="K153" s="376">
        <f t="shared" si="61"/>
        <v>3051795.4827194139</v>
      </c>
      <c r="L153" s="376">
        <f t="shared" si="61"/>
        <v>2950049.5401911694</v>
      </c>
      <c r="M153" s="376">
        <f t="shared" si="61"/>
        <v>2851656.4170598257</v>
      </c>
      <c r="N153" s="376">
        <f t="shared" si="61"/>
        <v>2756490.5636588917</v>
      </c>
      <c r="O153" s="376">
        <f t="shared" si="61"/>
        <v>2664431.6089780368</v>
      </c>
      <c r="P153" s="376">
        <f t="shared" si="61"/>
        <v>2575364.132814806</v>
      </c>
      <c r="Q153" s="376">
        <f t="shared" si="61"/>
        <v>2489177.448367896</v>
      </c>
      <c r="R153" s="376">
        <f t="shared" si="61"/>
        <v>2405765.3947810591</v>
      </c>
      <c r="S153" s="376">
        <f t="shared" si="61"/>
        <v>2221203.0406856807</v>
      </c>
      <c r="T153" s="376">
        <f t="shared" si="61"/>
        <v>2158133.3350977018</v>
      </c>
      <c r="U153" s="376">
        <f t="shared" si="61"/>
        <v>2097308.0772925373</v>
      </c>
      <c r="V153" s="376">
        <f t="shared" si="61"/>
        <v>2038630.2592469763</v>
      </c>
      <c r="W153" s="376">
        <f t="shared" si="61"/>
        <v>1982007.3874755797</v>
      </c>
      <c r="X153" s="376">
        <f t="shared" si="61"/>
        <v>1927351.2661740177</v>
      </c>
      <c r="Y153" s="376">
        <f t="shared" si="61"/>
        <v>1874577.7909511907</v>
      </c>
      <c r="Z153" s="376">
        <f t="shared" si="61"/>
        <v>1823606.7526281946</v>
      </c>
      <c r="AA153" s="376">
        <f t="shared" si="61"/>
        <v>1774361.6506080639</v>
      </c>
      <c r="AB153" s="376">
        <f t="shared" si="61"/>
        <v>1726769.5153448195</v>
      </c>
      <c r="AC153" s="376">
        <f t="shared" si="61"/>
        <v>1668748.5409663403</v>
      </c>
      <c r="AD153" s="376">
        <f t="shared" si="61"/>
        <v>1674499.7779500592</v>
      </c>
      <c r="AE153" s="376">
        <f t="shared" si="61"/>
        <v>1682204.8844786759</v>
      </c>
      <c r="AF153" s="376">
        <f t="shared" si="61"/>
        <v>1691832.4685639329</v>
      </c>
      <c r="AG153" s="376">
        <f t="shared" si="61"/>
        <v>1703354.1600401262</v>
      </c>
    </row>
    <row r="154" spans="1:34">
      <c r="A154" s="300" t="s">
        <v>317</v>
      </c>
      <c r="B154" s="300" t="s">
        <v>313</v>
      </c>
      <c r="C154" s="376">
        <f t="shared" ref="C154:AG154" si="62">$C$22*$C$21*C58</f>
        <v>696600.00000000012</v>
      </c>
      <c r="D154" s="376">
        <f t="shared" si="62"/>
        <v>697749</v>
      </c>
      <c r="E154" s="376">
        <f t="shared" si="62"/>
        <v>699611.83499999996</v>
      </c>
      <c r="F154" s="376">
        <f t="shared" si="62"/>
        <v>702200.36152499996</v>
      </c>
      <c r="G154" s="376">
        <f t="shared" si="62"/>
        <v>705527.32778287504</v>
      </c>
      <c r="H154" s="376">
        <f t="shared" si="62"/>
        <v>709606.39889614319</v>
      </c>
      <c r="I154" s="376">
        <f t="shared" si="62"/>
        <v>716262.8350537467</v>
      </c>
      <c r="J154" s="376">
        <f t="shared" si="62"/>
        <v>723620.08505361911</v>
      </c>
      <c r="K154" s="376">
        <f t="shared" si="62"/>
        <v>731697.49032153212</v>
      </c>
      <c r="L154" s="376">
        <f t="shared" si="62"/>
        <v>740515.33976284636</v>
      </c>
      <c r="M154" s="376">
        <f t="shared" si="62"/>
        <v>750094.90418524388</v>
      </c>
      <c r="N154" s="376">
        <f t="shared" si="62"/>
        <v>760458.47216789983</v>
      </c>
      <c r="O154" s="376">
        <f t="shared" si="62"/>
        <v>771629.38743355684</v>
      </c>
      <c r="P154" s="376">
        <f t="shared" si="62"/>
        <v>783632.08778226154</v>
      </c>
      <c r="Q154" s="376">
        <f t="shared" si="62"/>
        <v>796492.14564788714</v>
      </c>
      <c r="R154" s="376">
        <f t="shared" si="62"/>
        <v>810236.31034105096</v>
      </c>
      <c r="S154" s="376">
        <f t="shared" si="62"/>
        <v>827851.42049627914</v>
      </c>
      <c r="T154" s="376">
        <f t="shared" si="62"/>
        <v>846319.07848030073</v>
      </c>
      <c r="U154" s="376">
        <f t="shared" si="62"/>
        <v>865671.90677204158</v>
      </c>
      <c r="V154" s="376">
        <f t="shared" si="62"/>
        <v>885943.84754392668</v>
      </c>
      <c r="W154" s="376">
        <f t="shared" si="62"/>
        <v>907170.215301677</v>
      </c>
      <c r="X154" s="376">
        <f t="shared" si="62"/>
        <v>929387.7516311775</v>
      </c>
      <c r="Y154" s="376">
        <f t="shared" si="62"/>
        <v>952634.68213668372</v>
      </c>
      <c r="Z154" s="376">
        <f t="shared" si="62"/>
        <v>976950.77565800748</v>
      </c>
      <c r="AA154" s="376">
        <f t="shared" si="62"/>
        <v>1002377.4058578258</v>
      </c>
      <c r="AB154" s="376">
        <f t="shared" si="62"/>
        <v>1028957.6152739017</v>
      </c>
      <c r="AC154" s="376">
        <f t="shared" si="62"/>
        <v>1062088.0771148249</v>
      </c>
      <c r="AD154" s="376">
        <f t="shared" si="62"/>
        <v>1096463.4790016848</v>
      </c>
      <c r="AE154" s="376">
        <f t="shared" si="62"/>
        <v>1132132.8157520418</v>
      </c>
      <c r="AF154" s="376">
        <f t="shared" si="62"/>
        <v>1169147.033948316</v>
      </c>
      <c r="AG154" s="376">
        <f t="shared" si="62"/>
        <v>1207559.1099281029</v>
      </c>
    </row>
    <row r="155" spans="1:34">
      <c r="A155" s="368" t="s">
        <v>318</v>
      </c>
      <c r="B155" s="300" t="s">
        <v>313</v>
      </c>
      <c r="C155" s="376">
        <f>'Changing with year'!C298</f>
        <v>460000</v>
      </c>
      <c r="D155" s="376">
        <f>'Changing with year'!D298</f>
        <v>481000</v>
      </c>
      <c r="E155" s="376">
        <f>'Changing with year'!E298</f>
        <v>503000</v>
      </c>
      <c r="F155" s="376">
        <f>'Changing with year'!F298</f>
        <v>526000</v>
      </c>
      <c r="G155" s="376">
        <f>'Changing with year'!G298</f>
        <v>550000</v>
      </c>
      <c r="H155" s="376">
        <f>'Changing with year'!H298</f>
        <v>575000</v>
      </c>
      <c r="I155" s="376">
        <f>'Changing with year'!I298</f>
        <v>601000</v>
      </c>
      <c r="J155" s="376">
        <f>'Changing with year'!J298</f>
        <v>628000</v>
      </c>
      <c r="K155" s="376">
        <f>'Changing with year'!K298</f>
        <v>656000</v>
      </c>
      <c r="L155" s="376">
        <f>'Changing with year'!L298</f>
        <v>686000</v>
      </c>
      <c r="M155" s="376">
        <f>'Changing with year'!M298</f>
        <v>717000</v>
      </c>
      <c r="N155" s="376">
        <f>'Changing with year'!N298</f>
        <v>749000</v>
      </c>
      <c r="O155" s="376">
        <f>'Changing with year'!O298</f>
        <v>783000</v>
      </c>
      <c r="P155" s="376">
        <f>'Changing with year'!P298</f>
        <v>818000</v>
      </c>
      <c r="Q155" s="376">
        <f>'Changing with year'!Q298</f>
        <v>855000</v>
      </c>
      <c r="R155" s="376">
        <f>'Changing with year'!R298</f>
        <v>893000</v>
      </c>
      <c r="S155" s="376">
        <f>'Changing with year'!S298</f>
        <v>933000</v>
      </c>
      <c r="T155" s="376">
        <f>'Changing with year'!T298</f>
        <v>975000</v>
      </c>
      <c r="U155" s="376">
        <f>'Changing with year'!U298</f>
        <v>1019000</v>
      </c>
      <c r="V155" s="376">
        <f>'Changing with year'!V298</f>
        <v>1065000</v>
      </c>
      <c r="W155" s="376">
        <f>'Changing with year'!W298</f>
        <v>1113000</v>
      </c>
      <c r="X155" s="376">
        <f>'Changing with year'!X298</f>
        <v>1163000</v>
      </c>
      <c r="Y155" s="376">
        <f>'Changing with year'!Y298</f>
        <v>1215000</v>
      </c>
      <c r="Z155" s="376">
        <f>'Changing with year'!Z298</f>
        <v>1270000</v>
      </c>
      <c r="AA155" s="376">
        <f>'Changing with year'!AA298</f>
        <v>1327000</v>
      </c>
      <c r="AB155" s="376">
        <f>'Changing with year'!AB298</f>
        <v>1387000</v>
      </c>
      <c r="AC155" s="376">
        <f>'Changing with year'!AC298</f>
        <v>1449000</v>
      </c>
      <c r="AD155" s="376">
        <f>'Changing with year'!AD298</f>
        <v>1514000</v>
      </c>
      <c r="AE155" s="376">
        <f>'Changing with year'!AE298</f>
        <v>1582000</v>
      </c>
      <c r="AF155" s="376">
        <f>'Changing with year'!AF298</f>
        <v>1653000</v>
      </c>
      <c r="AG155" s="376">
        <f>'Changing with year'!AG298</f>
        <v>1727000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3">C60</f>
        <v>636000</v>
      </c>
      <c r="D156" s="376">
        <f t="shared" si="63"/>
        <v>642360</v>
      </c>
      <c r="E156" s="376">
        <f t="shared" si="63"/>
        <v>648783.6</v>
      </c>
      <c r="F156" s="376">
        <f t="shared" si="63"/>
        <v>655271.43599999999</v>
      </c>
      <c r="G156" s="376">
        <f t="shared" si="63"/>
        <v>661824.15035999997</v>
      </c>
      <c r="H156" s="376">
        <f t="shared" si="63"/>
        <v>668442.3918636</v>
      </c>
      <c r="I156" s="376">
        <f t="shared" si="63"/>
        <v>675126.81578223605</v>
      </c>
      <c r="J156" s="376">
        <f t="shared" si="63"/>
        <v>681878.08394005825</v>
      </c>
      <c r="K156" s="376">
        <f t="shared" si="63"/>
        <v>688696.86477945896</v>
      </c>
      <c r="L156" s="376">
        <f t="shared" si="63"/>
        <v>695583.83342725353</v>
      </c>
      <c r="M156" s="376">
        <f t="shared" si="63"/>
        <v>702539.67176152603</v>
      </c>
      <c r="N156" s="376">
        <f t="shared" si="63"/>
        <v>709565.06847914134</v>
      </c>
      <c r="O156" s="376">
        <f t="shared" si="63"/>
        <v>716660.7191639326</v>
      </c>
      <c r="P156" s="376">
        <f t="shared" si="63"/>
        <v>723827.32635557198</v>
      </c>
      <c r="Q156" s="376">
        <f t="shared" si="63"/>
        <v>731065.59961912769</v>
      </c>
      <c r="R156" s="376">
        <f t="shared" si="63"/>
        <v>738376.25561531901</v>
      </c>
      <c r="S156" s="376">
        <f t="shared" si="63"/>
        <v>745760.01817147224</v>
      </c>
      <c r="T156" s="376">
        <f t="shared" si="63"/>
        <v>753217.61835318699</v>
      </c>
      <c r="U156" s="376">
        <f t="shared" si="63"/>
        <v>760749.79453671887</v>
      </c>
      <c r="V156" s="376">
        <f t="shared" si="63"/>
        <v>768357.29248208611</v>
      </c>
      <c r="W156" s="376">
        <f t="shared" si="63"/>
        <v>776040.86540690705</v>
      </c>
      <c r="X156" s="376">
        <f t="shared" si="63"/>
        <v>783801.27406097599</v>
      </c>
      <c r="Y156" s="376">
        <f t="shared" si="63"/>
        <v>791639.28680158569</v>
      </c>
      <c r="Z156" s="376">
        <f t="shared" si="63"/>
        <v>799555.67966960161</v>
      </c>
      <c r="AA156" s="376">
        <f t="shared" si="63"/>
        <v>807551.23646629776</v>
      </c>
      <c r="AB156" s="376">
        <f t="shared" si="63"/>
        <v>815626.74883096071</v>
      </c>
      <c r="AC156" s="376">
        <f t="shared" si="63"/>
        <v>823783.01631927036</v>
      </c>
      <c r="AD156" s="376">
        <f t="shared" si="63"/>
        <v>832020.84648246306</v>
      </c>
      <c r="AE156" s="376">
        <f t="shared" si="63"/>
        <v>840341.05494728766</v>
      </c>
      <c r="AF156" s="376">
        <f t="shared" si="63"/>
        <v>848744.46549676056</v>
      </c>
      <c r="AG156" s="376">
        <f t="shared" si="63"/>
        <v>857231.91015172808</v>
      </c>
    </row>
    <row r="157" spans="1:34">
      <c r="A157" s="300" t="s">
        <v>319</v>
      </c>
      <c r="B157" s="300" t="s">
        <v>313</v>
      </c>
      <c r="C157" s="376">
        <f t="shared" ref="C157:AG157" si="64">C149*$C$29</f>
        <v>200320</v>
      </c>
      <c r="D157" s="376">
        <f t="shared" si="64"/>
        <v>195460</v>
      </c>
      <c r="E157" s="376">
        <f t="shared" si="64"/>
        <v>190840</v>
      </c>
      <c r="F157" s="376">
        <f t="shared" si="64"/>
        <v>186480</v>
      </c>
      <c r="G157" s="376">
        <f t="shared" si="64"/>
        <v>182340</v>
      </c>
      <c r="H157" s="376">
        <f t="shared" si="64"/>
        <v>182420</v>
      </c>
      <c r="I157" s="376">
        <f t="shared" si="64"/>
        <v>179880</v>
      </c>
      <c r="J157" s="376">
        <f t="shared" si="64"/>
        <v>177620</v>
      </c>
      <c r="K157" s="376">
        <f t="shared" si="64"/>
        <v>175500</v>
      </c>
      <c r="L157" s="376">
        <f t="shared" si="64"/>
        <v>173560</v>
      </c>
      <c r="M157" s="376">
        <f t="shared" si="64"/>
        <v>171760</v>
      </c>
      <c r="N157" s="376">
        <f t="shared" si="64"/>
        <v>170100</v>
      </c>
      <c r="O157" s="376">
        <f t="shared" si="64"/>
        <v>168620</v>
      </c>
      <c r="P157" s="376">
        <f t="shared" si="64"/>
        <v>167260</v>
      </c>
      <c r="Q157" s="376">
        <f t="shared" si="64"/>
        <v>166060</v>
      </c>
      <c r="R157" s="376">
        <f t="shared" si="64"/>
        <v>165000</v>
      </c>
      <c r="S157" s="376">
        <f t="shared" si="64"/>
        <v>162880</v>
      </c>
      <c r="T157" s="376">
        <f t="shared" si="64"/>
        <v>164200</v>
      </c>
      <c r="U157" s="376">
        <f t="shared" si="64"/>
        <v>165600</v>
      </c>
      <c r="V157" s="376">
        <f t="shared" si="64"/>
        <v>167100</v>
      </c>
      <c r="W157" s="376">
        <f t="shared" si="64"/>
        <v>168680</v>
      </c>
      <c r="X157" s="376">
        <f t="shared" si="64"/>
        <v>167180</v>
      </c>
      <c r="Y157" s="376">
        <f t="shared" si="64"/>
        <v>168960</v>
      </c>
      <c r="Z157" s="376">
        <f t="shared" si="64"/>
        <v>170860</v>
      </c>
      <c r="AA157" s="376">
        <f t="shared" si="64"/>
        <v>172840</v>
      </c>
      <c r="AB157" s="376">
        <f t="shared" si="64"/>
        <v>174920</v>
      </c>
      <c r="AC157" s="376">
        <f t="shared" si="64"/>
        <v>175400</v>
      </c>
      <c r="AD157" s="376">
        <f t="shared" si="64"/>
        <v>179040</v>
      </c>
      <c r="AE157" s="376">
        <f t="shared" si="64"/>
        <v>182780</v>
      </c>
      <c r="AF157" s="376">
        <f t="shared" si="64"/>
        <v>186600</v>
      </c>
      <c r="AG157" s="376">
        <f t="shared" si="64"/>
        <v>190540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59" si="65">C152/($C$22*$C$21)</f>
        <v>18.289027023236091</v>
      </c>
      <c r="D159" s="379">
        <f t="shared" si="65"/>
        <v>17.845313608035774</v>
      </c>
      <c r="E159" s="379">
        <f t="shared" si="65"/>
        <v>17.423511966425597</v>
      </c>
      <c r="F159" s="379">
        <f t="shared" si="65"/>
        <v>17.025448079538069</v>
      </c>
      <c r="G159" s="379">
        <f t="shared" si="65"/>
        <v>16.647469985108174</v>
      </c>
      <c r="H159" s="379">
        <f t="shared" si="65"/>
        <v>16.654773909638219</v>
      </c>
      <c r="I159" s="379">
        <f t="shared" si="65"/>
        <v>16.422874305809245</v>
      </c>
      <c r="J159" s="379">
        <f t="shared" si="65"/>
        <v>16.216538437835435</v>
      </c>
      <c r="K159" s="379">
        <f t="shared" si="65"/>
        <v>16.022984437789209</v>
      </c>
      <c r="L159" s="379">
        <f t="shared" si="65"/>
        <v>15.845864267935582</v>
      </c>
      <c r="M159" s="379">
        <f t="shared" si="65"/>
        <v>15.68152596600954</v>
      </c>
      <c r="N159" s="379">
        <f t="shared" si="65"/>
        <v>15.529969532011078</v>
      </c>
      <c r="O159" s="379">
        <f t="shared" si="65"/>
        <v>15.394846928205219</v>
      </c>
      <c r="P159" s="379">
        <f t="shared" si="65"/>
        <v>15.270680211194431</v>
      </c>
      <c r="Q159" s="379">
        <f t="shared" si="65"/>
        <v>15.161121343243737</v>
      </c>
      <c r="R159" s="379">
        <f t="shared" si="65"/>
        <v>15.064344343220624</v>
      </c>
      <c r="S159" s="379">
        <f t="shared" si="65"/>
        <v>14.870790343174395</v>
      </c>
      <c r="T159" s="379">
        <f t="shared" si="65"/>
        <v>14.991305097920158</v>
      </c>
      <c r="U159" s="379">
        <f t="shared" si="65"/>
        <v>15.11912377719597</v>
      </c>
      <c r="V159" s="379">
        <f t="shared" si="65"/>
        <v>15.256072362134338</v>
      </c>
      <c r="W159" s="379">
        <f t="shared" si="65"/>
        <v>15.400324871602756</v>
      </c>
      <c r="X159" s="379">
        <f t="shared" si="65"/>
        <v>15.263376286664386</v>
      </c>
      <c r="Y159" s="379">
        <f t="shared" si="65"/>
        <v>15.425888607457917</v>
      </c>
      <c r="Z159" s="379">
        <f t="shared" si="65"/>
        <v>15.599356815046518</v>
      </c>
      <c r="AA159" s="379">
        <f t="shared" si="65"/>
        <v>15.780128947165165</v>
      </c>
      <c r="AB159" s="379">
        <f t="shared" si="65"/>
        <v>15.970030984946371</v>
      </c>
      <c r="AC159" s="379">
        <f t="shared" si="65"/>
        <v>16.013854532126651</v>
      </c>
      <c r="AD159" s="379">
        <f t="shared" si="65"/>
        <v>16.34618309824376</v>
      </c>
      <c r="AE159" s="379">
        <f t="shared" si="65"/>
        <v>16.687641570023427</v>
      </c>
      <c r="AF159" s="379">
        <f t="shared" si="65"/>
        <v>17.03640396633314</v>
      </c>
      <c r="AG159" s="379">
        <f t="shared" si="65"/>
        <v>17.396122249437923</v>
      </c>
    </row>
    <row r="160" spans="1:34">
      <c r="A160" s="300" t="s">
        <v>321</v>
      </c>
      <c r="B160" s="300" t="s">
        <v>300</v>
      </c>
      <c r="C160" s="379">
        <f t="shared" ref="C160:AG160" si="66">C153/($C$22*$C$21)</f>
        <v>30.0625</v>
      </c>
      <c r="D160" s="379">
        <f t="shared" si="66"/>
        <v>29.783333333333339</v>
      </c>
      <c r="E160" s="379">
        <f t="shared" si="66"/>
        <v>29.532020833333334</v>
      </c>
      <c r="F160" s="379">
        <f t="shared" si="66"/>
        <v>29.307941458333339</v>
      </c>
      <c r="G160" s="379">
        <f t="shared" si="66"/>
        <v>29.110504089583337</v>
      </c>
      <c r="H160" s="379">
        <f t="shared" si="66"/>
        <v>28.939146579395839</v>
      </c>
      <c r="I160" s="379">
        <f t="shared" si="66"/>
        <v>27.215628018707502</v>
      </c>
      <c r="J160" s="379">
        <f t="shared" si="66"/>
        <v>26.308543431438995</v>
      </c>
      <c r="K160" s="379">
        <f t="shared" si="66"/>
        <v>25.431629022661784</v>
      </c>
      <c r="L160" s="379">
        <f t="shared" si="66"/>
        <v>24.583746168259744</v>
      </c>
      <c r="M160" s="379">
        <f t="shared" si="66"/>
        <v>23.763803475498548</v>
      </c>
      <c r="N160" s="379">
        <f t="shared" si="66"/>
        <v>22.970754697157432</v>
      </c>
      <c r="O160" s="379">
        <f t="shared" si="66"/>
        <v>22.20359674148364</v>
      </c>
      <c r="P160" s="379">
        <f t="shared" si="66"/>
        <v>21.461367773456715</v>
      </c>
      <c r="Q160" s="379">
        <f t="shared" si="66"/>
        <v>20.7431454030658</v>
      </c>
      <c r="R160" s="379">
        <f t="shared" si="66"/>
        <v>20.048044956508825</v>
      </c>
      <c r="S160" s="379">
        <f t="shared" si="66"/>
        <v>18.510025339047338</v>
      </c>
      <c r="T160" s="379">
        <f t="shared" si="66"/>
        <v>17.984444459147515</v>
      </c>
      <c r="U160" s="379">
        <f t="shared" si="66"/>
        <v>17.477567310771143</v>
      </c>
      <c r="V160" s="379">
        <f t="shared" si="66"/>
        <v>16.988585493724802</v>
      </c>
      <c r="W160" s="379">
        <f t="shared" si="66"/>
        <v>16.516728228963164</v>
      </c>
      <c r="X160" s="379">
        <f t="shared" si="66"/>
        <v>16.061260551450147</v>
      </c>
      <c r="Y160" s="379">
        <f t="shared" si="66"/>
        <v>15.621481591259922</v>
      </c>
      <c r="Z160" s="379">
        <f t="shared" si="66"/>
        <v>15.196722938568289</v>
      </c>
      <c r="AA160" s="379">
        <f t="shared" si="66"/>
        <v>14.786347088400532</v>
      </c>
      <c r="AB160" s="379">
        <f t="shared" si="66"/>
        <v>14.389745961206829</v>
      </c>
      <c r="AC160" s="379">
        <f t="shared" si="66"/>
        <v>13.906237841386169</v>
      </c>
      <c r="AD160" s="379">
        <f t="shared" si="66"/>
        <v>13.954164816250493</v>
      </c>
      <c r="AE160" s="379">
        <f t="shared" si="66"/>
        <v>14.0183740373223</v>
      </c>
      <c r="AF160" s="379">
        <f t="shared" si="66"/>
        <v>14.098603904699441</v>
      </c>
      <c r="AG160" s="379">
        <f t="shared" si="66"/>
        <v>14.194618000334385</v>
      </c>
    </row>
    <row r="161" spans="1:33">
      <c r="A161" s="300" t="s">
        <v>322</v>
      </c>
      <c r="B161" s="300" t="s">
        <v>300</v>
      </c>
      <c r="C161" s="379">
        <f t="shared" ref="C161:AG161" si="67">(C154+C155+C156+C157)/($C$22*$C$21)</f>
        <v>16.607666666666667</v>
      </c>
      <c r="D161" s="379">
        <f t="shared" si="67"/>
        <v>16.804741666666665</v>
      </c>
      <c r="E161" s="379">
        <f t="shared" si="67"/>
        <v>17.018628625000002</v>
      </c>
      <c r="F161" s="379">
        <f t="shared" si="67"/>
        <v>17.249598312708333</v>
      </c>
      <c r="G161" s="379">
        <f t="shared" si="67"/>
        <v>17.497428984523957</v>
      </c>
      <c r="H161" s="379">
        <f t="shared" si="67"/>
        <v>17.795573256331192</v>
      </c>
      <c r="I161" s="379">
        <f t="shared" si="67"/>
        <v>18.102247090299855</v>
      </c>
      <c r="J161" s="379">
        <f t="shared" si="67"/>
        <v>18.425984741613973</v>
      </c>
      <c r="K161" s="379">
        <f t="shared" si="67"/>
        <v>18.76578629250826</v>
      </c>
      <c r="L161" s="379">
        <f t="shared" si="67"/>
        <v>19.130493109917502</v>
      </c>
      <c r="M161" s="379">
        <f t="shared" si="67"/>
        <v>19.51162146622308</v>
      </c>
      <c r="N161" s="379">
        <f t="shared" si="67"/>
        <v>19.909362838725343</v>
      </c>
      <c r="O161" s="379">
        <f t="shared" si="67"/>
        <v>20.332584221645746</v>
      </c>
      <c r="P161" s="379">
        <f t="shared" si="67"/>
        <v>20.772661784481944</v>
      </c>
      <c r="Q161" s="379">
        <f t="shared" si="67"/>
        <v>21.238481210558458</v>
      </c>
      <c r="R161" s="379">
        <f t="shared" si="67"/>
        <v>21.721771382969749</v>
      </c>
      <c r="S161" s="379">
        <f t="shared" si="67"/>
        <v>22.245761988897929</v>
      </c>
      <c r="T161" s="379">
        <f t="shared" si="67"/>
        <v>22.82280580694573</v>
      </c>
      <c r="U161" s="379">
        <f t="shared" si="67"/>
        <v>23.425180844239673</v>
      </c>
      <c r="V161" s="379">
        <f t="shared" si="67"/>
        <v>24.053342833550108</v>
      </c>
      <c r="W161" s="379">
        <f t="shared" si="67"/>
        <v>24.707425672571535</v>
      </c>
      <c r="X161" s="379">
        <f t="shared" si="67"/>
        <v>25.361408547434614</v>
      </c>
      <c r="Y161" s="379">
        <f t="shared" si="67"/>
        <v>26.068616407818915</v>
      </c>
      <c r="Z161" s="379">
        <f t="shared" si="67"/>
        <v>26.811387127730079</v>
      </c>
      <c r="AA161" s="379">
        <f t="shared" si="67"/>
        <v>27.581405352701029</v>
      </c>
      <c r="AB161" s="379">
        <f t="shared" si="67"/>
        <v>28.38753636754052</v>
      </c>
      <c r="AC161" s="379">
        <f t="shared" si="67"/>
        <v>29.252259111950796</v>
      </c>
      <c r="AD161" s="379">
        <f t="shared" si="67"/>
        <v>30.179369379034569</v>
      </c>
      <c r="AE161" s="379">
        <f t="shared" si="67"/>
        <v>31.143782255827745</v>
      </c>
      <c r="AF161" s="379">
        <f t="shared" si="67"/>
        <v>32.145762495375642</v>
      </c>
      <c r="AG161" s="379">
        <f t="shared" si="67"/>
        <v>33.186091833998596</v>
      </c>
    </row>
    <row r="162" spans="1:33">
      <c r="A162" s="300" t="s">
        <v>310</v>
      </c>
      <c r="B162" s="300" t="s">
        <v>300</v>
      </c>
      <c r="C162" s="379">
        <f t="shared" ref="C162:AG162" si="68">C150/($C$22*$C$21*7)</f>
        <v>1.1923809523809528</v>
      </c>
      <c r="D162" s="379">
        <f t="shared" si="68"/>
        <v>1.1634523809523813</v>
      </c>
      <c r="E162" s="379">
        <f t="shared" si="68"/>
        <v>1.1359523809523813</v>
      </c>
      <c r="F162" s="379">
        <f t="shared" si="68"/>
        <v>1.1100000000000003</v>
      </c>
      <c r="G162" s="379">
        <f t="shared" si="68"/>
        <v>1.0853571428571434</v>
      </c>
      <c r="H162" s="379">
        <f t="shared" si="68"/>
        <v>1.0858333333333337</v>
      </c>
      <c r="I162" s="379">
        <f t="shared" si="68"/>
        <v>1.0707142857142862</v>
      </c>
      <c r="J162" s="379">
        <f t="shared" si="68"/>
        <v>1.0572619047619052</v>
      </c>
      <c r="K162" s="379">
        <f t="shared" si="68"/>
        <v>1.0446428571428577</v>
      </c>
      <c r="L162" s="379">
        <f t="shared" si="68"/>
        <v>1.0330952380952383</v>
      </c>
      <c r="M162" s="379">
        <f t="shared" si="68"/>
        <v>1.0223809523809526</v>
      </c>
      <c r="N162" s="379">
        <f t="shared" si="68"/>
        <v>2.0250000000000004</v>
      </c>
      <c r="O162" s="379">
        <f t="shared" si="68"/>
        <v>2.0073809523809532</v>
      </c>
      <c r="P162" s="379">
        <f t="shared" si="68"/>
        <v>1.9911904761904768</v>
      </c>
      <c r="Q162" s="379">
        <f t="shared" si="68"/>
        <v>1.9769047619047624</v>
      </c>
      <c r="R162" s="379">
        <f t="shared" si="68"/>
        <v>1.9642857142857149</v>
      </c>
      <c r="S162" s="379">
        <f t="shared" si="68"/>
        <v>1.9390476190476196</v>
      </c>
      <c r="T162" s="379">
        <f t="shared" si="68"/>
        <v>1.9547619047619054</v>
      </c>
      <c r="U162" s="379">
        <f t="shared" si="68"/>
        <v>1.971428571428572</v>
      </c>
      <c r="V162" s="379">
        <f t="shared" si="68"/>
        <v>1.9892857142857148</v>
      </c>
      <c r="W162" s="379">
        <f t="shared" si="68"/>
        <v>2.0080952380952386</v>
      </c>
      <c r="X162" s="379">
        <f t="shared" si="68"/>
        <v>2.9853571428571435</v>
      </c>
      <c r="Y162" s="379">
        <f t="shared" si="68"/>
        <v>3.0171428571428578</v>
      </c>
      <c r="Z162" s="379">
        <f t="shared" si="68"/>
        <v>3.0510714285714293</v>
      </c>
      <c r="AA162" s="379">
        <f t="shared" si="68"/>
        <v>3.0864285714285722</v>
      </c>
      <c r="AB162" s="379">
        <f t="shared" si="68"/>
        <v>3.1235714285714291</v>
      </c>
      <c r="AC162" s="379">
        <f t="shared" si="68"/>
        <v>3.1321428571428576</v>
      </c>
      <c r="AD162" s="379">
        <f t="shared" si="68"/>
        <v>3.1971428571428575</v>
      </c>
      <c r="AE162" s="379">
        <f t="shared" si="68"/>
        <v>3.263928571428572</v>
      </c>
      <c r="AF162" s="379">
        <f t="shared" si="68"/>
        <v>3.3321428571428577</v>
      </c>
      <c r="AG162" s="379">
        <f t="shared" si="68"/>
        <v>3.4025000000000007</v>
      </c>
    </row>
    <row r="163" spans="1:33">
      <c r="A163" s="380" t="s">
        <v>323</v>
      </c>
      <c r="B163" s="300" t="s">
        <v>300</v>
      </c>
      <c r="C163" s="387">
        <f t="shared" ref="C163:AG163" si="69">SUM(C159:C161)-C162</f>
        <v>63.766812737521796</v>
      </c>
      <c r="D163" s="387">
        <f t="shared" si="69"/>
        <v>63.269936227083406</v>
      </c>
      <c r="E163" s="387">
        <f t="shared" si="69"/>
        <v>62.83820904380655</v>
      </c>
      <c r="F163" s="387">
        <f t="shared" si="69"/>
        <v>62.472987850579742</v>
      </c>
      <c r="G163" s="387">
        <f t="shared" si="69"/>
        <v>62.170045916358326</v>
      </c>
      <c r="H163" s="387">
        <f t="shared" si="69"/>
        <v>62.303660412031924</v>
      </c>
      <c r="I163" s="387">
        <f t="shared" si="69"/>
        <v>60.670035129102317</v>
      </c>
      <c r="J163" s="387">
        <f t="shared" si="69"/>
        <v>59.893804706126495</v>
      </c>
      <c r="K163" s="387">
        <f t="shared" si="69"/>
        <v>59.175756895816392</v>
      </c>
      <c r="L163" s="387">
        <f t="shared" si="69"/>
        <v>58.527008308017592</v>
      </c>
      <c r="M163" s="387">
        <f t="shared" si="69"/>
        <v>57.93456995535022</v>
      </c>
      <c r="N163" s="387">
        <f t="shared" si="69"/>
        <v>56.385087067893856</v>
      </c>
      <c r="O163" s="387">
        <f t="shared" si="69"/>
        <v>55.923646938953652</v>
      </c>
      <c r="P163" s="387">
        <f t="shared" si="69"/>
        <v>55.513519292942611</v>
      </c>
      <c r="Q163" s="387">
        <f t="shared" si="69"/>
        <v>55.16584319496323</v>
      </c>
      <c r="R163" s="387">
        <f t="shared" si="69"/>
        <v>54.869874968413484</v>
      </c>
      <c r="S163" s="387">
        <f t="shared" si="69"/>
        <v>53.687530052072042</v>
      </c>
      <c r="T163" s="387">
        <f t="shared" si="69"/>
        <v>53.843793459251501</v>
      </c>
      <c r="U163" s="387">
        <f t="shared" si="69"/>
        <v>54.050443360778218</v>
      </c>
      <c r="V163" s="387">
        <f t="shared" si="69"/>
        <v>54.308714975123536</v>
      </c>
      <c r="W163" s="387">
        <f t="shared" si="69"/>
        <v>54.616383535042218</v>
      </c>
      <c r="X163" s="387">
        <f t="shared" si="69"/>
        <v>53.70068824269201</v>
      </c>
      <c r="Y163" s="387">
        <f t="shared" si="69"/>
        <v>54.098843749393893</v>
      </c>
      <c r="Z163" s="387">
        <f t="shared" si="69"/>
        <v>54.556395452773458</v>
      </c>
      <c r="AA163" s="387">
        <f t="shared" si="69"/>
        <v>55.061452816838155</v>
      </c>
      <c r="AB163" s="387">
        <f t="shared" si="69"/>
        <v>55.623741885122293</v>
      </c>
      <c r="AC163" s="387">
        <f t="shared" si="69"/>
        <v>56.040208628320755</v>
      </c>
      <c r="AD163" s="387">
        <f t="shared" si="69"/>
        <v>57.282574436385964</v>
      </c>
      <c r="AE163" s="387">
        <f t="shared" si="69"/>
        <v>58.585869291744899</v>
      </c>
      <c r="AF163" s="387">
        <f t="shared" si="69"/>
        <v>59.948627509265364</v>
      </c>
      <c r="AG163" s="387">
        <f t="shared" si="69"/>
        <v>61.374332083770895</v>
      </c>
    </row>
    <row r="164" spans="1:33">
      <c r="A164" s="360" t="s">
        <v>323</v>
      </c>
      <c r="B164" s="360"/>
      <c r="C164" s="360">
        <v>2025</v>
      </c>
      <c r="D164" s="360">
        <f t="shared" ref="D164:AG164" si="70">C164+1</f>
        <v>2026</v>
      </c>
      <c r="E164" s="360">
        <f t="shared" si="70"/>
        <v>2027</v>
      </c>
      <c r="F164" s="360">
        <f t="shared" si="70"/>
        <v>2028</v>
      </c>
      <c r="G164" s="360">
        <f t="shared" si="70"/>
        <v>2029</v>
      </c>
      <c r="H164" s="360">
        <f t="shared" si="70"/>
        <v>2030</v>
      </c>
      <c r="I164" s="360">
        <f t="shared" si="70"/>
        <v>2031</v>
      </c>
      <c r="J164" s="360">
        <f t="shared" si="70"/>
        <v>2032</v>
      </c>
      <c r="K164" s="360">
        <f t="shared" si="70"/>
        <v>2033</v>
      </c>
      <c r="L164" s="360">
        <f t="shared" si="70"/>
        <v>2034</v>
      </c>
      <c r="M164" s="360">
        <f t="shared" si="70"/>
        <v>2035</v>
      </c>
      <c r="N164" s="360">
        <f t="shared" si="70"/>
        <v>2036</v>
      </c>
      <c r="O164" s="360">
        <f t="shared" si="70"/>
        <v>2037</v>
      </c>
      <c r="P164" s="360">
        <f t="shared" si="70"/>
        <v>2038</v>
      </c>
      <c r="Q164" s="360">
        <f t="shared" si="70"/>
        <v>2039</v>
      </c>
      <c r="R164" s="360">
        <f t="shared" si="70"/>
        <v>2040</v>
      </c>
      <c r="S164" s="360">
        <f t="shared" si="70"/>
        <v>2041</v>
      </c>
      <c r="T164" s="360">
        <f t="shared" si="70"/>
        <v>2042</v>
      </c>
      <c r="U164" s="360">
        <f t="shared" si="70"/>
        <v>2043</v>
      </c>
      <c r="V164" s="360">
        <f t="shared" si="70"/>
        <v>2044</v>
      </c>
      <c r="W164" s="360">
        <f t="shared" si="70"/>
        <v>2045</v>
      </c>
      <c r="X164" s="360">
        <f t="shared" si="70"/>
        <v>2046</v>
      </c>
      <c r="Y164" s="360">
        <f t="shared" si="70"/>
        <v>2047</v>
      </c>
      <c r="Z164" s="360">
        <f t="shared" si="70"/>
        <v>2048</v>
      </c>
      <c r="AA164" s="360">
        <f t="shared" si="70"/>
        <v>2049</v>
      </c>
      <c r="AB164" s="360">
        <f t="shared" si="70"/>
        <v>2050</v>
      </c>
      <c r="AC164" s="360">
        <f t="shared" si="70"/>
        <v>2051</v>
      </c>
      <c r="AD164" s="360">
        <f t="shared" si="70"/>
        <v>2052</v>
      </c>
      <c r="AE164" s="360">
        <f t="shared" si="70"/>
        <v>2053</v>
      </c>
      <c r="AF164" s="360">
        <f t="shared" si="70"/>
        <v>2054</v>
      </c>
      <c r="AG164" s="360">
        <f t="shared" si="70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1">C78</f>
        <v>29.688487806927938</v>
      </c>
      <c r="D165" s="379">
        <f t="shared" si="71"/>
        <v>31.786169942497683</v>
      </c>
      <c r="E165" s="379">
        <f t="shared" si="71"/>
        <v>32.551419415772621</v>
      </c>
      <c r="F165" s="379">
        <f t="shared" si="71"/>
        <v>33.340131525371945</v>
      </c>
      <c r="G165" s="379">
        <f t="shared" si="71"/>
        <v>34.152657300790445</v>
      </c>
      <c r="H165" s="379">
        <f t="shared" si="71"/>
        <v>35.524513259771837</v>
      </c>
      <c r="I165" s="379">
        <f t="shared" si="71"/>
        <v>36.402086573215144</v>
      </c>
      <c r="J165" s="379">
        <f t="shared" si="71"/>
        <v>37.305263933427831</v>
      </c>
      <c r="K165" s="379">
        <f t="shared" si="71"/>
        <v>38.234577066866322</v>
      </c>
      <c r="L165" s="379">
        <f t="shared" si="71"/>
        <v>39.19057047123227</v>
      </c>
      <c r="M165" s="379">
        <f t="shared" si="71"/>
        <v>40.173801864460295</v>
      </c>
      <c r="N165" s="379">
        <f t="shared" si="71"/>
        <v>41.571149338030722</v>
      </c>
      <c r="O165" s="379">
        <f t="shared" si="71"/>
        <v>42.622046539150695</v>
      </c>
      <c r="P165" s="379">
        <f t="shared" si="71"/>
        <v>43.710483731798568</v>
      </c>
      <c r="Q165" s="379">
        <f t="shared" si="71"/>
        <v>44.828754920436758</v>
      </c>
      <c r="R165" s="379">
        <f t="shared" si="71"/>
        <v>45.985836505488741</v>
      </c>
      <c r="S165" s="379">
        <f t="shared" si="71"/>
        <v>47.174054509517077</v>
      </c>
      <c r="T165" s="379">
        <f t="shared" si="71"/>
        <v>48.402418491055315</v>
      </c>
      <c r="U165" s="379">
        <f t="shared" si="71"/>
        <v>49.663288813572144</v>
      </c>
      <c r="V165" s="379">
        <f t="shared" si="71"/>
        <v>50.965710603744014</v>
      </c>
      <c r="W165" s="379">
        <f t="shared" si="71"/>
        <v>52.310414399912929</v>
      </c>
      <c r="X165" s="379">
        <f t="shared" si="71"/>
        <v>54.217507301163891</v>
      </c>
      <c r="Y165" s="379">
        <f t="shared" si="71"/>
        <v>55.664628427492644</v>
      </c>
      <c r="Z165" s="379">
        <f t="shared" si="71"/>
        <v>57.156806787285539</v>
      </c>
      <c r="AA165" s="379">
        <f t="shared" si="71"/>
        <v>58.694866791229678</v>
      </c>
      <c r="AB165" s="379">
        <f t="shared" si="71"/>
        <v>60.279812821353055</v>
      </c>
      <c r="AC165" s="379">
        <f t="shared" si="71"/>
        <v>61.912514844799141</v>
      </c>
      <c r="AD165" s="379">
        <f t="shared" si="71"/>
        <v>63.602200185972841</v>
      </c>
      <c r="AE165" s="379">
        <f t="shared" si="71"/>
        <v>65.341611997245408</v>
      </c>
      <c r="AF165" s="379">
        <f t="shared" si="71"/>
        <v>67.140028301785478</v>
      </c>
      <c r="AG165" s="379">
        <f t="shared" si="71"/>
        <v>68.99842053181861</v>
      </c>
    </row>
    <row r="166" spans="1:33">
      <c r="A166" s="368" t="s">
        <v>179</v>
      </c>
      <c r="B166" s="368" t="s">
        <v>179</v>
      </c>
      <c r="C166" s="379">
        <f t="shared" ref="C166:AG166" si="72">C95</f>
        <v>29.047288006328493</v>
      </c>
      <c r="D166" s="379">
        <f t="shared" si="72"/>
        <v>30.19870664651835</v>
      </c>
      <c r="E166" s="379">
        <f t="shared" si="72"/>
        <v>31.088881179247227</v>
      </c>
      <c r="F166" s="379">
        <f t="shared" si="72"/>
        <v>32.009771281291314</v>
      </c>
      <c r="G166" s="379">
        <f t="shared" si="72"/>
        <v>32.962097617730059</v>
      </c>
      <c r="H166" s="379">
        <f t="shared" si="72"/>
        <v>34.505568644271349</v>
      </c>
      <c r="I166" s="379">
        <f t="shared" si="72"/>
        <v>35.539794809441958</v>
      </c>
      <c r="J166" s="379">
        <f t="shared" si="72"/>
        <v>36.60826900242737</v>
      </c>
      <c r="K166" s="379">
        <f t="shared" si="72"/>
        <v>37.711827602562678</v>
      </c>
      <c r="L166" s="379">
        <f t="shared" si="72"/>
        <v>38.851334772324236</v>
      </c>
      <c r="M166" s="379">
        <f t="shared" si="72"/>
        <v>40.027683401836597</v>
      </c>
      <c r="N166" s="379">
        <f t="shared" si="72"/>
        <v>41.652953674363395</v>
      </c>
      <c r="O166" s="379">
        <f t="shared" si="72"/>
        <v>42.918118452541798</v>
      </c>
      <c r="P166" s="379">
        <f t="shared" si="72"/>
        <v>44.231689046125823</v>
      </c>
      <c r="Q166" s="379">
        <f t="shared" si="72"/>
        <v>45.586361142713514</v>
      </c>
      <c r="R166" s="379">
        <f t="shared" si="72"/>
        <v>46.991531395838763</v>
      </c>
      <c r="S166" s="379">
        <f t="shared" si="72"/>
        <v>48.439965261309624</v>
      </c>
      <c r="T166" s="379">
        <f t="shared" si="72"/>
        <v>49.941131540966509</v>
      </c>
      <c r="U166" s="379">
        <f t="shared" si="72"/>
        <v>51.487870301976677</v>
      </c>
      <c r="V166" s="379">
        <f t="shared" si="72"/>
        <v>53.089727506500139</v>
      </c>
      <c r="W166" s="379">
        <f t="shared" si="72"/>
        <v>54.747956353283911</v>
      </c>
      <c r="X166" s="379">
        <f t="shared" si="72"/>
        <v>57.016413416703678</v>
      </c>
      <c r="Y166" s="379">
        <f t="shared" si="72"/>
        <v>58.807891257336458</v>
      </c>
      <c r="Z166" s="379">
        <f t="shared" si="72"/>
        <v>60.660255190417139</v>
      </c>
      <c r="AA166" s="379">
        <f t="shared" si="72"/>
        <v>62.574949992405337</v>
      </c>
      <c r="AB166" s="379">
        <f t="shared" si="72"/>
        <v>64.553468902702548</v>
      </c>
      <c r="AC166" s="379">
        <f t="shared" si="72"/>
        <v>66.59735528624536</v>
      </c>
      <c r="AD166" s="379">
        <f t="shared" si="72"/>
        <v>68.716537687697056</v>
      </c>
      <c r="AE166" s="379">
        <f t="shared" si="72"/>
        <v>70.904331612655142</v>
      </c>
      <c r="AF166" s="379">
        <f t="shared" si="72"/>
        <v>73.170774704700833</v>
      </c>
      <c r="AG166" s="379">
        <f t="shared" si="72"/>
        <v>75.517628653862559</v>
      </c>
    </row>
    <row r="167" spans="1:33">
      <c r="A167" s="300" t="s">
        <v>180</v>
      </c>
      <c r="B167" s="300" t="s">
        <v>180</v>
      </c>
      <c r="C167" s="379">
        <f t="shared" ref="C167:AG167" si="73">C112</f>
        <v>29.334585328848547</v>
      </c>
      <c r="D167" s="379">
        <f t="shared" si="73"/>
        <v>30.261619247357377</v>
      </c>
      <c r="E167" s="379">
        <f t="shared" si="73"/>
        <v>31.137778635680586</v>
      </c>
      <c r="F167" s="379">
        <f t="shared" si="73"/>
        <v>32.042779832894738</v>
      </c>
      <c r="G167" s="379">
        <f t="shared" si="73"/>
        <v>32.980040188383313</v>
      </c>
      <c r="H167" s="379">
        <f t="shared" si="73"/>
        <v>34.507769668993305</v>
      </c>
      <c r="I167" s="379">
        <f t="shared" si="73"/>
        <v>35.524077202015867</v>
      </c>
      <c r="J167" s="379">
        <f t="shared" si="73"/>
        <v>36.574640193673311</v>
      </c>
      <c r="K167" s="379">
        <f t="shared" si="73"/>
        <v>37.660169479352014</v>
      </c>
      <c r="L167" s="379">
        <f t="shared" si="73"/>
        <v>38.781399911261083</v>
      </c>
      <c r="M167" s="379">
        <f t="shared" si="73"/>
        <v>39.937693780245915</v>
      </c>
      <c r="N167" s="379">
        <f t="shared" si="73"/>
        <v>41.594805334408129</v>
      </c>
      <c r="O167" s="379">
        <f t="shared" si="73"/>
        <v>42.837268222184171</v>
      </c>
      <c r="P167" s="379">
        <f t="shared" si="73"/>
        <v>44.128835844817701</v>
      </c>
      <c r="Q167" s="379">
        <f t="shared" si="73"/>
        <v>45.460526425288556</v>
      </c>
      <c r="R167" s="379">
        <f t="shared" si="73"/>
        <v>46.841570779616561</v>
      </c>
      <c r="S167" s="379">
        <f t="shared" si="73"/>
        <v>48.266080008293279</v>
      </c>
      <c r="T167" s="379">
        <f t="shared" si="73"/>
        <v>49.740314061494487</v>
      </c>
      <c r="U167" s="379">
        <f t="shared" si="73"/>
        <v>51.261481163227181</v>
      </c>
      <c r="V167" s="379">
        <f t="shared" si="73"/>
        <v>52.834391252099323</v>
      </c>
      <c r="W167" s="379">
        <f t="shared" si="73"/>
        <v>54.464654647696243</v>
      </c>
      <c r="X167" s="379">
        <f t="shared" si="73"/>
        <v>56.754859383367155</v>
      </c>
      <c r="Y167" s="379">
        <f t="shared" si="73"/>
        <v>58.515037462131055</v>
      </c>
      <c r="Z167" s="379">
        <f t="shared" si="73"/>
        <v>60.334933669794893</v>
      </c>
      <c r="AA167" s="379">
        <f t="shared" si="73"/>
        <v>62.215761483318815</v>
      </c>
      <c r="AB167" s="379">
        <f t="shared" si="73"/>
        <v>64.158775903619855</v>
      </c>
      <c r="AC167" s="379">
        <f t="shared" si="73"/>
        <v>66.166910414937618</v>
      </c>
      <c r="AD167" s="379">
        <f t="shared" si="73"/>
        <v>68.24820530978522</v>
      </c>
      <c r="AE167" s="379">
        <f t="shared" si="73"/>
        <v>70.397351269077745</v>
      </c>
      <c r="AF167" s="379">
        <f t="shared" si="73"/>
        <v>72.62411779688324</v>
      </c>
      <c r="AG167" s="379">
        <f t="shared" si="73"/>
        <v>74.928354894589631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4">C146</f>
        <v>35.955395317786568</v>
      </c>
      <c r="D168" s="379">
        <f t="shared" si="74"/>
        <v>36.197032044289251</v>
      </c>
      <c r="E168" s="379">
        <f t="shared" si="74"/>
        <v>36.389896956913773</v>
      </c>
      <c r="F168" s="379">
        <f t="shared" si="74"/>
        <v>36.272765668660284</v>
      </c>
      <c r="G168" s="379">
        <f t="shared" si="74"/>
        <v>36.106165175765966</v>
      </c>
      <c r="H168" s="379">
        <f t="shared" si="74"/>
        <v>36.494375751523819</v>
      </c>
      <c r="I168" s="379">
        <f t="shared" si="74"/>
        <v>35.189808573344131</v>
      </c>
      <c r="J168" s="379">
        <f t="shared" si="74"/>
        <v>35.318854241281556</v>
      </c>
      <c r="K168" s="379">
        <f t="shared" si="74"/>
        <v>35.320619724665406</v>
      </c>
      <c r="L168" s="379">
        <f t="shared" si="74"/>
        <v>35.409293559702569</v>
      </c>
      <c r="M168" s="379">
        <f t="shared" si="74"/>
        <v>35.586569559495871</v>
      </c>
      <c r="N168" s="379">
        <f t="shared" si="74"/>
        <v>35.253950264277613</v>
      </c>
      <c r="O168" s="379">
        <f t="shared" si="74"/>
        <v>35.649838135792919</v>
      </c>
      <c r="P168" s="379">
        <f t="shared" si="74"/>
        <v>36.045744942582388</v>
      </c>
      <c r="Q168" s="379">
        <f t="shared" si="74"/>
        <v>36.504805980383274</v>
      </c>
      <c r="R168" s="379">
        <f t="shared" si="74"/>
        <v>37.027385996425231</v>
      </c>
      <c r="S168" s="379">
        <f t="shared" si="74"/>
        <v>37.524930393691356</v>
      </c>
      <c r="T168" s="379">
        <f t="shared" si="74"/>
        <v>38.285391184627855</v>
      </c>
      <c r="U168" s="379">
        <f t="shared" si="74"/>
        <v>39.054036299534857</v>
      </c>
      <c r="V168" s="379">
        <f t="shared" si="74"/>
        <v>39.857726743599542</v>
      </c>
      <c r="W168" s="379">
        <f t="shared" si="74"/>
        <v>40.697656917610686</v>
      </c>
      <c r="X168" s="379">
        <f t="shared" si="74"/>
        <v>40.812713443886892</v>
      </c>
      <c r="Y168" s="379">
        <f t="shared" si="74"/>
        <v>41.715356412616963</v>
      </c>
      <c r="Z168" s="379">
        <f t="shared" si="74"/>
        <v>42.665223337779736</v>
      </c>
      <c r="AA168" s="379">
        <f t="shared" si="74"/>
        <v>43.655398206076612</v>
      </c>
      <c r="AB168" s="379">
        <f t="shared" si="74"/>
        <v>44.69223129313653</v>
      </c>
      <c r="AC168" s="379">
        <f t="shared" si="74"/>
        <v>45.999595077555533</v>
      </c>
      <c r="AD168" s="379">
        <f t="shared" si="74"/>
        <v>47.395939849937321</v>
      </c>
      <c r="AE168" s="379">
        <f t="shared" si="74"/>
        <v>48.844065419048668</v>
      </c>
      <c r="AF168" s="379">
        <f t="shared" si="74"/>
        <v>50.349390420533823</v>
      </c>
      <c r="AG168" s="379">
        <f t="shared" si="74"/>
        <v>51.913905669862842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5">C129</f>
        <v>58.383174568497076</v>
      </c>
      <c r="D169" s="379">
        <f t="shared" si="75"/>
        <v>58.325746799995237</v>
      </c>
      <c r="E169" s="379">
        <f t="shared" si="75"/>
        <v>58.330251426224962</v>
      </c>
      <c r="F169" s="379">
        <f t="shared" si="75"/>
        <v>58.394401062879155</v>
      </c>
      <c r="G169" s="379">
        <f t="shared" si="75"/>
        <v>58.519347549376036</v>
      </c>
      <c r="H169" s="379">
        <f t="shared" si="75"/>
        <v>59.382607463259298</v>
      </c>
      <c r="I169" s="379">
        <f t="shared" si="75"/>
        <v>57.561391852992308</v>
      </c>
      <c r="J169" s="379">
        <f t="shared" si="75"/>
        <v>56.853128307087268</v>
      </c>
      <c r="K169" s="379">
        <f t="shared" si="75"/>
        <v>56.209750986154773</v>
      </c>
      <c r="L169" s="379">
        <f t="shared" si="75"/>
        <v>55.628343851513769</v>
      </c>
      <c r="M169" s="379">
        <f t="shared" si="75"/>
        <v>55.107760585851096</v>
      </c>
      <c r="N169" s="379">
        <f t="shared" si="75"/>
        <v>54.148265136216594</v>
      </c>
      <c r="O169" s="379">
        <f t="shared" si="75"/>
        <v>53.740849221952352</v>
      </c>
      <c r="P169" s="379">
        <f t="shared" si="75"/>
        <v>53.399101108668745</v>
      </c>
      <c r="Q169" s="379">
        <f t="shared" si="75"/>
        <v>53.115394194073986</v>
      </c>
      <c r="R169" s="379">
        <f t="shared" si="75"/>
        <v>52.897257096427765</v>
      </c>
      <c r="S169" s="379">
        <f t="shared" si="75"/>
        <v>51.645063932876418</v>
      </c>
      <c r="T169" s="379">
        <f t="shared" si="75"/>
        <v>51.77517244427623</v>
      </c>
      <c r="U169" s="379">
        <f t="shared" si="75"/>
        <v>51.954690379762042</v>
      </c>
      <c r="V169" s="379">
        <f t="shared" si="75"/>
        <v>52.192886936420976</v>
      </c>
      <c r="W169" s="379">
        <f t="shared" si="75"/>
        <v>52.489189481946909</v>
      </c>
      <c r="X169" s="379">
        <f t="shared" si="75"/>
        <v>52.532079245903283</v>
      </c>
      <c r="Y169" s="379">
        <f t="shared" si="75"/>
        <v>52.933287574950718</v>
      </c>
      <c r="Z169" s="379">
        <f t="shared" si="75"/>
        <v>53.392550805748961</v>
      </c>
      <c r="AA169" s="379">
        <f t="shared" si="75"/>
        <v>53.908034034182393</v>
      </c>
      <c r="AB169" s="379">
        <f t="shared" si="75"/>
        <v>54.477962656478546</v>
      </c>
      <c r="AC169" s="379">
        <f t="shared" si="75"/>
        <v>54.973218290563523</v>
      </c>
      <c r="AD169" s="379">
        <f t="shared" si="75"/>
        <v>56.224154786413813</v>
      </c>
      <c r="AE169" s="379">
        <f t="shared" si="75"/>
        <v>57.536189351639784</v>
      </c>
      <c r="AF169" s="379">
        <f t="shared" si="75"/>
        <v>58.91946861892508</v>
      </c>
      <c r="AG169" s="379">
        <f t="shared" si="75"/>
        <v>60.374348625833328</v>
      </c>
    </row>
    <row r="170" spans="1:33">
      <c r="A170" s="300" t="str">
        <f>A147</f>
        <v>FCET</v>
      </c>
      <c r="B170" s="300" t="str">
        <f>A170</f>
        <v>FCET</v>
      </c>
      <c r="C170" s="379">
        <f t="shared" ref="C170:AG170" si="76">C163</f>
        <v>63.766812737521796</v>
      </c>
      <c r="D170" s="379">
        <f t="shared" si="76"/>
        <v>63.269936227083406</v>
      </c>
      <c r="E170" s="379">
        <f t="shared" si="76"/>
        <v>62.83820904380655</v>
      </c>
      <c r="F170" s="379">
        <f t="shared" si="76"/>
        <v>62.472987850579742</v>
      </c>
      <c r="G170" s="379">
        <f t="shared" si="76"/>
        <v>62.170045916358326</v>
      </c>
      <c r="H170" s="379">
        <f t="shared" si="76"/>
        <v>62.303660412031924</v>
      </c>
      <c r="I170" s="379">
        <f t="shared" si="76"/>
        <v>60.670035129102317</v>
      </c>
      <c r="J170" s="379">
        <f t="shared" si="76"/>
        <v>59.893804706126495</v>
      </c>
      <c r="K170" s="379">
        <f t="shared" si="76"/>
        <v>59.175756895816392</v>
      </c>
      <c r="L170" s="379">
        <f t="shared" si="76"/>
        <v>58.527008308017592</v>
      </c>
      <c r="M170" s="379">
        <f t="shared" si="76"/>
        <v>57.93456995535022</v>
      </c>
      <c r="N170" s="379">
        <f t="shared" si="76"/>
        <v>56.385087067893856</v>
      </c>
      <c r="O170" s="379">
        <f t="shared" si="76"/>
        <v>55.923646938953652</v>
      </c>
      <c r="P170" s="379">
        <f t="shared" si="76"/>
        <v>55.513519292942611</v>
      </c>
      <c r="Q170" s="379">
        <f t="shared" si="76"/>
        <v>55.16584319496323</v>
      </c>
      <c r="R170" s="379">
        <f t="shared" si="76"/>
        <v>54.869874968413484</v>
      </c>
      <c r="S170" s="379">
        <f t="shared" si="76"/>
        <v>53.687530052072042</v>
      </c>
      <c r="T170" s="379">
        <f t="shared" si="76"/>
        <v>53.843793459251501</v>
      </c>
      <c r="U170" s="379">
        <f t="shared" si="76"/>
        <v>54.050443360778218</v>
      </c>
      <c r="V170" s="379">
        <f t="shared" si="76"/>
        <v>54.308714975123536</v>
      </c>
      <c r="W170" s="379">
        <f t="shared" si="76"/>
        <v>54.616383535042218</v>
      </c>
      <c r="X170" s="379">
        <f t="shared" si="76"/>
        <v>53.70068824269201</v>
      </c>
      <c r="Y170" s="379">
        <f t="shared" si="76"/>
        <v>54.098843749393893</v>
      </c>
      <c r="Z170" s="379">
        <f t="shared" si="76"/>
        <v>54.556395452773458</v>
      </c>
      <c r="AA170" s="379">
        <f t="shared" si="76"/>
        <v>55.061452816838155</v>
      </c>
      <c r="AB170" s="379">
        <f t="shared" si="76"/>
        <v>55.623741885122293</v>
      </c>
      <c r="AC170" s="379">
        <f t="shared" si="76"/>
        <v>56.040208628320755</v>
      </c>
      <c r="AD170" s="379">
        <f t="shared" si="76"/>
        <v>57.282574436385964</v>
      </c>
      <c r="AE170" s="379">
        <f t="shared" si="76"/>
        <v>58.585869291744899</v>
      </c>
      <c r="AF170" s="379">
        <f t="shared" si="76"/>
        <v>59.948627509265364</v>
      </c>
      <c r="AG170" s="379">
        <f t="shared" si="76"/>
        <v>61.374332083770895</v>
      </c>
    </row>
    <row r="171" spans="1:33">
      <c r="A171" s="300" t="s">
        <v>334</v>
      </c>
      <c r="C171" s="379">
        <f t="shared" ref="C171:AG171" si="77">C165*0.9</f>
        <v>26.719639026235146</v>
      </c>
      <c r="D171" s="379">
        <f t="shared" si="77"/>
        <v>28.607552948247914</v>
      </c>
      <c r="E171" s="379">
        <f t="shared" si="77"/>
        <v>29.29627747419536</v>
      </c>
      <c r="F171" s="379">
        <f t="shared" si="77"/>
        <v>30.006118372834752</v>
      </c>
      <c r="G171" s="379">
        <f t="shared" si="77"/>
        <v>30.737391570711402</v>
      </c>
      <c r="H171" s="379">
        <f t="shared" si="77"/>
        <v>31.972061933794652</v>
      </c>
      <c r="I171" s="379">
        <f t="shared" si="77"/>
        <v>32.761877915893628</v>
      </c>
      <c r="J171" s="379">
        <f t="shared" si="77"/>
        <v>33.574737540085046</v>
      </c>
      <c r="K171" s="379">
        <f t="shared" si="77"/>
        <v>34.41111936017969</v>
      </c>
      <c r="L171" s="379">
        <f t="shared" si="77"/>
        <v>35.271513424109045</v>
      </c>
      <c r="M171" s="379">
        <f t="shared" si="77"/>
        <v>36.156421678014269</v>
      </c>
      <c r="N171" s="379">
        <f t="shared" si="77"/>
        <v>37.41403440422765</v>
      </c>
      <c r="O171" s="379">
        <f t="shared" si="77"/>
        <v>38.359841885235625</v>
      </c>
      <c r="P171" s="379">
        <f t="shared" si="77"/>
        <v>39.339435358618715</v>
      </c>
      <c r="Q171" s="379">
        <f t="shared" si="77"/>
        <v>40.345879428393083</v>
      </c>
      <c r="R171" s="379">
        <f t="shared" si="77"/>
        <v>41.387252854939867</v>
      </c>
      <c r="S171" s="379">
        <f t="shared" si="77"/>
        <v>42.456649058565368</v>
      </c>
      <c r="T171" s="379">
        <f t="shared" si="77"/>
        <v>43.562176641949783</v>
      </c>
      <c r="U171" s="379">
        <f t="shared" si="77"/>
        <v>44.696959932214931</v>
      </c>
      <c r="V171" s="379">
        <f t="shared" si="77"/>
        <v>45.869139543369613</v>
      </c>
      <c r="W171" s="379">
        <f t="shared" si="77"/>
        <v>47.079372959921635</v>
      </c>
      <c r="X171" s="379">
        <f t="shared" si="77"/>
        <v>48.795756571047505</v>
      </c>
      <c r="Y171" s="379">
        <f t="shared" si="77"/>
        <v>50.098165584743384</v>
      </c>
      <c r="Z171" s="379">
        <f t="shared" si="77"/>
        <v>51.441126108556986</v>
      </c>
      <c r="AA171" s="379">
        <f t="shared" si="77"/>
        <v>52.825380112106714</v>
      </c>
      <c r="AB171" s="379">
        <f t="shared" si="77"/>
        <v>54.251831539217747</v>
      </c>
      <c r="AC171" s="379">
        <f t="shared" si="77"/>
        <v>55.721263360319227</v>
      </c>
      <c r="AD171" s="379">
        <f t="shared" si="77"/>
        <v>57.241980167375559</v>
      </c>
      <c r="AE171" s="379">
        <f t="shared" si="77"/>
        <v>58.807450797520872</v>
      </c>
      <c r="AF171" s="379">
        <f t="shared" si="77"/>
        <v>60.426025471606934</v>
      </c>
      <c r="AG171" s="379">
        <f t="shared" si="77"/>
        <v>62.098578478636753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 t="shared" ref="D173:AG173" si="78">C173+1</f>
        <v>2026</v>
      </c>
      <c r="E173" s="360">
        <f t="shared" si="78"/>
        <v>2027</v>
      </c>
      <c r="F173" s="360">
        <f t="shared" si="78"/>
        <v>2028</v>
      </c>
      <c r="G173" s="360">
        <f t="shared" si="78"/>
        <v>2029</v>
      </c>
      <c r="H173" s="360">
        <f t="shared" si="78"/>
        <v>2030</v>
      </c>
      <c r="I173" s="360">
        <f t="shared" si="78"/>
        <v>2031</v>
      </c>
      <c r="J173" s="360">
        <f t="shared" si="78"/>
        <v>2032</v>
      </c>
      <c r="K173" s="360">
        <f t="shared" si="78"/>
        <v>2033</v>
      </c>
      <c r="L173" s="360">
        <f t="shared" si="78"/>
        <v>2034</v>
      </c>
      <c r="M173" s="360">
        <f t="shared" si="78"/>
        <v>2035</v>
      </c>
      <c r="N173" s="360">
        <f t="shared" si="78"/>
        <v>2036</v>
      </c>
      <c r="O173" s="360">
        <f t="shared" si="78"/>
        <v>2037</v>
      </c>
      <c r="P173" s="360">
        <f t="shared" si="78"/>
        <v>2038</v>
      </c>
      <c r="Q173" s="360">
        <f t="shared" si="78"/>
        <v>2039</v>
      </c>
      <c r="R173" s="360">
        <f t="shared" si="78"/>
        <v>2040</v>
      </c>
      <c r="S173" s="360">
        <f t="shared" si="78"/>
        <v>2041</v>
      </c>
      <c r="T173" s="360">
        <f t="shared" si="78"/>
        <v>2042</v>
      </c>
      <c r="U173" s="360">
        <f t="shared" si="78"/>
        <v>2043</v>
      </c>
      <c r="V173" s="360">
        <f t="shared" si="78"/>
        <v>2044</v>
      </c>
      <c r="W173" s="360">
        <f t="shared" si="78"/>
        <v>2045</v>
      </c>
      <c r="X173" s="360">
        <f t="shared" si="78"/>
        <v>2046</v>
      </c>
      <c r="Y173" s="360">
        <f t="shared" si="78"/>
        <v>2047</v>
      </c>
      <c r="Z173" s="360">
        <f t="shared" si="78"/>
        <v>2048</v>
      </c>
      <c r="AA173" s="360">
        <f t="shared" si="78"/>
        <v>2049</v>
      </c>
      <c r="AB173" s="360">
        <f t="shared" si="78"/>
        <v>2050</v>
      </c>
      <c r="AC173" s="360">
        <f t="shared" si="78"/>
        <v>2051</v>
      </c>
      <c r="AD173" s="360">
        <f t="shared" si="78"/>
        <v>2052</v>
      </c>
      <c r="AE173" s="360">
        <f t="shared" si="78"/>
        <v>2053</v>
      </c>
      <c r="AF173" s="360">
        <f t="shared" si="78"/>
        <v>2054</v>
      </c>
      <c r="AG173" s="360">
        <f t="shared" si="78"/>
        <v>2055</v>
      </c>
    </row>
    <row r="174" spans="1:33">
      <c r="A174" s="300" t="s">
        <v>307</v>
      </c>
      <c r="B174" s="300" t="str">
        <f t="shared" ref="B174:B179" si="79">A174</f>
        <v xml:space="preserve">Diesel   </v>
      </c>
      <c r="C174" s="379">
        <f t="shared" ref="C174:AG174" si="80">C165/($C$17)*1000</f>
        <v>3.1251039796766253</v>
      </c>
      <c r="D174" s="379">
        <f t="shared" si="80"/>
        <v>3.345912625526072</v>
      </c>
      <c r="E174" s="379">
        <f t="shared" si="80"/>
        <v>3.4264652016602759</v>
      </c>
      <c r="F174" s="379">
        <f t="shared" si="80"/>
        <v>3.5094875289865204</v>
      </c>
      <c r="G174" s="379">
        <f t="shared" si="80"/>
        <v>3.5950165579779414</v>
      </c>
      <c r="H174" s="379">
        <f t="shared" si="80"/>
        <v>3.7394224483970353</v>
      </c>
      <c r="I174" s="379">
        <f t="shared" si="80"/>
        <v>3.8317985866542257</v>
      </c>
      <c r="J174" s="379">
        <f t="shared" si="80"/>
        <v>3.9268698877292456</v>
      </c>
      <c r="K174" s="379">
        <f t="shared" si="80"/>
        <v>4.0246923228280345</v>
      </c>
      <c r="L174" s="379">
        <f t="shared" si="80"/>
        <v>4.1253232074981332</v>
      </c>
      <c r="M174" s="379">
        <f t="shared" si="80"/>
        <v>4.228821248890557</v>
      </c>
      <c r="N174" s="379">
        <f t="shared" si="80"/>
        <v>4.3759104566348128</v>
      </c>
      <c r="O174" s="379">
        <f t="shared" si="80"/>
        <v>4.4865312146474414</v>
      </c>
      <c r="P174" s="379">
        <f t="shared" si="80"/>
        <v>4.6011035507156386</v>
      </c>
      <c r="Q174" s="379">
        <f t="shared" si="80"/>
        <v>4.7188163074143956</v>
      </c>
      <c r="R174" s="379">
        <f t="shared" si="80"/>
        <v>4.840614368998815</v>
      </c>
      <c r="S174" s="379">
        <f t="shared" si="80"/>
        <v>4.965689948370219</v>
      </c>
      <c r="T174" s="379">
        <f t="shared" si="80"/>
        <v>5.0949914201110857</v>
      </c>
      <c r="U174" s="379">
        <f t="shared" si="80"/>
        <v>5.2277146119549629</v>
      </c>
      <c r="V174" s="379">
        <f t="shared" si="80"/>
        <v>5.3648116424993706</v>
      </c>
      <c r="W174" s="379">
        <f t="shared" si="80"/>
        <v>5.5063594105171507</v>
      </c>
      <c r="X174" s="379">
        <f t="shared" si="80"/>
        <v>5.7071060317014624</v>
      </c>
      <c r="Y174" s="379">
        <f t="shared" si="80"/>
        <v>5.8594345713150151</v>
      </c>
      <c r="Z174" s="379">
        <f t="shared" si="80"/>
        <v>6.016505977609004</v>
      </c>
      <c r="AA174" s="379">
        <f t="shared" si="80"/>
        <v>6.1784070306557561</v>
      </c>
      <c r="AB174" s="379">
        <f t="shared" si="80"/>
        <v>6.3452434548792693</v>
      </c>
      <c r="AC174" s="379">
        <f t="shared" si="80"/>
        <v>6.5171068257683302</v>
      </c>
      <c r="AD174" s="379">
        <f t="shared" si="80"/>
        <v>6.6949684406287204</v>
      </c>
      <c r="AE174" s="379">
        <f t="shared" si="80"/>
        <v>6.8780644207626747</v>
      </c>
      <c r="AF174" s="379">
        <f t="shared" si="80"/>
        <v>7.0673714001879446</v>
      </c>
      <c r="AG174" s="379">
        <f t="shared" si="80"/>
        <v>7.2629916349282748</v>
      </c>
    </row>
    <row r="175" spans="1:33">
      <c r="A175" s="300" t="s">
        <v>179</v>
      </c>
      <c r="B175" s="300" t="str">
        <f t="shared" si="79"/>
        <v>CNG</v>
      </c>
      <c r="C175" s="379">
        <f t="shared" ref="C175:AG175" si="81">C169/($C$17)*1000</f>
        <v>6.1455973229996923</v>
      </c>
      <c r="D175" s="379">
        <f t="shared" si="81"/>
        <v>6.1395522947363403</v>
      </c>
      <c r="E175" s="379">
        <f t="shared" si="81"/>
        <v>6.1400264659184174</v>
      </c>
      <c r="F175" s="379">
        <f t="shared" si="81"/>
        <v>6.1467790592504379</v>
      </c>
      <c r="G175" s="379">
        <f t="shared" si="81"/>
        <v>6.1599313209869511</v>
      </c>
      <c r="H175" s="379">
        <f t="shared" si="81"/>
        <v>6.2508007856062413</v>
      </c>
      <c r="I175" s="379">
        <f t="shared" si="81"/>
        <v>6.0590938792623481</v>
      </c>
      <c r="J175" s="379">
        <f t="shared" si="81"/>
        <v>5.9845398217986601</v>
      </c>
      <c r="K175" s="379">
        <f t="shared" si="81"/>
        <v>5.9168158932794501</v>
      </c>
      <c r="L175" s="379">
        <f t="shared" si="81"/>
        <v>5.8556151422646066</v>
      </c>
      <c r="M175" s="379">
        <f t="shared" si="81"/>
        <v>5.8008169037738</v>
      </c>
      <c r="N175" s="379">
        <f t="shared" si="81"/>
        <v>5.6998173827596412</v>
      </c>
      <c r="O175" s="379">
        <f t="shared" si="81"/>
        <v>5.6569314970476166</v>
      </c>
      <c r="P175" s="379">
        <f t="shared" si="81"/>
        <v>5.6209580114388151</v>
      </c>
      <c r="Q175" s="379">
        <f t="shared" si="81"/>
        <v>5.5910941256919982</v>
      </c>
      <c r="R175" s="379">
        <f t="shared" si="81"/>
        <v>5.5681323259397644</v>
      </c>
      <c r="S175" s="379">
        <f t="shared" si="81"/>
        <v>5.4363225192501492</v>
      </c>
      <c r="T175" s="379">
        <f t="shared" si="81"/>
        <v>5.4500181520290765</v>
      </c>
      <c r="U175" s="379">
        <f t="shared" si="81"/>
        <v>5.4689147768170567</v>
      </c>
      <c r="V175" s="379">
        <f t="shared" si="81"/>
        <v>5.4939880985706289</v>
      </c>
      <c r="W175" s="379">
        <f t="shared" si="81"/>
        <v>5.5251778402049379</v>
      </c>
      <c r="X175" s="379">
        <f t="shared" si="81"/>
        <v>5.5296925522003457</v>
      </c>
      <c r="Y175" s="379">
        <f t="shared" si="81"/>
        <v>5.5719250078895497</v>
      </c>
      <c r="Z175" s="379">
        <f t="shared" si="81"/>
        <v>5.6202685058683119</v>
      </c>
      <c r="AA175" s="379">
        <f t="shared" si="81"/>
        <v>5.6745298983349892</v>
      </c>
      <c r="AB175" s="379">
        <f t="shared" si="81"/>
        <v>5.7345223848924789</v>
      </c>
      <c r="AC175" s="379">
        <f t="shared" si="81"/>
        <v>5.7866545569014241</v>
      </c>
      <c r="AD175" s="379">
        <f t="shared" si="81"/>
        <v>5.9183320827804016</v>
      </c>
      <c r="AE175" s="379">
        <f t="shared" si="81"/>
        <v>6.0564409843831353</v>
      </c>
      <c r="AF175" s="379">
        <f t="shared" si="81"/>
        <v>6.2020493283079032</v>
      </c>
      <c r="AG175" s="379">
        <f t="shared" si="81"/>
        <v>6.3551945921929818</v>
      </c>
    </row>
    <row r="176" spans="1:33">
      <c r="A176" s="300" t="s">
        <v>180</v>
      </c>
      <c r="B176" s="300" t="str">
        <f t="shared" si="79"/>
        <v>LNG</v>
      </c>
      <c r="C176" s="379">
        <f t="shared" ref="C176:AG176" si="82">C167/($C$17)*1000</f>
        <v>3.0878510872472154</v>
      </c>
      <c r="D176" s="379">
        <f t="shared" si="82"/>
        <v>3.1854336049849872</v>
      </c>
      <c r="E176" s="379">
        <f t="shared" si="82"/>
        <v>3.277660909019009</v>
      </c>
      <c r="F176" s="379">
        <f t="shared" si="82"/>
        <v>3.3729241929362881</v>
      </c>
      <c r="G176" s="379">
        <f t="shared" si="82"/>
        <v>3.4715831777245594</v>
      </c>
      <c r="H176" s="379">
        <f t="shared" si="82"/>
        <v>3.6323968072624528</v>
      </c>
      <c r="I176" s="379">
        <f t="shared" si="82"/>
        <v>3.7393765475806178</v>
      </c>
      <c r="J176" s="379">
        <f t="shared" si="82"/>
        <v>3.8499621256498222</v>
      </c>
      <c r="K176" s="379">
        <f t="shared" si="82"/>
        <v>3.9642283662475801</v>
      </c>
      <c r="L176" s="379">
        <f t="shared" si="82"/>
        <v>4.0822526222380091</v>
      </c>
      <c r="M176" s="379">
        <f t="shared" si="82"/>
        <v>4.203967766341675</v>
      </c>
      <c r="N176" s="379">
        <f t="shared" si="82"/>
        <v>4.3784005615166448</v>
      </c>
      <c r="O176" s="379">
        <f t="shared" si="82"/>
        <v>4.5091861286509651</v>
      </c>
      <c r="P176" s="379">
        <f t="shared" si="82"/>
        <v>4.6451406152439683</v>
      </c>
      <c r="Q176" s="379">
        <f t="shared" si="82"/>
        <v>4.785318571083006</v>
      </c>
      <c r="R176" s="379">
        <f t="shared" si="82"/>
        <v>4.9306916610122693</v>
      </c>
      <c r="S176" s="379">
        <f t="shared" si="82"/>
        <v>5.0806400008729771</v>
      </c>
      <c r="T176" s="379">
        <f t="shared" si="82"/>
        <v>5.2358225327888928</v>
      </c>
      <c r="U176" s="379">
        <f t="shared" si="82"/>
        <v>5.395945385602861</v>
      </c>
      <c r="V176" s="379">
        <f t="shared" si="82"/>
        <v>5.5615148686420346</v>
      </c>
      <c r="W176" s="379">
        <f t="shared" si="82"/>
        <v>5.7331215418627623</v>
      </c>
      <c r="X176" s="379">
        <f t="shared" si="82"/>
        <v>5.9741957245649635</v>
      </c>
      <c r="Y176" s="379">
        <f t="shared" si="82"/>
        <v>6.159477627592743</v>
      </c>
      <c r="Z176" s="379">
        <f t="shared" si="82"/>
        <v>6.3510456494520939</v>
      </c>
      <c r="AA176" s="379">
        <f t="shared" si="82"/>
        <v>6.5490275245598752</v>
      </c>
      <c r="AB176" s="379">
        <f t="shared" si="82"/>
        <v>6.7535553582757739</v>
      </c>
      <c r="AC176" s="379">
        <f t="shared" si="82"/>
        <v>6.9649379384144856</v>
      </c>
      <c r="AD176" s="379">
        <f t="shared" si="82"/>
        <v>7.1840216115563393</v>
      </c>
      <c r="AE176" s="379">
        <f t="shared" si="82"/>
        <v>7.4102475020081835</v>
      </c>
      <c r="AF176" s="379">
        <f t="shared" si="82"/>
        <v>7.6446439786192881</v>
      </c>
      <c r="AG176" s="379">
        <f t="shared" si="82"/>
        <v>7.8871952520620674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3">C168/($C$18)*1000</f>
        <v>4.5513158630109585</v>
      </c>
      <c r="D177" s="379">
        <f t="shared" si="83"/>
        <v>4.5819027904163612</v>
      </c>
      <c r="E177" s="379">
        <f t="shared" si="83"/>
        <v>4.6063160704954145</v>
      </c>
      <c r="F177" s="379">
        <f t="shared" si="83"/>
        <v>4.5914893251468714</v>
      </c>
      <c r="G177" s="379">
        <f t="shared" si="83"/>
        <v>4.570400655160249</v>
      </c>
      <c r="H177" s="379">
        <f t="shared" si="83"/>
        <v>4.6195412343701037</v>
      </c>
      <c r="I177" s="379">
        <f t="shared" si="83"/>
        <v>4.4544061485245736</v>
      </c>
      <c r="J177" s="379">
        <f t="shared" si="83"/>
        <v>4.4707410432001975</v>
      </c>
      <c r="K177" s="379">
        <f t="shared" si="83"/>
        <v>4.4709645221095444</v>
      </c>
      <c r="L177" s="379">
        <f t="shared" si="83"/>
        <v>4.4821890581901984</v>
      </c>
      <c r="M177" s="379">
        <f t="shared" si="83"/>
        <v>4.504629058164034</v>
      </c>
      <c r="N177" s="379">
        <f t="shared" si="83"/>
        <v>4.4625253499085593</v>
      </c>
      <c r="O177" s="379">
        <f t="shared" si="83"/>
        <v>4.5126377387079648</v>
      </c>
      <c r="P177" s="379">
        <f t="shared" si="83"/>
        <v>4.562752524377518</v>
      </c>
      <c r="Q177" s="379">
        <f t="shared" si="83"/>
        <v>4.6208615165042124</v>
      </c>
      <c r="R177" s="379">
        <f t="shared" si="83"/>
        <v>4.6870108856234474</v>
      </c>
      <c r="S177" s="379">
        <f t="shared" si="83"/>
        <v>4.749991189074855</v>
      </c>
      <c r="T177" s="379">
        <f t="shared" si="83"/>
        <v>4.8462520486870702</v>
      </c>
      <c r="U177" s="379">
        <f t="shared" si="83"/>
        <v>4.9435488986752985</v>
      </c>
      <c r="V177" s="379">
        <f t="shared" si="83"/>
        <v>5.0452818662784225</v>
      </c>
      <c r="W177" s="379">
        <f t="shared" si="83"/>
        <v>5.1516021414697075</v>
      </c>
      <c r="X177" s="379">
        <f t="shared" si="83"/>
        <v>5.1661662587198593</v>
      </c>
      <c r="Y177" s="379">
        <f t="shared" si="83"/>
        <v>5.2804248623565773</v>
      </c>
      <c r="Z177" s="379">
        <f t="shared" si="83"/>
        <v>5.4006611819974344</v>
      </c>
      <c r="AA177" s="379">
        <f t="shared" si="83"/>
        <v>5.5259997729210903</v>
      </c>
      <c r="AB177" s="379">
        <f t="shared" si="83"/>
        <v>5.6572444674856364</v>
      </c>
      <c r="AC177" s="379">
        <f t="shared" si="83"/>
        <v>5.8227335541209531</v>
      </c>
      <c r="AD177" s="379">
        <f t="shared" si="83"/>
        <v>5.9994860569540913</v>
      </c>
      <c r="AE177" s="379">
        <f t="shared" si="83"/>
        <v>6.1827930910188194</v>
      </c>
      <c r="AF177" s="379">
        <f t="shared" si="83"/>
        <v>6.3733405595612433</v>
      </c>
      <c r="AG177" s="379">
        <f t="shared" si="83"/>
        <v>6.5713804645396001</v>
      </c>
    </row>
    <row r="178" spans="1:33">
      <c r="A178" s="300" t="s">
        <v>181</v>
      </c>
      <c r="B178" s="300" t="str">
        <f t="shared" si="79"/>
        <v>H2 ICE</v>
      </c>
      <c r="C178" s="379">
        <f t="shared" ref="C178:AG178" si="84">C170/($C$17)*1000</f>
        <v>6.7122960776338738</v>
      </c>
      <c r="D178" s="379">
        <f t="shared" si="84"/>
        <v>6.6599932870614111</v>
      </c>
      <c r="E178" s="379">
        <f t="shared" si="84"/>
        <v>6.6145483204006892</v>
      </c>
      <c r="F178" s="379">
        <f t="shared" si="84"/>
        <v>6.5761039842715521</v>
      </c>
      <c r="G178" s="379">
        <f t="shared" si="84"/>
        <v>6.5442153596166666</v>
      </c>
      <c r="H178" s="379">
        <f t="shared" si="84"/>
        <v>6.5582800433717816</v>
      </c>
      <c r="I178" s="379">
        <f t="shared" si="84"/>
        <v>6.3863194872739282</v>
      </c>
      <c r="J178" s="379">
        <f t="shared" si="84"/>
        <v>6.304611021697526</v>
      </c>
      <c r="K178" s="379">
        <f t="shared" si="84"/>
        <v>6.2290270416648834</v>
      </c>
      <c r="L178" s="379">
        <f t="shared" si="84"/>
        <v>6.1607377166334309</v>
      </c>
      <c r="M178" s="379">
        <f t="shared" si="84"/>
        <v>6.0983757847737072</v>
      </c>
      <c r="N178" s="379">
        <f t="shared" si="84"/>
        <v>5.9352723229361954</v>
      </c>
      <c r="O178" s="379">
        <f t="shared" si="84"/>
        <v>5.8866996777845957</v>
      </c>
      <c r="P178" s="379">
        <f t="shared" si="84"/>
        <v>5.8435283466255381</v>
      </c>
      <c r="Q178" s="379">
        <f t="shared" si="84"/>
        <v>5.8069308626277083</v>
      </c>
      <c r="R178" s="379">
        <f t="shared" si="84"/>
        <v>5.7757763124645773</v>
      </c>
      <c r="S178" s="379">
        <f t="shared" si="84"/>
        <v>5.6513189528496888</v>
      </c>
      <c r="T178" s="379">
        <f t="shared" si="84"/>
        <v>5.6677677325527895</v>
      </c>
      <c r="U178" s="379">
        <f t="shared" si="84"/>
        <v>5.6895203537661283</v>
      </c>
      <c r="V178" s="379">
        <f t="shared" si="84"/>
        <v>5.7167068394866876</v>
      </c>
      <c r="W178" s="379">
        <f t="shared" si="84"/>
        <v>5.7490930036886549</v>
      </c>
      <c r="X178" s="379">
        <f t="shared" si="84"/>
        <v>5.6527040255465275</v>
      </c>
      <c r="Y178" s="379">
        <f t="shared" si="84"/>
        <v>5.694615131515147</v>
      </c>
      <c r="Z178" s="379">
        <f t="shared" si="84"/>
        <v>5.7427784687129959</v>
      </c>
      <c r="AA178" s="379">
        <f t="shared" si="84"/>
        <v>5.7959424017724377</v>
      </c>
      <c r="AB178" s="379">
        <f t="shared" si="84"/>
        <v>5.8551307247497153</v>
      </c>
      <c r="AC178" s="379">
        <f t="shared" si="84"/>
        <v>5.8989693292969214</v>
      </c>
      <c r="AD178" s="379">
        <f t="shared" si="84"/>
        <v>6.0297446775143122</v>
      </c>
      <c r="AE178" s="379">
        <f t="shared" si="84"/>
        <v>6.1669336096573577</v>
      </c>
      <c r="AF178" s="379">
        <f t="shared" si="84"/>
        <v>6.3103818430805649</v>
      </c>
      <c r="AG178" s="379">
        <f t="shared" si="84"/>
        <v>6.4604560088179888</v>
      </c>
    </row>
    <row r="179" spans="1:33">
      <c r="A179" s="300" t="str">
        <f>A170</f>
        <v>FCET</v>
      </c>
      <c r="B179" s="300" t="str">
        <f t="shared" si="79"/>
        <v>FCET</v>
      </c>
      <c r="C179" s="379">
        <f t="shared" ref="C179:AG179" si="85">C170/($C$19)*1000</f>
        <v>7.4147456671536975</v>
      </c>
      <c r="D179" s="379">
        <f t="shared" si="85"/>
        <v>7.3569693287306279</v>
      </c>
      <c r="E179" s="379">
        <f t="shared" si="85"/>
        <v>7.3067684934658788</v>
      </c>
      <c r="F179" s="379">
        <f t="shared" si="85"/>
        <v>7.2643009128581095</v>
      </c>
      <c r="G179" s="379">
        <f t="shared" si="85"/>
        <v>7.2290751065532941</v>
      </c>
      <c r="H179" s="379">
        <f t="shared" si="85"/>
        <v>7.2446116758176657</v>
      </c>
      <c r="I179" s="379">
        <f t="shared" si="85"/>
        <v>7.0546552475700368</v>
      </c>
      <c r="J179" s="379">
        <f t="shared" si="85"/>
        <v>6.9643958960612196</v>
      </c>
      <c r="K179" s="379">
        <f t="shared" si="85"/>
        <v>6.8809019646298131</v>
      </c>
      <c r="L179" s="379">
        <f t="shared" si="85"/>
        <v>6.8054660823276265</v>
      </c>
      <c r="M179" s="379">
        <f t="shared" si="85"/>
        <v>6.7365779017849095</v>
      </c>
      <c r="N179" s="379">
        <f t="shared" si="85"/>
        <v>6.5564054730109138</v>
      </c>
      <c r="O179" s="379">
        <f t="shared" si="85"/>
        <v>6.5027496440643784</v>
      </c>
      <c r="P179" s="379">
        <f t="shared" si="85"/>
        <v>6.4550603829003039</v>
      </c>
      <c r="Q179" s="379">
        <f t="shared" si="85"/>
        <v>6.4146329296468876</v>
      </c>
      <c r="R179" s="379">
        <f t="shared" si="85"/>
        <v>6.380218019582963</v>
      </c>
      <c r="S179" s="379">
        <f t="shared" si="85"/>
        <v>6.2427360525665163</v>
      </c>
      <c r="T179" s="379">
        <f t="shared" si="85"/>
        <v>6.2609062161920352</v>
      </c>
      <c r="U179" s="379">
        <f t="shared" si="85"/>
        <v>6.2849352745090954</v>
      </c>
      <c r="V179" s="379">
        <f t="shared" si="85"/>
        <v>6.3149668575725046</v>
      </c>
      <c r="W179" s="379">
        <f t="shared" si="85"/>
        <v>6.3507422715165367</v>
      </c>
      <c r="X179" s="379">
        <f t="shared" si="85"/>
        <v>6.2442660747316285</v>
      </c>
      <c r="Y179" s="379">
        <f t="shared" si="85"/>
        <v>6.2905632266737079</v>
      </c>
      <c r="Z179" s="379">
        <f t="shared" si="85"/>
        <v>6.3437669131131926</v>
      </c>
      <c r="AA179" s="379">
        <f t="shared" si="85"/>
        <v>6.4024945135858315</v>
      </c>
      <c r="AB179" s="379">
        <f t="shared" si="85"/>
        <v>6.4678769633863133</v>
      </c>
      <c r="AC179" s="379">
        <f t="shared" si="85"/>
        <v>6.5163033288745069</v>
      </c>
      <c r="AD179" s="379">
        <f t="shared" si="85"/>
        <v>6.660764469347205</v>
      </c>
      <c r="AE179" s="379">
        <f t="shared" si="85"/>
        <v>6.8123103827610345</v>
      </c>
      <c r="AF179" s="379">
        <f t="shared" si="85"/>
        <v>6.970770640612252</v>
      </c>
      <c r="AG179" s="379">
        <f t="shared" si="85"/>
        <v>7.1365502422989415</v>
      </c>
    </row>
    <row r="180" spans="1:33">
      <c r="A180" s="300" t="s">
        <v>334</v>
      </c>
      <c r="C180" s="379">
        <f t="shared" ref="C180:AG180" si="86">C174*0.9</f>
        <v>2.8125935817089629</v>
      </c>
      <c r="D180" s="379">
        <f t="shared" si="86"/>
        <v>3.0113213629734648</v>
      </c>
      <c r="E180" s="379">
        <f t="shared" si="86"/>
        <v>3.0838186814942485</v>
      </c>
      <c r="F180" s="379">
        <f t="shared" si="86"/>
        <v>3.1585387760878683</v>
      </c>
      <c r="G180" s="379">
        <f t="shared" si="86"/>
        <v>3.2355149021801473</v>
      </c>
      <c r="H180" s="379">
        <f t="shared" si="86"/>
        <v>3.3654802035573317</v>
      </c>
      <c r="I180" s="379">
        <f t="shared" si="86"/>
        <v>3.4486187279888032</v>
      </c>
      <c r="J180" s="379">
        <f t="shared" si="86"/>
        <v>3.5341828989563213</v>
      </c>
      <c r="K180" s="379">
        <f t="shared" si="86"/>
        <v>3.6222230905452313</v>
      </c>
      <c r="L180" s="379">
        <f t="shared" si="86"/>
        <v>3.7127908867483201</v>
      </c>
      <c r="M180" s="379">
        <f t="shared" si="86"/>
        <v>3.8059391240015015</v>
      </c>
      <c r="N180" s="379">
        <f t="shared" si="86"/>
        <v>3.9383194109713315</v>
      </c>
      <c r="O180" s="379">
        <f t="shared" si="86"/>
        <v>4.0378780931826972</v>
      </c>
      <c r="P180" s="379">
        <f t="shared" si="86"/>
        <v>4.1409931956440751</v>
      </c>
      <c r="Q180" s="379">
        <f t="shared" si="86"/>
        <v>4.2469346766729563</v>
      </c>
      <c r="R180" s="379">
        <f t="shared" si="86"/>
        <v>4.3565529320989338</v>
      </c>
      <c r="S180" s="379">
        <f t="shared" si="86"/>
        <v>4.4691209535331975</v>
      </c>
      <c r="T180" s="379">
        <f t="shared" si="86"/>
        <v>4.5854922780999772</v>
      </c>
      <c r="U180" s="379">
        <f t="shared" si="86"/>
        <v>4.7049431507594663</v>
      </c>
      <c r="V180" s="379">
        <f t="shared" si="86"/>
        <v>4.8283304782494341</v>
      </c>
      <c r="W180" s="379">
        <f t="shared" si="86"/>
        <v>4.9557234694654362</v>
      </c>
      <c r="X180" s="379">
        <f t="shared" si="86"/>
        <v>5.1363954285313165</v>
      </c>
      <c r="Y180" s="379">
        <f t="shared" si="86"/>
        <v>5.2734911141835141</v>
      </c>
      <c r="Z180" s="379">
        <f t="shared" si="86"/>
        <v>5.4148553798481034</v>
      </c>
      <c r="AA180" s="379">
        <f t="shared" si="86"/>
        <v>5.5605663275901804</v>
      </c>
      <c r="AB180" s="379">
        <f t="shared" si="86"/>
        <v>5.7107191093913423</v>
      </c>
      <c r="AC180" s="379">
        <f t="shared" si="86"/>
        <v>5.8653961431914974</v>
      </c>
      <c r="AD180" s="379">
        <f t="shared" si="86"/>
        <v>6.0254715965658487</v>
      </c>
      <c r="AE180" s="379">
        <f t="shared" si="86"/>
        <v>6.1902579786864074</v>
      </c>
      <c r="AF180" s="379">
        <f t="shared" si="86"/>
        <v>6.3606342601691503</v>
      </c>
      <c r="AG180" s="379">
        <f t="shared" si="86"/>
        <v>6.5366924714354475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 t="shared" ref="D182:AG182" si="87">C182+1</f>
        <v>2026</v>
      </c>
      <c r="E182" s="360">
        <f t="shared" si="87"/>
        <v>2027</v>
      </c>
      <c r="F182" s="360">
        <f t="shared" si="87"/>
        <v>2028</v>
      </c>
      <c r="G182" s="360">
        <f t="shared" si="87"/>
        <v>2029</v>
      </c>
      <c r="H182" s="360">
        <f t="shared" si="87"/>
        <v>2030</v>
      </c>
      <c r="I182" s="360">
        <f t="shared" si="87"/>
        <v>2031</v>
      </c>
      <c r="J182" s="360">
        <f t="shared" si="87"/>
        <v>2032</v>
      </c>
      <c r="K182" s="360">
        <f t="shared" si="87"/>
        <v>2033</v>
      </c>
      <c r="L182" s="360">
        <f t="shared" si="87"/>
        <v>2034</v>
      </c>
      <c r="M182" s="360">
        <f t="shared" si="87"/>
        <v>2035</v>
      </c>
      <c r="N182" s="360">
        <f t="shared" si="87"/>
        <v>2036</v>
      </c>
      <c r="O182" s="360">
        <f t="shared" si="87"/>
        <v>2037</v>
      </c>
      <c r="P182" s="360">
        <f t="shared" si="87"/>
        <v>2038</v>
      </c>
      <c r="Q182" s="360">
        <f t="shared" si="87"/>
        <v>2039</v>
      </c>
      <c r="R182" s="360">
        <f t="shared" si="87"/>
        <v>2040</v>
      </c>
      <c r="S182" s="360">
        <f t="shared" si="87"/>
        <v>2041</v>
      </c>
      <c r="T182" s="360">
        <f t="shared" si="87"/>
        <v>2042</v>
      </c>
      <c r="U182" s="360">
        <f t="shared" si="87"/>
        <v>2043</v>
      </c>
      <c r="V182" s="360">
        <f t="shared" si="87"/>
        <v>2044</v>
      </c>
      <c r="W182" s="360">
        <f t="shared" si="87"/>
        <v>2045</v>
      </c>
      <c r="X182" s="360">
        <f t="shared" si="87"/>
        <v>2046</v>
      </c>
      <c r="Y182" s="360">
        <f t="shared" si="87"/>
        <v>2047</v>
      </c>
      <c r="Z182" s="360">
        <f t="shared" si="87"/>
        <v>2048</v>
      </c>
      <c r="AA182" s="360">
        <f t="shared" si="87"/>
        <v>2049</v>
      </c>
      <c r="AB182" s="360">
        <f t="shared" si="87"/>
        <v>2050</v>
      </c>
      <c r="AC182" s="360">
        <f t="shared" si="87"/>
        <v>2051</v>
      </c>
      <c r="AD182" s="360">
        <f t="shared" si="87"/>
        <v>2052</v>
      </c>
      <c r="AE182" s="360">
        <f t="shared" si="87"/>
        <v>2053</v>
      </c>
      <c r="AF182" s="360">
        <f t="shared" si="87"/>
        <v>2054</v>
      </c>
      <c r="AG182" s="360">
        <f t="shared" si="87"/>
        <v>2055</v>
      </c>
    </row>
    <row r="183" spans="1:33">
      <c r="A183" s="300" t="str">
        <f t="shared" ref="A183:A188" si="88">A174</f>
        <v xml:space="preserve">Diesel   </v>
      </c>
      <c r="B183" s="300" t="str">
        <f t="shared" ref="B183:B188" si="89">A183</f>
        <v xml:space="preserve">Diesel   </v>
      </c>
      <c r="C183" s="379">
        <f t="shared" ref="C183:AG183" si="90">C165/($C$17*$C$24)*1000</f>
        <v>3.9063799745957812</v>
      </c>
      <c r="D183" s="379">
        <f t="shared" si="90"/>
        <v>4.1823907819075901</v>
      </c>
      <c r="E183" s="379">
        <f t="shared" si="90"/>
        <v>4.283081502075345</v>
      </c>
      <c r="F183" s="379">
        <f t="shared" si="90"/>
        <v>4.3868594112331509</v>
      </c>
      <c r="G183" s="379">
        <f t="shared" si="90"/>
        <v>4.493770697472427</v>
      </c>
      <c r="H183" s="379">
        <f t="shared" si="90"/>
        <v>4.6742780604962944</v>
      </c>
      <c r="I183" s="379">
        <f t="shared" si="90"/>
        <v>4.7897482333177814</v>
      </c>
      <c r="J183" s="379">
        <f t="shared" si="90"/>
        <v>4.9085873596615563</v>
      </c>
      <c r="K183" s="379">
        <f t="shared" si="90"/>
        <v>5.0308654035350422</v>
      </c>
      <c r="L183" s="379">
        <f t="shared" si="90"/>
        <v>5.1566540093726667</v>
      </c>
      <c r="M183" s="379">
        <f t="shared" si="90"/>
        <v>5.2860265611131965</v>
      </c>
      <c r="N183" s="379">
        <f t="shared" si="90"/>
        <v>5.469888070793516</v>
      </c>
      <c r="O183" s="379">
        <f t="shared" si="90"/>
        <v>5.608164018309302</v>
      </c>
      <c r="P183" s="379">
        <f t="shared" si="90"/>
        <v>5.7513794383945482</v>
      </c>
      <c r="Q183" s="379">
        <f t="shared" si="90"/>
        <v>5.8985203842679939</v>
      </c>
      <c r="R183" s="379">
        <f t="shared" si="90"/>
        <v>6.0507679612485186</v>
      </c>
      <c r="S183" s="379">
        <f t="shared" si="90"/>
        <v>6.2071124354627729</v>
      </c>
      <c r="T183" s="379">
        <f t="shared" si="90"/>
        <v>6.3687392751388572</v>
      </c>
      <c r="U183" s="379">
        <f t="shared" si="90"/>
        <v>6.5346432649437034</v>
      </c>
      <c r="V183" s="379">
        <f t="shared" si="90"/>
        <v>6.7060145531242128</v>
      </c>
      <c r="W183" s="379">
        <f t="shared" si="90"/>
        <v>6.882949263146438</v>
      </c>
      <c r="X183" s="379">
        <f t="shared" si="90"/>
        <v>7.1338825396268275</v>
      </c>
      <c r="Y183" s="379">
        <f t="shared" si="90"/>
        <v>7.3242932141437684</v>
      </c>
      <c r="Z183" s="379">
        <f t="shared" si="90"/>
        <v>7.520632472011255</v>
      </c>
      <c r="AA183" s="379">
        <f t="shared" si="90"/>
        <v>7.7230087883196941</v>
      </c>
      <c r="AB183" s="379">
        <f t="shared" si="90"/>
        <v>7.9315543185990869</v>
      </c>
      <c r="AC183" s="379">
        <f t="shared" si="90"/>
        <v>8.1463835322104128</v>
      </c>
      <c r="AD183" s="379">
        <f t="shared" si="90"/>
        <v>8.3687105507858988</v>
      </c>
      <c r="AE183" s="379">
        <f t="shared" si="90"/>
        <v>8.5975805259533438</v>
      </c>
      <c r="AF183" s="379">
        <f t="shared" si="90"/>
        <v>8.8342142502349326</v>
      </c>
      <c r="AG183" s="379">
        <f t="shared" si="90"/>
        <v>9.0787395436603422</v>
      </c>
    </row>
    <row r="184" spans="1:33">
      <c r="A184" s="300" t="str">
        <f t="shared" si="88"/>
        <v>CNG</v>
      </c>
      <c r="B184" s="300" t="str">
        <f t="shared" si="89"/>
        <v>CNG</v>
      </c>
      <c r="C184" s="379">
        <f t="shared" ref="C184:AG184" si="91">C169/($C$17*$C$24)*1000</f>
        <v>7.6819966537496152</v>
      </c>
      <c r="D184" s="379">
        <f t="shared" si="91"/>
        <v>7.6744403684204254</v>
      </c>
      <c r="E184" s="379">
        <f t="shared" si="91"/>
        <v>7.6750330823980208</v>
      </c>
      <c r="F184" s="379">
        <f t="shared" si="91"/>
        <v>7.6834738240630465</v>
      </c>
      <c r="G184" s="379">
        <f t="shared" si="91"/>
        <v>7.6999141512336893</v>
      </c>
      <c r="H184" s="379">
        <f t="shared" si="91"/>
        <v>7.8135009820078025</v>
      </c>
      <c r="I184" s="379">
        <f t="shared" si="91"/>
        <v>7.5738673490779354</v>
      </c>
      <c r="J184" s="379">
        <f t="shared" si="91"/>
        <v>7.480674777248324</v>
      </c>
      <c r="K184" s="379">
        <f t="shared" si="91"/>
        <v>7.3960198665993122</v>
      </c>
      <c r="L184" s="379">
        <f t="shared" si="91"/>
        <v>7.3195189278307593</v>
      </c>
      <c r="M184" s="379">
        <f t="shared" si="91"/>
        <v>7.25102112971725</v>
      </c>
      <c r="N184" s="379">
        <f t="shared" si="91"/>
        <v>7.1247717284495522</v>
      </c>
      <c r="O184" s="379">
        <f t="shared" si="91"/>
        <v>7.0711643713095205</v>
      </c>
      <c r="P184" s="379">
        <f t="shared" si="91"/>
        <v>7.0261975142985191</v>
      </c>
      <c r="Q184" s="379">
        <f t="shared" si="91"/>
        <v>6.9888676571149979</v>
      </c>
      <c r="R184" s="379">
        <f t="shared" si="91"/>
        <v>6.9601654074247055</v>
      </c>
      <c r="S184" s="379">
        <f t="shared" si="91"/>
        <v>6.7954031490626869</v>
      </c>
      <c r="T184" s="379">
        <f t="shared" si="91"/>
        <v>6.8125226900363467</v>
      </c>
      <c r="U184" s="379">
        <f t="shared" si="91"/>
        <v>6.8361434710213214</v>
      </c>
      <c r="V184" s="379">
        <f t="shared" si="91"/>
        <v>6.8674851232132861</v>
      </c>
      <c r="W184" s="379">
        <f t="shared" si="91"/>
        <v>6.9064723002561719</v>
      </c>
      <c r="X184" s="379">
        <f t="shared" si="91"/>
        <v>6.9121156902504319</v>
      </c>
      <c r="Y184" s="379">
        <f t="shared" si="91"/>
        <v>6.9649062598619365</v>
      </c>
      <c r="Z184" s="379">
        <f t="shared" si="91"/>
        <v>7.0253356323353895</v>
      </c>
      <c r="AA184" s="379">
        <f t="shared" si="91"/>
        <v>7.0931623729187363</v>
      </c>
      <c r="AB184" s="379">
        <f t="shared" si="91"/>
        <v>7.1681529811155977</v>
      </c>
      <c r="AC184" s="379">
        <f t="shared" si="91"/>
        <v>7.2333181961267794</v>
      </c>
      <c r="AD184" s="379">
        <f t="shared" si="91"/>
        <v>7.3979151034755013</v>
      </c>
      <c r="AE184" s="379">
        <f t="shared" si="91"/>
        <v>7.5705512304789186</v>
      </c>
      <c r="AF184" s="379">
        <f t="shared" si="91"/>
        <v>7.7525616603848784</v>
      </c>
      <c r="AG184" s="379">
        <f t="shared" si="91"/>
        <v>7.9439932402412277</v>
      </c>
    </row>
    <row r="185" spans="1:33">
      <c r="A185" s="300" t="str">
        <f t="shared" si="88"/>
        <v>LNG</v>
      </c>
      <c r="B185" s="300" t="str">
        <f t="shared" si="89"/>
        <v>LNG</v>
      </c>
      <c r="C185" s="379">
        <f t="shared" ref="C185:AG185" si="92">C167/($C$17*$C$24)*1000</f>
        <v>3.8598138590590194</v>
      </c>
      <c r="D185" s="379">
        <f t="shared" si="92"/>
        <v>3.9817920062312337</v>
      </c>
      <c r="E185" s="379">
        <f t="shared" si="92"/>
        <v>4.0970761362737615</v>
      </c>
      <c r="F185" s="379">
        <f t="shared" si="92"/>
        <v>4.2161552411703598</v>
      </c>
      <c r="G185" s="379">
        <f t="shared" si="92"/>
        <v>4.3394789721556988</v>
      </c>
      <c r="H185" s="379">
        <f t="shared" si="92"/>
        <v>4.5404960090780664</v>
      </c>
      <c r="I185" s="379">
        <f t="shared" si="92"/>
        <v>4.6742206844757721</v>
      </c>
      <c r="J185" s="379">
        <f t="shared" si="92"/>
        <v>4.8124526570622779</v>
      </c>
      <c r="K185" s="379">
        <f t="shared" si="92"/>
        <v>4.9552854578094756</v>
      </c>
      <c r="L185" s="379">
        <f t="shared" si="92"/>
        <v>5.1028157777975105</v>
      </c>
      <c r="M185" s="379">
        <f t="shared" si="92"/>
        <v>5.2549597079270933</v>
      </c>
      <c r="N185" s="379">
        <f t="shared" si="92"/>
        <v>5.4730007018958062</v>
      </c>
      <c r="O185" s="379">
        <f t="shared" si="92"/>
        <v>5.6364826608137069</v>
      </c>
      <c r="P185" s="379">
        <f t="shared" si="92"/>
        <v>5.806425769054961</v>
      </c>
      <c r="Q185" s="379">
        <f t="shared" si="92"/>
        <v>5.9816482138537577</v>
      </c>
      <c r="R185" s="379">
        <f t="shared" si="92"/>
        <v>6.1633645762653364</v>
      </c>
      <c r="S185" s="379">
        <f t="shared" si="92"/>
        <v>6.3508000010912209</v>
      </c>
      <c r="T185" s="379">
        <f t="shared" si="92"/>
        <v>6.5447781659861164</v>
      </c>
      <c r="U185" s="379">
        <f t="shared" si="92"/>
        <v>6.7449317320035771</v>
      </c>
      <c r="V185" s="379">
        <f t="shared" si="92"/>
        <v>6.9518935858025426</v>
      </c>
      <c r="W185" s="379">
        <f t="shared" si="92"/>
        <v>7.1664019273284527</v>
      </c>
      <c r="X185" s="379">
        <f t="shared" si="92"/>
        <v>7.4677446557062046</v>
      </c>
      <c r="Y185" s="379">
        <f t="shared" si="92"/>
        <v>7.6993470344909278</v>
      </c>
      <c r="Z185" s="379">
        <f t="shared" si="92"/>
        <v>7.9388070618151181</v>
      </c>
      <c r="AA185" s="379">
        <f t="shared" si="92"/>
        <v>8.1862844056998441</v>
      </c>
      <c r="AB185" s="379">
        <f t="shared" si="92"/>
        <v>8.4419441978447178</v>
      </c>
      <c r="AC185" s="379">
        <f t="shared" si="92"/>
        <v>8.7061724230181081</v>
      </c>
      <c r="AD185" s="379">
        <f t="shared" si="92"/>
        <v>8.9800270144454242</v>
      </c>
      <c r="AE185" s="379">
        <f t="shared" si="92"/>
        <v>9.26280937751023</v>
      </c>
      <c r="AF185" s="379">
        <f t="shared" si="92"/>
        <v>9.5558049732741104</v>
      </c>
      <c r="AG185" s="379">
        <f t="shared" si="92"/>
        <v>9.8589940650775834</v>
      </c>
    </row>
    <row r="186" spans="1:33">
      <c r="A186" s="300" t="str">
        <f t="shared" si="88"/>
        <v>BET</v>
      </c>
      <c r="B186" s="300" t="str">
        <f>A186</f>
        <v>BET</v>
      </c>
      <c r="C186" s="379">
        <f t="shared" ref="C186:AG186" si="93">C168/($C$18*$C$24)*1000</f>
        <v>5.6891448287636974</v>
      </c>
      <c r="D186" s="379">
        <f t="shared" si="93"/>
        <v>5.7273784880204515</v>
      </c>
      <c r="E186" s="379">
        <f t="shared" si="93"/>
        <v>5.7578950881192679</v>
      </c>
      <c r="F186" s="379">
        <f t="shared" si="93"/>
        <v>5.739361656433589</v>
      </c>
      <c r="G186" s="379">
        <f t="shared" si="93"/>
        <v>5.7130008189503112</v>
      </c>
      <c r="H186" s="379">
        <f t="shared" si="93"/>
        <v>5.7744265429626296</v>
      </c>
      <c r="I186" s="379">
        <f t="shared" si="93"/>
        <v>5.5680076856557168</v>
      </c>
      <c r="J186" s="379">
        <f t="shared" si="93"/>
        <v>5.5884263040002464</v>
      </c>
      <c r="K186" s="379">
        <f t="shared" si="93"/>
        <v>5.5887056526369312</v>
      </c>
      <c r="L186" s="379">
        <f t="shared" si="93"/>
        <v>5.6027363227377487</v>
      </c>
      <c r="M186" s="379">
        <f t="shared" si="93"/>
        <v>5.6307863227050428</v>
      </c>
      <c r="N186" s="379">
        <f t="shared" si="93"/>
        <v>5.5781566873856985</v>
      </c>
      <c r="O186" s="379">
        <f t="shared" si="93"/>
        <v>5.6407971733849553</v>
      </c>
      <c r="P186" s="379">
        <f t="shared" si="93"/>
        <v>5.7034406554718968</v>
      </c>
      <c r="Q186" s="379">
        <f t="shared" si="93"/>
        <v>5.7760768956302648</v>
      </c>
      <c r="R186" s="379">
        <f t="shared" si="93"/>
        <v>5.8587636070293092</v>
      </c>
      <c r="S186" s="379">
        <f t="shared" si="93"/>
        <v>5.9374889863435687</v>
      </c>
      <c r="T186" s="379">
        <f t="shared" si="93"/>
        <v>6.0578150608588386</v>
      </c>
      <c r="U186" s="379">
        <f t="shared" si="93"/>
        <v>6.1794361233441233</v>
      </c>
      <c r="V186" s="379">
        <f t="shared" si="93"/>
        <v>6.306602332848029</v>
      </c>
      <c r="W186" s="379">
        <f t="shared" si="93"/>
        <v>6.439502676837134</v>
      </c>
      <c r="X186" s="379">
        <f t="shared" si="93"/>
        <v>6.4577078233998249</v>
      </c>
      <c r="Y186" s="379">
        <f t="shared" si="93"/>
        <v>6.600531077945722</v>
      </c>
      <c r="Z186" s="379">
        <f t="shared" si="93"/>
        <v>6.7508264774967932</v>
      </c>
      <c r="AA186" s="379">
        <f t="shared" si="93"/>
        <v>6.9074997161513627</v>
      </c>
      <c r="AB186" s="379">
        <f t="shared" si="93"/>
        <v>7.0715555843570455</v>
      </c>
      <c r="AC186" s="379">
        <f t="shared" si="93"/>
        <v>7.2784169426511918</v>
      </c>
      <c r="AD186" s="379">
        <f t="shared" si="93"/>
        <v>7.4993575711926139</v>
      </c>
      <c r="AE186" s="379">
        <f t="shared" si="93"/>
        <v>7.7284913637735233</v>
      </c>
      <c r="AF186" s="379">
        <f t="shared" si="93"/>
        <v>7.9666756994515531</v>
      </c>
      <c r="AG186" s="379">
        <f t="shared" si="93"/>
        <v>8.2142255806744995</v>
      </c>
    </row>
    <row r="187" spans="1:33">
      <c r="A187" s="300" t="str">
        <f t="shared" si="88"/>
        <v>H2 ICE</v>
      </c>
      <c r="B187" s="300" t="str">
        <f t="shared" si="89"/>
        <v>H2 ICE</v>
      </c>
      <c r="C187" s="379">
        <f t="shared" ref="C187:AG187" si="94">C170/($C$17*$C$24)*1000</f>
        <v>8.3903700970423429</v>
      </c>
      <c r="D187" s="379">
        <f t="shared" si="94"/>
        <v>8.3249916088267639</v>
      </c>
      <c r="E187" s="379">
        <f t="shared" si="94"/>
        <v>8.2681854005008617</v>
      </c>
      <c r="F187" s="379">
        <f t="shared" si="94"/>
        <v>8.2201299803394399</v>
      </c>
      <c r="G187" s="379">
        <f t="shared" si="94"/>
        <v>8.1802691995208328</v>
      </c>
      <c r="H187" s="379">
        <f t="shared" si="94"/>
        <v>8.1978500542147259</v>
      </c>
      <c r="I187" s="379">
        <f t="shared" si="94"/>
        <v>7.9828993590924107</v>
      </c>
      <c r="J187" s="379">
        <f t="shared" si="94"/>
        <v>7.8807637771219072</v>
      </c>
      <c r="K187" s="379">
        <f t="shared" si="94"/>
        <v>7.7862838020811047</v>
      </c>
      <c r="L187" s="379">
        <f t="shared" si="94"/>
        <v>7.7009221457917878</v>
      </c>
      <c r="M187" s="379">
        <f t="shared" si="94"/>
        <v>7.6229697309671343</v>
      </c>
      <c r="N187" s="379">
        <f t="shared" si="94"/>
        <v>7.4190904036702445</v>
      </c>
      <c r="O187" s="379">
        <f t="shared" si="94"/>
        <v>7.3583745972307444</v>
      </c>
      <c r="P187" s="379">
        <f t="shared" si="94"/>
        <v>7.3044104332819222</v>
      </c>
      <c r="Q187" s="379">
        <f t="shared" si="94"/>
        <v>7.2586635782846356</v>
      </c>
      <c r="R187" s="379">
        <f t="shared" si="94"/>
        <v>7.2197203905807212</v>
      </c>
      <c r="S187" s="379">
        <f t="shared" si="94"/>
        <v>7.0641486910621101</v>
      </c>
      <c r="T187" s="379">
        <f t="shared" si="94"/>
        <v>7.0847096656909869</v>
      </c>
      <c r="U187" s="379">
        <f t="shared" si="94"/>
        <v>7.1119004422076602</v>
      </c>
      <c r="V187" s="379">
        <f t="shared" si="94"/>
        <v>7.1458835493583592</v>
      </c>
      <c r="W187" s="379">
        <f t="shared" si="94"/>
        <v>7.1863662546108182</v>
      </c>
      <c r="X187" s="379">
        <f t="shared" si="94"/>
        <v>7.0658800319331592</v>
      </c>
      <c r="Y187" s="379">
        <f t="shared" si="94"/>
        <v>7.1182689143939335</v>
      </c>
      <c r="Z187" s="379">
        <f t="shared" si="94"/>
        <v>7.1784730858912438</v>
      </c>
      <c r="AA187" s="379">
        <f t="shared" si="94"/>
        <v>7.2449280022155467</v>
      </c>
      <c r="AB187" s="379">
        <f t="shared" si="94"/>
        <v>7.3189134059371437</v>
      </c>
      <c r="AC187" s="379">
        <f t="shared" si="94"/>
        <v>7.3737116616211518</v>
      </c>
      <c r="AD187" s="379">
        <f t="shared" si="94"/>
        <v>7.5371808468928903</v>
      </c>
      <c r="AE187" s="379">
        <f t="shared" si="94"/>
        <v>7.7086670120716976</v>
      </c>
      <c r="AF187" s="379">
        <f t="shared" si="94"/>
        <v>7.8879773038507057</v>
      </c>
      <c r="AG187" s="379">
        <f t="shared" si="94"/>
        <v>8.0755700110224851</v>
      </c>
    </row>
    <row r="188" spans="1:33">
      <c r="A188" s="300" t="str">
        <f t="shared" si="88"/>
        <v>FCET</v>
      </c>
      <c r="B188" s="300" t="str">
        <f t="shared" si="89"/>
        <v>FCET</v>
      </c>
      <c r="C188" s="379">
        <f t="shared" ref="C188:AG188" si="95">C170/($C$19*$C$24)*1000</f>
        <v>9.2684320839421233</v>
      </c>
      <c r="D188" s="379">
        <f t="shared" si="95"/>
        <v>9.1962116609132849</v>
      </c>
      <c r="E188" s="379">
        <f t="shared" si="95"/>
        <v>9.1334606168323464</v>
      </c>
      <c r="F188" s="379">
        <f t="shared" si="95"/>
        <v>9.0803761410726374</v>
      </c>
      <c r="G188" s="379">
        <f t="shared" si="95"/>
        <v>9.0363438831916181</v>
      </c>
      <c r="H188" s="379">
        <f t="shared" si="95"/>
        <v>9.0557645947720822</v>
      </c>
      <c r="I188" s="379">
        <f t="shared" si="95"/>
        <v>8.8183190594625458</v>
      </c>
      <c r="J188" s="379">
        <f t="shared" si="95"/>
        <v>8.7054948700765262</v>
      </c>
      <c r="K188" s="379">
        <f t="shared" si="95"/>
        <v>8.6011274557872657</v>
      </c>
      <c r="L188" s="379">
        <f t="shared" si="95"/>
        <v>8.5068326029095331</v>
      </c>
      <c r="M188" s="379">
        <f t="shared" si="95"/>
        <v>8.4207223772311366</v>
      </c>
      <c r="N188" s="379">
        <f t="shared" si="95"/>
        <v>8.1955068412636418</v>
      </c>
      <c r="O188" s="379">
        <f t="shared" si="95"/>
        <v>8.1284370550804717</v>
      </c>
      <c r="P188" s="379">
        <f t="shared" si="95"/>
        <v>8.0688254786253797</v>
      </c>
      <c r="Q188" s="379">
        <f t="shared" si="95"/>
        <v>8.0182911620586097</v>
      </c>
      <c r="R188" s="379">
        <f t="shared" si="95"/>
        <v>7.9752725244787035</v>
      </c>
      <c r="S188" s="379">
        <f t="shared" si="95"/>
        <v>7.8034200657081456</v>
      </c>
      <c r="T188" s="379">
        <f t="shared" si="95"/>
        <v>7.8261327702400427</v>
      </c>
      <c r="U188" s="379">
        <f t="shared" si="95"/>
        <v>7.8561690931363684</v>
      </c>
      <c r="V188" s="379">
        <f t="shared" si="95"/>
        <v>7.8937085719656306</v>
      </c>
      <c r="W188" s="379">
        <f t="shared" si="95"/>
        <v>7.9384278393956711</v>
      </c>
      <c r="X188" s="379">
        <f t="shared" si="95"/>
        <v>7.8053325934145361</v>
      </c>
      <c r="Y188" s="379">
        <f t="shared" si="95"/>
        <v>7.8632040333421349</v>
      </c>
      <c r="Z188" s="379">
        <f t="shared" si="95"/>
        <v>7.9297086413914908</v>
      </c>
      <c r="AA188" s="379">
        <f t="shared" si="95"/>
        <v>8.0031181419822914</v>
      </c>
      <c r="AB188" s="379">
        <f t="shared" si="95"/>
        <v>8.0848462042328908</v>
      </c>
      <c r="AC188" s="379">
        <f t="shared" si="95"/>
        <v>8.1453791610931336</v>
      </c>
      <c r="AD188" s="379">
        <f t="shared" si="95"/>
        <v>8.3259555866840067</v>
      </c>
      <c r="AE188" s="379">
        <f t="shared" si="95"/>
        <v>8.5153879784512938</v>
      </c>
      <c r="AF188" s="379">
        <f t="shared" si="95"/>
        <v>8.7134633007653157</v>
      </c>
      <c r="AG188" s="379">
        <f t="shared" si="95"/>
        <v>8.9206878028736778</v>
      </c>
    </row>
    <row r="189" spans="1:33">
      <c r="A189" s="300" t="s">
        <v>334</v>
      </c>
      <c r="C189" s="379">
        <f t="shared" ref="C189:AG189" si="96">C183*0.9</f>
        <v>3.5157419771362033</v>
      </c>
      <c r="D189" s="379">
        <f t="shared" si="96"/>
        <v>3.7641517037168311</v>
      </c>
      <c r="E189" s="379">
        <f t="shared" si="96"/>
        <v>3.8547733518678107</v>
      </c>
      <c r="F189" s="379">
        <f t="shared" si="96"/>
        <v>3.9481734701098361</v>
      </c>
      <c r="G189" s="379">
        <f t="shared" si="96"/>
        <v>4.0443936277251842</v>
      </c>
      <c r="H189" s="379">
        <f t="shared" si="96"/>
        <v>4.2068502544466648</v>
      </c>
      <c r="I189" s="379">
        <f t="shared" si="96"/>
        <v>4.3107734099860036</v>
      </c>
      <c r="J189" s="379">
        <f t="shared" si="96"/>
        <v>4.4177286236954005</v>
      </c>
      <c r="K189" s="379">
        <f t="shared" si="96"/>
        <v>4.5277788631815383</v>
      </c>
      <c r="L189" s="379">
        <f t="shared" si="96"/>
        <v>4.6409886084354</v>
      </c>
      <c r="M189" s="379">
        <f t="shared" si="96"/>
        <v>4.7574239050018772</v>
      </c>
      <c r="N189" s="379">
        <f t="shared" si="96"/>
        <v>4.9228992637141644</v>
      </c>
      <c r="O189" s="379">
        <f t="shared" si="96"/>
        <v>5.0473476164783717</v>
      </c>
      <c r="P189" s="379">
        <f t="shared" si="96"/>
        <v>5.1762414945550939</v>
      </c>
      <c r="Q189" s="379">
        <f t="shared" si="96"/>
        <v>5.3086683458411947</v>
      </c>
      <c r="R189" s="379">
        <f t="shared" si="96"/>
        <v>5.4456911651236668</v>
      </c>
      <c r="S189" s="379">
        <f t="shared" si="96"/>
        <v>5.5864011919164955</v>
      </c>
      <c r="T189" s="379">
        <f t="shared" si="96"/>
        <v>5.7318653476249715</v>
      </c>
      <c r="U189" s="379">
        <f t="shared" si="96"/>
        <v>5.8811789384493336</v>
      </c>
      <c r="V189" s="379">
        <f t="shared" si="96"/>
        <v>6.0354130978117917</v>
      </c>
      <c r="W189" s="379">
        <f t="shared" si="96"/>
        <v>6.1946543368317943</v>
      </c>
      <c r="X189" s="379">
        <f t="shared" si="96"/>
        <v>6.4204942856641445</v>
      </c>
      <c r="Y189" s="379">
        <f t="shared" si="96"/>
        <v>6.5918638927293918</v>
      </c>
      <c r="Z189" s="379">
        <f t="shared" si="96"/>
        <v>6.7685692248101299</v>
      </c>
      <c r="AA189" s="379">
        <f t="shared" si="96"/>
        <v>6.9507079094877247</v>
      </c>
      <c r="AB189" s="379">
        <f t="shared" si="96"/>
        <v>7.1383988867391786</v>
      </c>
      <c r="AC189" s="379">
        <f t="shared" si="96"/>
        <v>7.3317451789893715</v>
      </c>
      <c r="AD189" s="379">
        <f t="shared" si="96"/>
        <v>7.5318394957073087</v>
      </c>
      <c r="AE189" s="379">
        <f t="shared" si="96"/>
        <v>7.7378224733580092</v>
      </c>
      <c r="AF189" s="379">
        <f t="shared" si="96"/>
        <v>7.9507928252114395</v>
      </c>
      <c r="AG189" s="379">
        <f t="shared" si="96"/>
        <v>8.1708655892943085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 t="shared" ref="D191:AG191" si="97">C191+1</f>
        <v>2026</v>
      </c>
      <c r="E191" s="360">
        <f t="shared" si="97"/>
        <v>2027</v>
      </c>
      <c r="F191" s="360">
        <f t="shared" si="97"/>
        <v>2028</v>
      </c>
      <c r="G191" s="360">
        <f t="shared" si="97"/>
        <v>2029</v>
      </c>
      <c r="H191" s="360">
        <f t="shared" si="97"/>
        <v>2030</v>
      </c>
      <c r="I191" s="360">
        <f t="shared" si="97"/>
        <v>2031</v>
      </c>
      <c r="J191" s="360">
        <f t="shared" si="97"/>
        <v>2032</v>
      </c>
      <c r="K191" s="360">
        <f t="shared" si="97"/>
        <v>2033</v>
      </c>
      <c r="L191" s="360">
        <f t="shared" si="97"/>
        <v>2034</v>
      </c>
      <c r="M191" s="360">
        <f t="shared" si="97"/>
        <v>2035</v>
      </c>
      <c r="N191" s="360">
        <f t="shared" si="97"/>
        <v>2036</v>
      </c>
      <c r="O191" s="360">
        <f t="shared" si="97"/>
        <v>2037</v>
      </c>
      <c r="P191" s="360">
        <f t="shared" si="97"/>
        <v>2038</v>
      </c>
      <c r="Q191" s="360">
        <f t="shared" si="97"/>
        <v>2039</v>
      </c>
      <c r="R191" s="360">
        <f t="shared" si="97"/>
        <v>2040</v>
      </c>
      <c r="S191" s="360">
        <f t="shared" si="97"/>
        <v>2041</v>
      </c>
      <c r="T191" s="360">
        <f t="shared" si="97"/>
        <v>2042</v>
      </c>
      <c r="U191" s="360">
        <f t="shared" si="97"/>
        <v>2043</v>
      </c>
      <c r="V191" s="360">
        <f t="shared" si="97"/>
        <v>2044</v>
      </c>
      <c r="W191" s="360">
        <f t="shared" si="97"/>
        <v>2045</v>
      </c>
      <c r="X191" s="360">
        <f t="shared" si="97"/>
        <v>2046</v>
      </c>
      <c r="Y191" s="360">
        <f t="shared" si="97"/>
        <v>2047</v>
      </c>
      <c r="Z191" s="360">
        <f t="shared" si="97"/>
        <v>2048</v>
      </c>
      <c r="AA191" s="360">
        <f t="shared" si="97"/>
        <v>2049</v>
      </c>
      <c r="AB191" s="360">
        <f t="shared" si="97"/>
        <v>2050</v>
      </c>
      <c r="AC191" s="360">
        <f t="shared" si="97"/>
        <v>2051</v>
      </c>
      <c r="AD191" s="360">
        <f t="shared" si="97"/>
        <v>2052</v>
      </c>
      <c r="AE191" s="360">
        <f t="shared" si="97"/>
        <v>2053</v>
      </c>
      <c r="AF191" s="360">
        <f t="shared" si="97"/>
        <v>2054</v>
      </c>
      <c r="AG191" s="360">
        <f t="shared" si="97"/>
        <v>2055</v>
      </c>
    </row>
    <row r="192" spans="1:33">
      <c r="A192" s="300" t="str">
        <f>A165</f>
        <v xml:space="preserve">Diesel   </v>
      </c>
      <c r="C192" s="388">
        <f t="shared" ref="C192:AG192" si="98">C165/C168</f>
        <v>0.82570327886901329</v>
      </c>
      <c r="D192" s="388">
        <f t="shared" si="98"/>
        <v>0.87814298983423245</v>
      </c>
      <c r="E192" s="388">
        <f t="shared" si="98"/>
        <v>0.89451804313472028</v>
      </c>
      <c r="F192" s="388">
        <f t="shared" si="98"/>
        <v>0.91915052273441233</v>
      </c>
      <c r="G192" s="388">
        <f t="shared" si="98"/>
        <v>0.94589544845137163</v>
      </c>
      <c r="H192" s="388">
        <f t="shared" si="98"/>
        <v>0.97342432986508931</v>
      </c>
      <c r="I192" s="388">
        <f t="shared" si="98"/>
        <v>1.0344496900954812</v>
      </c>
      <c r="J192" s="388">
        <f t="shared" si="98"/>
        <v>1.0562421894712686</v>
      </c>
      <c r="K192" s="388">
        <f t="shared" si="98"/>
        <v>1.0825001759571624</v>
      </c>
      <c r="L192" s="388">
        <f t="shared" si="98"/>
        <v>1.1067876969969537</v>
      </c>
      <c r="M192" s="388">
        <f t="shared" si="98"/>
        <v>1.1289034700941094</v>
      </c>
      <c r="N192" s="388">
        <f t="shared" si="98"/>
        <v>1.17919124031199</v>
      </c>
      <c r="O192" s="388">
        <f t="shared" si="98"/>
        <v>1.1955747562387271</v>
      </c>
      <c r="P192" s="388">
        <f t="shared" si="98"/>
        <v>1.2126392116857458</v>
      </c>
      <c r="Q192" s="388">
        <f t="shared" si="98"/>
        <v>1.2280233716219875</v>
      </c>
      <c r="R192" s="388">
        <f t="shared" si="98"/>
        <v>1.2419412083242494</v>
      </c>
      <c r="S192" s="388">
        <f t="shared" si="98"/>
        <v>1.2571390276968486</v>
      </c>
      <c r="T192" s="388">
        <f t="shared" si="98"/>
        <v>1.2642529433129992</v>
      </c>
      <c r="U192" s="388">
        <f t="shared" si="98"/>
        <v>1.2716557242039448</v>
      </c>
      <c r="V192" s="388">
        <f t="shared" si="98"/>
        <v>1.2786908528828282</v>
      </c>
      <c r="W192" s="388">
        <f t="shared" si="98"/>
        <v>1.2853421636978115</v>
      </c>
      <c r="X192" s="388">
        <f t="shared" si="98"/>
        <v>1.3284465237947767</v>
      </c>
      <c r="Y192" s="388">
        <f t="shared" si="98"/>
        <v>1.3343917735449737</v>
      </c>
      <c r="Z192" s="388">
        <f t="shared" si="98"/>
        <v>1.3396579770549006</v>
      </c>
      <c r="AA192" s="388">
        <f t="shared" si="98"/>
        <v>1.3445042126098314</v>
      </c>
      <c r="AB192" s="388">
        <f t="shared" si="98"/>
        <v>1.3487760865188743</v>
      </c>
      <c r="AC192" s="388">
        <f t="shared" si="98"/>
        <v>1.3459360835767</v>
      </c>
      <c r="AD192" s="388">
        <f t="shared" si="98"/>
        <v>1.341933515557387</v>
      </c>
      <c r="AE192" s="388">
        <f t="shared" si="98"/>
        <v>1.3377594890322719</v>
      </c>
      <c r="AF192" s="388">
        <f t="shared" si="98"/>
        <v>1.3334824461827841</v>
      </c>
      <c r="AG192" s="388">
        <f t="shared" si="98"/>
        <v>1.3290932292900801</v>
      </c>
    </row>
    <row r="193" spans="1:33">
      <c r="A193" s="300" t="str">
        <f>A169</f>
        <v>H2-ICE</v>
      </c>
      <c r="C193" s="388">
        <f t="shared" ref="C193:AG193" si="99">C169/C168</f>
        <v>1.6237667268704967</v>
      </c>
      <c r="D193" s="388">
        <f t="shared" si="99"/>
        <v>1.6113405852897047</v>
      </c>
      <c r="E193" s="388">
        <f t="shared" si="99"/>
        <v>1.6029243362598395</v>
      </c>
      <c r="F193" s="388">
        <f t="shared" si="99"/>
        <v>1.6098690018922928</v>
      </c>
      <c r="G193" s="388">
        <f t="shared" si="99"/>
        <v>1.6207577643458391</v>
      </c>
      <c r="H193" s="388">
        <f t="shared" si="99"/>
        <v>1.6271714816434359</v>
      </c>
      <c r="I193" s="388">
        <f t="shared" si="99"/>
        <v>1.6357404085623357</v>
      </c>
      <c r="J193" s="388">
        <f t="shared" si="99"/>
        <v>1.609710437340176</v>
      </c>
      <c r="K193" s="388">
        <f t="shared" si="99"/>
        <v>1.5914146304432446</v>
      </c>
      <c r="L193" s="388">
        <f t="shared" si="99"/>
        <v>1.5710097056220693</v>
      </c>
      <c r="M193" s="388">
        <f t="shared" si="99"/>
        <v>1.5485550101624286</v>
      </c>
      <c r="N193" s="388">
        <f t="shared" si="99"/>
        <v>1.5359488718370478</v>
      </c>
      <c r="O193" s="388">
        <f t="shared" si="99"/>
        <v>1.5074640456220141</v>
      </c>
      <c r="P193" s="388">
        <f t="shared" si="99"/>
        <v>1.4814259267974259</v>
      </c>
      <c r="Q193" s="388">
        <f t="shared" si="99"/>
        <v>1.4550246951762134</v>
      </c>
      <c r="R193" s="388">
        <f t="shared" si="99"/>
        <v>1.4285982030039786</v>
      </c>
      <c r="S193" s="388">
        <f t="shared" si="99"/>
        <v>1.3762867350064139</v>
      </c>
      <c r="T193" s="388">
        <f t="shared" si="99"/>
        <v>1.3523480064391955</v>
      </c>
      <c r="U193" s="388">
        <f t="shared" si="99"/>
        <v>1.3303283169320155</v>
      </c>
      <c r="V193" s="388">
        <f t="shared" si="99"/>
        <v>1.3094797721950424</v>
      </c>
      <c r="W193" s="388">
        <f t="shared" si="99"/>
        <v>1.2897349247453553</v>
      </c>
      <c r="X193" s="388">
        <f t="shared" si="99"/>
        <v>1.2871498808362563</v>
      </c>
      <c r="Y193" s="388">
        <f t="shared" si="99"/>
        <v>1.2689161049320641</v>
      </c>
      <c r="Z193" s="388">
        <f t="shared" si="99"/>
        <v>1.2514302429180126</v>
      </c>
      <c r="AA193" s="388">
        <f t="shared" si="99"/>
        <v>1.2348537924154972</v>
      </c>
      <c r="AB193" s="388">
        <f t="shared" si="99"/>
        <v>1.2189582189163339</v>
      </c>
      <c r="AC193" s="388">
        <f t="shared" si="99"/>
        <v>1.195080482727694</v>
      </c>
      <c r="AD193" s="388">
        <f t="shared" si="99"/>
        <v>1.1862652152152262</v>
      </c>
      <c r="AE193" s="388">
        <f t="shared" si="99"/>
        <v>1.1779566024657988</v>
      </c>
      <c r="AF193" s="388">
        <f t="shared" si="99"/>
        <v>1.1702121540461818</v>
      </c>
      <c r="AG193" s="388">
        <f t="shared" si="99"/>
        <v>1.1629706500946615</v>
      </c>
    </row>
    <row r="194" spans="1:33">
      <c r="A194" s="300" t="str">
        <f>A170</f>
        <v>FCET</v>
      </c>
      <c r="C194" s="388">
        <f t="shared" ref="C194:AG194" si="100">C170/C168</f>
        <v>1.7734977511421592</v>
      </c>
      <c r="D194" s="388">
        <f t="shared" si="100"/>
        <v>1.7479316025045595</v>
      </c>
      <c r="E194" s="388">
        <f t="shared" si="100"/>
        <v>1.7268037092330326</v>
      </c>
      <c r="F194" s="388">
        <f t="shared" si="100"/>
        <v>1.7223111251358614</v>
      </c>
      <c r="G194" s="388">
        <f t="shared" si="100"/>
        <v>1.721867875298098</v>
      </c>
      <c r="H194" s="388">
        <f t="shared" si="100"/>
        <v>1.7072126630205597</v>
      </c>
      <c r="I194" s="388">
        <f t="shared" si="100"/>
        <v>1.7240797148029716</v>
      </c>
      <c r="J194" s="388">
        <f t="shared" si="100"/>
        <v>1.6958025958871883</v>
      </c>
      <c r="K194" s="388">
        <f t="shared" si="100"/>
        <v>1.6753884092948759</v>
      </c>
      <c r="L194" s="388">
        <f t="shared" si="100"/>
        <v>1.6528713912164592</v>
      </c>
      <c r="M194" s="388">
        <f t="shared" si="100"/>
        <v>1.6279897352424362</v>
      </c>
      <c r="N194" s="388">
        <f t="shared" si="100"/>
        <v>1.5993977028165312</v>
      </c>
      <c r="O194" s="388">
        <f t="shared" si="100"/>
        <v>1.5686928710850319</v>
      </c>
      <c r="P194" s="388">
        <f t="shared" si="100"/>
        <v>1.5400852272957772</v>
      </c>
      <c r="Q194" s="388">
        <f t="shared" si="100"/>
        <v>1.5111939842827244</v>
      </c>
      <c r="R194" s="388">
        <f t="shared" si="100"/>
        <v>1.4818727677322627</v>
      </c>
      <c r="S194" s="388">
        <f t="shared" si="100"/>
        <v>1.430716312830201</v>
      </c>
      <c r="T194" s="388">
        <f t="shared" si="100"/>
        <v>1.4063796083366278</v>
      </c>
      <c r="U194" s="388">
        <f t="shared" si="100"/>
        <v>1.3839912204266061</v>
      </c>
      <c r="V194" s="388">
        <f t="shared" si="100"/>
        <v>1.3625642858280815</v>
      </c>
      <c r="W194" s="388">
        <f t="shared" si="100"/>
        <v>1.3420031439551652</v>
      </c>
      <c r="X194" s="388">
        <f t="shared" si="100"/>
        <v>1.3157833359089124</v>
      </c>
      <c r="Y194" s="388">
        <f t="shared" si="100"/>
        <v>1.2968568029070344</v>
      </c>
      <c r="Z194" s="388">
        <f t="shared" si="100"/>
        <v>1.2787087746113865</v>
      </c>
      <c r="AA194" s="388">
        <f t="shared" si="100"/>
        <v>1.2612747811145582</v>
      </c>
      <c r="AB194" s="388">
        <f t="shared" si="100"/>
        <v>1.2445953194926864</v>
      </c>
      <c r="AC194" s="388">
        <f t="shared" si="100"/>
        <v>1.2182761290362818</v>
      </c>
      <c r="AD194" s="388">
        <f t="shared" si="100"/>
        <v>1.208596656543814</v>
      </c>
      <c r="AE194" s="388">
        <f t="shared" si="100"/>
        <v>1.199447031878248</v>
      </c>
      <c r="AF194" s="388">
        <f t="shared" si="100"/>
        <v>1.19065249864111</v>
      </c>
      <c r="AG194" s="388">
        <f t="shared" si="100"/>
        <v>1.1822329931034266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3E7F-7B8B-49FC-807C-9FAF4F314F2C}">
  <sheetPr>
    <tabColor rgb="FF0070C0"/>
  </sheetPr>
  <dimension ref="A1:AL200"/>
  <sheetViews>
    <sheetView workbookViewId="0">
      <pane xSplit="2" ySplit="4" topLeftCell="C164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6640625" style="300" customWidth="1"/>
    <col min="2" max="2" width="29" style="300" customWidth="1"/>
    <col min="3" max="3" width="15.44140625" style="340" customWidth="1"/>
    <col min="4" max="6" width="15.6640625" style="300" customWidth="1"/>
    <col min="7" max="31" width="14.44140625" style="300" customWidth="1"/>
    <col min="32" max="32" width="12.109375" style="300" bestFit="1" customWidth="1"/>
    <col min="33" max="33" width="13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</row>
    <row r="2" spans="1:21">
      <c r="A2" s="352" t="s">
        <v>868</v>
      </c>
      <c r="B2" s="352" t="str">
        <f>'No change with year'!B11</f>
        <v>Construction &amp; Mining</v>
      </c>
      <c r="F2" s="341" t="s">
        <v>249</v>
      </c>
      <c r="G2" s="341" t="s">
        <v>250</v>
      </c>
    </row>
    <row r="3" spans="1:21">
      <c r="A3" s="352" t="s">
        <v>4</v>
      </c>
      <c r="B3" s="352" t="str">
        <f>'No change with year'!C11</f>
        <v>28T Tip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year'!AR11</f>
        <v>28000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year'!C86</f>
        <v>4200000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year'!C97</f>
        <v>4450000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year'!C110</f>
        <v>4780375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year'!C122</f>
        <v>5779200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year'!C134</f>
        <v>9812500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year'!C147</f>
        <v>12511400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year'!G11</f>
        <v>250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year'!J11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year'!I11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year'!AX11</f>
        <v>14500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year'!AY11</f>
        <v>12500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year'!AZ11</f>
        <v>13600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year'!C270</f>
        <v>7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year'!K11</f>
        <v>240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year'!L11</f>
        <v>280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year'!Q11</f>
        <v>9.6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year'!O11</f>
        <v>0.5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>
      <c r="A27" s="328" t="s">
        <v>687</v>
      </c>
      <c r="B27" s="300" t="s">
        <v>277</v>
      </c>
      <c r="C27" s="425">
        <f>'No change with year'!D30</f>
        <v>7</v>
      </c>
    </row>
    <row r="28" spans="1:5" ht="15.6">
      <c r="A28" s="328" t="s">
        <v>688</v>
      </c>
      <c r="B28" s="300" t="s">
        <v>198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5" ht="15.6">
      <c r="D30" s="347" t="s">
        <v>275</v>
      </c>
      <c r="E30" s="347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6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year'!$E$11</f>
        <v>157.5</v>
      </c>
      <c r="F35" s="355">
        <f>'No change with year'!$F$11</f>
        <v>28.2</v>
      </c>
      <c r="G35" s="328"/>
      <c r="H35" s="355">
        <f>'No change with year'!$H$11</f>
        <v>28.2</v>
      </c>
    </row>
    <row r="36" spans="1:38" ht="28.8">
      <c r="A36" s="296" t="s">
        <v>345</v>
      </c>
      <c r="B36" s="328" t="s">
        <v>346</v>
      </c>
      <c r="C36" s="358">
        <f>'No change with year'!S11</f>
        <v>3.8</v>
      </c>
      <c r="D36" s="358">
        <f>'No change with year'!T11</f>
        <v>4</v>
      </c>
      <c r="E36" s="358">
        <f>'No change with year'!U11</f>
        <v>3.9</v>
      </c>
      <c r="F36" s="358">
        <f>'No change with year'!V11</f>
        <v>11.399999999999999</v>
      </c>
      <c r="G36" s="357">
        <f>'No change with year'!$W$11</f>
        <v>1.3</v>
      </c>
      <c r="H36" s="358">
        <f>'No change with year'!X11</f>
        <v>15.2</v>
      </c>
    </row>
    <row r="37" spans="1:38" ht="28.8">
      <c r="A37" s="296" t="s">
        <v>283</v>
      </c>
      <c r="B37" s="296" t="s">
        <v>284</v>
      </c>
      <c r="C37" s="297">
        <f>($C$21*$C$22)/C36</f>
        <v>17684.21052631579</v>
      </c>
      <c r="D37" s="297">
        <f>($C$21*$C$22)/D36</f>
        <v>16800</v>
      </c>
      <c r="E37" s="297">
        <f>($C$21*$C$22)/E36</f>
        <v>17230.76923076923</v>
      </c>
      <c r="F37" s="297">
        <f>($C$21*$C$22)/F36</f>
        <v>5894.7368421052643</v>
      </c>
      <c r="G37" s="297">
        <f>($C$21*$C$22*G36)</f>
        <v>87360</v>
      </c>
      <c r="H37" s="297">
        <f>($C$21*$C$22)/H36</f>
        <v>4421.0526315789475</v>
      </c>
    </row>
    <row r="38" spans="1:38">
      <c r="L38" s="300" t="s">
        <v>285</v>
      </c>
      <c r="M38" s="300" t="s">
        <v>281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>G40+1</f>
        <v>2030</v>
      </c>
      <c r="I40" s="360">
        <f>H40+1</f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7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7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7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/>
      <c r="AI51" s="362"/>
      <c r="AJ51" s="368"/>
      <c r="AK51" s="368"/>
    </row>
    <row r="52" spans="1:37">
      <c r="A52" s="328" t="s">
        <v>74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/>
      <c r="AI52" s="339"/>
      <c r="AJ52" s="339"/>
      <c r="AK52" s="339"/>
    </row>
    <row r="53" spans="1:37">
      <c r="A53" s="328" t="s">
        <v>75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/>
      <c r="AI53" s="339"/>
      <c r="AJ53" s="368"/>
      <c r="AK53" s="369"/>
    </row>
    <row r="54" spans="1:37" s="371" customFormat="1" ht="9.75" customHeight="1">
      <c r="A54" s="370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3"/>
    </row>
    <row r="55" spans="1:37">
      <c r="A55" s="328" t="s">
        <v>299</v>
      </c>
      <c r="B55" s="328" t="s">
        <v>300</v>
      </c>
      <c r="C55" s="338">
        <f>'Changing with year'!C159</f>
        <v>8.6</v>
      </c>
      <c r="D55" s="338">
        <f>'Changing with year'!D159</f>
        <v>8.9439999999999991</v>
      </c>
      <c r="E55" s="338">
        <f>'Changing with year'!E159</f>
        <v>9.3017599999999998</v>
      </c>
      <c r="F55" s="338">
        <f>'Changing with year'!F159</f>
        <v>9.6738303999999999</v>
      </c>
      <c r="G55" s="338">
        <f>'Changing with year'!G159</f>
        <v>10.060783616</v>
      </c>
      <c r="H55" s="338">
        <f>'Changing with year'!H159</f>
        <v>10.46321496064</v>
      </c>
      <c r="I55" s="338">
        <f>'Changing with year'!I159</f>
        <v>10.881743559065601</v>
      </c>
      <c r="J55" s="338">
        <f>'Changing with year'!J159</f>
        <v>11.317013301428226</v>
      </c>
      <c r="K55" s="338">
        <f>'Changing with year'!K159</f>
        <v>11.769693833485356</v>
      </c>
      <c r="L55" s="338">
        <f>'Changing with year'!L159</f>
        <v>12.240481586824771</v>
      </c>
      <c r="M55" s="338">
        <f>'Changing with year'!M159</f>
        <v>12.730100850297763</v>
      </c>
      <c r="N55" s="338">
        <f>'Changing with year'!N159</f>
        <v>13.239304884309673</v>
      </c>
      <c r="O55" s="338">
        <f>'Changing with year'!O159</f>
        <v>13.76887707968206</v>
      </c>
      <c r="P55" s="338">
        <f>'Changing with year'!P159</f>
        <v>14.319632162869343</v>
      </c>
      <c r="Q55" s="338">
        <f>'Changing with year'!Q159</f>
        <v>14.892417449384117</v>
      </c>
      <c r="R55" s="338">
        <f>'Changing with year'!R159</f>
        <v>15.488114147359482</v>
      </c>
      <c r="S55" s="338">
        <f>'Changing with year'!S159</f>
        <v>16.107638713253863</v>
      </c>
      <c r="T55" s="338">
        <f>'Changing with year'!T159</f>
        <v>16.751944261784018</v>
      </c>
      <c r="U55" s="338">
        <f>'Changing with year'!U159</f>
        <v>17.422022032255381</v>
      </c>
      <c r="V55" s="338">
        <f>'Changing with year'!V159</f>
        <v>18.118902913545597</v>
      </c>
      <c r="W55" s="338">
        <f>'Changing with year'!W159</f>
        <v>18.843659030087423</v>
      </c>
      <c r="X55" s="338">
        <f>'Changing with year'!X159</f>
        <v>19.59740539129092</v>
      </c>
      <c r="Y55" s="338">
        <f>'Changing with year'!Y159</f>
        <v>20.381301606942557</v>
      </c>
      <c r="Z55" s="338">
        <f>'Changing with year'!Z159</f>
        <v>21.196553671220261</v>
      </c>
      <c r="AA55" s="338">
        <f>'Changing with year'!AA159</f>
        <v>22.044415818069073</v>
      </c>
      <c r="AB55" s="338">
        <f>'Changing with year'!AB159</f>
        <v>22.926192450791838</v>
      </c>
      <c r="AC55" s="338">
        <f>'Changing with year'!AC159</f>
        <v>23.843240148823512</v>
      </c>
      <c r="AD55" s="338">
        <f>'Changing with year'!AD159</f>
        <v>24.796969754776452</v>
      </c>
      <c r="AE55" s="338">
        <f>'Changing with year'!AE159</f>
        <v>25.788848544967511</v>
      </c>
      <c r="AF55" s="338">
        <f>'Changing with year'!AF159</f>
        <v>26.820402486766213</v>
      </c>
      <c r="AG55" s="338">
        <f>'Changing with year'!AG159</f>
        <v>27.893218586236863</v>
      </c>
      <c r="AH55" s="339"/>
    </row>
    <row r="56" spans="1:37">
      <c r="A56" s="328" t="s">
        <v>301</v>
      </c>
      <c r="B56" s="328" t="s">
        <v>300</v>
      </c>
      <c r="C56" s="338">
        <f>'Changing with year'!C191</f>
        <v>9.1</v>
      </c>
      <c r="D56" s="338">
        <f>'Changing with year'!D191</f>
        <v>9.4640000000000004</v>
      </c>
      <c r="E56" s="338">
        <f>'Changing with year'!E191</f>
        <v>9.8425600000000006</v>
      </c>
      <c r="F56" s="338">
        <f>'Changing with year'!F191</f>
        <v>10.236262400000001</v>
      </c>
      <c r="G56" s="338">
        <f>'Changing with year'!G191</f>
        <v>10.645712896000001</v>
      </c>
      <c r="H56" s="338">
        <f>'Changing with year'!H191</f>
        <v>11.071541411840002</v>
      </c>
      <c r="I56" s="338">
        <f>'Changing with year'!I191</f>
        <v>11.514403068313602</v>
      </c>
      <c r="J56" s="338">
        <f>'Changing with year'!J191</f>
        <v>11.974979191046145</v>
      </c>
      <c r="K56" s="338">
        <f>'Changing with year'!K191</f>
        <v>12.453978358687992</v>
      </c>
      <c r="L56" s="338">
        <f>'Changing with year'!L191</f>
        <v>12.952137493035513</v>
      </c>
      <c r="M56" s="338">
        <f>'Changing with year'!M191</f>
        <v>13.470222992756934</v>
      </c>
      <c r="N56" s="338">
        <f>'Changing with year'!N191</f>
        <v>14.009031912467211</v>
      </c>
      <c r="O56" s="338">
        <f>'Changing with year'!O191</f>
        <v>14.569393188965901</v>
      </c>
      <c r="P56" s="338">
        <f>'Changing with year'!P191</f>
        <v>15.152168916524538</v>
      </c>
      <c r="Q56" s="338">
        <f>'Changing with year'!Q191</f>
        <v>15.75825567318552</v>
      </c>
      <c r="R56" s="338">
        <f>'Changing with year'!R191</f>
        <v>16.38858590011294</v>
      </c>
      <c r="S56" s="338">
        <f>'Changing with year'!S191</f>
        <v>17.044129336117457</v>
      </c>
      <c r="T56" s="338">
        <f>'Changing with year'!T191</f>
        <v>17.725894509562156</v>
      </c>
      <c r="U56" s="338">
        <f>'Changing with year'!U191</f>
        <v>18.434930289944642</v>
      </c>
      <c r="V56" s="338">
        <f>'Changing with year'!V191</f>
        <v>19.17232750154243</v>
      </c>
      <c r="W56" s="338">
        <f>'Changing with year'!W191</f>
        <v>19.939220601604127</v>
      </c>
      <c r="X56" s="338">
        <f>'Changing with year'!X191</f>
        <v>20.736789425668292</v>
      </c>
      <c r="Y56" s="338">
        <f>'Changing with year'!Y191</f>
        <v>21.566261002695025</v>
      </c>
      <c r="Z56" s="338">
        <f>'Changing with year'!Z191</f>
        <v>22.428911442802828</v>
      </c>
      <c r="AA56" s="338">
        <f>'Changing with year'!AA191</f>
        <v>23.326067900514943</v>
      </c>
      <c r="AB56" s="338">
        <f>'Changing with year'!AB191</f>
        <v>24.259110616535541</v>
      </c>
      <c r="AC56" s="338">
        <f>'Changing with year'!AC191</f>
        <v>25.229475041196963</v>
      </c>
      <c r="AD56" s="338">
        <f>'Changing with year'!AD191</f>
        <v>26.238654042844843</v>
      </c>
      <c r="AE56" s="338">
        <f>'Changing with year'!AE191</f>
        <v>27.288200204558638</v>
      </c>
      <c r="AF56" s="338">
        <f>'Changing with year'!AF191</f>
        <v>28.379728212740986</v>
      </c>
      <c r="AG56" s="338">
        <f>'Changing with year'!AG191</f>
        <v>29.514917341250626</v>
      </c>
      <c r="AH56" s="339"/>
    </row>
    <row r="57" spans="1:37" ht="28.8">
      <c r="A57" s="337" t="s">
        <v>302</v>
      </c>
      <c r="B57" s="328" t="s">
        <v>300</v>
      </c>
      <c r="C57" s="338">
        <f>'Changing with year'!C223</f>
        <v>10.168491308379567</v>
      </c>
      <c r="D57" s="338">
        <f>'Changing with year'!D223</f>
        <v>10.286079025670077</v>
      </c>
      <c r="E57" s="338">
        <f>'Changing with year'!E223</f>
        <v>10.415599050028327</v>
      </c>
      <c r="F57" s="338">
        <f>'Changing with year'!F223</f>
        <v>10.557347953777619</v>
      </c>
      <c r="G57" s="338">
        <f>'Changing with year'!G223</f>
        <v>10.711638690133178</v>
      </c>
      <c r="H57" s="338">
        <f>'Changing with year'!H223</f>
        <v>10.878801135487848</v>
      </c>
      <c r="I57" s="338">
        <f>'Changing with year'!I223</f>
        <v>11.078780388881771</v>
      </c>
      <c r="J57" s="338">
        <f>'Changing with year'!J223</f>
        <v>11.291462268251964</v>
      </c>
      <c r="K57" s="338">
        <f>'Changing with year'!K223</f>
        <v>11.517260809520666</v>
      </c>
      <c r="L57" s="338">
        <f>'Changing with year'!L223</f>
        <v>11.756608491429343</v>
      </c>
      <c r="M57" s="338">
        <f>'Changing with year'!M223</f>
        <v>12.009956935623812</v>
      </c>
      <c r="N57" s="338">
        <f>'Changing with year'!N223</f>
        <v>12.277777635495312</v>
      </c>
      <c r="O57" s="338">
        <f>'Changing with year'!O223</f>
        <v>12.560562714912741</v>
      </c>
      <c r="P57" s="338">
        <f>'Changing with year'!P223</f>
        <v>12.858825718026914</v>
      </c>
      <c r="Q57" s="338">
        <f>'Changing with year'!Q223</f>
        <v>13.173102431375298</v>
      </c>
      <c r="R57" s="338">
        <f>'Changing with year'!R223</f>
        <v>13.503951739565075</v>
      </c>
      <c r="S57" s="338">
        <f>'Changing with year'!S223</f>
        <v>13.883982064744405</v>
      </c>
      <c r="T57" s="338">
        <f>'Changing with year'!T223</f>
        <v>14.28081488037494</v>
      </c>
      <c r="U57" s="338">
        <f>'Changing with year'!U223</f>
        <v>14.695106273300286</v>
      </c>
      <c r="V57" s="338">
        <f>'Changing with year'!V223</f>
        <v>15.127538733965546</v>
      </c>
      <c r="W57" s="338">
        <f>'Changing with year'!W223</f>
        <v>15.578822210960082</v>
      </c>
      <c r="X57" s="338">
        <f>'Changing with year'!X223</f>
        <v>16.049695207758042</v>
      </c>
      <c r="Y57" s="338">
        <f>'Changing with year'!Y223</f>
        <v>16.540925923344322</v>
      </c>
      <c r="Z57" s="338">
        <f>'Changing with year'!Z223</f>
        <v>17.053313438481293</v>
      </c>
      <c r="AA57" s="338">
        <f>'Changing with year'!AA223</f>
        <v>17.587688949441713</v>
      </c>
      <c r="AB57" s="338">
        <f>'Changing with year'!AB223</f>
        <v>18.14491705110634</v>
      </c>
      <c r="AC57" s="338">
        <f>'Changing with year'!AC223</f>
        <v>18.783823736100643</v>
      </c>
      <c r="AD57" s="338">
        <f>'Changing with year'!AD223</f>
        <v>19.44741778852422</v>
      </c>
      <c r="AE57" s="338">
        <f>'Changing with year'!AE223</f>
        <v>20.13667801407454</v>
      </c>
      <c r="AF57" s="338">
        <f>'Changing with year'!AF223</f>
        <v>20.852622283786964</v>
      </c>
      <c r="AG57" s="338">
        <f>'Changing with year'!AG223</f>
        <v>21.596309095779375</v>
      </c>
      <c r="AH57" s="339"/>
      <c r="AI57" s="339"/>
    </row>
    <row r="58" spans="1:37">
      <c r="A58" s="328" t="s">
        <v>303</v>
      </c>
      <c r="B58" s="374" t="s">
        <v>300</v>
      </c>
      <c r="C58" s="338">
        <f>'Changing with year'!C255</f>
        <v>11.1212</v>
      </c>
      <c r="D58" s="338">
        <f>'Changing with year'!D255</f>
        <v>11.214969999999997</v>
      </c>
      <c r="E58" s="338">
        <f>'Changing with year'!E255</f>
        <v>11.321267750000001</v>
      </c>
      <c r="F58" s="338">
        <f>'Changing with year'!F255</f>
        <v>11.440374936249999</v>
      </c>
      <c r="G58" s="338">
        <f>'Changing with year'!G255</f>
        <v>11.572589998043748</v>
      </c>
      <c r="H58" s="338">
        <f>'Changing with year'!H255</f>
        <v>11.718228660700657</v>
      </c>
      <c r="I58" s="338">
        <f>'Changing with year'!I255</f>
        <v>11.901419363590321</v>
      </c>
      <c r="J58" s="338">
        <f>'Changing with year'!J255</f>
        <v>12.097648463466344</v>
      </c>
      <c r="K58" s="338">
        <f>'Changing with year'!K255</f>
        <v>12.307323280830756</v>
      </c>
      <c r="L58" s="338">
        <f>'Changing with year'!L255</f>
        <v>12.530869713313235</v>
      </c>
      <c r="M58" s="338">
        <f>'Changing with year'!M255</f>
        <v>12.768732933070023</v>
      </c>
      <c r="N58" s="338">
        <f>'Changing with year'!N255</f>
        <v>13.021378112992597</v>
      </c>
      <c r="O58" s="338">
        <f>'Changing with year'!O255</f>
        <v>13.289291182860083</v>
      </c>
      <c r="P58" s="338">
        <f>'Changing with year'!P255</f>
        <v>13.57297961661531</v>
      </c>
      <c r="Q58" s="338">
        <f>'Changing with year'!Q255</f>
        <v>13.872973251991926</v>
      </c>
      <c r="R58" s="338">
        <f>'Changing with year'!R255</f>
        <v>14.189825143769369</v>
      </c>
      <c r="S58" s="338">
        <f>'Changing with year'!S255</f>
        <v>14.562996734906655</v>
      </c>
      <c r="T58" s="338">
        <f>'Changing with year'!T255</f>
        <v>14.953039403835568</v>
      </c>
      <c r="U58" s="338">
        <f>'Changing with year'!U255</f>
        <v>15.360608551526308</v>
      </c>
      <c r="V58" s="338">
        <f>'Changing with year'!V255</f>
        <v>15.786385989409306</v>
      </c>
      <c r="W58" s="338">
        <f>'Changing with year'!W255</f>
        <v>16.231080993849403</v>
      </c>
      <c r="X58" s="338">
        <f>'Changing with year'!X255</f>
        <v>16.695431402818471</v>
      </c>
      <c r="Y58" s="338">
        <f>'Changing with year'!Y255</f>
        <v>17.180204756454145</v>
      </c>
      <c r="Z58" s="338">
        <f>'Changing with year'!Z255</f>
        <v>17.686199483260022</v>
      </c>
      <c r="AA58" s="338">
        <f>'Changing with year'!AA255</f>
        <v>18.214246133772651</v>
      </c>
      <c r="AB58" s="338">
        <f>'Changing with year'!AB255</f>
        <v>18.76520866359397</v>
      </c>
      <c r="AC58" s="338">
        <f>'Changing with year'!AC255</f>
        <v>19.410318264713151</v>
      </c>
      <c r="AD58" s="338">
        <f>'Changing with year'!AD255</f>
        <v>20.080177262422858</v>
      </c>
      <c r="AE58" s="338">
        <f>'Changing with year'!AE255</f>
        <v>20.775765082712159</v>
      </c>
      <c r="AF58" s="338">
        <f>'Changing with year'!AF255</f>
        <v>21.49810022311096</v>
      </c>
      <c r="AG58" s="338">
        <f>'Changing with year'!AG255</f>
        <v>22.248241814496616</v>
      </c>
      <c r="AH58" s="339"/>
    </row>
    <row r="59" spans="1:37">
      <c r="A59" s="328" t="s">
        <v>304</v>
      </c>
      <c r="B59" s="374" t="s">
        <v>305</v>
      </c>
      <c r="C59" s="361">
        <f>'Changing with year'!C270*$C$19*$C$20</f>
        <v>666400</v>
      </c>
      <c r="D59" s="361">
        <f>'Changing with year'!D270*$C$19*$C$20</f>
        <v>673064</v>
      </c>
      <c r="E59" s="361">
        <f>'Changing with year'!E270*$C$19*$C$20</f>
        <v>679794.64</v>
      </c>
      <c r="F59" s="361">
        <f>'Changing with year'!F270*$C$19*$C$20</f>
        <v>686592.58640000003</v>
      </c>
      <c r="G59" s="361">
        <f>'Changing with year'!G270*$C$19*$C$20</f>
        <v>693458.51226400002</v>
      </c>
      <c r="H59" s="361">
        <f>'Changing with year'!H270*$C$19*$C$20</f>
        <v>700393.09738663991</v>
      </c>
      <c r="I59" s="361">
        <f>'Changing with year'!I270*$C$19*$C$20</f>
        <v>707397.0283605064</v>
      </c>
      <c r="J59" s="361">
        <f>'Changing with year'!J270*$C$19*$C$20</f>
        <v>714470.99864411145</v>
      </c>
      <c r="K59" s="361">
        <f>'Changing with year'!K270*$C$19*$C$20</f>
        <v>721615.70863055263</v>
      </c>
      <c r="L59" s="361">
        <f>'Changing with year'!L270*$C$19*$C$20</f>
        <v>728831.86571685818</v>
      </c>
      <c r="M59" s="361">
        <f>'Changing with year'!M270*$C$19*$C$20</f>
        <v>736120.18437402672</v>
      </c>
      <c r="N59" s="361">
        <f>'Changing with year'!N270*$C$19*$C$20</f>
        <v>743481.38621776691</v>
      </c>
      <c r="O59" s="361">
        <f>'Changing with year'!O270*$C$19*$C$20</f>
        <v>750916.20007994468</v>
      </c>
      <c r="P59" s="361">
        <f>'Changing with year'!P270*$C$19*$C$20</f>
        <v>758425.36208074412</v>
      </c>
      <c r="Q59" s="361">
        <f>'Changing with year'!Q270*$C$19*$C$20</f>
        <v>766009.61570155167</v>
      </c>
      <c r="R59" s="361">
        <f>'Changing with year'!R270*$C$19*$C$20</f>
        <v>773669.71185856708</v>
      </c>
      <c r="S59" s="361">
        <f>'Changing with year'!S270*$C$19*$C$20</f>
        <v>781406.40897715278</v>
      </c>
      <c r="T59" s="361">
        <f>'Changing with year'!T270*$C$19*$C$20</f>
        <v>789220.47306692437</v>
      </c>
      <c r="U59" s="361">
        <f>'Changing with year'!U270*$C$19*$C$20</f>
        <v>797112.67779759364</v>
      </c>
      <c r="V59" s="361">
        <f>'Changing with year'!V270*$C$19*$C$20</f>
        <v>805083.80457556946</v>
      </c>
      <c r="W59" s="361">
        <f>'Changing with year'!W270*$C$19*$C$20</f>
        <v>813134.64262132521</v>
      </c>
      <c r="X59" s="361">
        <f>'Changing with year'!X270*$C$19*$C$20</f>
        <v>821265.98904753849</v>
      </c>
      <c r="Y59" s="361">
        <f>'Changing with year'!Y270*$C$19*$C$20</f>
        <v>829478.64893801382</v>
      </c>
      <c r="Z59" s="361">
        <f>'Changing with year'!Z270*$C$19*$C$20</f>
        <v>837773.43542739411</v>
      </c>
      <c r="AA59" s="361">
        <f>'Changing with year'!AA270*$C$19*$C$20</f>
        <v>846151.16978166811</v>
      </c>
      <c r="AB59" s="361">
        <f>'Changing with year'!AB270*$C$19*$C$20</f>
        <v>854612.68147948477</v>
      </c>
      <c r="AC59" s="361">
        <f>'Changing with year'!AC270*$C$19*$C$20</f>
        <v>863158.80829427973</v>
      </c>
      <c r="AD59" s="361">
        <f>'Changing with year'!AD270*$C$19*$C$20</f>
        <v>871790.39637722238</v>
      </c>
      <c r="AE59" s="361">
        <f>'Changing with year'!AE270*$C$19*$C$20</f>
        <v>880508.30034099461</v>
      </c>
      <c r="AF59" s="361">
        <f>'Changing with year'!AF270*$C$19*$C$20</f>
        <v>889313.38334440463</v>
      </c>
      <c r="AG59" s="361">
        <f>'Changing with year'!AG270*$C$19*$C$20</f>
        <v>898206.51717784861</v>
      </c>
      <c r="AH59" s="339"/>
      <c r="AI59" s="376"/>
      <c r="AJ59" s="376"/>
    </row>
    <row r="60" spans="1:37">
      <c r="A60" s="328" t="s">
        <v>306</v>
      </c>
      <c r="B60" s="374"/>
      <c r="C60" s="361">
        <f>'Changing with year'!C281*$C$19*$C$20</f>
        <v>666400</v>
      </c>
      <c r="D60" s="361">
        <f>'Changing with year'!D281*$C$19*$C$20</f>
        <v>673064</v>
      </c>
      <c r="E60" s="361">
        <f>'Changing with year'!E281*$C$19*$C$20</f>
        <v>679794.64</v>
      </c>
      <c r="F60" s="361">
        <f>'Changing with year'!F281*$C$19*$C$20</f>
        <v>686592.58640000003</v>
      </c>
      <c r="G60" s="361">
        <f>'Changing with year'!G281*$C$19*$C$20</f>
        <v>693458.51226400002</v>
      </c>
      <c r="H60" s="361">
        <f>'Changing with year'!H281*$C$19*$C$20</f>
        <v>700393.09738663991</v>
      </c>
      <c r="I60" s="361">
        <f>'Changing with year'!I281*$C$19*$C$20</f>
        <v>707397.0283605064</v>
      </c>
      <c r="J60" s="361">
        <f>'Changing with year'!J281*$C$19*$C$20</f>
        <v>714470.99864411145</v>
      </c>
      <c r="K60" s="361">
        <f>'Changing with year'!K281*$C$19*$C$20</f>
        <v>721615.70863055263</v>
      </c>
      <c r="L60" s="361">
        <f>'Changing with year'!L281*$C$19*$C$20</f>
        <v>728831.86571685818</v>
      </c>
      <c r="M60" s="361">
        <f>'Changing with year'!M281*$C$19*$C$20</f>
        <v>736120.18437402672</v>
      </c>
      <c r="N60" s="361">
        <f>'Changing with year'!N281*$C$19*$C$20</f>
        <v>743481.38621776691</v>
      </c>
      <c r="O60" s="361">
        <f>'Changing with year'!O281*$C$19*$C$20</f>
        <v>750916.20007994468</v>
      </c>
      <c r="P60" s="361">
        <f>'Changing with year'!P281*$C$19*$C$20</f>
        <v>758425.36208074412</v>
      </c>
      <c r="Q60" s="361">
        <f>'Changing with year'!Q281*$C$19*$C$20</f>
        <v>766009.61570155167</v>
      </c>
      <c r="R60" s="361">
        <f>'Changing with year'!R281*$C$19*$C$20</f>
        <v>773669.71185856708</v>
      </c>
      <c r="S60" s="361">
        <f>'Changing with year'!S281*$C$19*$C$20</f>
        <v>781406.40897715278</v>
      </c>
      <c r="T60" s="361">
        <f>'Changing with year'!T281*$C$19*$C$20</f>
        <v>789220.47306692437</v>
      </c>
      <c r="U60" s="361">
        <f>'Changing with year'!U281*$C$19*$C$20</f>
        <v>797112.67779759364</v>
      </c>
      <c r="V60" s="361">
        <f>'Changing with year'!V281*$C$19*$C$20</f>
        <v>805083.80457556946</v>
      </c>
      <c r="W60" s="361">
        <f>'Changing with year'!W281*$C$19*$C$20</f>
        <v>813134.64262132521</v>
      </c>
      <c r="X60" s="361">
        <f>'Changing with year'!X281*$C$19*$C$20</f>
        <v>821265.98904753849</v>
      </c>
      <c r="Y60" s="361">
        <f>'Changing with year'!Y281*$C$19*$C$20</f>
        <v>829478.64893801382</v>
      </c>
      <c r="Z60" s="361">
        <f>'Changing with year'!Z281*$C$19*$C$20</f>
        <v>837773.43542739411</v>
      </c>
      <c r="AA60" s="361">
        <f>'Changing with year'!AA281*$C$19*$C$20</f>
        <v>846151.16978166811</v>
      </c>
      <c r="AB60" s="361">
        <f>'Changing with year'!AB281*$C$19*$C$20</f>
        <v>854612.68147948477</v>
      </c>
      <c r="AC60" s="361">
        <f>'Changing with year'!AC281*$C$19*$C$20</f>
        <v>863158.80829427973</v>
      </c>
      <c r="AD60" s="361">
        <f>'Changing with year'!AD281*$C$19*$C$20</f>
        <v>871790.39637722238</v>
      </c>
      <c r="AE60" s="361">
        <f>'Changing with year'!AE281*$C$19*$C$20</f>
        <v>880508.30034099461</v>
      </c>
      <c r="AF60" s="361">
        <f>'Changing with year'!AF281*$C$19*$C$20</f>
        <v>889313.38334440463</v>
      </c>
      <c r="AG60" s="361">
        <f>'Changing with year'!AG281*$C$19*$C$20</f>
        <v>898206.51717784861</v>
      </c>
      <c r="AH60" s="339"/>
      <c r="AI60" s="376"/>
      <c r="AJ60" s="376"/>
    </row>
    <row r="61" spans="1:37" s="344" customFormat="1">
      <c r="A61" s="342"/>
      <c r="B61" s="342"/>
    </row>
    <row r="62" spans="1:37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>G62+1</f>
        <v>2030</v>
      </c>
      <c r="I62" s="360">
        <f>H62+1</f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7">
      <c r="A63" s="368" t="s">
        <v>308</v>
      </c>
      <c r="B63" s="300" t="s">
        <v>309</v>
      </c>
      <c r="C63" s="376">
        <f>'Changing with year'!C86</f>
        <v>4200000</v>
      </c>
      <c r="D63" s="376">
        <f>'Changing with year'!D86</f>
        <v>4326000</v>
      </c>
      <c r="E63" s="376">
        <f>'Changing with year'!E86</f>
        <v>4455800</v>
      </c>
      <c r="F63" s="376">
        <f>'Changing with year'!F86</f>
        <v>4589500</v>
      </c>
      <c r="G63" s="376">
        <f>'Changing with year'!G86</f>
        <v>4727200</v>
      </c>
      <c r="H63" s="376">
        <f>'Changing with year'!H86</f>
        <v>5269000</v>
      </c>
      <c r="I63" s="376">
        <f>'Changing with year'!I86</f>
        <v>5427100</v>
      </c>
      <c r="J63" s="376">
        <f>'Changing with year'!J86</f>
        <v>5589900</v>
      </c>
      <c r="K63" s="376">
        <f>'Changing with year'!K86</f>
        <v>5757600</v>
      </c>
      <c r="L63" s="376">
        <f>'Changing with year'!L86</f>
        <v>5930300</v>
      </c>
      <c r="M63" s="376">
        <f>'Changing with year'!M86</f>
        <v>6108200</v>
      </c>
      <c r="N63" s="376">
        <f>'Changing with year'!N86</f>
        <v>6291400</v>
      </c>
      <c r="O63" s="376">
        <f>'Changing with year'!O86</f>
        <v>6480100</v>
      </c>
      <c r="P63" s="376">
        <f>'Changing with year'!P86</f>
        <v>6674500</v>
      </c>
      <c r="Q63" s="376">
        <f>'Changing with year'!Q86</f>
        <v>6874700</v>
      </c>
      <c r="R63" s="376">
        <f>'Changing with year'!R86</f>
        <v>7080900</v>
      </c>
      <c r="S63" s="376">
        <f>'Changing with year'!S86</f>
        <v>7293300</v>
      </c>
      <c r="T63" s="376">
        <f>'Changing with year'!T86</f>
        <v>7512100</v>
      </c>
      <c r="U63" s="376">
        <f>'Changing with year'!U86</f>
        <v>7737500</v>
      </c>
      <c r="V63" s="376">
        <f>'Changing with year'!V86</f>
        <v>7969600</v>
      </c>
      <c r="W63" s="376">
        <f>'Changing with year'!W86</f>
        <v>8208700</v>
      </c>
      <c r="X63" s="376">
        <f>'Changing with year'!X86</f>
        <v>8455000</v>
      </c>
      <c r="Y63" s="376">
        <f>'Changing with year'!Y86</f>
        <v>8708700</v>
      </c>
      <c r="Z63" s="376">
        <f>'Changing with year'!Z86</f>
        <v>8970000</v>
      </c>
      <c r="AA63" s="376">
        <f>'Changing with year'!AA86</f>
        <v>9239100</v>
      </c>
      <c r="AB63" s="376">
        <f>'Changing with year'!AB86</f>
        <v>9516300</v>
      </c>
      <c r="AC63" s="376">
        <f>'Changing with year'!AC86</f>
        <v>9801800</v>
      </c>
      <c r="AD63" s="376">
        <f>'Changing with year'!AD86</f>
        <v>10095900</v>
      </c>
      <c r="AE63" s="376">
        <f>'Changing with year'!AE86</f>
        <v>10398800</v>
      </c>
      <c r="AF63" s="376">
        <f>'Changing with year'!AF86</f>
        <v>10710800</v>
      </c>
      <c r="AG63" s="376">
        <f>'Changing with year'!AG86</f>
        <v>11032100</v>
      </c>
    </row>
    <row r="64" spans="1:37">
      <c r="A64" s="368" t="s">
        <v>310</v>
      </c>
      <c r="B64" s="300" t="s">
        <v>309</v>
      </c>
      <c r="C64" s="376">
        <f>(C63*'No change with year'!$Y$11)</f>
        <v>1260000</v>
      </c>
      <c r="D64" s="376">
        <f>(D63*'No change with year'!$Y$11)</f>
        <v>1297800</v>
      </c>
      <c r="E64" s="376">
        <f>(E63*'No change with year'!$Y$11)</f>
        <v>1336740</v>
      </c>
      <c r="F64" s="376">
        <f>(F63*'No change with year'!$Y$11)</f>
        <v>1376850</v>
      </c>
      <c r="G64" s="376">
        <f>(G63*'No change with year'!$Y$11)</f>
        <v>1418160</v>
      </c>
      <c r="H64" s="376">
        <f>(H63*'No change with year'!$Y$11)</f>
        <v>1580700</v>
      </c>
      <c r="I64" s="376">
        <f>(I63*'No change with year'!$Y$11)</f>
        <v>1628130</v>
      </c>
      <c r="J64" s="376">
        <f>(J63*'No change with year'!$Y$11)</f>
        <v>1676970</v>
      </c>
      <c r="K64" s="376">
        <f>(K63*'No change with year'!$Y$11)</f>
        <v>1727280</v>
      </c>
      <c r="L64" s="376">
        <f>(L63*'No change with year'!$Y$11)</f>
        <v>1779090</v>
      </c>
      <c r="M64" s="376">
        <f>(M63*'No change with year'!$Y$11)</f>
        <v>1832460</v>
      </c>
      <c r="N64" s="376">
        <f>(N63*'No change with year'!$Z$11)</f>
        <v>1572850</v>
      </c>
      <c r="O64" s="376">
        <f>(O63*'No change with year'!$Z$11)</f>
        <v>1620025</v>
      </c>
      <c r="P64" s="376">
        <f>(P63*'No change with year'!$Z$11)</f>
        <v>1668625</v>
      </c>
      <c r="Q64" s="376">
        <f>(Q63*'No change with year'!$Z$11)</f>
        <v>1718675</v>
      </c>
      <c r="R64" s="376">
        <f>(R63*'No change with year'!$Z$11)</f>
        <v>1770225</v>
      </c>
      <c r="S64" s="376">
        <f>(S63*'No change with year'!$Z$11)</f>
        <v>1823325</v>
      </c>
      <c r="T64" s="376">
        <f>(T63*'No change with year'!$Z$11)</f>
        <v>1878025</v>
      </c>
      <c r="U64" s="376">
        <f>(U63*'No change with year'!$Z$11)</f>
        <v>1934375</v>
      </c>
      <c r="V64" s="376">
        <f>(V63*'No change with year'!$Z$11)</f>
        <v>1992400</v>
      </c>
      <c r="W64" s="376">
        <f>(W63*'No change with year'!$Z$11)</f>
        <v>2052175</v>
      </c>
      <c r="X64" s="376">
        <f>(X63*'No change with year'!$AA$11)</f>
        <v>1690999.9999999998</v>
      </c>
      <c r="Y64" s="376">
        <f>(Y63*'No change with year'!$AA$11)</f>
        <v>1741739.9999999998</v>
      </c>
      <c r="Z64" s="376">
        <f>(Z63*'No change with year'!$AA$11)</f>
        <v>1793999.9999999998</v>
      </c>
      <c r="AA64" s="376">
        <f>(AA63*'No change with year'!$AA$11)</f>
        <v>1847819.9999999998</v>
      </c>
      <c r="AB64" s="376">
        <f>(AB63*'No change with year'!$AA$11)</f>
        <v>1903259.9999999998</v>
      </c>
      <c r="AC64" s="376">
        <f>(AC63*'No change with year'!$AA$11)</f>
        <v>1960359.9999999998</v>
      </c>
      <c r="AD64" s="376">
        <f>(AD63*'No change with year'!$AA$11)</f>
        <v>2019179.9999999998</v>
      </c>
      <c r="AE64" s="376">
        <f>(AE63*'No change with year'!$AA$11)</f>
        <v>2079759.9999999998</v>
      </c>
      <c r="AF64" s="376">
        <f>(AF63*'No change with year'!$AA$11)</f>
        <v>2142160</v>
      </c>
      <c r="AG64" s="376">
        <f>(AG63*'No change with year'!$AA$11)</f>
        <v>2206420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920294.4907858416</v>
      </c>
      <c r="D66" s="376">
        <f t="shared" si="4"/>
        <v>947903.32550941699</v>
      </c>
      <c r="E66" s="376">
        <f t="shared" si="4"/>
        <v>976344.80762941751</v>
      </c>
      <c r="F66" s="376">
        <f t="shared" si="4"/>
        <v>1005640.8489194334</v>
      </c>
      <c r="G66" s="376">
        <f t="shared" si="4"/>
        <v>1035813.361153055</v>
      </c>
      <c r="H66" s="376">
        <f t="shared" si="4"/>
        <v>1154531.3504644285</v>
      </c>
      <c r="I66" s="376">
        <f t="shared" si="4"/>
        <v>1189173.8645104384</v>
      </c>
      <c r="J66" s="376">
        <f t="shared" si="4"/>
        <v>1224846.2319151848</v>
      </c>
      <c r="K66" s="376">
        <f t="shared" si="4"/>
        <v>1261592.2762258479</v>
      </c>
      <c r="L66" s="376">
        <f t="shared" si="4"/>
        <v>1299433.9092160184</v>
      </c>
      <c r="M66" s="376">
        <f t="shared" si="4"/>
        <v>1338414.9544328758</v>
      </c>
      <c r="N66" s="376">
        <f t="shared" si="4"/>
        <v>1378557.3236500104</v>
      </c>
      <c r="O66" s="376">
        <f t="shared" si="4"/>
        <v>1419904.840414603</v>
      </c>
      <c r="P66" s="376">
        <f t="shared" si="4"/>
        <v>1462501.3282738333</v>
      </c>
      <c r="Q66" s="376">
        <f t="shared" si="4"/>
        <v>1506368.699001292</v>
      </c>
      <c r="R66" s="376">
        <f t="shared" si="4"/>
        <v>1551550.7761441588</v>
      </c>
      <c r="S66" s="376">
        <f t="shared" si="4"/>
        <v>1598091.3832496142</v>
      </c>
      <c r="T66" s="376">
        <f t="shared" si="4"/>
        <v>1646034.3438648384</v>
      </c>
      <c r="U66" s="376">
        <f t="shared" si="4"/>
        <v>1695423.4815370119</v>
      </c>
      <c r="V66" s="376">
        <f t="shared" si="4"/>
        <v>1746280.7080397247</v>
      </c>
      <c r="W66" s="376">
        <f t="shared" si="4"/>
        <v>1798671.7586937472</v>
      </c>
      <c r="X66" s="376">
        <f t="shared" si="4"/>
        <v>1852640.4570462597</v>
      </c>
      <c r="Y66" s="376">
        <f t="shared" si="4"/>
        <v>1908230.6266444426</v>
      </c>
      <c r="Z66" s="376">
        <f t="shared" si="4"/>
        <v>1965486.0910354762</v>
      </c>
      <c r="AA66" s="376">
        <f t="shared" si="4"/>
        <v>2024450.6737665401</v>
      </c>
      <c r="AB66" s="376">
        <f t="shared" si="4"/>
        <v>2085190.1101584057</v>
      </c>
      <c r="AC66" s="376">
        <f t="shared" si="4"/>
        <v>2147748.2237582528</v>
      </c>
      <c r="AD66" s="376">
        <f t="shared" si="4"/>
        <v>2212190.7498868518</v>
      </c>
      <c r="AE66" s="376">
        <f t="shared" si="4"/>
        <v>2278561.5120913833</v>
      </c>
      <c r="AF66" s="376">
        <f t="shared" si="4"/>
        <v>2346926.2456926173</v>
      </c>
      <c r="AG66" s="376">
        <f t="shared" si="4"/>
        <v>2417328.7742377343</v>
      </c>
    </row>
    <row r="67" spans="1:35">
      <c r="A67" s="368" t="s">
        <v>314</v>
      </c>
      <c r="B67" s="368" t="s">
        <v>313</v>
      </c>
      <c r="C67" s="376">
        <f t="shared" ref="C67:AG67" si="5">C41*$C$37</f>
        <v>1572591.3417094734</v>
      </c>
      <c r="D67" s="376">
        <f t="shared" si="5"/>
        <v>1750736.8421052631</v>
      </c>
      <c r="E67" s="376">
        <f t="shared" si="5"/>
        <v>1785751.5789473685</v>
      </c>
      <c r="F67" s="376">
        <f t="shared" si="5"/>
        <v>1821466.6105263159</v>
      </c>
      <c r="G67" s="376">
        <f t="shared" si="5"/>
        <v>1857895.9427368424</v>
      </c>
      <c r="H67" s="376">
        <f t="shared" si="5"/>
        <v>1895053.8615915792</v>
      </c>
      <c r="I67" s="376">
        <f t="shared" si="5"/>
        <v>1932954.9388234108</v>
      </c>
      <c r="J67" s="376">
        <f t="shared" si="5"/>
        <v>1971614.0375998789</v>
      </c>
      <c r="K67" s="376">
        <f t="shared" si="5"/>
        <v>2011046.3183518765</v>
      </c>
      <c r="L67" s="376">
        <f t="shared" si="5"/>
        <v>2051267.2447189142</v>
      </c>
      <c r="M67" s="376">
        <f t="shared" si="5"/>
        <v>2092292.5896132926</v>
      </c>
      <c r="N67" s="376">
        <f t="shared" si="5"/>
        <v>2134138.441405558</v>
      </c>
      <c r="O67" s="376">
        <f t="shared" si="5"/>
        <v>2176821.2102336693</v>
      </c>
      <c r="P67" s="376">
        <f t="shared" si="5"/>
        <v>2220357.6344383429</v>
      </c>
      <c r="Q67" s="376">
        <f t="shared" si="5"/>
        <v>2264764.7871271097</v>
      </c>
      <c r="R67" s="376">
        <f t="shared" si="5"/>
        <v>2310060.0828696522</v>
      </c>
      <c r="S67" s="376">
        <f t="shared" si="5"/>
        <v>2356261.2845270452</v>
      </c>
      <c r="T67" s="376">
        <f t="shared" si="5"/>
        <v>2403386.5102175861</v>
      </c>
      <c r="U67" s="376">
        <f t="shared" si="5"/>
        <v>2451454.2404219382</v>
      </c>
      <c r="V67" s="376">
        <f t="shared" si="5"/>
        <v>2500483.3252303773</v>
      </c>
      <c r="W67" s="376">
        <f t="shared" si="5"/>
        <v>2550492.9917349843</v>
      </c>
      <c r="X67" s="376">
        <f t="shared" si="5"/>
        <v>2601502.8515696842</v>
      </c>
      <c r="Y67" s="376">
        <f t="shared" si="5"/>
        <v>2653532.9086010777</v>
      </c>
      <c r="Z67" s="376">
        <f t="shared" si="5"/>
        <v>2706603.5667730994</v>
      </c>
      <c r="AA67" s="376">
        <f t="shared" si="5"/>
        <v>2760735.6381085613</v>
      </c>
      <c r="AB67" s="376">
        <f t="shared" si="5"/>
        <v>2815950.3508707327</v>
      </c>
      <c r="AC67" s="376">
        <f t="shared" si="5"/>
        <v>2872269.3578881472</v>
      </c>
      <c r="AD67" s="376">
        <f t="shared" si="5"/>
        <v>2929714.7450459101</v>
      </c>
      <c r="AE67" s="376">
        <f t="shared" si="5"/>
        <v>2988309.0399468285</v>
      </c>
      <c r="AF67" s="376">
        <f t="shared" si="5"/>
        <v>3048075.2207457651</v>
      </c>
      <c r="AG67" s="376">
        <f t="shared" si="5"/>
        <v>3109036.7251606807</v>
      </c>
    </row>
    <row r="68" spans="1:35">
      <c r="A68" s="368" t="s">
        <v>315</v>
      </c>
      <c r="B68" s="368" t="s">
        <v>313</v>
      </c>
      <c r="C68" s="329">
        <f t="shared" ref="C68:AG68" si="6">$C$37*$AH$68*C42</f>
        <v>48631.578947368427</v>
      </c>
      <c r="D68" s="329">
        <f t="shared" si="6"/>
        <v>49847.368421052633</v>
      </c>
      <c r="E68" s="329">
        <f t="shared" si="6"/>
        <v>51093.552631578947</v>
      </c>
      <c r="F68" s="329">
        <f t="shared" si="6"/>
        <v>52370.891447368413</v>
      </c>
      <c r="G68" s="329">
        <f t="shared" si="6"/>
        <v>53680.163733552617</v>
      </c>
      <c r="H68" s="329">
        <f t="shared" si="6"/>
        <v>55022.167826891433</v>
      </c>
      <c r="I68" s="329">
        <f t="shared" si="6"/>
        <v>56397.722022563707</v>
      </c>
      <c r="J68" s="329">
        <f t="shared" si="6"/>
        <v>57807.665073127799</v>
      </c>
      <c r="K68" s="329">
        <f t="shared" si="6"/>
        <v>59252.856699955992</v>
      </c>
      <c r="L68" s="329">
        <f t="shared" si="6"/>
        <v>60734.178117454889</v>
      </c>
      <c r="M68" s="329">
        <f t="shared" si="6"/>
        <v>62252.532570391253</v>
      </c>
      <c r="N68" s="329">
        <f t="shared" si="6"/>
        <v>63808.845884651026</v>
      </c>
      <c r="O68" s="329">
        <f t="shared" si="6"/>
        <v>65404.067031767299</v>
      </c>
      <c r="P68" s="329">
        <f t="shared" si="6"/>
        <v>67039.168707561475</v>
      </c>
      <c r="Q68" s="329">
        <f t="shared" si="6"/>
        <v>68715.147925250509</v>
      </c>
      <c r="R68" s="329">
        <f t="shared" si="6"/>
        <v>70433.026623381767</v>
      </c>
      <c r="S68" s="329">
        <f t="shared" si="6"/>
        <v>72193.852288966315</v>
      </c>
      <c r="T68" s="329">
        <f t="shared" si="6"/>
        <v>73998.698596190472</v>
      </c>
      <c r="U68" s="329">
        <f t="shared" si="6"/>
        <v>75848.666061095224</v>
      </c>
      <c r="V68" s="329">
        <f t="shared" si="6"/>
        <v>77744.882712622595</v>
      </c>
      <c r="W68" s="329">
        <f t="shared" si="6"/>
        <v>79688.504780438147</v>
      </c>
      <c r="X68" s="329">
        <f t="shared" si="6"/>
        <v>81680.717399949106</v>
      </c>
      <c r="Y68" s="329">
        <f t="shared" si="6"/>
        <v>83722.735334947822</v>
      </c>
      <c r="Z68" s="329">
        <f t="shared" si="6"/>
        <v>85815.803718321506</v>
      </c>
      <c r="AA68" s="329">
        <f t="shared" si="6"/>
        <v>87961.198811279537</v>
      </c>
      <c r="AB68" s="329">
        <f t="shared" si="6"/>
        <v>90160.228781561527</v>
      </c>
      <c r="AC68" s="329">
        <f t="shared" si="6"/>
        <v>92414.234501100553</v>
      </c>
      <c r="AD68" s="329">
        <f t="shared" si="6"/>
        <v>94724.590363628056</v>
      </c>
      <c r="AE68" s="329">
        <f t="shared" si="6"/>
        <v>97092.705122718748</v>
      </c>
      <c r="AF68" s="329">
        <f t="shared" si="6"/>
        <v>99520.022750786709</v>
      </c>
      <c r="AG68" s="329">
        <f t="shared" si="6"/>
        <v>102008.02331955636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$C$22*$C$21*C55</f>
        <v>577920</v>
      </c>
      <c r="D69" s="376">
        <f t="shared" si="7"/>
        <v>601036.79999999993</v>
      </c>
      <c r="E69" s="376">
        <f t="shared" si="7"/>
        <v>625078.272</v>
      </c>
      <c r="F69" s="376">
        <f t="shared" si="7"/>
        <v>650081.40287999995</v>
      </c>
      <c r="G69" s="376">
        <f t="shared" si="7"/>
        <v>676084.65899520006</v>
      </c>
      <c r="H69" s="376">
        <f t="shared" si="7"/>
        <v>703128.04535500798</v>
      </c>
      <c r="I69" s="376">
        <f t="shared" si="7"/>
        <v>731253.16716920841</v>
      </c>
      <c r="J69" s="376">
        <f t="shared" si="7"/>
        <v>760503.29385597678</v>
      </c>
      <c r="K69" s="376">
        <f t="shared" si="7"/>
        <v>790923.42561021587</v>
      </c>
      <c r="L69" s="376">
        <f t="shared" si="7"/>
        <v>822560.36263462459</v>
      </c>
      <c r="M69" s="376">
        <f t="shared" si="7"/>
        <v>855462.77714000968</v>
      </c>
      <c r="N69" s="376">
        <f t="shared" si="7"/>
        <v>889681.28822561004</v>
      </c>
      <c r="O69" s="376">
        <f t="shared" si="7"/>
        <v>925268.53975463437</v>
      </c>
      <c r="P69" s="376">
        <f t="shared" si="7"/>
        <v>962279.28134481981</v>
      </c>
      <c r="Q69" s="376">
        <f t="shared" si="7"/>
        <v>1000770.4525986126</v>
      </c>
      <c r="R69" s="376">
        <f t="shared" si="7"/>
        <v>1040801.2707025572</v>
      </c>
      <c r="S69" s="376">
        <f t="shared" si="7"/>
        <v>1082433.3215306597</v>
      </c>
      <c r="T69" s="376">
        <f t="shared" si="7"/>
        <v>1125730.654391886</v>
      </c>
      <c r="U69" s="376">
        <f t="shared" si="7"/>
        <v>1170759.8805675616</v>
      </c>
      <c r="V69" s="376">
        <f t="shared" si="7"/>
        <v>1217590.2757902641</v>
      </c>
      <c r="W69" s="376">
        <f t="shared" si="7"/>
        <v>1266293.8868218749</v>
      </c>
      <c r="X69" s="376">
        <f t="shared" si="7"/>
        <v>1316945.6422947499</v>
      </c>
      <c r="Y69" s="376">
        <f t="shared" si="7"/>
        <v>1369623.4679865399</v>
      </c>
      <c r="Z69" s="376">
        <f t="shared" si="7"/>
        <v>1424408.4067060016</v>
      </c>
      <c r="AA69" s="376">
        <f t="shared" si="7"/>
        <v>1481384.7429742417</v>
      </c>
      <c r="AB69" s="376">
        <f t="shared" si="7"/>
        <v>1540640.1326932115</v>
      </c>
      <c r="AC69" s="376">
        <f t="shared" si="7"/>
        <v>1602265.7380009401</v>
      </c>
      <c r="AD69" s="376">
        <f t="shared" si="7"/>
        <v>1666356.3675209775</v>
      </c>
      <c r="AE69" s="376">
        <f t="shared" si="7"/>
        <v>1733010.6222218168</v>
      </c>
      <c r="AF69" s="376">
        <f t="shared" si="7"/>
        <v>1802331.0471106896</v>
      </c>
      <c r="AG69" s="376">
        <f t="shared" si="7"/>
        <v>1874424.2889951172</v>
      </c>
    </row>
    <row r="70" spans="1:35">
      <c r="A70" s="368" t="s">
        <v>318</v>
      </c>
      <c r="B70" s="368" t="s">
        <v>313</v>
      </c>
      <c r="C70" s="376">
        <f>'Changing with year'!C292</f>
        <v>450000</v>
      </c>
      <c r="D70" s="376">
        <f>'Changing with year'!D292</f>
        <v>470000</v>
      </c>
      <c r="E70" s="376">
        <f>'Changing with year'!E292</f>
        <v>491000</v>
      </c>
      <c r="F70" s="376">
        <f>'Changing with year'!F292</f>
        <v>513000</v>
      </c>
      <c r="G70" s="376">
        <f>'Changing with year'!G292</f>
        <v>536000</v>
      </c>
      <c r="H70" s="376">
        <f>'Changing with year'!H292</f>
        <v>560000</v>
      </c>
      <c r="I70" s="376">
        <f>'Changing with year'!I292</f>
        <v>585000</v>
      </c>
      <c r="J70" s="376">
        <f>'Changing with year'!J292</f>
        <v>611000</v>
      </c>
      <c r="K70" s="376">
        <f>'Changing with year'!K292</f>
        <v>638000</v>
      </c>
      <c r="L70" s="376">
        <f>'Changing with year'!L292</f>
        <v>667000</v>
      </c>
      <c r="M70" s="376">
        <f>'Changing with year'!M292</f>
        <v>697000</v>
      </c>
      <c r="N70" s="376">
        <f>'Changing with year'!N292</f>
        <v>728000</v>
      </c>
      <c r="O70" s="376">
        <f>'Changing with year'!O292</f>
        <v>761000</v>
      </c>
      <c r="P70" s="376">
        <f>'Changing with year'!P292</f>
        <v>795000</v>
      </c>
      <c r="Q70" s="376">
        <f>'Changing with year'!Q292</f>
        <v>831000</v>
      </c>
      <c r="R70" s="376">
        <f>'Changing with year'!R292</f>
        <v>868000</v>
      </c>
      <c r="S70" s="376">
        <f>'Changing with year'!S292</f>
        <v>907000</v>
      </c>
      <c r="T70" s="376">
        <f>'Changing with year'!T292</f>
        <v>948000</v>
      </c>
      <c r="U70" s="376">
        <f>'Changing with year'!U292</f>
        <v>991000</v>
      </c>
      <c r="V70" s="376">
        <f>'Changing with year'!V292</f>
        <v>1036000</v>
      </c>
      <c r="W70" s="376">
        <f>'Changing with year'!W292</f>
        <v>1083000</v>
      </c>
      <c r="X70" s="376">
        <f>'Changing with year'!X292</f>
        <v>1132000</v>
      </c>
      <c r="Y70" s="376">
        <f>'Changing with year'!Y292</f>
        <v>1183000</v>
      </c>
      <c r="Z70" s="376">
        <f>'Changing with year'!Z292</f>
        <v>1236000</v>
      </c>
      <c r="AA70" s="376">
        <f>'Changing with year'!AA292</f>
        <v>1292000</v>
      </c>
      <c r="AB70" s="376">
        <f>'Changing with year'!AB292</f>
        <v>1350000</v>
      </c>
      <c r="AC70" s="376">
        <f>'Changing with year'!AC292</f>
        <v>1411000</v>
      </c>
      <c r="AD70" s="376">
        <f>'Changing with year'!AD292</f>
        <v>1474000</v>
      </c>
      <c r="AE70" s="376">
        <f>'Changing with year'!AE292</f>
        <v>1540000</v>
      </c>
      <c r="AF70" s="376">
        <f>'Changing with year'!AF292</f>
        <v>1609000</v>
      </c>
      <c r="AG70" s="376">
        <f>'Changing with year'!AG292</f>
        <v>1681000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C59</f>
        <v>666400</v>
      </c>
      <c r="D71" s="376">
        <f t="shared" si="8"/>
        <v>673064</v>
      </c>
      <c r="E71" s="376">
        <f t="shared" si="8"/>
        <v>679794.64</v>
      </c>
      <c r="F71" s="376">
        <f t="shared" si="8"/>
        <v>686592.58640000003</v>
      </c>
      <c r="G71" s="376">
        <f t="shared" si="8"/>
        <v>693458.51226400002</v>
      </c>
      <c r="H71" s="376">
        <f t="shared" si="8"/>
        <v>700393.09738663991</v>
      </c>
      <c r="I71" s="376">
        <f t="shared" si="8"/>
        <v>707397.0283605064</v>
      </c>
      <c r="J71" s="376">
        <f t="shared" si="8"/>
        <v>714470.99864411145</v>
      </c>
      <c r="K71" s="376">
        <f t="shared" si="8"/>
        <v>721615.70863055263</v>
      </c>
      <c r="L71" s="376">
        <f t="shared" si="8"/>
        <v>728831.86571685818</v>
      </c>
      <c r="M71" s="376">
        <f t="shared" si="8"/>
        <v>736120.18437402672</v>
      </c>
      <c r="N71" s="376">
        <f t="shared" si="8"/>
        <v>743481.38621776691</v>
      </c>
      <c r="O71" s="376">
        <f t="shared" si="8"/>
        <v>750916.20007994468</v>
      </c>
      <c r="P71" s="376">
        <f t="shared" si="8"/>
        <v>758425.36208074412</v>
      </c>
      <c r="Q71" s="376">
        <f t="shared" si="8"/>
        <v>766009.61570155167</v>
      </c>
      <c r="R71" s="376">
        <f t="shared" si="8"/>
        <v>773669.71185856708</v>
      </c>
      <c r="S71" s="376">
        <f t="shared" si="8"/>
        <v>781406.40897715278</v>
      </c>
      <c r="T71" s="376">
        <f t="shared" si="8"/>
        <v>789220.47306692437</v>
      </c>
      <c r="U71" s="376">
        <f t="shared" si="8"/>
        <v>797112.67779759364</v>
      </c>
      <c r="V71" s="376">
        <f t="shared" si="8"/>
        <v>805083.80457556946</v>
      </c>
      <c r="W71" s="376">
        <f t="shared" si="8"/>
        <v>813134.64262132521</v>
      </c>
      <c r="X71" s="376">
        <f t="shared" si="8"/>
        <v>821265.98904753849</v>
      </c>
      <c r="Y71" s="376">
        <f t="shared" si="8"/>
        <v>829478.64893801382</v>
      </c>
      <c r="Z71" s="376">
        <f t="shared" si="8"/>
        <v>837773.43542739411</v>
      </c>
      <c r="AA71" s="376">
        <f t="shared" si="8"/>
        <v>846151.16978166811</v>
      </c>
      <c r="AB71" s="376">
        <f t="shared" si="8"/>
        <v>854612.68147948477</v>
      </c>
      <c r="AC71" s="376">
        <f t="shared" si="8"/>
        <v>863158.80829427973</v>
      </c>
      <c r="AD71" s="376">
        <f t="shared" si="8"/>
        <v>871790.39637722238</v>
      </c>
      <c r="AE71" s="376">
        <f t="shared" si="8"/>
        <v>880508.30034099461</v>
      </c>
      <c r="AF71" s="376">
        <f t="shared" si="8"/>
        <v>889313.38334440463</v>
      </c>
      <c r="AG71" s="376">
        <f t="shared" si="8"/>
        <v>898206.51717784861</v>
      </c>
    </row>
    <row r="72" spans="1:35">
      <c r="A72" s="300" t="s">
        <v>319</v>
      </c>
      <c r="B72" s="368" t="s">
        <v>313</v>
      </c>
      <c r="C72" s="376">
        <f t="shared" ref="C72:AG72" si="9">C63*$C$29</f>
        <v>84000</v>
      </c>
      <c r="D72" s="376">
        <f t="shared" si="9"/>
        <v>86520</v>
      </c>
      <c r="E72" s="376">
        <f t="shared" si="9"/>
        <v>89116</v>
      </c>
      <c r="F72" s="376">
        <f t="shared" si="9"/>
        <v>91790</v>
      </c>
      <c r="G72" s="376">
        <f t="shared" si="9"/>
        <v>94544</v>
      </c>
      <c r="H72" s="376">
        <f t="shared" si="9"/>
        <v>105380</v>
      </c>
      <c r="I72" s="376">
        <f t="shared" si="9"/>
        <v>108542</v>
      </c>
      <c r="J72" s="376">
        <f t="shared" si="9"/>
        <v>111798</v>
      </c>
      <c r="K72" s="376">
        <f t="shared" si="9"/>
        <v>115152</v>
      </c>
      <c r="L72" s="376">
        <f t="shared" si="9"/>
        <v>118606</v>
      </c>
      <c r="M72" s="376">
        <f t="shared" si="9"/>
        <v>122164</v>
      </c>
      <c r="N72" s="376">
        <f t="shared" si="9"/>
        <v>125828</v>
      </c>
      <c r="O72" s="376">
        <f t="shared" si="9"/>
        <v>129602</v>
      </c>
      <c r="P72" s="376">
        <f t="shared" si="9"/>
        <v>133490</v>
      </c>
      <c r="Q72" s="376">
        <f t="shared" si="9"/>
        <v>137494</v>
      </c>
      <c r="R72" s="376">
        <f t="shared" si="9"/>
        <v>141618</v>
      </c>
      <c r="S72" s="376">
        <f t="shared" si="9"/>
        <v>145866</v>
      </c>
      <c r="T72" s="376">
        <f t="shared" si="9"/>
        <v>150242</v>
      </c>
      <c r="U72" s="376">
        <f t="shared" si="9"/>
        <v>154750</v>
      </c>
      <c r="V72" s="376">
        <f t="shared" si="9"/>
        <v>159392</v>
      </c>
      <c r="W72" s="376">
        <f t="shared" si="9"/>
        <v>164174</v>
      </c>
      <c r="X72" s="376">
        <f t="shared" si="9"/>
        <v>169100</v>
      </c>
      <c r="Y72" s="376">
        <f t="shared" si="9"/>
        <v>174174</v>
      </c>
      <c r="Z72" s="376">
        <f t="shared" si="9"/>
        <v>179400</v>
      </c>
      <c r="AA72" s="376">
        <f t="shared" si="9"/>
        <v>184782</v>
      </c>
      <c r="AB72" s="376">
        <f t="shared" si="9"/>
        <v>190326</v>
      </c>
      <c r="AC72" s="376">
        <f t="shared" si="9"/>
        <v>196036</v>
      </c>
      <c r="AD72" s="376">
        <f t="shared" si="9"/>
        <v>201918</v>
      </c>
      <c r="AE72" s="376">
        <f t="shared" si="9"/>
        <v>207976</v>
      </c>
      <c r="AF72" s="376">
        <f t="shared" si="9"/>
        <v>214216</v>
      </c>
      <c r="AG72" s="376">
        <f t="shared" si="9"/>
        <v>220642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13.694858493836929</v>
      </c>
      <c r="D74" s="379">
        <f t="shared" si="10"/>
        <v>14.105704248652039</v>
      </c>
      <c r="E74" s="379">
        <f t="shared" si="10"/>
        <v>14.528940589723474</v>
      </c>
      <c r="F74" s="379">
        <f t="shared" si="10"/>
        <v>14.964893585110616</v>
      </c>
      <c r="G74" s="379">
        <f t="shared" si="10"/>
        <v>15.413889302872843</v>
      </c>
      <c r="H74" s="379">
        <f t="shared" si="10"/>
        <v>17.180526048577807</v>
      </c>
      <c r="I74" s="379">
        <f t="shared" si="10"/>
        <v>17.696039650452953</v>
      </c>
      <c r="J74" s="379">
        <f t="shared" si="10"/>
        <v>18.226878451118822</v>
      </c>
      <c r="K74" s="379">
        <f t="shared" si="10"/>
        <v>18.773694586694166</v>
      </c>
      <c r="L74" s="379">
        <f t="shared" si="10"/>
        <v>19.336814125238369</v>
      </c>
      <c r="M74" s="379">
        <f t="shared" si="10"/>
        <v>19.916889202870177</v>
      </c>
      <c r="N74" s="379">
        <f t="shared" si="10"/>
        <v>20.514245887648965</v>
      </c>
      <c r="O74" s="379">
        <f t="shared" si="10"/>
        <v>21.129536315693496</v>
      </c>
      <c r="P74" s="379">
        <f t="shared" si="10"/>
        <v>21.76341262312252</v>
      </c>
      <c r="Q74" s="379">
        <f t="shared" si="10"/>
        <v>22.416200877995415</v>
      </c>
      <c r="R74" s="379">
        <f t="shared" si="10"/>
        <v>23.088553216430935</v>
      </c>
      <c r="S74" s="379">
        <f t="shared" si="10"/>
        <v>23.781121774547831</v>
      </c>
      <c r="T74" s="379">
        <f t="shared" si="10"/>
        <v>24.494558688464856</v>
      </c>
      <c r="U74" s="379">
        <f t="shared" si="10"/>
        <v>25.229516094300774</v>
      </c>
      <c r="V74" s="379">
        <f t="shared" si="10"/>
        <v>25.986320060114952</v>
      </c>
      <c r="W74" s="379">
        <f t="shared" si="10"/>
        <v>26.765948790085524</v>
      </c>
      <c r="X74" s="379">
        <f t="shared" si="10"/>
        <v>27.569054420331245</v>
      </c>
      <c r="Y74" s="379">
        <f t="shared" si="10"/>
        <v>28.396289086970871</v>
      </c>
      <c r="Z74" s="379">
        <f t="shared" si="10"/>
        <v>29.248304926123158</v>
      </c>
      <c r="AA74" s="379">
        <f t="shared" si="10"/>
        <v>30.125754073906847</v>
      </c>
      <c r="AB74" s="379">
        <f t="shared" si="10"/>
        <v>31.029614734500086</v>
      </c>
      <c r="AC74" s="379">
        <f t="shared" si="10"/>
        <v>31.960539044021619</v>
      </c>
      <c r="AD74" s="379">
        <f t="shared" si="10"/>
        <v>32.919505206649582</v>
      </c>
      <c r="AE74" s="379">
        <f t="shared" si="10"/>
        <v>33.907165358502731</v>
      </c>
      <c r="AF74" s="379">
        <f t="shared" si="10"/>
        <v>34.924497703759187</v>
      </c>
      <c r="AG74" s="379">
        <f t="shared" si="10"/>
        <v>35.972154378537709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24.125341081203</v>
      </c>
      <c r="D75" s="379">
        <f t="shared" si="11"/>
        <v>26.794407894736842</v>
      </c>
      <c r="E75" s="379">
        <f t="shared" si="11"/>
        <v>27.334004934210526</v>
      </c>
      <c r="F75" s="379">
        <f t="shared" si="11"/>
        <v>27.884486636513156</v>
      </c>
      <c r="G75" s="379">
        <f t="shared" si="11"/>
        <v>28.446073012952308</v>
      </c>
      <c r="H75" s="379">
        <f t="shared" si="11"/>
        <v>29.018988533012955</v>
      </c>
      <c r="I75" s="379">
        <f t="shared" si="11"/>
        <v>29.603462214969859</v>
      </c>
      <c r="J75" s="379">
        <f t="shared" si="11"/>
        <v>30.199727718348313</v>
      </c>
      <c r="K75" s="379">
        <f t="shared" si="11"/>
        <v>30.808023438271313</v>
      </c>
      <c r="L75" s="379">
        <f t="shared" si="11"/>
        <v>31.42859260173168</v>
      </c>
      <c r="M75" s="379">
        <f t="shared" si="11"/>
        <v>32.061683365828628</v>
      </c>
      <c r="N75" s="379">
        <f t="shared" si="11"/>
        <v>32.70754891800906</v>
      </c>
      <c r="O75" s="379">
        <f t="shared" si="11"/>
        <v>33.366447578354709</v>
      </c>
      <c r="P75" s="379">
        <f t="shared" si="11"/>
        <v>34.038642903956912</v>
      </c>
      <c r="Q75" s="379">
        <f t="shared" si="11"/>
        <v>34.724403795422027</v>
      </c>
      <c r="R75" s="379">
        <f t="shared" si="11"/>
        <v>35.424004605551097</v>
      </c>
      <c r="S75" s="379">
        <f t="shared" si="11"/>
        <v>36.137725250238269</v>
      </c>
      <c r="T75" s="379">
        <f t="shared" si="11"/>
        <v>36.865851321633585</v>
      </c>
      <c r="U75" s="379">
        <f t="shared" si="11"/>
        <v>37.608674203616573</v>
      </c>
      <c r="V75" s="379">
        <f t="shared" si="11"/>
        <v>38.366491189627972</v>
      </c>
      <c r="W75" s="379">
        <f t="shared" si="11"/>
        <v>39.139605602908077</v>
      </c>
      <c r="X75" s="379">
        <f t="shared" si="11"/>
        <v>39.928326919190972</v>
      </c>
      <c r="Y75" s="379">
        <f t="shared" si="11"/>
        <v>40.73297089190514</v>
      </c>
      <c r="Z75" s="379">
        <f t="shared" si="11"/>
        <v>41.553859679931861</v>
      </c>
      <c r="AA75" s="379">
        <f t="shared" si="11"/>
        <v>42.391321977973824</v>
      </c>
      <c r="AB75" s="379">
        <f t="shared" si="11"/>
        <v>43.245693149587709</v>
      </c>
      <c r="AC75" s="379">
        <f t="shared" si="11"/>
        <v>44.117315362935237</v>
      </c>
      <c r="AD75" s="379">
        <f t="shared" si="11"/>
        <v>45.006537729308604</v>
      </c>
      <c r="AE75" s="379">
        <f t="shared" si="11"/>
        <v>45.913716444487306</v>
      </c>
      <c r="AF75" s="379">
        <f t="shared" si="11"/>
        <v>46.839214932984397</v>
      </c>
      <c r="AG75" s="379">
        <f t="shared" si="11"/>
        <v>47.783403995241621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26.463095238095239</v>
      </c>
      <c r="D76" s="379">
        <f t="shared" si="12"/>
        <v>27.24138095238095</v>
      </c>
      <c r="E76" s="379">
        <f t="shared" si="12"/>
        <v>28.050430238095238</v>
      </c>
      <c r="F76" s="379">
        <f t="shared" si="12"/>
        <v>28.890833173809522</v>
      </c>
      <c r="G76" s="379">
        <f t="shared" si="12"/>
        <v>29.763201953261905</v>
      </c>
      <c r="H76" s="379">
        <f t="shared" si="12"/>
        <v>30.78721938603643</v>
      </c>
      <c r="I76" s="379">
        <f t="shared" si="12"/>
        <v>31.729050528715991</v>
      </c>
      <c r="J76" s="379">
        <f t="shared" si="12"/>
        <v>32.70494482887036</v>
      </c>
      <c r="K76" s="379">
        <f t="shared" si="12"/>
        <v>33.715641878582865</v>
      </c>
      <c r="L76" s="379">
        <f t="shared" si="12"/>
        <v>34.776759350468495</v>
      </c>
      <c r="M76" s="379">
        <f t="shared" si="12"/>
        <v>35.874210736816018</v>
      </c>
      <c r="N76" s="379">
        <f t="shared" si="12"/>
        <v>37.008789798264544</v>
      </c>
      <c r="O76" s="379">
        <f t="shared" si="12"/>
        <v>38.196231247538371</v>
      </c>
      <c r="P76" s="379">
        <f t="shared" si="12"/>
        <v>39.422539336689937</v>
      </c>
      <c r="Q76" s="379">
        <f t="shared" si="12"/>
        <v>40.703483159228632</v>
      </c>
      <c r="R76" s="379">
        <f t="shared" si="12"/>
        <v>42.025133669064353</v>
      </c>
      <c r="S76" s="379">
        <f t="shared" si="12"/>
        <v>43.403359084937684</v>
      </c>
      <c r="T76" s="379">
        <f t="shared" si="12"/>
        <v>44.839183444327531</v>
      </c>
      <c r="U76" s="379">
        <f t="shared" si="12"/>
        <v>46.333669023291002</v>
      </c>
      <c r="V76" s="379">
        <f t="shared" si="12"/>
        <v>47.887888100682041</v>
      </c>
      <c r="W76" s="379">
        <f t="shared" si="12"/>
        <v>49.503013831000004</v>
      </c>
      <c r="X76" s="379">
        <f t="shared" si="12"/>
        <v>51.180232609260237</v>
      </c>
      <c r="Y76" s="379">
        <f t="shared" si="12"/>
        <v>52.920775549472523</v>
      </c>
      <c r="Z76" s="379">
        <f t="shared" si="12"/>
        <v>54.725920269842199</v>
      </c>
      <c r="AA76" s="379">
        <f t="shared" si="12"/>
        <v>56.611873701724846</v>
      </c>
      <c r="AB76" s="379">
        <f t="shared" si="12"/>
        <v>58.565160925188934</v>
      </c>
      <c r="AC76" s="379">
        <f t="shared" si="12"/>
        <v>60.602091462726491</v>
      </c>
      <c r="AD76" s="379">
        <f t="shared" si="12"/>
        <v>62.709297081818455</v>
      </c>
      <c r="AE76" s="379">
        <f t="shared" si="12"/>
        <v>64.903198252422797</v>
      </c>
      <c r="AF76" s="379">
        <f t="shared" si="12"/>
        <v>67.185423072248426</v>
      </c>
      <c r="AG76" s="379">
        <f t="shared" si="12"/>
        <v>69.557631044240551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2.6785714285714284</v>
      </c>
      <c r="D77" s="379">
        <f t="shared" si="13"/>
        <v>2.7589285714285716</v>
      </c>
      <c r="E77" s="379">
        <f t="shared" si="13"/>
        <v>2.8417091836734696</v>
      </c>
      <c r="F77" s="379">
        <f t="shared" si="13"/>
        <v>2.9269770408163267</v>
      </c>
      <c r="G77" s="379">
        <f t="shared" si="13"/>
        <v>3.0147959183673469</v>
      </c>
      <c r="H77" s="379">
        <f t="shared" si="13"/>
        <v>3.360331632653061</v>
      </c>
      <c r="I77" s="379">
        <f t="shared" si="13"/>
        <v>3.4611607142857141</v>
      </c>
      <c r="J77" s="379">
        <f t="shared" si="13"/>
        <v>3.5649872448979592</v>
      </c>
      <c r="K77" s="379">
        <f t="shared" si="13"/>
        <v>3.671938775510204</v>
      </c>
      <c r="L77" s="379">
        <f t="shared" si="13"/>
        <v>3.7820790816326531</v>
      </c>
      <c r="M77" s="379">
        <f t="shared" si="13"/>
        <v>3.8955357142857143</v>
      </c>
      <c r="N77" s="379">
        <f t="shared" si="13"/>
        <v>3.3436437074829932</v>
      </c>
      <c r="O77" s="379">
        <f t="shared" si="13"/>
        <v>3.4439306972789114</v>
      </c>
      <c r="P77" s="379">
        <f t="shared" si="13"/>
        <v>3.5472470238095237</v>
      </c>
      <c r="Q77" s="379">
        <f t="shared" si="13"/>
        <v>3.6536458333333335</v>
      </c>
      <c r="R77" s="379">
        <f t="shared" si="13"/>
        <v>3.763233418367347</v>
      </c>
      <c r="S77" s="379">
        <f t="shared" si="13"/>
        <v>3.8761160714285716</v>
      </c>
      <c r="T77" s="379">
        <f t="shared" si="13"/>
        <v>3.9924000850340136</v>
      </c>
      <c r="U77" s="379">
        <f t="shared" si="13"/>
        <v>4.1121917517006805</v>
      </c>
      <c r="V77" s="379">
        <f t="shared" si="13"/>
        <v>4.2355442176870746</v>
      </c>
      <c r="W77" s="379">
        <f t="shared" si="13"/>
        <v>4.3626169217687076</v>
      </c>
      <c r="X77" s="379">
        <f t="shared" si="13"/>
        <v>3.5948129251700673</v>
      </c>
      <c r="Y77" s="379">
        <f t="shared" si="13"/>
        <v>3.7026785714285708</v>
      </c>
      <c r="Z77" s="379">
        <f t="shared" si="13"/>
        <v>3.8137755102040813</v>
      </c>
      <c r="AA77" s="379">
        <f t="shared" si="13"/>
        <v>3.9281887755102036</v>
      </c>
      <c r="AB77" s="379">
        <f t="shared" si="13"/>
        <v>4.0460459183673461</v>
      </c>
      <c r="AC77" s="379">
        <f t="shared" si="13"/>
        <v>4.1674319727891156</v>
      </c>
      <c r="AD77" s="379">
        <f t="shared" si="13"/>
        <v>4.2924744897959179</v>
      </c>
      <c r="AE77" s="379">
        <f t="shared" si="13"/>
        <v>4.4212585034013596</v>
      </c>
      <c r="AF77" s="379">
        <f t="shared" si="13"/>
        <v>4.5539115646258503</v>
      </c>
      <c r="AG77" s="379">
        <f t="shared" si="13"/>
        <v>4.690518707482993</v>
      </c>
    </row>
    <row r="78" spans="1:35" s="352" customFormat="1">
      <c r="A78" s="380" t="s">
        <v>323</v>
      </c>
      <c r="B78" s="352" t="s">
        <v>300</v>
      </c>
      <c r="C78" s="381">
        <f t="shared" ref="C78:AG78" si="14">SUM(C74:C76)-C77</f>
        <v>61.604723384563741</v>
      </c>
      <c r="D78" s="381">
        <f t="shared" si="14"/>
        <v>65.382564524341262</v>
      </c>
      <c r="E78" s="381">
        <f t="shared" si="14"/>
        <v>67.07166657835576</v>
      </c>
      <c r="F78" s="381">
        <f t="shared" si="14"/>
        <v>68.813236354616976</v>
      </c>
      <c r="G78" s="381">
        <f t="shared" si="14"/>
        <v>70.608368350719715</v>
      </c>
      <c r="H78" s="381">
        <f t="shared" si="14"/>
        <v>73.626402334974131</v>
      </c>
      <c r="I78" s="381">
        <f t="shared" si="14"/>
        <v>75.567391679853088</v>
      </c>
      <c r="J78" s="381">
        <f t="shared" si="14"/>
        <v>77.566563753439539</v>
      </c>
      <c r="K78" s="381">
        <f t="shared" si="14"/>
        <v>79.625421128038141</v>
      </c>
      <c r="L78" s="381">
        <f t="shared" si="14"/>
        <v>81.760086995805878</v>
      </c>
      <c r="M78" s="381">
        <f t="shared" si="14"/>
        <v>83.95724759122912</v>
      </c>
      <c r="N78" s="381">
        <f t="shared" si="14"/>
        <v>86.886940896439569</v>
      </c>
      <c r="O78" s="381">
        <f t="shared" si="14"/>
        <v>89.248284444307671</v>
      </c>
      <c r="P78" s="381">
        <f t="shared" si="14"/>
        <v>91.67734783995985</v>
      </c>
      <c r="Q78" s="381">
        <f t="shared" si="14"/>
        <v>94.190441999312739</v>
      </c>
      <c r="R78" s="381">
        <f t="shared" si="14"/>
        <v>96.774458072679039</v>
      </c>
      <c r="S78" s="381">
        <f t="shared" si="14"/>
        <v>99.446090038295225</v>
      </c>
      <c r="T78" s="381">
        <f t="shared" si="14"/>
        <v>102.20719336939197</v>
      </c>
      <c r="U78" s="381">
        <f t="shared" si="14"/>
        <v>105.05966756950768</v>
      </c>
      <c r="V78" s="381">
        <f t="shared" si="14"/>
        <v>108.00515513273788</v>
      </c>
      <c r="W78" s="381">
        <f t="shared" si="14"/>
        <v>111.04595130222489</v>
      </c>
      <c r="X78" s="381">
        <f t="shared" si="14"/>
        <v>115.0828010236124</v>
      </c>
      <c r="Y78" s="381">
        <f t="shared" si="14"/>
        <v>118.34735695691995</v>
      </c>
      <c r="Z78" s="381">
        <f t="shared" si="14"/>
        <v>121.71430936569313</v>
      </c>
      <c r="AA78" s="381">
        <f t="shared" si="14"/>
        <v>125.20076097809532</v>
      </c>
      <c r="AB78" s="381">
        <f t="shared" si="14"/>
        <v>128.79442289090937</v>
      </c>
      <c r="AC78" s="381">
        <f t="shared" si="14"/>
        <v>132.51251389689426</v>
      </c>
      <c r="AD78" s="381">
        <f t="shared" si="14"/>
        <v>136.34286552798071</v>
      </c>
      <c r="AE78" s="381">
        <f t="shared" si="14"/>
        <v>140.30282155201149</v>
      </c>
      <c r="AF78" s="381">
        <f t="shared" si="14"/>
        <v>144.39522414436615</v>
      </c>
      <c r="AG78" s="381">
        <f t="shared" si="14"/>
        <v>148.62267071053688</v>
      </c>
    </row>
    <row r="79" spans="1:35" s="344" customFormat="1">
      <c r="A79" s="342" t="s">
        <v>179</v>
      </c>
      <c r="B79" s="342"/>
      <c r="H79" s="382">
        <f>H81/K58</f>
        <v>451663.57491340541</v>
      </c>
      <c r="AB79" s="382">
        <f>AB81/AE58</f>
        <v>483243.63703858334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>G80+1</f>
        <v>2030</v>
      </c>
      <c r="I80" s="360">
        <f>H80+1</f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year'!C97</f>
        <v>4450000</v>
      </c>
      <c r="D81" s="376">
        <f>'Changing with year'!D97</f>
        <v>4583500</v>
      </c>
      <c r="E81" s="376">
        <f>'Changing with year'!E97</f>
        <v>4721005</v>
      </c>
      <c r="F81" s="376">
        <f>'Changing with year'!F97</f>
        <v>4862635.1500000004</v>
      </c>
      <c r="G81" s="376">
        <f>'Changing with year'!G97</f>
        <v>5008514.2045000009</v>
      </c>
      <c r="H81" s="376">
        <f>'Changing with year'!H97</f>
        <v>5558769.6306350008</v>
      </c>
      <c r="I81" s="376">
        <f>'Changing with year'!I97</f>
        <v>5725532.7195540508</v>
      </c>
      <c r="J81" s="376">
        <f>'Changing with year'!J97</f>
        <v>5897298.7011406729</v>
      </c>
      <c r="K81" s="376">
        <f>'Changing with year'!K97</f>
        <v>6074217.6621748935</v>
      </c>
      <c r="L81" s="376">
        <f>'Changing with year'!L97</f>
        <v>6256444.1920401407</v>
      </c>
      <c r="M81" s="376">
        <f>'Changing with year'!M97</f>
        <v>6444137.5178013453</v>
      </c>
      <c r="N81" s="376">
        <f>'Changing with year'!N97</f>
        <v>6637461.6433353862</v>
      </c>
      <c r="O81" s="376">
        <f>'Changing with year'!O97</f>
        <v>6836585.4926354475</v>
      </c>
      <c r="P81" s="376">
        <f>'Changing with year'!P97</f>
        <v>7041683.0574145112</v>
      </c>
      <c r="Q81" s="376">
        <f>'Changing with year'!Q97</f>
        <v>7252933.5491369469</v>
      </c>
      <c r="R81" s="376">
        <f>'Changing with year'!R97</f>
        <v>7470521.5556110553</v>
      </c>
      <c r="S81" s="376">
        <f>'Changing with year'!S97</f>
        <v>7694637.202279387</v>
      </c>
      <c r="T81" s="376">
        <f>'Changing with year'!T97</f>
        <v>7925476.3183477689</v>
      </c>
      <c r="U81" s="376">
        <f>'Changing with year'!U97</f>
        <v>8163240.6078982018</v>
      </c>
      <c r="V81" s="376">
        <f>'Changing with year'!V97</f>
        <v>8408137.8261351474</v>
      </c>
      <c r="W81" s="376">
        <f>'Changing with year'!W97</f>
        <v>8660381.9609192014</v>
      </c>
      <c r="X81" s="376">
        <f>'Changing with year'!X97</f>
        <v>8920193.419746777</v>
      </c>
      <c r="Y81" s="376">
        <f>'Changing with year'!Y97</f>
        <v>9187799.2223391812</v>
      </c>
      <c r="Z81" s="376">
        <f>'Changing with year'!Z97</f>
        <v>9463433.199009357</v>
      </c>
      <c r="AA81" s="376">
        <f>'Changing with year'!AA97</f>
        <v>9747336.1949796379</v>
      </c>
      <c r="AB81" s="376">
        <f>'Changing with year'!AB97</f>
        <v>10039756.280829027</v>
      </c>
      <c r="AC81" s="376">
        <f>'Changing with year'!AC97</f>
        <v>10340948.969253898</v>
      </c>
      <c r="AD81" s="376">
        <f>'Changing with year'!AD97</f>
        <v>10651177.438331515</v>
      </c>
      <c r="AE81" s="376">
        <f>'Changing with year'!AE97</f>
        <v>10970712.76148146</v>
      </c>
      <c r="AF81" s="376">
        <f>'Changing with year'!AF97</f>
        <v>11299834.144325905</v>
      </c>
      <c r="AG81" s="376">
        <f>'Changing with year'!AG97</f>
        <v>11638829.168655682</v>
      </c>
    </row>
    <row r="82" spans="1:34">
      <c r="A82" s="368" t="s">
        <v>310</v>
      </c>
      <c r="B82" s="300" t="s">
        <v>309</v>
      </c>
      <c r="C82" s="376">
        <f>(C81*'No change with year'!$AB$11)</f>
        <v>1112500</v>
      </c>
      <c r="D82" s="376">
        <f>(D81*'No change with year'!$AB$11)</f>
        <v>1145875</v>
      </c>
      <c r="E82" s="376">
        <f>(E81*'No change with year'!$AB$11)</f>
        <v>1180251.25</v>
      </c>
      <c r="F82" s="376">
        <f>(F81*'No change with year'!$AB$11)</f>
        <v>1215658.7875000001</v>
      </c>
      <c r="G82" s="376">
        <f>(G81*'No change with year'!$AB$11)</f>
        <v>1252128.5511250002</v>
      </c>
      <c r="H82" s="376">
        <f>(H81*'No change with year'!$AB$11)</f>
        <v>1389692.4076587502</v>
      </c>
      <c r="I82" s="376">
        <f>(I81*'No change with year'!$AB$11)</f>
        <v>1431383.1798885127</v>
      </c>
      <c r="J82" s="376">
        <f>(J81*'No change with year'!$AB$11)</f>
        <v>1474324.6752851682</v>
      </c>
      <c r="K82" s="376">
        <f>(K81*'No change with year'!$AB$11)</f>
        <v>1518554.4155437234</v>
      </c>
      <c r="L82" s="376">
        <f>(L81*'No change with year'!$AB$11)</f>
        <v>1564111.0480100352</v>
      </c>
      <c r="M82" s="376">
        <f>(M81*'No change with year'!$AB$11)</f>
        <v>1611034.3794503363</v>
      </c>
      <c r="N82" s="376">
        <f>(N81*'No change with year'!$AC$11)</f>
        <v>1327492.3286670772</v>
      </c>
      <c r="O82" s="376">
        <f>(O81*'No change with year'!$AC$11)</f>
        <v>1367317.0985270897</v>
      </c>
      <c r="P82" s="376">
        <f>(P81*'No change with year'!$AC$11)</f>
        <v>1408336.6114829024</v>
      </c>
      <c r="Q82" s="376">
        <f>(Q81*'No change with year'!$AC$11)</f>
        <v>1450586.7098273896</v>
      </c>
      <c r="R82" s="376">
        <f>(R81*'No change with year'!$AC$11)</f>
        <v>1494104.3111222112</v>
      </c>
      <c r="S82" s="376">
        <f>(S81*'No change with year'!$AC$11)</f>
        <v>1538927.4404558775</v>
      </c>
      <c r="T82" s="376">
        <f>(T81*'No change with year'!$AC$11)</f>
        <v>1585095.2636695539</v>
      </c>
      <c r="U82" s="376">
        <f>(U81*'No change with year'!$AC$11)</f>
        <v>1632648.1215796405</v>
      </c>
      <c r="V82" s="376">
        <f>(V81*'No change with year'!$AC$11)</f>
        <v>1681627.5652270296</v>
      </c>
      <c r="W82" s="376">
        <f>(W81*'No change with year'!$AC$11)</f>
        <v>1732076.3921838403</v>
      </c>
      <c r="X82" s="376">
        <f>(X81*'No change with year'!$AD$11)</f>
        <v>1338029.0129620163</v>
      </c>
      <c r="Y82" s="376">
        <f>(Y81*'No change with year'!$AD$11)</f>
        <v>1378169.8833508769</v>
      </c>
      <c r="Z82" s="376">
        <f>(Z81*'No change with year'!$AD$11)</f>
        <v>1419514.9798514033</v>
      </c>
      <c r="AA82" s="376">
        <f>(AA81*'No change with year'!$AD$11)</f>
        <v>1462100.4292469453</v>
      </c>
      <c r="AB82" s="376">
        <f>(AB81*'No change with year'!$AD$11)</f>
        <v>1505963.4421243537</v>
      </c>
      <c r="AC82" s="376">
        <f>(AC81*'No change with year'!$AD$11)</f>
        <v>1551142.3453880844</v>
      </c>
      <c r="AD82" s="376">
        <f>(AD81*'No change with year'!$AD$11)</f>
        <v>1597676.6157497268</v>
      </c>
      <c r="AE82" s="376">
        <f>(AE81*'No change with year'!$AD$11)</f>
        <v>1645606.9142222186</v>
      </c>
      <c r="AF82" s="376">
        <f>(AF81*'No change with year'!$AD$11)</f>
        <v>1694975.1216488853</v>
      </c>
      <c r="AG82" s="376">
        <f>(AG81*'No change with year'!$AD$11)</f>
        <v>1745824.375298352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975073.92476118938</v>
      </c>
      <c r="D84" s="376">
        <f t="shared" si="16"/>
        <v>1004326.142504025</v>
      </c>
      <c r="E84" s="376">
        <f t="shared" si="16"/>
        <v>1034455.9267791458</v>
      </c>
      <c r="F84" s="376">
        <f t="shared" si="16"/>
        <v>1065489.6045825202</v>
      </c>
      <c r="G84" s="376">
        <f t="shared" si="16"/>
        <v>1097454.2927199961</v>
      </c>
      <c r="H84" s="376">
        <f t="shared" si="16"/>
        <v>1218025.015862152</v>
      </c>
      <c r="I84" s="376">
        <f t="shared" si="16"/>
        <v>1254565.7663380168</v>
      </c>
      <c r="J84" s="376">
        <f t="shared" si="16"/>
        <v>1292202.7393281574</v>
      </c>
      <c r="K84" s="376">
        <f t="shared" si="16"/>
        <v>1330968.8215080022</v>
      </c>
      <c r="L84" s="376">
        <f t="shared" si="16"/>
        <v>1370897.8861532426</v>
      </c>
      <c r="M84" s="376">
        <f t="shared" si="16"/>
        <v>1412024.8227378398</v>
      </c>
      <c r="N84" s="376">
        <f t="shared" si="16"/>
        <v>1454385.5674199751</v>
      </c>
      <c r="O84" s="376">
        <f t="shared" si="16"/>
        <v>1498017.1344425741</v>
      </c>
      <c r="P84" s="376">
        <f t="shared" si="16"/>
        <v>1542957.6484758516</v>
      </c>
      <c r="Q84" s="376">
        <f t="shared" si="16"/>
        <v>1589246.3779301271</v>
      </c>
      <c r="R84" s="376">
        <f t="shared" si="16"/>
        <v>1636923.7692680308</v>
      </c>
      <c r="S84" s="376">
        <f t="shared" si="16"/>
        <v>1686031.4823460719</v>
      </c>
      <c r="T84" s="376">
        <f t="shared" si="16"/>
        <v>1736612.4268164542</v>
      </c>
      <c r="U84" s="376">
        <f t="shared" si="16"/>
        <v>1788710.7996209478</v>
      </c>
      <c r="V84" s="376">
        <f t="shared" si="16"/>
        <v>1842372.1236095759</v>
      </c>
      <c r="W84" s="376">
        <f t="shared" si="16"/>
        <v>1897643.2873178632</v>
      </c>
      <c r="X84" s="376">
        <f t="shared" si="16"/>
        <v>1954572.585937399</v>
      </c>
      <c r="Y84" s="376">
        <f t="shared" si="16"/>
        <v>2013209.7635155213</v>
      </c>
      <c r="Z84" s="376">
        <f t="shared" si="16"/>
        <v>2073606.0564209868</v>
      </c>
      <c r="AA84" s="376">
        <f t="shared" si="16"/>
        <v>2135814.2381136166</v>
      </c>
      <c r="AB84" s="376">
        <f t="shared" si="16"/>
        <v>2199888.665257025</v>
      </c>
      <c r="AC84" s="376">
        <f t="shared" si="16"/>
        <v>2265885.3252147357</v>
      </c>
      <c r="AD84" s="376">
        <f t="shared" si="16"/>
        <v>2333861.8849711781</v>
      </c>
      <c r="AE84" s="376">
        <f t="shared" si="16"/>
        <v>2403877.7415203131</v>
      </c>
      <c r="AF84" s="376">
        <f t="shared" si="16"/>
        <v>2475994.0737659223</v>
      </c>
      <c r="AG84" s="376">
        <f t="shared" si="16"/>
        <v>2550273.8959789006</v>
      </c>
    </row>
    <row r="85" spans="1:34">
      <c r="A85" s="300" t="s">
        <v>321</v>
      </c>
      <c r="B85" s="300" t="s">
        <v>309</v>
      </c>
      <c r="C85" s="376">
        <f t="shared" ref="C85:AG85" si="17">C43*$D$37</f>
        <v>1461600</v>
      </c>
      <c r="D85" s="376">
        <f t="shared" si="17"/>
        <v>1537200</v>
      </c>
      <c r="E85" s="376">
        <f t="shared" si="17"/>
        <v>1583316</v>
      </c>
      <c r="F85" s="376">
        <f t="shared" si="17"/>
        <v>1630815.48</v>
      </c>
      <c r="G85" s="376">
        <f t="shared" si="17"/>
        <v>1679739.9443999999</v>
      </c>
      <c r="H85" s="376">
        <f t="shared" si="17"/>
        <v>1730132.142732</v>
      </c>
      <c r="I85" s="376">
        <f t="shared" si="17"/>
        <v>1782036.1070139601</v>
      </c>
      <c r="J85" s="376">
        <f t="shared" si="17"/>
        <v>1835497.1902243788</v>
      </c>
      <c r="K85" s="376">
        <f t="shared" si="17"/>
        <v>1890562.1059311102</v>
      </c>
      <c r="L85" s="376">
        <f t="shared" si="17"/>
        <v>1947278.9691090437</v>
      </c>
      <c r="M85" s="376">
        <f t="shared" si="17"/>
        <v>2005697.338182315</v>
      </c>
      <c r="N85" s="376">
        <f t="shared" si="17"/>
        <v>2065868.2583277845</v>
      </c>
      <c r="O85" s="376">
        <f t="shared" si="17"/>
        <v>2127844.3060776182</v>
      </c>
      <c r="P85" s="376">
        <f t="shared" si="17"/>
        <v>2191679.6352599463</v>
      </c>
      <c r="Q85" s="376">
        <f t="shared" si="17"/>
        <v>2257430.0243177447</v>
      </c>
      <c r="R85" s="376">
        <f t="shared" si="17"/>
        <v>2325152.925047277</v>
      </c>
      <c r="S85" s="376">
        <f t="shared" si="17"/>
        <v>2394907.5127986954</v>
      </c>
      <c r="T85" s="376">
        <f t="shared" si="17"/>
        <v>2466754.7381826565</v>
      </c>
      <c r="U85" s="376">
        <f t="shared" si="17"/>
        <v>2540757.380328136</v>
      </c>
      <c r="V85" s="376">
        <f t="shared" si="17"/>
        <v>2616980.1017379798</v>
      </c>
      <c r="W85" s="376">
        <f t="shared" si="17"/>
        <v>2695489.5047901194</v>
      </c>
      <c r="X85" s="376">
        <f t="shared" si="17"/>
        <v>2776354.189933823</v>
      </c>
      <c r="Y85" s="376">
        <f t="shared" si="17"/>
        <v>2859644.8156318376</v>
      </c>
      <c r="Z85" s="376">
        <f t="shared" si="17"/>
        <v>2945434.1601007925</v>
      </c>
      <c r="AA85" s="376">
        <f t="shared" si="17"/>
        <v>3033797.1849038163</v>
      </c>
      <c r="AB85" s="376">
        <f t="shared" si="17"/>
        <v>3124811.1004509307</v>
      </c>
      <c r="AC85" s="376">
        <f t="shared" si="17"/>
        <v>3218555.4334644591</v>
      </c>
      <c r="AD85" s="376">
        <f t="shared" si="17"/>
        <v>3315112.0964683932</v>
      </c>
      <c r="AE85" s="376">
        <f t="shared" si="17"/>
        <v>3414565.4593624449</v>
      </c>
      <c r="AF85" s="376">
        <f t="shared" si="17"/>
        <v>3517002.4231433184</v>
      </c>
      <c r="AG85" s="376">
        <f t="shared" si="17"/>
        <v>3622512.4958376181</v>
      </c>
    </row>
    <row r="86" spans="1:34">
      <c r="A86" s="300" t="s">
        <v>317</v>
      </c>
      <c r="B86" s="300" t="s">
        <v>309</v>
      </c>
      <c r="C86" s="376">
        <f t="shared" ref="C86:AG86" si="18">C56*$C$21*$C$22</f>
        <v>611520</v>
      </c>
      <c r="D86" s="376">
        <f t="shared" si="18"/>
        <v>635980.80000000005</v>
      </c>
      <c r="E86" s="376">
        <f t="shared" si="18"/>
        <v>661420.03200000012</v>
      </c>
      <c r="F86" s="376">
        <f t="shared" si="18"/>
        <v>687876.83328000014</v>
      </c>
      <c r="G86" s="376">
        <f t="shared" si="18"/>
        <v>715391.90661120007</v>
      </c>
      <c r="H86" s="376">
        <f t="shared" si="18"/>
        <v>744007.58287564816</v>
      </c>
      <c r="I86" s="376">
        <f t="shared" si="18"/>
        <v>773767.88619067403</v>
      </c>
      <c r="J86" s="376">
        <f t="shared" si="18"/>
        <v>804718.60163830093</v>
      </c>
      <c r="K86" s="376">
        <f t="shared" si="18"/>
        <v>836907.34570383304</v>
      </c>
      <c r="L86" s="376">
        <f t="shared" si="18"/>
        <v>870383.63953198656</v>
      </c>
      <c r="M86" s="376">
        <f t="shared" si="18"/>
        <v>905198.98511326604</v>
      </c>
      <c r="N86" s="376">
        <f t="shared" si="18"/>
        <v>941406.94451779663</v>
      </c>
      <c r="O86" s="376">
        <f t="shared" si="18"/>
        <v>979063.22229850851</v>
      </c>
      <c r="P86" s="376">
        <f t="shared" si="18"/>
        <v>1018225.7511904489</v>
      </c>
      <c r="Q86" s="376">
        <f t="shared" si="18"/>
        <v>1058954.781238067</v>
      </c>
      <c r="R86" s="376">
        <f t="shared" si="18"/>
        <v>1101312.9724875896</v>
      </c>
      <c r="S86" s="376">
        <f t="shared" si="18"/>
        <v>1145365.4913870932</v>
      </c>
      <c r="T86" s="376">
        <f t="shared" si="18"/>
        <v>1191180.1110425768</v>
      </c>
      <c r="U86" s="376">
        <f t="shared" si="18"/>
        <v>1238827.31548428</v>
      </c>
      <c r="V86" s="376">
        <f t="shared" si="18"/>
        <v>1288380.4081036511</v>
      </c>
      <c r="W86" s="376">
        <f t="shared" si="18"/>
        <v>1339915.6244277973</v>
      </c>
      <c r="X86" s="376">
        <f t="shared" si="18"/>
        <v>1393512.2494049091</v>
      </c>
      <c r="Y86" s="376">
        <f t="shared" si="18"/>
        <v>1449252.7393811059</v>
      </c>
      <c r="Z86" s="376">
        <f t="shared" si="18"/>
        <v>1507222.8489563502</v>
      </c>
      <c r="AA86" s="376">
        <f t="shared" si="18"/>
        <v>1567511.762914604</v>
      </c>
      <c r="AB86" s="376">
        <f t="shared" si="18"/>
        <v>1630212.2334311882</v>
      </c>
      <c r="AC86" s="376">
        <f t="shared" si="18"/>
        <v>1695420.722768436</v>
      </c>
      <c r="AD86" s="376">
        <f t="shared" si="18"/>
        <v>1763237.5516791735</v>
      </c>
      <c r="AE86" s="376">
        <f t="shared" si="18"/>
        <v>1833767.0537463406</v>
      </c>
      <c r="AF86" s="376">
        <f t="shared" si="18"/>
        <v>1907117.7358961944</v>
      </c>
      <c r="AG86" s="376">
        <f t="shared" si="18"/>
        <v>1983402.4453320422</v>
      </c>
    </row>
    <row r="87" spans="1:34">
      <c r="A87" s="368" t="s">
        <v>318</v>
      </c>
      <c r="B87" s="368" t="s">
        <v>313</v>
      </c>
      <c r="C87" s="376">
        <f>'Changing with year'!C292</f>
        <v>450000</v>
      </c>
      <c r="D87" s="376">
        <f>'Changing with year'!D293</f>
        <v>523000</v>
      </c>
      <c r="E87" s="376">
        <f>'Changing with year'!E293</f>
        <v>547000</v>
      </c>
      <c r="F87" s="376">
        <f>'Changing with year'!F293</f>
        <v>572000</v>
      </c>
      <c r="G87" s="376">
        <f>'Changing with year'!G293</f>
        <v>598000</v>
      </c>
      <c r="H87" s="376">
        <f>'Changing with year'!H293</f>
        <v>625000</v>
      </c>
      <c r="I87" s="376">
        <f>'Changing with year'!I293</f>
        <v>653000</v>
      </c>
      <c r="J87" s="376">
        <f>'Changing with year'!J293</f>
        <v>682000</v>
      </c>
      <c r="K87" s="376">
        <f>'Changing with year'!K293</f>
        <v>713000</v>
      </c>
      <c r="L87" s="376">
        <f>'Changing with year'!L293</f>
        <v>745000</v>
      </c>
      <c r="M87" s="376">
        <f>'Changing with year'!M293</f>
        <v>779000</v>
      </c>
      <c r="N87" s="376">
        <f>'Changing with year'!N293</f>
        <v>814000</v>
      </c>
      <c r="O87" s="376">
        <f>'Changing with year'!O293</f>
        <v>851000</v>
      </c>
      <c r="P87" s="376">
        <f>'Changing with year'!P293</f>
        <v>889000</v>
      </c>
      <c r="Q87" s="376">
        <f>'Changing with year'!Q293</f>
        <v>929000</v>
      </c>
      <c r="R87" s="376">
        <f>'Changing with year'!R293</f>
        <v>971000</v>
      </c>
      <c r="S87" s="376">
        <f>'Changing with year'!S293</f>
        <v>1015000</v>
      </c>
      <c r="T87" s="376">
        <f>'Changing with year'!T293</f>
        <v>1061000</v>
      </c>
      <c r="U87" s="376">
        <f>'Changing with year'!U293</f>
        <v>1109000</v>
      </c>
      <c r="V87" s="376">
        <f>'Changing with year'!V293</f>
        <v>1159000</v>
      </c>
      <c r="W87" s="376">
        <f>'Changing with year'!W293</f>
        <v>1211000</v>
      </c>
      <c r="X87" s="376">
        <f>'Changing with year'!X293</f>
        <v>1265000</v>
      </c>
      <c r="Y87" s="376">
        <f>'Changing with year'!Y293</f>
        <v>1322000</v>
      </c>
      <c r="Z87" s="376">
        <f>'Changing with year'!Z293</f>
        <v>1381000</v>
      </c>
      <c r="AA87" s="376">
        <f>'Changing with year'!AA293</f>
        <v>1443000</v>
      </c>
      <c r="AB87" s="376">
        <f>'Changing with year'!AB293</f>
        <v>1508000</v>
      </c>
      <c r="AC87" s="376">
        <f>'Changing with year'!AC293</f>
        <v>1576000</v>
      </c>
      <c r="AD87" s="376">
        <f>'Changing with year'!AD293</f>
        <v>1647000</v>
      </c>
      <c r="AE87" s="376">
        <f>'Changing with year'!AE293</f>
        <v>1721000</v>
      </c>
      <c r="AF87" s="376">
        <f>'Changing with year'!AF293</f>
        <v>1798000</v>
      </c>
      <c r="AG87" s="376">
        <f>'Changing with year'!AG293</f>
        <v>1879000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C59</f>
        <v>666400</v>
      </c>
      <c r="D88" s="376">
        <f t="shared" si="19"/>
        <v>673064</v>
      </c>
      <c r="E88" s="376">
        <f t="shared" si="19"/>
        <v>679794.64</v>
      </c>
      <c r="F88" s="376">
        <f t="shared" si="19"/>
        <v>686592.58640000003</v>
      </c>
      <c r="G88" s="376">
        <f t="shared" si="19"/>
        <v>693458.51226400002</v>
      </c>
      <c r="H88" s="376">
        <f t="shared" si="19"/>
        <v>700393.09738663991</v>
      </c>
      <c r="I88" s="376">
        <f t="shared" si="19"/>
        <v>707397.0283605064</v>
      </c>
      <c r="J88" s="376">
        <f t="shared" si="19"/>
        <v>714470.99864411145</v>
      </c>
      <c r="K88" s="376">
        <f t="shared" si="19"/>
        <v>721615.70863055263</v>
      </c>
      <c r="L88" s="376">
        <f t="shared" si="19"/>
        <v>728831.86571685818</v>
      </c>
      <c r="M88" s="376">
        <f t="shared" si="19"/>
        <v>736120.18437402672</v>
      </c>
      <c r="N88" s="376">
        <f t="shared" si="19"/>
        <v>743481.38621776691</v>
      </c>
      <c r="O88" s="376">
        <f t="shared" si="19"/>
        <v>750916.20007994468</v>
      </c>
      <c r="P88" s="376">
        <f t="shared" si="19"/>
        <v>758425.36208074412</v>
      </c>
      <c r="Q88" s="376">
        <f t="shared" si="19"/>
        <v>766009.61570155167</v>
      </c>
      <c r="R88" s="376">
        <f t="shared" si="19"/>
        <v>773669.71185856708</v>
      </c>
      <c r="S88" s="376">
        <f t="shared" si="19"/>
        <v>781406.40897715278</v>
      </c>
      <c r="T88" s="376">
        <f t="shared" si="19"/>
        <v>789220.47306692437</v>
      </c>
      <c r="U88" s="376">
        <f t="shared" si="19"/>
        <v>797112.67779759364</v>
      </c>
      <c r="V88" s="376">
        <f t="shared" si="19"/>
        <v>805083.80457556946</v>
      </c>
      <c r="W88" s="376">
        <f t="shared" si="19"/>
        <v>813134.64262132521</v>
      </c>
      <c r="X88" s="376">
        <f t="shared" si="19"/>
        <v>821265.98904753849</v>
      </c>
      <c r="Y88" s="376">
        <f t="shared" si="19"/>
        <v>829478.64893801382</v>
      </c>
      <c r="Z88" s="376">
        <f t="shared" si="19"/>
        <v>837773.43542739411</v>
      </c>
      <c r="AA88" s="376">
        <f t="shared" si="19"/>
        <v>846151.16978166811</v>
      </c>
      <c r="AB88" s="376">
        <f t="shared" si="19"/>
        <v>854612.68147948477</v>
      </c>
      <c r="AC88" s="376">
        <f t="shared" si="19"/>
        <v>863158.80829427973</v>
      </c>
      <c r="AD88" s="376">
        <f t="shared" si="19"/>
        <v>871790.39637722238</v>
      </c>
      <c r="AE88" s="376">
        <f t="shared" si="19"/>
        <v>880508.30034099461</v>
      </c>
      <c r="AF88" s="376">
        <f t="shared" si="19"/>
        <v>889313.38334440463</v>
      </c>
      <c r="AG88" s="376">
        <f t="shared" si="19"/>
        <v>898206.51717784861</v>
      </c>
    </row>
    <row r="89" spans="1:34">
      <c r="A89" s="300" t="s">
        <v>319</v>
      </c>
      <c r="B89" s="300" t="s">
        <v>309</v>
      </c>
      <c r="C89" s="376">
        <f t="shared" ref="C89:AG89" si="20">C81*$C$29</f>
        <v>89000</v>
      </c>
      <c r="D89" s="376">
        <f t="shared" si="20"/>
        <v>91670</v>
      </c>
      <c r="E89" s="376">
        <f t="shared" si="20"/>
        <v>94420.1</v>
      </c>
      <c r="F89" s="376">
        <f t="shared" si="20"/>
        <v>97252.703000000009</v>
      </c>
      <c r="G89" s="376">
        <f t="shared" si="20"/>
        <v>100170.28409000002</v>
      </c>
      <c r="H89" s="376">
        <f t="shared" si="20"/>
        <v>111175.39261270002</v>
      </c>
      <c r="I89" s="376">
        <f t="shared" si="20"/>
        <v>114510.65439108101</v>
      </c>
      <c r="J89" s="376">
        <f t="shared" si="20"/>
        <v>117945.97402281346</v>
      </c>
      <c r="K89" s="376">
        <f t="shared" si="20"/>
        <v>121484.35324349787</v>
      </c>
      <c r="L89" s="376">
        <f t="shared" si="20"/>
        <v>125128.88384080282</v>
      </c>
      <c r="M89" s="376">
        <f t="shared" si="20"/>
        <v>128882.75035602691</v>
      </c>
      <c r="N89" s="376">
        <f t="shared" si="20"/>
        <v>132749.23286670772</v>
      </c>
      <c r="O89" s="376">
        <f t="shared" si="20"/>
        <v>136731.70985270894</v>
      </c>
      <c r="P89" s="376">
        <f t="shared" si="20"/>
        <v>140833.66114829024</v>
      </c>
      <c r="Q89" s="376">
        <f t="shared" si="20"/>
        <v>145058.67098273893</v>
      </c>
      <c r="R89" s="376">
        <f t="shared" si="20"/>
        <v>149410.43111222112</v>
      </c>
      <c r="S89" s="376">
        <f t="shared" si="20"/>
        <v>153892.74404558775</v>
      </c>
      <c r="T89" s="376">
        <f t="shared" si="20"/>
        <v>158509.52636695537</v>
      </c>
      <c r="U89" s="376">
        <f t="shared" si="20"/>
        <v>163264.81215796404</v>
      </c>
      <c r="V89" s="376">
        <f t="shared" si="20"/>
        <v>168162.75652270296</v>
      </c>
      <c r="W89" s="376">
        <f t="shared" si="20"/>
        <v>173207.63921838402</v>
      </c>
      <c r="X89" s="376">
        <f t="shared" si="20"/>
        <v>178403.86839493553</v>
      </c>
      <c r="Y89" s="376">
        <f t="shared" si="20"/>
        <v>183755.98444678364</v>
      </c>
      <c r="Z89" s="376">
        <f t="shared" si="20"/>
        <v>189268.66398018715</v>
      </c>
      <c r="AA89" s="376">
        <f t="shared" si="20"/>
        <v>194946.72389959276</v>
      </c>
      <c r="AB89" s="376">
        <f t="shared" si="20"/>
        <v>200795.12561658054</v>
      </c>
      <c r="AC89" s="376">
        <f t="shared" si="20"/>
        <v>206818.97938507795</v>
      </c>
      <c r="AD89" s="376">
        <f t="shared" si="20"/>
        <v>213023.54876663029</v>
      </c>
      <c r="AE89" s="376">
        <f t="shared" si="20"/>
        <v>219414.2552296292</v>
      </c>
      <c r="AF89" s="376">
        <f t="shared" si="20"/>
        <v>225996.6828865181</v>
      </c>
      <c r="AG89" s="376">
        <f t="shared" si="20"/>
        <v>232776.58337311365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14.510028642279604</v>
      </c>
      <c r="D91" s="379">
        <f t="shared" si="21"/>
        <v>14.945329501547992</v>
      </c>
      <c r="E91" s="379">
        <f t="shared" si="21"/>
        <v>15.393689386594431</v>
      </c>
      <c r="F91" s="379">
        <f t="shared" si="21"/>
        <v>15.855500068192265</v>
      </c>
      <c r="G91" s="379">
        <f t="shared" si="21"/>
        <v>16.331165070238036</v>
      </c>
      <c r="H91" s="379">
        <f t="shared" si="21"/>
        <v>18.125372259853453</v>
      </c>
      <c r="I91" s="379">
        <f t="shared" si="21"/>
        <v>18.669133427649061</v>
      </c>
      <c r="J91" s="379">
        <f t="shared" si="21"/>
        <v>19.229207430478532</v>
      </c>
      <c r="K91" s="379">
        <f t="shared" si="21"/>
        <v>19.806083653392889</v>
      </c>
      <c r="L91" s="379">
        <f t="shared" si="21"/>
        <v>20.400266162994679</v>
      </c>
      <c r="M91" s="379">
        <f t="shared" si="21"/>
        <v>21.012274147884522</v>
      </c>
      <c r="N91" s="379">
        <f t="shared" si="21"/>
        <v>21.642642372321056</v>
      </c>
      <c r="O91" s="379">
        <f t="shared" si="21"/>
        <v>22.291921643490685</v>
      </c>
      <c r="P91" s="379">
        <f t="shared" si="21"/>
        <v>22.960679292795412</v>
      </c>
      <c r="Q91" s="379">
        <f t="shared" si="21"/>
        <v>23.649499671579271</v>
      </c>
      <c r="R91" s="379">
        <f t="shared" si="21"/>
        <v>24.358984661726648</v>
      </c>
      <c r="S91" s="379">
        <f t="shared" si="21"/>
        <v>25.089754201578451</v>
      </c>
      <c r="T91" s="379">
        <f t="shared" si="21"/>
        <v>25.842446827625807</v>
      </c>
      <c r="U91" s="379">
        <f t="shared" si="21"/>
        <v>26.61772023245458</v>
      </c>
      <c r="V91" s="379">
        <f t="shared" si="21"/>
        <v>27.416251839428213</v>
      </c>
      <c r="W91" s="379">
        <f t="shared" si="21"/>
        <v>28.238739394611059</v>
      </c>
      <c r="X91" s="379">
        <f t="shared" si="21"/>
        <v>29.085901576449388</v>
      </c>
      <c r="Y91" s="379">
        <f t="shared" si="21"/>
        <v>29.958478623742877</v>
      </c>
      <c r="Z91" s="379">
        <f t="shared" si="21"/>
        <v>30.857232982455159</v>
      </c>
      <c r="AA91" s="379">
        <f t="shared" si="21"/>
        <v>31.782949971928819</v>
      </c>
      <c r="AB91" s="379">
        <f t="shared" si="21"/>
        <v>32.736438471086679</v>
      </c>
      <c r="AC91" s="379">
        <f t="shared" si="21"/>
        <v>33.718531625219278</v>
      </c>
      <c r="AD91" s="379">
        <f t="shared" si="21"/>
        <v>34.730087573975865</v>
      </c>
      <c r="AE91" s="379">
        <f t="shared" si="21"/>
        <v>35.771990201195138</v>
      </c>
      <c r="AF91" s="379">
        <f t="shared" si="21"/>
        <v>36.84514990723099</v>
      </c>
      <c r="AG91" s="379">
        <f t="shared" si="21"/>
        <v>37.950504404447926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21.75</v>
      </c>
      <c r="D92" s="379">
        <f t="shared" si="22"/>
        <v>22.875</v>
      </c>
      <c r="E92" s="379">
        <f t="shared" si="22"/>
        <v>23.561250000000001</v>
      </c>
      <c r="F92" s="379">
        <f t="shared" si="22"/>
        <v>24.2680875</v>
      </c>
      <c r="G92" s="379">
        <f t="shared" si="22"/>
        <v>24.996130125000001</v>
      </c>
      <c r="H92" s="379">
        <f t="shared" si="22"/>
        <v>25.74601402875</v>
      </c>
      <c r="I92" s="379">
        <f t="shared" si="22"/>
        <v>26.518394449612501</v>
      </c>
      <c r="J92" s="379">
        <f t="shared" si="22"/>
        <v>27.313946283100876</v>
      </c>
      <c r="K92" s="379">
        <f t="shared" si="22"/>
        <v>28.133364671593903</v>
      </c>
      <c r="L92" s="379">
        <f t="shared" si="22"/>
        <v>28.977365611741721</v>
      </c>
      <c r="M92" s="379">
        <f t="shared" si="22"/>
        <v>29.846686580093973</v>
      </c>
      <c r="N92" s="379">
        <f t="shared" si="22"/>
        <v>30.742087177496792</v>
      </c>
      <c r="O92" s="379">
        <f t="shared" si="22"/>
        <v>31.664349792821699</v>
      </c>
      <c r="P92" s="379">
        <f t="shared" si="22"/>
        <v>32.614280286606345</v>
      </c>
      <c r="Q92" s="379">
        <f t="shared" si="22"/>
        <v>33.592708695204536</v>
      </c>
      <c r="R92" s="379">
        <f t="shared" si="22"/>
        <v>34.60048995606067</v>
      </c>
      <c r="S92" s="379">
        <f t="shared" si="22"/>
        <v>35.638504654742491</v>
      </c>
      <c r="T92" s="379">
        <f t="shared" si="22"/>
        <v>36.707659794384767</v>
      </c>
      <c r="U92" s="379">
        <f t="shared" si="22"/>
        <v>37.80888958821631</v>
      </c>
      <c r="V92" s="379">
        <f t="shared" si="22"/>
        <v>38.943156275862798</v>
      </c>
      <c r="W92" s="379">
        <f t="shared" si="22"/>
        <v>40.111450964138683</v>
      </c>
      <c r="X92" s="379">
        <f t="shared" si="22"/>
        <v>41.314794493062841</v>
      </c>
      <c r="Y92" s="379">
        <f t="shared" si="22"/>
        <v>42.554238327854726</v>
      </c>
      <c r="Z92" s="379">
        <f t="shared" si="22"/>
        <v>43.830865477690367</v>
      </c>
      <c r="AA92" s="379">
        <f t="shared" si="22"/>
        <v>45.145791442021078</v>
      </c>
      <c r="AB92" s="379">
        <f t="shared" si="22"/>
        <v>46.500165185281709</v>
      </c>
      <c r="AC92" s="379">
        <f t="shared" si="22"/>
        <v>47.895170140840165</v>
      </c>
      <c r="AD92" s="379">
        <f t="shared" si="22"/>
        <v>49.332025245065374</v>
      </c>
      <c r="AE92" s="379">
        <f t="shared" si="22"/>
        <v>50.811986002417335</v>
      </c>
      <c r="AF92" s="379">
        <f t="shared" si="22"/>
        <v>52.336345582489855</v>
      </c>
      <c r="AG92" s="379">
        <f t="shared" si="22"/>
        <v>53.906435949964553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27.037500000000001</v>
      </c>
      <c r="D93" s="379">
        <f t="shared" si="23"/>
        <v>28.626708333333333</v>
      </c>
      <c r="E93" s="379">
        <f t="shared" si="23"/>
        <v>29.503493630952388</v>
      </c>
      <c r="F93" s="379">
        <f t="shared" si="23"/>
        <v>30.412531587500006</v>
      </c>
      <c r="G93" s="379">
        <f t="shared" si="23"/>
        <v>31.35447474650595</v>
      </c>
      <c r="H93" s="379">
        <f t="shared" si="23"/>
        <v>32.449048703496842</v>
      </c>
      <c r="I93" s="379">
        <f t="shared" si="23"/>
        <v>33.462434061640792</v>
      </c>
      <c r="J93" s="379">
        <f t="shared" si="23"/>
        <v>34.510946046208716</v>
      </c>
      <c r="K93" s="379">
        <f t="shared" si="23"/>
        <v>35.610229279432787</v>
      </c>
      <c r="L93" s="379">
        <f t="shared" si="23"/>
        <v>36.746196266214994</v>
      </c>
      <c r="M93" s="379">
        <f t="shared" si="23"/>
        <v>37.934552378620829</v>
      </c>
      <c r="N93" s="379">
        <f t="shared" si="23"/>
        <v>39.161273267890941</v>
      </c>
      <c r="O93" s="379">
        <f t="shared" si="23"/>
        <v>40.442129943916107</v>
      </c>
      <c r="P93" s="379">
        <f t="shared" si="23"/>
        <v>41.763166286004214</v>
      </c>
      <c r="Q93" s="379">
        <f t="shared" si="23"/>
        <v>43.140224225035084</v>
      </c>
      <c r="R93" s="379">
        <f t="shared" si="23"/>
        <v>44.574302313368712</v>
      </c>
      <c r="S93" s="379">
        <f t="shared" si="23"/>
        <v>46.066438160860621</v>
      </c>
      <c r="T93" s="379">
        <f t="shared" si="23"/>
        <v>47.617709977328225</v>
      </c>
      <c r="U93" s="379">
        <f t="shared" si="23"/>
        <v>49.229238176188055</v>
      </c>
      <c r="V93" s="379">
        <f t="shared" si="23"/>
        <v>50.902187041695292</v>
      </c>
      <c r="W93" s="379">
        <f t="shared" si="23"/>
        <v>52.637766462314083</v>
      </c>
      <c r="X93" s="379">
        <f t="shared" si="23"/>
        <v>54.437233732847965</v>
      </c>
      <c r="Y93" s="379">
        <f t="shared" si="23"/>
        <v>56.316776380444985</v>
      </c>
      <c r="Z93" s="379">
        <f t="shared" si="23"/>
        <v>58.262871255415654</v>
      </c>
      <c r="AA93" s="379">
        <f t="shared" si="23"/>
        <v>60.291810366009891</v>
      </c>
      <c r="AB93" s="379">
        <f t="shared" si="23"/>
        <v>62.405060126893659</v>
      </c>
      <c r="AC93" s="379">
        <f t="shared" si="23"/>
        <v>64.604144500711215</v>
      </c>
      <c r="AD93" s="379">
        <f t="shared" si="23"/>
        <v>66.890647274152187</v>
      </c>
      <c r="AE93" s="379">
        <f t="shared" si="23"/>
        <v>69.266214424359589</v>
      </c>
      <c r="AF93" s="379">
        <f t="shared" si="23"/>
        <v>71.732556579272583</v>
      </c>
      <c r="AG93" s="379">
        <f t="shared" si="23"/>
        <v>74.306332528020903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2.3650085034013606</v>
      </c>
      <c r="D94" s="379">
        <f t="shared" si="24"/>
        <v>2.4359587585034013</v>
      </c>
      <c r="E94" s="379">
        <f t="shared" si="24"/>
        <v>2.5090375212585032</v>
      </c>
      <c r="F94" s="379">
        <f t="shared" si="24"/>
        <v>2.5843086468962588</v>
      </c>
      <c r="G94" s="379">
        <f t="shared" si="24"/>
        <v>2.6618379063031465</v>
      </c>
      <c r="H94" s="379">
        <f t="shared" si="24"/>
        <v>2.9542780775058466</v>
      </c>
      <c r="I94" s="379">
        <f t="shared" si="24"/>
        <v>3.0429064198310218</v>
      </c>
      <c r="J94" s="379">
        <f t="shared" si="24"/>
        <v>3.1341936124259528</v>
      </c>
      <c r="K94" s="379">
        <f t="shared" si="24"/>
        <v>3.2282194207987316</v>
      </c>
      <c r="L94" s="379">
        <f t="shared" si="24"/>
        <v>3.3250660034226938</v>
      </c>
      <c r="M94" s="379">
        <f t="shared" si="24"/>
        <v>3.4248179835253749</v>
      </c>
      <c r="N94" s="379">
        <f t="shared" si="24"/>
        <v>2.8220500184249091</v>
      </c>
      <c r="O94" s="379">
        <f t="shared" si="24"/>
        <v>2.9067115189776564</v>
      </c>
      <c r="P94" s="379">
        <f t="shared" si="24"/>
        <v>2.9939128645469864</v>
      </c>
      <c r="Q94" s="379">
        <f t="shared" si="24"/>
        <v>3.0837302504833963</v>
      </c>
      <c r="R94" s="379">
        <f t="shared" si="24"/>
        <v>3.1762421579978977</v>
      </c>
      <c r="S94" s="379">
        <f t="shared" si="24"/>
        <v>3.2715294227378346</v>
      </c>
      <c r="T94" s="379">
        <f t="shared" si="24"/>
        <v>3.3696753054199702</v>
      </c>
      <c r="U94" s="379">
        <f t="shared" si="24"/>
        <v>3.4707655645825692</v>
      </c>
      <c r="V94" s="379">
        <f t="shared" si="24"/>
        <v>3.5748885315200458</v>
      </c>
      <c r="W94" s="379">
        <f t="shared" si="24"/>
        <v>3.6821351874656467</v>
      </c>
      <c r="X94" s="379">
        <f t="shared" si="24"/>
        <v>2.8444494323172114</v>
      </c>
      <c r="Y94" s="379">
        <f t="shared" si="24"/>
        <v>2.9297829152867281</v>
      </c>
      <c r="Z94" s="379">
        <f t="shared" si="24"/>
        <v>3.0176764027453302</v>
      </c>
      <c r="AA94" s="379">
        <f t="shared" si="24"/>
        <v>3.1082066948276896</v>
      </c>
      <c r="AB94" s="379">
        <f t="shared" si="24"/>
        <v>3.2014528956725208</v>
      </c>
      <c r="AC94" s="379">
        <f t="shared" si="24"/>
        <v>3.2974964825426967</v>
      </c>
      <c r="AD94" s="379">
        <f t="shared" si="24"/>
        <v>3.3964213770189771</v>
      </c>
      <c r="AE94" s="379">
        <f t="shared" si="24"/>
        <v>3.4983140183295465</v>
      </c>
      <c r="AF94" s="379">
        <f t="shared" si="24"/>
        <v>3.6032634388794329</v>
      </c>
      <c r="AG94" s="379">
        <f t="shared" si="24"/>
        <v>3.7113613420458162</v>
      </c>
    </row>
    <row r="95" spans="1:34" s="352" customFormat="1">
      <c r="A95" s="380" t="s">
        <v>323</v>
      </c>
      <c r="B95" s="352" t="s">
        <v>300</v>
      </c>
      <c r="C95" s="381">
        <f t="shared" ref="C95:AG95" si="25">SUM(C91:C93)-C94</f>
        <v>60.932520138878246</v>
      </c>
      <c r="D95" s="381">
        <f t="shared" si="25"/>
        <v>64.011079076377911</v>
      </c>
      <c r="E95" s="381">
        <f t="shared" si="25"/>
        <v>65.949395496288318</v>
      </c>
      <c r="F95" s="381">
        <f t="shared" si="25"/>
        <v>67.951810508796001</v>
      </c>
      <c r="G95" s="381">
        <f t="shared" si="25"/>
        <v>70.019932035440846</v>
      </c>
      <c r="H95" s="381">
        <f t="shared" si="25"/>
        <v>73.366156914594455</v>
      </c>
      <c r="I95" s="381">
        <f t="shared" si="25"/>
        <v>75.607055519071324</v>
      </c>
      <c r="J95" s="381">
        <f t="shared" si="25"/>
        <v>77.919906147362184</v>
      </c>
      <c r="K95" s="381">
        <f t="shared" si="25"/>
        <v>80.321458183620834</v>
      </c>
      <c r="L95" s="381">
        <f t="shared" si="25"/>
        <v>82.798762037528704</v>
      </c>
      <c r="M95" s="381">
        <f t="shared" si="25"/>
        <v>85.368695123073962</v>
      </c>
      <c r="N95" s="381">
        <f t="shared" si="25"/>
        <v>88.723952799283893</v>
      </c>
      <c r="O95" s="381">
        <f t="shared" si="25"/>
        <v>91.491689861250833</v>
      </c>
      <c r="P95" s="381">
        <f t="shared" si="25"/>
        <v>94.344213000858986</v>
      </c>
      <c r="Q95" s="381">
        <f t="shared" si="25"/>
        <v>97.298702341335485</v>
      </c>
      <c r="R95" s="381">
        <f t="shared" si="25"/>
        <v>100.35753477315814</v>
      </c>
      <c r="S95" s="381">
        <f t="shared" si="25"/>
        <v>103.52316759444373</v>
      </c>
      <c r="T95" s="381">
        <f t="shared" si="25"/>
        <v>106.79814129391883</v>
      </c>
      <c r="U95" s="381">
        <f t="shared" si="25"/>
        <v>110.18508243227637</v>
      </c>
      <c r="V95" s="381">
        <f t="shared" si="25"/>
        <v>113.68670662546627</v>
      </c>
      <c r="W95" s="381">
        <f t="shared" si="25"/>
        <v>117.30582163359817</v>
      </c>
      <c r="X95" s="381">
        <f t="shared" si="25"/>
        <v>121.993480370043</v>
      </c>
      <c r="Y95" s="381">
        <f t="shared" si="25"/>
        <v>125.89971041675588</v>
      </c>
      <c r="Z95" s="381">
        <f t="shared" si="25"/>
        <v>129.93329331281583</v>
      </c>
      <c r="AA95" s="381">
        <f t="shared" si="25"/>
        <v>134.11234508513209</v>
      </c>
      <c r="AB95" s="381">
        <f t="shared" si="25"/>
        <v>138.44021088758953</v>
      </c>
      <c r="AC95" s="381">
        <f t="shared" si="25"/>
        <v>142.92034978422797</v>
      </c>
      <c r="AD95" s="381">
        <f t="shared" si="25"/>
        <v>147.55633871617445</v>
      </c>
      <c r="AE95" s="381">
        <f t="shared" si="25"/>
        <v>152.35187660964252</v>
      </c>
      <c r="AF95" s="381">
        <f t="shared" si="25"/>
        <v>157.31078863011402</v>
      </c>
      <c r="AG95" s="381">
        <f t="shared" si="25"/>
        <v>162.45191154038756</v>
      </c>
    </row>
    <row r="96" spans="1:34" s="344" customFormat="1">
      <c r="A96" s="342" t="s">
        <v>180</v>
      </c>
      <c r="B96" s="342"/>
      <c r="H96" s="382">
        <f>H98/H63</f>
        <v>1.1157714936420573</v>
      </c>
      <c r="AB96" s="382">
        <f>AB98/AB63</f>
        <v>1.0782552042285343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6">D97+1</f>
        <v>2027</v>
      </c>
      <c r="F97" s="360">
        <f t="shared" si="26"/>
        <v>2028</v>
      </c>
      <c r="G97" s="360">
        <f t="shared" si="26"/>
        <v>2029</v>
      </c>
      <c r="H97" s="360">
        <f>G97+1</f>
        <v>2030</v>
      </c>
      <c r="I97" s="360">
        <f>H97+1</f>
        <v>2031</v>
      </c>
      <c r="J97" s="360">
        <f t="shared" si="26"/>
        <v>2032</v>
      </c>
      <c r="K97" s="360">
        <f t="shared" si="26"/>
        <v>2033</v>
      </c>
      <c r="L97" s="360">
        <f t="shared" si="26"/>
        <v>2034</v>
      </c>
      <c r="M97" s="360">
        <f t="shared" si="26"/>
        <v>2035</v>
      </c>
      <c r="N97" s="360">
        <f t="shared" si="26"/>
        <v>2036</v>
      </c>
      <c r="O97" s="360">
        <f t="shared" si="26"/>
        <v>2037</v>
      </c>
      <c r="P97" s="360">
        <f t="shared" si="26"/>
        <v>2038</v>
      </c>
      <c r="Q97" s="360">
        <f t="shared" si="26"/>
        <v>2039</v>
      </c>
      <c r="R97" s="360">
        <f t="shared" si="26"/>
        <v>2040</v>
      </c>
      <c r="S97" s="360">
        <f t="shared" si="26"/>
        <v>2041</v>
      </c>
      <c r="T97" s="360">
        <f t="shared" si="26"/>
        <v>2042</v>
      </c>
      <c r="U97" s="360">
        <f t="shared" si="26"/>
        <v>2043</v>
      </c>
      <c r="V97" s="360">
        <f t="shared" si="26"/>
        <v>2044</v>
      </c>
      <c r="W97" s="360">
        <f t="shared" si="26"/>
        <v>2045</v>
      </c>
      <c r="X97" s="360">
        <f t="shared" si="26"/>
        <v>2046</v>
      </c>
      <c r="Y97" s="360">
        <f t="shared" si="26"/>
        <v>2047</v>
      </c>
      <c r="Z97" s="360">
        <f t="shared" si="26"/>
        <v>2048</v>
      </c>
      <c r="AA97" s="360">
        <f t="shared" si="26"/>
        <v>2049</v>
      </c>
      <c r="AB97" s="360">
        <f t="shared" si="26"/>
        <v>2050</v>
      </c>
      <c r="AC97" s="360">
        <f t="shared" si="26"/>
        <v>2051</v>
      </c>
      <c r="AD97" s="360">
        <f t="shared" si="26"/>
        <v>2052</v>
      </c>
      <c r="AE97" s="360">
        <f t="shared" si="26"/>
        <v>2053</v>
      </c>
      <c r="AF97" s="360">
        <f t="shared" si="26"/>
        <v>2054</v>
      </c>
      <c r="AG97" s="360">
        <f t="shared" si="26"/>
        <v>2055</v>
      </c>
    </row>
    <row r="98" spans="1:34">
      <c r="A98" s="368" t="s">
        <v>326</v>
      </c>
      <c r="B98" s="300" t="s">
        <v>309</v>
      </c>
      <c r="C98" s="376">
        <f>ROUND(('Changing with year'!C110)/1000,0)*1000</f>
        <v>4780000</v>
      </c>
      <c r="D98" s="376">
        <f>ROUND(('Changing with year'!D110)/1000,0)*1000</f>
        <v>4912000</v>
      </c>
      <c r="E98" s="376">
        <f>ROUND(('Changing with year'!E110)/1000,0)*1000</f>
        <v>5048000</v>
      </c>
      <c r="F98" s="376">
        <f>ROUND(('Changing with year'!F110)/1000,0)*1000</f>
        <v>5187000</v>
      </c>
      <c r="G98" s="376">
        <f>ROUND(('Changing with year'!G110)/1000,0)*1000</f>
        <v>5331000</v>
      </c>
      <c r="H98" s="376">
        <f>ROUND(('Changing with year'!H110)/1000,0)*1000</f>
        <v>5879000</v>
      </c>
      <c r="I98" s="376">
        <f>ROUND(('Changing with year'!I110)/1000,0)*1000</f>
        <v>6043000</v>
      </c>
      <c r="J98" s="376">
        <f>ROUND(('Changing with year'!J110)/1000,0)*1000</f>
        <v>6212000</v>
      </c>
      <c r="K98" s="376">
        <f>ROUND(('Changing with year'!K110)/1000,0)*1000</f>
        <v>6386000</v>
      </c>
      <c r="L98" s="376">
        <f>ROUND(('Changing with year'!L110)/1000,0)*1000</f>
        <v>6565000</v>
      </c>
      <c r="M98" s="376">
        <f>ROUND(('Changing with year'!M110)/1000,0)*1000</f>
        <v>6749000</v>
      </c>
      <c r="N98" s="376">
        <f>ROUND(('Changing with year'!N110)/1000,0)*1000</f>
        <v>6939000</v>
      </c>
      <c r="O98" s="376">
        <f>ROUND(('Changing with year'!O110)/1000,0)*1000</f>
        <v>7134000</v>
      </c>
      <c r="P98" s="376">
        <f>ROUND(('Changing with year'!P110)/1000,0)*1000</f>
        <v>7335000</v>
      </c>
      <c r="Q98" s="376">
        <f>ROUND(('Changing with year'!Q110)/1000,0)*1000</f>
        <v>7542000</v>
      </c>
      <c r="R98" s="376">
        <f>ROUND(('Changing with year'!R110)/1000,0)*1000</f>
        <v>7755000</v>
      </c>
      <c r="S98" s="376">
        <f>ROUND(('Changing with year'!S110)/1000,0)*1000</f>
        <v>7974000</v>
      </c>
      <c r="T98" s="376">
        <f>ROUND(('Changing with year'!T110)/1000,0)*1000</f>
        <v>8199000</v>
      </c>
      <c r="U98" s="376">
        <f>ROUND(('Changing with year'!U110)/1000,0)*1000</f>
        <v>8432000</v>
      </c>
      <c r="V98" s="376">
        <f>ROUND(('Changing with year'!V110)/1000,0)*1000</f>
        <v>8671000</v>
      </c>
      <c r="W98" s="376">
        <f>ROUND(('Changing with year'!W110)/1000,0)*1000</f>
        <v>8917000</v>
      </c>
      <c r="X98" s="376">
        <f>ROUND(('Changing with year'!X110)/1000,0)*1000</f>
        <v>9170000</v>
      </c>
      <c r="Y98" s="376">
        <f>ROUND(('Changing with year'!Y110)/1000,0)*1000</f>
        <v>9431000</v>
      </c>
      <c r="Z98" s="376">
        <f>ROUND(('Changing with year'!Z110)/1000,0)*1000</f>
        <v>9700000</v>
      </c>
      <c r="AA98" s="376">
        <f>ROUND(('Changing with year'!AA110)/1000,0)*1000</f>
        <v>9976000</v>
      </c>
      <c r="AB98" s="376">
        <f>ROUND(('Changing with year'!AB110)/1000,0)*1000</f>
        <v>10261000</v>
      </c>
      <c r="AC98" s="376">
        <f>ROUND(('Changing with year'!AC110)/1000,0)*1000</f>
        <v>10554000</v>
      </c>
      <c r="AD98" s="376">
        <f>ROUND(('Changing with year'!AD110)/1000,0)*1000</f>
        <v>10855000</v>
      </c>
      <c r="AE98" s="376">
        <f>ROUND(('Changing with year'!AE110)/1000,0)*1000</f>
        <v>11166000</v>
      </c>
      <c r="AF98" s="376">
        <f>ROUND(('Changing with year'!AF110)/1000,0)*1000</f>
        <v>11485000</v>
      </c>
      <c r="AG98" s="376">
        <f>ROUND(('Changing with year'!AG110)/1000,0)*1000</f>
        <v>11814000</v>
      </c>
    </row>
    <row r="99" spans="1:34">
      <c r="A99" s="368" t="s">
        <v>310</v>
      </c>
      <c r="B99" s="300" t="s">
        <v>309</v>
      </c>
      <c r="C99" s="376">
        <f>(C98*'No change with year'!$AE$11)</f>
        <v>1195000</v>
      </c>
      <c r="D99" s="376">
        <f>(D98*'No change with year'!$AE$11)</f>
        <v>1228000</v>
      </c>
      <c r="E99" s="376">
        <f>(E98*'No change with year'!$AE$11)</f>
        <v>1262000</v>
      </c>
      <c r="F99" s="376">
        <f>(F98*'No change with year'!$AE$11)</f>
        <v>1296750</v>
      </c>
      <c r="G99" s="376">
        <f>(G98*'No change with year'!$AE$11)</f>
        <v>1332750</v>
      </c>
      <c r="H99" s="376">
        <f>(H98*'No change with year'!$AE$11)</f>
        <v>1469750</v>
      </c>
      <c r="I99" s="376">
        <f>(I98*'No change with year'!$AE$11)</f>
        <v>1510750</v>
      </c>
      <c r="J99" s="376">
        <f>(J98*'No change with year'!$AE$11)</f>
        <v>1553000</v>
      </c>
      <c r="K99" s="376">
        <f>(K98*'No change with year'!$AE$11)</f>
        <v>1596500</v>
      </c>
      <c r="L99" s="376">
        <f>(L98*'No change with year'!$AE$11)</f>
        <v>1641250</v>
      </c>
      <c r="M99" s="376">
        <f>(M98*'No change with year'!$AE$11)</f>
        <v>1687250</v>
      </c>
      <c r="N99" s="376">
        <f>(N98*'No change with year'!$AF$11)</f>
        <v>1387800</v>
      </c>
      <c r="O99" s="376">
        <f>(O98*'No change with year'!$AF$11)</f>
        <v>1426800</v>
      </c>
      <c r="P99" s="376">
        <f>(P98*'No change with year'!$AF$11)</f>
        <v>1467000</v>
      </c>
      <c r="Q99" s="376">
        <f>(Q98*'No change with year'!$AF$11)</f>
        <v>1508400</v>
      </c>
      <c r="R99" s="376">
        <f>(R98*'No change with year'!$AF$11)</f>
        <v>1551000</v>
      </c>
      <c r="S99" s="376">
        <f>(S98*'No change with year'!$AF$11)</f>
        <v>1594800</v>
      </c>
      <c r="T99" s="376">
        <f>(T98*'No change with year'!$AF$11)</f>
        <v>1639800</v>
      </c>
      <c r="U99" s="376">
        <f>(U98*'No change with year'!$AF$11)</f>
        <v>1686400</v>
      </c>
      <c r="V99" s="376">
        <f>(V98*'No change with year'!$AF$11)</f>
        <v>1734200</v>
      </c>
      <c r="W99" s="376">
        <f>(W98*'No change with year'!$AF$11)</f>
        <v>1783400</v>
      </c>
      <c r="X99" s="376">
        <f>(X98*'No change with year'!$AG$11)</f>
        <v>1375499.9999999998</v>
      </c>
      <c r="Y99" s="376">
        <f>(Y98*'No change with year'!$AG$11)</f>
        <v>1414649.9999999998</v>
      </c>
      <c r="Z99" s="376">
        <f>(Z98*'No change with year'!$AG$11)</f>
        <v>1454999.9999999998</v>
      </c>
      <c r="AA99" s="376">
        <f>(AA98*'No change with year'!$AG$11)</f>
        <v>1496399.9999999998</v>
      </c>
      <c r="AB99" s="376">
        <f>(AB98*'No change with year'!$AG$11)</f>
        <v>1539149.9999999998</v>
      </c>
      <c r="AC99" s="376">
        <f>(AC98*'No change with year'!$AG$11)</f>
        <v>1583099.9999999995</v>
      </c>
      <c r="AD99" s="376">
        <f>(AD98*'No change with year'!$AG$11)</f>
        <v>1628249.9999999995</v>
      </c>
      <c r="AE99" s="376">
        <f>(AE98*'No change with year'!$AG$11)</f>
        <v>1674899.9999999995</v>
      </c>
      <c r="AF99" s="376">
        <f>(AF98*'No change with year'!$AG$11)</f>
        <v>1722749.9999999995</v>
      </c>
      <c r="AG99" s="376">
        <f>(AG98*'No change with year'!$AG$11)</f>
        <v>1772099.9999999995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7">-PMT($C$26,$C$25,C98)</f>
        <v>1047382.7776086484</v>
      </c>
      <c r="D101" s="376">
        <f t="shared" si="27"/>
        <v>1076306.318747632</v>
      </c>
      <c r="E101" s="376">
        <f t="shared" si="27"/>
        <v>1106106.3308302213</v>
      </c>
      <c r="F101" s="376">
        <f t="shared" si="27"/>
        <v>1136563.6961205145</v>
      </c>
      <c r="G101" s="376">
        <f t="shared" si="27"/>
        <v>1168116.6500903147</v>
      </c>
      <c r="H101" s="376">
        <f t="shared" si="27"/>
        <v>1288193.169364277</v>
      </c>
      <c r="I101" s="376">
        <f t="shared" si="27"/>
        <v>1324128.4780521051</v>
      </c>
      <c r="J101" s="376">
        <f t="shared" si="27"/>
        <v>1361159.3754194402</v>
      </c>
      <c r="K101" s="376">
        <f t="shared" si="27"/>
        <v>1399285.861466282</v>
      </c>
      <c r="L101" s="376">
        <f t="shared" si="27"/>
        <v>1438507.936192631</v>
      </c>
      <c r="M101" s="376">
        <f t="shared" si="27"/>
        <v>1478825.5995984871</v>
      </c>
      <c r="N101" s="376">
        <f t="shared" si="27"/>
        <v>1520457.9694197513</v>
      </c>
      <c r="O101" s="376">
        <f t="shared" si="27"/>
        <v>1563185.9279205226</v>
      </c>
      <c r="P101" s="376">
        <f t="shared" si="27"/>
        <v>1607228.592836702</v>
      </c>
      <c r="Q101" s="376">
        <f t="shared" si="27"/>
        <v>1652585.9641682899</v>
      </c>
      <c r="R101" s="376">
        <f t="shared" si="27"/>
        <v>1699258.0419152861</v>
      </c>
      <c r="S101" s="376">
        <f t="shared" si="27"/>
        <v>1747244.8260776908</v>
      </c>
      <c r="T101" s="376">
        <f t="shared" si="27"/>
        <v>1796546.3166555038</v>
      </c>
      <c r="U101" s="376">
        <f t="shared" si="27"/>
        <v>1847600.7491205279</v>
      </c>
      <c r="V101" s="376">
        <f t="shared" si="27"/>
        <v>1899969.8880009602</v>
      </c>
      <c r="W101" s="376">
        <f t="shared" si="27"/>
        <v>1953872.8510327025</v>
      </c>
      <c r="X101" s="376">
        <f t="shared" si="27"/>
        <v>2009309.6382157542</v>
      </c>
      <c r="Y101" s="376">
        <f t="shared" si="27"/>
        <v>2066499.3672860174</v>
      </c>
      <c r="Z101" s="376">
        <f t="shared" si="27"/>
        <v>2125442.0382434912</v>
      </c>
      <c r="AA101" s="376">
        <f t="shared" si="27"/>
        <v>2185918.5333522754</v>
      </c>
      <c r="AB101" s="376">
        <f t="shared" si="27"/>
        <v>2248367.088084172</v>
      </c>
      <c r="AC101" s="376">
        <f t="shared" si="27"/>
        <v>2312568.5847032792</v>
      </c>
      <c r="AD101" s="376">
        <f t="shared" si="27"/>
        <v>2378523.0232095979</v>
      </c>
      <c r="AE101" s="376">
        <f t="shared" si="27"/>
        <v>2446668.6390749305</v>
      </c>
      <c r="AF101" s="376">
        <f t="shared" si="27"/>
        <v>2516567.1968274741</v>
      </c>
      <c r="AG101" s="376">
        <f t="shared" si="27"/>
        <v>2588656.9319390315</v>
      </c>
    </row>
    <row r="102" spans="1:34">
      <c r="A102" s="300" t="s">
        <v>321</v>
      </c>
      <c r="B102" s="300" t="s">
        <v>309</v>
      </c>
      <c r="C102" s="376">
        <f t="shared" ref="C102:AG102" si="28">$E$37*C44</f>
        <v>1430153.8461538462</v>
      </c>
      <c r="D102" s="376">
        <f t="shared" si="28"/>
        <v>1481846.1538461538</v>
      </c>
      <c r="E102" s="376">
        <f t="shared" si="28"/>
        <v>1526301.5384615385</v>
      </c>
      <c r="F102" s="376">
        <f t="shared" si="28"/>
        <v>1572090.5846153845</v>
      </c>
      <c r="G102" s="376">
        <f t="shared" si="28"/>
        <v>1619253.302153846</v>
      </c>
      <c r="H102" s="376">
        <f t="shared" si="28"/>
        <v>1667830.9012184616</v>
      </c>
      <c r="I102" s="376">
        <f t="shared" si="28"/>
        <v>1717865.8282550154</v>
      </c>
      <c r="J102" s="376">
        <f t="shared" si="28"/>
        <v>1769401.803102666</v>
      </c>
      <c r="K102" s="376">
        <f t="shared" si="28"/>
        <v>1822483.8571957462</v>
      </c>
      <c r="L102" s="376">
        <f t="shared" si="28"/>
        <v>1877158.3729116186</v>
      </c>
      <c r="M102" s="376">
        <f t="shared" si="28"/>
        <v>1933473.1240989671</v>
      </c>
      <c r="N102" s="376">
        <f t="shared" si="28"/>
        <v>1991477.317821936</v>
      </c>
      <c r="O102" s="376">
        <f t="shared" si="28"/>
        <v>2051221.6373565942</v>
      </c>
      <c r="P102" s="376">
        <f t="shared" si="28"/>
        <v>2112758.286477292</v>
      </c>
      <c r="Q102" s="376">
        <f t="shared" si="28"/>
        <v>2176141.0350716109</v>
      </c>
      <c r="R102" s="376">
        <f t="shared" si="28"/>
        <v>2241425.2661237596</v>
      </c>
      <c r="S102" s="376">
        <f t="shared" si="28"/>
        <v>2308668.024107472</v>
      </c>
      <c r="T102" s="376">
        <f t="shared" si="28"/>
        <v>2377928.0648306962</v>
      </c>
      <c r="U102" s="376">
        <f t="shared" si="28"/>
        <v>2449265.9067756175</v>
      </c>
      <c r="V102" s="376">
        <f t="shared" si="28"/>
        <v>2522743.8839788856</v>
      </c>
      <c r="W102" s="376">
        <f t="shared" si="28"/>
        <v>2598426.2004982522</v>
      </c>
      <c r="X102" s="376">
        <f t="shared" si="28"/>
        <v>2676378.9865132002</v>
      </c>
      <c r="Y102" s="376">
        <f t="shared" si="28"/>
        <v>2756670.3561085965</v>
      </c>
      <c r="Z102" s="376">
        <f t="shared" si="28"/>
        <v>2839370.4667918542</v>
      </c>
      <c r="AA102" s="376">
        <f t="shared" si="28"/>
        <v>2924551.5807956099</v>
      </c>
      <c r="AB102" s="376">
        <f t="shared" si="28"/>
        <v>3012288.1282194783</v>
      </c>
      <c r="AC102" s="376">
        <f t="shared" si="28"/>
        <v>3102656.7720660628</v>
      </c>
      <c r="AD102" s="376">
        <f t="shared" si="28"/>
        <v>3195736.4752280447</v>
      </c>
      <c r="AE102" s="376">
        <f t="shared" si="28"/>
        <v>3291608.5694848858</v>
      </c>
      <c r="AF102" s="376">
        <f t="shared" si="28"/>
        <v>3390356.8265694324</v>
      </c>
      <c r="AG102" s="376">
        <f t="shared" si="28"/>
        <v>3492067.5313665154</v>
      </c>
    </row>
    <row r="103" spans="1:34">
      <c r="A103" s="300" t="s">
        <v>317</v>
      </c>
      <c r="B103" s="300" t="s">
        <v>309</v>
      </c>
      <c r="C103" s="376">
        <f t="shared" ref="C103:AG103" si="29">C56*$C$21*$C$22</f>
        <v>611520</v>
      </c>
      <c r="D103" s="376">
        <f t="shared" si="29"/>
        <v>635980.80000000005</v>
      </c>
      <c r="E103" s="376">
        <f t="shared" si="29"/>
        <v>661420.03200000012</v>
      </c>
      <c r="F103" s="376">
        <f t="shared" si="29"/>
        <v>687876.83328000014</v>
      </c>
      <c r="G103" s="376">
        <f t="shared" si="29"/>
        <v>715391.90661120007</v>
      </c>
      <c r="H103" s="376">
        <f t="shared" si="29"/>
        <v>744007.58287564816</v>
      </c>
      <c r="I103" s="376">
        <f t="shared" si="29"/>
        <v>773767.88619067403</v>
      </c>
      <c r="J103" s="376">
        <f t="shared" si="29"/>
        <v>804718.60163830093</v>
      </c>
      <c r="K103" s="376">
        <f t="shared" si="29"/>
        <v>836907.34570383304</v>
      </c>
      <c r="L103" s="376">
        <f t="shared" si="29"/>
        <v>870383.63953198656</v>
      </c>
      <c r="M103" s="376">
        <f t="shared" si="29"/>
        <v>905198.98511326604</v>
      </c>
      <c r="N103" s="376">
        <f t="shared" si="29"/>
        <v>941406.94451779663</v>
      </c>
      <c r="O103" s="376">
        <f t="shared" si="29"/>
        <v>979063.22229850851</v>
      </c>
      <c r="P103" s="376">
        <f t="shared" si="29"/>
        <v>1018225.7511904489</v>
      </c>
      <c r="Q103" s="376">
        <f t="shared" si="29"/>
        <v>1058954.781238067</v>
      </c>
      <c r="R103" s="376">
        <f t="shared" si="29"/>
        <v>1101312.9724875896</v>
      </c>
      <c r="S103" s="376">
        <f t="shared" si="29"/>
        <v>1145365.4913870932</v>
      </c>
      <c r="T103" s="376">
        <f t="shared" si="29"/>
        <v>1191180.1110425768</v>
      </c>
      <c r="U103" s="376">
        <f t="shared" si="29"/>
        <v>1238827.31548428</v>
      </c>
      <c r="V103" s="376">
        <f t="shared" si="29"/>
        <v>1288380.4081036511</v>
      </c>
      <c r="W103" s="376">
        <f t="shared" si="29"/>
        <v>1339915.6244277973</v>
      </c>
      <c r="X103" s="376">
        <f t="shared" si="29"/>
        <v>1393512.2494049091</v>
      </c>
      <c r="Y103" s="376">
        <f t="shared" si="29"/>
        <v>1449252.7393811059</v>
      </c>
      <c r="Z103" s="376">
        <f t="shared" si="29"/>
        <v>1507222.8489563502</v>
      </c>
      <c r="AA103" s="376">
        <f t="shared" si="29"/>
        <v>1567511.762914604</v>
      </c>
      <c r="AB103" s="376">
        <f t="shared" si="29"/>
        <v>1630212.2334311882</v>
      </c>
      <c r="AC103" s="376">
        <f t="shared" si="29"/>
        <v>1695420.722768436</v>
      </c>
      <c r="AD103" s="376">
        <f t="shared" si="29"/>
        <v>1763237.5516791735</v>
      </c>
      <c r="AE103" s="376">
        <f t="shared" si="29"/>
        <v>1833767.0537463406</v>
      </c>
      <c r="AF103" s="376">
        <f t="shared" si="29"/>
        <v>1907117.7358961944</v>
      </c>
      <c r="AG103" s="376">
        <f t="shared" si="29"/>
        <v>1983402.4453320422</v>
      </c>
    </row>
    <row r="104" spans="1:34">
      <c r="A104" s="368" t="s">
        <v>318</v>
      </c>
      <c r="B104" s="368" t="s">
        <v>313</v>
      </c>
      <c r="C104" s="376">
        <f>'Changing with year'!C292</f>
        <v>450000</v>
      </c>
      <c r="D104" s="376">
        <f>'Changing with year'!D292</f>
        <v>470000</v>
      </c>
      <c r="E104" s="376">
        <f>'Changing with year'!E292</f>
        <v>491000</v>
      </c>
      <c r="F104" s="376">
        <f>'Changing with year'!F292</f>
        <v>513000</v>
      </c>
      <c r="G104" s="376">
        <f>'Changing with year'!G292</f>
        <v>536000</v>
      </c>
      <c r="H104" s="376">
        <f>'Changing with year'!H292</f>
        <v>560000</v>
      </c>
      <c r="I104" s="376">
        <f>'Changing with year'!I292</f>
        <v>585000</v>
      </c>
      <c r="J104" s="376">
        <f>'Changing with year'!J292</f>
        <v>611000</v>
      </c>
      <c r="K104" s="376">
        <f>'Changing with year'!K292</f>
        <v>638000</v>
      </c>
      <c r="L104" s="376">
        <f>'Changing with year'!L292</f>
        <v>667000</v>
      </c>
      <c r="M104" s="376">
        <f>'Changing with year'!M292</f>
        <v>697000</v>
      </c>
      <c r="N104" s="376">
        <f>'Changing with year'!N292</f>
        <v>728000</v>
      </c>
      <c r="O104" s="376">
        <f>'Changing with year'!O292</f>
        <v>761000</v>
      </c>
      <c r="P104" s="376">
        <f>'Changing with year'!P292</f>
        <v>795000</v>
      </c>
      <c r="Q104" s="376">
        <f>'Changing with year'!Q292</f>
        <v>831000</v>
      </c>
      <c r="R104" s="376">
        <f>'Changing with year'!R292</f>
        <v>868000</v>
      </c>
      <c r="S104" s="376">
        <f>'Changing with year'!S292</f>
        <v>907000</v>
      </c>
      <c r="T104" s="376">
        <f>'Changing with year'!T292</f>
        <v>948000</v>
      </c>
      <c r="U104" s="376">
        <f>'Changing with year'!U292</f>
        <v>991000</v>
      </c>
      <c r="V104" s="376">
        <f>'Changing with year'!V292</f>
        <v>1036000</v>
      </c>
      <c r="W104" s="376">
        <f>'Changing with year'!W292</f>
        <v>1083000</v>
      </c>
      <c r="X104" s="376">
        <f>'Changing with year'!X292</f>
        <v>1132000</v>
      </c>
      <c r="Y104" s="376">
        <f>'Changing with year'!Y292</f>
        <v>1183000</v>
      </c>
      <c r="Z104" s="376">
        <f>'Changing with year'!Z292</f>
        <v>1236000</v>
      </c>
      <c r="AA104" s="376">
        <f>'Changing with year'!AA292</f>
        <v>1292000</v>
      </c>
      <c r="AB104" s="376">
        <f>'Changing with year'!AB292</f>
        <v>1350000</v>
      </c>
      <c r="AC104" s="376">
        <f>'Changing with year'!AC292</f>
        <v>1411000</v>
      </c>
      <c r="AD104" s="376">
        <f>'Changing with year'!AD292</f>
        <v>1474000</v>
      </c>
      <c r="AE104" s="376">
        <f>'Changing with year'!AE292</f>
        <v>1540000</v>
      </c>
      <c r="AF104" s="376">
        <f>'Changing with year'!AF292</f>
        <v>1609000</v>
      </c>
      <c r="AG104" s="376">
        <f>'Changing with year'!AG292</f>
        <v>1681000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0">C59</f>
        <v>666400</v>
      </c>
      <c r="D105" s="376">
        <f t="shared" si="30"/>
        <v>673064</v>
      </c>
      <c r="E105" s="376">
        <f t="shared" si="30"/>
        <v>679794.64</v>
      </c>
      <c r="F105" s="376">
        <f t="shared" si="30"/>
        <v>686592.58640000003</v>
      </c>
      <c r="G105" s="376">
        <f t="shared" si="30"/>
        <v>693458.51226400002</v>
      </c>
      <c r="H105" s="376">
        <f t="shared" si="30"/>
        <v>700393.09738663991</v>
      </c>
      <c r="I105" s="376">
        <f t="shared" si="30"/>
        <v>707397.0283605064</v>
      </c>
      <c r="J105" s="376">
        <f t="shared" si="30"/>
        <v>714470.99864411145</v>
      </c>
      <c r="K105" s="376">
        <f t="shared" si="30"/>
        <v>721615.70863055263</v>
      </c>
      <c r="L105" s="376">
        <f t="shared" si="30"/>
        <v>728831.86571685818</v>
      </c>
      <c r="M105" s="376">
        <f t="shared" si="30"/>
        <v>736120.18437402672</v>
      </c>
      <c r="N105" s="376">
        <f t="shared" si="30"/>
        <v>743481.38621776691</v>
      </c>
      <c r="O105" s="376">
        <f t="shared" si="30"/>
        <v>750916.20007994468</v>
      </c>
      <c r="P105" s="376">
        <f t="shared" si="30"/>
        <v>758425.36208074412</v>
      </c>
      <c r="Q105" s="376">
        <f t="shared" si="30"/>
        <v>766009.61570155167</v>
      </c>
      <c r="R105" s="376">
        <f t="shared" si="30"/>
        <v>773669.71185856708</v>
      </c>
      <c r="S105" s="376">
        <f t="shared" si="30"/>
        <v>781406.40897715278</v>
      </c>
      <c r="T105" s="376">
        <f t="shared" si="30"/>
        <v>789220.47306692437</v>
      </c>
      <c r="U105" s="376">
        <f t="shared" si="30"/>
        <v>797112.67779759364</v>
      </c>
      <c r="V105" s="376">
        <f t="shared" si="30"/>
        <v>805083.80457556946</v>
      </c>
      <c r="W105" s="376">
        <f t="shared" si="30"/>
        <v>813134.64262132521</v>
      </c>
      <c r="X105" s="376">
        <f t="shared" si="30"/>
        <v>821265.98904753849</v>
      </c>
      <c r="Y105" s="376">
        <f t="shared" si="30"/>
        <v>829478.64893801382</v>
      </c>
      <c r="Z105" s="376">
        <f t="shared" si="30"/>
        <v>837773.43542739411</v>
      </c>
      <c r="AA105" s="376">
        <f t="shared" si="30"/>
        <v>846151.16978166811</v>
      </c>
      <c r="AB105" s="376">
        <f t="shared" si="30"/>
        <v>854612.68147948477</v>
      </c>
      <c r="AC105" s="376">
        <f t="shared" si="30"/>
        <v>863158.80829427973</v>
      </c>
      <c r="AD105" s="376">
        <f t="shared" si="30"/>
        <v>871790.39637722238</v>
      </c>
      <c r="AE105" s="376">
        <f t="shared" si="30"/>
        <v>880508.30034099461</v>
      </c>
      <c r="AF105" s="376">
        <f t="shared" si="30"/>
        <v>889313.38334440463</v>
      </c>
      <c r="AG105" s="376">
        <f t="shared" si="30"/>
        <v>898206.51717784861</v>
      </c>
    </row>
    <row r="106" spans="1:34">
      <c r="A106" s="300" t="s">
        <v>319</v>
      </c>
      <c r="B106" s="300" t="s">
        <v>309</v>
      </c>
      <c r="C106" s="376">
        <f t="shared" ref="C106:AG106" si="31">C98*$C$29</f>
        <v>95600</v>
      </c>
      <c r="D106" s="376">
        <f t="shared" si="31"/>
        <v>98240</v>
      </c>
      <c r="E106" s="376">
        <f t="shared" si="31"/>
        <v>100960</v>
      </c>
      <c r="F106" s="376">
        <f t="shared" si="31"/>
        <v>103740</v>
      </c>
      <c r="G106" s="376">
        <f t="shared" si="31"/>
        <v>106620</v>
      </c>
      <c r="H106" s="376">
        <f t="shared" si="31"/>
        <v>117580</v>
      </c>
      <c r="I106" s="376">
        <f t="shared" si="31"/>
        <v>120860</v>
      </c>
      <c r="J106" s="376">
        <f t="shared" si="31"/>
        <v>124240</v>
      </c>
      <c r="K106" s="376">
        <f t="shared" si="31"/>
        <v>127720</v>
      </c>
      <c r="L106" s="376">
        <f t="shared" si="31"/>
        <v>131300</v>
      </c>
      <c r="M106" s="376">
        <f t="shared" si="31"/>
        <v>134980</v>
      </c>
      <c r="N106" s="376">
        <f t="shared" si="31"/>
        <v>138780</v>
      </c>
      <c r="O106" s="376">
        <f t="shared" si="31"/>
        <v>142680</v>
      </c>
      <c r="P106" s="376">
        <f t="shared" si="31"/>
        <v>146700</v>
      </c>
      <c r="Q106" s="376">
        <f t="shared" si="31"/>
        <v>150840</v>
      </c>
      <c r="R106" s="376">
        <f t="shared" si="31"/>
        <v>155100</v>
      </c>
      <c r="S106" s="376">
        <f t="shared" si="31"/>
        <v>159480</v>
      </c>
      <c r="T106" s="376">
        <f t="shared" si="31"/>
        <v>163980</v>
      </c>
      <c r="U106" s="376">
        <f t="shared" si="31"/>
        <v>168640</v>
      </c>
      <c r="V106" s="376">
        <f t="shared" si="31"/>
        <v>173420</v>
      </c>
      <c r="W106" s="376">
        <f t="shared" si="31"/>
        <v>178340</v>
      </c>
      <c r="X106" s="376">
        <f t="shared" si="31"/>
        <v>183400</v>
      </c>
      <c r="Y106" s="376">
        <f t="shared" si="31"/>
        <v>188620</v>
      </c>
      <c r="Z106" s="376">
        <f t="shared" si="31"/>
        <v>194000</v>
      </c>
      <c r="AA106" s="376">
        <f t="shared" si="31"/>
        <v>199520</v>
      </c>
      <c r="AB106" s="376">
        <f t="shared" si="31"/>
        <v>205220</v>
      </c>
      <c r="AC106" s="376">
        <f t="shared" si="31"/>
        <v>211080</v>
      </c>
      <c r="AD106" s="376">
        <f t="shared" si="31"/>
        <v>217100</v>
      </c>
      <c r="AE106" s="376">
        <f t="shared" si="31"/>
        <v>223320</v>
      </c>
      <c r="AF106" s="376">
        <f t="shared" si="31"/>
        <v>229700</v>
      </c>
      <c r="AG106" s="376">
        <f t="shared" si="31"/>
        <v>236280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8" si="32">C101/($C$22*$C$21)</f>
        <v>15.586053238223935</v>
      </c>
      <c r="D108" s="379">
        <f t="shared" si="32"/>
        <v>16.016463076601667</v>
      </c>
      <c r="E108" s="379">
        <f t="shared" si="32"/>
        <v>16.459915637354484</v>
      </c>
      <c r="F108" s="379">
        <f t="shared" si="32"/>
        <v>16.913150239888608</v>
      </c>
      <c r="G108" s="379">
        <f t="shared" si="32"/>
        <v>17.382688245391588</v>
      </c>
      <c r="H108" s="379">
        <f t="shared" si="32"/>
        <v>19.169541210777933</v>
      </c>
      <c r="I108" s="379">
        <f t="shared" si="32"/>
        <v>19.704292828156326</v>
      </c>
      <c r="J108" s="379">
        <f t="shared" si="32"/>
        <v>20.255347848503575</v>
      </c>
      <c r="K108" s="379">
        <f t="shared" si="32"/>
        <v>20.822706271819673</v>
      </c>
      <c r="L108" s="379">
        <f t="shared" si="32"/>
        <v>21.406368098104629</v>
      </c>
      <c r="M108" s="379">
        <f t="shared" si="32"/>
        <v>22.00633332735844</v>
      </c>
      <c r="N108" s="379">
        <f t="shared" si="32"/>
        <v>22.625862640174869</v>
      </c>
      <c r="O108" s="379">
        <f t="shared" si="32"/>
        <v>23.261695355960157</v>
      </c>
      <c r="P108" s="379">
        <f t="shared" si="32"/>
        <v>23.917092155308065</v>
      </c>
      <c r="Q108" s="379">
        <f t="shared" si="32"/>
        <v>24.592053038218602</v>
      </c>
      <c r="R108" s="379">
        <f t="shared" si="32"/>
        <v>25.286578004691759</v>
      </c>
      <c r="S108" s="379">
        <f t="shared" si="32"/>
        <v>26.000667054727543</v>
      </c>
      <c r="T108" s="379">
        <f t="shared" si="32"/>
        <v>26.734320188325949</v>
      </c>
      <c r="U108" s="379">
        <f t="shared" si="32"/>
        <v>27.494058766674524</v>
      </c>
      <c r="V108" s="379">
        <f t="shared" si="32"/>
        <v>28.273361428585719</v>
      </c>
      <c r="W108" s="379">
        <f t="shared" si="32"/>
        <v>29.075488854653312</v>
      </c>
      <c r="X108" s="379">
        <f t="shared" si="32"/>
        <v>29.900441044877294</v>
      </c>
      <c r="Y108" s="379">
        <f t="shared" si="32"/>
        <v>30.751478679851449</v>
      </c>
      <c r="Z108" s="379">
        <f t="shared" si="32"/>
        <v>31.628601759575762</v>
      </c>
      <c r="AA108" s="379">
        <f t="shared" si="32"/>
        <v>32.528549603456476</v>
      </c>
      <c r="AB108" s="379">
        <f t="shared" si="32"/>
        <v>33.457843572681128</v>
      </c>
      <c r="AC108" s="379">
        <f t="shared" si="32"/>
        <v>34.413222986655938</v>
      </c>
      <c r="AD108" s="379">
        <f t="shared" si="32"/>
        <v>35.394687845380922</v>
      </c>
      <c r="AE108" s="379">
        <f t="shared" si="32"/>
        <v>36.408759510043609</v>
      </c>
      <c r="AF108" s="379">
        <f t="shared" si="32"/>
        <v>37.448916619456462</v>
      </c>
      <c r="AG108" s="379">
        <f t="shared" si="32"/>
        <v>38.521680534807018</v>
      </c>
    </row>
    <row r="109" spans="1:34">
      <c r="A109" s="300" t="s">
        <v>321</v>
      </c>
      <c r="B109" s="300" t="s">
        <v>300</v>
      </c>
      <c r="C109" s="379">
        <f t="shared" ref="C109:AG109" si="33">C102/($C$22*$C$21)</f>
        <v>21.282051282051285</v>
      </c>
      <c r="D109" s="379">
        <f t="shared" si="33"/>
        <v>22.051282051282051</v>
      </c>
      <c r="E109" s="379">
        <f t="shared" si="33"/>
        <v>22.712820512820514</v>
      </c>
      <c r="F109" s="379">
        <f t="shared" si="33"/>
        <v>23.394205128205126</v>
      </c>
      <c r="G109" s="379">
        <f t="shared" si="33"/>
        <v>24.096031282051278</v>
      </c>
      <c r="H109" s="379">
        <f t="shared" si="33"/>
        <v>24.818912220512821</v>
      </c>
      <c r="I109" s="379">
        <f t="shared" si="33"/>
        <v>25.563479587128207</v>
      </c>
      <c r="J109" s="379">
        <f t="shared" si="33"/>
        <v>26.330383974742055</v>
      </c>
      <c r="K109" s="379">
        <f t="shared" si="33"/>
        <v>27.120295493984319</v>
      </c>
      <c r="L109" s="379">
        <f t="shared" si="33"/>
        <v>27.933904358803847</v>
      </c>
      <c r="M109" s="379">
        <f t="shared" si="33"/>
        <v>28.771921489567962</v>
      </c>
      <c r="N109" s="379">
        <f t="shared" si="33"/>
        <v>29.635079134255001</v>
      </c>
      <c r="O109" s="379">
        <f t="shared" si="33"/>
        <v>30.52413150828265</v>
      </c>
      <c r="P109" s="379">
        <f t="shared" si="33"/>
        <v>31.439855453531131</v>
      </c>
      <c r="Q109" s="379">
        <f t="shared" si="33"/>
        <v>32.383051117137065</v>
      </c>
      <c r="R109" s="379">
        <f t="shared" si="33"/>
        <v>33.354542650651183</v>
      </c>
      <c r="S109" s="379">
        <f t="shared" si="33"/>
        <v>34.355178930170716</v>
      </c>
      <c r="T109" s="379">
        <f t="shared" si="33"/>
        <v>35.385834298075835</v>
      </c>
      <c r="U109" s="379">
        <f t="shared" si="33"/>
        <v>36.447409327018114</v>
      </c>
      <c r="V109" s="379">
        <f t="shared" si="33"/>
        <v>37.540831606828654</v>
      </c>
      <c r="W109" s="379">
        <f t="shared" si="33"/>
        <v>38.667056555033511</v>
      </c>
      <c r="X109" s="379">
        <f t="shared" si="33"/>
        <v>39.82706825168453</v>
      </c>
      <c r="Y109" s="379">
        <f t="shared" si="33"/>
        <v>41.021880299235065</v>
      </c>
      <c r="Z109" s="379">
        <f t="shared" si="33"/>
        <v>42.252536708212119</v>
      </c>
      <c r="AA109" s="379">
        <f t="shared" si="33"/>
        <v>43.520112809458482</v>
      </c>
      <c r="AB109" s="379">
        <f t="shared" si="33"/>
        <v>44.825716193742238</v>
      </c>
      <c r="AC109" s="379">
        <f t="shared" si="33"/>
        <v>46.170487679554505</v>
      </c>
      <c r="AD109" s="379">
        <f t="shared" si="33"/>
        <v>47.555602309941143</v>
      </c>
      <c r="AE109" s="379">
        <f t="shared" si="33"/>
        <v>48.982270379239374</v>
      </c>
      <c r="AF109" s="379">
        <f t="shared" si="33"/>
        <v>50.451738490616556</v>
      </c>
      <c r="AG109" s="379">
        <f t="shared" si="33"/>
        <v>51.965290645335052</v>
      </c>
    </row>
    <row r="110" spans="1:34">
      <c r="A110" s="300" t="s">
        <v>322</v>
      </c>
      <c r="B110" s="300" t="s">
        <v>300</v>
      </c>
      <c r="C110" s="379">
        <f t="shared" ref="C110:AG110" si="34">(C103+C104+C105+C106)/($C$22*$C$21)</f>
        <v>27.135714285714286</v>
      </c>
      <c r="D110" s="379">
        <f t="shared" si="34"/>
        <v>27.935785714285714</v>
      </c>
      <c r="E110" s="379">
        <f t="shared" si="34"/>
        <v>28.767480238095242</v>
      </c>
      <c r="F110" s="379">
        <f t="shared" si="34"/>
        <v>29.63109255476191</v>
      </c>
      <c r="G110" s="379">
        <f t="shared" si="34"/>
        <v>30.527833614214284</v>
      </c>
      <c r="H110" s="379">
        <f t="shared" si="34"/>
        <v>31.57709345628405</v>
      </c>
      <c r="I110" s="379">
        <f t="shared" si="34"/>
        <v>32.545013609392562</v>
      </c>
      <c r="J110" s="379">
        <f t="shared" si="34"/>
        <v>33.548059528012082</v>
      </c>
      <c r="K110" s="379">
        <f t="shared" si="34"/>
        <v>34.586950213309315</v>
      </c>
      <c r="L110" s="379">
        <f t="shared" si="34"/>
        <v>35.677314066203046</v>
      </c>
      <c r="M110" s="379">
        <f t="shared" si="34"/>
        <v>36.805047164989475</v>
      </c>
      <c r="N110" s="379">
        <f t="shared" si="34"/>
        <v>37.971254921660169</v>
      </c>
      <c r="O110" s="379">
        <f t="shared" si="34"/>
        <v>39.191360452060316</v>
      </c>
      <c r="P110" s="379">
        <f t="shared" si="34"/>
        <v>40.451653471297519</v>
      </c>
      <c r="Q110" s="379">
        <f t="shared" si="34"/>
        <v>41.767922573506226</v>
      </c>
      <c r="R110" s="379">
        <f t="shared" si="34"/>
        <v>43.126230421817809</v>
      </c>
      <c r="S110" s="379">
        <f t="shared" si="34"/>
        <v>44.542438993515567</v>
      </c>
      <c r="T110" s="379">
        <f t="shared" si="34"/>
        <v>46.01756821591519</v>
      </c>
      <c r="U110" s="379">
        <f t="shared" si="34"/>
        <v>47.553273709551689</v>
      </c>
      <c r="V110" s="379">
        <f t="shared" si="34"/>
        <v>49.150062688678879</v>
      </c>
      <c r="W110" s="379">
        <f t="shared" si="34"/>
        <v>50.809378973945279</v>
      </c>
      <c r="X110" s="379">
        <f t="shared" si="34"/>
        <v>52.532414262685229</v>
      </c>
      <c r="Y110" s="379">
        <f t="shared" si="34"/>
        <v>54.320705183320229</v>
      </c>
      <c r="Z110" s="379">
        <f t="shared" si="34"/>
        <v>56.175539946186674</v>
      </c>
      <c r="AA110" s="379">
        <f t="shared" si="34"/>
        <v>58.112841260361193</v>
      </c>
      <c r="AB110" s="379">
        <f t="shared" si="34"/>
        <v>60.119715995694541</v>
      </c>
      <c r="AC110" s="379">
        <f t="shared" si="34"/>
        <v>62.212195402718983</v>
      </c>
      <c r="AD110" s="379">
        <f t="shared" si="34"/>
        <v>64.376903988934473</v>
      </c>
      <c r="AE110" s="379">
        <f t="shared" si="34"/>
        <v>66.630883245347249</v>
      </c>
      <c r="AF110" s="379">
        <f t="shared" si="34"/>
        <v>68.975165464889869</v>
      </c>
      <c r="AG110" s="379">
        <f t="shared" si="34"/>
        <v>71.412038132587668</v>
      </c>
    </row>
    <row r="111" spans="1:34">
      <c r="A111" s="300" t="s">
        <v>310</v>
      </c>
      <c r="B111" s="300" t="s">
        <v>300</v>
      </c>
      <c r="C111" s="379">
        <f t="shared" ref="C111:AG111" si="35">C99/($C$22*$C$21*7)</f>
        <v>2.5403911564625852</v>
      </c>
      <c r="D111" s="379">
        <f t="shared" si="35"/>
        <v>2.610544217687075</v>
      </c>
      <c r="E111" s="379">
        <f t="shared" si="35"/>
        <v>2.6828231292517009</v>
      </c>
      <c r="F111" s="379">
        <f t="shared" si="35"/>
        <v>2.7566964285714284</v>
      </c>
      <c r="G111" s="379">
        <f t="shared" si="35"/>
        <v>2.8332270408163267</v>
      </c>
      <c r="H111" s="379">
        <f t="shared" si="35"/>
        <v>3.1244685374149661</v>
      </c>
      <c r="I111" s="379">
        <f t="shared" si="35"/>
        <v>3.2116284013605441</v>
      </c>
      <c r="J111" s="379">
        <f t="shared" si="35"/>
        <v>3.3014455782312924</v>
      </c>
      <c r="K111" s="379">
        <f t="shared" si="35"/>
        <v>3.393920068027211</v>
      </c>
      <c r="L111" s="379">
        <f t="shared" si="35"/>
        <v>3.4890518707482991</v>
      </c>
      <c r="M111" s="379">
        <f t="shared" si="35"/>
        <v>3.5868409863945576</v>
      </c>
      <c r="N111" s="379">
        <f t="shared" si="35"/>
        <v>2.9502551020408165</v>
      </c>
      <c r="O111" s="379">
        <f t="shared" si="35"/>
        <v>3.0331632653061225</v>
      </c>
      <c r="P111" s="379">
        <f t="shared" si="35"/>
        <v>3.118622448979592</v>
      </c>
      <c r="Q111" s="379">
        <f t="shared" si="35"/>
        <v>3.2066326530612246</v>
      </c>
      <c r="R111" s="379">
        <f t="shared" si="35"/>
        <v>3.2971938775510203</v>
      </c>
      <c r="S111" s="379">
        <f t="shared" si="35"/>
        <v>3.3903061224489797</v>
      </c>
      <c r="T111" s="379">
        <f t="shared" si="35"/>
        <v>3.4859693877551021</v>
      </c>
      <c r="U111" s="379">
        <f t="shared" si="35"/>
        <v>3.5850340136054424</v>
      </c>
      <c r="V111" s="379">
        <f t="shared" si="35"/>
        <v>3.6866496598639458</v>
      </c>
      <c r="W111" s="379">
        <f t="shared" si="35"/>
        <v>3.7912414965986394</v>
      </c>
      <c r="X111" s="379">
        <f t="shared" si="35"/>
        <v>2.9241071428571423</v>
      </c>
      <c r="Y111" s="379">
        <f t="shared" si="35"/>
        <v>3.0073341836734691</v>
      </c>
      <c r="Z111" s="379">
        <f t="shared" si="35"/>
        <v>3.0931122448979589</v>
      </c>
      <c r="AA111" s="379">
        <f t="shared" si="35"/>
        <v>3.1811224489795915</v>
      </c>
      <c r="AB111" s="379">
        <f t="shared" si="35"/>
        <v>3.2720025510204076</v>
      </c>
      <c r="AC111" s="379">
        <f t="shared" si="35"/>
        <v>3.3654336734693868</v>
      </c>
      <c r="AD111" s="379">
        <f t="shared" si="35"/>
        <v>3.4614158163265296</v>
      </c>
      <c r="AE111" s="379">
        <f t="shared" si="35"/>
        <v>3.5605867346938767</v>
      </c>
      <c r="AF111" s="379">
        <f t="shared" si="35"/>
        <v>3.6623086734693868</v>
      </c>
      <c r="AG111" s="379">
        <f t="shared" si="35"/>
        <v>3.7672193877551012</v>
      </c>
    </row>
    <row r="112" spans="1:34" s="352" customFormat="1">
      <c r="A112" s="380" t="s">
        <v>323</v>
      </c>
      <c r="B112" s="352" t="s">
        <v>300</v>
      </c>
      <c r="C112" s="381">
        <f t="shared" ref="C112:AG112" si="36">SUM(C108:C110)-C111</f>
        <v>61.463427649526928</v>
      </c>
      <c r="D112" s="381">
        <f t="shared" si="36"/>
        <v>63.392986624482347</v>
      </c>
      <c r="E112" s="381">
        <f t="shared" si="36"/>
        <v>65.257393259018542</v>
      </c>
      <c r="F112" s="381">
        <f t="shared" si="36"/>
        <v>67.181751494284214</v>
      </c>
      <c r="G112" s="381">
        <f t="shared" si="36"/>
        <v>69.173326100840825</v>
      </c>
      <c r="H112" s="381">
        <f t="shared" si="36"/>
        <v>72.441078350159827</v>
      </c>
      <c r="I112" s="381">
        <f t="shared" si="36"/>
        <v>74.601157623316553</v>
      </c>
      <c r="J112" s="381">
        <f t="shared" si="36"/>
        <v>76.832345773026418</v>
      </c>
      <c r="K112" s="381">
        <f t="shared" si="36"/>
        <v>79.136031911086093</v>
      </c>
      <c r="L112" s="381">
        <f t="shared" si="36"/>
        <v>81.528534652363234</v>
      </c>
      <c r="M112" s="381">
        <f t="shared" si="36"/>
        <v>83.996460995521318</v>
      </c>
      <c r="N112" s="381">
        <f t="shared" si="36"/>
        <v>87.281941594049215</v>
      </c>
      <c r="O112" s="381">
        <f t="shared" si="36"/>
        <v>89.944024050996987</v>
      </c>
      <c r="P112" s="381">
        <f t="shared" si="36"/>
        <v>92.689978631157118</v>
      </c>
      <c r="Q112" s="381">
        <f t="shared" si="36"/>
        <v>95.536394075800672</v>
      </c>
      <c r="R112" s="381">
        <f t="shared" si="36"/>
        <v>98.47015719960973</v>
      </c>
      <c r="S112" s="381">
        <f t="shared" si="36"/>
        <v>101.50797885596485</v>
      </c>
      <c r="T112" s="381">
        <f t="shared" si="36"/>
        <v>104.65175331456187</v>
      </c>
      <c r="U112" s="381">
        <f t="shared" si="36"/>
        <v>107.90970778963889</v>
      </c>
      <c r="V112" s="381">
        <f t="shared" si="36"/>
        <v>111.2776060642293</v>
      </c>
      <c r="W112" s="381">
        <f t="shared" si="36"/>
        <v>114.76068288703345</v>
      </c>
      <c r="X112" s="381">
        <f t="shared" si="36"/>
        <v>119.33581641638992</v>
      </c>
      <c r="Y112" s="381">
        <f t="shared" si="36"/>
        <v>123.08672997873327</v>
      </c>
      <c r="Z112" s="381">
        <f t="shared" si="36"/>
        <v>126.96356616907661</v>
      </c>
      <c r="AA112" s="381">
        <f t="shared" si="36"/>
        <v>130.98038122429656</v>
      </c>
      <c r="AB112" s="381">
        <f t="shared" si="36"/>
        <v>135.13127321109749</v>
      </c>
      <c r="AC112" s="381">
        <f t="shared" si="36"/>
        <v>139.43047239546001</v>
      </c>
      <c r="AD112" s="381">
        <f t="shared" si="36"/>
        <v>143.86577832793</v>
      </c>
      <c r="AE112" s="381">
        <f t="shared" si="36"/>
        <v>148.46132639993633</v>
      </c>
      <c r="AF112" s="381">
        <f t="shared" si="36"/>
        <v>153.21351190149349</v>
      </c>
      <c r="AG112" s="381">
        <f t="shared" si="36"/>
        <v>158.13178992497464</v>
      </c>
    </row>
    <row r="113" spans="1:34" s="344" customFormat="1">
      <c r="A113" s="342" t="s">
        <v>327</v>
      </c>
      <c r="B113" s="342"/>
      <c r="H113" s="382">
        <f>H115/H63</f>
        <v>1.2319225659517936</v>
      </c>
      <c r="AB113" s="382">
        <f>AB115/AB63</f>
        <v>1.0943328814770446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37">D114+1</f>
        <v>2027</v>
      </c>
      <c r="F114" s="360">
        <f t="shared" si="37"/>
        <v>2028</v>
      </c>
      <c r="G114" s="360">
        <f t="shared" si="37"/>
        <v>2029</v>
      </c>
      <c r="H114" s="360">
        <f>G114+1</f>
        <v>2030</v>
      </c>
      <c r="I114" s="360">
        <f>H114+1</f>
        <v>2031</v>
      </c>
      <c r="J114" s="360">
        <f t="shared" si="37"/>
        <v>2032</v>
      </c>
      <c r="K114" s="360">
        <f t="shared" si="37"/>
        <v>2033</v>
      </c>
      <c r="L114" s="360">
        <f t="shared" si="37"/>
        <v>2034</v>
      </c>
      <c r="M114" s="360">
        <f t="shared" si="37"/>
        <v>2035</v>
      </c>
      <c r="N114" s="360">
        <f t="shared" si="37"/>
        <v>2036</v>
      </c>
      <c r="O114" s="360">
        <f t="shared" si="37"/>
        <v>2037</v>
      </c>
      <c r="P114" s="360">
        <f t="shared" si="37"/>
        <v>2038</v>
      </c>
      <c r="Q114" s="360">
        <f t="shared" si="37"/>
        <v>2039</v>
      </c>
      <c r="R114" s="360">
        <f t="shared" si="37"/>
        <v>2040</v>
      </c>
      <c r="S114" s="360">
        <f t="shared" si="37"/>
        <v>2041</v>
      </c>
      <c r="T114" s="360">
        <f t="shared" si="37"/>
        <v>2042</v>
      </c>
      <c r="U114" s="360">
        <f t="shared" si="37"/>
        <v>2043</v>
      </c>
      <c r="V114" s="360">
        <f t="shared" si="37"/>
        <v>2044</v>
      </c>
      <c r="W114" s="360">
        <f t="shared" si="37"/>
        <v>2045</v>
      </c>
      <c r="X114" s="360">
        <f t="shared" si="37"/>
        <v>2046</v>
      </c>
      <c r="Y114" s="360">
        <f t="shared" si="37"/>
        <v>2047</v>
      </c>
      <c r="Z114" s="360">
        <f t="shared" si="37"/>
        <v>2048</v>
      </c>
      <c r="AA114" s="360">
        <f t="shared" si="37"/>
        <v>2049</v>
      </c>
      <c r="AB114" s="360">
        <f t="shared" si="37"/>
        <v>2050</v>
      </c>
      <c r="AC114" s="360">
        <f t="shared" si="37"/>
        <v>2051</v>
      </c>
      <c r="AD114" s="360">
        <f t="shared" si="37"/>
        <v>2052</v>
      </c>
      <c r="AE114" s="360">
        <f t="shared" si="37"/>
        <v>2053</v>
      </c>
      <c r="AF114" s="360">
        <f t="shared" si="37"/>
        <v>2054</v>
      </c>
      <c r="AG114" s="360">
        <f t="shared" si="37"/>
        <v>2055</v>
      </c>
    </row>
    <row r="115" spans="1:34">
      <c r="A115" s="368" t="s">
        <v>328</v>
      </c>
      <c r="B115" s="300" t="s">
        <v>309</v>
      </c>
      <c r="C115" s="376">
        <f>ROUND(('Changing with year'!C122)/1000,0)*1000</f>
        <v>5779000</v>
      </c>
      <c r="D115" s="376">
        <f>ROUND(('Changing with year'!D122)/1000,0)*1000</f>
        <v>5826000</v>
      </c>
      <c r="E115" s="376">
        <f>ROUND(('Changing with year'!E122)/1000,0)*1000</f>
        <v>5881000</v>
      </c>
      <c r="F115" s="376">
        <f>ROUND(('Changing with year'!F122)/1000,0)*1000</f>
        <v>5943000</v>
      </c>
      <c r="G115" s="376">
        <f>ROUND(('Changing with year'!G122)/1000,0)*1000</f>
        <v>6013000</v>
      </c>
      <c r="H115" s="376">
        <f>ROUND(('Changing with year'!H122)/1000,0)*1000</f>
        <v>6491000</v>
      </c>
      <c r="I115" s="376">
        <f>ROUND(('Changing with year'!I122)/1000,0)*1000</f>
        <v>6600000</v>
      </c>
      <c r="J115" s="376">
        <f>ROUND(('Changing with year'!J122)/1000,0)*1000</f>
        <v>6716000</v>
      </c>
      <c r="K115" s="376">
        <f>ROUND(('Changing with year'!K122)/1000,0)*1000</f>
        <v>6839000</v>
      </c>
      <c r="L115" s="376">
        <f>ROUND(('Changing with year'!L122)/1000,0)*1000</f>
        <v>6968000</v>
      </c>
      <c r="M115" s="376">
        <f>ROUND(('Changing with year'!M122)/1000,0)*1000</f>
        <v>7105000</v>
      </c>
      <c r="N115" s="376">
        <f>ROUND(('Changing with year'!N122)/1000,0)*1000</f>
        <v>7248000</v>
      </c>
      <c r="O115" s="376">
        <f>ROUND(('Changing with year'!O122)/1000,0)*1000</f>
        <v>7398000</v>
      </c>
      <c r="P115" s="376">
        <f>ROUND(('Changing with year'!P122)/1000,0)*1000</f>
        <v>7556000</v>
      </c>
      <c r="Q115" s="376">
        <f>ROUND(('Changing with year'!Q122)/1000,0)*1000</f>
        <v>7721000</v>
      </c>
      <c r="R115" s="376">
        <f>ROUND(('Changing with year'!R122)/1000,0)*1000</f>
        <v>7893000</v>
      </c>
      <c r="S115" s="376">
        <f>ROUND(('Changing with year'!S122)/1000,0)*1000</f>
        <v>8114000</v>
      </c>
      <c r="T115" s="376">
        <f>ROUND(('Changing with year'!T122)/1000,0)*1000</f>
        <v>8341000</v>
      </c>
      <c r="U115" s="376">
        <f>ROUND(('Changing with year'!U122)/1000,0)*1000</f>
        <v>8575000</v>
      </c>
      <c r="V115" s="376">
        <f>ROUND(('Changing with year'!V122)/1000,0)*1000</f>
        <v>8815000</v>
      </c>
      <c r="W115" s="376">
        <f>ROUND(('Changing with year'!W122)/1000,0)*1000</f>
        <v>9063000</v>
      </c>
      <c r="X115" s="376">
        <f>ROUND(('Changing with year'!X122)/1000,0)*1000</f>
        <v>9317000</v>
      </c>
      <c r="Y115" s="376">
        <f>ROUND(('Changing with year'!Y122)/1000,0)*1000</f>
        <v>9580000</v>
      </c>
      <c r="Z115" s="376">
        <f>ROUND(('Changing with year'!Z122)/1000,0)*1000</f>
        <v>9850000</v>
      </c>
      <c r="AA115" s="376">
        <f>ROUND(('Changing with year'!AA122)/1000,0)*1000</f>
        <v>10128000</v>
      </c>
      <c r="AB115" s="376">
        <f>ROUND(('Changing with year'!AB122)/1000,0)*1000</f>
        <v>10414000</v>
      </c>
      <c r="AC115" s="376">
        <f>ROUND(('Changing with year'!AC122)/1000,0)*1000</f>
        <v>10708000</v>
      </c>
      <c r="AD115" s="376">
        <f>ROUND(('Changing with year'!AD122)/1000,0)*1000</f>
        <v>11011000</v>
      </c>
      <c r="AE115" s="376">
        <f>ROUND(('Changing with year'!AE122)/1000,0)*1000</f>
        <v>11323000</v>
      </c>
      <c r="AF115" s="376">
        <f>ROUND(('Changing with year'!AF122)/1000,0)*1000</f>
        <v>11645000</v>
      </c>
      <c r="AG115" s="376">
        <f>ROUND(('Changing with year'!AG122)/1000,0)*1000</f>
        <v>11975000</v>
      </c>
      <c r="AH115" s="376"/>
    </row>
    <row r="116" spans="1:34">
      <c r="A116" s="368" t="s">
        <v>310</v>
      </c>
      <c r="B116" s="300" t="s">
        <v>309</v>
      </c>
      <c r="C116" s="376">
        <f>(C115*'No change with year'!$AH$11)</f>
        <v>866850</v>
      </c>
      <c r="D116" s="376">
        <f>(D115*'No change with year'!$AH$11)</f>
        <v>873900</v>
      </c>
      <c r="E116" s="376">
        <f>(E115*'No change with year'!$AH$11)</f>
        <v>882150</v>
      </c>
      <c r="F116" s="376">
        <f>(F115*'No change with year'!$AH$11)</f>
        <v>891450</v>
      </c>
      <c r="G116" s="376">
        <f>(G115*'No change with year'!$AH$11)</f>
        <v>901950</v>
      </c>
      <c r="H116" s="376">
        <f>(H115*'No change with year'!$AH$11)</f>
        <v>973650</v>
      </c>
      <c r="I116" s="376">
        <f>(I115*'No change with year'!$AH$11)</f>
        <v>990000</v>
      </c>
      <c r="J116" s="376">
        <f>(J115*'No change with year'!$AH$11)</f>
        <v>1007400</v>
      </c>
      <c r="K116" s="376">
        <f>(K115*'No change with year'!$AH$11)</f>
        <v>1025850</v>
      </c>
      <c r="L116" s="376">
        <f>(L115*'No change with year'!$AH$11)</f>
        <v>1045200</v>
      </c>
      <c r="M116" s="376">
        <f>(M115*'No change with year'!$AH$11)</f>
        <v>1065750</v>
      </c>
      <c r="N116" s="376">
        <f>(N115*'No change with year'!$AI$11)</f>
        <v>1449600</v>
      </c>
      <c r="O116" s="376">
        <f>(O115*'No change with year'!$AI$11)</f>
        <v>1479600</v>
      </c>
      <c r="P116" s="376">
        <f>(P115*'No change with year'!$AI$11)</f>
        <v>1511200</v>
      </c>
      <c r="Q116" s="376">
        <f>(Q115*'No change with year'!$AI$11)</f>
        <v>1544200</v>
      </c>
      <c r="R116" s="376">
        <f>(R115*'No change with year'!$AI$11)</f>
        <v>1578600</v>
      </c>
      <c r="S116" s="376">
        <f>(S115*'No change with year'!$AI$11)</f>
        <v>1622800</v>
      </c>
      <c r="T116" s="376">
        <f>(T115*'No change with year'!$AI$11)</f>
        <v>1668200</v>
      </c>
      <c r="U116" s="376">
        <f>(U115*'No change with year'!$AI$11)</f>
        <v>1715000</v>
      </c>
      <c r="V116" s="376">
        <f>(V115*'No change with year'!$AI$11)</f>
        <v>1763000</v>
      </c>
      <c r="W116" s="376">
        <f>(W115*'No change with year'!$AI$11)</f>
        <v>1812600</v>
      </c>
      <c r="X116" s="376">
        <f>(X115*'No change with year'!$AJ$11)</f>
        <v>2329250</v>
      </c>
      <c r="Y116" s="376">
        <f>(Y115*'No change with year'!$AJ$11)</f>
        <v>2395000</v>
      </c>
      <c r="Z116" s="376">
        <f>(Z115*'No change with year'!$AJ$11)</f>
        <v>2462500</v>
      </c>
      <c r="AA116" s="376">
        <f>(AA115*'No change with year'!$AJ$11)</f>
        <v>2532000</v>
      </c>
      <c r="AB116" s="376">
        <f>(AB115*'No change with year'!$AJ$11)</f>
        <v>2603500</v>
      </c>
      <c r="AC116" s="376">
        <f>(AC115*'No change with year'!$AJ$11)</f>
        <v>2677000</v>
      </c>
      <c r="AD116" s="376">
        <f>(AD115*'No change with year'!$AJ$11)</f>
        <v>2752750</v>
      </c>
      <c r="AE116" s="376">
        <f>(AE115*'No change with year'!$AJ$11)</f>
        <v>2830750</v>
      </c>
      <c r="AF116" s="376">
        <f>(AF115*'No change with year'!$AJ$11)</f>
        <v>2911250</v>
      </c>
      <c r="AG116" s="376">
        <f>(AG115*'No change with year'!$AJ$11)</f>
        <v>2993750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38">-PMT($C$26,$C$25,C115)</f>
        <v>1266281.3957741379</v>
      </c>
      <c r="D118" s="376">
        <f t="shared" si="38"/>
        <v>1276579.9293615033</v>
      </c>
      <c r="E118" s="376">
        <f t="shared" si="38"/>
        <v>1288631.4048360798</v>
      </c>
      <c r="F118" s="376">
        <f t="shared" si="38"/>
        <v>1302216.7044619659</v>
      </c>
      <c r="G118" s="376">
        <f t="shared" si="38"/>
        <v>1317554.9459750634</v>
      </c>
      <c r="H118" s="376">
        <f t="shared" si="38"/>
        <v>1422293.2237359281</v>
      </c>
      <c r="I118" s="376">
        <f t="shared" si="38"/>
        <v>1446177.0569491799</v>
      </c>
      <c r="J118" s="376">
        <f t="shared" si="38"/>
        <v>1471594.7143137411</v>
      </c>
      <c r="K118" s="376">
        <f t="shared" si="38"/>
        <v>1498546.1958296122</v>
      </c>
      <c r="L118" s="376">
        <f t="shared" si="38"/>
        <v>1526812.3837608914</v>
      </c>
      <c r="M118" s="376">
        <f t="shared" si="38"/>
        <v>1556831.5135793821</v>
      </c>
      <c r="N118" s="376">
        <f t="shared" si="38"/>
        <v>1588165.3498132811</v>
      </c>
      <c r="O118" s="376">
        <f t="shared" si="38"/>
        <v>1621033.0101984895</v>
      </c>
      <c r="P118" s="376">
        <f t="shared" si="38"/>
        <v>1655653.6124709093</v>
      </c>
      <c r="Q118" s="376">
        <f t="shared" si="38"/>
        <v>1691808.0388946389</v>
      </c>
      <c r="R118" s="376">
        <f t="shared" si="38"/>
        <v>1729496.2894696782</v>
      </c>
      <c r="S118" s="376">
        <f t="shared" si="38"/>
        <v>1777921.3091038854</v>
      </c>
      <c r="T118" s="376">
        <f t="shared" si="38"/>
        <v>1827661.0351535012</v>
      </c>
      <c r="U118" s="376">
        <f t="shared" si="38"/>
        <v>1878934.5853544266</v>
      </c>
      <c r="V118" s="376">
        <f t="shared" si="38"/>
        <v>1931522.8419707606</v>
      </c>
      <c r="W118" s="376">
        <f t="shared" si="38"/>
        <v>1985864.0404743054</v>
      </c>
      <c r="X118" s="376">
        <f t="shared" si="38"/>
        <v>2041519.9453932585</v>
      </c>
      <c r="Y118" s="376">
        <f t="shared" si="38"/>
        <v>2099147.9099353249</v>
      </c>
      <c r="Z118" s="376">
        <f t="shared" si="38"/>
        <v>2158309.6986287003</v>
      </c>
      <c r="AA118" s="376">
        <f t="shared" si="38"/>
        <v>2219224.4292092868</v>
      </c>
      <c r="AB118" s="376">
        <f t="shared" si="38"/>
        <v>2281892.1016770848</v>
      </c>
      <c r="AC118" s="376">
        <f t="shared" si="38"/>
        <v>2346312.7160320939</v>
      </c>
      <c r="AD118" s="376">
        <f t="shared" si="38"/>
        <v>2412705.3900102149</v>
      </c>
      <c r="AE118" s="376">
        <f t="shared" si="38"/>
        <v>2481070.1236114488</v>
      </c>
      <c r="AF118" s="376">
        <f t="shared" si="38"/>
        <v>2551626.034571697</v>
      </c>
      <c r="AG118" s="376">
        <f t="shared" si="38"/>
        <v>2623934.8874191558</v>
      </c>
    </row>
    <row r="119" spans="1:34">
      <c r="A119" s="300" t="s">
        <v>321</v>
      </c>
      <c r="B119" s="368" t="s">
        <v>313</v>
      </c>
      <c r="C119" s="376">
        <f t="shared" ref="C119:AG119" si="39">$F$37*C50</f>
        <v>4253052.6315789483</v>
      </c>
      <c r="D119" s="376">
        <f t="shared" si="39"/>
        <v>4213557.8947368432</v>
      </c>
      <c r="E119" s="376">
        <f t="shared" si="39"/>
        <v>4178003.789473685</v>
      </c>
      <c r="F119" s="376">
        <f t="shared" si="39"/>
        <v>4146302.4547368432</v>
      </c>
      <c r="G119" s="376">
        <f t="shared" si="39"/>
        <v>4118370.2627789485</v>
      </c>
      <c r="H119" s="376">
        <f t="shared" si="39"/>
        <v>4094127.6844955804</v>
      </c>
      <c r="I119" s="376">
        <f t="shared" si="39"/>
        <v>3850295.1639097775</v>
      </c>
      <c r="J119" s="376">
        <f t="shared" si="39"/>
        <v>3721966.5654583178</v>
      </c>
      <c r="K119" s="376">
        <f t="shared" si="39"/>
        <v>3597906.2533113095</v>
      </c>
      <c r="L119" s="376">
        <f t="shared" si="39"/>
        <v>3477953.1421201164</v>
      </c>
      <c r="M119" s="376">
        <f t="shared" si="39"/>
        <v>3361952.82853369</v>
      </c>
      <c r="N119" s="376">
        <f t="shared" si="39"/>
        <v>3249757.2961031152</v>
      </c>
      <c r="O119" s="376">
        <f t="shared" si="39"/>
        <v>3141224.6337425285</v>
      </c>
      <c r="P119" s="376">
        <f t="shared" si="39"/>
        <v>3036218.7671079822</v>
      </c>
      <c r="Q119" s="376">
        <f t="shared" si="39"/>
        <v>2934609.2022863622</v>
      </c>
      <c r="R119" s="376">
        <f t="shared" si="39"/>
        <v>2836270.7812155648</v>
      </c>
      <c r="S119" s="376">
        <f t="shared" si="39"/>
        <v>2618681.479545224</v>
      </c>
      <c r="T119" s="376">
        <f t="shared" si="39"/>
        <v>2544325.6161151854</v>
      </c>
      <c r="U119" s="376">
        <f t="shared" si="39"/>
        <v>2472615.8384922552</v>
      </c>
      <c r="V119" s="376">
        <f t="shared" si="39"/>
        <v>2403437.7793227513</v>
      </c>
      <c r="W119" s="376">
        <f t="shared" si="39"/>
        <v>2336682.3936554207</v>
      </c>
      <c r="X119" s="376">
        <f t="shared" si="39"/>
        <v>2272245.7032788424</v>
      </c>
      <c r="Y119" s="376">
        <f t="shared" si="39"/>
        <v>2210028.5535424566</v>
      </c>
      <c r="Z119" s="376">
        <f t="shared" si="39"/>
        <v>2149936.382045872</v>
      </c>
      <c r="AA119" s="376">
        <f t="shared" si="39"/>
        <v>2091878.9986116125</v>
      </c>
      <c r="AB119" s="376">
        <f t="shared" si="39"/>
        <v>2035770.375985472</v>
      </c>
      <c r="AC119" s="376">
        <f t="shared" si="39"/>
        <v>1967366.7009287386</v>
      </c>
      <c r="AD119" s="376">
        <f t="shared" si="39"/>
        <v>1974147.1066358595</v>
      </c>
      <c r="AE119" s="376">
        <f t="shared" si="39"/>
        <v>1983231.021701176</v>
      </c>
      <c r="AF119" s="376">
        <f t="shared" si="39"/>
        <v>1994581.4366227423</v>
      </c>
      <c r="AG119" s="376">
        <f t="shared" si="39"/>
        <v>2008164.9044683597</v>
      </c>
    </row>
    <row r="120" spans="1:34">
      <c r="A120" s="300" t="s">
        <v>317</v>
      </c>
      <c r="B120" s="368" t="s">
        <v>313</v>
      </c>
      <c r="C120" s="376">
        <f t="shared" ref="C120:AG120" si="40">$C$22*$C$21*C56</f>
        <v>611520</v>
      </c>
      <c r="D120" s="376">
        <f t="shared" si="40"/>
        <v>635980.80000000005</v>
      </c>
      <c r="E120" s="376">
        <f t="shared" si="40"/>
        <v>661420.03200000001</v>
      </c>
      <c r="F120" s="376">
        <f t="shared" si="40"/>
        <v>687876.83328000002</v>
      </c>
      <c r="G120" s="376">
        <f t="shared" si="40"/>
        <v>715391.90661120007</v>
      </c>
      <c r="H120" s="376">
        <f t="shared" si="40"/>
        <v>744007.58287564816</v>
      </c>
      <c r="I120" s="376">
        <f t="shared" si="40"/>
        <v>773767.88619067403</v>
      </c>
      <c r="J120" s="376">
        <f t="shared" si="40"/>
        <v>804718.60163830093</v>
      </c>
      <c r="K120" s="376">
        <f t="shared" si="40"/>
        <v>836907.34570383304</v>
      </c>
      <c r="L120" s="376">
        <f t="shared" si="40"/>
        <v>870383.63953198644</v>
      </c>
      <c r="M120" s="376">
        <f t="shared" si="40"/>
        <v>905198.98511326592</v>
      </c>
      <c r="N120" s="376">
        <f t="shared" si="40"/>
        <v>941406.94451779663</v>
      </c>
      <c r="O120" s="376">
        <f t="shared" si="40"/>
        <v>979063.22229850851</v>
      </c>
      <c r="P120" s="376">
        <f t="shared" si="40"/>
        <v>1018225.7511904489</v>
      </c>
      <c r="Q120" s="376">
        <f t="shared" si="40"/>
        <v>1058954.781238067</v>
      </c>
      <c r="R120" s="376">
        <f t="shared" si="40"/>
        <v>1101312.9724875896</v>
      </c>
      <c r="S120" s="376">
        <f t="shared" si="40"/>
        <v>1145365.4913870932</v>
      </c>
      <c r="T120" s="376">
        <f t="shared" si="40"/>
        <v>1191180.1110425768</v>
      </c>
      <c r="U120" s="376">
        <f t="shared" si="40"/>
        <v>1238827.31548428</v>
      </c>
      <c r="V120" s="376">
        <f t="shared" si="40"/>
        <v>1288380.4081036514</v>
      </c>
      <c r="W120" s="376">
        <f t="shared" si="40"/>
        <v>1339915.6244277973</v>
      </c>
      <c r="X120" s="376">
        <f t="shared" si="40"/>
        <v>1393512.2494049091</v>
      </c>
      <c r="Y120" s="376">
        <f t="shared" si="40"/>
        <v>1449252.7393811056</v>
      </c>
      <c r="Z120" s="376">
        <f t="shared" si="40"/>
        <v>1507222.84895635</v>
      </c>
      <c r="AA120" s="376">
        <f t="shared" si="40"/>
        <v>1567511.762914604</v>
      </c>
      <c r="AB120" s="376">
        <f t="shared" si="40"/>
        <v>1630212.2334311884</v>
      </c>
      <c r="AC120" s="376">
        <f t="shared" si="40"/>
        <v>1695420.722768436</v>
      </c>
      <c r="AD120" s="376">
        <f t="shared" si="40"/>
        <v>1763237.5516791735</v>
      </c>
      <c r="AE120" s="376">
        <f t="shared" si="40"/>
        <v>1833767.0537463406</v>
      </c>
      <c r="AF120" s="376">
        <f t="shared" si="40"/>
        <v>1907117.7358961944</v>
      </c>
      <c r="AG120" s="376">
        <f t="shared" si="40"/>
        <v>1983402.4453320422</v>
      </c>
    </row>
    <row r="121" spans="1:34">
      <c r="A121" s="368" t="s">
        <v>318</v>
      </c>
      <c r="B121" s="368" t="s">
        <v>313</v>
      </c>
      <c r="C121" s="376">
        <f>'Changing with year'!C292</f>
        <v>450000</v>
      </c>
      <c r="D121" s="376">
        <f>'Changing with year'!D292</f>
        <v>470000</v>
      </c>
      <c r="E121" s="376">
        <f>'Changing with year'!E292</f>
        <v>491000</v>
      </c>
      <c r="F121" s="376">
        <f>'Changing with year'!F292</f>
        <v>513000</v>
      </c>
      <c r="G121" s="376">
        <f>'Changing with year'!G292</f>
        <v>536000</v>
      </c>
      <c r="H121" s="376">
        <f>'Changing with year'!H292</f>
        <v>560000</v>
      </c>
      <c r="I121" s="376">
        <f>'Changing with year'!I292</f>
        <v>585000</v>
      </c>
      <c r="J121" s="376">
        <f>'Changing with year'!J292</f>
        <v>611000</v>
      </c>
      <c r="K121" s="376">
        <f>'Changing with year'!K292</f>
        <v>638000</v>
      </c>
      <c r="L121" s="376">
        <f>'Changing with year'!L292</f>
        <v>667000</v>
      </c>
      <c r="M121" s="376">
        <f>'Changing with year'!M292</f>
        <v>697000</v>
      </c>
      <c r="N121" s="376">
        <f>'Changing with year'!N292</f>
        <v>728000</v>
      </c>
      <c r="O121" s="376">
        <f>'Changing with year'!O292</f>
        <v>761000</v>
      </c>
      <c r="P121" s="376">
        <f>'Changing with year'!P292</f>
        <v>795000</v>
      </c>
      <c r="Q121" s="376">
        <f>'Changing with year'!Q292</f>
        <v>831000</v>
      </c>
      <c r="R121" s="376">
        <f>'Changing with year'!R292</f>
        <v>868000</v>
      </c>
      <c r="S121" s="376">
        <f>'Changing with year'!S292</f>
        <v>907000</v>
      </c>
      <c r="T121" s="376">
        <f>'Changing with year'!T292</f>
        <v>948000</v>
      </c>
      <c r="U121" s="376">
        <f>'Changing with year'!U292</f>
        <v>991000</v>
      </c>
      <c r="V121" s="376">
        <f>'Changing with year'!V292</f>
        <v>1036000</v>
      </c>
      <c r="W121" s="376">
        <f>'Changing with year'!W292</f>
        <v>1083000</v>
      </c>
      <c r="X121" s="376">
        <f>'Changing with year'!X292</f>
        <v>1132000</v>
      </c>
      <c r="Y121" s="376">
        <f>'Changing with year'!Y292</f>
        <v>1183000</v>
      </c>
      <c r="Z121" s="376">
        <f>'Changing with year'!Z292</f>
        <v>1236000</v>
      </c>
      <c r="AA121" s="376">
        <f>'Changing with year'!AA292</f>
        <v>1292000</v>
      </c>
      <c r="AB121" s="376">
        <f>'Changing with year'!AB292</f>
        <v>1350000</v>
      </c>
      <c r="AC121" s="376">
        <f>'Changing with year'!AC292</f>
        <v>1411000</v>
      </c>
      <c r="AD121" s="376">
        <f>'Changing with year'!AD292</f>
        <v>1474000</v>
      </c>
      <c r="AE121" s="376">
        <f>'Changing with year'!AE292</f>
        <v>1540000</v>
      </c>
      <c r="AF121" s="376">
        <f>'Changing with year'!AF292</f>
        <v>1609000</v>
      </c>
      <c r="AG121" s="376">
        <f>'Changing with year'!AG292</f>
        <v>1681000</v>
      </c>
      <c r="AH121" s="339"/>
    </row>
    <row r="122" spans="1:34">
      <c r="A122" s="300" t="s">
        <v>272</v>
      </c>
      <c r="B122" s="368" t="s">
        <v>313</v>
      </c>
      <c r="C122" s="376">
        <f>C60</f>
        <v>666400</v>
      </c>
      <c r="D122" s="376">
        <f t="shared" ref="D122:AG122" si="41">D60</f>
        <v>673064</v>
      </c>
      <c r="E122" s="376">
        <f t="shared" si="41"/>
        <v>679794.64</v>
      </c>
      <c r="F122" s="376">
        <f t="shared" si="41"/>
        <v>686592.58640000003</v>
      </c>
      <c r="G122" s="376">
        <f t="shared" si="41"/>
        <v>693458.51226400002</v>
      </c>
      <c r="H122" s="376">
        <f t="shared" si="41"/>
        <v>700393.09738663991</v>
      </c>
      <c r="I122" s="376">
        <f t="shared" si="41"/>
        <v>707397.0283605064</v>
      </c>
      <c r="J122" s="376">
        <f t="shared" si="41"/>
        <v>714470.99864411145</v>
      </c>
      <c r="K122" s="376">
        <f t="shared" si="41"/>
        <v>721615.70863055263</v>
      </c>
      <c r="L122" s="376">
        <f t="shared" si="41"/>
        <v>728831.86571685818</v>
      </c>
      <c r="M122" s="376">
        <f t="shared" si="41"/>
        <v>736120.18437402672</v>
      </c>
      <c r="N122" s="376">
        <f t="shared" si="41"/>
        <v>743481.38621776691</v>
      </c>
      <c r="O122" s="376">
        <f t="shared" si="41"/>
        <v>750916.20007994468</v>
      </c>
      <c r="P122" s="376">
        <f t="shared" si="41"/>
        <v>758425.36208074412</v>
      </c>
      <c r="Q122" s="376">
        <f t="shared" si="41"/>
        <v>766009.61570155167</v>
      </c>
      <c r="R122" s="376">
        <f t="shared" si="41"/>
        <v>773669.71185856708</v>
      </c>
      <c r="S122" s="376">
        <f t="shared" si="41"/>
        <v>781406.40897715278</v>
      </c>
      <c r="T122" s="376">
        <f t="shared" si="41"/>
        <v>789220.47306692437</v>
      </c>
      <c r="U122" s="376">
        <f t="shared" si="41"/>
        <v>797112.67779759364</v>
      </c>
      <c r="V122" s="376">
        <f t="shared" si="41"/>
        <v>805083.80457556946</v>
      </c>
      <c r="W122" s="376">
        <f t="shared" si="41"/>
        <v>813134.64262132521</v>
      </c>
      <c r="X122" s="376">
        <f t="shared" si="41"/>
        <v>821265.98904753849</v>
      </c>
      <c r="Y122" s="376">
        <f t="shared" si="41"/>
        <v>829478.64893801382</v>
      </c>
      <c r="Z122" s="376">
        <f t="shared" si="41"/>
        <v>837773.43542739411</v>
      </c>
      <c r="AA122" s="376">
        <f t="shared" si="41"/>
        <v>846151.16978166811</v>
      </c>
      <c r="AB122" s="376">
        <f t="shared" si="41"/>
        <v>854612.68147948477</v>
      </c>
      <c r="AC122" s="376">
        <f t="shared" si="41"/>
        <v>863158.80829427973</v>
      </c>
      <c r="AD122" s="376">
        <f t="shared" si="41"/>
        <v>871790.39637722238</v>
      </c>
      <c r="AE122" s="376">
        <f t="shared" si="41"/>
        <v>880508.30034099461</v>
      </c>
      <c r="AF122" s="376">
        <f t="shared" si="41"/>
        <v>889313.38334440463</v>
      </c>
      <c r="AG122" s="376">
        <f t="shared" si="41"/>
        <v>898206.51717784861</v>
      </c>
    </row>
    <row r="123" spans="1:34">
      <c r="A123" s="300" t="s">
        <v>319</v>
      </c>
      <c r="B123" s="368" t="s">
        <v>313</v>
      </c>
      <c r="C123" s="376">
        <f t="shared" ref="C123:AG123" si="42">C115*$C$29</f>
        <v>115580</v>
      </c>
      <c r="D123" s="376">
        <f t="shared" si="42"/>
        <v>116520</v>
      </c>
      <c r="E123" s="376">
        <f t="shared" si="42"/>
        <v>117620</v>
      </c>
      <c r="F123" s="376">
        <f t="shared" si="42"/>
        <v>118860</v>
      </c>
      <c r="G123" s="376">
        <f t="shared" si="42"/>
        <v>120260</v>
      </c>
      <c r="H123" s="376">
        <f t="shared" si="42"/>
        <v>129820</v>
      </c>
      <c r="I123" s="376">
        <f t="shared" si="42"/>
        <v>132000</v>
      </c>
      <c r="J123" s="376">
        <f t="shared" si="42"/>
        <v>134320</v>
      </c>
      <c r="K123" s="376">
        <f t="shared" si="42"/>
        <v>136780</v>
      </c>
      <c r="L123" s="376">
        <f t="shared" si="42"/>
        <v>139360</v>
      </c>
      <c r="M123" s="376">
        <f t="shared" si="42"/>
        <v>142100</v>
      </c>
      <c r="N123" s="376">
        <f t="shared" si="42"/>
        <v>144960</v>
      </c>
      <c r="O123" s="376">
        <f t="shared" si="42"/>
        <v>147960</v>
      </c>
      <c r="P123" s="376">
        <f t="shared" si="42"/>
        <v>151120</v>
      </c>
      <c r="Q123" s="376">
        <f t="shared" si="42"/>
        <v>154420</v>
      </c>
      <c r="R123" s="376">
        <f t="shared" si="42"/>
        <v>157860</v>
      </c>
      <c r="S123" s="376">
        <f t="shared" si="42"/>
        <v>162280</v>
      </c>
      <c r="T123" s="376">
        <f t="shared" si="42"/>
        <v>166820</v>
      </c>
      <c r="U123" s="376">
        <f t="shared" si="42"/>
        <v>171500</v>
      </c>
      <c r="V123" s="376">
        <f t="shared" si="42"/>
        <v>176300</v>
      </c>
      <c r="W123" s="376">
        <f t="shared" si="42"/>
        <v>181260</v>
      </c>
      <c r="X123" s="376">
        <f t="shared" si="42"/>
        <v>186340</v>
      </c>
      <c r="Y123" s="376">
        <f t="shared" si="42"/>
        <v>191600</v>
      </c>
      <c r="Z123" s="376">
        <f t="shared" si="42"/>
        <v>197000</v>
      </c>
      <c r="AA123" s="376">
        <f t="shared" si="42"/>
        <v>202560</v>
      </c>
      <c r="AB123" s="376">
        <f t="shared" si="42"/>
        <v>208280</v>
      </c>
      <c r="AC123" s="376">
        <f t="shared" si="42"/>
        <v>214160</v>
      </c>
      <c r="AD123" s="376">
        <f t="shared" si="42"/>
        <v>220220</v>
      </c>
      <c r="AE123" s="376">
        <f t="shared" si="42"/>
        <v>226460</v>
      </c>
      <c r="AF123" s="376">
        <f t="shared" si="42"/>
        <v>232900</v>
      </c>
      <c r="AG123" s="376">
        <f t="shared" si="42"/>
        <v>239500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5" si="43">C118/($C$22*$C$21)</f>
        <v>18.843473151400861</v>
      </c>
      <c r="D125" s="379">
        <f t="shared" si="43"/>
        <v>18.996725139308086</v>
      </c>
      <c r="E125" s="379">
        <f t="shared" si="43"/>
        <v>19.176062571965474</v>
      </c>
      <c r="F125" s="379">
        <f t="shared" si="43"/>
        <v>19.378224768779255</v>
      </c>
      <c r="G125" s="379">
        <f t="shared" si="43"/>
        <v>19.606472410343205</v>
      </c>
      <c r="H125" s="379">
        <f t="shared" si="43"/>
        <v>21.165077734165596</v>
      </c>
      <c r="I125" s="379">
        <f t="shared" si="43"/>
        <v>21.520491918886606</v>
      </c>
      <c r="J125" s="379">
        <f t="shared" si="43"/>
        <v>21.898730867764005</v>
      </c>
      <c r="K125" s="379">
        <f t="shared" si="43"/>
        <v>22.299794580797801</v>
      </c>
      <c r="L125" s="379">
        <f t="shared" si="43"/>
        <v>22.720422377394218</v>
      </c>
      <c r="M125" s="379">
        <f t="shared" si="43"/>
        <v>23.167135618740804</v>
      </c>
      <c r="N125" s="379">
        <f t="shared" si="43"/>
        <v>23.633412943650015</v>
      </c>
      <c r="O125" s="379">
        <f t="shared" si="43"/>
        <v>24.122515032715619</v>
      </c>
      <c r="P125" s="379">
        <f t="shared" si="43"/>
        <v>24.637702566531388</v>
      </c>
      <c r="Q125" s="379">
        <f t="shared" si="43"/>
        <v>25.175714864503554</v>
      </c>
      <c r="R125" s="379">
        <f t="shared" si="43"/>
        <v>25.736551926632117</v>
      </c>
      <c r="S125" s="379">
        <f t="shared" si="43"/>
        <v>26.457162337855436</v>
      </c>
      <c r="T125" s="379">
        <f t="shared" si="43"/>
        <v>27.197336832641387</v>
      </c>
      <c r="U125" s="379">
        <f t="shared" si="43"/>
        <v>27.960336091583731</v>
      </c>
      <c r="V125" s="379">
        <f t="shared" si="43"/>
        <v>28.742899434088699</v>
      </c>
      <c r="W125" s="379">
        <f t="shared" si="43"/>
        <v>29.551548221343829</v>
      </c>
      <c r="X125" s="379">
        <f t="shared" si="43"/>
        <v>30.379761092161583</v>
      </c>
      <c r="Y125" s="379">
        <f t="shared" si="43"/>
        <v>31.237320088323287</v>
      </c>
      <c r="Z125" s="379">
        <f t="shared" si="43"/>
        <v>32.117703848641376</v>
      </c>
      <c r="AA125" s="379">
        <f t="shared" si="43"/>
        <v>33.024173053709625</v>
      </c>
      <c r="AB125" s="379">
        <f t="shared" si="43"/>
        <v>33.956727703528045</v>
      </c>
      <c r="AC125" s="379">
        <f t="shared" si="43"/>
        <v>34.915367798096632</v>
      </c>
      <c r="AD125" s="379">
        <f t="shared" si="43"/>
        <v>35.903354018009153</v>
      </c>
      <c r="AE125" s="379">
        <f t="shared" si="43"/>
        <v>36.920686363265609</v>
      </c>
      <c r="AF125" s="379">
        <f t="shared" si="43"/>
        <v>37.970625514459776</v>
      </c>
      <c r="AG125" s="379">
        <f t="shared" si="43"/>
        <v>39.046650110404101</v>
      </c>
    </row>
    <row r="126" spans="1:34">
      <c r="A126" s="300" t="s">
        <v>321</v>
      </c>
      <c r="B126" s="300" t="s">
        <v>300</v>
      </c>
      <c r="C126" s="379">
        <f t="shared" ref="C126:AG126" si="44">C119/($C$22*$C$21)</f>
        <v>63.289473684210542</v>
      </c>
      <c r="D126" s="379">
        <f t="shared" si="44"/>
        <v>62.701754385964925</v>
      </c>
      <c r="E126" s="379">
        <f t="shared" si="44"/>
        <v>62.172675438596499</v>
      </c>
      <c r="F126" s="379">
        <f t="shared" si="44"/>
        <v>61.700929385964926</v>
      </c>
      <c r="G126" s="379">
        <f t="shared" si="44"/>
        <v>61.285271767543875</v>
      </c>
      <c r="H126" s="379">
        <f t="shared" si="44"/>
        <v>60.924519114517565</v>
      </c>
      <c r="I126" s="379">
        <f t="shared" si="44"/>
        <v>57.296058986752641</v>
      </c>
      <c r="J126" s="379">
        <f t="shared" si="44"/>
        <v>55.386407224082106</v>
      </c>
      <c r="K126" s="379">
        <f t="shared" si="44"/>
        <v>53.540271626656391</v>
      </c>
      <c r="L126" s="379">
        <f t="shared" si="44"/>
        <v>51.75525509107316</v>
      </c>
      <c r="M126" s="379">
        <f t="shared" si="44"/>
        <v>50.029059948418002</v>
      </c>
      <c r="N126" s="379">
        <f t="shared" si="44"/>
        <v>48.359483572963022</v>
      </c>
      <c r="O126" s="379">
        <f t="shared" si="44"/>
        <v>46.744414192597148</v>
      </c>
      <c r="P126" s="379">
        <f t="shared" si="44"/>
        <v>45.18182689148783</v>
      </c>
      <c r="Q126" s="379">
        <f t="shared" si="44"/>
        <v>43.669779795928008</v>
      </c>
      <c r="R126" s="379">
        <f t="shared" si="44"/>
        <v>42.206410434755426</v>
      </c>
      <c r="S126" s="379">
        <f t="shared" si="44"/>
        <v>38.968474397994406</v>
      </c>
      <c r="T126" s="379">
        <f t="shared" si="44"/>
        <v>37.8619883350474</v>
      </c>
      <c r="U126" s="379">
        <f t="shared" si="44"/>
        <v>36.794878548991896</v>
      </c>
      <c r="V126" s="379">
        <f t="shared" si="44"/>
        <v>35.7654431446838</v>
      </c>
      <c r="W126" s="379">
        <f t="shared" si="44"/>
        <v>34.772059429396144</v>
      </c>
      <c r="X126" s="379">
        <f t="shared" si="44"/>
        <v>33.813180108316104</v>
      </c>
      <c r="Y126" s="379">
        <f t="shared" si="44"/>
        <v>32.887329665810363</v>
      </c>
      <c r="Z126" s="379">
        <f t="shared" si="44"/>
        <v>31.993100923301668</v>
      </c>
      <c r="AA126" s="379">
        <f t="shared" si="44"/>
        <v>31.129151765053756</v>
      </c>
      <c r="AB126" s="379">
        <f t="shared" si="44"/>
        <v>30.294202023593332</v>
      </c>
      <c r="AC126" s="379">
        <f t="shared" si="44"/>
        <v>29.276290192391944</v>
      </c>
      <c r="AD126" s="379">
        <f t="shared" si="44"/>
        <v>29.377189086843146</v>
      </c>
      <c r="AE126" s="379">
        <f t="shared" si="44"/>
        <v>29.512366394362736</v>
      </c>
      <c r="AF126" s="379">
        <f t="shared" si="44"/>
        <v>29.681271378314619</v>
      </c>
      <c r="AG126" s="379">
        <f t="shared" si="44"/>
        <v>29.883406316493446</v>
      </c>
    </row>
    <row r="127" spans="1:34">
      <c r="A127" s="300" t="s">
        <v>322</v>
      </c>
      <c r="B127" s="300" t="s">
        <v>300</v>
      </c>
      <c r="C127" s="379">
        <f t="shared" ref="C127:AG127" si="45">(C120+C121+C122+C123)/($C$22*$C$21)</f>
        <v>27.433035714285715</v>
      </c>
      <c r="D127" s="379">
        <f t="shared" si="45"/>
        <v>28.207809523809523</v>
      </c>
      <c r="E127" s="379">
        <f t="shared" si="45"/>
        <v>29.015396904761907</v>
      </c>
      <c r="F127" s="379">
        <f t="shared" si="45"/>
        <v>29.856092554761901</v>
      </c>
      <c r="G127" s="379">
        <f t="shared" si="45"/>
        <v>30.730809804690477</v>
      </c>
      <c r="H127" s="379">
        <f t="shared" si="45"/>
        <v>31.759236313426907</v>
      </c>
      <c r="I127" s="379">
        <f t="shared" si="45"/>
        <v>32.710787418916375</v>
      </c>
      <c r="J127" s="379">
        <f t="shared" si="45"/>
        <v>33.698059528012081</v>
      </c>
      <c r="K127" s="379">
        <f t="shared" si="45"/>
        <v>34.721771641880743</v>
      </c>
      <c r="L127" s="379">
        <f t="shared" si="45"/>
        <v>35.797254542393524</v>
      </c>
      <c r="M127" s="379">
        <f t="shared" si="45"/>
        <v>36.910999545941856</v>
      </c>
      <c r="N127" s="379">
        <f t="shared" si="45"/>
        <v>38.063219207374452</v>
      </c>
      <c r="O127" s="379">
        <f t="shared" si="45"/>
        <v>39.269931880631745</v>
      </c>
      <c r="P127" s="379">
        <f t="shared" si="45"/>
        <v>40.517427280821323</v>
      </c>
      <c r="Q127" s="379">
        <f t="shared" si="45"/>
        <v>41.821196383030035</v>
      </c>
      <c r="R127" s="379">
        <f t="shared" si="45"/>
        <v>43.167301850389237</v>
      </c>
      <c r="S127" s="379">
        <f t="shared" si="45"/>
        <v>44.584105660182239</v>
      </c>
      <c r="T127" s="379">
        <f t="shared" si="45"/>
        <v>46.059830120677098</v>
      </c>
      <c r="U127" s="379">
        <f t="shared" si="45"/>
        <v>47.595833233361212</v>
      </c>
      <c r="V127" s="379">
        <f t="shared" si="45"/>
        <v>49.192919831536024</v>
      </c>
      <c r="W127" s="379">
        <f t="shared" si="45"/>
        <v>50.85283135489766</v>
      </c>
      <c r="X127" s="379">
        <f t="shared" si="45"/>
        <v>52.576164262685232</v>
      </c>
      <c r="Y127" s="379">
        <f t="shared" si="45"/>
        <v>54.365050421415468</v>
      </c>
      <c r="Z127" s="379">
        <f t="shared" si="45"/>
        <v>56.220182803329529</v>
      </c>
      <c r="AA127" s="379">
        <f t="shared" si="45"/>
        <v>58.158079355599291</v>
      </c>
      <c r="AB127" s="379">
        <f t="shared" si="45"/>
        <v>60.165251709980254</v>
      </c>
      <c r="AC127" s="379">
        <f t="shared" si="45"/>
        <v>62.258028736052317</v>
      </c>
      <c r="AD127" s="379">
        <f t="shared" si="45"/>
        <v>64.423332560363036</v>
      </c>
      <c r="AE127" s="379">
        <f t="shared" si="45"/>
        <v>66.677609435823442</v>
      </c>
      <c r="AF127" s="379">
        <f t="shared" si="45"/>
        <v>69.022784512508906</v>
      </c>
      <c r="AG127" s="379">
        <f t="shared" si="45"/>
        <v>71.459954799254334</v>
      </c>
    </row>
    <row r="128" spans="1:34">
      <c r="A128" s="300" t="s">
        <v>310</v>
      </c>
      <c r="B128" s="300" t="s">
        <v>300</v>
      </c>
      <c r="C128" s="379">
        <f t="shared" ref="C128:AG128" si="46">C116/($C$22*$C$21*7)</f>
        <v>1.8427933673469388</v>
      </c>
      <c r="D128" s="379">
        <f t="shared" si="46"/>
        <v>1.8577806122448979</v>
      </c>
      <c r="E128" s="379">
        <f t="shared" si="46"/>
        <v>1.8753188775510203</v>
      </c>
      <c r="F128" s="379">
        <f t="shared" si="46"/>
        <v>1.8950892857142858</v>
      </c>
      <c r="G128" s="379">
        <f t="shared" si="46"/>
        <v>1.9174107142857142</v>
      </c>
      <c r="H128" s="379">
        <f t="shared" si="46"/>
        <v>2.0698341836734695</v>
      </c>
      <c r="I128" s="379">
        <f t="shared" si="46"/>
        <v>2.1045918367346941</v>
      </c>
      <c r="J128" s="379">
        <f t="shared" si="46"/>
        <v>2.141581632653061</v>
      </c>
      <c r="K128" s="379">
        <f t="shared" si="46"/>
        <v>2.1808035714285716</v>
      </c>
      <c r="L128" s="379">
        <f t="shared" si="46"/>
        <v>2.2219387755102042</v>
      </c>
      <c r="M128" s="379">
        <f t="shared" si="46"/>
        <v>2.265625</v>
      </c>
      <c r="N128" s="379">
        <f t="shared" si="46"/>
        <v>3.0816326530612246</v>
      </c>
      <c r="O128" s="379">
        <f t="shared" si="46"/>
        <v>3.1454081632653059</v>
      </c>
      <c r="P128" s="379">
        <f t="shared" si="46"/>
        <v>3.2125850340136055</v>
      </c>
      <c r="Q128" s="379">
        <f t="shared" si="46"/>
        <v>3.2827380952380953</v>
      </c>
      <c r="R128" s="379">
        <f t="shared" si="46"/>
        <v>3.3558673469387754</v>
      </c>
      <c r="S128" s="379">
        <f t="shared" si="46"/>
        <v>3.449829931972789</v>
      </c>
      <c r="T128" s="379">
        <f t="shared" si="46"/>
        <v>3.5463435374149661</v>
      </c>
      <c r="U128" s="379">
        <f t="shared" si="46"/>
        <v>3.6458333333333335</v>
      </c>
      <c r="V128" s="379">
        <f t="shared" si="46"/>
        <v>3.747874149659864</v>
      </c>
      <c r="W128" s="379">
        <f t="shared" si="46"/>
        <v>3.8533163265306123</v>
      </c>
      <c r="X128" s="379">
        <f t="shared" si="46"/>
        <v>4.9516369047619051</v>
      </c>
      <c r="Y128" s="379">
        <f t="shared" si="46"/>
        <v>5.09141156462585</v>
      </c>
      <c r="Z128" s="379">
        <f t="shared" si="46"/>
        <v>5.2349064625850339</v>
      </c>
      <c r="AA128" s="379">
        <f t="shared" si="46"/>
        <v>5.3826530612244898</v>
      </c>
      <c r="AB128" s="379">
        <f t="shared" si="46"/>
        <v>5.5346513605442178</v>
      </c>
      <c r="AC128" s="379">
        <f t="shared" si="46"/>
        <v>5.6909013605442178</v>
      </c>
      <c r="AD128" s="379">
        <f t="shared" si="46"/>
        <v>5.8519345238095237</v>
      </c>
      <c r="AE128" s="379">
        <f t="shared" si="46"/>
        <v>6.0177508503401365</v>
      </c>
      <c r="AF128" s="379">
        <f t="shared" si="46"/>
        <v>6.1888818027210881</v>
      </c>
      <c r="AG128" s="379">
        <f t="shared" si="46"/>
        <v>6.3642644557823127</v>
      </c>
    </row>
    <row r="129" spans="1:34" s="352" customFormat="1">
      <c r="A129" s="380" t="s">
        <v>323</v>
      </c>
      <c r="B129" s="352" t="s">
        <v>300</v>
      </c>
      <c r="C129" s="384">
        <f t="shared" ref="C129:AG129" si="47">SUM(C125:C127)-C128</f>
        <v>107.72318918255017</v>
      </c>
      <c r="D129" s="384">
        <f t="shared" si="47"/>
        <v>108.04850843683765</v>
      </c>
      <c r="E129" s="384">
        <f t="shared" si="47"/>
        <v>108.48881603777286</v>
      </c>
      <c r="F129" s="384">
        <f t="shared" si="47"/>
        <v>109.04015742379178</v>
      </c>
      <c r="G129" s="384">
        <f t="shared" si="47"/>
        <v>109.70514326829185</v>
      </c>
      <c r="H129" s="384">
        <f t="shared" si="47"/>
        <v>111.7789989784366</v>
      </c>
      <c r="I129" s="384">
        <f t="shared" si="47"/>
        <v>109.42274648782092</v>
      </c>
      <c r="J129" s="384">
        <f t="shared" si="47"/>
        <v>108.84161598720513</v>
      </c>
      <c r="K129" s="384">
        <f t="shared" si="47"/>
        <v>108.38103427790635</v>
      </c>
      <c r="L129" s="384">
        <f t="shared" si="47"/>
        <v>108.05099323535069</v>
      </c>
      <c r="M129" s="384">
        <f t="shared" si="47"/>
        <v>107.84157011310066</v>
      </c>
      <c r="N129" s="384">
        <f t="shared" si="47"/>
        <v>106.97448307092627</v>
      </c>
      <c r="O129" s="384">
        <f t="shared" si="47"/>
        <v>106.9914529426792</v>
      </c>
      <c r="P129" s="384">
        <f t="shared" si="47"/>
        <v>107.12437170482694</v>
      </c>
      <c r="Q129" s="384">
        <f t="shared" si="47"/>
        <v>107.38395294822351</v>
      </c>
      <c r="R129" s="384">
        <f t="shared" si="47"/>
        <v>107.754396864838</v>
      </c>
      <c r="S129" s="384">
        <f t="shared" si="47"/>
        <v>106.55991246405931</v>
      </c>
      <c r="T129" s="384">
        <f t="shared" si="47"/>
        <v>107.5728117509509</v>
      </c>
      <c r="U129" s="384">
        <f t="shared" si="47"/>
        <v>108.70521454060351</v>
      </c>
      <c r="V129" s="384">
        <f t="shared" si="47"/>
        <v>109.95338826064865</v>
      </c>
      <c r="W129" s="384">
        <f t="shared" si="47"/>
        <v>111.32312267910702</v>
      </c>
      <c r="X129" s="384">
        <f t="shared" si="47"/>
        <v>111.81746855840103</v>
      </c>
      <c r="Y129" s="384">
        <f t="shared" si="47"/>
        <v>113.39828861092329</v>
      </c>
      <c r="Z129" s="384">
        <f t="shared" si="47"/>
        <v>115.09608111268753</v>
      </c>
      <c r="AA129" s="384">
        <f t="shared" si="47"/>
        <v>116.92875111313819</v>
      </c>
      <c r="AB129" s="384">
        <f t="shared" si="47"/>
        <v>118.88153007655741</v>
      </c>
      <c r="AC129" s="384">
        <f t="shared" si="47"/>
        <v>120.75878536599669</v>
      </c>
      <c r="AD129" s="384">
        <f t="shared" si="47"/>
        <v>123.8519411414058</v>
      </c>
      <c r="AE129" s="384">
        <f t="shared" si="47"/>
        <v>127.09291134311165</v>
      </c>
      <c r="AF129" s="384">
        <f t="shared" si="47"/>
        <v>130.48579960256222</v>
      </c>
      <c r="AG129" s="384">
        <f t="shared" si="47"/>
        <v>134.02574677036958</v>
      </c>
    </row>
    <row r="130" spans="1:34" s="344" customFormat="1">
      <c r="A130" s="342" t="s">
        <v>182</v>
      </c>
      <c r="B130" s="342"/>
      <c r="H130" s="385">
        <f>H132/H63</f>
        <v>1.7690263807174036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48">D131+1</f>
        <v>2027</v>
      </c>
      <c r="F131" s="360">
        <f t="shared" si="48"/>
        <v>2028</v>
      </c>
      <c r="G131" s="360">
        <f t="shared" si="48"/>
        <v>2029</v>
      </c>
      <c r="H131" s="360">
        <f>G131+1</f>
        <v>2030</v>
      </c>
      <c r="I131" s="360">
        <f>H131+1</f>
        <v>2031</v>
      </c>
      <c r="J131" s="360">
        <f t="shared" si="48"/>
        <v>2032</v>
      </c>
      <c r="K131" s="360">
        <f t="shared" si="48"/>
        <v>2033</v>
      </c>
      <c r="L131" s="360">
        <f t="shared" si="48"/>
        <v>2034</v>
      </c>
      <c r="M131" s="360">
        <f t="shared" si="48"/>
        <v>2035</v>
      </c>
      <c r="N131" s="360">
        <f t="shared" si="48"/>
        <v>2036</v>
      </c>
      <c r="O131" s="360">
        <f t="shared" si="48"/>
        <v>2037</v>
      </c>
      <c r="P131" s="360">
        <f t="shared" si="48"/>
        <v>2038</v>
      </c>
      <c r="Q131" s="360">
        <f t="shared" si="48"/>
        <v>2039</v>
      </c>
      <c r="R131" s="360">
        <f t="shared" si="48"/>
        <v>2040</v>
      </c>
      <c r="S131" s="360">
        <f t="shared" si="48"/>
        <v>2041</v>
      </c>
      <c r="T131" s="360">
        <f t="shared" si="48"/>
        <v>2042</v>
      </c>
      <c r="U131" s="360">
        <f t="shared" si="48"/>
        <v>2043</v>
      </c>
      <c r="V131" s="360">
        <f t="shared" si="48"/>
        <v>2044</v>
      </c>
      <c r="W131" s="360">
        <f t="shared" si="48"/>
        <v>2045</v>
      </c>
      <c r="X131" s="360">
        <f t="shared" si="48"/>
        <v>2046</v>
      </c>
      <c r="Y131" s="360">
        <f t="shared" si="48"/>
        <v>2047</v>
      </c>
      <c r="Z131" s="360">
        <f t="shared" si="48"/>
        <v>2048</v>
      </c>
      <c r="AA131" s="360">
        <f t="shared" si="48"/>
        <v>2049</v>
      </c>
      <c r="AB131" s="360">
        <f t="shared" si="48"/>
        <v>2050</v>
      </c>
      <c r="AC131" s="360">
        <f t="shared" si="48"/>
        <v>2051</v>
      </c>
      <c r="AD131" s="360">
        <f t="shared" si="48"/>
        <v>2052</v>
      </c>
      <c r="AE131" s="360">
        <f t="shared" si="48"/>
        <v>2053</v>
      </c>
      <c r="AF131" s="360">
        <f t="shared" si="48"/>
        <v>2054</v>
      </c>
      <c r="AG131" s="360">
        <f t="shared" si="48"/>
        <v>2055</v>
      </c>
    </row>
    <row r="132" spans="1:34">
      <c r="A132" s="368" t="s">
        <v>329</v>
      </c>
      <c r="B132" s="300" t="s">
        <v>309</v>
      </c>
      <c r="C132" s="376">
        <f>ROUND(('Changing with year'!C134)/1000,0)*1000</f>
        <v>9813000</v>
      </c>
      <c r="D132" s="376">
        <f>ROUND(('Changing with year'!D134)/1000,0)*1000</f>
        <v>9768000</v>
      </c>
      <c r="E132" s="376">
        <f>ROUND(('Changing with year'!E134)/1000,0)*1000</f>
        <v>9732000</v>
      </c>
      <c r="F132" s="376">
        <f>ROUND(('Changing with year'!F134)/1000,0)*1000</f>
        <v>9510000</v>
      </c>
      <c r="G132" s="376">
        <f>ROUND(('Changing with year'!G134)/1000,0)*1000</f>
        <v>9307000</v>
      </c>
      <c r="H132" s="376">
        <f>ROUND(('Changing with year'!H134)/1000,0)*1000</f>
        <v>9321000</v>
      </c>
      <c r="I132" s="376">
        <f>ROUND(('Changing with year'!I134)/1000,0)*1000</f>
        <v>9182000</v>
      </c>
      <c r="J132" s="376">
        <f>ROUND(('Changing with year'!J134)/1000,0)*1000</f>
        <v>9239000</v>
      </c>
      <c r="K132" s="376">
        <f>ROUND(('Changing with year'!K134)/1000,0)*1000</f>
        <v>9304000</v>
      </c>
      <c r="L132" s="376">
        <f>ROUND(('Changing with year'!L134)/1000,0)*1000</f>
        <v>9374000</v>
      </c>
      <c r="M132" s="376">
        <f>ROUND(('Changing with year'!M134)/1000,0)*1000</f>
        <v>9452000</v>
      </c>
      <c r="N132" s="376">
        <f>ROUND(('Changing with year'!N134)/1000,0)*1000</f>
        <v>9537000</v>
      </c>
      <c r="O132" s="376">
        <f>ROUND(('Changing with year'!O134)/1000,0)*1000</f>
        <v>9628000</v>
      </c>
      <c r="P132" s="376">
        <f>ROUND(('Changing with year'!P134)/1000,0)*1000</f>
        <v>9727000</v>
      </c>
      <c r="Q132" s="376">
        <f>ROUND(('Changing with year'!Q134)/1000,0)*1000</f>
        <v>9833000</v>
      </c>
      <c r="R132" s="376">
        <f>ROUND(('Changing with year'!R134)/1000,0)*1000</f>
        <v>9946000</v>
      </c>
      <c r="S132" s="376">
        <f>ROUND(('Changing with year'!S134)/1000,0)*1000</f>
        <v>9982000</v>
      </c>
      <c r="T132" s="376">
        <f>ROUND(('Changing with year'!T134)/1000,0)*1000</f>
        <v>10177000</v>
      </c>
      <c r="U132" s="376">
        <f>ROUND(('Changing with year'!U134)/1000,0)*1000</f>
        <v>10378000</v>
      </c>
      <c r="V132" s="376">
        <f>ROUND(('Changing with year'!V134)/1000,0)*1000</f>
        <v>10587000</v>
      </c>
      <c r="W132" s="376">
        <f>ROUND(('Changing with year'!W134)/1000,0)*1000</f>
        <v>10802000</v>
      </c>
      <c r="X132" s="376">
        <f>ROUND(('Changing with year'!X134)/1000,0)*1000</f>
        <v>11024000</v>
      </c>
      <c r="Y132" s="376">
        <f>ROUND(('Changing with year'!Y134)/1000,0)*1000</f>
        <v>11254000</v>
      </c>
      <c r="Z132" s="376">
        <f>ROUND(('Changing with year'!Z134)/1000,0)*1000</f>
        <v>11491000</v>
      </c>
      <c r="AA132" s="376">
        <f>ROUND(('Changing with year'!AA134)/1000,0)*1000</f>
        <v>11736000</v>
      </c>
      <c r="AB132" s="376">
        <f>ROUND(('Changing with year'!AB134)/1000,0)*1000</f>
        <v>11989000</v>
      </c>
      <c r="AC132" s="376">
        <f>ROUND(('Changing with year'!AC134)/1000,0)*1000</f>
        <v>12290000</v>
      </c>
      <c r="AD132" s="376">
        <f>ROUND(('Changing with year'!AD134)/1000,0)*1000</f>
        <v>12601000</v>
      </c>
      <c r="AE132" s="376">
        <f>ROUND(('Changing with year'!AE134)/1000,0)*1000</f>
        <v>12920000</v>
      </c>
      <c r="AF132" s="376">
        <f>ROUND(('Changing with year'!AF134)/1000,0)*1000</f>
        <v>13248000</v>
      </c>
      <c r="AG132" s="376">
        <f>ROUND(('Changing with year'!AG134)/1000,0)*1000</f>
        <v>13585000</v>
      </c>
    </row>
    <row r="133" spans="1:34">
      <c r="A133" s="368" t="s">
        <v>310</v>
      </c>
      <c r="B133" s="300" t="s">
        <v>309</v>
      </c>
      <c r="C133" s="376">
        <f>(C132*'No change with year'!$AK$11)</f>
        <v>981299.99999999977</v>
      </c>
      <c r="D133" s="376">
        <f>(D132*'No change with year'!$AK$11)</f>
        <v>976799.99999999977</v>
      </c>
      <c r="E133" s="376">
        <f>(E132*'No change with year'!$AK$11)</f>
        <v>973199.99999999977</v>
      </c>
      <c r="F133" s="376">
        <f>(F132*'No change with year'!$AK$11)</f>
        <v>950999.99999999977</v>
      </c>
      <c r="G133" s="376">
        <f>(G132*'No change with year'!$AK$11)</f>
        <v>930699.99999999977</v>
      </c>
      <c r="H133" s="376">
        <f>(H132*'No change with year'!$AK$11)</f>
        <v>932099.99999999977</v>
      </c>
      <c r="I133" s="376">
        <f>(I132*'No change with year'!$AK$11)</f>
        <v>918199.99999999977</v>
      </c>
      <c r="J133" s="376">
        <f>(J132*'No change with year'!$AK$11)</f>
        <v>923899.99999999977</v>
      </c>
      <c r="K133" s="376">
        <f>(K132*'No change with year'!$AK$11)</f>
        <v>930399.99999999977</v>
      </c>
      <c r="L133" s="376">
        <f>(L132*'No change with year'!$AK$11)</f>
        <v>937399.99999999977</v>
      </c>
      <c r="M133" s="376">
        <f>(M132*'No change with year'!$AK$11)</f>
        <v>945199.99999999977</v>
      </c>
      <c r="N133" s="376">
        <f>(N132*'No change with year'!$AL$11)</f>
        <v>1907400</v>
      </c>
      <c r="O133" s="376">
        <f>(O132*'No change with year'!$AL$11)</f>
        <v>1925600</v>
      </c>
      <c r="P133" s="376">
        <f>(P132*'No change with year'!$AL$11)</f>
        <v>1945400</v>
      </c>
      <c r="Q133" s="376">
        <f>(Q132*'No change with year'!$AL$11)</f>
        <v>1966600</v>
      </c>
      <c r="R133" s="376">
        <f>(R132*'No change with year'!$AL$11)</f>
        <v>1989200</v>
      </c>
      <c r="S133" s="376">
        <f>(S132*'No change with year'!$AL$11)</f>
        <v>1996400</v>
      </c>
      <c r="T133" s="376">
        <f>(T132*'No change with year'!$AL$11)</f>
        <v>2035400</v>
      </c>
      <c r="U133" s="376">
        <f>(U132*'No change with year'!$AL$11)</f>
        <v>2075600</v>
      </c>
      <c r="V133" s="376">
        <f>(V132*'No change with year'!$AL$11)</f>
        <v>2117400</v>
      </c>
      <c r="W133" s="376">
        <f>(W132*'No change with year'!$AL$11)</f>
        <v>2160400</v>
      </c>
      <c r="X133" s="376">
        <f>(X132*'No change with year'!$AM$11)</f>
        <v>2756000</v>
      </c>
      <c r="Y133" s="376">
        <f>(Y132*'No change with year'!$AM$11)</f>
        <v>2813500</v>
      </c>
      <c r="Z133" s="376">
        <f>(Z132*'No change with year'!$AM$11)</f>
        <v>2872750</v>
      </c>
      <c r="AA133" s="376">
        <f>(AA132*'No change with year'!$AM$11)</f>
        <v>2934000</v>
      </c>
      <c r="AB133" s="376">
        <f>(AB132*'No change with year'!$AM$11)</f>
        <v>2997250</v>
      </c>
      <c r="AC133" s="376">
        <f>(AC132*'No change with year'!$AM$11)</f>
        <v>3072500</v>
      </c>
      <c r="AD133" s="376">
        <f>(AD132*'No change with year'!$AM$11)</f>
        <v>3150250</v>
      </c>
      <c r="AE133" s="376">
        <f>(AE132*'No change with year'!$AM$11)</f>
        <v>3230000</v>
      </c>
      <c r="AF133" s="376">
        <f>(AF132*'No change with year'!$AM$11)</f>
        <v>3312000</v>
      </c>
      <c r="AG133" s="376">
        <f>(AG132*'No change with year'!$AM$11)</f>
        <v>3396250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2150202.3424003487</v>
      </c>
      <c r="D135" s="376">
        <f t="shared" ref="D135:AG135" si="49">-PMT($C$28,$C$27,D132)</f>
        <v>2140342.0442847861</v>
      </c>
      <c r="E135" s="376">
        <f t="shared" si="49"/>
        <v>2132453.8057923359</v>
      </c>
      <c r="F135" s="376">
        <f t="shared" si="49"/>
        <v>2083809.668422227</v>
      </c>
      <c r="G135" s="376">
        <f t="shared" si="49"/>
        <v>2039328.7680342449</v>
      </c>
      <c r="H135" s="376">
        <f t="shared" si="49"/>
        <v>2042396.4163368642</v>
      </c>
      <c r="I135" s="376">
        <f t="shared" si="49"/>
        <v>2011939.051046571</v>
      </c>
      <c r="J135" s="376">
        <f t="shared" si="49"/>
        <v>2024428.7619929502</v>
      </c>
      <c r="K135" s="376">
        <f t="shared" si="49"/>
        <v>2038671.414826541</v>
      </c>
      <c r="L135" s="376">
        <f t="shared" si="49"/>
        <v>2054009.6563396382</v>
      </c>
      <c r="M135" s="376">
        <f t="shared" si="49"/>
        <v>2071100.8397399464</v>
      </c>
      <c r="N135" s="376">
        <f t="shared" si="49"/>
        <v>2089725.8472915646</v>
      </c>
      <c r="O135" s="376">
        <f t="shared" si="49"/>
        <v>2109665.5612585917</v>
      </c>
      <c r="P135" s="376">
        <f t="shared" si="49"/>
        <v>2131358.217112829</v>
      </c>
      <c r="Q135" s="376">
        <f t="shared" si="49"/>
        <v>2154584.6971183764</v>
      </c>
      <c r="R135" s="376">
        <f t="shared" si="49"/>
        <v>2179345.0012752339</v>
      </c>
      <c r="S135" s="376">
        <f t="shared" si="49"/>
        <v>2187233.2397676837</v>
      </c>
      <c r="T135" s="376">
        <f t="shared" si="49"/>
        <v>2229961.1982684545</v>
      </c>
      <c r="U135" s="376">
        <f t="shared" si="49"/>
        <v>2274003.8631846346</v>
      </c>
      <c r="V135" s="376">
        <f t="shared" si="49"/>
        <v>2319799.4699880253</v>
      </c>
      <c r="W135" s="376">
        <f t="shared" si="49"/>
        <v>2366909.7832068242</v>
      </c>
      <c r="X135" s="376">
        <f t="shared" si="49"/>
        <v>2415553.9205769328</v>
      </c>
      <c r="Y135" s="376">
        <f t="shared" si="49"/>
        <v>2465950.999834253</v>
      </c>
      <c r="Z135" s="376">
        <f t="shared" si="49"/>
        <v>2517881.9032428823</v>
      </c>
      <c r="AA135" s="376">
        <f t="shared" si="49"/>
        <v>2571565.7485387232</v>
      </c>
      <c r="AB135" s="376">
        <f t="shared" si="49"/>
        <v>2627002.5357217751</v>
      </c>
      <c r="AC135" s="376">
        <f t="shared" si="49"/>
        <v>2692956.9742280939</v>
      </c>
      <c r="AD135" s="376">
        <f t="shared" si="49"/>
        <v>2761102.5900934264</v>
      </c>
      <c r="AE135" s="376">
        <f t="shared" si="49"/>
        <v>2831001.14784597</v>
      </c>
      <c r="AF135" s="376">
        <f t="shared" si="49"/>
        <v>2902871.765221626</v>
      </c>
      <c r="AG135" s="376">
        <f t="shared" si="49"/>
        <v>2976714.442220395</v>
      </c>
    </row>
    <row r="136" spans="1:34">
      <c r="A136" s="300" t="s">
        <v>330</v>
      </c>
      <c r="B136" s="300" t="s">
        <v>313</v>
      </c>
      <c r="C136" s="376">
        <f t="shared" ref="C136:AG136" si="50">$G$37*C51</f>
        <v>1042191.5033243486</v>
      </c>
      <c r="D136" s="376">
        <f t="shared" si="50"/>
        <v>1055295.5033243487</v>
      </c>
      <c r="E136" s="376">
        <f t="shared" si="50"/>
        <v>1060821.6088308776</v>
      </c>
      <c r="F136" s="376">
        <f t="shared" si="50"/>
        <v>1060402.0470092606</v>
      </c>
      <c r="G136" s="376">
        <f t="shared" si="50"/>
        <v>1050866.2087551535</v>
      </c>
      <c r="H136" s="376">
        <f t="shared" si="50"/>
        <v>1058602.0114453891</v>
      </c>
      <c r="I136" s="376">
        <f t="shared" si="50"/>
        <v>918401.77372694085</v>
      </c>
      <c r="J136" s="376">
        <f t="shared" si="50"/>
        <v>895559.61738176271</v>
      </c>
      <c r="K136" s="376">
        <f t="shared" si="50"/>
        <v>857224.876366165</v>
      </c>
      <c r="L136" s="376">
        <f t="shared" si="50"/>
        <v>824896.88940427348</v>
      </c>
      <c r="M136" s="376">
        <f t="shared" si="50"/>
        <v>799406.66044247069</v>
      </c>
      <c r="N136" s="376">
        <f t="shared" si="50"/>
        <v>790615.58094463649</v>
      </c>
      <c r="O136" s="376">
        <f t="shared" si="50"/>
        <v>782371.40827982733</v>
      </c>
      <c r="P136" s="376">
        <f t="shared" si="50"/>
        <v>771846.64615016896</v>
      </c>
      <c r="Q136" s="376">
        <f t="shared" si="50"/>
        <v>764650.74762683955</v>
      </c>
      <c r="R136" s="376">
        <f t="shared" si="50"/>
        <v>761485.67385082156</v>
      </c>
      <c r="S136" s="376">
        <f t="shared" si="50"/>
        <v>761881.81704701413</v>
      </c>
      <c r="T136" s="376">
        <f t="shared" si="50"/>
        <v>765786.27814432059</v>
      </c>
      <c r="U136" s="376">
        <f t="shared" si="50"/>
        <v>767160.94764905435</v>
      </c>
      <c r="V136" s="376">
        <f t="shared" si="50"/>
        <v>769072.93407538475</v>
      </c>
      <c r="W136" s="376">
        <f t="shared" si="50"/>
        <v>771614.05876848882</v>
      </c>
      <c r="X136" s="376">
        <f t="shared" si="50"/>
        <v>774763.2851175383</v>
      </c>
      <c r="Y136" s="376">
        <f t="shared" si="50"/>
        <v>778495.30631355837</v>
      </c>
      <c r="Z136" s="376">
        <f t="shared" si="50"/>
        <v>782909.39324144542</v>
      </c>
      <c r="AA136" s="376">
        <f t="shared" si="50"/>
        <v>788115.06415007939</v>
      </c>
      <c r="AB136" s="376">
        <f t="shared" si="50"/>
        <v>794026.77896438283</v>
      </c>
      <c r="AC136" s="376">
        <f t="shared" si="50"/>
        <v>815244.21424692788</v>
      </c>
      <c r="AD136" s="376">
        <f t="shared" si="50"/>
        <v>841281.91539296869</v>
      </c>
      <c r="AE136" s="376">
        <f t="shared" si="50"/>
        <v>868273.95747008489</v>
      </c>
      <c r="AF136" s="376">
        <f t="shared" si="50"/>
        <v>896577.09381275822</v>
      </c>
      <c r="AG136" s="376">
        <f t="shared" si="50"/>
        <v>926349.88955668733</v>
      </c>
    </row>
    <row r="137" spans="1:34">
      <c r="A137" s="300" t="s">
        <v>317</v>
      </c>
      <c r="B137" s="300" t="s">
        <v>313</v>
      </c>
      <c r="C137" s="376">
        <f t="shared" ref="C137:AG137" si="51">$C$22*$C$21*C57</f>
        <v>683322.6159231069</v>
      </c>
      <c r="D137" s="376">
        <f t="shared" si="51"/>
        <v>691224.51052502915</v>
      </c>
      <c r="E137" s="376">
        <f t="shared" si="51"/>
        <v>699928.2561619035</v>
      </c>
      <c r="F137" s="376">
        <f t="shared" si="51"/>
        <v>709453.78249385592</v>
      </c>
      <c r="G137" s="376">
        <f t="shared" si="51"/>
        <v>719822.11997694953</v>
      </c>
      <c r="H137" s="376">
        <f t="shared" si="51"/>
        <v>731055.43630478333</v>
      </c>
      <c r="I137" s="376">
        <f t="shared" si="51"/>
        <v>744494.04213285504</v>
      </c>
      <c r="J137" s="376">
        <f t="shared" si="51"/>
        <v>758786.26442653197</v>
      </c>
      <c r="K137" s="376">
        <f t="shared" si="51"/>
        <v>773959.9263997887</v>
      </c>
      <c r="L137" s="376">
        <f t="shared" si="51"/>
        <v>790044.09062405187</v>
      </c>
      <c r="M137" s="376">
        <f t="shared" si="51"/>
        <v>807069.10607392015</v>
      </c>
      <c r="N137" s="376">
        <f t="shared" si="51"/>
        <v>825066.65710528498</v>
      </c>
      <c r="O137" s="376">
        <f t="shared" si="51"/>
        <v>844069.81444213621</v>
      </c>
      <c r="P137" s="376">
        <f t="shared" si="51"/>
        <v>864113.08825140866</v>
      </c>
      <c r="Q137" s="376">
        <f t="shared" si="51"/>
        <v>885232.48338842008</v>
      </c>
      <c r="R137" s="376">
        <f t="shared" si="51"/>
        <v>907465.55689877307</v>
      </c>
      <c r="S137" s="376">
        <f t="shared" si="51"/>
        <v>933003.59475082404</v>
      </c>
      <c r="T137" s="376">
        <f t="shared" si="51"/>
        <v>959670.75996119599</v>
      </c>
      <c r="U137" s="376">
        <f t="shared" si="51"/>
        <v>987511.14156577922</v>
      </c>
      <c r="V137" s="376">
        <f t="shared" si="51"/>
        <v>1016570.6029224846</v>
      </c>
      <c r="W137" s="376">
        <f t="shared" si="51"/>
        <v>1046896.8525765175</v>
      </c>
      <c r="X137" s="376">
        <f t="shared" si="51"/>
        <v>1078539.5179613405</v>
      </c>
      <c r="Y137" s="376">
        <f t="shared" si="51"/>
        <v>1111550.2220487385</v>
      </c>
      <c r="Z137" s="376">
        <f t="shared" si="51"/>
        <v>1145982.6630659429</v>
      </c>
      <c r="AA137" s="376">
        <f t="shared" si="51"/>
        <v>1181892.6974024831</v>
      </c>
      <c r="AB137" s="376">
        <f t="shared" si="51"/>
        <v>1219338.4258343461</v>
      </c>
      <c r="AC137" s="376">
        <f t="shared" si="51"/>
        <v>1262272.9550659633</v>
      </c>
      <c r="AD137" s="376">
        <f t="shared" si="51"/>
        <v>1306866.4753888275</v>
      </c>
      <c r="AE137" s="376">
        <f t="shared" si="51"/>
        <v>1353184.7625458091</v>
      </c>
      <c r="AF137" s="376">
        <f t="shared" si="51"/>
        <v>1401296.2174704841</v>
      </c>
      <c r="AG137" s="376">
        <f t="shared" si="51"/>
        <v>1451271.971236374</v>
      </c>
    </row>
    <row r="138" spans="1:34">
      <c r="A138" s="368" t="s">
        <v>318</v>
      </c>
      <c r="B138" s="300" t="s">
        <v>313</v>
      </c>
      <c r="C138" s="376">
        <f>'Changing with year'!C303</f>
        <v>510000</v>
      </c>
      <c r="D138" s="376">
        <f>'Changing with year'!D303</f>
        <v>533000</v>
      </c>
      <c r="E138" s="376">
        <f>'Changing with year'!E303</f>
        <v>557000</v>
      </c>
      <c r="F138" s="376">
        <f>'Changing with year'!F303</f>
        <v>582000</v>
      </c>
      <c r="G138" s="376">
        <f>'Changing with year'!G303</f>
        <v>608000</v>
      </c>
      <c r="H138" s="376">
        <f>'Changing with year'!H303</f>
        <v>635000</v>
      </c>
      <c r="I138" s="376">
        <f>'Changing with year'!I303</f>
        <v>664000</v>
      </c>
      <c r="J138" s="376">
        <f>'Changing with year'!J303</f>
        <v>694000</v>
      </c>
      <c r="K138" s="376">
        <f>'Changing with year'!K303</f>
        <v>725000</v>
      </c>
      <c r="L138" s="376">
        <f>'Changing with year'!L303</f>
        <v>758000</v>
      </c>
      <c r="M138" s="376">
        <f>'Changing with year'!M303</f>
        <v>792000</v>
      </c>
      <c r="N138" s="376">
        <f>'Changing with year'!N303</f>
        <v>828000</v>
      </c>
      <c r="O138" s="376">
        <f>'Changing with year'!O303</f>
        <v>865000</v>
      </c>
      <c r="P138" s="376">
        <f>'Changing with year'!P303</f>
        <v>904000</v>
      </c>
      <c r="Q138" s="376">
        <f>'Changing with year'!Q303</f>
        <v>945000</v>
      </c>
      <c r="R138" s="376">
        <f>'Changing with year'!R303</f>
        <v>988000</v>
      </c>
      <c r="S138" s="376">
        <f>'Changing with year'!S303</f>
        <v>1032000</v>
      </c>
      <c r="T138" s="376">
        <f>'Changing with year'!T303</f>
        <v>1078000</v>
      </c>
      <c r="U138" s="376">
        <f>'Changing with year'!U303</f>
        <v>1127000</v>
      </c>
      <c r="V138" s="376">
        <f>'Changing with year'!V303</f>
        <v>1178000</v>
      </c>
      <c r="W138" s="376">
        <f>'Changing with year'!W303</f>
        <v>1231000</v>
      </c>
      <c r="X138" s="376">
        <f>'Changing with year'!X303</f>
        <v>1286000</v>
      </c>
      <c r="Y138" s="376">
        <f>'Changing with year'!Y303</f>
        <v>1344000</v>
      </c>
      <c r="Z138" s="376">
        <f>'Changing with year'!Z303</f>
        <v>1404000</v>
      </c>
      <c r="AA138" s="376">
        <f>'Changing with year'!AA303</f>
        <v>1467000</v>
      </c>
      <c r="AB138" s="376">
        <f>'Changing with year'!AB303</f>
        <v>1533000</v>
      </c>
      <c r="AC138" s="376">
        <f>'Changing with year'!AC303</f>
        <v>1602000</v>
      </c>
      <c r="AD138" s="376">
        <f>'Changing with year'!AD303</f>
        <v>1674000</v>
      </c>
      <c r="AE138" s="376">
        <f>'Changing with year'!AE303</f>
        <v>1749000</v>
      </c>
      <c r="AF138" s="376">
        <f>'Changing with year'!AF303</f>
        <v>1828000</v>
      </c>
      <c r="AG138" s="376">
        <f>'Changing with year'!AG303</f>
        <v>1910000</v>
      </c>
      <c r="AH138" s="339"/>
    </row>
    <row r="139" spans="1:34">
      <c r="A139" s="300" t="s">
        <v>272</v>
      </c>
      <c r="B139" s="300" t="s">
        <v>313</v>
      </c>
      <c r="C139" s="376">
        <f>C60</f>
        <v>666400</v>
      </c>
      <c r="D139" s="376">
        <f t="shared" ref="D139:AG139" si="52">D60</f>
        <v>673064</v>
      </c>
      <c r="E139" s="376">
        <f t="shared" si="52"/>
        <v>679794.64</v>
      </c>
      <c r="F139" s="376">
        <f t="shared" si="52"/>
        <v>686592.58640000003</v>
      </c>
      <c r="G139" s="376">
        <f t="shared" si="52"/>
        <v>693458.51226400002</v>
      </c>
      <c r="H139" s="376">
        <f t="shared" si="52"/>
        <v>700393.09738663991</v>
      </c>
      <c r="I139" s="376">
        <f t="shared" si="52"/>
        <v>707397.0283605064</v>
      </c>
      <c r="J139" s="376">
        <f t="shared" si="52"/>
        <v>714470.99864411145</v>
      </c>
      <c r="K139" s="376">
        <f t="shared" si="52"/>
        <v>721615.70863055263</v>
      </c>
      <c r="L139" s="376">
        <f t="shared" si="52"/>
        <v>728831.86571685818</v>
      </c>
      <c r="M139" s="376">
        <f t="shared" si="52"/>
        <v>736120.18437402672</v>
      </c>
      <c r="N139" s="376">
        <f t="shared" si="52"/>
        <v>743481.38621776691</v>
      </c>
      <c r="O139" s="376">
        <f t="shared" si="52"/>
        <v>750916.20007994468</v>
      </c>
      <c r="P139" s="376">
        <f t="shared" si="52"/>
        <v>758425.36208074412</v>
      </c>
      <c r="Q139" s="376">
        <f t="shared" si="52"/>
        <v>766009.61570155167</v>
      </c>
      <c r="R139" s="376">
        <f t="shared" si="52"/>
        <v>773669.71185856708</v>
      </c>
      <c r="S139" s="376">
        <f t="shared" si="52"/>
        <v>781406.40897715278</v>
      </c>
      <c r="T139" s="376">
        <f t="shared" si="52"/>
        <v>789220.47306692437</v>
      </c>
      <c r="U139" s="376">
        <f t="shared" si="52"/>
        <v>797112.67779759364</v>
      </c>
      <c r="V139" s="376">
        <f t="shared" si="52"/>
        <v>805083.80457556946</v>
      </c>
      <c r="W139" s="376">
        <f t="shared" si="52"/>
        <v>813134.64262132521</v>
      </c>
      <c r="X139" s="376">
        <f t="shared" si="52"/>
        <v>821265.98904753849</v>
      </c>
      <c r="Y139" s="376">
        <f t="shared" si="52"/>
        <v>829478.64893801382</v>
      </c>
      <c r="Z139" s="376">
        <f t="shared" si="52"/>
        <v>837773.43542739411</v>
      </c>
      <c r="AA139" s="376">
        <f t="shared" si="52"/>
        <v>846151.16978166811</v>
      </c>
      <c r="AB139" s="376">
        <f t="shared" si="52"/>
        <v>854612.68147948477</v>
      </c>
      <c r="AC139" s="376">
        <f t="shared" si="52"/>
        <v>863158.80829427973</v>
      </c>
      <c r="AD139" s="376">
        <f t="shared" si="52"/>
        <v>871790.39637722238</v>
      </c>
      <c r="AE139" s="376">
        <f t="shared" si="52"/>
        <v>880508.30034099461</v>
      </c>
      <c r="AF139" s="376">
        <f t="shared" si="52"/>
        <v>889313.38334440463</v>
      </c>
      <c r="AG139" s="376">
        <f t="shared" si="52"/>
        <v>898206.51717784861</v>
      </c>
    </row>
    <row r="140" spans="1:34">
      <c r="A140" s="300" t="s">
        <v>319</v>
      </c>
      <c r="B140" s="300" t="s">
        <v>313</v>
      </c>
      <c r="C140" s="386">
        <f t="shared" ref="C140:AG140" si="53">((C132)*$C$29)</f>
        <v>196260</v>
      </c>
      <c r="D140" s="386">
        <f t="shared" si="53"/>
        <v>195360</v>
      </c>
      <c r="E140" s="386">
        <f t="shared" si="53"/>
        <v>194640</v>
      </c>
      <c r="F140" s="386">
        <f t="shared" si="53"/>
        <v>190200</v>
      </c>
      <c r="G140" s="386">
        <f t="shared" si="53"/>
        <v>186140</v>
      </c>
      <c r="H140" s="386">
        <f t="shared" si="53"/>
        <v>186420</v>
      </c>
      <c r="I140" s="386">
        <f t="shared" si="53"/>
        <v>183640</v>
      </c>
      <c r="J140" s="386">
        <f t="shared" si="53"/>
        <v>184780</v>
      </c>
      <c r="K140" s="386">
        <f t="shared" si="53"/>
        <v>186080</v>
      </c>
      <c r="L140" s="386">
        <f t="shared" si="53"/>
        <v>187480</v>
      </c>
      <c r="M140" s="386">
        <f t="shared" si="53"/>
        <v>189040</v>
      </c>
      <c r="N140" s="386">
        <f t="shared" si="53"/>
        <v>190740</v>
      </c>
      <c r="O140" s="386">
        <f t="shared" si="53"/>
        <v>192560</v>
      </c>
      <c r="P140" s="386">
        <f t="shared" si="53"/>
        <v>194540</v>
      </c>
      <c r="Q140" s="386">
        <f t="shared" si="53"/>
        <v>196660</v>
      </c>
      <c r="R140" s="386">
        <f t="shared" si="53"/>
        <v>198920</v>
      </c>
      <c r="S140" s="386">
        <f t="shared" si="53"/>
        <v>199640</v>
      </c>
      <c r="T140" s="386">
        <f t="shared" si="53"/>
        <v>203540</v>
      </c>
      <c r="U140" s="386">
        <f t="shared" si="53"/>
        <v>207560</v>
      </c>
      <c r="V140" s="386">
        <f t="shared" si="53"/>
        <v>211740</v>
      </c>
      <c r="W140" s="386">
        <f t="shared" si="53"/>
        <v>216040</v>
      </c>
      <c r="X140" s="386">
        <f t="shared" si="53"/>
        <v>220480</v>
      </c>
      <c r="Y140" s="386">
        <f t="shared" si="53"/>
        <v>225080</v>
      </c>
      <c r="Z140" s="386">
        <f t="shared" si="53"/>
        <v>229820</v>
      </c>
      <c r="AA140" s="386">
        <f t="shared" si="53"/>
        <v>234720</v>
      </c>
      <c r="AB140" s="386">
        <f t="shared" si="53"/>
        <v>239780</v>
      </c>
      <c r="AC140" s="386">
        <f t="shared" si="53"/>
        <v>245800</v>
      </c>
      <c r="AD140" s="386">
        <f t="shared" si="53"/>
        <v>252020</v>
      </c>
      <c r="AE140" s="386">
        <f t="shared" si="53"/>
        <v>258400</v>
      </c>
      <c r="AF140" s="386">
        <f t="shared" si="53"/>
        <v>264960</v>
      </c>
      <c r="AG140" s="386">
        <f t="shared" si="53"/>
        <v>271700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4">(C135)/($C$22*$C$21)</f>
        <v>31.997058666671855</v>
      </c>
      <c r="D142" s="379">
        <f t="shared" si="54"/>
        <v>31.850328039952174</v>
      </c>
      <c r="E142" s="379">
        <f t="shared" si="54"/>
        <v>31.732943538576428</v>
      </c>
      <c r="F142" s="379">
        <f t="shared" si="54"/>
        <v>31.00907244675933</v>
      </c>
      <c r="G142" s="379">
        <f t="shared" si="54"/>
        <v>30.347154286223883</v>
      </c>
      <c r="H142" s="379">
        <f t="shared" si="54"/>
        <v>30.39280381453667</v>
      </c>
      <c r="I142" s="379">
        <f t="shared" si="54"/>
        <v>29.939569212002546</v>
      </c>
      <c r="J142" s="379">
        <f t="shared" si="54"/>
        <v>30.125428005847475</v>
      </c>
      <c r="K142" s="379">
        <f t="shared" si="54"/>
        <v>30.337372244442573</v>
      </c>
      <c r="L142" s="379">
        <f t="shared" si="54"/>
        <v>30.56561988600652</v>
      </c>
      <c r="M142" s="379">
        <f t="shared" si="54"/>
        <v>30.819952972320632</v>
      </c>
      <c r="N142" s="379">
        <f t="shared" si="54"/>
        <v>31.097110822791141</v>
      </c>
      <c r="O142" s="379">
        <f t="shared" si="54"/>
        <v>31.393832756824281</v>
      </c>
      <c r="P142" s="379">
        <f t="shared" si="54"/>
        <v>31.716640135607573</v>
      </c>
      <c r="Q142" s="379">
        <f t="shared" si="54"/>
        <v>32.062272278547269</v>
      </c>
      <c r="R142" s="379">
        <f t="shared" si="54"/>
        <v>32.430729185643365</v>
      </c>
      <c r="S142" s="379">
        <f t="shared" si="54"/>
        <v>32.548113687019104</v>
      </c>
      <c r="T142" s="379">
        <f t="shared" si="54"/>
        <v>33.183946402804381</v>
      </c>
      <c r="U142" s="379">
        <f t="shared" si="54"/>
        <v>33.8393432021523</v>
      </c>
      <c r="V142" s="379">
        <f t="shared" si="54"/>
        <v>34.520825446250377</v>
      </c>
      <c r="W142" s="379">
        <f t="shared" si="54"/>
        <v>35.221871773911076</v>
      </c>
      <c r="X142" s="379">
        <f t="shared" si="54"/>
        <v>35.945742865728164</v>
      </c>
      <c r="Y142" s="379">
        <f t="shared" si="54"/>
        <v>36.695699402295432</v>
      </c>
      <c r="Z142" s="379">
        <f t="shared" si="54"/>
        <v>37.468480703019083</v>
      </c>
      <c r="AA142" s="379">
        <f t="shared" si="54"/>
        <v>38.267347448492906</v>
      </c>
      <c r="AB142" s="379">
        <f t="shared" si="54"/>
        <v>39.092299638716895</v>
      </c>
      <c r="AC142" s="379">
        <f t="shared" si="54"/>
        <v>40.073764497441871</v>
      </c>
      <c r="AD142" s="379">
        <f t="shared" si="54"/>
        <v>41.087836162104558</v>
      </c>
      <c r="AE142" s="379">
        <f t="shared" si="54"/>
        <v>42.127993271517411</v>
      </c>
      <c r="AF142" s="379">
        <f t="shared" si="54"/>
        <v>43.197496506274199</v>
      </c>
      <c r="AG142" s="379">
        <f t="shared" si="54"/>
        <v>44.296345866374928</v>
      </c>
    </row>
    <row r="143" spans="1:34">
      <c r="A143" s="300" t="s">
        <v>321</v>
      </c>
      <c r="B143" s="300" t="s">
        <v>300</v>
      </c>
      <c r="C143" s="379">
        <f t="shared" ref="C143:AG143" si="55">C136/($C$22*$C$21)</f>
        <v>15.508802132802806</v>
      </c>
      <c r="D143" s="379">
        <f t="shared" si="55"/>
        <v>15.703802132802808</v>
      </c>
      <c r="E143" s="379">
        <f t="shared" si="55"/>
        <v>15.786035845697583</v>
      </c>
      <c r="F143" s="379">
        <f t="shared" si="55"/>
        <v>15.779792366209236</v>
      </c>
      <c r="G143" s="379">
        <f t="shared" si="55"/>
        <v>15.637890011237403</v>
      </c>
      <c r="H143" s="379">
        <f t="shared" si="55"/>
        <v>15.753006122699244</v>
      </c>
      <c r="I143" s="379">
        <f t="shared" si="55"/>
        <v>13.666693061412809</v>
      </c>
      <c r="J143" s="379">
        <f t="shared" si="55"/>
        <v>13.326780020561944</v>
      </c>
      <c r="K143" s="379">
        <f t="shared" si="55"/>
        <v>12.756322564972693</v>
      </c>
      <c r="L143" s="379">
        <f t="shared" si="55"/>
        <v>12.275251330420737</v>
      </c>
      <c r="M143" s="379">
        <f t="shared" si="55"/>
        <v>11.895932447060575</v>
      </c>
      <c r="N143" s="379">
        <f t="shared" si="55"/>
        <v>11.765112811676138</v>
      </c>
      <c r="O143" s="379">
        <f t="shared" si="55"/>
        <v>11.642431670830764</v>
      </c>
      <c r="P143" s="379">
        <f t="shared" si="55"/>
        <v>11.485813186758467</v>
      </c>
      <c r="Q143" s="379">
        <f t="shared" si="55"/>
        <v>11.378731363494635</v>
      </c>
      <c r="R143" s="379">
        <f t="shared" si="55"/>
        <v>11.331632051351511</v>
      </c>
      <c r="S143" s="379">
        <f t="shared" si="55"/>
        <v>11.337527039390091</v>
      </c>
      <c r="T143" s="379">
        <f t="shared" si="55"/>
        <v>11.39562913905239</v>
      </c>
      <c r="U143" s="379">
        <f t="shared" si="55"/>
        <v>11.41608553049188</v>
      </c>
      <c r="V143" s="379">
        <f t="shared" si="55"/>
        <v>11.44453770945513</v>
      </c>
      <c r="W143" s="379">
        <f t="shared" si="55"/>
        <v>11.482352065007275</v>
      </c>
      <c r="X143" s="379">
        <f t="shared" si="55"/>
        <v>11.52921555234432</v>
      </c>
      <c r="Y143" s="379">
        <f t="shared" si="55"/>
        <v>11.584751582047</v>
      </c>
      <c r="Z143" s="379">
        <f t="shared" si="55"/>
        <v>11.650437399426272</v>
      </c>
      <c r="AA143" s="379">
        <f t="shared" si="55"/>
        <v>11.727902740328563</v>
      </c>
      <c r="AB143" s="379">
        <f t="shared" si="55"/>
        <v>11.815874686969982</v>
      </c>
      <c r="AC143" s="379">
        <f t="shared" si="55"/>
        <v>12.131610331055475</v>
      </c>
      <c r="AD143" s="379">
        <f t="shared" si="55"/>
        <v>12.519076121919177</v>
      </c>
      <c r="AE143" s="379">
        <f t="shared" si="55"/>
        <v>12.920743414733407</v>
      </c>
      <c r="AF143" s="379">
        <f t="shared" si="55"/>
        <v>13.341921038880331</v>
      </c>
      <c r="AG143" s="379">
        <f t="shared" si="55"/>
        <v>13.784968594593561</v>
      </c>
    </row>
    <row r="144" spans="1:34">
      <c r="A144" s="300" t="s">
        <v>322</v>
      </c>
      <c r="B144" s="300" t="s">
        <v>300</v>
      </c>
      <c r="C144" s="379">
        <f t="shared" ref="C144:AG144" si="56">(C137+C138+C139+C140)/($C$22*$C$21)</f>
        <v>30.594979403617661</v>
      </c>
      <c r="D144" s="379">
        <f t="shared" si="56"/>
        <v>31.140602835193885</v>
      </c>
      <c r="E144" s="379">
        <f t="shared" si="56"/>
        <v>31.716709764314043</v>
      </c>
      <c r="F144" s="379">
        <f t="shared" si="56"/>
        <v>32.265570965682379</v>
      </c>
      <c r="G144" s="379">
        <f t="shared" si="56"/>
        <v>32.848521313109366</v>
      </c>
      <c r="H144" s="379">
        <f t="shared" si="56"/>
        <v>33.524829370408085</v>
      </c>
      <c r="I144" s="379">
        <f t="shared" si="56"/>
        <v>34.219212358532161</v>
      </c>
      <c r="J144" s="379">
        <f t="shared" si="56"/>
        <v>35.000554509979814</v>
      </c>
      <c r="K144" s="379">
        <f t="shared" si="56"/>
        <v>35.813327902237219</v>
      </c>
      <c r="L144" s="379">
        <f t="shared" si="56"/>
        <v>36.671963636025446</v>
      </c>
      <c r="M144" s="379">
        <f t="shared" si="56"/>
        <v>37.562935869761112</v>
      </c>
      <c r="N144" s="379">
        <f t="shared" si="56"/>
        <v>38.501310168497803</v>
      </c>
      <c r="O144" s="379">
        <f t="shared" si="56"/>
        <v>39.472410930388115</v>
      </c>
      <c r="P144" s="379">
        <f t="shared" si="56"/>
        <v>40.49223884422846</v>
      </c>
      <c r="Q144" s="379">
        <f t="shared" si="56"/>
        <v>41.56104314121982</v>
      </c>
      <c r="R144" s="379">
        <f t="shared" si="56"/>
        <v>42.679393880317569</v>
      </c>
      <c r="S144" s="379">
        <f t="shared" si="56"/>
        <v>43.840029817380604</v>
      </c>
      <c r="T144" s="379">
        <f t="shared" si="56"/>
        <v>45.095702872442267</v>
      </c>
      <c r="U144" s="379">
        <f t="shared" si="56"/>
        <v>46.416425883383525</v>
      </c>
      <c r="V144" s="379">
        <f t="shared" si="56"/>
        <v>47.788607254435334</v>
      </c>
      <c r="W144" s="379">
        <f t="shared" si="56"/>
        <v>49.21237344044409</v>
      </c>
      <c r="X144" s="379">
        <f t="shared" si="56"/>
        <v>50.688772425727365</v>
      </c>
      <c r="Y144" s="379">
        <f t="shared" si="56"/>
        <v>52.233762961112383</v>
      </c>
      <c r="Z144" s="379">
        <f t="shared" si="56"/>
        <v>53.832977656150852</v>
      </c>
      <c r="AA144" s="379">
        <f t="shared" si="56"/>
        <v>55.502438499764153</v>
      </c>
      <c r="AB144" s="379">
        <f t="shared" si="56"/>
        <v>57.243022430265341</v>
      </c>
      <c r="AC144" s="379">
        <f t="shared" si="56"/>
        <v>59.125472669051241</v>
      </c>
      <c r="AD144" s="379">
        <f t="shared" si="56"/>
        <v>61.08150106794718</v>
      </c>
      <c r="AE144" s="379">
        <f t="shared" si="56"/>
        <v>63.111503912006015</v>
      </c>
      <c r="AF144" s="379">
        <f t="shared" si="56"/>
        <v>65.231690488316787</v>
      </c>
      <c r="AG144" s="379">
        <f t="shared" si="56"/>
        <v>67.428251315687831</v>
      </c>
    </row>
    <row r="145" spans="1:34">
      <c r="A145" s="300" t="s">
        <v>310</v>
      </c>
      <c r="B145" s="300" t="s">
        <v>300</v>
      </c>
      <c r="C145" s="379">
        <f t="shared" ref="C145:AG145" si="57">C133/($C$22*$C$21*7)</f>
        <v>2.0860969387755097</v>
      </c>
      <c r="D145" s="379">
        <f t="shared" si="57"/>
        <v>2.0765306122448974</v>
      </c>
      <c r="E145" s="379">
        <f t="shared" si="57"/>
        <v>2.0688775510204076</v>
      </c>
      <c r="F145" s="379">
        <f t="shared" si="57"/>
        <v>2.0216836734693873</v>
      </c>
      <c r="G145" s="379">
        <f t="shared" si="57"/>
        <v>1.9785289115646254</v>
      </c>
      <c r="H145" s="379">
        <f t="shared" si="57"/>
        <v>1.9815051020408159</v>
      </c>
      <c r="I145" s="379">
        <f t="shared" si="57"/>
        <v>1.9519557823129248</v>
      </c>
      <c r="J145" s="379">
        <f t="shared" si="57"/>
        <v>1.9640731292517002</v>
      </c>
      <c r="K145" s="379">
        <f t="shared" si="57"/>
        <v>1.9778911564625845</v>
      </c>
      <c r="L145" s="379">
        <f t="shared" si="57"/>
        <v>1.9927721088435368</v>
      </c>
      <c r="M145" s="379">
        <f t="shared" si="57"/>
        <v>2.0093537414965983</v>
      </c>
      <c r="N145" s="379">
        <f t="shared" si="57"/>
        <v>4.0548469387755102</v>
      </c>
      <c r="O145" s="379">
        <f t="shared" si="57"/>
        <v>4.0935374149659864</v>
      </c>
      <c r="P145" s="379">
        <f t="shared" si="57"/>
        <v>4.1356292517006805</v>
      </c>
      <c r="Q145" s="379">
        <f t="shared" si="57"/>
        <v>4.1806972789115644</v>
      </c>
      <c r="R145" s="379">
        <f t="shared" si="57"/>
        <v>4.2287414965986398</v>
      </c>
      <c r="S145" s="379">
        <f t="shared" si="57"/>
        <v>4.2440476190476186</v>
      </c>
      <c r="T145" s="379">
        <f t="shared" si="57"/>
        <v>4.3269557823129254</v>
      </c>
      <c r="U145" s="379">
        <f t="shared" si="57"/>
        <v>4.4124149659863949</v>
      </c>
      <c r="V145" s="379">
        <f t="shared" si="57"/>
        <v>4.5012755102040813</v>
      </c>
      <c r="W145" s="379">
        <f t="shared" si="57"/>
        <v>4.5926870748299322</v>
      </c>
      <c r="X145" s="379">
        <f t="shared" si="57"/>
        <v>5.8588435374149661</v>
      </c>
      <c r="Y145" s="379">
        <f t="shared" si="57"/>
        <v>5.981079931972789</v>
      </c>
      <c r="Z145" s="379">
        <f t="shared" si="57"/>
        <v>6.10703656462585</v>
      </c>
      <c r="AA145" s="379">
        <f t="shared" si="57"/>
        <v>6.2372448979591839</v>
      </c>
      <c r="AB145" s="379">
        <f t="shared" si="57"/>
        <v>6.371704931972789</v>
      </c>
      <c r="AC145" s="379">
        <f t="shared" si="57"/>
        <v>6.5316751700680271</v>
      </c>
      <c r="AD145" s="379">
        <f t="shared" si="57"/>
        <v>6.6969600340136051</v>
      </c>
      <c r="AE145" s="379">
        <f t="shared" si="57"/>
        <v>6.8664965986394559</v>
      </c>
      <c r="AF145" s="379">
        <f t="shared" si="57"/>
        <v>7.0408163265306118</v>
      </c>
      <c r="AG145" s="379">
        <f t="shared" si="57"/>
        <v>7.2199192176870746</v>
      </c>
    </row>
    <row r="146" spans="1:34" s="352" customFormat="1">
      <c r="A146" s="380" t="s">
        <v>323</v>
      </c>
      <c r="B146" s="352" t="s">
        <v>300</v>
      </c>
      <c r="C146" s="381">
        <f t="shared" ref="C146:AG146" si="58">SUM(C142:C144)-C145</f>
        <v>76.014743264316806</v>
      </c>
      <c r="D146" s="381">
        <f t="shared" si="58"/>
        <v>76.618202395703975</v>
      </c>
      <c r="E146" s="381">
        <f t="shared" si="58"/>
        <v>77.166811597567644</v>
      </c>
      <c r="F146" s="381">
        <f t="shared" si="58"/>
        <v>77.032752105181558</v>
      </c>
      <c r="G146" s="381">
        <f t="shared" si="58"/>
        <v>76.855036699006021</v>
      </c>
      <c r="H146" s="381">
        <f t="shared" si="58"/>
        <v>77.689134205603182</v>
      </c>
      <c r="I146" s="381">
        <f t="shared" si="58"/>
        <v>75.873518849634593</v>
      </c>
      <c r="J146" s="381">
        <f t="shared" si="58"/>
        <v>76.488689407137528</v>
      </c>
      <c r="K146" s="381">
        <f t="shared" si="58"/>
        <v>76.929131555189898</v>
      </c>
      <c r="L146" s="381">
        <f t="shared" si="58"/>
        <v>77.520062743609159</v>
      </c>
      <c r="M146" s="381">
        <f t="shared" si="58"/>
        <v>78.269467547645718</v>
      </c>
      <c r="N146" s="381">
        <f t="shared" si="58"/>
        <v>77.308686864189568</v>
      </c>
      <c r="O146" s="381">
        <f t="shared" si="58"/>
        <v>78.415137943077156</v>
      </c>
      <c r="P146" s="381">
        <f t="shared" si="58"/>
        <v>79.559062914893829</v>
      </c>
      <c r="Q146" s="381">
        <f t="shared" si="58"/>
        <v>80.821349504350167</v>
      </c>
      <c r="R146" s="381">
        <f t="shared" si="58"/>
        <v>82.213013620713809</v>
      </c>
      <c r="S146" s="381">
        <f t="shared" si="58"/>
        <v>83.481622924742169</v>
      </c>
      <c r="T146" s="381">
        <f t="shared" si="58"/>
        <v>85.348322631986122</v>
      </c>
      <c r="U146" s="381">
        <f t="shared" si="58"/>
        <v>87.259439650041301</v>
      </c>
      <c r="V146" s="381">
        <f t="shared" si="58"/>
        <v>89.252694899936756</v>
      </c>
      <c r="W146" s="381">
        <f t="shared" si="58"/>
        <v>91.323910204532496</v>
      </c>
      <c r="X146" s="381">
        <f t="shared" si="58"/>
        <v>92.30488730638487</v>
      </c>
      <c r="Y146" s="381">
        <f t="shared" si="58"/>
        <v>94.533134013482027</v>
      </c>
      <c r="Z146" s="381">
        <f t="shared" si="58"/>
        <v>96.844859193970365</v>
      </c>
      <c r="AA146" s="381">
        <f t="shared" si="58"/>
        <v>99.260443790626439</v>
      </c>
      <c r="AB146" s="381">
        <f t="shared" si="58"/>
        <v>101.77949182397943</v>
      </c>
      <c r="AC146" s="381">
        <f t="shared" si="58"/>
        <v>104.79917232748056</v>
      </c>
      <c r="AD146" s="381">
        <f t="shared" si="58"/>
        <v>107.99145331795732</v>
      </c>
      <c r="AE146" s="381">
        <f t="shared" si="58"/>
        <v>111.29374399961738</v>
      </c>
      <c r="AF146" s="381">
        <f t="shared" si="58"/>
        <v>114.73029170694069</v>
      </c>
      <c r="AG146" s="381">
        <f t="shared" si="58"/>
        <v>118.28964655896924</v>
      </c>
    </row>
    <row r="147" spans="1:34" s="344" customFormat="1">
      <c r="A147" s="342" t="s">
        <v>331</v>
      </c>
      <c r="B147" s="342"/>
      <c r="H147" s="385">
        <f>H149/H63</f>
        <v>2.2539381286771683</v>
      </c>
      <c r="AB147" s="385">
        <f>AB149/AB63</f>
        <v>1.4149406807267531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59">D148+1</f>
        <v>2027</v>
      </c>
      <c r="F148" s="360">
        <f t="shared" si="59"/>
        <v>2028</v>
      </c>
      <c r="G148" s="360">
        <f t="shared" si="59"/>
        <v>2029</v>
      </c>
      <c r="H148" s="360">
        <f>G148+1</f>
        <v>2030</v>
      </c>
      <c r="I148" s="360">
        <f>H148+1</f>
        <v>2031</v>
      </c>
      <c r="J148" s="360">
        <f t="shared" si="59"/>
        <v>2032</v>
      </c>
      <c r="K148" s="360">
        <f t="shared" si="59"/>
        <v>2033</v>
      </c>
      <c r="L148" s="360">
        <f t="shared" si="59"/>
        <v>2034</v>
      </c>
      <c r="M148" s="360">
        <f t="shared" si="59"/>
        <v>2035</v>
      </c>
      <c r="N148" s="360">
        <f t="shared" si="59"/>
        <v>2036</v>
      </c>
      <c r="O148" s="360">
        <f t="shared" si="59"/>
        <v>2037</v>
      </c>
      <c r="P148" s="360">
        <f t="shared" si="59"/>
        <v>2038</v>
      </c>
      <c r="Q148" s="360">
        <f t="shared" si="59"/>
        <v>2039</v>
      </c>
      <c r="R148" s="360">
        <f t="shared" si="59"/>
        <v>2040</v>
      </c>
      <c r="S148" s="360">
        <f t="shared" si="59"/>
        <v>2041</v>
      </c>
      <c r="T148" s="360">
        <f t="shared" si="59"/>
        <v>2042</v>
      </c>
      <c r="U148" s="360">
        <f t="shared" si="59"/>
        <v>2043</v>
      </c>
      <c r="V148" s="360">
        <f t="shared" si="59"/>
        <v>2044</v>
      </c>
      <c r="W148" s="360">
        <f t="shared" si="59"/>
        <v>2045</v>
      </c>
      <c r="X148" s="360">
        <f t="shared" si="59"/>
        <v>2046</v>
      </c>
      <c r="Y148" s="360">
        <f t="shared" si="59"/>
        <v>2047</v>
      </c>
      <c r="Z148" s="360">
        <f t="shared" si="59"/>
        <v>2048</v>
      </c>
      <c r="AA148" s="360">
        <f t="shared" si="59"/>
        <v>2049</v>
      </c>
      <c r="AB148" s="360">
        <f t="shared" si="59"/>
        <v>2050</v>
      </c>
      <c r="AC148" s="360">
        <f t="shared" si="59"/>
        <v>2051</v>
      </c>
      <c r="AD148" s="360">
        <f t="shared" si="59"/>
        <v>2052</v>
      </c>
      <c r="AE148" s="360">
        <f t="shared" si="59"/>
        <v>2053</v>
      </c>
      <c r="AF148" s="360">
        <f t="shared" si="59"/>
        <v>2054</v>
      </c>
      <c r="AG148" s="360">
        <f t="shared" si="59"/>
        <v>2055</v>
      </c>
    </row>
    <row r="149" spans="1:34">
      <c r="A149" s="368" t="s">
        <v>332</v>
      </c>
      <c r="B149" s="300" t="s">
        <v>309</v>
      </c>
      <c r="C149" s="376">
        <f>ROUND(('Changing with year'!C147)/1000,0)*1000</f>
        <v>12511000</v>
      </c>
      <c r="D149" s="376">
        <f>ROUND(('Changing with year'!D147)/1000,0)*1000</f>
        <v>12315000</v>
      </c>
      <c r="E149" s="376">
        <f>ROUND(('Changing with year'!E147)/1000,0)*1000</f>
        <v>12133000</v>
      </c>
      <c r="F149" s="376">
        <f>ROUND(('Changing with year'!F147)/1000,0)*1000</f>
        <v>11966000</v>
      </c>
      <c r="G149" s="376">
        <f>ROUND(('Changing with year'!G147)/1000,0)*1000</f>
        <v>11814000</v>
      </c>
      <c r="H149" s="376">
        <f>ROUND(('Changing with year'!H147)/1000,0)*1000</f>
        <v>11876000</v>
      </c>
      <c r="I149" s="376">
        <f>ROUND(('Changing with year'!I147)/1000,0)*1000</f>
        <v>11819000</v>
      </c>
      <c r="J149" s="376">
        <f>ROUND(('Changing with year'!J147)/1000,0)*1000</f>
        <v>11778000</v>
      </c>
      <c r="K149" s="376">
        <f>ROUND(('Changing with year'!K147)/1000,0)*1000</f>
        <v>11748000</v>
      </c>
      <c r="L149" s="376">
        <f>ROUND(('Changing with year'!L147)/1000,0)*1000</f>
        <v>11728000</v>
      </c>
      <c r="M149" s="376">
        <f>ROUND(('Changing with year'!M147)/1000,0)*1000</f>
        <v>11718000</v>
      </c>
      <c r="N149" s="376">
        <f>ROUND(('Changing with year'!N147)/1000,0)*1000</f>
        <v>11718000</v>
      </c>
      <c r="O149" s="376">
        <f>ROUND(('Changing with year'!O147)/1000,0)*1000</f>
        <v>11728000</v>
      </c>
      <c r="P149" s="376">
        <f>ROUND(('Changing with year'!P147)/1000,0)*1000</f>
        <v>11748000</v>
      </c>
      <c r="Q149" s="376">
        <f>ROUND(('Changing with year'!Q147)/1000,0)*1000</f>
        <v>11779000</v>
      </c>
      <c r="R149" s="376">
        <f>ROUND(('Changing with year'!R147)/1000,0)*1000</f>
        <v>11819000</v>
      </c>
      <c r="S149" s="376">
        <f>ROUND(('Changing with year'!S147)/1000,0)*1000</f>
        <v>11804000</v>
      </c>
      <c r="T149" s="376">
        <f>ROUND(('Changing with year'!T147)/1000,0)*1000</f>
        <v>11976000</v>
      </c>
      <c r="U149" s="376">
        <f>ROUND(('Changing with year'!U147)/1000,0)*1000</f>
        <v>12155000</v>
      </c>
      <c r="V149" s="376">
        <f>ROUND(('Changing with year'!V147)/1000,0)*1000</f>
        <v>12341000</v>
      </c>
      <c r="W149" s="376">
        <f>ROUND(('Changing with year'!W147)/1000,0)*1000</f>
        <v>12535000</v>
      </c>
      <c r="X149" s="376">
        <f>ROUND(('Changing with year'!X147)/1000,0)*1000</f>
        <v>12567000</v>
      </c>
      <c r="Y149" s="376">
        <f>ROUND(('Changing with year'!Y147)/1000,0)*1000</f>
        <v>12779000</v>
      </c>
      <c r="Z149" s="376">
        <f>ROUND(('Changing with year'!Z147)/1000,0)*1000</f>
        <v>12999000</v>
      </c>
      <c r="AA149" s="376">
        <f>ROUND(('Changing with year'!AA147)/1000,0)*1000</f>
        <v>13228000</v>
      </c>
      <c r="AB149" s="376">
        <f>ROUND(('Changing with year'!AB147)/1000,0)*1000</f>
        <v>13465000</v>
      </c>
      <c r="AC149" s="376">
        <f>ROUND(('Changing with year'!AC147)/1000,0)*1000</f>
        <v>13614000</v>
      </c>
      <c r="AD149" s="376">
        <f>ROUND(('Changing with year'!AD147)/1000,0)*1000</f>
        <v>13937000</v>
      </c>
      <c r="AE149" s="376">
        <f>ROUND(('Changing with year'!AE147)/1000,0)*1000</f>
        <v>14269000</v>
      </c>
      <c r="AF149" s="376">
        <f>ROUND(('Changing with year'!AF147)/1000,0)*1000</f>
        <v>14611000</v>
      </c>
      <c r="AG149" s="376">
        <f>ROUND(('Changing with year'!AG147)/1000,0)*1000</f>
        <v>14962000</v>
      </c>
    </row>
    <row r="150" spans="1:34">
      <c r="A150" s="368" t="s">
        <v>310</v>
      </c>
      <c r="B150" s="300" t="s">
        <v>309</v>
      </c>
      <c r="C150" s="376">
        <f>(C149*'No change with year'!$AN$11)</f>
        <v>625549.99999999988</v>
      </c>
      <c r="D150" s="376">
        <f>(D149*'No change with year'!$AN$11)</f>
        <v>615749.99999999988</v>
      </c>
      <c r="E150" s="376">
        <f>(E149*'No change with year'!$AN$11)</f>
        <v>606649.99999999988</v>
      </c>
      <c r="F150" s="376">
        <f>(F149*'No change with year'!$AN$11)</f>
        <v>598299.99999999988</v>
      </c>
      <c r="G150" s="376">
        <f>(G149*'No change with year'!$AN$11)</f>
        <v>590699.99999999988</v>
      </c>
      <c r="H150" s="376">
        <f>(H149*'No change with year'!$AN$11)</f>
        <v>593799.99999999988</v>
      </c>
      <c r="I150" s="376">
        <f>(I149*'No change with year'!$AN$11)</f>
        <v>590949.99999999988</v>
      </c>
      <c r="J150" s="376">
        <f>(J149*'No change with year'!$AN$11)</f>
        <v>588899.99999999988</v>
      </c>
      <c r="K150" s="376">
        <f>(K149*'No change with year'!$AN$11)</f>
        <v>587399.99999999988</v>
      </c>
      <c r="L150" s="376">
        <f>(L149*'No change with year'!$AN$11)</f>
        <v>586399.99999999988</v>
      </c>
      <c r="M150" s="376">
        <f>(M149*'No change with year'!$AN$11)</f>
        <v>585899.99999999988</v>
      </c>
      <c r="N150" s="376">
        <f>(N149*'No change with year'!$AO$11)</f>
        <v>1757700</v>
      </c>
      <c r="O150" s="376">
        <f>(O149*'No change with year'!$AO$11)</f>
        <v>1759200</v>
      </c>
      <c r="P150" s="376">
        <f>(P149*'No change with year'!$AO$11)</f>
        <v>1762200</v>
      </c>
      <c r="Q150" s="376">
        <f>(Q149*'No change with year'!$AO$11)</f>
        <v>1766850</v>
      </c>
      <c r="R150" s="376">
        <f>(R149*'No change with year'!$AO$11)</f>
        <v>1772850</v>
      </c>
      <c r="S150" s="376">
        <f>(S149*'No change with year'!$AO$11)</f>
        <v>1770600</v>
      </c>
      <c r="T150" s="376">
        <f>(T149*'No change with year'!$AO$11)</f>
        <v>1796400</v>
      </c>
      <c r="U150" s="376">
        <f>(U149*'No change with year'!$AO$11)</f>
        <v>1823250</v>
      </c>
      <c r="V150" s="376">
        <f>(V149*'No change with year'!$AO$11)</f>
        <v>1851150</v>
      </c>
      <c r="W150" s="376">
        <f>(W149*'No change with year'!$AO$11)</f>
        <v>1880250</v>
      </c>
      <c r="X150" s="376">
        <f>(X149*'No change with year'!$AP$11)</f>
        <v>2513400</v>
      </c>
      <c r="Y150" s="376">
        <f>(Y149*'No change with year'!$AP$11)</f>
        <v>2555800</v>
      </c>
      <c r="Z150" s="376">
        <f>(Z149*'No change with year'!$AP$11)</f>
        <v>2599800</v>
      </c>
      <c r="AA150" s="376">
        <f>(AA149*'No change with year'!$AP$11)</f>
        <v>2645600</v>
      </c>
      <c r="AB150" s="376">
        <f>(AB149*'No change with year'!$AP$11)</f>
        <v>2693000</v>
      </c>
      <c r="AC150" s="376">
        <f>(AC149*'No change with year'!$AP$11)</f>
        <v>2722800</v>
      </c>
      <c r="AD150" s="376">
        <f>(AD149*'No change with year'!$AP$11)</f>
        <v>2787400</v>
      </c>
      <c r="AE150" s="376">
        <f>(AE149*'No change with year'!$AP$11)</f>
        <v>2853799.9999999995</v>
      </c>
      <c r="AF150" s="376">
        <f>(AF149*'No change with year'!$AP$11)</f>
        <v>2922199.9999999995</v>
      </c>
      <c r="AG150" s="376">
        <f>(AG149*'No change with year'!$AP$11)</f>
        <v>2992399.9999999995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2741381.9938623011</v>
      </c>
      <c r="D152" s="376">
        <f t="shared" ref="D152:AG152" si="60">-PMT($C$28,$C$27,D149)</f>
        <v>2698434.9176256284</v>
      </c>
      <c r="E152" s="376">
        <f t="shared" si="60"/>
        <v>2658555.4896915755</v>
      </c>
      <c r="F152" s="376">
        <f t="shared" si="60"/>
        <v>2621962.8277960429</v>
      </c>
      <c r="G152" s="376">
        <f t="shared" si="60"/>
        <v>2588656.9319390315</v>
      </c>
      <c r="H152" s="376">
        <f t="shared" si="60"/>
        <v>2602242.2315649181</v>
      </c>
      <c r="I152" s="376">
        <f t="shared" si="60"/>
        <v>2589752.5206185388</v>
      </c>
      <c r="J152" s="376">
        <f t="shared" si="60"/>
        <v>2580768.6934465817</v>
      </c>
      <c r="K152" s="376">
        <f t="shared" si="60"/>
        <v>2574195.1613695403</v>
      </c>
      <c r="L152" s="376">
        <f t="shared" si="60"/>
        <v>2569812.8066515122</v>
      </c>
      <c r="M152" s="376">
        <f t="shared" si="60"/>
        <v>2567621.6292924983</v>
      </c>
      <c r="N152" s="376">
        <f t="shared" si="60"/>
        <v>2567621.6292924983</v>
      </c>
      <c r="O152" s="376">
        <f t="shared" si="60"/>
        <v>2569812.8066515122</v>
      </c>
      <c r="P152" s="376">
        <f t="shared" si="60"/>
        <v>2574195.1613695403</v>
      </c>
      <c r="Q152" s="376">
        <f t="shared" si="60"/>
        <v>2580987.8111824831</v>
      </c>
      <c r="R152" s="376">
        <f t="shared" si="60"/>
        <v>2589752.5206185388</v>
      </c>
      <c r="S152" s="376">
        <f t="shared" si="60"/>
        <v>2586465.7545800181</v>
      </c>
      <c r="T152" s="376">
        <f t="shared" si="60"/>
        <v>2624154.0051550572</v>
      </c>
      <c r="U152" s="376">
        <f t="shared" si="60"/>
        <v>2663376.0798814064</v>
      </c>
      <c r="V152" s="376">
        <f t="shared" si="60"/>
        <v>2704131.9787590648</v>
      </c>
      <c r="W152" s="376">
        <f t="shared" si="60"/>
        <v>2746640.8195239347</v>
      </c>
      <c r="X152" s="376">
        <f t="shared" si="60"/>
        <v>2753652.5870727794</v>
      </c>
      <c r="Y152" s="376">
        <f t="shared" si="60"/>
        <v>2800105.5470838738</v>
      </c>
      <c r="Z152" s="376">
        <f t="shared" si="60"/>
        <v>2848311.4489821796</v>
      </c>
      <c r="AA152" s="376">
        <f t="shared" si="60"/>
        <v>2898489.4105035989</v>
      </c>
      <c r="AB152" s="376">
        <f t="shared" si="60"/>
        <v>2950420.3139122282</v>
      </c>
      <c r="AC152" s="376">
        <f t="shared" si="60"/>
        <v>2983068.8565615355</v>
      </c>
      <c r="AD152" s="376">
        <f t="shared" si="60"/>
        <v>3053843.8852576846</v>
      </c>
      <c r="AE152" s="376">
        <f t="shared" si="60"/>
        <v>3126590.9735769466</v>
      </c>
      <c r="AF152" s="376">
        <f t="shared" si="60"/>
        <v>3201529.239255222</v>
      </c>
      <c r="AG152" s="376">
        <f t="shared" si="60"/>
        <v>3278439.5645566098</v>
      </c>
    </row>
    <row r="153" spans="1:34">
      <c r="A153" s="300" t="s">
        <v>333</v>
      </c>
      <c r="B153" s="300" t="s">
        <v>313</v>
      </c>
      <c r="C153" s="376">
        <f t="shared" ref="C153:AG153" si="61">$H$37*C50</f>
        <v>3189789.4736842108</v>
      </c>
      <c r="D153" s="376">
        <f t="shared" si="61"/>
        <v>3160168.4210526319</v>
      </c>
      <c r="E153" s="376">
        <f t="shared" si="61"/>
        <v>3133502.8421052634</v>
      </c>
      <c r="F153" s="376">
        <f t="shared" si="61"/>
        <v>3109726.8410526318</v>
      </c>
      <c r="G153" s="376">
        <f t="shared" si="61"/>
        <v>3088777.6970842108</v>
      </c>
      <c r="H153" s="376">
        <f t="shared" si="61"/>
        <v>3070595.7633716851</v>
      </c>
      <c r="I153" s="376">
        <f t="shared" si="61"/>
        <v>2887721.372932333</v>
      </c>
      <c r="J153" s="376">
        <f t="shared" si="61"/>
        <v>2791474.9240937377</v>
      </c>
      <c r="K153" s="376">
        <f t="shared" si="61"/>
        <v>2698429.6899834815</v>
      </c>
      <c r="L153" s="376">
        <f t="shared" si="61"/>
        <v>2608464.8565900866</v>
      </c>
      <c r="M153" s="376">
        <f t="shared" si="61"/>
        <v>2521464.6214002669</v>
      </c>
      <c r="N153" s="376">
        <f t="shared" si="61"/>
        <v>2437317.9720773362</v>
      </c>
      <c r="O153" s="376">
        <f t="shared" si="61"/>
        <v>2355918.475306896</v>
      </c>
      <c r="P153" s="376">
        <f t="shared" si="61"/>
        <v>2277164.0753309862</v>
      </c>
      <c r="Q153" s="376">
        <f t="shared" si="61"/>
        <v>2200956.9017147715</v>
      </c>
      <c r="R153" s="376">
        <f t="shared" si="61"/>
        <v>2127203.0859116735</v>
      </c>
      <c r="S153" s="376">
        <f t="shared" si="61"/>
        <v>1964011.1096589176</v>
      </c>
      <c r="T153" s="376">
        <f t="shared" si="61"/>
        <v>1908244.2120863888</v>
      </c>
      <c r="U153" s="376">
        <f t="shared" si="61"/>
        <v>1854461.878869191</v>
      </c>
      <c r="V153" s="376">
        <f t="shared" si="61"/>
        <v>1802578.3344920634</v>
      </c>
      <c r="W153" s="376">
        <f t="shared" si="61"/>
        <v>1752511.7952415654</v>
      </c>
      <c r="X153" s="376">
        <f t="shared" si="61"/>
        <v>1704184.2774591313</v>
      </c>
      <c r="Y153" s="376">
        <f t="shared" si="61"/>
        <v>1657521.4151568422</v>
      </c>
      <c r="Z153" s="376">
        <f t="shared" si="61"/>
        <v>1612452.2865344037</v>
      </c>
      <c r="AA153" s="376">
        <f t="shared" si="61"/>
        <v>1568909.2489587092</v>
      </c>
      <c r="AB153" s="376">
        <f t="shared" si="61"/>
        <v>1526827.7819891036</v>
      </c>
      <c r="AC153" s="376">
        <f t="shared" si="61"/>
        <v>1475525.0256965538</v>
      </c>
      <c r="AD153" s="376">
        <f t="shared" si="61"/>
        <v>1480610.3299768944</v>
      </c>
      <c r="AE153" s="376">
        <f t="shared" si="61"/>
        <v>1487423.2662758818</v>
      </c>
      <c r="AF153" s="376">
        <f t="shared" si="61"/>
        <v>1495936.0774670565</v>
      </c>
      <c r="AG153" s="376">
        <f t="shared" si="61"/>
        <v>1506123.6783512696</v>
      </c>
    </row>
    <row r="154" spans="1:34">
      <c r="A154" s="300" t="s">
        <v>317</v>
      </c>
      <c r="B154" s="300" t="s">
        <v>313</v>
      </c>
      <c r="C154" s="376">
        <f t="shared" ref="C154:AG154" si="62">$C$22*$C$21*C58</f>
        <v>747344.64</v>
      </c>
      <c r="D154" s="376">
        <f t="shared" si="62"/>
        <v>753645.98399999982</v>
      </c>
      <c r="E154" s="376">
        <f t="shared" si="62"/>
        <v>760789.19280000008</v>
      </c>
      <c r="F154" s="376">
        <f t="shared" si="62"/>
        <v>768793.19571599993</v>
      </c>
      <c r="G154" s="376">
        <f t="shared" si="62"/>
        <v>777678.04786853981</v>
      </c>
      <c r="H154" s="376">
        <f t="shared" si="62"/>
        <v>787464.96599908418</v>
      </c>
      <c r="I154" s="376">
        <f t="shared" si="62"/>
        <v>799775.38123326958</v>
      </c>
      <c r="J154" s="376">
        <f t="shared" si="62"/>
        <v>812961.97674493829</v>
      </c>
      <c r="K154" s="376">
        <f t="shared" si="62"/>
        <v>827052.12447182683</v>
      </c>
      <c r="L154" s="376">
        <f t="shared" si="62"/>
        <v>842074.44473464938</v>
      </c>
      <c r="M154" s="376">
        <f t="shared" si="62"/>
        <v>858058.85310230555</v>
      </c>
      <c r="N154" s="376">
        <f t="shared" si="62"/>
        <v>875036.60919310257</v>
      </c>
      <c r="O154" s="376">
        <f t="shared" si="62"/>
        <v>893040.36748819763</v>
      </c>
      <c r="P154" s="376">
        <f t="shared" si="62"/>
        <v>912104.23023654881</v>
      </c>
      <c r="Q154" s="376">
        <f t="shared" si="62"/>
        <v>932263.80253385741</v>
      </c>
      <c r="R154" s="376">
        <f t="shared" si="62"/>
        <v>953556.24966130161</v>
      </c>
      <c r="S154" s="376">
        <f t="shared" si="62"/>
        <v>978633.38058572717</v>
      </c>
      <c r="T154" s="376">
        <f t="shared" si="62"/>
        <v>1004844.2479377502</v>
      </c>
      <c r="U154" s="376">
        <f t="shared" si="62"/>
        <v>1032232.8946625679</v>
      </c>
      <c r="V154" s="376">
        <f t="shared" si="62"/>
        <v>1060845.1384883053</v>
      </c>
      <c r="W154" s="376">
        <f t="shared" si="62"/>
        <v>1090728.6427866798</v>
      </c>
      <c r="X154" s="376">
        <f t="shared" si="62"/>
        <v>1121932.9902694013</v>
      </c>
      <c r="Y154" s="376">
        <f t="shared" si="62"/>
        <v>1154509.7596337185</v>
      </c>
      <c r="Z154" s="376">
        <f t="shared" si="62"/>
        <v>1188512.6052750736</v>
      </c>
      <c r="AA154" s="376">
        <f t="shared" si="62"/>
        <v>1223997.3401895221</v>
      </c>
      <c r="AB154" s="376">
        <f t="shared" si="62"/>
        <v>1261022.0221935147</v>
      </c>
      <c r="AC154" s="376">
        <f t="shared" si="62"/>
        <v>1304373.3873887237</v>
      </c>
      <c r="AD154" s="376">
        <f t="shared" si="62"/>
        <v>1349387.9120348161</v>
      </c>
      <c r="AE154" s="376">
        <f t="shared" si="62"/>
        <v>1396131.413558257</v>
      </c>
      <c r="AF154" s="376">
        <f t="shared" si="62"/>
        <v>1444672.3349930565</v>
      </c>
      <c r="AG154" s="376">
        <f t="shared" si="62"/>
        <v>1495081.8499341726</v>
      </c>
    </row>
    <row r="155" spans="1:34">
      <c r="A155" s="368" t="s">
        <v>318</v>
      </c>
      <c r="B155" s="300" t="s">
        <v>313</v>
      </c>
      <c r="C155" s="376">
        <f>'Changing with year'!C303</f>
        <v>510000</v>
      </c>
      <c r="D155" s="376">
        <f>'Changing with year'!D303</f>
        <v>533000</v>
      </c>
      <c r="E155" s="376">
        <f>'Changing with year'!E303</f>
        <v>557000</v>
      </c>
      <c r="F155" s="376">
        <f>'Changing with year'!F303</f>
        <v>582000</v>
      </c>
      <c r="G155" s="376">
        <f>'Changing with year'!G303</f>
        <v>608000</v>
      </c>
      <c r="H155" s="376">
        <f>'Changing with year'!H303</f>
        <v>635000</v>
      </c>
      <c r="I155" s="376">
        <f>'Changing with year'!I303</f>
        <v>664000</v>
      </c>
      <c r="J155" s="376">
        <f>'Changing with year'!J303</f>
        <v>694000</v>
      </c>
      <c r="K155" s="376">
        <f>'Changing with year'!K303</f>
        <v>725000</v>
      </c>
      <c r="L155" s="376">
        <f>'Changing with year'!L303</f>
        <v>758000</v>
      </c>
      <c r="M155" s="376">
        <f>'Changing with year'!M303</f>
        <v>792000</v>
      </c>
      <c r="N155" s="376">
        <f>'Changing with year'!N303</f>
        <v>828000</v>
      </c>
      <c r="O155" s="376">
        <f>'Changing with year'!O303</f>
        <v>865000</v>
      </c>
      <c r="P155" s="376">
        <f>'Changing with year'!P303</f>
        <v>904000</v>
      </c>
      <c r="Q155" s="376">
        <f>'Changing with year'!Q303</f>
        <v>945000</v>
      </c>
      <c r="R155" s="376">
        <f>'Changing with year'!R303</f>
        <v>988000</v>
      </c>
      <c r="S155" s="376">
        <f>'Changing with year'!S303</f>
        <v>1032000</v>
      </c>
      <c r="T155" s="376">
        <f>'Changing with year'!T303</f>
        <v>1078000</v>
      </c>
      <c r="U155" s="376">
        <f>'Changing with year'!U303</f>
        <v>1127000</v>
      </c>
      <c r="V155" s="376">
        <f>'Changing with year'!V303</f>
        <v>1178000</v>
      </c>
      <c r="W155" s="376">
        <f>'Changing with year'!W303</f>
        <v>1231000</v>
      </c>
      <c r="X155" s="376">
        <f>'Changing with year'!X303</f>
        <v>1286000</v>
      </c>
      <c r="Y155" s="376">
        <f>'Changing with year'!Y303</f>
        <v>1344000</v>
      </c>
      <c r="Z155" s="376">
        <f>'Changing with year'!Z303</f>
        <v>1404000</v>
      </c>
      <c r="AA155" s="376">
        <f>'Changing with year'!AA303</f>
        <v>1467000</v>
      </c>
      <c r="AB155" s="376">
        <f>'Changing with year'!AB303</f>
        <v>1533000</v>
      </c>
      <c r="AC155" s="376">
        <f>'Changing with year'!AC303</f>
        <v>1602000</v>
      </c>
      <c r="AD155" s="376">
        <f>'Changing with year'!AD303</f>
        <v>1674000</v>
      </c>
      <c r="AE155" s="376">
        <f>'Changing with year'!AE303</f>
        <v>1749000</v>
      </c>
      <c r="AF155" s="376">
        <f>'Changing with year'!AF303</f>
        <v>1828000</v>
      </c>
      <c r="AG155" s="376">
        <f>'Changing with year'!AG303</f>
        <v>1910000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3">C60</f>
        <v>666400</v>
      </c>
      <c r="D156" s="376">
        <f t="shared" si="63"/>
        <v>673064</v>
      </c>
      <c r="E156" s="376">
        <f t="shared" si="63"/>
        <v>679794.64</v>
      </c>
      <c r="F156" s="376">
        <f t="shared" si="63"/>
        <v>686592.58640000003</v>
      </c>
      <c r="G156" s="376">
        <f t="shared" si="63"/>
        <v>693458.51226400002</v>
      </c>
      <c r="H156" s="376">
        <f t="shared" si="63"/>
        <v>700393.09738663991</v>
      </c>
      <c r="I156" s="376">
        <f t="shared" si="63"/>
        <v>707397.0283605064</v>
      </c>
      <c r="J156" s="376">
        <f t="shared" si="63"/>
        <v>714470.99864411145</v>
      </c>
      <c r="K156" s="376">
        <f t="shared" si="63"/>
        <v>721615.70863055263</v>
      </c>
      <c r="L156" s="376">
        <f t="shared" si="63"/>
        <v>728831.86571685818</v>
      </c>
      <c r="M156" s="376">
        <f t="shared" si="63"/>
        <v>736120.18437402672</v>
      </c>
      <c r="N156" s="376">
        <f t="shared" si="63"/>
        <v>743481.38621776691</v>
      </c>
      <c r="O156" s="376">
        <f t="shared" si="63"/>
        <v>750916.20007994468</v>
      </c>
      <c r="P156" s="376">
        <f t="shared" si="63"/>
        <v>758425.36208074412</v>
      </c>
      <c r="Q156" s="376">
        <f t="shared" si="63"/>
        <v>766009.61570155167</v>
      </c>
      <c r="R156" s="376">
        <f t="shared" si="63"/>
        <v>773669.71185856708</v>
      </c>
      <c r="S156" s="376">
        <f t="shared" si="63"/>
        <v>781406.40897715278</v>
      </c>
      <c r="T156" s="376">
        <f t="shared" si="63"/>
        <v>789220.47306692437</v>
      </c>
      <c r="U156" s="376">
        <f t="shared" si="63"/>
        <v>797112.67779759364</v>
      </c>
      <c r="V156" s="376">
        <f t="shared" si="63"/>
        <v>805083.80457556946</v>
      </c>
      <c r="W156" s="376">
        <f t="shared" si="63"/>
        <v>813134.64262132521</v>
      </c>
      <c r="X156" s="376">
        <f t="shared" si="63"/>
        <v>821265.98904753849</v>
      </c>
      <c r="Y156" s="376">
        <f t="shared" si="63"/>
        <v>829478.64893801382</v>
      </c>
      <c r="Z156" s="376">
        <f t="shared" si="63"/>
        <v>837773.43542739411</v>
      </c>
      <c r="AA156" s="376">
        <f t="shared" si="63"/>
        <v>846151.16978166811</v>
      </c>
      <c r="AB156" s="376">
        <f t="shared" si="63"/>
        <v>854612.68147948477</v>
      </c>
      <c r="AC156" s="376">
        <f t="shared" si="63"/>
        <v>863158.80829427973</v>
      </c>
      <c r="AD156" s="376">
        <f t="shared" si="63"/>
        <v>871790.39637722238</v>
      </c>
      <c r="AE156" s="376">
        <f t="shared" si="63"/>
        <v>880508.30034099461</v>
      </c>
      <c r="AF156" s="376">
        <f t="shared" si="63"/>
        <v>889313.38334440463</v>
      </c>
      <c r="AG156" s="376">
        <f t="shared" si="63"/>
        <v>898206.51717784861</v>
      </c>
    </row>
    <row r="157" spans="1:34">
      <c r="A157" s="300" t="s">
        <v>319</v>
      </c>
      <c r="B157" s="300" t="s">
        <v>313</v>
      </c>
      <c r="C157" s="376">
        <f t="shared" ref="C157:AG157" si="64">C149*$C$29</f>
        <v>250220</v>
      </c>
      <c r="D157" s="376">
        <f t="shared" si="64"/>
        <v>246300</v>
      </c>
      <c r="E157" s="376">
        <f t="shared" si="64"/>
        <v>242660</v>
      </c>
      <c r="F157" s="376">
        <f t="shared" si="64"/>
        <v>239320</v>
      </c>
      <c r="G157" s="376">
        <f t="shared" si="64"/>
        <v>236280</v>
      </c>
      <c r="H157" s="376">
        <f t="shared" si="64"/>
        <v>237520</v>
      </c>
      <c r="I157" s="376">
        <f t="shared" si="64"/>
        <v>236380</v>
      </c>
      <c r="J157" s="376">
        <f t="shared" si="64"/>
        <v>235560</v>
      </c>
      <c r="K157" s="376">
        <f t="shared" si="64"/>
        <v>234960</v>
      </c>
      <c r="L157" s="376">
        <f t="shared" si="64"/>
        <v>234560</v>
      </c>
      <c r="M157" s="376">
        <f t="shared" si="64"/>
        <v>234360</v>
      </c>
      <c r="N157" s="376">
        <f t="shared" si="64"/>
        <v>234360</v>
      </c>
      <c r="O157" s="376">
        <f t="shared" si="64"/>
        <v>234560</v>
      </c>
      <c r="P157" s="376">
        <f t="shared" si="64"/>
        <v>234960</v>
      </c>
      <c r="Q157" s="376">
        <f t="shared" si="64"/>
        <v>235580</v>
      </c>
      <c r="R157" s="376">
        <f t="shared" si="64"/>
        <v>236380</v>
      </c>
      <c r="S157" s="376">
        <f t="shared" si="64"/>
        <v>236080</v>
      </c>
      <c r="T157" s="376">
        <f t="shared" si="64"/>
        <v>239520</v>
      </c>
      <c r="U157" s="376">
        <f t="shared" si="64"/>
        <v>243100</v>
      </c>
      <c r="V157" s="376">
        <f t="shared" si="64"/>
        <v>246820</v>
      </c>
      <c r="W157" s="376">
        <f t="shared" si="64"/>
        <v>250700</v>
      </c>
      <c r="X157" s="376">
        <f t="shared" si="64"/>
        <v>251340</v>
      </c>
      <c r="Y157" s="376">
        <f t="shared" si="64"/>
        <v>255580</v>
      </c>
      <c r="Z157" s="376">
        <f t="shared" si="64"/>
        <v>259980</v>
      </c>
      <c r="AA157" s="376">
        <f t="shared" si="64"/>
        <v>264560</v>
      </c>
      <c r="AB157" s="376">
        <f t="shared" si="64"/>
        <v>269300</v>
      </c>
      <c r="AC157" s="376">
        <f t="shared" si="64"/>
        <v>272280</v>
      </c>
      <c r="AD157" s="376">
        <f t="shared" si="64"/>
        <v>278740</v>
      </c>
      <c r="AE157" s="376">
        <f t="shared" si="64"/>
        <v>285380</v>
      </c>
      <c r="AF157" s="376">
        <f t="shared" si="64"/>
        <v>292220</v>
      </c>
      <c r="AG157" s="376">
        <f t="shared" si="64"/>
        <v>299240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59" si="65">C152/($C$22*$C$21)</f>
        <v>40.794374908665198</v>
      </c>
      <c r="D159" s="379">
        <f t="shared" si="65"/>
        <v>40.155281512286138</v>
      </c>
      <c r="E159" s="379">
        <f t="shared" si="65"/>
        <v>39.561837644219871</v>
      </c>
      <c r="F159" s="379">
        <f t="shared" si="65"/>
        <v>39.01730398506016</v>
      </c>
      <c r="G159" s="379">
        <f t="shared" si="65"/>
        <v>38.521680534807018</v>
      </c>
      <c r="H159" s="379">
        <f t="shared" si="65"/>
        <v>38.723842731620806</v>
      </c>
      <c r="I159" s="379">
        <f t="shared" si="65"/>
        <v>38.537983937775877</v>
      </c>
      <c r="J159" s="379">
        <f t="shared" si="65"/>
        <v>38.404296033431272</v>
      </c>
      <c r="K159" s="379">
        <f t="shared" si="65"/>
        <v>38.306475615618162</v>
      </c>
      <c r="L159" s="379">
        <f t="shared" si="65"/>
        <v>38.24126200374274</v>
      </c>
      <c r="M159" s="379">
        <f t="shared" si="65"/>
        <v>38.208655197805037</v>
      </c>
      <c r="N159" s="379">
        <f t="shared" si="65"/>
        <v>38.208655197805037</v>
      </c>
      <c r="O159" s="379">
        <f t="shared" si="65"/>
        <v>38.24126200374274</v>
      </c>
      <c r="P159" s="379">
        <f t="shared" si="65"/>
        <v>38.306475615618162</v>
      </c>
      <c r="Q159" s="379">
        <f t="shared" si="65"/>
        <v>38.407556714025048</v>
      </c>
      <c r="R159" s="379">
        <f t="shared" si="65"/>
        <v>38.537983937775877</v>
      </c>
      <c r="S159" s="379">
        <f t="shared" si="65"/>
        <v>38.489073728869315</v>
      </c>
      <c r="T159" s="379">
        <f t="shared" si="65"/>
        <v>39.049910790997878</v>
      </c>
      <c r="U159" s="379">
        <f t="shared" si="65"/>
        <v>39.63357261728283</v>
      </c>
      <c r="V159" s="379">
        <f t="shared" si="65"/>
        <v>40.24005920772418</v>
      </c>
      <c r="W159" s="379">
        <f t="shared" si="65"/>
        <v>40.872631242915695</v>
      </c>
      <c r="X159" s="379">
        <f t="shared" si="65"/>
        <v>40.976973021916358</v>
      </c>
      <c r="Y159" s="379">
        <f t="shared" si="65"/>
        <v>41.668237307795742</v>
      </c>
      <c r="Z159" s="379">
        <f t="shared" si="65"/>
        <v>42.385587038425292</v>
      </c>
      <c r="AA159" s="379">
        <f t="shared" si="65"/>
        <v>43.132282894398791</v>
      </c>
      <c r="AB159" s="379">
        <f t="shared" si="65"/>
        <v>43.905064195122442</v>
      </c>
      <c r="AC159" s="379">
        <f t="shared" si="65"/>
        <v>44.390905603594277</v>
      </c>
      <c r="AD159" s="379">
        <f t="shared" si="65"/>
        <v>45.444105435382212</v>
      </c>
      <c r="AE159" s="379">
        <f t="shared" si="65"/>
        <v>46.52665139251409</v>
      </c>
      <c r="AF159" s="379">
        <f t="shared" si="65"/>
        <v>47.641804155583664</v>
      </c>
      <c r="AG159" s="379">
        <f t="shared" si="65"/>
        <v>48.786303043997172</v>
      </c>
    </row>
    <row r="160" spans="1:34">
      <c r="A160" s="300" t="s">
        <v>321</v>
      </c>
      <c r="B160" s="300" t="s">
        <v>300</v>
      </c>
      <c r="C160" s="379">
        <f t="shared" ref="C160:AG160" si="66">C153/($C$22*$C$21)</f>
        <v>47.467105263157897</v>
      </c>
      <c r="D160" s="379">
        <f t="shared" si="66"/>
        <v>47.026315789473692</v>
      </c>
      <c r="E160" s="379">
        <f t="shared" si="66"/>
        <v>46.629506578947371</v>
      </c>
      <c r="F160" s="379">
        <f t="shared" si="66"/>
        <v>46.275697039473691</v>
      </c>
      <c r="G160" s="379">
        <f t="shared" si="66"/>
        <v>45.963953825657896</v>
      </c>
      <c r="H160" s="379">
        <f t="shared" si="66"/>
        <v>45.69338933588817</v>
      </c>
      <c r="I160" s="379">
        <f t="shared" si="66"/>
        <v>42.972044240064477</v>
      </c>
      <c r="J160" s="379">
        <f t="shared" si="66"/>
        <v>41.539805418061576</v>
      </c>
      <c r="K160" s="379">
        <f t="shared" si="66"/>
        <v>40.155203719992286</v>
      </c>
      <c r="L160" s="379">
        <f t="shared" si="66"/>
        <v>38.816441318304861</v>
      </c>
      <c r="M160" s="379">
        <f t="shared" si="66"/>
        <v>37.521794961313496</v>
      </c>
      <c r="N160" s="379">
        <f t="shared" si="66"/>
        <v>36.269612679722265</v>
      </c>
      <c r="O160" s="379">
        <f t="shared" si="66"/>
        <v>35.058310644447857</v>
      </c>
      <c r="P160" s="379">
        <f t="shared" si="66"/>
        <v>33.886370168615869</v>
      </c>
      <c r="Q160" s="379">
        <f t="shared" si="66"/>
        <v>32.752334846946006</v>
      </c>
      <c r="R160" s="379">
        <f t="shared" si="66"/>
        <v>31.65480782606657</v>
      </c>
      <c r="S160" s="379">
        <f t="shared" si="66"/>
        <v>29.226355798495799</v>
      </c>
      <c r="T160" s="379">
        <f t="shared" si="66"/>
        <v>28.39649125128555</v>
      </c>
      <c r="U160" s="379">
        <f t="shared" si="66"/>
        <v>27.596158911743913</v>
      </c>
      <c r="V160" s="379">
        <f t="shared" si="66"/>
        <v>26.824082358512847</v>
      </c>
      <c r="W160" s="379">
        <f t="shared" si="66"/>
        <v>26.079044572047106</v>
      </c>
      <c r="X160" s="379">
        <f t="shared" si="66"/>
        <v>25.359885081237074</v>
      </c>
      <c r="Y160" s="379">
        <f t="shared" si="66"/>
        <v>24.66549724935777</v>
      </c>
      <c r="Z160" s="379">
        <f t="shared" si="66"/>
        <v>23.994825692476244</v>
      </c>
      <c r="AA160" s="379">
        <f t="shared" si="66"/>
        <v>23.346863823790315</v>
      </c>
      <c r="AB160" s="379">
        <f t="shared" si="66"/>
        <v>22.720651517694996</v>
      </c>
      <c r="AC160" s="379">
        <f t="shared" si="66"/>
        <v>21.957217644293955</v>
      </c>
      <c r="AD160" s="379">
        <f t="shared" si="66"/>
        <v>22.032891815132359</v>
      </c>
      <c r="AE160" s="379">
        <f t="shared" si="66"/>
        <v>22.13427479577205</v>
      </c>
      <c r="AF160" s="379">
        <f t="shared" si="66"/>
        <v>22.260953533735957</v>
      </c>
      <c r="AG160" s="379">
        <f t="shared" si="66"/>
        <v>22.412554737370083</v>
      </c>
    </row>
    <row r="161" spans="1:33">
      <c r="A161" s="300" t="s">
        <v>322</v>
      </c>
      <c r="B161" s="300" t="s">
        <v>300</v>
      </c>
      <c r="C161" s="379">
        <f t="shared" ref="C161:AG161" si="67">(C154+C155+C156+C157)/($C$22*$C$21)</f>
        <v>32.350664285714288</v>
      </c>
      <c r="D161" s="379">
        <f t="shared" si="67"/>
        <v>32.827529523809517</v>
      </c>
      <c r="E161" s="379">
        <f t="shared" si="67"/>
        <v>33.336961797619047</v>
      </c>
      <c r="F161" s="379">
        <f t="shared" si="67"/>
        <v>33.879550329107147</v>
      </c>
      <c r="G161" s="379">
        <f t="shared" si="67"/>
        <v>34.455603573400893</v>
      </c>
      <c r="H161" s="379">
        <f t="shared" si="67"/>
        <v>35.124673562287562</v>
      </c>
      <c r="I161" s="379">
        <f t="shared" si="67"/>
        <v>35.826672761812141</v>
      </c>
      <c r="J161" s="379">
        <f t="shared" si="67"/>
        <v>36.562395467098952</v>
      </c>
      <c r="K161" s="379">
        <f t="shared" si="67"/>
        <v>37.330771325928268</v>
      </c>
      <c r="L161" s="379">
        <f t="shared" si="67"/>
        <v>38.146820096004575</v>
      </c>
      <c r="M161" s="379">
        <f t="shared" si="67"/>
        <v>38.99611662911208</v>
      </c>
      <c r="N161" s="379">
        <f t="shared" si="67"/>
        <v>39.894017788852224</v>
      </c>
      <c r="O161" s="379">
        <f t="shared" si="67"/>
        <v>40.826139398335449</v>
      </c>
      <c r="P161" s="379">
        <f t="shared" si="67"/>
        <v>41.807880838054956</v>
      </c>
      <c r="Q161" s="379">
        <f t="shared" si="67"/>
        <v>42.840080628503109</v>
      </c>
      <c r="R161" s="379">
        <f t="shared" si="67"/>
        <v>43.922707760712335</v>
      </c>
      <c r="S161" s="379">
        <f t="shared" si="67"/>
        <v>45.061306392304765</v>
      </c>
      <c r="T161" s="379">
        <f t="shared" si="67"/>
        <v>46.303344062569558</v>
      </c>
      <c r="U161" s="379">
        <f t="shared" si="67"/>
        <v>47.610797209228593</v>
      </c>
      <c r="V161" s="379">
        <f t="shared" si="67"/>
        <v>48.969478319402896</v>
      </c>
      <c r="W161" s="379">
        <f t="shared" si="67"/>
        <v>50.380406032857216</v>
      </c>
      <c r="X161" s="379">
        <f t="shared" si="67"/>
        <v>51.793734811263981</v>
      </c>
      <c r="Y161" s="379">
        <f t="shared" si="67"/>
        <v>53.326910841841254</v>
      </c>
      <c r="Z161" s="379">
        <f t="shared" si="67"/>
        <v>54.914673224739104</v>
      </c>
      <c r="AA161" s="379">
        <f t="shared" si="67"/>
        <v>56.573043303142711</v>
      </c>
      <c r="AB161" s="379">
        <f t="shared" si="67"/>
        <v>58.302599757038685</v>
      </c>
      <c r="AC161" s="379">
        <f t="shared" si="67"/>
        <v>60.146014816711357</v>
      </c>
      <c r="AD161" s="379">
        <f t="shared" si="67"/>
        <v>62.111879589464863</v>
      </c>
      <c r="AE161" s="379">
        <f t="shared" si="67"/>
        <v>64.152079075881716</v>
      </c>
      <c r="AF161" s="379">
        <f t="shared" si="67"/>
        <v>66.282823189545553</v>
      </c>
      <c r="AG161" s="379">
        <f t="shared" si="67"/>
        <v>68.490005462976512</v>
      </c>
    </row>
    <row r="162" spans="1:33">
      <c r="A162" s="300" t="s">
        <v>310</v>
      </c>
      <c r="B162" s="300" t="s">
        <v>300</v>
      </c>
      <c r="C162" s="379">
        <f t="shared" ref="C162:AG162" si="68">C150/($C$22*$C$21*7)</f>
        <v>1.3298256802721087</v>
      </c>
      <c r="D162" s="379">
        <f t="shared" si="68"/>
        <v>1.3089923469387752</v>
      </c>
      <c r="E162" s="379">
        <f t="shared" si="68"/>
        <v>1.2896471088435371</v>
      </c>
      <c r="F162" s="379">
        <f t="shared" si="68"/>
        <v>1.271896258503401</v>
      </c>
      <c r="G162" s="379">
        <f t="shared" si="68"/>
        <v>1.2557397959183672</v>
      </c>
      <c r="H162" s="379">
        <f t="shared" si="68"/>
        <v>1.262329931972789</v>
      </c>
      <c r="I162" s="379">
        <f t="shared" si="68"/>
        <v>1.256271258503401</v>
      </c>
      <c r="J162" s="379">
        <f t="shared" si="68"/>
        <v>1.2519132653061222</v>
      </c>
      <c r="K162" s="379">
        <f t="shared" si="68"/>
        <v>1.2487244897959182</v>
      </c>
      <c r="L162" s="379">
        <f t="shared" si="68"/>
        <v>1.246598639455782</v>
      </c>
      <c r="M162" s="379">
        <f t="shared" si="68"/>
        <v>1.245535714285714</v>
      </c>
      <c r="N162" s="379">
        <f t="shared" si="68"/>
        <v>3.7366071428571428</v>
      </c>
      <c r="O162" s="379">
        <f t="shared" si="68"/>
        <v>3.739795918367347</v>
      </c>
      <c r="P162" s="379">
        <f t="shared" si="68"/>
        <v>3.7461734693877551</v>
      </c>
      <c r="Q162" s="379">
        <f t="shared" si="68"/>
        <v>3.7560586734693877</v>
      </c>
      <c r="R162" s="379">
        <f t="shared" si="68"/>
        <v>3.7688137755102042</v>
      </c>
      <c r="S162" s="379">
        <f t="shared" si="68"/>
        <v>3.7640306122448979</v>
      </c>
      <c r="T162" s="379">
        <f t="shared" si="68"/>
        <v>3.818877551020408</v>
      </c>
      <c r="U162" s="379">
        <f t="shared" si="68"/>
        <v>3.875956632653061</v>
      </c>
      <c r="V162" s="379">
        <f t="shared" si="68"/>
        <v>3.9352678571428572</v>
      </c>
      <c r="W162" s="379">
        <f t="shared" si="68"/>
        <v>3.9971301020408165</v>
      </c>
      <c r="X162" s="379">
        <f t="shared" si="68"/>
        <v>5.3431122448979593</v>
      </c>
      <c r="Y162" s="379">
        <f t="shared" si="68"/>
        <v>5.433248299319728</v>
      </c>
      <c r="Z162" s="379">
        <f t="shared" si="68"/>
        <v>5.5267857142857144</v>
      </c>
      <c r="AA162" s="379">
        <f t="shared" si="68"/>
        <v>5.6241496598639458</v>
      </c>
      <c r="AB162" s="379">
        <f t="shared" si="68"/>
        <v>5.7249149659863949</v>
      </c>
      <c r="AC162" s="379">
        <f t="shared" si="68"/>
        <v>5.7882653061224492</v>
      </c>
      <c r="AD162" s="379">
        <f t="shared" si="68"/>
        <v>5.9255952380952381</v>
      </c>
      <c r="AE162" s="379">
        <f t="shared" si="68"/>
        <v>6.0667517006802711</v>
      </c>
      <c r="AF162" s="379">
        <f t="shared" si="68"/>
        <v>6.2121598639455771</v>
      </c>
      <c r="AG162" s="379">
        <f t="shared" si="68"/>
        <v>6.3613945578231279</v>
      </c>
    </row>
    <row r="163" spans="1:33">
      <c r="A163" s="380" t="s">
        <v>323</v>
      </c>
      <c r="B163" s="300" t="s">
        <v>300</v>
      </c>
      <c r="C163" s="387">
        <f t="shared" ref="C163:AG163" si="69">SUM(C159:C161)-C162</f>
        <v>119.28231877726527</v>
      </c>
      <c r="D163" s="387">
        <f t="shared" si="69"/>
        <v>118.70013447863057</v>
      </c>
      <c r="E163" s="387">
        <f t="shared" si="69"/>
        <v>118.23865891194275</v>
      </c>
      <c r="F163" s="387">
        <f t="shared" si="69"/>
        <v>117.90065509513759</v>
      </c>
      <c r="G163" s="387">
        <f t="shared" si="69"/>
        <v>117.68549813794743</v>
      </c>
      <c r="H163" s="387">
        <f t="shared" si="69"/>
        <v>118.27957569782374</v>
      </c>
      <c r="I163" s="387">
        <f t="shared" si="69"/>
        <v>116.0804296811491</v>
      </c>
      <c r="J163" s="387">
        <f t="shared" si="69"/>
        <v>115.25458365328568</v>
      </c>
      <c r="K163" s="387">
        <f t="shared" si="69"/>
        <v>114.5437261717428</v>
      </c>
      <c r="L163" s="387">
        <f t="shared" si="69"/>
        <v>113.95792477859639</v>
      </c>
      <c r="M163" s="387">
        <f t="shared" si="69"/>
        <v>113.48103107394491</v>
      </c>
      <c r="N163" s="387">
        <f t="shared" si="69"/>
        <v>110.63567852352239</v>
      </c>
      <c r="O163" s="387">
        <f t="shared" si="69"/>
        <v>110.3859161281587</v>
      </c>
      <c r="P163" s="387">
        <f t="shared" si="69"/>
        <v>110.25455315290124</v>
      </c>
      <c r="Q163" s="387">
        <f t="shared" si="69"/>
        <v>110.24391351600478</v>
      </c>
      <c r="R163" s="387">
        <f t="shared" si="69"/>
        <v>110.34668574904458</v>
      </c>
      <c r="S163" s="387">
        <f t="shared" si="69"/>
        <v>109.01270530742498</v>
      </c>
      <c r="T163" s="387">
        <f t="shared" si="69"/>
        <v>109.93086855383258</v>
      </c>
      <c r="U163" s="387">
        <f t="shared" si="69"/>
        <v>110.96457210560227</v>
      </c>
      <c r="V163" s="387">
        <f t="shared" si="69"/>
        <v>112.09835202849706</v>
      </c>
      <c r="W163" s="387">
        <f t="shared" si="69"/>
        <v>113.33495174577919</v>
      </c>
      <c r="X163" s="387">
        <f t="shared" si="69"/>
        <v>112.78748066951945</v>
      </c>
      <c r="Y163" s="387">
        <f t="shared" si="69"/>
        <v>114.22739709967504</v>
      </c>
      <c r="Z163" s="387">
        <f t="shared" si="69"/>
        <v>115.76830024135494</v>
      </c>
      <c r="AA163" s="387">
        <f t="shared" si="69"/>
        <v>117.42804036146786</v>
      </c>
      <c r="AB163" s="387">
        <f t="shared" si="69"/>
        <v>119.20340050386973</v>
      </c>
      <c r="AC163" s="387">
        <f t="shared" si="69"/>
        <v>120.70587275847713</v>
      </c>
      <c r="AD163" s="387">
        <f t="shared" si="69"/>
        <v>123.66328160188419</v>
      </c>
      <c r="AE163" s="387">
        <f t="shared" si="69"/>
        <v>126.74625356348758</v>
      </c>
      <c r="AF163" s="387">
        <f t="shared" si="69"/>
        <v>129.97342101491961</v>
      </c>
      <c r="AG163" s="387">
        <f t="shared" si="69"/>
        <v>133.32746868652063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0">D164+1</f>
        <v>2027</v>
      </c>
      <c r="F164" s="360">
        <f t="shared" si="70"/>
        <v>2028</v>
      </c>
      <c r="G164" s="360">
        <f t="shared" si="70"/>
        <v>2029</v>
      </c>
      <c r="H164" s="360">
        <f>G164+1</f>
        <v>2030</v>
      </c>
      <c r="I164" s="360">
        <f>H164+1</f>
        <v>2031</v>
      </c>
      <c r="J164" s="360">
        <f t="shared" si="70"/>
        <v>2032</v>
      </c>
      <c r="K164" s="360">
        <f t="shared" si="70"/>
        <v>2033</v>
      </c>
      <c r="L164" s="360">
        <f t="shared" si="70"/>
        <v>2034</v>
      </c>
      <c r="M164" s="360">
        <f t="shared" si="70"/>
        <v>2035</v>
      </c>
      <c r="N164" s="360">
        <f t="shared" si="70"/>
        <v>2036</v>
      </c>
      <c r="O164" s="360">
        <f t="shared" si="70"/>
        <v>2037</v>
      </c>
      <c r="P164" s="360">
        <f t="shared" si="70"/>
        <v>2038</v>
      </c>
      <c r="Q164" s="360">
        <f t="shared" si="70"/>
        <v>2039</v>
      </c>
      <c r="R164" s="360">
        <f t="shared" si="70"/>
        <v>2040</v>
      </c>
      <c r="S164" s="360">
        <f t="shared" si="70"/>
        <v>2041</v>
      </c>
      <c r="T164" s="360">
        <f t="shared" si="70"/>
        <v>2042</v>
      </c>
      <c r="U164" s="360">
        <f t="shared" si="70"/>
        <v>2043</v>
      </c>
      <c r="V164" s="360">
        <f t="shared" si="70"/>
        <v>2044</v>
      </c>
      <c r="W164" s="360">
        <f t="shared" si="70"/>
        <v>2045</v>
      </c>
      <c r="X164" s="360">
        <f t="shared" si="70"/>
        <v>2046</v>
      </c>
      <c r="Y164" s="360">
        <f t="shared" si="70"/>
        <v>2047</v>
      </c>
      <c r="Z164" s="360">
        <f t="shared" si="70"/>
        <v>2048</v>
      </c>
      <c r="AA164" s="360">
        <f t="shared" si="70"/>
        <v>2049</v>
      </c>
      <c r="AB164" s="360">
        <f t="shared" si="70"/>
        <v>2050</v>
      </c>
      <c r="AC164" s="360">
        <f t="shared" si="70"/>
        <v>2051</v>
      </c>
      <c r="AD164" s="360">
        <f t="shared" si="70"/>
        <v>2052</v>
      </c>
      <c r="AE164" s="360">
        <f t="shared" si="70"/>
        <v>2053</v>
      </c>
      <c r="AF164" s="360">
        <f t="shared" si="70"/>
        <v>2054</v>
      </c>
      <c r="AG164" s="360">
        <f t="shared" si="70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1">C78</f>
        <v>61.604723384563741</v>
      </c>
      <c r="D165" s="379">
        <f t="shared" si="71"/>
        <v>65.382564524341262</v>
      </c>
      <c r="E165" s="379">
        <f t="shared" si="71"/>
        <v>67.07166657835576</v>
      </c>
      <c r="F165" s="379">
        <f t="shared" si="71"/>
        <v>68.813236354616976</v>
      </c>
      <c r="G165" s="379">
        <f t="shared" si="71"/>
        <v>70.608368350719715</v>
      </c>
      <c r="H165" s="379">
        <f t="shared" si="71"/>
        <v>73.626402334974131</v>
      </c>
      <c r="I165" s="379">
        <f t="shared" si="71"/>
        <v>75.567391679853088</v>
      </c>
      <c r="J165" s="379">
        <f t="shared" si="71"/>
        <v>77.566563753439539</v>
      </c>
      <c r="K165" s="379">
        <f t="shared" si="71"/>
        <v>79.625421128038141</v>
      </c>
      <c r="L165" s="379">
        <f t="shared" si="71"/>
        <v>81.760086995805878</v>
      </c>
      <c r="M165" s="379">
        <f t="shared" si="71"/>
        <v>83.95724759122912</v>
      </c>
      <c r="N165" s="379">
        <f t="shared" si="71"/>
        <v>86.886940896439569</v>
      </c>
      <c r="O165" s="379">
        <f t="shared" si="71"/>
        <v>89.248284444307671</v>
      </c>
      <c r="P165" s="379">
        <f t="shared" si="71"/>
        <v>91.67734783995985</v>
      </c>
      <c r="Q165" s="379">
        <f t="shared" si="71"/>
        <v>94.190441999312739</v>
      </c>
      <c r="R165" s="379">
        <f t="shared" si="71"/>
        <v>96.774458072679039</v>
      </c>
      <c r="S165" s="379">
        <f t="shared" si="71"/>
        <v>99.446090038295225</v>
      </c>
      <c r="T165" s="379">
        <f t="shared" si="71"/>
        <v>102.20719336939197</v>
      </c>
      <c r="U165" s="379">
        <f t="shared" si="71"/>
        <v>105.05966756950768</v>
      </c>
      <c r="V165" s="379">
        <f t="shared" si="71"/>
        <v>108.00515513273788</v>
      </c>
      <c r="W165" s="379">
        <f t="shared" si="71"/>
        <v>111.04595130222489</v>
      </c>
      <c r="X165" s="379">
        <f t="shared" si="71"/>
        <v>115.0828010236124</v>
      </c>
      <c r="Y165" s="379">
        <f t="shared" si="71"/>
        <v>118.34735695691995</v>
      </c>
      <c r="Z165" s="379">
        <f t="shared" si="71"/>
        <v>121.71430936569313</v>
      </c>
      <c r="AA165" s="379">
        <f t="shared" si="71"/>
        <v>125.20076097809532</v>
      </c>
      <c r="AB165" s="379">
        <f t="shared" si="71"/>
        <v>128.79442289090937</v>
      </c>
      <c r="AC165" s="379">
        <f t="shared" si="71"/>
        <v>132.51251389689426</v>
      </c>
      <c r="AD165" s="379">
        <f t="shared" si="71"/>
        <v>136.34286552798071</v>
      </c>
      <c r="AE165" s="379">
        <f t="shared" si="71"/>
        <v>140.30282155201149</v>
      </c>
      <c r="AF165" s="379">
        <f t="shared" si="71"/>
        <v>144.39522414436615</v>
      </c>
      <c r="AG165" s="379">
        <f t="shared" si="71"/>
        <v>148.62267071053688</v>
      </c>
    </row>
    <row r="166" spans="1:33">
      <c r="A166" s="368" t="s">
        <v>179</v>
      </c>
      <c r="B166" s="368" t="s">
        <v>179</v>
      </c>
      <c r="C166" s="379">
        <f t="shared" ref="C166:AG166" si="72">C95</f>
        <v>60.932520138878246</v>
      </c>
      <c r="D166" s="379">
        <f t="shared" si="72"/>
        <v>64.011079076377911</v>
      </c>
      <c r="E166" s="379">
        <f t="shared" si="72"/>
        <v>65.949395496288318</v>
      </c>
      <c r="F166" s="379">
        <f t="shared" si="72"/>
        <v>67.951810508796001</v>
      </c>
      <c r="G166" s="379">
        <f t="shared" si="72"/>
        <v>70.019932035440846</v>
      </c>
      <c r="H166" s="379">
        <f t="shared" si="72"/>
        <v>73.366156914594455</v>
      </c>
      <c r="I166" s="379">
        <f t="shared" si="72"/>
        <v>75.607055519071324</v>
      </c>
      <c r="J166" s="379">
        <f t="shared" si="72"/>
        <v>77.919906147362184</v>
      </c>
      <c r="K166" s="379">
        <f t="shared" si="72"/>
        <v>80.321458183620834</v>
      </c>
      <c r="L166" s="379">
        <f t="shared" si="72"/>
        <v>82.798762037528704</v>
      </c>
      <c r="M166" s="379">
        <f t="shared" si="72"/>
        <v>85.368695123073962</v>
      </c>
      <c r="N166" s="379">
        <f t="shared" si="72"/>
        <v>88.723952799283893</v>
      </c>
      <c r="O166" s="379">
        <f t="shared" si="72"/>
        <v>91.491689861250833</v>
      </c>
      <c r="P166" s="379">
        <f t="shared" si="72"/>
        <v>94.344213000858986</v>
      </c>
      <c r="Q166" s="379">
        <f t="shared" si="72"/>
        <v>97.298702341335485</v>
      </c>
      <c r="R166" s="379">
        <f t="shared" si="72"/>
        <v>100.35753477315814</v>
      </c>
      <c r="S166" s="379">
        <f t="shared" si="72"/>
        <v>103.52316759444373</v>
      </c>
      <c r="T166" s="379">
        <f t="shared" si="72"/>
        <v>106.79814129391883</v>
      </c>
      <c r="U166" s="379">
        <f t="shared" si="72"/>
        <v>110.18508243227637</v>
      </c>
      <c r="V166" s="379">
        <f t="shared" si="72"/>
        <v>113.68670662546627</v>
      </c>
      <c r="W166" s="379">
        <f t="shared" si="72"/>
        <v>117.30582163359817</v>
      </c>
      <c r="X166" s="379">
        <f t="shared" si="72"/>
        <v>121.993480370043</v>
      </c>
      <c r="Y166" s="379">
        <f t="shared" si="72"/>
        <v>125.89971041675588</v>
      </c>
      <c r="Z166" s="379">
        <f t="shared" si="72"/>
        <v>129.93329331281583</v>
      </c>
      <c r="AA166" s="379">
        <f t="shared" si="72"/>
        <v>134.11234508513209</v>
      </c>
      <c r="AB166" s="379">
        <f t="shared" si="72"/>
        <v>138.44021088758953</v>
      </c>
      <c r="AC166" s="379">
        <f t="shared" si="72"/>
        <v>142.92034978422797</v>
      </c>
      <c r="AD166" s="379">
        <f t="shared" si="72"/>
        <v>147.55633871617445</v>
      </c>
      <c r="AE166" s="379">
        <f t="shared" si="72"/>
        <v>152.35187660964252</v>
      </c>
      <c r="AF166" s="379">
        <f t="shared" si="72"/>
        <v>157.31078863011402</v>
      </c>
      <c r="AG166" s="379">
        <f t="shared" si="72"/>
        <v>162.45191154038756</v>
      </c>
    </row>
    <row r="167" spans="1:33">
      <c r="A167" s="300" t="s">
        <v>180</v>
      </c>
      <c r="B167" s="300" t="s">
        <v>180</v>
      </c>
      <c r="C167" s="379">
        <f t="shared" ref="C167:AG167" si="73">C112</f>
        <v>61.463427649526928</v>
      </c>
      <c r="D167" s="379">
        <f t="shared" si="73"/>
        <v>63.392986624482347</v>
      </c>
      <c r="E167" s="379">
        <f t="shared" si="73"/>
        <v>65.257393259018542</v>
      </c>
      <c r="F167" s="379">
        <f t="shared" si="73"/>
        <v>67.181751494284214</v>
      </c>
      <c r="G167" s="379">
        <f t="shared" si="73"/>
        <v>69.173326100840825</v>
      </c>
      <c r="H167" s="379">
        <f t="shared" si="73"/>
        <v>72.441078350159827</v>
      </c>
      <c r="I167" s="379">
        <f t="shared" si="73"/>
        <v>74.601157623316553</v>
      </c>
      <c r="J167" s="379">
        <f t="shared" si="73"/>
        <v>76.832345773026418</v>
      </c>
      <c r="K167" s="379">
        <f t="shared" si="73"/>
        <v>79.136031911086093</v>
      </c>
      <c r="L167" s="379">
        <f t="shared" si="73"/>
        <v>81.528534652363234</v>
      </c>
      <c r="M167" s="379">
        <f t="shared" si="73"/>
        <v>83.996460995521318</v>
      </c>
      <c r="N167" s="379">
        <f t="shared" si="73"/>
        <v>87.281941594049215</v>
      </c>
      <c r="O167" s="379">
        <f t="shared" si="73"/>
        <v>89.944024050996987</v>
      </c>
      <c r="P167" s="379">
        <f t="shared" si="73"/>
        <v>92.689978631157118</v>
      </c>
      <c r="Q167" s="379">
        <f t="shared" si="73"/>
        <v>95.536394075800672</v>
      </c>
      <c r="R167" s="379">
        <f t="shared" si="73"/>
        <v>98.47015719960973</v>
      </c>
      <c r="S167" s="379">
        <f t="shared" si="73"/>
        <v>101.50797885596485</v>
      </c>
      <c r="T167" s="379">
        <f t="shared" si="73"/>
        <v>104.65175331456187</v>
      </c>
      <c r="U167" s="379">
        <f t="shared" si="73"/>
        <v>107.90970778963889</v>
      </c>
      <c r="V167" s="379">
        <f t="shared" si="73"/>
        <v>111.2776060642293</v>
      </c>
      <c r="W167" s="379">
        <f t="shared" si="73"/>
        <v>114.76068288703345</v>
      </c>
      <c r="X167" s="379">
        <f t="shared" si="73"/>
        <v>119.33581641638992</v>
      </c>
      <c r="Y167" s="379">
        <f t="shared" si="73"/>
        <v>123.08672997873327</v>
      </c>
      <c r="Z167" s="379">
        <f t="shared" si="73"/>
        <v>126.96356616907661</v>
      </c>
      <c r="AA167" s="379">
        <f t="shared" si="73"/>
        <v>130.98038122429656</v>
      </c>
      <c r="AB167" s="379">
        <f t="shared" si="73"/>
        <v>135.13127321109749</v>
      </c>
      <c r="AC167" s="379">
        <f t="shared" si="73"/>
        <v>139.43047239546001</v>
      </c>
      <c r="AD167" s="379">
        <f t="shared" si="73"/>
        <v>143.86577832793</v>
      </c>
      <c r="AE167" s="379">
        <f t="shared" si="73"/>
        <v>148.46132639993633</v>
      </c>
      <c r="AF167" s="379">
        <f t="shared" si="73"/>
        <v>153.21351190149349</v>
      </c>
      <c r="AG167" s="379">
        <f t="shared" si="73"/>
        <v>158.13178992497464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4">C146</f>
        <v>76.014743264316806</v>
      </c>
      <c r="D168" s="379">
        <f t="shared" si="74"/>
        <v>76.618202395703975</v>
      </c>
      <c r="E168" s="379">
        <f t="shared" si="74"/>
        <v>77.166811597567644</v>
      </c>
      <c r="F168" s="379">
        <f t="shared" si="74"/>
        <v>77.032752105181558</v>
      </c>
      <c r="G168" s="379">
        <f t="shared" si="74"/>
        <v>76.855036699006021</v>
      </c>
      <c r="H168" s="379">
        <f t="shared" si="74"/>
        <v>77.689134205603182</v>
      </c>
      <c r="I168" s="379">
        <f t="shared" si="74"/>
        <v>75.873518849634593</v>
      </c>
      <c r="J168" s="379">
        <f t="shared" si="74"/>
        <v>76.488689407137528</v>
      </c>
      <c r="K168" s="379">
        <f t="shared" si="74"/>
        <v>76.929131555189898</v>
      </c>
      <c r="L168" s="379">
        <f t="shared" si="74"/>
        <v>77.520062743609159</v>
      </c>
      <c r="M168" s="379">
        <f t="shared" si="74"/>
        <v>78.269467547645718</v>
      </c>
      <c r="N168" s="379">
        <f t="shared" si="74"/>
        <v>77.308686864189568</v>
      </c>
      <c r="O168" s="379">
        <f t="shared" si="74"/>
        <v>78.415137943077156</v>
      </c>
      <c r="P168" s="379">
        <f t="shared" si="74"/>
        <v>79.559062914893829</v>
      </c>
      <c r="Q168" s="379">
        <f t="shared" si="74"/>
        <v>80.821349504350167</v>
      </c>
      <c r="R168" s="379">
        <f t="shared" si="74"/>
        <v>82.213013620713809</v>
      </c>
      <c r="S168" s="379">
        <f t="shared" si="74"/>
        <v>83.481622924742169</v>
      </c>
      <c r="T168" s="379">
        <f t="shared" si="74"/>
        <v>85.348322631986122</v>
      </c>
      <c r="U168" s="379">
        <f t="shared" si="74"/>
        <v>87.259439650041301</v>
      </c>
      <c r="V168" s="379">
        <f t="shared" si="74"/>
        <v>89.252694899936756</v>
      </c>
      <c r="W168" s="379">
        <f t="shared" si="74"/>
        <v>91.323910204532496</v>
      </c>
      <c r="X168" s="379">
        <f t="shared" si="74"/>
        <v>92.30488730638487</v>
      </c>
      <c r="Y168" s="379">
        <f t="shared" si="74"/>
        <v>94.533134013482027</v>
      </c>
      <c r="Z168" s="379">
        <f t="shared" si="74"/>
        <v>96.844859193970365</v>
      </c>
      <c r="AA168" s="379">
        <f t="shared" si="74"/>
        <v>99.260443790626439</v>
      </c>
      <c r="AB168" s="379">
        <f t="shared" si="74"/>
        <v>101.77949182397943</v>
      </c>
      <c r="AC168" s="379">
        <f t="shared" si="74"/>
        <v>104.79917232748056</v>
      </c>
      <c r="AD168" s="379">
        <f t="shared" si="74"/>
        <v>107.99145331795732</v>
      </c>
      <c r="AE168" s="379">
        <f t="shared" si="74"/>
        <v>111.29374399961738</v>
      </c>
      <c r="AF168" s="379">
        <f t="shared" si="74"/>
        <v>114.73029170694069</v>
      </c>
      <c r="AG168" s="379">
        <f t="shared" si="74"/>
        <v>118.28964655896924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5">C129</f>
        <v>107.72318918255017</v>
      </c>
      <c r="D169" s="379">
        <f t="shared" si="75"/>
        <v>108.04850843683765</v>
      </c>
      <c r="E169" s="379">
        <f t="shared" si="75"/>
        <v>108.48881603777286</v>
      </c>
      <c r="F169" s="379">
        <f t="shared" si="75"/>
        <v>109.04015742379178</v>
      </c>
      <c r="G169" s="379">
        <f t="shared" si="75"/>
        <v>109.70514326829185</v>
      </c>
      <c r="H169" s="379">
        <f t="shared" si="75"/>
        <v>111.7789989784366</v>
      </c>
      <c r="I169" s="379">
        <f t="shared" si="75"/>
        <v>109.42274648782092</v>
      </c>
      <c r="J169" s="379">
        <f t="shared" si="75"/>
        <v>108.84161598720513</v>
      </c>
      <c r="K169" s="379">
        <f t="shared" si="75"/>
        <v>108.38103427790635</v>
      </c>
      <c r="L169" s="379">
        <f t="shared" si="75"/>
        <v>108.05099323535069</v>
      </c>
      <c r="M169" s="379">
        <f t="shared" si="75"/>
        <v>107.84157011310066</v>
      </c>
      <c r="N169" s="379">
        <f t="shared" si="75"/>
        <v>106.97448307092627</v>
      </c>
      <c r="O169" s="379">
        <f t="shared" si="75"/>
        <v>106.9914529426792</v>
      </c>
      <c r="P169" s="379">
        <f t="shared" si="75"/>
        <v>107.12437170482694</v>
      </c>
      <c r="Q169" s="379">
        <f t="shared" si="75"/>
        <v>107.38395294822351</v>
      </c>
      <c r="R169" s="379">
        <f t="shared" si="75"/>
        <v>107.754396864838</v>
      </c>
      <c r="S169" s="379">
        <f t="shared" si="75"/>
        <v>106.55991246405931</v>
      </c>
      <c r="T169" s="379">
        <f t="shared" si="75"/>
        <v>107.5728117509509</v>
      </c>
      <c r="U169" s="379">
        <f t="shared" si="75"/>
        <v>108.70521454060351</v>
      </c>
      <c r="V169" s="379">
        <f t="shared" si="75"/>
        <v>109.95338826064865</v>
      </c>
      <c r="W169" s="379">
        <f t="shared" si="75"/>
        <v>111.32312267910702</v>
      </c>
      <c r="X169" s="379">
        <f t="shared" si="75"/>
        <v>111.81746855840103</v>
      </c>
      <c r="Y169" s="379">
        <f t="shared" si="75"/>
        <v>113.39828861092329</v>
      </c>
      <c r="Z169" s="379">
        <f t="shared" si="75"/>
        <v>115.09608111268753</v>
      </c>
      <c r="AA169" s="379">
        <f t="shared" si="75"/>
        <v>116.92875111313819</v>
      </c>
      <c r="AB169" s="379">
        <f t="shared" si="75"/>
        <v>118.88153007655741</v>
      </c>
      <c r="AC169" s="379">
        <f t="shared" si="75"/>
        <v>120.75878536599669</v>
      </c>
      <c r="AD169" s="379">
        <f t="shared" si="75"/>
        <v>123.8519411414058</v>
      </c>
      <c r="AE169" s="379">
        <f t="shared" si="75"/>
        <v>127.09291134311165</v>
      </c>
      <c r="AF169" s="379">
        <f t="shared" si="75"/>
        <v>130.48579960256222</v>
      </c>
      <c r="AG169" s="379">
        <f t="shared" si="75"/>
        <v>134.02574677036958</v>
      </c>
    </row>
    <row r="170" spans="1:33">
      <c r="A170" s="300" t="str">
        <f>A147</f>
        <v>FCET</v>
      </c>
      <c r="B170" s="300" t="str">
        <f>A170</f>
        <v>FCET</v>
      </c>
      <c r="C170" s="379">
        <f t="shared" ref="C170:AG170" si="76">C163</f>
        <v>119.28231877726527</v>
      </c>
      <c r="D170" s="379">
        <f t="shared" si="76"/>
        <v>118.70013447863057</v>
      </c>
      <c r="E170" s="379">
        <f t="shared" si="76"/>
        <v>118.23865891194275</v>
      </c>
      <c r="F170" s="379">
        <f t="shared" si="76"/>
        <v>117.90065509513759</v>
      </c>
      <c r="G170" s="379">
        <f t="shared" si="76"/>
        <v>117.68549813794743</v>
      </c>
      <c r="H170" s="379">
        <f t="shared" si="76"/>
        <v>118.27957569782374</v>
      </c>
      <c r="I170" s="379">
        <f t="shared" si="76"/>
        <v>116.0804296811491</v>
      </c>
      <c r="J170" s="379">
        <f t="shared" si="76"/>
        <v>115.25458365328568</v>
      </c>
      <c r="K170" s="379">
        <f t="shared" si="76"/>
        <v>114.5437261717428</v>
      </c>
      <c r="L170" s="379">
        <f t="shared" si="76"/>
        <v>113.95792477859639</v>
      </c>
      <c r="M170" s="379">
        <f t="shared" si="76"/>
        <v>113.48103107394491</v>
      </c>
      <c r="N170" s="379">
        <f t="shared" si="76"/>
        <v>110.63567852352239</v>
      </c>
      <c r="O170" s="379">
        <f t="shared" si="76"/>
        <v>110.3859161281587</v>
      </c>
      <c r="P170" s="379">
        <f t="shared" si="76"/>
        <v>110.25455315290124</v>
      </c>
      <c r="Q170" s="379">
        <f t="shared" si="76"/>
        <v>110.24391351600478</v>
      </c>
      <c r="R170" s="379">
        <f t="shared" si="76"/>
        <v>110.34668574904458</v>
      </c>
      <c r="S170" s="379">
        <f t="shared" si="76"/>
        <v>109.01270530742498</v>
      </c>
      <c r="T170" s="379">
        <f t="shared" si="76"/>
        <v>109.93086855383258</v>
      </c>
      <c r="U170" s="379">
        <f t="shared" si="76"/>
        <v>110.96457210560227</v>
      </c>
      <c r="V170" s="379">
        <f t="shared" si="76"/>
        <v>112.09835202849706</v>
      </c>
      <c r="W170" s="379">
        <f t="shared" si="76"/>
        <v>113.33495174577919</v>
      </c>
      <c r="X170" s="379">
        <f t="shared" si="76"/>
        <v>112.78748066951945</v>
      </c>
      <c r="Y170" s="379">
        <f t="shared" si="76"/>
        <v>114.22739709967504</v>
      </c>
      <c r="Z170" s="379">
        <f t="shared" si="76"/>
        <v>115.76830024135494</v>
      </c>
      <c r="AA170" s="379">
        <f t="shared" si="76"/>
        <v>117.42804036146786</v>
      </c>
      <c r="AB170" s="379">
        <f t="shared" si="76"/>
        <v>119.20340050386973</v>
      </c>
      <c r="AC170" s="379">
        <f t="shared" si="76"/>
        <v>120.70587275847713</v>
      </c>
      <c r="AD170" s="379">
        <f t="shared" si="76"/>
        <v>123.66328160188419</v>
      </c>
      <c r="AE170" s="379">
        <f t="shared" si="76"/>
        <v>126.74625356348758</v>
      </c>
      <c r="AF170" s="379">
        <f t="shared" si="76"/>
        <v>129.97342101491961</v>
      </c>
      <c r="AG170" s="379">
        <f t="shared" si="76"/>
        <v>133.32746868652063</v>
      </c>
    </row>
    <row r="171" spans="1:33">
      <c r="A171" s="300" t="s">
        <v>334</v>
      </c>
      <c r="C171" s="379">
        <f t="shared" ref="C171:AG171" si="77">C165*0.9</f>
        <v>55.444251046107368</v>
      </c>
      <c r="D171" s="379">
        <f t="shared" si="77"/>
        <v>58.844308071907136</v>
      </c>
      <c r="E171" s="379">
        <f t="shared" si="77"/>
        <v>60.364499920520188</v>
      </c>
      <c r="F171" s="379">
        <f t="shared" si="77"/>
        <v>61.931912719155278</v>
      </c>
      <c r="G171" s="379">
        <f t="shared" si="77"/>
        <v>63.547531515647748</v>
      </c>
      <c r="H171" s="379">
        <f t="shared" si="77"/>
        <v>66.263762101476715</v>
      </c>
      <c r="I171" s="379">
        <f t="shared" si="77"/>
        <v>68.010652511867775</v>
      </c>
      <c r="J171" s="379">
        <f t="shared" si="77"/>
        <v>69.809907378095588</v>
      </c>
      <c r="K171" s="379">
        <f t="shared" si="77"/>
        <v>71.662879015234324</v>
      </c>
      <c r="L171" s="379">
        <f t="shared" si="77"/>
        <v>73.584078296225286</v>
      </c>
      <c r="M171" s="379">
        <f t="shared" si="77"/>
        <v>75.561522832106206</v>
      </c>
      <c r="N171" s="379">
        <f t="shared" si="77"/>
        <v>78.198246806795609</v>
      </c>
      <c r="O171" s="379">
        <f t="shared" si="77"/>
        <v>80.323455999876913</v>
      </c>
      <c r="P171" s="379">
        <f t="shared" si="77"/>
        <v>82.509613055963868</v>
      </c>
      <c r="Q171" s="379">
        <f t="shared" si="77"/>
        <v>84.771397799381461</v>
      </c>
      <c r="R171" s="379">
        <f t="shared" si="77"/>
        <v>87.097012265411138</v>
      </c>
      <c r="S171" s="379">
        <f t="shared" si="77"/>
        <v>89.501481034465698</v>
      </c>
      <c r="T171" s="379">
        <f t="shared" si="77"/>
        <v>91.986474032452776</v>
      </c>
      <c r="U171" s="379">
        <f t="shared" si="77"/>
        <v>94.553700812556912</v>
      </c>
      <c r="V171" s="379">
        <f t="shared" si="77"/>
        <v>97.204639619464103</v>
      </c>
      <c r="W171" s="379">
        <f t="shared" si="77"/>
        <v>99.941356172002401</v>
      </c>
      <c r="X171" s="379">
        <f t="shared" si="77"/>
        <v>103.57452092125116</v>
      </c>
      <c r="Y171" s="379">
        <f t="shared" si="77"/>
        <v>106.51262126122796</v>
      </c>
      <c r="Z171" s="379">
        <f t="shared" si="77"/>
        <v>109.54287842912382</v>
      </c>
      <c r="AA171" s="379">
        <f t="shared" si="77"/>
        <v>112.68068488028578</v>
      </c>
      <c r="AB171" s="379">
        <f t="shared" si="77"/>
        <v>115.91498060181844</v>
      </c>
      <c r="AC171" s="379">
        <f t="shared" si="77"/>
        <v>119.26126250720483</v>
      </c>
      <c r="AD171" s="379">
        <f t="shared" si="77"/>
        <v>122.70857897518263</v>
      </c>
      <c r="AE171" s="379">
        <f t="shared" si="77"/>
        <v>126.27253939681034</v>
      </c>
      <c r="AF171" s="379">
        <f t="shared" si="77"/>
        <v>129.95570172992953</v>
      </c>
      <c r="AG171" s="379">
        <f t="shared" si="77"/>
        <v>133.7604036394832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78">D173+1</f>
        <v>2027</v>
      </c>
      <c r="F173" s="360">
        <f t="shared" si="78"/>
        <v>2028</v>
      </c>
      <c r="G173" s="360">
        <f t="shared" si="78"/>
        <v>2029</v>
      </c>
      <c r="H173" s="360">
        <f>G173+1</f>
        <v>2030</v>
      </c>
      <c r="I173" s="360">
        <f>H173+1</f>
        <v>2031</v>
      </c>
      <c r="J173" s="360">
        <f t="shared" si="78"/>
        <v>2032</v>
      </c>
      <c r="K173" s="360">
        <f t="shared" si="78"/>
        <v>2033</v>
      </c>
      <c r="L173" s="360">
        <f t="shared" si="78"/>
        <v>2034</v>
      </c>
      <c r="M173" s="360">
        <f t="shared" si="78"/>
        <v>2035</v>
      </c>
      <c r="N173" s="360">
        <f t="shared" si="78"/>
        <v>2036</v>
      </c>
      <c r="O173" s="360">
        <f t="shared" si="78"/>
        <v>2037</v>
      </c>
      <c r="P173" s="360">
        <f t="shared" si="78"/>
        <v>2038</v>
      </c>
      <c r="Q173" s="360">
        <f t="shared" si="78"/>
        <v>2039</v>
      </c>
      <c r="R173" s="360">
        <f t="shared" si="78"/>
        <v>2040</v>
      </c>
      <c r="S173" s="360">
        <f t="shared" si="78"/>
        <v>2041</v>
      </c>
      <c r="T173" s="360">
        <f t="shared" si="78"/>
        <v>2042</v>
      </c>
      <c r="U173" s="360">
        <f t="shared" si="78"/>
        <v>2043</v>
      </c>
      <c r="V173" s="360">
        <f t="shared" si="78"/>
        <v>2044</v>
      </c>
      <c r="W173" s="360">
        <f t="shared" si="78"/>
        <v>2045</v>
      </c>
      <c r="X173" s="360">
        <f t="shared" si="78"/>
        <v>2046</v>
      </c>
      <c r="Y173" s="360">
        <f t="shared" si="78"/>
        <v>2047</v>
      </c>
      <c r="Z173" s="360">
        <f t="shared" si="78"/>
        <v>2048</v>
      </c>
      <c r="AA173" s="360">
        <f t="shared" si="78"/>
        <v>2049</v>
      </c>
      <c r="AB173" s="360">
        <f t="shared" si="78"/>
        <v>2050</v>
      </c>
      <c r="AC173" s="360">
        <f t="shared" si="78"/>
        <v>2051</v>
      </c>
      <c r="AD173" s="360">
        <f t="shared" si="78"/>
        <v>2052</v>
      </c>
      <c r="AE173" s="360">
        <f t="shared" si="78"/>
        <v>2053</v>
      </c>
      <c r="AF173" s="360">
        <f t="shared" si="78"/>
        <v>2054</v>
      </c>
      <c r="AG173" s="360">
        <f t="shared" si="78"/>
        <v>2055</v>
      </c>
    </row>
    <row r="174" spans="1:33">
      <c r="A174" s="300" t="s">
        <v>307</v>
      </c>
      <c r="B174" s="300" t="str">
        <f t="shared" ref="B174:B179" si="79">A174</f>
        <v xml:space="preserve">Diesel   </v>
      </c>
      <c r="C174" s="379">
        <f t="shared" ref="C174:AG174" si="80">C165/($C$17)*1000</f>
        <v>4.2486016127285344</v>
      </c>
      <c r="D174" s="379">
        <f t="shared" si="80"/>
        <v>4.5091423809890525</v>
      </c>
      <c r="E174" s="379">
        <f t="shared" si="80"/>
        <v>4.6256321778176384</v>
      </c>
      <c r="F174" s="379">
        <f t="shared" si="80"/>
        <v>4.7457404382494461</v>
      </c>
      <c r="G174" s="379">
        <f t="shared" si="80"/>
        <v>4.8695426448772219</v>
      </c>
      <c r="H174" s="379">
        <f t="shared" si="80"/>
        <v>5.0776829196533884</v>
      </c>
      <c r="I174" s="379">
        <f t="shared" si="80"/>
        <v>5.2115442537829715</v>
      </c>
      <c r="J174" s="379">
        <f t="shared" si="80"/>
        <v>5.3494181898923818</v>
      </c>
      <c r="K174" s="379">
        <f t="shared" si="80"/>
        <v>5.4914083536578033</v>
      </c>
      <c r="L174" s="379">
        <f t="shared" si="80"/>
        <v>5.6386266893659229</v>
      </c>
      <c r="M174" s="379">
        <f t="shared" si="80"/>
        <v>5.7901550062916636</v>
      </c>
      <c r="N174" s="379">
        <f t="shared" si="80"/>
        <v>5.992202820444108</v>
      </c>
      <c r="O174" s="379">
        <f t="shared" si="80"/>
        <v>6.1550540996074261</v>
      </c>
      <c r="P174" s="379">
        <f t="shared" si="80"/>
        <v>6.3225757131006795</v>
      </c>
      <c r="Q174" s="379">
        <f t="shared" si="80"/>
        <v>6.4958925516767403</v>
      </c>
      <c r="R174" s="379">
        <f t="shared" si="80"/>
        <v>6.6741005567364855</v>
      </c>
      <c r="S174" s="379">
        <f t="shared" si="80"/>
        <v>6.8583510371238088</v>
      </c>
      <c r="T174" s="379">
        <f t="shared" si="80"/>
        <v>7.0487719565097908</v>
      </c>
      <c r="U174" s="379">
        <f t="shared" si="80"/>
        <v>7.2454943151384601</v>
      </c>
      <c r="V174" s="379">
        <f t="shared" si="80"/>
        <v>7.4486313884646815</v>
      </c>
      <c r="W174" s="379">
        <f t="shared" si="80"/>
        <v>7.658341469118958</v>
      </c>
      <c r="X174" s="379">
        <f t="shared" si="80"/>
        <v>7.9367448981801667</v>
      </c>
      <c r="Y174" s="379">
        <f t="shared" si="80"/>
        <v>8.1618866866841344</v>
      </c>
      <c r="Z174" s="379">
        <f t="shared" si="80"/>
        <v>8.3940903010822847</v>
      </c>
      <c r="AA174" s="379">
        <f t="shared" si="80"/>
        <v>8.6345352398686419</v>
      </c>
      <c r="AB174" s="379">
        <f t="shared" si="80"/>
        <v>8.8823739924765075</v>
      </c>
      <c r="AC174" s="379">
        <f t="shared" si="80"/>
        <v>9.1387940618547763</v>
      </c>
      <c r="AD174" s="379">
        <f t="shared" si="80"/>
        <v>9.4029562433090135</v>
      </c>
      <c r="AE174" s="379">
        <f t="shared" si="80"/>
        <v>9.6760566587594141</v>
      </c>
      <c r="AF174" s="379">
        <f t="shared" si="80"/>
        <v>9.9582913203011145</v>
      </c>
      <c r="AG174" s="379">
        <f t="shared" si="80"/>
        <v>10.249839359347371</v>
      </c>
    </row>
    <row r="175" spans="1:33">
      <c r="A175" s="300" t="s">
        <v>179</v>
      </c>
      <c r="B175" s="300" t="str">
        <f t="shared" si="79"/>
        <v>CNG</v>
      </c>
      <c r="C175" s="379">
        <f t="shared" ref="C175:AG175" si="81">C169/($C$17)*1000</f>
        <v>7.4291854608655292</v>
      </c>
      <c r="D175" s="379">
        <f t="shared" si="81"/>
        <v>7.4516212715060446</v>
      </c>
      <c r="E175" s="379">
        <f t="shared" si="81"/>
        <v>7.4819873129498529</v>
      </c>
      <c r="F175" s="379">
        <f t="shared" si="81"/>
        <v>7.5200108568132258</v>
      </c>
      <c r="G175" s="379">
        <f t="shared" si="81"/>
        <v>7.5658719495373692</v>
      </c>
      <c r="H175" s="379">
        <f t="shared" si="81"/>
        <v>7.7088964812714904</v>
      </c>
      <c r="I175" s="379">
        <f t="shared" si="81"/>
        <v>7.5463963095048907</v>
      </c>
      <c r="J175" s="379">
        <f t="shared" si="81"/>
        <v>7.506318343945181</v>
      </c>
      <c r="K175" s="379">
        <f t="shared" si="81"/>
        <v>7.4745540881314723</v>
      </c>
      <c r="L175" s="379">
        <f t="shared" si="81"/>
        <v>7.4517926369207368</v>
      </c>
      <c r="M175" s="379">
        <f t="shared" si="81"/>
        <v>7.4373496629724594</v>
      </c>
      <c r="N175" s="379">
        <f t="shared" si="81"/>
        <v>7.3775505566156045</v>
      </c>
      <c r="O175" s="379">
        <f t="shared" si="81"/>
        <v>7.3787208925985652</v>
      </c>
      <c r="P175" s="379">
        <f t="shared" si="81"/>
        <v>7.3878877037811677</v>
      </c>
      <c r="Q175" s="379">
        <f t="shared" si="81"/>
        <v>7.4057898584981734</v>
      </c>
      <c r="R175" s="379">
        <f t="shared" si="81"/>
        <v>7.4313377148164141</v>
      </c>
      <c r="S175" s="379">
        <f t="shared" si="81"/>
        <v>7.3489594802799525</v>
      </c>
      <c r="T175" s="379">
        <f t="shared" si="81"/>
        <v>7.4188146035138551</v>
      </c>
      <c r="U175" s="379">
        <f t="shared" si="81"/>
        <v>7.4969113476278277</v>
      </c>
      <c r="V175" s="379">
        <f t="shared" si="81"/>
        <v>7.5829922938378376</v>
      </c>
      <c r="W175" s="379">
        <f t="shared" si="81"/>
        <v>7.6774567364901385</v>
      </c>
      <c r="X175" s="379">
        <f t="shared" si="81"/>
        <v>7.7115495557517955</v>
      </c>
      <c r="Y175" s="379">
        <f t="shared" si="81"/>
        <v>7.820571628339537</v>
      </c>
      <c r="Z175" s="379">
        <f t="shared" si="81"/>
        <v>7.937660766392244</v>
      </c>
      <c r="AA175" s="379">
        <f t="shared" si="81"/>
        <v>8.064051800906082</v>
      </c>
      <c r="AB175" s="379">
        <f t="shared" si="81"/>
        <v>8.1987262121763731</v>
      </c>
      <c r="AC175" s="379">
        <f t="shared" si="81"/>
        <v>8.3281920942066687</v>
      </c>
      <c r="AD175" s="379">
        <f t="shared" si="81"/>
        <v>8.5415131821659163</v>
      </c>
      <c r="AE175" s="379">
        <f t="shared" si="81"/>
        <v>8.7650283684904586</v>
      </c>
      <c r="AF175" s="379">
        <f t="shared" si="81"/>
        <v>8.9990206622456714</v>
      </c>
      <c r="AG175" s="379">
        <f t="shared" si="81"/>
        <v>9.24315494968066</v>
      </c>
    </row>
    <row r="176" spans="1:33">
      <c r="A176" s="300" t="s">
        <v>180</v>
      </c>
      <c r="B176" s="300" t="str">
        <f t="shared" si="79"/>
        <v>LNG</v>
      </c>
      <c r="C176" s="379">
        <f t="shared" ref="C176:AG176" si="82">C167/($C$17)*1000</f>
        <v>4.2388570792777189</v>
      </c>
      <c r="D176" s="379">
        <f t="shared" si="82"/>
        <v>4.3719301120332652</v>
      </c>
      <c r="E176" s="379">
        <f t="shared" si="82"/>
        <v>4.5005098799323138</v>
      </c>
      <c r="F176" s="379">
        <f t="shared" si="82"/>
        <v>4.6332242409851183</v>
      </c>
      <c r="G176" s="379">
        <f t="shared" si="82"/>
        <v>4.7705742138510914</v>
      </c>
      <c r="H176" s="379">
        <f t="shared" si="82"/>
        <v>4.9959364379420572</v>
      </c>
      <c r="I176" s="379">
        <f t="shared" si="82"/>
        <v>5.1449074222976927</v>
      </c>
      <c r="J176" s="379">
        <f t="shared" si="82"/>
        <v>5.2987824671052701</v>
      </c>
      <c r="K176" s="379">
        <f t="shared" si="82"/>
        <v>5.4576573731783515</v>
      </c>
      <c r="L176" s="379">
        <f t="shared" si="82"/>
        <v>5.6226575622319475</v>
      </c>
      <c r="M176" s="379">
        <f t="shared" si="82"/>
        <v>5.7928593790014702</v>
      </c>
      <c r="N176" s="379">
        <f t="shared" si="82"/>
        <v>6.0194442478654633</v>
      </c>
      <c r="O176" s="379">
        <f t="shared" si="82"/>
        <v>6.2030361414480684</v>
      </c>
      <c r="P176" s="379">
        <f t="shared" si="82"/>
        <v>6.3924123193901465</v>
      </c>
      <c r="Q176" s="379">
        <f t="shared" si="82"/>
        <v>6.588716832813839</v>
      </c>
      <c r="R176" s="379">
        <f t="shared" si="82"/>
        <v>6.7910453241110158</v>
      </c>
      <c r="S176" s="379">
        <f t="shared" si="82"/>
        <v>7.0005502659286103</v>
      </c>
      <c r="T176" s="379">
        <f t="shared" si="82"/>
        <v>7.217362297555991</v>
      </c>
      <c r="U176" s="379">
        <f t="shared" si="82"/>
        <v>7.4420488130785447</v>
      </c>
      <c r="V176" s="379">
        <f t="shared" si="82"/>
        <v>7.6743176596020204</v>
      </c>
      <c r="W176" s="379">
        <f t="shared" si="82"/>
        <v>7.914529854278169</v>
      </c>
      <c r="X176" s="379">
        <f t="shared" si="82"/>
        <v>8.2300563045786159</v>
      </c>
      <c r="Y176" s="379">
        <f t="shared" si="82"/>
        <v>8.4887399985333296</v>
      </c>
      <c r="Z176" s="379">
        <f t="shared" si="82"/>
        <v>8.756108011660455</v>
      </c>
      <c r="AA176" s="379">
        <f t="shared" si="82"/>
        <v>9.0331297396066592</v>
      </c>
      <c r="AB176" s="379">
        <f t="shared" si="82"/>
        <v>9.319398152489482</v>
      </c>
      <c r="AC176" s="379">
        <f t="shared" si="82"/>
        <v>9.6158946479627598</v>
      </c>
      <c r="AD176" s="379">
        <f t="shared" si="82"/>
        <v>9.9217778157193113</v>
      </c>
      <c r="AE176" s="379">
        <f t="shared" si="82"/>
        <v>10.238712165512851</v>
      </c>
      <c r="AF176" s="379">
        <f t="shared" si="82"/>
        <v>10.566449096654722</v>
      </c>
      <c r="AG176" s="379">
        <f t="shared" si="82"/>
        <v>10.905640684481009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3">C168/($C$18)*1000</f>
        <v>6.0811794611453438</v>
      </c>
      <c r="D177" s="379">
        <f t="shared" si="83"/>
        <v>6.1294561916563177</v>
      </c>
      <c r="E177" s="379">
        <f t="shared" si="83"/>
        <v>6.1733449278054113</v>
      </c>
      <c r="F177" s="379">
        <f t="shared" si="83"/>
        <v>6.1626201684145245</v>
      </c>
      <c r="G177" s="379">
        <f t="shared" si="83"/>
        <v>6.1484029359204815</v>
      </c>
      <c r="H177" s="379">
        <f t="shared" si="83"/>
        <v>6.2151307364482546</v>
      </c>
      <c r="I177" s="379">
        <f t="shared" si="83"/>
        <v>6.0698815079707673</v>
      </c>
      <c r="J177" s="379">
        <f t="shared" si="83"/>
        <v>6.1190951525710027</v>
      </c>
      <c r="K177" s="379">
        <f t="shared" si="83"/>
        <v>6.154330524415192</v>
      </c>
      <c r="L177" s="379">
        <f t="shared" si="83"/>
        <v>6.2016050194887322</v>
      </c>
      <c r="M177" s="379">
        <f t="shared" si="83"/>
        <v>6.2615574038116577</v>
      </c>
      <c r="N177" s="379">
        <f t="shared" si="83"/>
        <v>6.1846949491351655</v>
      </c>
      <c r="O177" s="379">
        <f t="shared" si="83"/>
        <v>6.273211035446173</v>
      </c>
      <c r="P177" s="379">
        <f t="shared" si="83"/>
        <v>6.3647250331915064</v>
      </c>
      <c r="Q177" s="379">
        <f t="shared" si="83"/>
        <v>6.4657079603480128</v>
      </c>
      <c r="R177" s="379">
        <f t="shared" si="83"/>
        <v>6.5770410896571052</v>
      </c>
      <c r="S177" s="379">
        <f t="shared" si="83"/>
        <v>6.6785298339793737</v>
      </c>
      <c r="T177" s="379">
        <f t="shared" si="83"/>
        <v>6.8278658105588894</v>
      </c>
      <c r="U177" s="379">
        <f t="shared" si="83"/>
        <v>6.9807551720033043</v>
      </c>
      <c r="V177" s="379">
        <f t="shared" si="83"/>
        <v>7.1402155919949397</v>
      </c>
      <c r="W177" s="379">
        <f t="shared" si="83"/>
        <v>7.305912816362599</v>
      </c>
      <c r="X177" s="379">
        <f t="shared" si="83"/>
        <v>7.38439098451079</v>
      </c>
      <c r="Y177" s="379">
        <f t="shared" si="83"/>
        <v>7.5626507210785618</v>
      </c>
      <c r="Z177" s="379">
        <f t="shared" si="83"/>
        <v>7.7475887355176294</v>
      </c>
      <c r="AA177" s="379">
        <f t="shared" si="83"/>
        <v>7.9408355032501152</v>
      </c>
      <c r="AB177" s="379">
        <f t="shared" si="83"/>
        <v>8.1423593459183543</v>
      </c>
      <c r="AC177" s="379">
        <f t="shared" si="83"/>
        <v>8.383933786198444</v>
      </c>
      <c r="AD177" s="379">
        <f t="shared" si="83"/>
        <v>8.6393162654365856</v>
      </c>
      <c r="AE177" s="379">
        <f t="shared" si="83"/>
        <v>8.9034995199693903</v>
      </c>
      <c r="AF177" s="379">
        <f t="shared" si="83"/>
        <v>9.1784233365552552</v>
      </c>
      <c r="AG177" s="379">
        <f t="shared" si="83"/>
        <v>9.4631717247175384</v>
      </c>
    </row>
    <row r="178" spans="1:33">
      <c r="A178" s="300" t="s">
        <v>181</v>
      </c>
      <c r="B178" s="300" t="str">
        <f t="shared" si="79"/>
        <v>H2 ICE</v>
      </c>
      <c r="C178" s="379">
        <f t="shared" ref="C178:AG178" si="84">C170/($C$17)*1000</f>
        <v>8.2263668122251925</v>
      </c>
      <c r="D178" s="379">
        <f t="shared" si="84"/>
        <v>8.1862161709400389</v>
      </c>
      <c r="E178" s="379">
        <f t="shared" si="84"/>
        <v>8.1543902697891557</v>
      </c>
      <c r="F178" s="379">
        <f t="shared" si="84"/>
        <v>8.1310796617336276</v>
      </c>
      <c r="G178" s="379">
        <f t="shared" si="84"/>
        <v>8.1162412508929265</v>
      </c>
      <c r="H178" s="379">
        <f t="shared" si="84"/>
        <v>8.1572121170912926</v>
      </c>
      <c r="I178" s="379">
        <f t="shared" si="84"/>
        <v>8.0055468745620075</v>
      </c>
      <c r="J178" s="379">
        <f t="shared" si="84"/>
        <v>7.9485919760886681</v>
      </c>
      <c r="K178" s="379">
        <f t="shared" si="84"/>
        <v>7.8995673221891591</v>
      </c>
      <c r="L178" s="379">
        <f t="shared" si="84"/>
        <v>7.8591672261100962</v>
      </c>
      <c r="M178" s="379">
        <f t="shared" si="84"/>
        <v>7.826278005099649</v>
      </c>
      <c r="N178" s="379">
        <f t="shared" si="84"/>
        <v>7.6300467947256818</v>
      </c>
      <c r="O178" s="379">
        <f t="shared" si="84"/>
        <v>7.6128218019419798</v>
      </c>
      <c r="P178" s="379">
        <f t="shared" si="84"/>
        <v>7.6037622864069823</v>
      </c>
      <c r="Q178" s="379">
        <f t="shared" si="84"/>
        <v>7.6030285183451571</v>
      </c>
      <c r="R178" s="379">
        <f t="shared" si="84"/>
        <v>7.6101162585547986</v>
      </c>
      <c r="S178" s="379">
        <f t="shared" si="84"/>
        <v>7.5181176074086196</v>
      </c>
      <c r="T178" s="379">
        <f t="shared" si="84"/>
        <v>7.5814392106091439</v>
      </c>
      <c r="U178" s="379">
        <f t="shared" si="84"/>
        <v>7.6527291107311912</v>
      </c>
      <c r="V178" s="379">
        <f t="shared" si="84"/>
        <v>7.7309208295515219</v>
      </c>
      <c r="W178" s="379">
        <f t="shared" si="84"/>
        <v>7.8162035686744273</v>
      </c>
      <c r="X178" s="379">
        <f t="shared" si="84"/>
        <v>7.7784469427254797</v>
      </c>
      <c r="Y178" s="379">
        <f t="shared" si="84"/>
        <v>7.8777515241155207</v>
      </c>
      <c r="Z178" s="379">
        <f t="shared" si="84"/>
        <v>7.984020706300341</v>
      </c>
      <c r="AA178" s="379">
        <f t="shared" si="84"/>
        <v>8.0984855421701987</v>
      </c>
      <c r="AB178" s="379">
        <f t="shared" si="84"/>
        <v>8.2209241726806717</v>
      </c>
      <c r="AC178" s="379">
        <f t="shared" si="84"/>
        <v>8.3245429488604916</v>
      </c>
      <c r="AD178" s="379">
        <f t="shared" si="84"/>
        <v>8.5285021794402898</v>
      </c>
      <c r="AE178" s="379">
        <f t="shared" si="84"/>
        <v>8.7411209354129369</v>
      </c>
      <c r="AF178" s="379">
        <f t="shared" si="84"/>
        <v>8.9636842079254908</v>
      </c>
      <c r="AG178" s="379">
        <f t="shared" si="84"/>
        <v>9.1949978404496999</v>
      </c>
    </row>
    <row r="179" spans="1:33">
      <c r="A179" s="300" t="str">
        <f>A170</f>
        <v>FCET</v>
      </c>
      <c r="B179" s="300" t="str">
        <f t="shared" si="79"/>
        <v>FCET</v>
      </c>
      <c r="C179" s="379">
        <f t="shared" ref="C179:AG179" si="85">C170/($C$19)*1000</f>
        <v>8.7707587336224453</v>
      </c>
      <c r="D179" s="379">
        <f t="shared" si="85"/>
        <v>8.7279510646051879</v>
      </c>
      <c r="E179" s="379">
        <f t="shared" si="85"/>
        <v>8.6940190376428497</v>
      </c>
      <c r="F179" s="379">
        <f t="shared" si="85"/>
        <v>8.6691658158189409</v>
      </c>
      <c r="G179" s="379">
        <f t="shared" si="85"/>
        <v>8.6533454513196641</v>
      </c>
      <c r="H179" s="379">
        <f t="shared" si="85"/>
        <v>8.6970276248399809</v>
      </c>
      <c r="I179" s="379">
        <f t="shared" si="85"/>
        <v>8.5353257118491985</v>
      </c>
      <c r="J179" s="379">
        <f t="shared" si="85"/>
        <v>8.4746017392121828</v>
      </c>
      <c r="K179" s="379">
        <f t="shared" si="85"/>
        <v>8.4223328067457945</v>
      </c>
      <c r="L179" s="379">
        <f t="shared" si="85"/>
        <v>8.3792591748967933</v>
      </c>
      <c r="M179" s="379">
        <f t="shared" si="85"/>
        <v>8.3441934613194793</v>
      </c>
      <c r="N179" s="379">
        <f t="shared" si="85"/>
        <v>8.1349763620237052</v>
      </c>
      <c r="O179" s="379">
        <f t="shared" si="85"/>
        <v>8.1166114800116684</v>
      </c>
      <c r="P179" s="379">
        <f t="shared" si="85"/>
        <v>8.1069524377133266</v>
      </c>
      <c r="Q179" s="379">
        <f t="shared" si="85"/>
        <v>8.1061701114709397</v>
      </c>
      <c r="R179" s="379">
        <f t="shared" si="85"/>
        <v>8.1137268933121014</v>
      </c>
      <c r="S179" s="379">
        <f t="shared" si="85"/>
        <v>8.0156400961341898</v>
      </c>
      <c r="T179" s="379">
        <f t="shared" si="85"/>
        <v>8.0831520995465134</v>
      </c>
      <c r="U179" s="379">
        <f t="shared" si="85"/>
        <v>8.1591597136472256</v>
      </c>
      <c r="V179" s="379">
        <f t="shared" si="85"/>
        <v>8.2425258844483142</v>
      </c>
      <c r="W179" s="379">
        <f t="shared" si="85"/>
        <v>8.3334523342484701</v>
      </c>
      <c r="X179" s="379">
        <f t="shared" si="85"/>
        <v>8.293197108052901</v>
      </c>
      <c r="Y179" s="379">
        <f t="shared" si="85"/>
        <v>8.3990733161525757</v>
      </c>
      <c r="Z179" s="379">
        <f t="shared" si="85"/>
        <v>8.5123750177466864</v>
      </c>
      <c r="AA179" s="379">
        <f t="shared" si="85"/>
        <v>8.6344147324608738</v>
      </c>
      <c r="AB179" s="379">
        <f t="shared" si="85"/>
        <v>8.7649559194021851</v>
      </c>
      <c r="AC179" s="379">
        <f t="shared" si="85"/>
        <v>8.8754318204762601</v>
      </c>
      <c r="AD179" s="379">
        <f t="shared" si="85"/>
        <v>9.0928883530797204</v>
      </c>
      <c r="AE179" s="379">
        <f t="shared" si="85"/>
        <v>9.3195774679034997</v>
      </c>
      <c r="AF179" s="379">
        <f t="shared" si="85"/>
        <v>9.5568691922734992</v>
      </c>
      <c r="AG179" s="379">
        <f t="shared" si="85"/>
        <v>9.8034903445971064</v>
      </c>
    </row>
    <row r="180" spans="1:33">
      <c r="A180" s="300" t="s">
        <v>334</v>
      </c>
      <c r="C180" s="379">
        <f t="shared" ref="C180:AG180" si="86">C174*0.9</f>
        <v>3.8237414514556809</v>
      </c>
      <c r="D180" s="379">
        <f t="shared" si="86"/>
        <v>4.0582281428901474</v>
      </c>
      <c r="E180" s="379">
        <f t="shared" si="86"/>
        <v>4.1630689600358748</v>
      </c>
      <c r="F180" s="379">
        <f t="shared" si="86"/>
        <v>4.271166394424502</v>
      </c>
      <c r="G180" s="379">
        <f t="shared" si="86"/>
        <v>4.3825883803894996</v>
      </c>
      <c r="H180" s="379">
        <f t="shared" si="86"/>
        <v>4.5699146276880498</v>
      </c>
      <c r="I180" s="379">
        <f t="shared" si="86"/>
        <v>4.6903898284046743</v>
      </c>
      <c r="J180" s="379">
        <f t="shared" si="86"/>
        <v>4.8144763709031437</v>
      </c>
      <c r="K180" s="379">
        <f t="shared" si="86"/>
        <v>4.9422675182920228</v>
      </c>
      <c r="L180" s="379">
        <f t="shared" si="86"/>
        <v>5.0747640204293312</v>
      </c>
      <c r="M180" s="379">
        <f t="shared" si="86"/>
        <v>5.211139505662497</v>
      </c>
      <c r="N180" s="379">
        <f t="shared" si="86"/>
        <v>5.3929825383996972</v>
      </c>
      <c r="O180" s="379">
        <f t="shared" si="86"/>
        <v>5.5395486896466837</v>
      </c>
      <c r="P180" s="379">
        <f t="shared" si="86"/>
        <v>5.6903181417906117</v>
      </c>
      <c r="Q180" s="379">
        <f t="shared" si="86"/>
        <v>5.846303296509066</v>
      </c>
      <c r="R180" s="379">
        <f t="shared" si="86"/>
        <v>6.0066905010628373</v>
      </c>
      <c r="S180" s="379">
        <f t="shared" si="86"/>
        <v>6.1725159334114279</v>
      </c>
      <c r="T180" s="379">
        <f t="shared" si="86"/>
        <v>6.3438947608588121</v>
      </c>
      <c r="U180" s="379">
        <f t="shared" si="86"/>
        <v>6.5209448836246144</v>
      </c>
      <c r="V180" s="379">
        <f t="shared" si="86"/>
        <v>6.7037682496182134</v>
      </c>
      <c r="W180" s="379">
        <f t="shared" si="86"/>
        <v>6.8925073222070621</v>
      </c>
      <c r="X180" s="379">
        <f t="shared" si="86"/>
        <v>7.1430704083621501</v>
      </c>
      <c r="Y180" s="379">
        <f t="shared" si="86"/>
        <v>7.345698018015721</v>
      </c>
      <c r="Z180" s="379">
        <f t="shared" si="86"/>
        <v>7.5546812709740561</v>
      </c>
      <c r="AA180" s="379">
        <f t="shared" si="86"/>
        <v>7.7710817158817775</v>
      </c>
      <c r="AB180" s="379">
        <f t="shared" si="86"/>
        <v>7.9941365932288573</v>
      </c>
      <c r="AC180" s="379">
        <f t="shared" si="86"/>
        <v>8.2249146556692985</v>
      </c>
      <c r="AD180" s="379">
        <f t="shared" si="86"/>
        <v>8.4626606189781128</v>
      </c>
      <c r="AE180" s="379">
        <f t="shared" si="86"/>
        <v>8.7084509928834724</v>
      </c>
      <c r="AF180" s="379">
        <f t="shared" si="86"/>
        <v>8.9624621882710027</v>
      </c>
      <c r="AG180" s="379">
        <f t="shared" si="86"/>
        <v>9.2248554234126345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87">D182+1</f>
        <v>2027</v>
      </c>
      <c r="F182" s="360">
        <f t="shared" si="87"/>
        <v>2028</v>
      </c>
      <c r="G182" s="360">
        <f t="shared" si="87"/>
        <v>2029</v>
      </c>
      <c r="H182" s="360">
        <f>G182+1</f>
        <v>2030</v>
      </c>
      <c r="I182" s="360">
        <f>H182+1</f>
        <v>2031</v>
      </c>
      <c r="J182" s="360">
        <f t="shared" si="87"/>
        <v>2032</v>
      </c>
      <c r="K182" s="360">
        <f t="shared" si="87"/>
        <v>2033</v>
      </c>
      <c r="L182" s="360">
        <f t="shared" si="87"/>
        <v>2034</v>
      </c>
      <c r="M182" s="360">
        <f t="shared" si="87"/>
        <v>2035</v>
      </c>
      <c r="N182" s="360">
        <f t="shared" si="87"/>
        <v>2036</v>
      </c>
      <c r="O182" s="360">
        <f t="shared" si="87"/>
        <v>2037</v>
      </c>
      <c r="P182" s="360">
        <f t="shared" si="87"/>
        <v>2038</v>
      </c>
      <c r="Q182" s="360">
        <f t="shared" si="87"/>
        <v>2039</v>
      </c>
      <c r="R182" s="360">
        <f t="shared" si="87"/>
        <v>2040</v>
      </c>
      <c r="S182" s="360">
        <f t="shared" si="87"/>
        <v>2041</v>
      </c>
      <c r="T182" s="360">
        <f t="shared" si="87"/>
        <v>2042</v>
      </c>
      <c r="U182" s="360">
        <f t="shared" si="87"/>
        <v>2043</v>
      </c>
      <c r="V182" s="360">
        <f t="shared" si="87"/>
        <v>2044</v>
      </c>
      <c r="W182" s="360">
        <f t="shared" si="87"/>
        <v>2045</v>
      </c>
      <c r="X182" s="360">
        <f t="shared" si="87"/>
        <v>2046</v>
      </c>
      <c r="Y182" s="360">
        <f t="shared" si="87"/>
        <v>2047</v>
      </c>
      <c r="Z182" s="360">
        <f t="shared" si="87"/>
        <v>2048</v>
      </c>
      <c r="AA182" s="360">
        <f t="shared" si="87"/>
        <v>2049</v>
      </c>
      <c r="AB182" s="360">
        <f t="shared" si="87"/>
        <v>2050</v>
      </c>
      <c r="AC182" s="360">
        <f t="shared" si="87"/>
        <v>2051</v>
      </c>
      <c r="AD182" s="360">
        <f t="shared" si="87"/>
        <v>2052</v>
      </c>
      <c r="AE182" s="360">
        <f t="shared" si="87"/>
        <v>2053</v>
      </c>
      <c r="AF182" s="360">
        <f t="shared" si="87"/>
        <v>2054</v>
      </c>
      <c r="AG182" s="360">
        <f t="shared" si="87"/>
        <v>2055</v>
      </c>
    </row>
    <row r="183" spans="1:33">
      <c r="A183" s="300" t="str">
        <f>A174</f>
        <v xml:space="preserve">Diesel   </v>
      </c>
      <c r="B183" s="300" t="str">
        <f t="shared" ref="B183:B188" si="88">A183</f>
        <v xml:space="preserve">Diesel   </v>
      </c>
      <c r="C183" s="379">
        <f t="shared" ref="C183:AG183" si="89">C165/($C$17*$C$24)*1000</f>
        <v>8.4972032254570689</v>
      </c>
      <c r="D183" s="379">
        <f t="shared" si="89"/>
        <v>9.018284761978105</v>
      </c>
      <c r="E183" s="379">
        <f t="shared" si="89"/>
        <v>9.2512643556352767</v>
      </c>
      <c r="F183" s="379">
        <f t="shared" si="89"/>
        <v>9.4914808764988923</v>
      </c>
      <c r="G183" s="379">
        <f t="shared" si="89"/>
        <v>9.7390852897544438</v>
      </c>
      <c r="H183" s="379">
        <f t="shared" si="89"/>
        <v>10.155365839306777</v>
      </c>
      <c r="I183" s="379">
        <f t="shared" si="89"/>
        <v>10.423088507565943</v>
      </c>
      <c r="J183" s="379">
        <f t="shared" si="89"/>
        <v>10.698836379784764</v>
      </c>
      <c r="K183" s="379">
        <f t="shared" si="89"/>
        <v>10.982816707315607</v>
      </c>
      <c r="L183" s="379">
        <f t="shared" si="89"/>
        <v>11.277253378731846</v>
      </c>
      <c r="M183" s="379">
        <f t="shared" si="89"/>
        <v>11.580310012583327</v>
      </c>
      <c r="N183" s="379">
        <f t="shared" si="89"/>
        <v>11.984405640888216</v>
      </c>
      <c r="O183" s="379">
        <f t="shared" si="89"/>
        <v>12.310108199214852</v>
      </c>
      <c r="P183" s="379">
        <f t="shared" si="89"/>
        <v>12.645151426201359</v>
      </c>
      <c r="Q183" s="379">
        <f t="shared" si="89"/>
        <v>12.991785103353481</v>
      </c>
      <c r="R183" s="379">
        <f t="shared" si="89"/>
        <v>13.348201113472971</v>
      </c>
      <c r="S183" s="379">
        <f t="shared" si="89"/>
        <v>13.716702074247618</v>
      </c>
      <c r="T183" s="379">
        <f t="shared" si="89"/>
        <v>14.097543913019582</v>
      </c>
      <c r="U183" s="379">
        <f t="shared" si="89"/>
        <v>14.49098863027692</v>
      </c>
      <c r="V183" s="379">
        <f t="shared" si="89"/>
        <v>14.897262776929363</v>
      </c>
      <c r="W183" s="379">
        <f t="shared" si="89"/>
        <v>15.316682938237916</v>
      </c>
      <c r="X183" s="379">
        <f t="shared" si="89"/>
        <v>15.873489796360333</v>
      </c>
      <c r="Y183" s="379">
        <f t="shared" si="89"/>
        <v>16.323773373368269</v>
      </c>
      <c r="Z183" s="379">
        <f t="shared" si="89"/>
        <v>16.788180602164569</v>
      </c>
      <c r="AA183" s="379">
        <f t="shared" si="89"/>
        <v>17.269070479737284</v>
      </c>
      <c r="AB183" s="379">
        <f t="shared" si="89"/>
        <v>17.764747984953015</v>
      </c>
      <c r="AC183" s="379">
        <f t="shared" si="89"/>
        <v>18.277588123709553</v>
      </c>
      <c r="AD183" s="379">
        <f t="shared" si="89"/>
        <v>18.805912486618027</v>
      </c>
      <c r="AE183" s="379">
        <f t="shared" si="89"/>
        <v>19.352113317518828</v>
      </c>
      <c r="AF183" s="379">
        <f t="shared" si="89"/>
        <v>19.916582640602229</v>
      </c>
      <c r="AG183" s="379">
        <f t="shared" si="89"/>
        <v>20.499678718694742</v>
      </c>
    </row>
    <row r="184" spans="1:33">
      <c r="A184" s="300" t="str">
        <f>A175</f>
        <v>CNG</v>
      </c>
      <c r="B184" s="300" t="str">
        <f t="shared" si="88"/>
        <v>CNG</v>
      </c>
      <c r="C184" s="379">
        <f t="shared" ref="C184:AG184" si="90">C169/($C$17*$C$24)*1000</f>
        <v>14.858370921731058</v>
      </c>
      <c r="D184" s="379">
        <f t="shared" si="90"/>
        <v>14.903242543012089</v>
      </c>
      <c r="E184" s="379">
        <f t="shared" si="90"/>
        <v>14.963974625899706</v>
      </c>
      <c r="F184" s="379">
        <f t="shared" si="90"/>
        <v>15.040021713626452</v>
      </c>
      <c r="G184" s="379">
        <f t="shared" si="90"/>
        <v>15.131743899074738</v>
      </c>
      <c r="H184" s="379">
        <f t="shared" si="90"/>
        <v>15.417792962542981</v>
      </c>
      <c r="I184" s="379">
        <f t="shared" si="90"/>
        <v>15.092792619009781</v>
      </c>
      <c r="J184" s="379">
        <f t="shared" si="90"/>
        <v>15.012636687890362</v>
      </c>
      <c r="K184" s="379">
        <f t="shared" si="90"/>
        <v>14.949108176262945</v>
      </c>
      <c r="L184" s="379">
        <f t="shared" si="90"/>
        <v>14.903585273841474</v>
      </c>
      <c r="M184" s="379">
        <f t="shared" si="90"/>
        <v>14.874699325944919</v>
      </c>
      <c r="N184" s="379">
        <f t="shared" si="90"/>
        <v>14.755101113231209</v>
      </c>
      <c r="O184" s="379">
        <f t="shared" si="90"/>
        <v>14.75744178519713</v>
      </c>
      <c r="P184" s="379">
        <f t="shared" si="90"/>
        <v>14.775775407562335</v>
      </c>
      <c r="Q184" s="379">
        <f t="shared" si="90"/>
        <v>14.811579716996347</v>
      </c>
      <c r="R184" s="379">
        <f t="shared" si="90"/>
        <v>14.862675429632828</v>
      </c>
      <c r="S184" s="379">
        <f t="shared" si="90"/>
        <v>14.697918960559905</v>
      </c>
      <c r="T184" s="379">
        <f t="shared" si="90"/>
        <v>14.83762920702771</v>
      </c>
      <c r="U184" s="379">
        <f t="shared" si="90"/>
        <v>14.993822695255655</v>
      </c>
      <c r="V184" s="379">
        <f t="shared" si="90"/>
        <v>15.165984587675675</v>
      </c>
      <c r="W184" s="379">
        <f t="shared" si="90"/>
        <v>15.354913472980277</v>
      </c>
      <c r="X184" s="379">
        <f t="shared" si="90"/>
        <v>15.423099111503591</v>
      </c>
      <c r="Y184" s="379">
        <f t="shared" si="90"/>
        <v>15.641143256679074</v>
      </c>
      <c r="Z184" s="379">
        <f t="shared" si="90"/>
        <v>15.875321532784488</v>
      </c>
      <c r="AA184" s="379">
        <f t="shared" si="90"/>
        <v>16.128103601812164</v>
      </c>
      <c r="AB184" s="379">
        <f t="shared" si="90"/>
        <v>16.397452424352746</v>
      </c>
      <c r="AC184" s="379">
        <f t="shared" si="90"/>
        <v>16.656384188413337</v>
      </c>
      <c r="AD184" s="379">
        <f t="shared" si="90"/>
        <v>17.083026364331833</v>
      </c>
      <c r="AE184" s="379">
        <f t="shared" si="90"/>
        <v>17.530056736980917</v>
      </c>
      <c r="AF184" s="379">
        <f t="shared" si="90"/>
        <v>17.998041324491343</v>
      </c>
      <c r="AG184" s="379">
        <f t="shared" si="90"/>
        <v>18.48630989936132</v>
      </c>
    </row>
    <row r="185" spans="1:33">
      <c r="A185" s="300" t="str">
        <f>A176</f>
        <v>LNG</v>
      </c>
      <c r="B185" s="300" t="str">
        <f t="shared" si="88"/>
        <v>LNG</v>
      </c>
      <c r="C185" s="379">
        <f t="shared" ref="C185:AG185" si="91">C167/($C$17*$C$24)*1000</f>
        <v>8.4777141585554379</v>
      </c>
      <c r="D185" s="379">
        <f t="shared" si="91"/>
        <v>8.7438602240665304</v>
      </c>
      <c r="E185" s="379">
        <f t="shared" si="91"/>
        <v>9.0010197598646275</v>
      </c>
      <c r="F185" s="379">
        <f t="shared" si="91"/>
        <v>9.2664484819702366</v>
      </c>
      <c r="G185" s="379">
        <f t="shared" si="91"/>
        <v>9.5411484277021827</v>
      </c>
      <c r="H185" s="379">
        <f t="shared" si="91"/>
        <v>9.9918728758841144</v>
      </c>
      <c r="I185" s="379">
        <f t="shared" si="91"/>
        <v>10.289814844595385</v>
      </c>
      <c r="J185" s="379">
        <f t="shared" si="91"/>
        <v>10.59756493421054</v>
      </c>
      <c r="K185" s="379">
        <f t="shared" si="91"/>
        <v>10.915314746356703</v>
      </c>
      <c r="L185" s="379">
        <f t="shared" si="91"/>
        <v>11.245315124463895</v>
      </c>
      <c r="M185" s="379">
        <f t="shared" si="91"/>
        <v>11.58571875800294</v>
      </c>
      <c r="N185" s="379">
        <f t="shared" si="91"/>
        <v>12.038888495730927</v>
      </c>
      <c r="O185" s="379">
        <f t="shared" si="91"/>
        <v>12.406072282896137</v>
      </c>
      <c r="P185" s="379">
        <f t="shared" si="91"/>
        <v>12.784824638780293</v>
      </c>
      <c r="Q185" s="379">
        <f t="shared" si="91"/>
        <v>13.177433665627678</v>
      </c>
      <c r="R185" s="379">
        <f t="shared" si="91"/>
        <v>13.582090648222032</v>
      </c>
      <c r="S185" s="379">
        <f t="shared" si="91"/>
        <v>14.001100531857221</v>
      </c>
      <c r="T185" s="379">
        <f t="shared" si="91"/>
        <v>14.434724595111982</v>
      </c>
      <c r="U185" s="379">
        <f t="shared" si="91"/>
        <v>14.884097626157089</v>
      </c>
      <c r="V185" s="379">
        <f t="shared" si="91"/>
        <v>15.348635319204041</v>
      </c>
      <c r="W185" s="379">
        <f t="shared" si="91"/>
        <v>15.829059708556338</v>
      </c>
      <c r="X185" s="379">
        <f t="shared" si="91"/>
        <v>16.460112609157232</v>
      </c>
      <c r="Y185" s="379">
        <f t="shared" si="91"/>
        <v>16.977479997066659</v>
      </c>
      <c r="Z185" s="379">
        <f t="shared" si="91"/>
        <v>17.51221602332091</v>
      </c>
      <c r="AA185" s="379">
        <f t="shared" si="91"/>
        <v>18.066259479213318</v>
      </c>
      <c r="AB185" s="379">
        <f t="shared" si="91"/>
        <v>18.638796304978964</v>
      </c>
      <c r="AC185" s="379">
        <f t="shared" si="91"/>
        <v>19.23178929592552</v>
      </c>
      <c r="AD185" s="379">
        <f t="shared" si="91"/>
        <v>19.843555631438623</v>
      </c>
      <c r="AE185" s="379">
        <f t="shared" si="91"/>
        <v>20.477424331025702</v>
      </c>
      <c r="AF185" s="379">
        <f t="shared" si="91"/>
        <v>21.132898193309444</v>
      </c>
      <c r="AG185" s="379">
        <f t="shared" si="91"/>
        <v>21.811281368962018</v>
      </c>
    </row>
    <row r="186" spans="1:33">
      <c r="A186" s="300" t="str">
        <f>A178</f>
        <v>H2 ICE</v>
      </c>
      <c r="B186" s="300" t="str">
        <f t="shared" si="88"/>
        <v>H2 ICE</v>
      </c>
      <c r="C186" s="379">
        <f t="shared" ref="C186:AG186" si="92">C170/($C$17*$C$24)*1000</f>
        <v>16.452733624450385</v>
      </c>
      <c r="D186" s="379">
        <f t="shared" si="92"/>
        <v>16.372432341880078</v>
      </c>
      <c r="E186" s="379">
        <f t="shared" si="92"/>
        <v>16.308780539578311</v>
      </c>
      <c r="F186" s="379">
        <f t="shared" si="92"/>
        <v>16.262159323467255</v>
      </c>
      <c r="G186" s="379">
        <f t="shared" si="92"/>
        <v>16.232482501785853</v>
      </c>
      <c r="H186" s="379">
        <f t="shared" si="92"/>
        <v>16.314424234182585</v>
      </c>
      <c r="I186" s="379">
        <f t="shared" si="92"/>
        <v>16.011093749124015</v>
      </c>
      <c r="J186" s="379">
        <f t="shared" si="92"/>
        <v>15.897183952177336</v>
      </c>
      <c r="K186" s="379">
        <f t="shared" si="92"/>
        <v>15.799134644378318</v>
      </c>
      <c r="L186" s="379">
        <f t="shared" si="92"/>
        <v>15.718334452220192</v>
      </c>
      <c r="M186" s="379">
        <f t="shared" si="92"/>
        <v>15.652556010199298</v>
      </c>
      <c r="N186" s="379">
        <f t="shared" si="92"/>
        <v>15.260093589451364</v>
      </c>
      <c r="O186" s="379">
        <f t="shared" si="92"/>
        <v>15.22564360388396</v>
      </c>
      <c r="P186" s="379">
        <f t="shared" si="92"/>
        <v>15.207524572813965</v>
      </c>
      <c r="Q186" s="379">
        <f t="shared" si="92"/>
        <v>15.206057036690314</v>
      </c>
      <c r="R186" s="379">
        <f t="shared" si="92"/>
        <v>15.220232517109597</v>
      </c>
      <c r="S186" s="379">
        <f t="shared" si="92"/>
        <v>15.036235214817239</v>
      </c>
      <c r="T186" s="379">
        <f t="shared" si="92"/>
        <v>15.162878421218288</v>
      </c>
      <c r="U186" s="379">
        <f t="shared" si="92"/>
        <v>15.305458221462382</v>
      </c>
      <c r="V186" s="379">
        <f t="shared" si="92"/>
        <v>15.461841659103044</v>
      </c>
      <c r="W186" s="379">
        <f t="shared" si="92"/>
        <v>15.632407137348855</v>
      </c>
      <c r="X186" s="379">
        <f t="shared" si="92"/>
        <v>15.556893885450959</v>
      </c>
      <c r="Y186" s="379">
        <f t="shared" si="92"/>
        <v>15.755503048231041</v>
      </c>
      <c r="Z186" s="379">
        <f t="shared" si="92"/>
        <v>15.968041412600682</v>
      </c>
      <c r="AA186" s="379">
        <f t="shared" si="92"/>
        <v>16.196971084340397</v>
      </c>
      <c r="AB186" s="379">
        <f t="shared" si="92"/>
        <v>16.441848345361343</v>
      </c>
      <c r="AC186" s="379">
        <f t="shared" si="92"/>
        <v>16.649085897720983</v>
      </c>
      <c r="AD186" s="379">
        <f t="shared" si="92"/>
        <v>17.05700435888058</v>
      </c>
      <c r="AE186" s="379">
        <f t="shared" si="92"/>
        <v>17.482241870825874</v>
      </c>
      <c r="AF186" s="379">
        <f t="shared" si="92"/>
        <v>17.927368415850982</v>
      </c>
      <c r="AG186" s="379">
        <f t="shared" si="92"/>
        <v>18.3899956808994</v>
      </c>
    </row>
    <row r="187" spans="1:33">
      <c r="A187" s="300" t="str">
        <f>A177</f>
        <v>BET</v>
      </c>
      <c r="B187" s="300" t="str">
        <f t="shared" si="88"/>
        <v>BET</v>
      </c>
      <c r="C187" s="379">
        <f t="shared" ref="C187:AG187" si="93">C168/($C$18*$C$24)*1000</f>
        <v>12.162358922290688</v>
      </c>
      <c r="D187" s="379">
        <f t="shared" si="93"/>
        <v>12.258912383312635</v>
      </c>
      <c r="E187" s="379">
        <f t="shared" si="93"/>
        <v>12.346689855610823</v>
      </c>
      <c r="F187" s="379">
        <f t="shared" si="93"/>
        <v>12.325240336829049</v>
      </c>
      <c r="G187" s="379">
        <f t="shared" si="93"/>
        <v>12.296805871840963</v>
      </c>
      <c r="H187" s="379">
        <f t="shared" si="93"/>
        <v>12.430261472896509</v>
      </c>
      <c r="I187" s="379">
        <f t="shared" si="93"/>
        <v>12.139763015941535</v>
      </c>
      <c r="J187" s="379">
        <f t="shared" si="93"/>
        <v>12.238190305142005</v>
      </c>
      <c r="K187" s="379">
        <f t="shared" si="93"/>
        <v>12.308661048830384</v>
      </c>
      <c r="L187" s="379">
        <f t="shared" si="93"/>
        <v>12.403210038977464</v>
      </c>
      <c r="M187" s="379">
        <f t="shared" si="93"/>
        <v>12.523114807623315</v>
      </c>
      <c r="N187" s="379">
        <f t="shared" si="93"/>
        <v>12.369389898270331</v>
      </c>
      <c r="O187" s="379">
        <f t="shared" si="93"/>
        <v>12.546422070892346</v>
      </c>
      <c r="P187" s="379">
        <f t="shared" si="93"/>
        <v>12.729450066383013</v>
      </c>
      <c r="Q187" s="379">
        <f t="shared" si="93"/>
        <v>12.931415920696026</v>
      </c>
      <c r="R187" s="379">
        <f t="shared" si="93"/>
        <v>13.15408217931421</v>
      </c>
      <c r="S187" s="379">
        <f t="shared" si="93"/>
        <v>13.357059667958747</v>
      </c>
      <c r="T187" s="379">
        <f t="shared" si="93"/>
        <v>13.655731621117779</v>
      </c>
      <c r="U187" s="379">
        <f t="shared" si="93"/>
        <v>13.961510344006609</v>
      </c>
      <c r="V187" s="379">
        <f t="shared" si="93"/>
        <v>14.280431183989879</v>
      </c>
      <c r="W187" s="379">
        <f t="shared" si="93"/>
        <v>14.611825632725198</v>
      </c>
      <c r="X187" s="379">
        <f t="shared" si="93"/>
        <v>14.76878196902158</v>
      </c>
      <c r="Y187" s="379">
        <f t="shared" si="93"/>
        <v>15.125301442157124</v>
      </c>
      <c r="Z187" s="379">
        <f t="shared" si="93"/>
        <v>15.495177471035259</v>
      </c>
      <c r="AA187" s="379">
        <f t="shared" si="93"/>
        <v>15.88167100650023</v>
      </c>
      <c r="AB187" s="379">
        <f t="shared" si="93"/>
        <v>16.284718691836709</v>
      </c>
      <c r="AC187" s="379">
        <f t="shared" si="93"/>
        <v>16.767867572396888</v>
      </c>
      <c r="AD187" s="379">
        <f t="shared" si="93"/>
        <v>17.278632530873171</v>
      </c>
      <c r="AE187" s="379">
        <f t="shared" si="93"/>
        <v>17.806999039938781</v>
      </c>
      <c r="AF187" s="379">
        <f t="shared" si="93"/>
        <v>18.35684667311051</v>
      </c>
      <c r="AG187" s="379">
        <f t="shared" si="93"/>
        <v>18.926343449435077</v>
      </c>
    </row>
    <row r="188" spans="1:33">
      <c r="A188" s="300" t="str">
        <f t="shared" ref="A188" si="94">A179</f>
        <v>FCET</v>
      </c>
      <c r="B188" s="300" t="str">
        <f t="shared" si="88"/>
        <v>FCET</v>
      </c>
      <c r="C188" s="379">
        <f t="shared" ref="C188:AG188" si="95">C170/($C$19*$C$24)*1000</f>
        <v>17.541517467244891</v>
      </c>
      <c r="D188" s="379">
        <f t="shared" si="95"/>
        <v>17.455902129210376</v>
      </c>
      <c r="E188" s="379">
        <f t="shared" si="95"/>
        <v>17.388038075285699</v>
      </c>
      <c r="F188" s="379">
        <f t="shared" si="95"/>
        <v>17.338331631637882</v>
      </c>
      <c r="G188" s="379">
        <f t="shared" si="95"/>
        <v>17.306690902639328</v>
      </c>
      <c r="H188" s="379">
        <f t="shared" si="95"/>
        <v>17.394055249679962</v>
      </c>
      <c r="I188" s="379">
        <f t="shared" si="95"/>
        <v>17.070651423698397</v>
      </c>
      <c r="J188" s="379">
        <f t="shared" si="95"/>
        <v>16.949203478424366</v>
      </c>
      <c r="K188" s="379">
        <f t="shared" si="95"/>
        <v>16.844665613491589</v>
      </c>
      <c r="L188" s="379">
        <f t="shared" si="95"/>
        <v>16.758518349793587</v>
      </c>
      <c r="M188" s="379">
        <f t="shared" si="95"/>
        <v>16.688386922638959</v>
      </c>
      <c r="N188" s="379">
        <f t="shared" si="95"/>
        <v>16.26995272404741</v>
      </c>
      <c r="O188" s="379">
        <f t="shared" si="95"/>
        <v>16.233222960023337</v>
      </c>
      <c r="P188" s="379">
        <f t="shared" si="95"/>
        <v>16.213904875426653</v>
      </c>
      <c r="Q188" s="379">
        <f t="shared" si="95"/>
        <v>16.212340222941879</v>
      </c>
      <c r="R188" s="379">
        <f t="shared" si="95"/>
        <v>16.227453786624203</v>
      </c>
      <c r="S188" s="379">
        <f t="shared" si="95"/>
        <v>16.03128019226838</v>
      </c>
      <c r="T188" s="379">
        <f t="shared" si="95"/>
        <v>16.166304199093027</v>
      </c>
      <c r="U188" s="379">
        <f t="shared" si="95"/>
        <v>16.318319427294451</v>
      </c>
      <c r="V188" s="379">
        <f t="shared" si="95"/>
        <v>16.485051768896628</v>
      </c>
      <c r="W188" s="379">
        <f t="shared" si="95"/>
        <v>16.66690466849694</v>
      </c>
      <c r="X188" s="379">
        <f t="shared" si="95"/>
        <v>16.586394216105802</v>
      </c>
      <c r="Y188" s="379">
        <f t="shared" si="95"/>
        <v>16.798146632305151</v>
      </c>
      <c r="Z188" s="379">
        <f t="shared" si="95"/>
        <v>17.024750035493373</v>
      </c>
      <c r="AA188" s="379">
        <f t="shared" si="95"/>
        <v>17.268829464921748</v>
      </c>
      <c r="AB188" s="379">
        <f t="shared" si="95"/>
        <v>17.52991183880437</v>
      </c>
      <c r="AC188" s="379">
        <f t="shared" si="95"/>
        <v>17.75086364095252</v>
      </c>
      <c r="AD188" s="379">
        <f t="shared" si="95"/>
        <v>18.185776706159441</v>
      </c>
      <c r="AE188" s="379">
        <f t="shared" si="95"/>
        <v>18.639154935806999</v>
      </c>
      <c r="AF188" s="379">
        <f t="shared" si="95"/>
        <v>19.113738384546998</v>
      </c>
      <c r="AG188" s="379">
        <f t="shared" si="95"/>
        <v>19.606980689194213</v>
      </c>
    </row>
    <row r="189" spans="1:33">
      <c r="A189" s="300" t="s">
        <v>334</v>
      </c>
      <c r="C189" s="379">
        <f t="shared" ref="C189:AG189" si="96">C183*0.9</f>
        <v>7.6474829029113618</v>
      </c>
      <c r="D189" s="379">
        <f t="shared" si="96"/>
        <v>8.1164562857802949</v>
      </c>
      <c r="E189" s="379">
        <f t="shared" si="96"/>
        <v>8.3261379200717496</v>
      </c>
      <c r="F189" s="379">
        <f t="shared" si="96"/>
        <v>8.5423327888490039</v>
      </c>
      <c r="G189" s="379">
        <f t="shared" si="96"/>
        <v>8.7651767607789992</v>
      </c>
      <c r="H189" s="379">
        <f t="shared" si="96"/>
        <v>9.1398292553760996</v>
      </c>
      <c r="I189" s="379">
        <f t="shared" si="96"/>
        <v>9.3807796568093487</v>
      </c>
      <c r="J189" s="379">
        <f t="shared" si="96"/>
        <v>9.6289527418062875</v>
      </c>
      <c r="K189" s="379">
        <f t="shared" si="96"/>
        <v>9.8845350365840456</v>
      </c>
      <c r="L189" s="379">
        <f t="shared" si="96"/>
        <v>10.149528040858662</v>
      </c>
      <c r="M189" s="379">
        <f t="shared" si="96"/>
        <v>10.422279011324994</v>
      </c>
      <c r="N189" s="379">
        <f t="shared" si="96"/>
        <v>10.785965076799394</v>
      </c>
      <c r="O189" s="379">
        <f t="shared" si="96"/>
        <v>11.079097379293367</v>
      </c>
      <c r="P189" s="379">
        <f t="shared" si="96"/>
        <v>11.380636283581223</v>
      </c>
      <c r="Q189" s="379">
        <f t="shared" si="96"/>
        <v>11.692606593018132</v>
      </c>
      <c r="R189" s="379">
        <f t="shared" si="96"/>
        <v>12.013381002125675</v>
      </c>
      <c r="S189" s="379">
        <f t="shared" si="96"/>
        <v>12.345031866822856</v>
      </c>
      <c r="T189" s="379">
        <f t="shared" si="96"/>
        <v>12.687789521717624</v>
      </c>
      <c r="U189" s="379">
        <f t="shared" si="96"/>
        <v>13.041889767249229</v>
      </c>
      <c r="V189" s="379">
        <f t="shared" si="96"/>
        <v>13.407536499236427</v>
      </c>
      <c r="W189" s="379">
        <f t="shared" si="96"/>
        <v>13.785014644414124</v>
      </c>
      <c r="X189" s="379">
        <f t="shared" si="96"/>
        <v>14.2861408167243</v>
      </c>
      <c r="Y189" s="379">
        <f t="shared" si="96"/>
        <v>14.691396036031442</v>
      </c>
      <c r="Z189" s="379">
        <f t="shared" si="96"/>
        <v>15.109362541948112</v>
      </c>
      <c r="AA189" s="379">
        <f t="shared" si="96"/>
        <v>15.542163431763555</v>
      </c>
      <c r="AB189" s="379">
        <f t="shared" si="96"/>
        <v>15.988273186457715</v>
      </c>
      <c r="AC189" s="379">
        <f t="shared" si="96"/>
        <v>16.449829311338597</v>
      </c>
      <c r="AD189" s="379">
        <f t="shared" si="96"/>
        <v>16.925321237956226</v>
      </c>
      <c r="AE189" s="379">
        <f t="shared" si="96"/>
        <v>17.416901985766945</v>
      </c>
      <c r="AF189" s="379">
        <f t="shared" si="96"/>
        <v>17.924924376542005</v>
      </c>
      <c r="AG189" s="379">
        <f t="shared" si="96"/>
        <v>18.449710846825269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97">D191+1</f>
        <v>2027</v>
      </c>
      <c r="F191" s="360">
        <f t="shared" si="97"/>
        <v>2028</v>
      </c>
      <c r="G191" s="360">
        <f t="shared" si="97"/>
        <v>2029</v>
      </c>
      <c r="H191" s="360">
        <f>G191+1</f>
        <v>2030</v>
      </c>
      <c r="I191" s="360">
        <f>H191+1</f>
        <v>2031</v>
      </c>
      <c r="J191" s="360">
        <f t="shared" si="97"/>
        <v>2032</v>
      </c>
      <c r="K191" s="360">
        <f t="shared" si="97"/>
        <v>2033</v>
      </c>
      <c r="L191" s="360">
        <f t="shared" si="97"/>
        <v>2034</v>
      </c>
      <c r="M191" s="360">
        <f t="shared" si="97"/>
        <v>2035</v>
      </c>
      <c r="N191" s="360">
        <f t="shared" si="97"/>
        <v>2036</v>
      </c>
      <c r="O191" s="360">
        <f t="shared" si="97"/>
        <v>2037</v>
      </c>
      <c r="P191" s="360">
        <f t="shared" si="97"/>
        <v>2038</v>
      </c>
      <c r="Q191" s="360">
        <f t="shared" si="97"/>
        <v>2039</v>
      </c>
      <c r="R191" s="360">
        <f t="shared" si="97"/>
        <v>2040</v>
      </c>
      <c r="S191" s="360">
        <f t="shared" si="97"/>
        <v>2041</v>
      </c>
      <c r="T191" s="360">
        <f t="shared" si="97"/>
        <v>2042</v>
      </c>
      <c r="U191" s="360">
        <f t="shared" si="97"/>
        <v>2043</v>
      </c>
      <c r="V191" s="360">
        <f t="shared" si="97"/>
        <v>2044</v>
      </c>
      <c r="W191" s="360">
        <f t="shared" si="97"/>
        <v>2045</v>
      </c>
      <c r="X191" s="360">
        <f t="shared" si="97"/>
        <v>2046</v>
      </c>
      <c r="Y191" s="360">
        <f t="shared" si="97"/>
        <v>2047</v>
      </c>
      <c r="Z191" s="360">
        <f t="shared" si="97"/>
        <v>2048</v>
      </c>
      <c r="AA191" s="360">
        <f t="shared" si="97"/>
        <v>2049</v>
      </c>
      <c r="AB191" s="360">
        <f t="shared" si="97"/>
        <v>2050</v>
      </c>
      <c r="AC191" s="360">
        <f t="shared" si="97"/>
        <v>2051</v>
      </c>
      <c r="AD191" s="360">
        <f t="shared" si="97"/>
        <v>2052</v>
      </c>
      <c r="AE191" s="360">
        <f t="shared" si="97"/>
        <v>2053</v>
      </c>
      <c r="AF191" s="360">
        <f t="shared" si="97"/>
        <v>2054</v>
      </c>
      <c r="AG191" s="360">
        <f t="shared" si="97"/>
        <v>2055</v>
      </c>
    </row>
    <row r="192" spans="1:33">
      <c r="A192" s="300" t="str">
        <f>A165</f>
        <v xml:space="preserve">Diesel   </v>
      </c>
      <c r="C192" s="388">
        <f t="shared" ref="C192:AG192" si="98">C165/C168</f>
        <v>0.81043124976891845</v>
      </c>
      <c r="D192" s="388">
        <f t="shared" si="98"/>
        <v>0.85335550143378591</v>
      </c>
      <c r="E192" s="388">
        <f t="shared" si="98"/>
        <v>0.86917763206468812</v>
      </c>
      <c r="F192" s="388">
        <f t="shared" si="98"/>
        <v>0.89329842792918079</v>
      </c>
      <c r="G192" s="388">
        <f t="shared" si="98"/>
        <v>0.91872141870479263</v>
      </c>
      <c r="H192" s="388">
        <f t="shared" si="98"/>
        <v>0.94770527549094463</v>
      </c>
      <c r="I192" s="388">
        <f t="shared" si="98"/>
        <v>0.99596529626643282</v>
      </c>
      <c r="J192" s="388">
        <f t="shared" si="98"/>
        <v>1.014091944242431</v>
      </c>
      <c r="K192" s="388">
        <f t="shared" si="98"/>
        <v>1.035049005732164</v>
      </c>
      <c r="L192" s="388">
        <f t="shared" si="98"/>
        <v>1.0546958310162911</v>
      </c>
      <c r="M192" s="388">
        <f t="shared" si="98"/>
        <v>1.0726692057809264</v>
      </c>
      <c r="N192" s="388">
        <f t="shared" si="98"/>
        <v>1.1238962194387858</v>
      </c>
      <c r="O192" s="388">
        <f t="shared" si="98"/>
        <v>1.1381512139798118</v>
      </c>
      <c r="P192" s="388">
        <f t="shared" si="98"/>
        <v>1.1523180952750691</v>
      </c>
      <c r="Q192" s="388">
        <f t="shared" si="98"/>
        <v>1.1654153584040685</v>
      </c>
      <c r="R192" s="388">
        <f t="shared" si="98"/>
        <v>1.1771184853914227</v>
      </c>
      <c r="S192" s="388">
        <f t="shared" si="98"/>
        <v>1.1912333104489938</v>
      </c>
      <c r="T192" s="388">
        <f t="shared" si="98"/>
        <v>1.1975301941210925</v>
      </c>
      <c r="U192" s="388">
        <f t="shared" si="98"/>
        <v>1.2039920035110832</v>
      </c>
      <c r="V192" s="388">
        <f t="shared" si="98"/>
        <v>1.2101052551278697</v>
      </c>
      <c r="W192" s="388">
        <f t="shared" si="98"/>
        <v>1.2159570374672106</v>
      </c>
      <c r="X192" s="388">
        <f t="shared" si="98"/>
        <v>1.2467682306097345</v>
      </c>
      <c r="Y192" s="388">
        <f t="shared" si="98"/>
        <v>1.2519140319630322</v>
      </c>
      <c r="Z192" s="388">
        <f t="shared" si="98"/>
        <v>1.2567968024189264</v>
      </c>
      <c r="AA192" s="388">
        <f t="shared" si="98"/>
        <v>1.2613358977337006</v>
      </c>
      <c r="AB192" s="388">
        <f t="shared" si="98"/>
        <v>1.2654260753595665</v>
      </c>
      <c r="AC192" s="388">
        <f t="shared" si="98"/>
        <v>1.2644423706211529</v>
      </c>
      <c r="AD192" s="388">
        <f t="shared" si="98"/>
        <v>1.2625338518831561</v>
      </c>
      <c r="AE192" s="388">
        <f t="shared" si="98"/>
        <v>1.2606532632462599</v>
      </c>
      <c r="AF192" s="388">
        <f t="shared" si="98"/>
        <v>1.2585623377756205</v>
      </c>
      <c r="AG192" s="388">
        <f t="shared" si="98"/>
        <v>1.2564300852521877</v>
      </c>
    </row>
    <row r="193" spans="1:33">
      <c r="A193" s="300" t="str">
        <f>A169</f>
        <v>H2-ICE</v>
      </c>
      <c r="C193" s="388">
        <f t="shared" ref="C193:AG193" si="99">C169/C168</f>
        <v>1.4171354734170114</v>
      </c>
      <c r="D193" s="388">
        <f t="shared" si="99"/>
        <v>1.4102198310371217</v>
      </c>
      <c r="E193" s="388">
        <f t="shared" si="99"/>
        <v>1.4058999431459276</v>
      </c>
      <c r="F193" s="388">
        <f t="shared" si="99"/>
        <v>1.4155038531520578</v>
      </c>
      <c r="G193" s="388">
        <f t="shared" si="99"/>
        <v>1.4274294565486907</v>
      </c>
      <c r="H193" s="388">
        <f t="shared" si="99"/>
        <v>1.4387983612047353</v>
      </c>
      <c r="I193" s="388">
        <f t="shared" si="99"/>
        <v>1.4421730815552902</v>
      </c>
      <c r="J193" s="388">
        <f t="shared" si="99"/>
        <v>1.4229766104091279</v>
      </c>
      <c r="K193" s="388">
        <f t="shared" si="99"/>
        <v>1.408842555308875</v>
      </c>
      <c r="L193" s="388">
        <f t="shared" si="99"/>
        <v>1.3938455338035511</v>
      </c>
      <c r="M193" s="388">
        <f t="shared" si="99"/>
        <v>1.3778242460567811</v>
      </c>
      <c r="N193" s="388">
        <f t="shared" si="99"/>
        <v>1.3837317306766763</v>
      </c>
      <c r="O193" s="388">
        <f t="shared" si="99"/>
        <v>1.3644234487012707</v>
      </c>
      <c r="P193" s="388">
        <f t="shared" si="99"/>
        <v>1.3464760365443262</v>
      </c>
      <c r="Q193" s="388">
        <f t="shared" si="99"/>
        <v>1.3286582518947376</v>
      </c>
      <c r="R193" s="388">
        <f t="shared" si="99"/>
        <v>1.3106732391779026</v>
      </c>
      <c r="S193" s="388">
        <f t="shared" si="99"/>
        <v>1.2764475429535191</v>
      </c>
      <c r="T193" s="388">
        <f t="shared" si="99"/>
        <v>1.2603974915218272</v>
      </c>
      <c r="U193" s="388">
        <f t="shared" si="99"/>
        <v>1.2457702567948137</v>
      </c>
      <c r="V193" s="388">
        <f t="shared" si="99"/>
        <v>1.2319335386334263</v>
      </c>
      <c r="W193" s="388">
        <f t="shared" si="99"/>
        <v>1.2189920737053803</v>
      </c>
      <c r="X193" s="388">
        <f t="shared" si="99"/>
        <v>1.211392720596133</v>
      </c>
      <c r="Y193" s="388">
        <f t="shared" si="99"/>
        <v>1.199561294506017</v>
      </c>
      <c r="Z193" s="388">
        <f t="shared" si="99"/>
        <v>1.1884583453434718</v>
      </c>
      <c r="AA193" s="388">
        <f t="shared" si="99"/>
        <v>1.177999479427879</v>
      </c>
      <c r="AB193" s="388">
        <f t="shared" si="99"/>
        <v>1.1680302971266037</v>
      </c>
      <c r="AC193" s="388">
        <f t="shared" si="99"/>
        <v>1.1522875866676208</v>
      </c>
      <c r="AD193" s="388">
        <f t="shared" si="99"/>
        <v>1.1468679912728901</v>
      </c>
      <c r="AE193" s="388">
        <f t="shared" si="99"/>
        <v>1.1419591683747166</v>
      </c>
      <c r="AF193" s="388">
        <f t="shared" si="99"/>
        <v>1.1373264868520194</v>
      </c>
      <c r="AG193" s="388">
        <f t="shared" si="99"/>
        <v>1.1330302411847655</v>
      </c>
    </row>
    <row r="194" spans="1:33">
      <c r="A194" s="300" t="str">
        <f>A170</f>
        <v>FCET</v>
      </c>
      <c r="C194" s="388">
        <f t="shared" ref="C194:AG194" si="100">C170/C168</f>
        <v>1.5691997848693562</v>
      </c>
      <c r="D194" s="388">
        <f t="shared" si="100"/>
        <v>1.5492419655787455</v>
      </c>
      <c r="E194" s="388">
        <f t="shared" si="100"/>
        <v>1.5322475616663902</v>
      </c>
      <c r="F194" s="388">
        <f t="shared" si="100"/>
        <v>1.530526326440401</v>
      </c>
      <c r="G194" s="388">
        <f t="shared" si="100"/>
        <v>1.5312659155814246</v>
      </c>
      <c r="H194" s="388">
        <f t="shared" si="100"/>
        <v>1.5224725684907048</v>
      </c>
      <c r="I194" s="388">
        <f t="shared" si="100"/>
        <v>1.5299202072227094</v>
      </c>
      <c r="J194" s="388">
        <f t="shared" si="100"/>
        <v>1.5068186492228055</v>
      </c>
      <c r="K194" s="388">
        <f t="shared" si="100"/>
        <v>1.4889512445563973</v>
      </c>
      <c r="L194" s="388">
        <f t="shared" si="100"/>
        <v>1.4700442794467579</v>
      </c>
      <c r="M194" s="388">
        <f t="shared" si="100"/>
        <v>1.4498761091592263</v>
      </c>
      <c r="N194" s="388">
        <f t="shared" si="100"/>
        <v>1.4310898685665081</v>
      </c>
      <c r="O194" s="388">
        <f t="shared" si="100"/>
        <v>1.4077118146280589</v>
      </c>
      <c r="P194" s="388">
        <f t="shared" si="100"/>
        <v>1.3858201581740988</v>
      </c>
      <c r="Q194" s="388">
        <f t="shared" si="100"/>
        <v>1.3640444535026102</v>
      </c>
      <c r="R194" s="388">
        <f t="shared" si="100"/>
        <v>1.3422046083619348</v>
      </c>
      <c r="S194" s="388">
        <f t="shared" si="100"/>
        <v>1.3058287739051122</v>
      </c>
      <c r="T194" s="388">
        <f t="shared" si="100"/>
        <v>1.2880261165511602</v>
      </c>
      <c r="U194" s="388">
        <f t="shared" si="100"/>
        <v>1.2716626711176657</v>
      </c>
      <c r="V194" s="388">
        <f t="shared" si="100"/>
        <v>1.2559660204565599</v>
      </c>
      <c r="W194" s="388">
        <f t="shared" si="100"/>
        <v>1.2410216721113883</v>
      </c>
      <c r="X194" s="388">
        <f t="shared" si="100"/>
        <v>1.221901504469068</v>
      </c>
      <c r="Y194" s="388">
        <f t="shared" si="100"/>
        <v>1.2083318541347026</v>
      </c>
      <c r="Z194" s="388">
        <f t="shared" si="100"/>
        <v>1.1953995411308602</v>
      </c>
      <c r="AA194" s="388">
        <f t="shared" si="100"/>
        <v>1.1830295722751651</v>
      </c>
      <c r="AB194" s="388">
        <f t="shared" si="100"/>
        <v>1.1711927262323509</v>
      </c>
      <c r="AC194" s="388">
        <f t="shared" si="100"/>
        <v>1.1517826913870148</v>
      </c>
      <c r="AD194" s="388">
        <f t="shared" si="100"/>
        <v>1.1451210054353522</v>
      </c>
      <c r="AE194" s="388">
        <f t="shared" si="100"/>
        <v>1.1388443681427711</v>
      </c>
      <c r="AF194" s="388">
        <f t="shared" si="100"/>
        <v>1.1328605469505379</v>
      </c>
      <c r="AG194" s="388">
        <f t="shared" si="100"/>
        <v>1.1271271202932778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pageMargins left="0.7" right="0.7" top="0.75" bottom="0.75" header="0.3" footer="0.3"/>
  <pageSetup orientation="portrait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2F2D-6099-48DF-8F83-F3E55A452CA0}">
  <sheetPr>
    <tabColor rgb="FF0070C0"/>
  </sheetPr>
  <dimension ref="A1:AO200"/>
  <sheetViews>
    <sheetView workbookViewId="0">
      <pane xSplit="2" ySplit="4" topLeftCell="C169" activePane="bottomRight" state="frozen"/>
      <selection pane="topRight" activeCell="C1" sqref="C1"/>
      <selection pane="bottomLeft" activeCell="A5" sqref="A5"/>
      <selection pane="bottomRight" activeCell="A186" sqref="A186:XFD186"/>
    </sheetView>
  </sheetViews>
  <sheetFormatPr defaultColWidth="9.109375" defaultRowHeight="14.4"/>
  <cols>
    <col min="1" max="1" width="30.6640625" style="300" customWidth="1"/>
    <col min="2" max="2" width="29" style="300" customWidth="1"/>
    <col min="3" max="3" width="15.44140625" style="340" customWidth="1"/>
    <col min="4" max="6" width="15.6640625" style="300" customWidth="1"/>
    <col min="7" max="31" width="14.44140625" style="300" customWidth="1"/>
    <col min="32" max="32" width="12.109375" style="300" bestFit="1" customWidth="1"/>
    <col min="33" max="33" width="13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year'!B12</f>
        <v>Construction &amp; Mining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year'!C12</f>
        <v>35T Tip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year'!AR12</f>
        <v>35000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year'!C87</f>
        <v>4800000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year'!C98</f>
        <v>5050000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year'!C111</f>
        <v>5380375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year'!C123</f>
        <v>6379200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year'!C129</f>
        <v>6545000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year'!C148</f>
        <v>13011400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year'!G12</f>
        <v>300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year'!J12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year'!I12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year'!AX12</f>
        <v>20000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year'!AY12</f>
        <v>17600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year'!AZ12</f>
        <v>19100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year'!C271</f>
        <v>8.5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year'!K12</f>
        <v>240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year'!L12</f>
        <v>280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year'!Q12</f>
        <v>9.6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year'!O12</f>
        <v>0.5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 ht="15.6">
      <c r="A27" s="328" t="s">
        <v>687</v>
      </c>
      <c r="B27" s="300" t="s">
        <v>277</v>
      </c>
      <c r="C27" s="425">
        <f>'No change with year'!D30</f>
        <v>7</v>
      </c>
      <c r="D27" s="347"/>
      <c r="E27" s="347"/>
    </row>
    <row r="28" spans="1:5" ht="15.6">
      <c r="A28" s="328" t="s">
        <v>688</v>
      </c>
      <c r="B28" s="300" t="s">
        <v>198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5" ht="15.6">
      <c r="D30" s="347" t="s">
        <v>275</v>
      </c>
      <c r="E30" s="347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6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year'!$E$12</f>
        <v>157.5</v>
      </c>
      <c r="F35" s="355">
        <f>'No change with year'!$F$12</f>
        <v>28.2</v>
      </c>
      <c r="G35" s="328"/>
      <c r="H35" s="355">
        <f>'No change with year'!$H$12</f>
        <v>28.2</v>
      </c>
    </row>
    <row r="36" spans="1:38">
      <c r="A36" s="974" t="s">
        <v>345</v>
      </c>
      <c r="B36" s="328" t="s">
        <v>201</v>
      </c>
      <c r="C36" s="356"/>
      <c r="D36" s="356"/>
      <c r="E36" s="356"/>
      <c r="F36" s="356"/>
      <c r="G36" s="356"/>
      <c r="H36" s="356"/>
    </row>
    <row r="37" spans="1:38">
      <c r="A37" s="974"/>
      <c r="B37" s="328" t="s">
        <v>346</v>
      </c>
      <c r="C37" s="358">
        <f>'No change with year'!S12</f>
        <v>3</v>
      </c>
      <c r="D37" s="358">
        <f>'No change with year'!T12</f>
        <v>3.2</v>
      </c>
      <c r="E37" s="358">
        <f>'No change with year'!U12</f>
        <v>3.1</v>
      </c>
      <c r="F37" s="358">
        <f>'No change with year'!V12</f>
        <v>9</v>
      </c>
      <c r="G37" s="357">
        <f>'No change with year'!$W$12</f>
        <v>1.4</v>
      </c>
      <c r="H37" s="358">
        <f>'No change with year'!X12</f>
        <v>12</v>
      </c>
    </row>
    <row r="38" spans="1:38" ht="28.8">
      <c r="A38" s="296" t="s">
        <v>283</v>
      </c>
      <c r="B38" s="296" t="s">
        <v>284</v>
      </c>
      <c r="C38" s="297">
        <f>($C$21*$C$22)/C37</f>
        <v>22400</v>
      </c>
      <c r="D38" s="297">
        <f>($C$21*$C$22)/D37</f>
        <v>21000</v>
      </c>
      <c r="E38" s="297">
        <f>($C$21*$C$22)/E37</f>
        <v>21677.419354838708</v>
      </c>
      <c r="F38" s="297">
        <f>($C$21*$C$22)/F37</f>
        <v>7466.666666666667</v>
      </c>
      <c r="G38" s="297">
        <f>($C$21*$C$22*G37)</f>
        <v>94080</v>
      </c>
      <c r="H38" s="297">
        <f>($C$21*$C$22)/H37</f>
        <v>5600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>G40+1</f>
        <v>2030</v>
      </c>
      <c r="I40" s="360">
        <f>H40+1</f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">
        <v>74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">
        <v>75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year'!C293/($C$21*$C$22)</f>
        <v>7.4404761904761907</v>
      </c>
      <c r="D54" s="393">
        <f>'Changing with year'!D293/($C$21*$C$22)</f>
        <v>7.7827380952380949</v>
      </c>
      <c r="E54" s="393">
        <f>'Changing with year'!E293/($C$21*$C$22)</f>
        <v>8.1398809523809526</v>
      </c>
      <c r="F54" s="393">
        <f>'Changing with year'!F293/($C$21*$C$22)</f>
        <v>8.5119047619047628</v>
      </c>
      <c r="G54" s="393">
        <f>'Changing with year'!G293/($C$21*$C$22)</f>
        <v>8.8988095238095237</v>
      </c>
      <c r="H54" s="393">
        <f>'Changing with year'!H293/($C$21*$C$22)</f>
        <v>9.3005952380952372</v>
      </c>
      <c r="I54" s="393">
        <f>'Changing with year'!I293/($C$21*$C$22)</f>
        <v>9.7172619047619051</v>
      </c>
      <c r="J54" s="393">
        <f>'Changing with year'!J293/($C$21*$C$22)</f>
        <v>10.148809523809524</v>
      </c>
      <c r="K54" s="393">
        <f>'Changing with year'!K293/($C$21*$C$22)</f>
        <v>10.610119047619047</v>
      </c>
      <c r="L54" s="393">
        <f>'Changing with year'!L293/($C$21*$C$22)</f>
        <v>11.086309523809524</v>
      </c>
      <c r="M54" s="393">
        <f>'Changing with year'!M293/($C$21*$C$22)</f>
        <v>11.592261904761905</v>
      </c>
      <c r="N54" s="393">
        <f>'Changing with year'!N293/($C$21*$C$22)</f>
        <v>12.113095238095237</v>
      </c>
      <c r="O54" s="393">
        <f>'Changing with year'!O293/($C$21*$C$22)</f>
        <v>12.663690476190476</v>
      </c>
      <c r="P54" s="393">
        <f>'Changing with year'!P293/($C$21*$C$22)</f>
        <v>13.229166666666666</v>
      </c>
      <c r="Q54" s="393">
        <f>'Changing with year'!Q293/($C$21*$C$22)</f>
        <v>13.824404761904763</v>
      </c>
      <c r="R54" s="393">
        <f>'Changing with year'!R293/($C$21*$C$22)</f>
        <v>14.449404761904763</v>
      </c>
      <c r="S54" s="393">
        <f>'Changing with year'!S293/($C$21*$C$22)</f>
        <v>15.104166666666666</v>
      </c>
      <c r="T54" s="393">
        <f>'Changing with year'!T293/($C$21*$C$22)</f>
        <v>15.788690476190476</v>
      </c>
      <c r="U54" s="393">
        <f>'Changing with year'!U293/($C$21*$C$22)</f>
        <v>16.50297619047619</v>
      </c>
      <c r="V54" s="393">
        <f>'Changing with year'!V293/($C$21*$C$22)</f>
        <v>17.24702380952381</v>
      </c>
      <c r="W54" s="393">
        <f>'Changing with year'!W293/($C$21*$C$22)</f>
        <v>18.020833333333332</v>
      </c>
      <c r="X54" s="393">
        <f>'Changing with year'!X293/($C$21*$C$22)</f>
        <v>18.824404761904763</v>
      </c>
      <c r="Y54" s="393">
        <f>'Changing with year'!Y293/($C$21*$C$22)</f>
        <v>19.672619047619047</v>
      </c>
      <c r="Z54" s="393">
        <f>'Changing with year'!Z293/($C$21*$C$22)</f>
        <v>20.550595238095237</v>
      </c>
      <c r="AA54" s="393">
        <f>'Changing with year'!AA293/($C$21*$C$22)</f>
        <v>21.473214285714285</v>
      </c>
      <c r="AB54" s="393">
        <f>'Changing with year'!AB293/($C$21*$C$22)</f>
        <v>22.44047619047619</v>
      </c>
      <c r="AC54" s="393">
        <f>'Changing with year'!AC293/($C$21*$C$22)</f>
        <v>23.452380952380953</v>
      </c>
      <c r="AD54" s="393">
        <f>'Changing with year'!AD293/($C$21*$C$22)</f>
        <v>24.508928571428573</v>
      </c>
      <c r="AE54" s="393">
        <f>'Changing with year'!AE293/($C$21*$C$22)</f>
        <v>25.610119047619047</v>
      </c>
      <c r="AF54" s="393">
        <f>'Changing with year'!AF293/($C$21*$C$22)</f>
        <v>26.75595238095238</v>
      </c>
      <c r="AG54" s="393">
        <f>'Changing with year'!AG293/($C$21*$C$22)</f>
        <v>27.961309523809526</v>
      </c>
      <c r="AH54" s="339"/>
    </row>
    <row r="55" spans="1:41">
      <c r="A55" s="348" t="s">
        <v>357</v>
      </c>
      <c r="B55" s="328" t="s">
        <v>300</v>
      </c>
      <c r="C55" s="393">
        <f>'Changing with year'!C304/($C$21*$C$22)</f>
        <v>8.3333333333333339</v>
      </c>
      <c r="D55" s="393">
        <f>'Changing with year'!D304/($C$21*$C$22)</f>
        <v>8.7053571428571423</v>
      </c>
      <c r="E55" s="393">
        <f>'Changing with year'!E304/($C$21*$C$22)</f>
        <v>9.0922619047619051</v>
      </c>
      <c r="F55" s="393">
        <f>'Changing with year'!F304/($C$21*$C$22)</f>
        <v>9.4940476190476186</v>
      </c>
      <c r="G55" s="393">
        <f>'Changing with year'!G304/($C$21*$C$22)</f>
        <v>9.9255952380952372</v>
      </c>
      <c r="H55" s="393">
        <f>'Changing with year'!H304/($C$21*$C$22)</f>
        <v>10.37202380952381</v>
      </c>
      <c r="I55" s="393">
        <f>'Changing with year'!I304/($C$21*$C$22)</f>
        <v>10.833333333333334</v>
      </c>
      <c r="J55" s="393">
        <f>'Changing with year'!J304/($C$21*$C$22)</f>
        <v>11.324404761904763</v>
      </c>
      <c r="K55" s="393">
        <f>'Changing with year'!K304/($C$21*$C$22)</f>
        <v>11.830357142857142</v>
      </c>
      <c r="L55" s="393">
        <f>'Changing with year'!L304/($C$21*$C$22)</f>
        <v>12.366071428571429</v>
      </c>
      <c r="M55" s="393">
        <f>'Changing with year'!M304/($C$21*$C$22)</f>
        <v>12.916666666666666</v>
      </c>
      <c r="N55" s="393">
        <f>'Changing with year'!N304/($C$21*$C$22)</f>
        <v>13.49702380952381</v>
      </c>
      <c r="O55" s="393">
        <f>'Changing with year'!O304/($C$21*$C$22)</f>
        <v>14.107142857142858</v>
      </c>
      <c r="P55" s="393">
        <f>'Changing with year'!P304/($C$21*$C$22)</f>
        <v>14.74702380952381</v>
      </c>
      <c r="Q55" s="393">
        <f>'Changing with year'!Q304/($C$21*$C$22)</f>
        <v>15.416666666666666</v>
      </c>
      <c r="R55" s="393">
        <f>'Changing with year'!R304/($C$21*$C$22)</f>
        <v>16.116071428571427</v>
      </c>
      <c r="S55" s="393">
        <f>'Changing with year'!S304/($C$21*$C$22)</f>
        <v>16.845238095238095</v>
      </c>
      <c r="T55" s="393">
        <f>'Changing with year'!T304/($C$21*$C$22)</f>
        <v>17.604166666666668</v>
      </c>
      <c r="U55" s="393">
        <f>'Changing with year'!U304/($C$21*$C$22)</f>
        <v>18.392857142857142</v>
      </c>
      <c r="V55" s="393">
        <f>'Changing with year'!V304/($C$21*$C$22)</f>
        <v>19.226190476190474</v>
      </c>
      <c r="W55" s="393">
        <f>'Changing with year'!W304/($C$21*$C$22)</f>
        <v>20.089285714285715</v>
      </c>
      <c r="X55" s="393">
        <f>'Changing with year'!X304/($C$21*$C$22)</f>
        <v>20.99702380952381</v>
      </c>
      <c r="Y55" s="393">
        <f>'Changing with year'!Y304/($C$21*$C$22)</f>
        <v>21.93452380952381</v>
      </c>
      <c r="Z55" s="393">
        <f>'Changing with year'!Z304/($C$21*$C$22)</f>
        <v>22.916666666666668</v>
      </c>
      <c r="AA55" s="393">
        <f>'Changing with year'!AA304/($C$21*$C$22)</f>
        <v>23.94345238095238</v>
      </c>
      <c r="AB55" s="393">
        <f>'Changing with year'!AB304/($C$21*$C$22)</f>
        <v>25.014880952380953</v>
      </c>
      <c r="AC55" s="393">
        <f>'Changing with year'!AC304/($C$21*$C$22)</f>
        <v>26.145833333333332</v>
      </c>
      <c r="AD55" s="393">
        <f>'Changing with year'!AD304/($C$21*$C$22)</f>
        <v>27.321428571428573</v>
      </c>
      <c r="AE55" s="393">
        <f>'Changing with year'!AE304/($C$21*$C$22)</f>
        <v>28.55654761904762</v>
      </c>
      <c r="AF55" s="393">
        <f>'Changing with year'!AF304/($C$21*$C$22)</f>
        <v>29.836309523809526</v>
      </c>
      <c r="AG55" s="393">
        <f>'Changing with year'!AG304/($C$21*$C$22)</f>
        <v>31.175595238095237</v>
      </c>
      <c r="AH55" s="339"/>
    </row>
    <row r="56" spans="1:41">
      <c r="A56" s="328" t="s">
        <v>299</v>
      </c>
      <c r="B56" s="328" t="s">
        <v>300</v>
      </c>
      <c r="C56" s="338">
        <f>'Changing with year'!C160</f>
        <v>10.9</v>
      </c>
      <c r="D56" s="338">
        <f>'Changing with year'!D160</f>
        <v>11.336</v>
      </c>
      <c r="E56" s="338">
        <f>'Changing with year'!E160</f>
        <v>11.789440000000001</v>
      </c>
      <c r="F56" s="338">
        <f>'Changing with year'!F160</f>
        <v>12.261017600000001</v>
      </c>
      <c r="G56" s="338">
        <f>'Changing with year'!G160</f>
        <v>12.751458304000002</v>
      </c>
      <c r="H56" s="338">
        <f>'Changing with year'!H160</f>
        <v>13.261516636160001</v>
      </c>
      <c r="I56" s="338">
        <f>'Changing with year'!I160</f>
        <v>13.791977301606401</v>
      </c>
      <c r="J56" s="338">
        <f>'Changing with year'!J160</f>
        <v>14.343656393670658</v>
      </c>
      <c r="K56" s="338">
        <f>'Changing with year'!K160</f>
        <v>14.917402649417484</v>
      </c>
      <c r="L56" s="338">
        <f>'Changing with year'!L160</f>
        <v>15.514098755394183</v>
      </c>
      <c r="M56" s="338">
        <f>'Changing with year'!M160</f>
        <v>16.134662705609951</v>
      </c>
      <c r="N56" s="338">
        <f>'Changing with year'!N160</f>
        <v>16.780049213834349</v>
      </c>
      <c r="O56" s="338">
        <f>'Changing with year'!O160</f>
        <v>17.451251182387725</v>
      </c>
      <c r="P56" s="338">
        <f>'Changing with year'!P160</f>
        <v>18.149301229683235</v>
      </c>
      <c r="Q56" s="338">
        <f>'Changing with year'!Q160</f>
        <v>18.875273278870566</v>
      </c>
      <c r="R56" s="338">
        <f>'Changing with year'!R160</f>
        <v>19.63028421002539</v>
      </c>
      <c r="S56" s="338">
        <f>'Changing with year'!S160</f>
        <v>20.415495578426405</v>
      </c>
      <c r="T56" s="338">
        <f>'Changing with year'!T160</f>
        <v>21.232115401563462</v>
      </c>
      <c r="U56" s="338">
        <f>'Changing with year'!U160</f>
        <v>22.081400017626002</v>
      </c>
      <c r="V56" s="338">
        <f>'Changing with year'!V160</f>
        <v>22.964656018331045</v>
      </c>
      <c r="W56" s="338">
        <f>'Changing with year'!W160</f>
        <v>23.883242259064289</v>
      </c>
      <c r="X56" s="338">
        <f>'Changing with year'!X160</f>
        <v>24.838571949426861</v>
      </c>
      <c r="Y56" s="338">
        <f>'Changing with year'!Y160</f>
        <v>25.832114827403934</v>
      </c>
      <c r="Z56" s="338">
        <f>'Changing with year'!Z160</f>
        <v>26.865399420500093</v>
      </c>
      <c r="AA56" s="338">
        <f>'Changing with year'!AA160</f>
        <v>27.940015397320099</v>
      </c>
      <c r="AB56" s="338">
        <f>'Changing with year'!AB160</f>
        <v>29.057616013212904</v>
      </c>
      <c r="AC56" s="338">
        <f>'Changing with year'!AC160</f>
        <v>30.219920653741422</v>
      </c>
      <c r="AD56" s="338">
        <f>'Changing with year'!AD160</f>
        <v>31.42871747989108</v>
      </c>
      <c r="AE56" s="338">
        <f>'Changing with year'!AE160</f>
        <v>32.685866179086723</v>
      </c>
      <c r="AF56" s="338">
        <f>'Changing with year'!AF160</f>
        <v>33.993300826250191</v>
      </c>
      <c r="AG56" s="338">
        <f>'Changing with year'!AG160</f>
        <v>35.3530328593002</v>
      </c>
      <c r="AH56" s="339"/>
    </row>
    <row r="57" spans="1:41">
      <c r="A57" s="328" t="s">
        <v>301</v>
      </c>
      <c r="B57" s="328" t="s">
        <v>300</v>
      </c>
      <c r="C57" s="338">
        <f>'Changing with year'!C192</f>
        <v>11.4</v>
      </c>
      <c r="D57" s="338">
        <f>'Changing with year'!D192</f>
        <v>11.856000000000002</v>
      </c>
      <c r="E57" s="338">
        <f>'Changing with year'!E192</f>
        <v>12.330240000000002</v>
      </c>
      <c r="F57" s="338">
        <f>'Changing with year'!F192</f>
        <v>12.823449600000002</v>
      </c>
      <c r="G57" s="338">
        <f>'Changing with year'!G192</f>
        <v>13.336387584000002</v>
      </c>
      <c r="H57" s="338">
        <f>'Changing with year'!H192</f>
        <v>13.869843087360003</v>
      </c>
      <c r="I57" s="338">
        <f>'Changing with year'!I192</f>
        <v>14.424636810854404</v>
      </c>
      <c r="J57" s="338">
        <f>'Changing with year'!J192</f>
        <v>15.001622283288579</v>
      </c>
      <c r="K57" s="338">
        <f>'Changing with year'!K192</f>
        <v>15.601687174620123</v>
      </c>
      <c r="L57" s="338">
        <f>'Changing with year'!L192</f>
        <v>16.225754661604928</v>
      </c>
      <c r="M57" s="338">
        <f>'Changing with year'!M192</f>
        <v>16.874784848069126</v>
      </c>
      <c r="N57" s="338">
        <f>'Changing with year'!N192</f>
        <v>17.549776241991893</v>
      </c>
      <c r="O57" s="338">
        <f>'Changing with year'!O192</f>
        <v>18.25176729167157</v>
      </c>
      <c r="P57" s="338">
        <f>'Changing with year'!P192</f>
        <v>18.981837983338433</v>
      </c>
      <c r="Q57" s="338">
        <f>'Changing with year'!Q192</f>
        <v>19.74111150267197</v>
      </c>
      <c r="R57" s="338">
        <f>'Changing with year'!R192</f>
        <v>20.530755962778848</v>
      </c>
      <c r="S57" s="338">
        <f>'Changing with year'!S192</f>
        <v>21.351986201290003</v>
      </c>
      <c r="T57" s="338">
        <f>'Changing with year'!T192</f>
        <v>22.206065649341603</v>
      </c>
      <c r="U57" s="338">
        <f>'Changing with year'!U192</f>
        <v>23.094308275315267</v>
      </c>
      <c r="V57" s="338">
        <f>'Changing with year'!V192</f>
        <v>24.018080606327878</v>
      </c>
      <c r="W57" s="338">
        <f>'Changing with year'!W192</f>
        <v>24.978803830580993</v>
      </c>
      <c r="X57" s="338">
        <f>'Changing with year'!X192</f>
        <v>25.977955983804232</v>
      </c>
      <c r="Y57" s="338">
        <f>'Changing with year'!Y192</f>
        <v>27.017074223156403</v>
      </c>
      <c r="Z57" s="338">
        <f>'Changing with year'!Z192</f>
        <v>28.097757192082661</v>
      </c>
      <c r="AA57" s="338">
        <f>'Changing with year'!AA192</f>
        <v>29.221667479765969</v>
      </c>
      <c r="AB57" s="338">
        <f>'Changing with year'!AB192</f>
        <v>30.39053417895661</v>
      </c>
      <c r="AC57" s="338">
        <f>'Changing with year'!AC192</f>
        <v>31.606155546114877</v>
      </c>
      <c r="AD57" s="338">
        <f>'Changing with year'!AD192</f>
        <v>32.870401767959471</v>
      </c>
      <c r="AE57" s="338">
        <f>'Changing with year'!AE192</f>
        <v>34.18521783867785</v>
      </c>
      <c r="AF57" s="338">
        <f>'Changing with year'!AF192</f>
        <v>35.552626552224964</v>
      </c>
      <c r="AG57" s="338">
        <f>'Changing with year'!AG192</f>
        <v>36.974731614313967</v>
      </c>
      <c r="AH57" s="339"/>
    </row>
    <row r="58" spans="1:41" ht="28.8">
      <c r="A58" s="337" t="s">
        <v>302</v>
      </c>
      <c r="B58" s="328" t="s">
        <v>300</v>
      </c>
      <c r="C58" s="338">
        <f>'Changing with year'!C224</f>
        <v>12.772791791023103</v>
      </c>
      <c r="D58" s="338">
        <f>'Changing with year'!D224</f>
        <v>12.964371996247525</v>
      </c>
      <c r="E58" s="338">
        <f>'Changing with year'!E224</f>
        <v>13.17159869634134</v>
      </c>
      <c r="F58" s="338">
        <f>'Changing with year'!F224</f>
        <v>13.394898168932805</v>
      </c>
      <c r="G58" s="338">
        <f>'Changing with year'!G224</f>
        <v>13.634718732309484</v>
      </c>
      <c r="H58" s="338">
        <f>'Changing with year'!H224</f>
        <v>13.891531502305746</v>
      </c>
      <c r="I58" s="338">
        <f>'Changing with year'!I224</f>
        <v>14.187474381031473</v>
      </c>
      <c r="J58" s="338">
        <f>'Changing with year'!J224</f>
        <v>14.500449342533559</v>
      </c>
      <c r="K58" s="338">
        <f>'Changing with year'!K224</f>
        <v>14.831033782770508</v>
      </c>
      <c r="L58" s="338">
        <f>'Changing with year'!L224</f>
        <v>15.179830271286223</v>
      </c>
      <c r="M58" s="338">
        <f>'Changing with year'!M224</f>
        <v>15.547467516598472</v>
      </c>
      <c r="N58" s="338">
        <f>'Changing with year'!N224</f>
        <v>15.934601371033992</v>
      </c>
      <c r="O58" s="338">
        <f>'Changing with year'!O224</f>
        <v>16.341915876571505</v>
      </c>
      <c r="P58" s="338">
        <f>'Changing with year'!P224</f>
        <v>16.770124353316596</v>
      </c>
      <c r="Q58" s="338">
        <f>'Changing with year'!Q224</f>
        <v>17.219970532297843</v>
      </c>
      <c r="R58" s="338">
        <f>'Changing with year'!R224</f>
        <v>17.692229734341371</v>
      </c>
      <c r="S58" s="338">
        <f>'Changing with year'!S224</f>
        <v>18.223078234662172</v>
      </c>
      <c r="T58" s="338">
        <f>'Changing with year'!T224</f>
        <v>18.776929081886337</v>
      </c>
      <c r="U58" s="338">
        <f>'Changing with year'!U224</f>
        <v>19.354684685821098</v>
      </c>
      <c r="V58" s="338">
        <f>'Changing with year'!V224</f>
        <v>19.957283729506649</v>
      </c>
      <c r="W58" s="338">
        <f>'Changing with year'!W224</f>
        <v>20.585702618377098</v>
      </c>
      <c r="X58" s="338">
        <f>'Changing with year'!X224</f>
        <v>21.240956987405465</v>
      </c>
      <c r="Y58" s="338">
        <f>'Changing with year'!Y224</f>
        <v>21.924103268552027</v>
      </c>
      <c r="Z58" s="338">
        <f>'Changing with year'!Z224</f>
        <v>22.636240320927953</v>
      </c>
      <c r="AA58" s="338">
        <f>'Changing with year'!AA224</f>
        <v>23.37851112618258</v>
      </c>
      <c r="AB58" s="338">
        <f>'Changing with year'!AB224</f>
        <v>24.152104551723212</v>
      </c>
      <c r="AC58" s="338">
        <f>'Changing with year'!AC224</f>
        <v>25.022229804205178</v>
      </c>
      <c r="AD58" s="338">
        <f>'Changing with year'!AD224</f>
        <v>25.926200477490553</v>
      </c>
      <c r="AE58" s="338">
        <f>'Changing with year'!AE224</f>
        <v>26.865360792518519</v>
      </c>
      <c r="AF58" s="338">
        <f>'Changing with year'!AF224</f>
        <v>27.841108643106882</v>
      </c>
      <c r="AG58" s="338">
        <f>'Changing with year'!AG224</f>
        <v>28.854897741907656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year'!C256</f>
        <v>13.338000000000001</v>
      </c>
      <c r="D59" s="338">
        <f>'Changing with year'!D256</f>
        <v>13.515450000000001</v>
      </c>
      <c r="E59" s="338">
        <f>'Changing with year'!E256</f>
        <v>13.708899749999999</v>
      </c>
      <c r="F59" s="338">
        <f>'Changing with year'!F256</f>
        <v>13.918766696250003</v>
      </c>
      <c r="G59" s="338">
        <f>'Changing with year'!G256</f>
        <v>14.145490546443753</v>
      </c>
      <c r="H59" s="338">
        <f>'Changing with year'!H256</f>
        <v>14.389534021086657</v>
      </c>
      <c r="I59" s="338">
        <f>'Changing with year'!I256</f>
        <v>14.675516849436766</v>
      </c>
      <c r="J59" s="338">
        <f>'Changing with year'!J256</f>
        <v>14.978730961570742</v>
      </c>
      <c r="K59" s="338">
        <f>'Changing with year'!K256</f>
        <v>15.299749769426949</v>
      </c>
      <c r="L59" s="338">
        <f>'Changing with year'!L256</f>
        <v>15.639171938209538</v>
      </c>
      <c r="M59" s="338">
        <f>'Changing with year'!M256</f>
        <v>15.997622350183319</v>
      </c>
      <c r="N59" s="338">
        <f>'Changing with year'!N256</f>
        <v>16.375753107947144</v>
      </c>
      <c r="O59" s="338">
        <f>'Changing with year'!O256</f>
        <v>16.774244578746394</v>
      </c>
      <c r="P59" s="338">
        <f>'Changing with year'!P256</f>
        <v>17.193806481447986</v>
      </c>
      <c r="Q59" s="338">
        <f>'Changing with year'!Q256</f>
        <v>17.635179017866605</v>
      </c>
      <c r="R59" s="338">
        <f>'Changing with year'!R256</f>
        <v>18.099134050198757</v>
      </c>
      <c r="S59" s="338">
        <f>'Changing with year'!S256</f>
        <v>18.625913507360988</v>
      </c>
      <c r="T59" s="338">
        <f>'Changing with year'!T256</f>
        <v>19.175736001858162</v>
      </c>
      <c r="U59" s="338">
        <f>'Changing with year'!U256</f>
        <v>19.749503536593203</v>
      </c>
      <c r="V59" s="338">
        <f>'Changing with year'!V256</f>
        <v>20.348154391771033</v>
      </c>
      <c r="W59" s="338">
        <f>'Changing with year'!W256</f>
        <v>20.97266457401884</v>
      </c>
      <c r="X59" s="338">
        <f>'Changing with year'!X256</f>
        <v>21.624049323490787</v>
      </c>
      <c r="Y59" s="338">
        <f>'Changing with year'!Y256</f>
        <v>22.303364681276499</v>
      </c>
      <c r="Z59" s="338">
        <f>'Changing with year'!Z256</f>
        <v>23.011709119525179</v>
      </c>
      <c r="AA59" s="338">
        <f>'Changing with year'!AA256</f>
        <v>23.750225236793831</v>
      </c>
      <c r="AB59" s="338">
        <f>'Changing with year'!AB256</f>
        <v>24.520101521228355</v>
      </c>
      <c r="AC59" s="338">
        <f>'Changing with year'!AC256</f>
        <v>25.39390674340537</v>
      </c>
      <c r="AD59" s="338">
        <f>'Changing with year'!AD256</f>
        <v>26.301594186082752</v>
      </c>
      <c r="AE59" s="338">
        <f>'Changing with year'!AE256</f>
        <v>27.244508438196636</v>
      </c>
      <c r="AF59" s="338">
        <f>'Changing with year'!AF256</f>
        <v>28.224047765241774</v>
      </c>
      <c r="AG59" s="338">
        <f>'Changing with year'!AG256</f>
        <v>29.241666255263901</v>
      </c>
      <c r="AH59" s="339"/>
    </row>
    <row r="60" spans="1:41">
      <c r="A60" s="328" t="s">
        <v>304</v>
      </c>
      <c r="B60" s="374" t="s">
        <v>305</v>
      </c>
      <c r="C60" s="361">
        <f>'Changing with year'!C271*$C$21*$C$22</f>
        <v>571200</v>
      </c>
      <c r="D60" s="361">
        <f>'Changing with year'!D271*$C$21*$C$22</f>
        <v>576912</v>
      </c>
      <c r="E60" s="361">
        <f>'Changing with year'!E271*$C$21*$C$22</f>
        <v>582681.12000000011</v>
      </c>
      <c r="F60" s="361">
        <f>'Changing with year'!F271*$C$21*$C$22</f>
        <v>588507.93120000011</v>
      </c>
      <c r="G60" s="361">
        <f>'Changing with year'!G271*$C$21*$C$22</f>
        <v>594393.01051200007</v>
      </c>
      <c r="H60" s="361">
        <f>'Changing with year'!H271*$C$21*$C$22</f>
        <v>600336.94061712013</v>
      </c>
      <c r="I60" s="361">
        <f>'Changing with year'!I271*$C$21*$C$22</f>
        <v>606340.31002329127</v>
      </c>
      <c r="J60" s="361">
        <f>'Changing with year'!J271*$C$21*$C$22</f>
        <v>612403.71312352421</v>
      </c>
      <c r="K60" s="361">
        <f>'Changing with year'!K271*$C$21*$C$22</f>
        <v>618527.75025475968</v>
      </c>
      <c r="L60" s="361">
        <f>'Changing with year'!L271*$C$21*$C$22</f>
        <v>624713.02775730717</v>
      </c>
      <c r="M60" s="361">
        <f>'Changing with year'!M271*$C$21*$C$22</f>
        <v>630960.1580348803</v>
      </c>
      <c r="N60" s="361">
        <f>'Changing with year'!N271*$C$21*$C$22</f>
        <v>637269.75961522909</v>
      </c>
      <c r="O60" s="361">
        <f>'Changing with year'!O271*$C$21*$C$22</f>
        <v>643642.45721138129</v>
      </c>
      <c r="P60" s="361">
        <f>'Changing with year'!P271*$C$21*$C$22</f>
        <v>650078.88178349519</v>
      </c>
      <c r="Q60" s="361">
        <f>'Changing with year'!Q271*$C$21*$C$22</f>
        <v>656579.67060133012</v>
      </c>
      <c r="R60" s="361">
        <f>'Changing with year'!R271*$C$21*$C$22</f>
        <v>663145.46730734338</v>
      </c>
      <c r="S60" s="361">
        <f>'Changing with year'!S271*$C$21*$C$22</f>
        <v>669776.92198041675</v>
      </c>
      <c r="T60" s="361">
        <f>'Changing with year'!T271*$C$21*$C$22</f>
        <v>676474.69120022096</v>
      </c>
      <c r="U60" s="361">
        <f>'Changing with year'!U271*$C$21*$C$22</f>
        <v>683239.43811222329</v>
      </c>
      <c r="V60" s="361">
        <f>'Changing with year'!V271*$C$21*$C$22</f>
        <v>690071.83249334537</v>
      </c>
      <c r="W60" s="361">
        <f>'Changing with year'!W271*$C$21*$C$22</f>
        <v>696972.55081827892</v>
      </c>
      <c r="X60" s="361">
        <f>'Changing with year'!X271*$C$21*$C$22</f>
        <v>703942.27632646158</v>
      </c>
      <c r="Y60" s="361">
        <f>'Changing with year'!Y271*$C$21*$C$22</f>
        <v>710981.69908972632</v>
      </c>
      <c r="Z60" s="361">
        <f>'Changing with year'!Z271*$C$21*$C$22</f>
        <v>718091.51608062361</v>
      </c>
      <c r="AA60" s="361">
        <f>'Changing with year'!AA271*$C$21*$C$22</f>
        <v>725272.43124142988</v>
      </c>
      <c r="AB60" s="361">
        <f>'Changing with year'!AB271*$C$21*$C$22</f>
        <v>732525.15555384418</v>
      </c>
      <c r="AC60" s="361">
        <f>'Changing with year'!AC271*$C$21*$C$22</f>
        <v>739850.40710938268</v>
      </c>
      <c r="AD60" s="361">
        <f>'Changing with year'!AD271*$C$21*$C$22</f>
        <v>747248.91118047654</v>
      </c>
      <c r="AE60" s="361">
        <f>'Changing with year'!AE271*$C$21*$C$22</f>
        <v>754721.40029228118</v>
      </c>
      <c r="AF60" s="361">
        <f>'Changing with year'!AF271*$C$21*$C$22</f>
        <v>762268.61429520405</v>
      </c>
      <c r="AG60" s="361">
        <f>'Changing with year'!AG271*$C$21*$C$22</f>
        <v>769891.300438156</v>
      </c>
      <c r="AH60" s="339"/>
      <c r="AI60" s="375"/>
      <c r="AJ60" s="376"/>
    </row>
    <row r="61" spans="1:41" s="344" customFormat="1">
      <c r="A61" s="328" t="s">
        <v>306</v>
      </c>
      <c r="B61" s="374" t="s">
        <v>305</v>
      </c>
      <c r="C61" s="361">
        <f>'Changing with year'!C282*$C$21*$C$22</f>
        <v>571200</v>
      </c>
      <c r="D61" s="361">
        <f>'Changing with year'!D282*$C$21*$C$22</f>
        <v>576912</v>
      </c>
      <c r="E61" s="361">
        <f>'Changing with year'!E282*$C$21*$C$22</f>
        <v>582681.12000000011</v>
      </c>
      <c r="F61" s="361">
        <f>'Changing with year'!F282*$C$21*$C$22</f>
        <v>588507.93120000011</v>
      </c>
      <c r="G61" s="361">
        <f>'Changing with year'!G282*$C$21*$C$22</f>
        <v>594393.01051200007</v>
      </c>
      <c r="H61" s="361">
        <f>'Changing with year'!H282*$C$21*$C$22</f>
        <v>600336.94061712013</v>
      </c>
      <c r="I61" s="361">
        <f>'Changing with year'!I282*$C$21*$C$22</f>
        <v>606340.31002329127</v>
      </c>
      <c r="J61" s="361">
        <f>'Changing with year'!J282*$C$21*$C$22</f>
        <v>612403.71312352421</v>
      </c>
      <c r="K61" s="361">
        <f>'Changing with year'!K282*$C$21*$C$22</f>
        <v>618527.75025475968</v>
      </c>
      <c r="L61" s="361">
        <f>'Changing with year'!L282*$C$21*$C$22</f>
        <v>624713.02775730717</v>
      </c>
      <c r="M61" s="361">
        <f>'Changing with year'!M282*$C$21*$C$22</f>
        <v>630960.1580348803</v>
      </c>
      <c r="N61" s="361">
        <f>'Changing with year'!N282*$C$21*$C$22</f>
        <v>637269.75961522909</v>
      </c>
      <c r="O61" s="361">
        <f>'Changing with year'!O282*$C$21*$C$22</f>
        <v>643642.45721138129</v>
      </c>
      <c r="P61" s="361">
        <f>'Changing with year'!P282*$C$21*$C$22</f>
        <v>650078.88178349519</v>
      </c>
      <c r="Q61" s="361">
        <f>'Changing with year'!Q282*$C$21*$C$22</f>
        <v>656579.67060133012</v>
      </c>
      <c r="R61" s="361">
        <f>'Changing with year'!R282*$C$21*$C$22</f>
        <v>663145.46730734338</v>
      </c>
      <c r="S61" s="361">
        <f>'Changing with year'!S282*$C$21*$C$22</f>
        <v>669776.92198041675</v>
      </c>
      <c r="T61" s="361">
        <f>'Changing with year'!T282*$C$21*$C$22</f>
        <v>676474.69120022096</v>
      </c>
      <c r="U61" s="361">
        <f>'Changing with year'!U282*$C$21*$C$22</f>
        <v>683239.43811222329</v>
      </c>
      <c r="V61" s="361">
        <f>'Changing with year'!V282*$C$21*$C$22</f>
        <v>690071.83249334537</v>
      </c>
      <c r="W61" s="361">
        <f>'Changing with year'!W282*$C$21*$C$22</f>
        <v>696972.55081827892</v>
      </c>
      <c r="X61" s="361">
        <f>'Changing with year'!X282*$C$21*$C$22</f>
        <v>703942.27632646158</v>
      </c>
      <c r="Y61" s="361">
        <f>'Changing with year'!Y282*$C$21*$C$22</f>
        <v>710981.69908972632</v>
      </c>
      <c r="Z61" s="361">
        <f>'Changing with year'!Z282*$C$21*$C$22</f>
        <v>718091.51608062361</v>
      </c>
      <c r="AA61" s="361">
        <f>'Changing with year'!AA282*$C$21*$C$22</f>
        <v>725272.43124142988</v>
      </c>
      <c r="AB61" s="361">
        <f>'Changing with year'!AB282*$C$21*$C$22</f>
        <v>732525.15555384418</v>
      </c>
      <c r="AC61" s="361">
        <f>'Changing with year'!AC282*$C$21*$C$22</f>
        <v>739850.40710938268</v>
      </c>
      <c r="AD61" s="361">
        <f>'Changing with year'!AD282*$C$21*$C$22</f>
        <v>747248.91118047654</v>
      </c>
      <c r="AE61" s="361">
        <f>'Changing with year'!AE282*$C$21*$C$22</f>
        <v>754721.40029228118</v>
      </c>
      <c r="AF61" s="361">
        <f>'Changing with year'!AF282*$C$21*$C$22</f>
        <v>762268.61429520405</v>
      </c>
      <c r="AG61" s="361">
        <f>'Changing with year'!AG282*$C$21*$C$22</f>
        <v>769891.300438156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>G62+1</f>
        <v>2030</v>
      </c>
      <c r="I62" s="360">
        <f>H62+1</f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year'!C87</f>
        <v>4800000</v>
      </c>
      <c r="D63" s="376">
        <f>'Changing with year'!D87</f>
        <v>4944000</v>
      </c>
      <c r="E63" s="376">
        <f>'Changing with year'!E87</f>
        <v>5092300</v>
      </c>
      <c r="F63" s="376">
        <f>'Changing with year'!F87</f>
        <v>5245100</v>
      </c>
      <c r="G63" s="376">
        <f>'Changing with year'!G87</f>
        <v>5402500</v>
      </c>
      <c r="H63" s="376">
        <f>'Changing with year'!H87</f>
        <v>5964600</v>
      </c>
      <c r="I63" s="376">
        <f>'Changing with year'!I87</f>
        <v>6143500</v>
      </c>
      <c r="J63" s="376">
        <f>'Changing with year'!J87</f>
        <v>6327800</v>
      </c>
      <c r="K63" s="376">
        <f>'Changing with year'!K87</f>
        <v>6517600</v>
      </c>
      <c r="L63" s="376">
        <f>'Changing with year'!L87</f>
        <v>6713100</v>
      </c>
      <c r="M63" s="376">
        <f>'Changing with year'!M87</f>
        <v>6914500</v>
      </c>
      <c r="N63" s="376">
        <f>'Changing with year'!N87</f>
        <v>7121900</v>
      </c>
      <c r="O63" s="376">
        <f>'Changing with year'!O87</f>
        <v>7335600</v>
      </c>
      <c r="P63" s="376">
        <f>'Changing with year'!P87</f>
        <v>7555700</v>
      </c>
      <c r="Q63" s="376">
        <f>'Changing with year'!Q87</f>
        <v>7782400</v>
      </c>
      <c r="R63" s="376">
        <f>'Changing with year'!R87</f>
        <v>8015900</v>
      </c>
      <c r="S63" s="376">
        <f>'Changing with year'!S87</f>
        <v>8256400</v>
      </c>
      <c r="T63" s="376">
        <f>'Changing with year'!T87</f>
        <v>8504100</v>
      </c>
      <c r="U63" s="376">
        <f>'Changing with year'!U87</f>
        <v>8759200</v>
      </c>
      <c r="V63" s="376">
        <f>'Changing with year'!V87</f>
        <v>9022000</v>
      </c>
      <c r="W63" s="376">
        <f>'Changing with year'!W87</f>
        <v>9292700</v>
      </c>
      <c r="X63" s="376">
        <f>'Changing with year'!X87</f>
        <v>9571500</v>
      </c>
      <c r="Y63" s="376">
        <f>'Changing with year'!Y87</f>
        <v>9858600</v>
      </c>
      <c r="Z63" s="376">
        <f>'Changing with year'!Z87</f>
        <v>10154400</v>
      </c>
      <c r="AA63" s="376">
        <f>'Changing with year'!AA87</f>
        <v>10459000</v>
      </c>
      <c r="AB63" s="376">
        <f>'Changing with year'!AB87</f>
        <v>10772800</v>
      </c>
      <c r="AC63" s="376">
        <f>'Changing with year'!AC87</f>
        <v>11096000</v>
      </c>
      <c r="AD63" s="376">
        <f>'Changing with year'!AD87</f>
        <v>11428900</v>
      </c>
      <c r="AE63" s="376">
        <f>'Changing with year'!AE87</f>
        <v>11771800</v>
      </c>
      <c r="AF63" s="376">
        <f>'Changing with year'!AF87</f>
        <v>12125000</v>
      </c>
      <c r="AG63" s="376">
        <f>'Changing with year'!AG87</f>
        <v>12488800</v>
      </c>
    </row>
    <row r="64" spans="1:41">
      <c r="A64" s="368" t="s">
        <v>310</v>
      </c>
      <c r="B64" s="300" t="s">
        <v>309</v>
      </c>
      <c r="C64" s="376">
        <f>(C63*'No change with year'!$Y$12)</f>
        <v>1440000</v>
      </c>
      <c r="D64" s="376">
        <f>(D63*'No change with year'!$Y$12)</f>
        <v>1483200</v>
      </c>
      <c r="E64" s="376">
        <f>(E63*'No change with year'!$Y$12)</f>
        <v>1527690</v>
      </c>
      <c r="F64" s="376">
        <f>(F63*'No change with year'!$Y$12)</f>
        <v>1573530</v>
      </c>
      <c r="G64" s="376">
        <f>(G63*'No change with year'!$Y$12)</f>
        <v>1620750</v>
      </c>
      <c r="H64" s="376">
        <f>(H63*'No change with year'!$Y$12)</f>
        <v>1789380</v>
      </c>
      <c r="I64" s="376">
        <f>(I63*'No change with year'!$Y$12)</f>
        <v>1843050</v>
      </c>
      <c r="J64" s="376">
        <f>(J63*'No change with year'!$Y$12)</f>
        <v>1898340</v>
      </c>
      <c r="K64" s="376">
        <f>(K63*'No change with year'!$Y$12)</f>
        <v>1955280</v>
      </c>
      <c r="L64" s="376">
        <f>(L63*'No change with year'!$Y$12)</f>
        <v>2013930</v>
      </c>
      <c r="M64" s="376">
        <f>(M63*'No change with year'!$Y$12)</f>
        <v>2074350</v>
      </c>
      <c r="N64" s="376">
        <f>(N63*'No change with year'!$Z$12)</f>
        <v>1780475</v>
      </c>
      <c r="O64" s="376">
        <f>(O63*'No change with year'!$Z$12)</f>
        <v>1833900</v>
      </c>
      <c r="P64" s="376">
        <f>(P63*'No change with year'!$Z$12)</f>
        <v>1888925</v>
      </c>
      <c r="Q64" s="376">
        <f>(Q63*'No change with year'!$Z$12)</f>
        <v>1945600</v>
      </c>
      <c r="R64" s="376">
        <f>(R63*'No change with year'!$Z$12)</f>
        <v>2003975</v>
      </c>
      <c r="S64" s="376">
        <f>(S63*'No change with year'!$Z$12)</f>
        <v>2064100</v>
      </c>
      <c r="T64" s="376">
        <f>(T63*'No change with year'!$Z$12)</f>
        <v>2126025</v>
      </c>
      <c r="U64" s="376">
        <f>(U63*'No change with year'!$Z$12)</f>
        <v>2189800</v>
      </c>
      <c r="V64" s="376">
        <f>(V63*'No change with year'!$Z$12)</f>
        <v>2255500</v>
      </c>
      <c r="W64" s="376">
        <f>(W63*'No change with year'!$Z$12)</f>
        <v>2323175</v>
      </c>
      <c r="X64" s="376">
        <f>(X63*'No change with year'!$AA$12)</f>
        <v>1914299.9999999998</v>
      </c>
      <c r="Y64" s="376">
        <f>(Y63*'No change with year'!$AA$12)</f>
        <v>1971719.9999999998</v>
      </c>
      <c r="Z64" s="376">
        <f>(Z63*'No change with year'!$AA$12)</f>
        <v>2030879.9999999998</v>
      </c>
      <c r="AA64" s="376">
        <f>(AA63*'No change with year'!$AA$12)</f>
        <v>2091799.9999999998</v>
      </c>
      <c r="AB64" s="376">
        <f>(AB63*'No change with year'!$AA$12)</f>
        <v>2154560</v>
      </c>
      <c r="AC64" s="376">
        <f>(AC63*'No change with year'!$AA$12)</f>
        <v>2219200</v>
      </c>
      <c r="AD64" s="376">
        <f>(AD63*'No change with year'!$AA$12)</f>
        <v>2285780</v>
      </c>
      <c r="AE64" s="376">
        <f>(AE63*'No change with year'!$AA$12)</f>
        <v>2354360</v>
      </c>
      <c r="AF64" s="376">
        <f>(AF63*'No change with year'!$AA$12)</f>
        <v>2425000</v>
      </c>
      <c r="AG64" s="376">
        <f>(AG63*'No change with year'!$AA$12)</f>
        <v>2497760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1051765.1323266763</v>
      </c>
      <c r="D66" s="376">
        <f t="shared" si="4"/>
        <v>1083318.0862964764</v>
      </c>
      <c r="E66" s="376">
        <f t="shared" si="4"/>
        <v>1115813.2465306527</v>
      </c>
      <c r="F66" s="376">
        <f t="shared" si="4"/>
        <v>1149294.4365763851</v>
      </c>
      <c r="G66" s="376">
        <f t="shared" si="4"/>
        <v>1183783.5682072642</v>
      </c>
      <c r="H66" s="376">
        <f t="shared" si="4"/>
        <v>1306949.647557436</v>
      </c>
      <c r="I66" s="376">
        <f t="shared" si="4"/>
        <v>1346149.8105101949</v>
      </c>
      <c r="J66" s="376">
        <f t="shared" si="4"/>
        <v>1386533.2092368212</v>
      </c>
      <c r="K66" s="376">
        <f t="shared" si="4"/>
        <v>1428121.7555109051</v>
      </c>
      <c r="L66" s="376">
        <f t="shared" si="4"/>
        <v>1470959.2728796271</v>
      </c>
      <c r="M66" s="376">
        <f t="shared" si="4"/>
        <v>1515089.5848901672</v>
      </c>
      <c r="N66" s="376">
        <f t="shared" si="4"/>
        <v>1560534.6033161157</v>
      </c>
      <c r="O66" s="376">
        <f t="shared" si="4"/>
        <v>1607360.0634782428</v>
      </c>
      <c r="P66" s="376">
        <f t="shared" si="4"/>
        <v>1655587.8771501388</v>
      </c>
      <c r="Q66" s="376">
        <f t="shared" si="4"/>
        <v>1705261.8678789842</v>
      </c>
      <c r="R66" s="376">
        <f t="shared" si="4"/>
        <v>1756425.8592119589</v>
      </c>
      <c r="S66" s="376">
        <f t="shared" si="4"/>
        <v>1809123.6746962436</v>
      </c>
      <c r="T66" s="376">
        <f t="shared" si="4"/>
        <v>1863399.137879018</v>
      </c>
      <c r="U66" s="376">
        <f t="shared" si="4"/>
        <v>1919296.0723074628</v>
      </c>
      <c r="V66" s="376">
        <f t="shared" si="4"/>
        <v>1976880.2133023485</v>
      </c>
      <c r="W66" s="376">
        <f t="shared" si="4"/>
        <v>2036195.3844108549</v>
      </c>
      <c r="X66" s="376">
        <f t="shared" si="4"/>
        <v>2097285.4091801629</v>
      </c>
      <c r="Y66" s="376">
        <f t="shared" si="4"/>
        <v>2160194.1111574522</v>
      </c>
      <c r="Z66" s="376">
        <f t="shared" si="4"/>
        <v>2225009.1374370833</v>
      </c>
      <c r="AA66" s="376">
        <f t="shared" si="4"/>
        <v>2291752.399792647</v>
      </c>
      <c r="AB66" s="376">
        <f t="shared" si="4"/>
        <v>2360511.5453185034</v>
      </c>
      <c r="AC66" s="376">
        <f t="shared" si="4"/>
        <v>2431330.3975618333</v>
      </c>
      <c r="AD66" s="376">
        <f t="shared" si="4"/>
        <v>2504274.6918434063</v>
      </c>
      <c r="AE66" s="376">
        <f t="shared" si="4"/>
        <v>2579410.1634839927</v>
      </c>
      <c r="AF66" s="376">
        <f t="shared" si="4"/>
        <v>2656802.547804364</v>
      </c>
      <c r="AG66" s="376">
        <f t="shared" si="4"/>
        <v>2736517.5801252904</v>
      </c>
    </row>
    <row r="67" spans="1:35">
      <c r="A67" s="368" t="s">
        <v>314</v>
      </c>
      <c r="B67" s="368" t="s">
        <v>313</v>
      </c>
      <c r="C67" s="376">
        <f t="shared" ref="C67:AG67" si="5">C41*$C$38</f>
        <v>1991949.0328319995</v>
      </c>
      <c r="D67" s="376">
        <f t="shared" si="5"/>
        <v>2217600</v>
      </c>
      <c r="E67" s="376">
        <f t="shared" si="5"/>
        <v>2261952</v>
      </c>
      <c r="F67" s="376">
        <f t="shared" si="5"/>
        <v>2307191.04</v>
      </c>
      <c r="G67" s="376">
        <f t="shared" si="5"/>
        <v>2353334.8608000004</v>
      </c>
      <c r="H67" s="376">
        <f t="shared" si="5"/>
        <v>2400401.5580160003</v>
      </c>
      <c r="I67" s="376">
        <f t="shared" si="5"/>
        <v>2448409.58917632</v>
      </c>
      <c r="J67" s="376">
        <f t="shared" si="5"/>
        <v>2497377.7809598465</v>
      </c>
      <c r="K67" s="376">
        <f t="shared" si="5"/>
        <v>2547325.3365790434</v>
      </c>
      <c r="L67" s="376">
        <f t="shared" si="5"/>
        <v>2598271.8433106244</v>
      </c>
      <c r="M67" s="376">
        <f t="shared" si="5"/>
        <v>2650237.280176837</v>
      </c>
      <c r="N67" s="376">
        <f t="shared" si="5"/>
        <v>2703242.0257803737</v>
      </c>
      <c r="O67" s="376">
        <f t="shared" si="5"/>
        <v>2757306.8662959812</v>
      </c>
      <c r="P67" s="376">
        <f t="shared" si="5"/>
        <v>2812453.0036219009</v>
      </c>
      <c r="Q67" s="376">
        <f t="shared" si="5"/>
        <v>2868702.0636943388</v>
      </c>
      <c r="R67" s="376">
        <f t="shared" si="5"/>
        <v>2926076.1049682256</v>
      </c>
      <c r="S67" s="376">
        <f t="shared" si="5"/>
        <v>2984597.6270675906</v>
      </c>
      <c r="T67" s="376">
        <f t="shared" si="5"/>
        <v>3044289.5796089424</v>
      </c>
      <c r="U67" s="376">
        <f t="shared" si="5"/>
        <v>3105175.3712011217</v>
      </c>
      <c r="V67" s="376">
        <f t="shared" si="5"/>
        <v>3167278.8786251443</v>
      </c>
      <c r="W67" s="376">
        <f t="shared" si="5"/>
        <v>3230624.4561976469</v>
      </c>
      <c r="X67" s="376">
        <f t="shared" si="5"/>
        <v>3295236.9453216</v>
      </c>
      <c r="Y67" s="376">
        <f t="shared" si="5"/>
        <v>3361141.6842280319</v>
      </c>
      <c r="Z67" s="376">
        <f t="shared" si="5"/>
        <v>3428364.5179125927</v>
      </c>
      <c r="AA67" s="376">
        <f t="shared" si="5"/>
        <v>3496931.8082708446</v>
      </c>
      <c r="AB67" s="376">
        <f t="shared" si="5"/>
        <v>3566870.4444362614</v>
      </c>
      <c r="AC67" s="376">
        <f t="shared" si="5"/>
        <v>3638207.8533249865</v>
      </c>
      <c r="AD67" s="376">
        <f t="shared" si="5"/>
        <v>3710972.0103914859</v>
      </c>
      <c r="AE67" s="376">
        <f t="shared" si="5"/>
        <v>3785191.450599316</v>
      </c>
      <c r="AF67" s="376">
        <f t="shared" si="5"/>
        <v>3860895.2796113025</v>
      </c>
      <c r="AG67" s="376">
        <f t="shared" si="5"/>
        <v>3938113.1852035285</v>
      </c>
    </row>
    <row r="68" spans="1:35">
      <c r="A68" s="368" t="s">
        <v>315</v>
      </c>
      <c r="B68" s="368" t="s">
        <v>313</v>
      </c>
      <c r="C68" s="329">
        <f t="shared" ref="C68:AG68" si="6">$C$38*$AH$68*C42</f>
        <v>61600</v>
      </c>
      <c r="D68" s="329">
        <f t="shared" si="6"/>
        <v>63139.999999999993</v>
      </c>
      <c r="E68" s="329">
        <f t="shared" si="6"/>
        <v>64718.499999999985</v>
      </c>
      <c r="F68" s="329">
        <f t="shared" si="6"/>
        <v>66336.46249999998</v>
      </c>
      <c r="G68" s="329">
        <f t="shared" si="6"/>
        <v>67994.874062499977</v>
      </c>
      <c r="H68" s="329">
        <f t="shared" si="6"/>
        <v>69694.745914062471</v>
      </c>
      <c r="I68" s="329">
        <f t="shared" si="6"/>
        <v>71437.11456191403</v>
      </c>
      <c r="J68" s="329">
        <f t="shared" si="6"/>
        <v>73223.042425961874</v>
      </c>
      <c r="K68" s="329">
        <f t="shared" si="6"/>
        <v>75053.618486610911</v>
      </c>
      <c r="L68" s="329">
        <f t="shared" si="6"/>
        <v>76929.958948776184</v>
      </c>
      <c r="M68" s="329">
        <f t="shared" si="6"/>
        <v>78853.207922495581</v>
      </c>
      <c r="N68" s="329">
        <f t="shared" si="6"/>
        <v>80824.538120557962</v>
      </c>
      <c r="O68" s="329">
        <f t="shared" si="6"/>
        <v>82845.1515735719</v>
      </c>
      <c r="P68" s="329">
        <f t="shared" si="6"/>
        <v>84916.280362911202</v>
      </c>
      <c r="Q68" s="329">
        <f t="shared" si="6"/>
        <v>87039.187371983964</v>
      </c>
      <c r="R68" s="329">
        <f t="shared" si="6"/>
        <v>89215.167056283564</v>
      </c>
      <c r="S68" s="329">
        <f t="shared" si="6"/>
        <v>91445.546232690642</v>
      </c>
      <c r="T68" s="329">
        <f t="shared" si="6"/>
        <v>93731.684888507909</v>
      </c>
      <c r="U68" s="329">
        <f t="shared" si="6"/>
        <v>96074.977010720599</v>
      </c>
      <c r="V68" s="329">
        <f t="shared" si="6"/>
        <v>98476.851435988603</v>
      </c>
      <c r="W68" s="329">
        <f t="shared" si="6"/>
        <v>100938.77272188831</v>
      </c>
      <c r="X68" s="329">
        <f t="shared" si="6"/>
        <v>103462.24203993552</v>
      </c>
      <c r="Y68" s="329">
        <f t="shared" si="6"/>
        <v>106048.79809093389</v>
      </c>
      <c r="Z68" s="329">
        <f t="shared" si="6"/>
        <v>108700.01804320724</v>
      </c>
      <c r="AA68" s="329">
        <f t="shared" si="6"/>
        <v>111417.5184942874</v>
      </c>
      <c r="AB68" s="329">
        <f t="shared" si="6"/>
        <v>114202.95645664458</v>
      </c>
      <c r="AC68" s="329">
        <f t="shared" si="6"/>
        <v>117058.03036806069</v>
      </c>
      <c r="AD68" s="329">
        <f t="shared" si="6"/>
        <v>119984.48112726219</v>
      </c>
      <c r="AE68" s="329">
        <f t="shared" si="6"/>
        <v>122984.09315544374</v>
      </c>
      <c r="AF68" s="329">
        <f t="shared" si="6"/>
        <v>126058.69548432982</v>
      </c>
      <c r="AG68" s="329">
        <f t="shared" si="6"/>
        <v>129210.16287143805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732480</v>
      </c>
      <c r="D69" s="376">
        <f t="shared" si="7"/>
        <v>761779.20000000007</v>
      </c>
      <c r="E69" s="376">
        <f t="shared" si="7"/>
        <v>792250.36800000002</v>
      </c>
      <c r="F69" s="376">
        <f t="shared" si="7"/>
        <v>823940.38271999999</v>
      </c>
      <c r="G69" s="376">
        <f t="shared" si="7"/>
        <v>856897.99802880012</v>
      </c>
      <c r="H69" s="376">
        <f t="shared" si="7"/>
        <v>891173.91794995207</v>
      </c>
      <c r="I69" s="376">
        <f t="shared" si="7"/>
        <v>926820.87466795021</v>
      </c>
      <c r="J69" s="376">
        <f t="shared" si="7"/>
        <v>963893.70965466823</v>
      </c>
      <c r="K69" s="376">
        <f t="shared" si="7"/>
        <v>1002449.4580408549</v>
      </c>
      <c r="L69" s="376">
        <f t="shared" si="7"/>
        <v>1042547.4363624891</v>
      </c>
      <c r="M69" s="376">
        <f t="shared" si="7"/>
        <v>1084249.3338169886</v>
      </c>
      <c r="N69" s="376">
        <f t="shared" si="7"/>
        <v>1127619.3071696684</v>
      </c>
      <c r="O69" s="376">
        <f t="shared" si="7"/>
        <v>1172724.0794564551</v>
      </c>
      <c r="P69" s="376">
        <f t="shared" si="7"/>
        <v>1219633.0426347135</v>
      </c>
      <c r="Q69" s="376">
        <f t="shared" si="7"/>
        <v>1268418.3643401021</v>
      </c>
      <c r="R69" s="376">
        <f t="shared" si="7"/>
        <v>1319155.0989137061</v>
      </c>
      <c r="S69" s="376">
        <f t="shared" si="7"/>
        <v>1371921.3028702545</v>
      </c>
      <c r="T69" s="376">
        <f t="shared" si="7"/>
        <v>1426798.1549850646</v>
      </c>
      <c r="U69" s="376">
        <f t="shared" si="7"/>
        <v>1483870.0811844673</v>
      </c>
      <c r="V69" s="376">
        <f t="shared" si="7"/>
        <v>1543224.8844318462</v>
      </c>
      <c r="W69" s="376">
        <f t="shared" si="7"/>
        <v>1604953.8798091202</v>
      </c>
      <c r="X69" s="376">
        <f t="shared" si="7"/>
        <v>1669152.0350014851</v>
      </c>
      <c r="Y69" s="376">
        <f t="shared" si="7"/>
        <v>1735918.1164015443</v>
      </c>
      <c r="Z69" s="376">
        <f t="shared" si="7"/>
        <v>1805354.8410576063</v>
      </c>
      <c r="AA69" s="376">
        <f t="shared" si="7"/>
        <v>1877569.0346999108</v>
      </c>
      <c r="AB69" s="376">
        <f t="shared" si="7"/>
        <v>1952671.7960879072</v>
      </c>
      <c r="AC69" s="376">
        <f t="shared" si="7"/>
        <v>2030778.6679314235</v>
      </c>
      <c r="AD69" s="376">
        <f t="shared" si="7"/>
        <v>2112009.8146486804</v>
      </c>
      <c r="AE69" s="376">
        <f t="shared" si="7"/>
        <v>2196490.2072346276</v>
      </c>
      <c r="AF69" s="376">
        <f t="shared" si="7"/>
        <v>2284349.8155240128</v>
      </c>
      <c r="AG69" s="376">
        <f t="shared" si="7"/>
        <v>2375723.8081449736</v>
      </c>
    </row>
    <row r="70" spans="1:35">
      <c r="A70" s="368" t="s">
        <v>318</v>
      </c>
      <c r="B70" s="368" t="s">
        <v>313</v>
      </c>
      <c r="C70" s="376">
        <f>'Changing with year'!C293</f>
        <v>500000</v>
      </c>
      <c r="D70" s="376">
        <f>'Changing with year'!D293</f>
        <v>523000</v>
      </c>
      <c r="E70" s="376">
        <f>'Changing with year'!E293</f>
        <v>547000</v>
      </c>
      <c r="F70" s="376">
        <f>'Changing with year'!F293</f>
        <v>572000</v>
      </c>
      <c r="G70" s="376">
        <f>'Changing with year'!G293</f>
        <v>598000</v>
      </c>
      <c r="H70" s="376">
        <f>'Changing with year'!H293</f>
        <v>625000</v>
      </c>
      <c r="I70" s="376">
        <f>'Changing with year'!I293</f>
        <v>653000</v>
      </c>
      <c r="J70" s="376">
        <f>'Changing with year'!J293</f>
        <v>682000</v>
      </c>
      <c r="K70" s="376">
        <f>'Changing with year'!K293</f>
        <v>713000</v>
      </c>
      <c r="L70" s="376">
        <f>'Changing with year'!L293</f>
        <v>745000</v>
      </c>
      <c r="M70" s="376">
        <f>'Changing with year'!M293</f>
        <v>779000</v>
      </c>
      <c r="N70" s="376">
        <f>'Changing with year'!N293</f>
        <v>814000</v>
      </c>
      <c r="O70" s="376">
        <f>'Changing with year'!O293</f>
        <v>851000</v>
      </c>
      <c r="P70" s="376">
        <f>'Changing with year'!P293</f>
        <v>889000</v>
      </c>
      <c r="Q70" s="376">
        <f>'Changing with year'!Q293</f>
        <v>929000</v>
      </c>
      <c r="R70" s="376">
        <f>'Changing with year'!R293</f>
        <v>971000</v>
      </c>
      <c r="S70" s="376">
        <f>'Changing with year'!S293</f>
        <v>1015000</v>
      </c>
      <c r="T70" s="376">
        <f>'Changing with year'!T293</f>
        <v>1061000</v>
      </c>
      <c r="U70" s="376">
        <f>'Changing with year'!U293</f>
        <v>1109000</v>
      </c>
      <c r="V70" s="376">
        <f>'Changing with year'!V293</f>
        <v>1159000</v>
      </c>
      <c r="W70" s="376">
        <f>'Changing with year'!W293</f>
        <v>1211000</v>
      </c>
      <c r="X70" s="376">
        <f>'Changing with year'!X293</f>
        <v>1265000</v>
      </c>
      <c r="Y70" s="376">
        <f>'Changing with year'!Y293</f>
        <v>1322000</v>
      </c>
      <c r="Z70" s="376">
        <f>'Changing with year'!Z293</f>
        <v>1381000</v>
      </c>
      <c r="AA70" s="376">
        <f>'Changing with year'!AA293</f>
        <v>1443000</v>
      </c>
      <c r="AB70" s="376">
        <f>'Changing with year'!AB293</f>
        <v>1508000</v>
      </c>
      <c r="AC70" s="376">
        <f>'Changing with year'!AC293</f>
        <v>1576000</v>
      </c>
      <c r="AD70" s="376">
        <f>'Changing with year'!AD293</f>
        <v>1647000</v>
      </c>
      <c r="AE70" s="376">
        <f>'Changing with year'!AE293</f>
        <v>1721000</v>
      </c>
      <c r="AF70" s="376">
        <f>'Changing with year'!AF293</f>
        <v>1798000</v>
      </c>
      <c r="AG70" s="376">
        <f>'Changing with year'!AG293</f>
        <v>1879000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571200</v>
      </c>
      <c r="D71" s="376">
        <f t="shared" si="8"/>
        <v>576912</v>
      </c>
      <c r="E71" s="376">
        <f t="shared" si="8"/>
        <v>582681.12000000011</v>
      </c>
      <c r="F71" s="376">
        <f t="shared" si="8"/>
        <v>588507.93120000011</v>
      </c>
      <c r="G71" s="376">
        <f t="shared" si="8"/>
        <v>594393.01051200007</v>
      </c>
      <c r="H71" s="376">
        <f t="shared" si="8"/>
        <v>600336.94061712013</v>
      </c>
      <c r="I71" s="376">
        <f t="shared" si="8"/>
        <v>606340.31002329127</v>
      </c>
      <c r="J71" s="376">
        <f t="shared" si="8"/>
        <v>612403.71312352421</v>
      </c>
      <c r="K71" s="376">
        <f t="shared" si="8"/>
        <v>618527.75025475968</v>
      </c>
      <c r="L71" s="376">
        <f t="shared" si="8"/>
        <v>624713.02775730717</v>
      </c>
      <c r="M71" s="376">
        <f t="shared" si="8"/>
        <v>630960.1580348803</v>
      </c>
      <c r="N71" s="376">
        <f t="shared" si="8"/>
        <v>637269.75961522909</v>
      </c>
      <c r="O71" s="376">
        <f t="shared" si="8"/>
        <v>643642.45721138129</v>
      </c>
      <c r="P71" s="376">
        <f t="shared" si="8"/>
        <v>650078.88178349519</v>
      </c>
      <c r="Q71" s="376">
        <f t="shared" si="8"/>
        <v>656579.67060133012</v>
      </c>
      <c r="R71" s="376">
        <f t="shared" si="8"/>
        <v>663145.46730734338</v>
      </c>
      <c r="S71" s="376">
        <f t="shared" si="8"/>
        <v>669776.92198041675</v>
      </c>
      <c r="T71" s="376">
        <f t="shared" si="8"/>
        <v>676474.69120022096</v>
      </c>
      <c r="U71" s="376">
        <f t="shared" si="8"/>
        <v>683239.43811222329</v>
      </c>
      <c r="V71" s="376">
        <f t="shared" si="8"/>
        <v>690071.83249334537</v>
      </c>
      <c r="W71" s="376">
        <f t="shared" si="8"/>
        <v>696972.55081827892</v>
      </c>
      <c r="X71" s="376">
        <f t="shared" si="8"/>
        <v>703942.27632646158</v>
      </c>
      <c r="Y71" s="376">
        <f t="shared" si="8"/>
        <v>710981.69908972632</v>
      </c>
      <c r="Z71" s="376">
        <f t="shared" si="8"/>
        <v>718091.51608062361</v>
      </c>
      <c r="AA71" s="376">
        <f t="shared" si="8"/>
        <v>725272.43124142988</v>
      </c>
      <c r="AB71" s="376">
        <f t="shared" si="8"/>
        <v>732525.15555384418</v>
      </c>
      <c r="AC71" s="376">
        <f t="shared" si="8"/>
        <v>739850.40710938268</v>
      </c>
      <c r="AD71" s="376">
        <f t="shared" si="8"/>
        <v>747248.91118047654</v>
      </c>
      <c r="AE71" s="376">
        <f t="shared" si="8"/>
        <v>754721.40029228118</v>
      </c>
      <c r="AF71" s="376">
        <f t="shared" si="8"/>
        <v>762268.61429520405</v>
      </c>
      <c r="AG71" s="376">
        <f t="shared" si="8"/>
        <v>769891.300438156</v>
      </c>
    </row>
    <row r="72" spans="1:35">
      <c r="A72" s="300" t="s">
        <v>319</v>
      </c>
      <c r="B72" s="368" t="s">
        <v>313</v>
      </c>
      <c r="C72" s="376">
        <f t="shared" ref="C72:AG72" si="9">C63*$C$29</f>
        <v>96000</v>
      </c>
      <c r="D72" s="376">
        <f t="shared" si="9"/>
        <v>98880</v>
      </c>
      <c r="E72" s="376">
        <f t="shared" si="9"/>
        <v>101846</v>
      </c>
      <c r="F72" s="376">
        <f t="shared" si="9"/>
        <v>104902</v>
      </c>
      <c r="G72" s="376">
        <f t="shared" si="9"/>
        <v>108050</v>
      </c>
      <c r="H72" s="376">
        <f t="shared" si="9"/>
        <v>119292</v>
      </c>
      <c r="I72" s="376">
        <f t="shared" si="9"/>
        <v>122870</v>
      </c>
      <c r="J72" s="376">
        <f t="shared" si="9"/>
        <v>126556</v>
      </c>
      <c r="K72" s="376">
        <f t="shared" si="9"/>
        <v>130352</v>
      </c>
      <c r="L72" s="376">
        <f t="shared" si="9"/>
        <v>134262</v>
      </c>
      <c r="M72" s="376">
        <f t="shared" si="9"/>
        <v>138290</v>
      </c>
      <c r="N72" s="376">
        <f t="shared" si="9"/>
        <v>142438</v>
      </c>
      <c r="O72" s="376">
        <f t="shared" si="9"/>
        <v>146712</v>
      </c>
      <c r="P72" s="376">
        <f t="shared" si="9"/>
        <v>151114</v>
      </c>
      <c r="Q72" s="376">
        <f t="shared" si="9"/>
        <v>155648</v>
      </c>
      <c r="R72" s="376">
        <f t="shared" si="9"/>
        <v>160318</v>
      </c>
      <c r="S72" s="376">
        <f t="shared" si="9"/>
        <v>165128</v>
      </c>
      <c r="T72" s="376">
        <f t="shared" si="9"/>
        <v>170082</v>
      </c>
      <c r="U72" s="376">
        <f t="shared" si="9"/>
        <v>175184</v>
      </c>
      <c r="V72" s="376">
        <f t="shared" si="9"/>
        <v>180440</v>
      </c>
      <c r="W72" s="376">
        <f t="shared" si="9"/>
        <v>185854</v>
      </c>
      <c r="X72" s="376">
        <f t="shared" si="9"/>
        <v>191430</v>
      </c>
      <c r="Y72" s="376">
        <f t="shared" si="9"/>
        <v>197172</v>
      </c>
      <c r="Z72" s="376">
        <f t="shared" si="9"/>
        <v>203088</v>
      </c>
      <c r="AA72" s="376">
        <f t="shared" si="9"/>
        <v>209180</v>
      </c>
      <c r="AB72" s="376">
        <f t="shared" si="9"/>
        <v>215456</v>
      </c>
      <c r="AC72" s="376">
        <f t="shared" si="9"/>
        <v>221920</v>
      </c>
      <c r="AD72" s="376">
        <f t="shared" si="9"/>
        <v>228578</v>
      </c>
      <c r="AE72" s="376">
        <f t="shared" si="9"/>
        <v>235436</v>
      </c>
      <c r="AF72" s="376">
        <f t="shared" si="9"/>
        <v>242500</v>
      </c>
      <c r="AG72" s="376">
        <f t="shared" si="9"/>
        <v>249776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15.651266850099349</v>
      </c>
      <c r="D74" s="379">
        <f t="shared" si="10"/>
        <v>16.120804855602326</v>
      </c>
      <c r="E74" s="379">
        <f t="shared" si="10"/>
        <v>16.604363787658524</v>
      </c>
      <c r="F74" s="379">
        <f t="shared" si="10"/>
        <v>17.102595782386683</v>
      </c>
      <c r="G74" s="379">
        <f t="shared" si="10"/>
        <v>17.615826907846195</v>
      </c>
      <c r="H74" s="379">
        <f t="shared" si="10"/>
        <v>19.448655469604702</v>
      </c>
      <c r="I74" s="379">
        <f t="shared" si="10"/>
        <v>20.031991227830282</v>
      </c>
      <c r="J74" s="379">
        <f t="shared" si="10"/>
        <v>20.632934661262219</v>
      </c>
      <c r="K74" s="379">
        <f t="shared" si="10"/>
        <v>21.251811837959895</v>
      </c>
      <c r="L74" s="379">
        <f t="shared" si="10"/>
        <v>21.889274894042071</v>
      </c>
      <c r="M74" s="379">
        <f t="shared" si="10"/>
        <v>22.545975965627488</v>
      </c>
      <c r="N74" s="379">
        <f t="shared" si="10"/>
        <v>23.222241120775532</v>
      </c>
      <c r="O74" s="379">
        <f t="shared" si="10"/>
        <v>23.91904856366433</v>
      </c>
      <c r="P74" s="379">
        <f t="shared" si="10"/>
        <v>24.636724362353256</v>
      </c>
      <c r="Q74" s="379">
        <f t="shared" si="10"/>
        <v>25.375920652961074</v>
      </c>
      <c r="R74" s="379">
        <f t="shared" si="10"/>
        <v>26.137289571606534</v>
      </c>
      <c r="S74" s="379">
        <f t="shared" si="10"/>
        <v>26.921483254408386</v>
      </c>
      <c r="T74" s="379">
        <f t="shared" si="10"/>
        <v>27.729153837485388</v>
      </c>
      <c r="U74" s="379">
        <f t="shared" si="10"/>
        <v>28.560953456956291</v>
      </c>
      <c r="V74" s="379">
        <f t="shared" si="10"/>
        <v>29.417860316999235</v>
      </c>
      <c r="W74" s="379">
        <f t="shared" si="10"/>
        <v>30.300526553732961</v>
      </c>
      <c r="X74" s="379">
        <f t="shared" si="10"/>
        <v>31.209604303276233</v>
      </c>
      <c r="Y74" s="379">
        <f t="shared" si="10"/>
        <v>32.145745701747799</v>
      </c>
      <c r="Z74" s="379">
        <f t="shared" si="10"/>
        <v>33.110255021385171</v>
      </c>
      <c r="AA74" s="379">
        <f t="shared" si="10"/>
        <v>34.103458330247726</v>
      </c>
      <c r="AB74" s="379">
        <f t="shared" si="10"/>
        <v>35.126659900572967</v>
      </c>
      <c r="AC74" s="379">
        <f t="shared" si="10"/>
        <v>36.180511868479662</v>
      </c>
      <c r="AD74" s="379">
        <f t="shared" si="10"/>
        <v>37.265992438145929</v>
      </c>
      <c r="AE74" s="379">
        <f t="shared" si="10"/>
        <v>38.384079813749892</v>
      </c>
      <c r="AF74" s="379">
        <f t="shared" si="10"/>
        <v>39.535752199469705</v>
      </c>
      <c r="AG74" s="379">
        <f t="shared" si="10"/>
        <v>40.721987799483486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30.558765369523801</v>
      </c>
      <c r="D75" s="379">
        <f t="shared" si="11"/>
        <v>33.939583333333331</v>
      </c>
      <c r="E75" s="379">
        <f t="shared" si="11"/>
        <v>34.623072916666665</v>
      </c>
      <c r="F75" s="379">
        <f t="shared" si="11"/>
        <v>35.320349739583335</v>
      </c>
      <c r="G75" s="379">
        <f t="shared" si="11"/>
        <v>36.031692483072923</v>
      </c>
      <c r="H75" s="379">
        <f t="shared" si="11"/>
        <v>36.757385475149746</v>
      </c>
      <c r="I75" s="379">
        <f t="shared" si="11"/>
        <v>37.49771880562848</v>
      </c>
      <c r="J75" s="379">
        <f t="shared" si="11"/>
        <v>38.252988443241193</v>
      </c>
      <c r="K75" s="379">
        <f t="shared" si="11"/>
        <v>39.023496355143664</v>
      </c>
      <c r="L75" s="379">
        <f t="shared" si="11"/>
        <v>39.809550628860123</v>
      </c>
      <c r="M75" s="379">
        <f t="shared" si="11"/>
        <v>40.611465596716258</v>
      </c>
      <c r="N75" s="379">
        <f t="shared" si="11"/>
        <v>41.429561962811484</v>
      </c>
      <c r="O75" s="379">
        <f t="shared" si="11"/>
        <v>42.264166932582633</v>
      </c>
      <c r="P75" s="379">
        <f t="shared" si="11"/>
        <v>43.115614345012084</v>
      </c>
      <c r="Q75" s="379">
        <f t="shared" si="11"/>
        <v>43.984244807534566</v>
      </c>
      <c r="R75" s="379">
        <f t="shared" si="11"/>
        <v>44.870405833698051</v>
      </c>
      <c r="S75" s="379">
        <f t="shared" si="11"/>
        <v>45.774451983635139</v>
      </c>
      <c r="T75" s="379">
        <f t="shared" si="11"/>
        <v>46.696745007402534</v>
      </c>
      <c r="U75" s="379">
        <f t="shared" si="11"/>
        <v>47.637653991247653</v>
      </c>
      <c r="V75" s="379">
        <f t="shared" si="11"/>
        <v>48.597555506862101</v>
      </c>
      <c r="W75" s="379">
        <f t="shared" si="11"/>
        <v>49.57683376368356</v>
      </c>
      <c r="X75" s="379">
        <f t="shared" si="11"/>
        <v>50.575880764308565</v>
      </c>
      <c r="Y75" s="379">
        <f t="shared" si="11"/>
        <v>51.595096463079848</v>
      </c>
      <c r="Z75" s="379">
        <f t="shared" si="11"/>
        <v>52.634888927913686</v>
      </c>
      <c r="AA75" s="379">
        <f t="shared" si="11"/>
        <v>53.695674505433516</v>
      </c>
      <c r="AB75" s="379">
        <f t="shared" si="11"/>
        <v>54.777877989477766</v>
      </c>
      <c r="AC75" s="379">
        <f t="shared" si="11"/>
        <v>55.881932793051298</v>
      </c>
      <c r="AD75" s="379">
        <f t="shared" si="11"/>
        <v>57.008281123790894</v>
      </c>
      <c r="AE75" s="379">
        <f t="shared" si="11"/>
        <v>58.157374163017259</v>
      </c>
      <c r="AF75" s="379">
        <f t="shared" si="11"/>
        <v>59.329672248446911</v>
      </c>
      <c r="AG75" s="379">
        <f t="shared" si="11"/>
        <v>60.525645060639384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28.269047619047619</v>
      </c>
      <c r="D76" s="379">
        <f t="shared" si="12"/>
        <v>29.175166666666669</v>
      </c>
      <c r="E76" s="379">
        <f t="shared" si="12"/>
        <v>30.115736428571431</v>
      </c>
      <c r="F76" s="379">
        <f t="shared" si="12"/>
        <v>31.091522528571431</v>
      </c>
      <c r="G76" s="379">
        <f t="shared" si="12"/>
        <v>32.103288817571432</v>
      </c>
      <c r="H76" s="379">
        <f t="shared" si="12"/>
        <v>33.270875871533811</v>
      </c>
      <c r="I76" s="379">
        <f t="shared" si="12"/>
        <v>34.360583105524427</v>
      </c>
      <c r="J76" s="379">
        <f t="shared" si="12"/>
        <v>35.488890219913579</v>
      </c>
      <c r="K76" s="379">
        <f t="shared" si="12"/>
        <v>36.67156559963712</v>
      </c>
      <c r="L76" s="379">
        <f t="shared" si="12"/>
        <v>37.894679525592203</v>
      </c>
      <c r="M76" s="379">
        <f t="shared" si="12"/>
        <v>39.174099581129006</v>
      </c>
      <c r="N76" s="379">
        <f t="shared" si="12"/>
        <v>40.495938493822877</v>
      </c>
      <c r="O76" s="379">
        <f t="shared" si="12"/>
        <v>41.876168700414233</v>
      </c>
      <c r="P76" s="379">
        <f t="shared" si="12"/>
        <v>43.300981018128105</v>
      </c>
      <c r="Q76" s="379">
        <f t="shared" si="12"/>
        <v>44.786399329485604</v>
      </c>
      <c r="R76" s="379">
        <f t="shared" si="12"/>
        <v>46.333609616384656</v>
      </c>
      <c r="S76" s="379">
        <f t="shared" si="12"/>
        <v>47.943842631706417</v>
      </c>
      <c r="T76" s="379">
        <f t="shared" si="12"/>
        <v>49.618375687281038</v>
      </c>
      <c r="U76" s="379">
        <f t="shared" si="12"/>
        <v>51.358534513343614</v>
      </c>
      <c r="V76" s="379">
        <f t="shared" si="12"/>
        <v>53.165724954243927</v>
      </c>
      <c r="W76" s="379">
        <f t="shared" si="12"/>
        <v>55.041375455764864</v>
      </c>
      <c r="X76" s="379">
        <f t="shared" si="12"/>
        <v>56.986968918570639</v>
      </c>
      <c r="Y76" s="379">
        <f t="shared" si="12"/>
        <v>59.018925825762956</v>
      </c>
      <c r="Z76" s="379">
        <f t="shared" si="12"/>
        <v>61.124023171699847</v>
      </c>
      <c r="AA76" s="379">
        <f t="shared" si="12"/>
        <v>63.318771814603281</v>
      </c>
      <c r="AB76" s="379">
        <f t="shared" si="12"/>
        <v>65.604954637526063</v>
      </c>
      <c r="AC76" s="379">
        <f t="shared" si="12"/>
        <v>67.984361235726283</v>
      </c>
      <c r="AD76" s="379">
        <f t="shared" si="12"/>
        <v>70.458879848648166</v>
      </c>
      <c r="AE76" s="379">
        <f t="shared" si="12"/>
        <v>73.030470350102803</v>
      </c>
      <c r="AF76" s="379">
        <f t="shared" si="12"/>
        <v>75.701167110405009</v>
      </c>
      <c r="AG76" s="379">
        <f t="shared" si="12"/>
        <v>78.487962925344192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3.0612244897959182</v>
      </c>
      <c r="D77" s="379">
        <f t="shared" si="13"/>
        <v>3.1530612244897958</v>
      </c>
      <c r="E77" s="379">
        <f t="shared" si="13"/>
        <v>3.2476403061224488</v>
      </c>
      <c r="F77" s="379">
        <f t="shared" si="13"/>
        <v>3.3450892857142858</v>
      </c>
      <c r="G77" s="379">
        <f t="shared" si="13"/>
        <v>3.4454719387755102</v>
      </c>
      <c r="H77" s="379">
        <f t="shared" si="13"/>
        <v>3.8039540816326531</v>
      </c>
      <c r="I77" s="379">
        <f t="shared" si="13"/>
        <v>3.9180484693877551</v>
      </c>
      <c r="J77" s="379">
        <f t="shared" si="13"/>
        <v>4.0355867346938776</v>
      </c>
      <c r="K77" s="379">
        <f t="shared" si="13"/>
        <v>4.1566326530612248</v>
      </c>
      <c r="L77" s="379">
        <f t="shared" si="13"/>
        <v>4.2813137755102044</v>
      </c>
      <c r="M77" s="379">
        <f t="shared" si="13"/>
        <v>4.4097576530612246</v>
      </c>
      <c r="N77" s="379">
        <f t="shared" si="13"/>
        <v>3.7850233843537415</v>
      </c>
      <c r="O77" s="379">
        <f t="shared" si="13"/>
        <v>3.8985969387755102</v>
      </c>
      <c r="P77" s="379">
        <f t="shared" si="13"/>
        <v>4.0155718537414966</v>
      </c>
      <c r="Q77" s="379">
        <f t="shared" si="13"/>
        <v>4.1360544217687076</v>
      </c>
      <c r="R77" s="379">
        <f t="shared" si="13"/>
        <v>4.26015093537415</v>
      </c>
      <c r="S77" s="379">
        <f t="shared" si="13"/>
        <v>4.3879676870748296</v>
      </c>
      <c r="T77" s="379">
        <f t="shared" si="13"/>
        <v>4.5196109693877551</v>
      </c>
      <c r="U77" s="379">
        <f t="shared" si="13"/>
        <v>4.6551870748299322</v>
      </c>
      <c r="V77" s="379">
        <f t="shared" si="13"/>
        <v>4.7948554421768703</v>
      </c>
      <c r="W77" s="379">
        <f t="shared" si="13"/>
        <v>4.938722363945578</v>
      </c>
      <c r="X77" s="379">
        <f t="shared" si="13"/>
        <v>4.0695153061224483</v>
      </c>
      <c r="Y77" s="379">
        <f t="shared" si="13"/>
        <v>4.1915816326530608</v>
      </c>
      <c r="Z77" s="379">
        <f t="shared" si="13"/>
        <v>4.3173469387755095</v>
      </c>
      <c r="AA77" s="379">
        <f t="shared" si="13"/>
        <v>4.4468537414965983</v>
      </c>
      <c r="AB77" s="379">
        <f t="shared" si="13"/>
        <v>4.5802721088435376</v>
      </c>
      <c r="AC77" s="379">
        <f t="shared" si="13"/>
        <v>4.7176870748299322</v>
      </c>
      <c r="AD77" s="379">
        <f t="shared" si="13"/>
        <v>4.8592261904761909</v>
      </c>
      <c r="AE77" s="379">
        <f t="shared" si="13"/>
        <v>5.0050170068027207</v>
      </c>
      <c r="AF77" s="379">
        <f t="shared" si="13"/>
        <v>5.1551870748299322</v>
      </c>
      <c r="AG77" s="379">
        <f t="shared" si="13"/>
        <v>5.3098639455782317</v>
      </c>
    </row>
    <row r="78" spans="1:35" s="352" customFormat="1">
      <c r="A78" s="380" t="s">
        <v>323</v>
      </c>
      <c r="B78" s="352" t="s">
        <v>300</v>
      </c>
      <c r="C78" s="381">
        <f t="shared" ref="C78:AG78" si="14">SUM(C74:C76)-C77</f>
        <v>71.417855348874852</v>
      </c>
      <c r="D78" s="381">
        <f t="shared" si="14"/>
        <v>76.082493631112541</v>
      </c>
      <c r="E78" s="381">
        <f t="shared" si="14"/>
        <v>78.095532826774175</v>
      </c>
      <c r="F78" s="381">
        <f t="shared" si="14"/>
        <v>80.169378764827172</v>
      </c>
      <c r="G78" s="381">
        <f t="shared" si="14"/>
        <v>82.305336269715042</v>
      </c>
      <c r="H78" s="381">
        <f t="shared" si="14"/>
        <v>85.672962734655599</v>
      </c>
      <c r="I78" s="381">
        <f t="shared" si="14"/>
        <v>87.97224466959544</v>
      </c>
      <c r="J78" s="381">
        <f t="shared" si="14"/>
        <v>90.339226589723111</v>
      </c>
      <c r="K78" s="381">
        <f t="shared" si="14"/>
        <v>92.790241139679452</v>
      </c>
      <c r="L78" s="381">
        <f t="shared" si="14"/>
        <v>95.312191272984194</v>
      </c>
      <c r="M78" s="381">
        <f t="shared" si="14"/>
        <v>97.921783490411528</v>
      </c>
      <c r="N78" s="381">
        <f t="shared" si="14"/>
        <v>101.36271819305615</v>
      </c>
      <c r="O78" s="381">
        <f t="shared" si="14"/>
        <v>104.16078725788569</v>
      </c>
      <c r="P78" s="381">
        <f t="shared" si="14"/>
        <v>107.03774787175196</v>
      </c>
      <c r="Q78" s="381">
        <f t="shared" si="14"/>
        <v>110.01051036821254</v>
      </c>
      <c r="R78" s="381">
        <f t="shared" si="14"/>
        <v>113.08115408631508</v>
      </c>
      <c r="S78" s="381">
        <f t="shared" si="14"/>
        <v>116.2518101826751</v>
      </c>
      <c r="T78" s="381">
        <f t="shared" si="14"/>
        <v>119.52466356278121</v>
      </c>
      <c r="U78" s="381">
        <f t="shared" si="14"/>
        <v>122.90195488671762</v>
      </c>
      <c r="V78" s="381">
        <f t="shared" si="14"/>
        <v>126.38628533592839</v>
      </c>
      <c r="W78" s="381">
        <f t="shared" si="14"/>
        <v>129.9800134092358</v>
      </c>
      <c r="X78" s="381">
        <f t="shared" si="14"/>
        <v>134.70293868003299</v>
      </c>
      <c r="Y78" s="381">
        <f t="shared" si="14"/>
        <v>138.56818635793755</v>
      </c>
      <c r="Z78" s="381">
        <f t="shared" si="14"/>
        <v>142.55182018222322</v>
      </c>
      <c r="AA78" s="381">
        <f t="shared" si="14"/>
        <v>146.67105090878792</v>
      </c>
      <c r="AB78" s="381">
        <f t="shared" si="14"/>
        <v>150.92922041873328</v>
      </c>
      <c r="AC78" s="381">
        <f t="shared" si="14"/>
        <v>155.32911882242729</v>
      </c>
      <c r="AD78" s="381">
        <f t="shared" si="14"/>
        <v>159.87392722010878</v>
      </c>
      <c r="AE78" s="381">
        <f t="shared" si="14"/>
        <v>164.56690732006723</v>
      </c>
      <c r="AF78" s="381">
        <f t="shared" si="14"/>
        <v>169.41140448349168</v>
      </c>
      <c r="AG78" s="381">
        <f t="shared" si="14"/>
        <v>174.42573183988884</v>
      </c>
    </row>
    <row r="79" spans="1:35" s="344" customFormat="1">
      <c r="A79" s="342" t="s">
        <v>179</v>
      </c>
      <c r="B79" s="342"/>
      <c r="H79" s="382">
        <f>H81/K59</f>
        <v>408786.69059757155</v>
      </c>
      <c r="AB79" s="382">
        <f>AB81/AE59</f>
        <v>414616.51122266531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>G80+1</f>
        <v>2030</v>
      </c>
      <c r="I80" s="360">
        <f>H80+1</f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year'!C98</f>
        <v>5050000</v>
      </c>
      <c r="D81" s="376">
        <f>'Changing with year'!D98</f>
        <v>5201500</v>
      </c>
      <c r="E81" s="376">
        <f>'Changing with year'!E98</f>
        <v>5357545</v>
      </c>
      <c r="F81" s="376">
        <f>'Changing with year'!F98</f>
        <v>5518271.3500000006</v>
      </c>
      <c r="G81" s="376">
        <f>'Changing with year'!G98</f>
        <v>5683819.4905000003</v>
      </c>
      <c r="H81" s="376">
        <f>'Changing with year'!H98</f>
        <v>6254334.0752150007</v>
      </c>
      <c r="I81" s="376">
        <f>'Changing with year'!I98</f>
        <v>6441964.0974714505</v>
      </c>
      <c r="J81" s="376">
        <f>'Changing with year'!J98</f>
        <v>6635223.0203955937</v>
      </c>
      <c r="K81" s="376">
        <f>'Changing with year'!K98</f>
        <v>6834279.7110074619</v>
      </c>
      <c r="L81" s="376">
        <f>'Changing with year'!L98</f>
        <v>7039308.1023376863</v>
      </c>
      <c r="M81" s="376">
        <f>'Changing with year'!M98</f>
        <v>7250487.3454078175</v>
      </c>
      <c r="N81" s="376">
        <f>'Changing with year'!N98</f>
        <v>7468001.9657700518</v>
      </c>
      <c r="O81" s="376">
        <f>'Changing with year'!O98</f>
        <v>7692042.0247431537</v>
      </c>
      <c r="P81" s="376">
        <f>'Changing with year'!P98</f>
        <v>7922803.2854854483</v>
      </c>
      <c r="Q81" s="376">
        <f>'Changing with year'!Q98</f>
        <v>8160487.3840500116</v>
      </c>
      <c r="R81" s="376">
        <f>'Changing with year'!R98</f>
        <v>8405302.0055715125</v>
      </c>
      <c r="S81" s="376">
        <f>'Changing with year'!S98</f>
        <v>8657461.0657386575</v>
      </c>
      <c r="T81" s="376">
        <f>'Changing with year'!T98</f>
        <v>8917184.8977108169</v>
      </c>
      <c r="U81" s="376">
        <f>'Changing with year'!U98</f>
        <v>9184700.4446421415</v>
      </c>
      <c r="V81" s="376">
        <f>'Changing with year'!V98</f>
        <v>9460241.4579814058</v>
      </c>
      <c r="W81" s="376">
        <f>'Changing with year'!W98</f>
        <v>9744048.7017208487</v>
      </c>
      <c r="X81" s="376">
        <f>'Changing with year'!X98</f>
        <v>10036370.162772475</v>
      </c>
      <c r="Y81" s="376">
        <f>'Changing with year'!Y98</f>
        <v>10337461.26765565</v>
      </c>
      <c r="Z81" s="376">
        <f>'Changing with year'!Z98</f>
        <v>10647585.10568532</v>
      </c>
      <c r="AA81" s="376">
        <f>'Changing with year'!AA98</f>
        <v>10967012.65885588</v>
      </c>
      <c r="AB81" s="376">
        <f>'Changing with year'!AB98</f>
        <v>11296023.038621556</v>
      </c>
      <c r="AC81" s="376">
        <f>'Changing with year'!AC98</f>
        <v>11634903.729780203</v>
      </c>
      <c r="AD81" s="376">
        <f>'Changing with year'!AD98</f>
        <v>11983950.841673609</v>
      </c>
      <c r="AE81" s="376">
        <f>'Changing with year'!AE98</f>
        <v>12343469.366923818</v>
      </c>
      <c r="AF81" s="376">
        <f>'Changing with year'!AF98</f>
        <v>12713773.447931534</v>
      </c>
      <c r="AG81" s="376">
        <f>'Changing with year'!AG98</f>
        <v>13095186.65136948</v>
      </c>
    </row>
    <row r="82" spans="1:34">
      <c r="A82" s="368" t="s">
        <v>310</v>
      </c>
      <c r="B82" s="300" t="s">
        <v>309</v>
      </c>
      <c r="C82" s="376">
        <f>(C81*'No change with year'!$AB$12)</f>
        <v>1262500</v>
      </c>
      <c r="D82" s="376">
        <f>(D81*'No change with year'!$AB$12)</f>
        <v>1300375</v>
      </c>
      <c r="E82" s="376">
        <f>(E81*'No change with year'!$AB$12)</f>
        <v>1339386.25</v>
      </c>
      <c r="F82" s="376">
        <f>(F81*'No change with year'!$AB$12)</f>
        <v>1379567.8375000001</v>
      </c>
      <c r="G82" s="376">
        <f>(G81*'No change with year'!$AB$12)</f>
        <v>1420954.8726250001</v>
      </c>
      <c r="H82" s="376">
        <f>(H81*'No change with year'!$AB$12)</f>
        <v>1563583.5188037502</v>
      </c>
      <c r="I82" s="376">
        <f>(I81*'No change with year'!$AB$12)</f>
        <v>1610491.0243678626</v>
      </c>
      <c r="J82" s="376">
        <f>(J81*'No change with year'!$AB$12)</f>
        <v>1658805.7550988984</v>
      </c>
      <c r="K82" s="376">
        <f>(K81*'No change with year'!$AB$12)</f>
        <v>1708569.9277518655</v>
      </c>
      <c r="L82" s="376">
        <f>(L81*'No change with year'!$AB$12)</f>
        <v>1759827.0255844216</v>
      </c>
      <c r="M82" s="376">
        <f>(M81*'No change with year'!$AB$12)</f>
        <v>1812621.8363519544</v>
      </c>
      <c r="N82" s="376">
        <f>(N81*'No change with year'!$AC$12)</f>
        <v>1493600.3931540104</v>
      </c>
      <c r="O82" s="376">
        <f>(O81*'No change with year'!$AC$12)</f>
        <v>1538408.4049486308</v>
      </c>
      <c r="P82" s="376">
        <f>(P81*'No change with year'!$AC$12)</f>
        <v>1584560.6570970898</v>
      </c>
      <c r="Q82" s="376">
        <f>(Q81*'No change with year'!$AC$12)</f>
        <v>1632097.4768100025</v>
      </c>
      <c r="R82" s="376">
        <f>(R81*'No change with year'!$AC$12)</f>
        <v>1681060.4011143027</v>
      </c>
      <c r="S82" s="376">
        <f>(S81*'No change with year'!$AC$12)</f>
        <v>1731492.2131477315</v>
      </c>
      <c r="T82" s="376">
        <f>(T81*'No change with year'!$AC$12)</f>
        <v>1783436.9795421634</v>
      </c>
      <c r="U82" s="376">
        <f>(U81*'No change with year'!$AC$12)</f>
        <v>1836940.0889284285</v>
      </c>
      <c r="V82" s="376">
        <f>(V81*'No change with year'!$AC$12)</f>
        <v>1892048.2915962813</v>
      </c>
      <c r="W82" s="376">
        <f>(W81*'No change with year'!$AC$12)</f>
        <v>1948809.7403441698</v>
      </c>
      <c r="X82" s="376">
        <f>(X81*'No change with year'!$AD$12)</f>
        <v>1505455.5244158709</v>
      </c>
      <c r="Y82" s="376">
        <f>(Y81*'No change with year'!$AD$12)</f>
        <v>1550619.1901483473</v>
      </c>
      <c r="Z82" s="376">
        <f>(Z81*'No change with year'!$AD$12)</f>
        <v>1597137.7658527975</v>
      </c>
      <c r="AA82" s="376">
        <f>(AA81*'No change with year'!$AD$12)</f>
        <v>1645051.8988283817</v>
      </c>
      <c r="AB82" s="376">
        <f>(AB81*'No change with year'!$AD$12)</f>
        <v>1694403.4557932331</v>
      </c>
      <c r="AC82" s="376">
        <f>(AC81*'No change with year'!$AD$12)</f>
        <v>1745235.55946703</v>
      </c>
      <c r="AD82" s="376">
        <f>(AD81*'No change with year'!$AD$12)</f>
        <v>1797592.626251041</v>
      </c>
      <c r="AE82" s="376">
        <f>(AE81*'No change with year'!$AD$12)</f>
        <v>1851520.4050385724</v>
      </c>
      <c r="AF82" s="376">
        <f>(AF81*'No change with year'!$AD$12)</f>
        <v>1907066.0171897297</v>
      </c>
      <c r="AG82" s="376">
        <f>(AG81*'No change with year'!$AD$12)</f>
        <v>1964277.9977054216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1106544.5663020238</v>
      </c>
      <c r="D84" s="376">
        <f t="shared" si="16"/>
        <v>1139740.9032910846</v>
      </c>
      <c r="E84" s="376">
        <f t="shared" si="16"/>
        <v>1173933.1303898171</v>
      </c>
      <c r="F84" s="376">
        <f t="shared" si="16"/>
        <v>1209151.1243015118</v>
      </c>
      <c r="G84" s="376">
        <f t="shared" si="16"/>
        <v>1245425.658030557</v>
      </c>
      <c r="H84" s="376">
        <f t="shared" si="16"/>
        <v>1370435.5221320302</v>
      </c>
      <c r="I84" s="376">
        <f t="shared" si="16"/>
        <v>1411548.5877959912</v>
      </c>
      <c r="J84" s="376">
        <f t="shared" si="16"/>
        <v>1453895.0454298707</v>
      </c>
      <c r="K84" s="376">
        <f t="shared" si="16"/>
        <v>1497511.8967927669</v>
      </c>
      <c r="L84" s="376">
        <f t="shared" si="16"/>
        <v>1542437.2536965499</v>
      </c>
      <c r="M84" s="376">
        <f t="shared" si="16"/>
        <v>1588710.3713074469</v>
      </c>
      <c r="N84" s="376">
        <f t="shared" si="16"/>
        <v>1636371.68244667</v>
      </c>
      <c r="O84" s="376">
        <f t="shared" si="16"/>
        <v>1685462.8329200703</v>
      </c>
      <c r="P84" s="376">
        <f t="shared" si="16"/>
        <v>1736026.7179076725</v>
      </c>
      <c r="Q84" s="376">
        <f t="shared" si="16"/>
        <v>1788107.5194449024</v>
      </c>
      <c r="R84" s="376">
        <f t="shared" si="16"/>
        <v>1841750.7450282497</v>
      </c>
      <c r="S84" s="376">
        <f t="shared" si="16"/>
        <v>1897003.2673790972</v>
      </c>
      <c r="T84" s="376">
        <f t="shared" si="16"/>
        <v>1953913.3654004701</v>
      </c>
      <c r="U84" s="376">
        <f t="shared" si="16"/>
        <v>2012530.7663624841</v>
      </c>
      <c r="V84" s="376">
        <f t="shared" si="16"/>
        <v>2072906.6893533589</v>
      </c>
      <c r="W84" s="376">
        <f t="shared" si="16"/>
        <v>2135093.8900339599</v>
      </c>
      <c r="X84" s="376">
        <f t="shared" si="16"/>
        <v>2199146.7067349786</v>
      </c>
      <c r="Y84" s="376">
        <f t="shared" si="16"/>
        <v>2265121.1079370282</v>
      </c>
      <c r="Z84" s="376">
        <f t="shared" si="16"/>
        <v>2333074.7411751389</v>
      </c>
      <c r="AA84" s="376">
        <f t="shared" si="16"/>
        <v>2403066.9834103929</v>
      </c>
      <c r="AB84" s="376">
        <f t="shared" si="16"/>
        <v>2475158.9929127051</v>
      </c>
      <c r="AC84" s="376">
        <f t="shared" si="16"/>
        <v>2549413.762700086</v>
      </c>
      <c r="AD84" s="376">
        <f t="shared" si="16"/>
        <v>2625896.1755810888</v>
      </c>
      <c r="AE84" s="376">
        <f t="shared" si="16"/>
        <v>2704673.060848522</v>
      </c>
      <c r="AF84" s="376">
        <f t="shared" si="16"/>
        <v>2785813.2526739775</v>
      </c>
      <c r="AG84" s="376">
        <f t="shared" si="16"/>
        <v>2869387.650254197</v>
      </c>
    </row>
    <row r="85" spans="1:34">
      <c r="A85" s="300" t="s">
        <v>321</v>
      </c>
      <c r="B85" s="300" t="s">
        <v>309</v>
      </c>
      <c r="C85" s="376">
        <f t="shared" ref="C85:AG85" si="17">C43*$D$38</f>
        <v>1827000</v>
      </c>
      <c r="D85" s="376">
        <f t="shared" si="17"/>
        <v>1921500</v>
      </c>
      <c r="E85" s="376">
        <f t="shared" si="17"/>
        <v>1979145</v>
      </c>
      <c r="F85" s="376">
        <f t="shared" si="17"/>
        <v>2038519.35</v>
      </c>
      <c r="G85" s="376">
        <f t="shared" si="17"/>
        <v>2099674.9305000002</v>
      </c>
      <c r="H85" s="376">
        <f t="shared" si="17"/>
        <v>2162665.178415</v>
      </c>
      <c r="I85" s="376">
        <f t="shared" si="17"/>
        <v>2227545.1337674502</v>
      </c>
      <c r="J85" s="376">
        <f t="shared" si="17"/>
        <v>2294371.4877804737</v>
      </c>
      <c r="K85" s="376">
        <f t="shared" si="17"/>
        <v>2363202.6324138879</v>
      </c>
      <c r="L85" s="376">
        <f t="shared" si="17"/>
        <v>2434098.7113863043</v>
      </c>
      <c r="M85" s="376">
        <f t="shared" si="17"/>
        <v>2507121.6727278936</v>
      </c>
      <c r="N85" s="376">
        <f t="shared" si="17"/>
        <v>2582335.3229097305</v>
      </c>
      <c r="O85" s="376">
        <f t="shared" si="17"/>
        <v>2659805.3825970227</v>
      </c>
      <c r="P85" s="376">
        <f t="shared" si="17"/>
        <v>2739599.544074933</v>
      </c>
      <c r="Q85" s="376">
        <f t="shared" si="17"/>
        <v>2821787.5303971809</v>
      </c>
      <c r="R85" s="376">
        <f t="shared" si="17"/>
        <v>2906441.1563090961</v>
      </c>
      <c r="S85" s="376">
        <f t="shared" si="17"/>
        <v>2993634.3909983691</v>
      </c>
      <c r="T85" s="376">
        <f t="shared" si="17"/>
        <v>3083443.4227283206</v>
      </c>
      <c r="U85" s="376">
        <f t="shared" si="17"/>
        <v>3175946.7254101699</v>
      </c>
      <c r="V85" s="376">
        <f t="shared" si="17"/>
        <v>3271225.1271724752</v>
      </c>
      <c r="W85" s="376">
        <f t="shared" si="17"/>
        <v>3369361.8809876493</v>
      </c>
      <c r="X85" s="376">
        <f t="shared" si="17"/>
        <v>3470442.7374172788</v>
      </c>
      <c r="Y85" s="376">
        <f t="shared" si="17"/>
        <v>3574556.0195397972</v>
      </c>
      <c r="Z85" s="376">
        <f t="shared" si="17"/>
        <v>3681792.7001259909</v>
      </c>
      <c r="AA85" s="376">
        <f t="shared" si="17"/>
        <v>3792246.4811297706</v>
      </c>
      <c r="AB85" s="376">
        <f t="shared" si="17"/>
        <v>3906013.8755636634</v>
      </c>
      <c r="AC85" s="376">
        <f t="shared" si="17"/>
        <v>4023194.2918305737</v>
      </c>
      <c r="AD85" s="376">
        <f t="shared" si="17"/>
        <v>4143890.1205854914</v>
      </c>
      <c r="AE85" s="376">
        <f t="shared" si="17"/>
        <v>4268206.8242030563</v>
      </c>
      <c r="AF85" s="376">
        <f t="shared" si="17"/>
        <v>4396253.0289291479</v>
      </c>
      <c r="AG85" s="376">
        <f t="shared" si="17"/>
        <v>4528140.6197970221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766080</v>
      </c>
      <c r="D86" s="376">
        <f t="shared" si="18"/>
        <v>796723.20000000019</v>
      </c>
      <c r="E86" s="376">
        <f t="shared" si="18"/>
        <v>828592.12800000014</v>
      </c>
      <c r="F86" s="376">
        <f t="shared" si="18"/>
        <v>861735.81312000006</v>
      </c>
      <c r="G86" s="376">
        <f t="shared" si="18"/>
        <v>896205.24564480025</v>
      </c>
      <c r="H86" s="376">
        <f t="shared" si="18"/>
        <v>932053.45547059213</v>
      </c>
      <c r="I86" s="376">
        <f t="shared" si="18"/>
        <v>969335.59368941595</v>
      </c>
      <c r="J86" s="376">
        <f t="shared" si="18"/>
        <v>1008109.0174369925</v>
      </c>
      <c r="K86" s="376">
        <f t="shared" si="18"/>
        <v>1048433.3781344723</v>
      </c>
      <c r="L86" s="376">
        <f t="shared" si="18"/>
        <v>1090370.7132598511</v>
      </c>
      <c r="M86" s="376">
        <f t="shared" si="18"/>
        <v>1133985.5417902453</v>
      </c>
      <c r="N86" s="376">
        <f t="shared" si="18"/>
        <v>1179344.9634618552</v>
      </c>
      <c r="O86" s="376">
        <f t="shared" si="18"/>
        <v>1226518.7620003296</v>
      </c>
      <c r="P86" s="376">
        <f t="shared" si="18"/>
        <v>1275579.5124803428</v>
      </c>
      <c r="Q86" s="376">
        <f t="shared" si="18"/>
        <v>1326602.6929795563</v>
      </c>
      <c r="R86" s="376">
        <f t="shared" si="18"/>
        <v>1379666.8006987385</v>
      </c>
      <c r="S86" s="376">
        <f t="shared" si="18"/>
        <v>1434853.4727266883</v>
      </c>
      <c r="T86" s="376">
        <f t="shared" si="18"/>
        <v>1492247.6116357557</v>
      </c>
      <c r="U86" s="376">
        <f t="shared" si="18"/>
        <v>1551937.5161011859</v>
      </c>
      <c r="V86" s="376">
        <f t="shared" si="18"/>
        <v>1614015.0167452334</v>
      </c>
      <c r="W86" s="376">
        <f t="shared" si="18"/>
        <v>1678575.6174150428</v>
      </c>
      <c r="X86" s="376">
        <f t="shared" si="18"/>
        <v>1745718.6421116444</v>
      </c>
      <c r="Y86" s="376">
        <f t="shared" si="18"/>
        <v>1815547.3877961102</v>
      </c>
      <c r="Z86" s="376">
        <f t="shared" si="18"/>
        <v>1888169.2833079547</v>
      </c>
      <c r="AA86" s="376">
        <f t="shared" si="18"/>
        <v>1963696.0546402731</v>
      </c>
      <c r="AB86" s="376">
        <f t="shared" si="18"/>
        <v>2042243.8968258842</v>
      </c>
      <c r="AC86" s="376">
        <f t="shared" si="18"/>
        <v>2123933.6526989196</v>
      </c>
      <c r="AD86" s="376">
        <f t="shared" si="18"/>
        <v>2208890.9988068766</v>
      </c>
      <c r="AE86" s="376">
        <f t="shared" si="18"/>
        <v>2297246.6387591516</v>
      </c>
      <c r="AF86" s="376">
        <f t="shared" si="18"/>
        <v>2389136.5043095173</v>
      </c>
      <c r="AG86" s="376">
        <f t="shared" si="18"/>
        <v>2484701.9644818986</v>
      </c>
    </row>
    <row r="87" spans="1:34">
      <c r="A87" s="368" t="s">
        <v>318</v>
      </c>
      <c r="B87" s="368" t="s">
        <v>313</v>
      </c>
      <c r="C87" s="376">
        <f>'Changing with year'!C293</f>
        <v>500000</v>
      </c>
      <c r="D87" s="376">
        <f>'Changing with year'!D293</f>
        <v>523000</v>
      </c>
      <c r="E87" s="376">
        <f>'Changing with year'!E293</f>
        <v>547000</v>
      </c>
      <c r="F87" s="376">
        <f>'Changing with year'!F293</f>
        <v>572000</v>
      </c>
      <c r="G87" s="376">
        <f>'Changing with year'!G293</f>
        <v>598000</v>
      </c>
      <c r="H87" s="376">
        <f>'Changing with year'!H293</f>
        <v>625000</v>
      </c>
      <c r="I87" s="376">
        <f>'Changing with year'!I293</f>
        <v>653000</v>
      </c>
      <c r="J87" s="376">
        <f>'Changing with year'!J293</f>
        <v>682000</v>
      </c>
      <c r="K87" s="376">
        <f>'Changing with year'!K293</f>
        <v>713000</v>
      </c>
      <c r="L87" s="376">
        <f>'Changing with year'!L293</f>
        <v>745000</v>
      </c>
      <c r="M87" s="376">
        <f>'Changing with year'!M293</f>
        <v>779000</v>
      </c>
      <c r="N87" s="376">
        <f>'Changing with year'!N293</f>
        <v>814000</v>
      </c>
      <c r="O87" s="376">
        <f>'Changing with year'!O293</f>
        <v>851000</v>
      </c>
      <c r="P87" s="376">
        <f>'Changing with year'!P293</f>
        <v>889000</v>
      </c>
      <c r="Q87" s="376">
        <f>'Changing with year'!Q293</f>
        <v>929000</v>
      </c>
      <c r="R87" s="376">
        <f>'Changing with year'!R293</f>
        <v>971000</v>
      </c>
      <c r="S87" s="376">
        <f>'Changing with year'!S293</f>
        <v>1015000</v>
      </c>
      <c r="T87" s="376">
        <f>'Changing with year'!T293</f>
        <v>1061000</v>
      </c>
      <c r="U87" s="376">
        <f>'Changing with year'!U293</f>
        <v>1109000</v>
      </c>
      <c r="V87" s="376">
        <f>'Changing with year'!V293</f>
        <v>1159000</v>
      </c>
      <c r="W87" s="376">
        <f>'Changing with year'!W293</f>
        <v>1211000</v>
      </c>
      <c r="X87" s="376">
        <f>'Changing with year'!X293</f>
        <v>1265000</v>
      </c>
      <c r="Y87" s="376">
        <f>'Changing with year'!Y293</f>
        <v>1322000</v>
      </c>
      <c r="Z87" s="376">
        <f>'Changing with year'!Z293</f>
        <v>1381000</v>
      </c>
      <c r="AA87" s="376">
        <f>'Changing with year'!AA293</f>
        <v>1443000</v>
      </c>
      <c r="AB87" s="376">
        <f>'Changing with year'!AB293</f>
        <v>1508000</v>
      </c>
      <c r="AC87" s="376">
        <f>'Changing with year'!AC293</f>
        <v>1576000</v>
      </c>
      <c r="AD87" s="376">
        <f>'Changing with year'!AD293</f>
        <v>1647000</v>
      </c>
      <c r="AE87" s="376">
        <f>'Changing with year'!AE293</f>
        <v>1721000</v>
      </c>
      <c r="AF87" s="376">
        <f>'Changing with year'!AF293</f>
        <v>1798000</v>
      </c>
      <c r="AG87" s="376">
        <f>'Changing with year'!AG293</f>
        <v>1879000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571200</v>
      </c>
      <c r="D88" s="376">
        <f t="shared" si="19"/>
        <v>576912</v>
      </c>
      <c r="E88" s="376">
        <f t="shared" si="19"/>
        <v>582681.12000000011</v>
      </c>
      <c r="F88" s="376">
        <f t="shared" si="19"/>
        <v>588507.93120000011</v>
      </c>
      <c r="G88" s="376">
        <f t="shared" si="19"/>
        <v>594393.01051200007</v>
      </c>
      <c r="H88" s="376">
        <f t="shared" si="19"/>
        <v>600336.94061712013</v>
      </c>
      <c r="I88" s="376">
        <f t="shared" si="19"/>
        <v>606340.31002329127</v>
      </c>
      <c r="J88" s="376">
        <f t="shared" si="19"/>
        <v>612403.71312352421</v>
      </c>
      <c r="K88" s="376">
        <f t="shared" si="19"/>
        <v>618527.75025475968</v>
      </c>
      <c r="L88" s="376">
        <f t="shared" si="19"/>
        <v>624713.02775730717</v>
      </c>
      <c r="M88" s="376">
        <f t="shared" si="19"/>
        <v>630960.1580348803</v>
      </c>
      <c r="N88" s="376">
        <f t="shared" si="19"/>
        <v>637269.75961522909</v>
      </c>
      <c r="O88" s="376">
        <f t="shared" si="19"/>
        <v>643642.45721138129</v>
      </c>
      <c r="P88" s="376">
        <f t="shared" si="19"/>
        <v>650078.88178349519</v>
      </c>
      <c r="Q88" s="376">
        <f t="shared" si="19"/>
        <v>656579.67060133012</v>
      </c>
      <c r="R88" s="376">
        <f t="shared" si="19"/>
        <v>663145.46730734338</v>
      </c>
      <c r="S88" s="376">
        <f t="shared" si="19"/>
        <v>669776.92198041675</v>
      </c>
      <c r="T88" s="376">
        <f t="shared" si="19"/>
        <v>676474.69120022096</v>
      </c>
      <c r="U88" s="376">
        <f t="shared" si="19"/>
        <v>683239.43811222329</v>
      </c>
      <c r="V88" s="376">
        <f t="shared" si="19"/>
        <v>690071.83249334537</v>
      </c>
      <c r="W88" s="376">
        <f t="shared" si="19"/>
        <v>696972.55081827892</v>
      </c>
      <c r="X88" s="376">
        <f t="shared" si="19"/>
        <v>703942.27632646158</v>
      </c>
      <c r="Y88" s="376">
        <f t="shared" si="19"/>
        <v>710981.69908972632</v>
      </c>
      <c r="Z88" s="376">
        <f t="shared" si="19"/>
        <v>718091.51608062361</v>
      </c>
      <c r="AA88" s="376">
        <f t="shared" si="19"/>
        <v>725272.43124142988</v>
      </c>
      <c r="AB88" s="376">
        <f t="shared" si="19"/>
        <v>732525.15555384418</v>
      </c>
      <c r="AC88" s="376">
        <f t="shared" si="19"/>
        <v>739850.40710938268</v>
      </c>
      <c r="AD88" s="376">
        <f t="shared" si="19"/>
        <v>747248.91118047654</v>
      </c>
      <c r="AE88" s="376">
        <f t="shared" si="19"/>
        <v>754721.40029228118</v>
      </c>
      <c r="AF88" s="376">
        <f t="shared" si="19"/>
        <v>762268.61429520405</v>
      </c>
      <c r="AG88" s="376">
        <f t="shared" si="19"/>
        <v>769891.300438156</v>
      </c>
    </row>
    <row r="89" spans="1:34">
      <c r="A89" s="300" t="s">
        <v>319</v>
      </c>
      <c r="B89" s="300" t="s">
        <v>309</v>
      </c>
      <c r="C89" s="376">
        <f t="shared" ref="C89:AG89" si="20">C81*$C$29</f>
        <v>101000</v>
      </c>
      <c r="D89" s="376">
        <f t="shared" si="20"/>
        <v>104030</v>
      </c>
      <c r="E89" s="376">
        <f t="shared" si="20"/>
        <v>107150.90000000001</v>
      </c>
      <c r="F89" s="376">
        <f t="shared" si="20"/>
        <v>110365.42700000001</v>
      </c>
      <c r="G89" s="376">
        <f t="shared" si="20"/>
        <v>113676.38981000001</v>
      </c>
      <c r="H89" s="376">
        <f t="shared" si="20"/>
        <v>125086.68150430001</v>
      </c>
      <c r="I89" s="376">
        <f t="shared" si="20"/>
        <v>128839.28194942902</v>
      </c>
      <c r="J89" s="376">
        <f t="shared" si="20"/>
        <v>132704.46040791189</v>
      </c>
      <c r="K89" s="376">
        <f t="shared" si="20"/>
        <v>136685.59422014924</v>
      </c>
      <c r="L89" s="376">
        <f t="shared" si="20"/>
        <v>140786.16204675374</v>
      </c>
      <c r="M89" s="376">
        <f t="shared" si="20"/>
        <v>145009.74690815635</v>
      </c>
      <c r="N89" s="376">
        <f t="shared" si="20"/>
        <v>149360.03931540105</v>
      </c>
      <c r="O89" s="376">
        <f t="shared" si="20"/>
        <v>153840.84049486308</v>
      </c>
      <c r="P89" s="376">
        <f t="shared" si="20"/>
        <v>158456.06570970896</v>
      </c>
      <c r="Q89" s="376">
        <f t="shared" si="20"/>
        <v>163209.74768100024</v>
      </c>
      <c r="R89" s="376">
        <f t="shared" si="20"/>
        <v>168106.04011143025</v>
      </c>
      <c r="S89" s="376">
        <f t="shared" si="20"/>
        <v>173149.22131477317</v>
      </c>
      <c r="T89" s="376">
        <f t="shared" si="20"/>
        <v>178343.69795421633</v>
      </c>
      <c r="U89" s="376">
        <f t="shared" si="20"/>
        <v>183694.00889284283</v>
      </c>
      <c r="V89" s="376">
        <f t="shared" si="20"/>
        <v>189204.82915962811</v>
      </c>
      <c r="W89" s="376">
        <f t="shared" si="20"/>
        <v>194880.97403441698</v>
      </c>
      <c r="X89" s="376">
        <f t="shared" si="20"/>
        <v>200727.40325544949</v>
      </c>
      <c r="Y89" s="376">
        <f t="shared" si="20"/>
        <v>206749.225353113</v>
      </c>
      <c r="Z89" s="376">
        <f t="shared" si="20"/>
        <v>212951.70211370639</v>
      </c>
      <c r="AA89" s="376">
        <f t="shared" si="20"/>
        <v>219340.25317711759</v>
      </c>
      <c r="AB89" s="376">
        <f t="shared" si="20"/>
        <v>225920.46077243114</v>
      </c>
      <c r="AC89" s="376">
        <f t="shared" si="20"/>
        <v>232698.07459560406</v>
      </c>
      <c r="AD89" s="376">
        <f t="shared" si="20"/>
        <v>239679.01683347218</v>
      </c>
      <c r="AE89" s="376">
        <f t="shared" si="20"/>
        <v>246869.38733847637</v>
      </c>
      <c r="AF89" s="376">
        <f t="shared" si="20"/>
        <v>254275.46895863069</v>
      </c>
      <c r="AG89" s="376">
        <f t="shared" si="20"/>
        <v>261903.73302738962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16.466436998542022</v>
      </c>
      <c r="D91" s="379">
        <f t="shared" si="21"/>
        <v>16.960430108498283</v>
      </c>
      <c r="E91" s="379">
        <f t="shared" si="21"/>
        <v>17.469243011753232</v>
      </c>
      <c r="F91" s="379">
        <f t="shared" si="21"/>
        <v>17.993320302105829</v>
      </c>
      <c r="G91" s="379">
        <f t="shared" si="21"/>
        <v>18.533119911169003</v>
      </c>
      <c r="H91" s="379">
        <f t="shared" si="21"/>
        <v>20.393385746012356</v>
      </c>
      <c r="I91" s="379">
        <f t="shared" si="21"/>
        <v>21.005187318392725</v>
      </c>
      <c r="J91" s="379">
        <f t="shared" si="21"/>
        <v>21.635342937944504</v>
      </c>
      <c r="K91" s="379">
        <f t="shared" si="21"/>
        <v>22.284403226082841</v>
      </c>
      <c r="L91" s="379">
        <f t="shared" si="21"/>
        <v>22.952935322865326</v>
      </c>
      <c r="M91" s="379">
        <f t="shared" si="21"/>
        <v>23.641523382551291</v>
      </c>
      <c r="N91" s="379">
        <f t="shared" si="21"/>
        <v>24.350769084027828</v>
      </c>
      <c r="O91" s="379">
        <f t="shared" si="21"/>
        <v>25.081292156548663</v>
      </c>
      <c r="P91" s="379">
        <f t="shared" si="21"/>
        <v>25.833730921245127</v>
      </c>
      <c r="Q91" s="379">
        <f t="shared" si="21"/>
        <v>26.608742848882475</v>
      </c>
      <c r="R91" s="379">
        <f t="shared" si="21"/>
        <v>27.407005134348953</v>
      </c>
      <c r="S91" s="379">
        <f t="shared" si="21"/>
        <v>28.229215288379422</v>
      </c>
      <c r="T91" s="379">
        <f t="shared" si="21"/>
        <v>29.076091747030805</v>
      </c>
      <c r="U91" s="379">
        <f t="shared" si="21"/>
        <v>29.948374499441726</v>
      </c>
      <c r="V91" s="379">
        <f t="shared" si="21"/>
        <v>30.846825734424986</v>
      </c>
      <c r="W91" s="379">
        <f t="shared" si="21"/>
        <v>31.772230506457735</v>
      </c>
      <c r="X91" s="379">
        <f t="shared" si="21"/>
        <v>32.725397421651465</v>
      </c>
      <c r="Y91" s="379">
        <f t="shared" si="21"/>
        <v>33.707159344301012</v>
      </c>
      <c r="Z91" s="379">
        <f t="shared" si="21"/>
        <v>34.718374124630046</v>
      </c>
      <c r="AA91" s="379">
        <f t="shared" si="21"/>
        <v>35.759925348368945</v>
      </c>
      <c r="AB91" s="379">
        <f t="shared" si="21"/>
        <v>36.832723108820012</v>
      </c>
      <c r="AC91" s="379">
        <f t="shared" si="21"/>
        <v>37.93770480208461</v>
      </c>
      <c r="AD91" s="379">
        <f t="shared" si="21"/>
        <v>39.075835946147151</v>
      </c>
      <c r="AE91" s="379">
        <f t="shared" si="21"/>
        <v>40.248111024531575</v>
      </c>
      <c r="AF91" s="379">
        <f t="shared" si="21"/>
        <v>41.455554355267523</v>
      </c>
      <c r="AG91" s="379">
        <f t="shared" si="21"/>
        <v>42.69922098592555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27.1875</v>
      </c>
      <c r="D92" s="379">
        <f t="shared" si="22"/>
        <v>28.59375</v>
      </c>
      <c r="E92" s="379">
        <f t="shared" si="22"/>
        <v>29.451562500000001</v>
      </c>
      <c r="F92" s="379">
        <f t="shared" si="22"/>
        <v>30.335109375000002</v>
      </c>
      <c r="G92" s="379">
        <f t="shared" si="22"/>
        <v>31.245162656250002</v>
      </c>
      <c r="H92" s="379">
        <f t="shared" si="22"/>
        <v>32.1825175359375</v>
      </c>
      <c r="I92" s="379">
        <f t="shared" si="22"/>
        <v>33.14799306201563</v>
      </c>
      <c r="J92" s="379">
        <f t="shared" si="22"/>
        <v>34.142432853876095</v>
      </c>
      <c r="K92" s="379">
        <f t="shared" si="22"/>
        <v>35.16670583949238</v>
      </c>
      <c r="L92" s="379">
        <f t="shared" si="22"/>
        <v>36.22170701467715</v>
      </c>
      <c r="M92" s="379">
        <f t="shared" si="22"/>
        <v>37.308358225117466</v>
      </c>
      <c r="N92" s="379">
        <f t="shared" si="22"/>
        <v>38.427608971870988</v>
      </c>
      <c r="O92" s="379">
        <f t="shared" si="22"/>
        <v>39.58043724102712</v>
      </c>
      <c r="P92" s="379">
        <f t="shared" si="22"/>
        <v>40.767850358257931</v>
      </c>
      <c r="Q92" s="379">
        <f t="shared" si="22"/>
        <v>41.990885869005666</v>
      </c>
      <c r="R92" s="379">
        <f t="shared" si="22"/>
        <v>43.250612445075838</v>
      </c>
      <c r="S92" s="379">
        <f t="shared" si="22"/>
        <v>44.548130818428113</v>
      </c>
      <c r="T92" s="379">
        <f t="shared" si="22"/>
        <v>45.884574742980959</v>
      </c>
      <c r="U92" s="379">
        <f t="shared" si="22"/>
        <v>47.261111985270382</v>
      </c>
      <c r="V92" s="379">
        <f t="shared" si="22"/>
        <v>48.678945344828499</v>
      </c>
      <c r="W92" s="379">
        <f t="shared" si="22"/>
        <v>50.13931370517335</v>
      </c>
      <c r="X92" s="379">
        <f t="shared" si="22"/>
        <v>51.643493116328557</v>
      </c>
      <c r="Y92" s="379">
        <f t="shared" si="22"/>
        <v>53.19279790981841</v>
      </c>
      <c r="Z92" s="379">
        <f t="shared" si="22"/>
        <v>54.788581847112958</v>
      </c>
      <c r="AA92" s="379">
        <f t="shared" si="22"/>
        <v>56.432239302526348</v>
      </c>
      <c r="AB92" s="379">
        <f t="shared" si="22"/>
        <v>58.125206481602135</v>
      </c>
      <c r="AC92" s="379">
        <f t="shared" si="22"/>
        <v>59.868962676050202</v>
      </c>
      <c r="AD92" s="379">
        <f t="shared" si="22"/>
        <v>61.665031556331719</v>
      </c>
      <c r="AE92" s="379">
        <f t="shared" si="22"/>
        <v>63.51498250302167</v>
      </c>
      <c r="AF92" s="379">
        <f t="shared" si="22"/>
        <v>65.420431978112319</v>
      </c>
      <c r="AG92" s="379">
        <f t="shared" si="22"/>
        <v>67.383044937455679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28.843452380952382</v>
      </c>
      <c r="D93" s="379">
        <f t="shared" si="23"/>
        <v>29.771803571428574</v>
      </c>
      <c r="E93" s="379">
        <f t="shared" si="23"/>
        <v>30.735478392857143</v>
      </c>
      <c r="F93" s="379">
        <f t="shared" si="23"/>
        <v>31.735255525595242</v>
      </c>
      <c r="G93" s="379">
        <f t="shared" si="23"/>
        <v>32.771944136410717</v>
      </c>
      <c r="H93" s="379">
        <f t="shared" si="23"/>
        <v>33.965432702262092</v>
      </c>
      <c r="I93" s="379">
        <f t="shared" si="23"/>
        <v>35.082071215210362</v>
      </c>
      <c r="J93" s="379">
        <f t="shared" si="23"/>
        <v>36.238351056077803</v>
      </c>
      <c r="K93" s="379">
        <f t="shared" si="23"/>
        <v>37.45010003883008</v>
      </c>
      <c r="L93" s="379">
        <f t="shared" si="23"/>
        <v>38.703421176546307</v>
      </c>
      <c r="M93" s="379">
        <f t="shared" si="23"/>
        <v>40.014217957340506</v>
      </c>
      <c r="N93" s="379">
        <f t="shared" si="23"/>
        <v>41.368672059411985</v>
      </c>
      <c r="O93" s="379">
        <f t="shared" si="23"/>
        <v>42.78276874563354</v>
      </c>
      <c r="P93" s="379">
        <f t="shared" si="23"/>
        <v>44.242774701987301</v>
      </c>
      <c r="Q93" s="379">
        <f t="shared" si="23"/>
        <v>45.764763560444749</v>
      </c>
      <c r="R93" s="379">
        <f t="shared" si="23"/>
        <v>47.349974823177263</v>
      </c>
      <c r="S93" s="379">
        <f t="shared" si="23"/>
        <v>48.999696666992236</v>
      </c>
      <c r="T93" s="379">
        <f t="shared" si="23"/>
        <v>50.715267868901684</v>
      </c>
      <c r="U93" s="379">
        <f t="shared" si="23"/>
        <v>52.498079808128757</v>
      </c>
      <c r="V93" s="379">
        <f t="shared" si="23"/>
        <v>54.349578547592365</v>
      </c>
      <c r="W93" s="379">
        <f t="shared" si="23"/>
        <v>56.27126699803182</v>
      </c>
      <c r="X93" s="379">
        <f t="shared" si="23"/>
        <v>58.264707168058862</v>
      </c>
      <c r="Y93" s="379">
        <f t="shared" si="23"/>
        <v>60.346403455936752</v>
      </c>
      <c r="Z93" s="379">
        <f t="shared" si="23"/>
        <v>62.503162224736379</v>
      </c>
      <c r="AA93" s="379">
        <f t="shared" si="23"/>
        <v>64.751618140756264</v>
      </c>
      <c r="AB93" s="379">
        <f t="shared" si="23"/>
        <v>67.093593945716663</v>
      </c>
      <c r="AC93" s="379">
        <f t="shared" si="23"/>
        <v>69.530984142915273</v>
      </c>
      <c r="AD93" s="379">
        <f t="shared" si="23"/>
        <v>72.065757839595605</v>
      </c>
      <c r="AE93" s="379">
        <f t="shared" si="23"/>
        <v>74.699961702230794</v>
      </c>
      <c r="AF93" s="379">
        <f t="shared" si="23"/>
        <v>77.435723029216561</v>
      </c>
      <c r="AG93" s="379">
        <f t="shared" si="23"/>
        <v>80.290133898027449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2.6838860544217686</v>
      </c>
      <c r="D94" s="379">
        <f t="shared" si="24"/>
        <v>2.7644026360544216</v>
      </c>
      <c r="E94" s="379">
        <f t="shared" si="24"/>
        <v>2.8473347151360544</v>
      </c>
      <c r="F94" s="379">
        <f t="shared" si="24"/>
        <v>2.9327547565901364</v>
      </c>
      <c r="G94" s="379">
        <f t="shared" si="24"/>
        <v>3.0207373992878401</v>
      </c>
      <c r="H94" s="379">
        <f t="shared" si="24"/>
        <v>3.323944555280081</v>
      </c>
      <c r="I94" s="379">
        <f t="shared" si="24"/>
        <v>3.4236628919384833</v>
      </c>
      <c r="J94" s="379">
        <f t="shared" si="24"/>
        <v>3.5263727786966377</v>
      </c>
      <c r="K94" s="379">
        <f t="shared" si="24"/>
        <v>3.632163962057537</v>
      </c>
      <c r="L94" s="379">
        <f t="shared" si="24"/>
        <v>3.7411288809192635</v>
      </c>
      <c r="M94" s="379">
        <f t="shared" si="24"/>
        <v>3.8533627473468419</v>
      </c>
      <c r="N94" s="379">
        <f t="shared" si="24"/>
        <v>3.1751709038137976</v>
      </c>
      <c r="O94" s="379">
        <f t="shared" si="24"/>
        <v>3.2704260309282116</v>
      </c>
      <c r="P94" s="379">
        <f t="shared" si="24"/>
        <v>3.3685388118560584</v>
      </c>
      <c r="Q94" s="379">
        <f t="shared" si="24"/>
        <v>3.4695949762117397</v>
      </c>
      <c r="R94" s="379">
        <f t="shared" si="24"/>
        <v>3.5736828254980924</v>
      </c>
      <c r="S94" s="379">
        <f t="shared" si="24"/>
        <v>3.6808933102630346</v>
      </c>
      <c r="T94" s="379">
        <f t="shared" si="24"/>
        <v>3.7913201095709255</v>
      </c>
      <c r="U94" s="379">
        <f t="shared" si="24"/>
        <v>3.9050597128580535</v>
      </c>
      <c r="V94" s="379">
        <f t="shared" si="24"/>
        <v>4.0222115042437956</v>
      </c>
      <c r="W94" s="379">
        <f t="shared" si="24"/>
        <v>4.1428778493711089</v>
      </c>
      <c r="X94" s="379">
        <f t="shared" si="24"/>
        <v>3.2003731386391814</v>
      </c>
      <c r="Y94" s="379">
        <f t="shared" si="24"/>
        <v>3.2963843327983575</v>
      </c>
      <c r="Z94" s="379">
        <f t="shared" si="24"/>
        <v>3.3952758627823076</v>
      </c>
      <c r="AA94" s="379">
        <f t="shared" si="24"/>
        <v>3.4971341386657775</v>
      </c>
      <c r="AB94" s="379">
        <f t="shared" si="24"/>
        <v>3.6020481628257506</v>
      </c>
      <c r="AC94" s="379">
        <f t="shared" si="24"/>
        <v>3.7101096077105229</v>
      </c>
      <c r="AD94" s="379">
        <f t="shared" si="24"/>
        <v>3.821412895941839</v>
      </c>
      <c r="AE94" s="379">
        <f t="shared" si="24"/>
        <v>3.9360552828200945</v>
      </c>
      <c r="AF94" s="379">
        <f t="shared" si="24"/>
        <v>4.0541369413046979</v>
      </c>
      <c r="AG94" s="379">
        <f t="shared" si="24"/>
        <v>4.1757610495438389</v>
      </c>
    </row>
    <row r="95" spans="1:34" s="352" customFormat="1">
      <c r="A95" s="380" t="s">
        <v>323</v>
      </c>
      <c r="B95" s="352" t="s">
        <v>300</v>
      </c>
      <c r="C95" s="381">
        <f t="shared" ref="C95:AG95" si="25">SUM(C91:C93)-C94</f>
        <v>69.813503325072645</v>
      </c>
      <c r="D95" s="381">
        <f t="shared" si="25"/>
        <v>72.561581043872437</v>
      </c>
      <c r="E95" s="381">
        <f t="shared" si="25"/>
        <v>74.808949189474319</v>
      </c>
      <c r="F95" s="381">
        <f t="shared" si="25"/>
        <v>77.130930446110924</v>
      </c>
      <c r="G95" s="381">
        <f t="shared" si="25"/>
        <v>79.529489304541883</v>
      </c>
      <c r="H95" s="381">
        <f t="shared" si="25"/>
        <v>83.217391428931862</v>
      </c>
      <c r="I95" s="381">
        <f t="shared" si="25"/>
        <v>85.811588703680243</v>
      </c>
      <c r="J95" s="381">
        <f t="shared" si="25"/>
        <v>88.489754069201766</v>
      </c>
      <c r="K95" s="381">
        <f t="shared" si="25"/>
        <v>91.269045142347764</v>
      </c>
      <c r="L95" s="381">
        <f t="shared" si="25"/>
        <v>94.136934633169517</v>
      </c>
      <c r="M95" s="381">
        <f t="shared" si="25"/>
        <v>97.110736817662428</v>
      </c>
      <c r="N95" s="381">
        <f t="shared" si="25"/>
        <v>100.97187921149701</v>
      </c>
      <c r="O95" s="381">
        <f t="shared" si="25"/>
        <v>104.17407211228112</v>
      </c>
      <c r="P95" s="381">
        <f t="shared" si="25"/>
        <v>107.4758171696343</v>
      </c>
      <c r="Q95" s="381">
        <f t="shared" si="25"/>
        <v>110.89479730212115</v>
      </c>
      <c r="R95" s="381">
        <f t="shared" si="25"/>
        <v>114.43390957710396</v>
      </c>
      <c r="S95" s="381">
        <f t="shared" si="25"/>
        <v>118.09614946353673</v>
      </c>
      <c r="T95" s="381">
        <f t="shared" si="25"/>
        <v>121.88461424934252</v>
      </c>
      <c r="U95" s="381">
        <f t="shared" si="25"/>
        <v>125.8025065799828</v>
      </c>
      <c r="V95" s="381">
        <f t="shared" si="25"/>
        <v>129.85313812260208</v>
      </c>
      <c r="W95" s="381">
        <f t="shared" si="25"/>
        <v>134.0399333602918</v>
      </c>
      <c r="X95" s="381">
        <f t="shared" si="25"/>
        <v>139.43322456739969</v>
      </c>
      <c r="Y95" s="381">
        <f t="shared" si="25"/>
        <v>143.9499763772578</v>
      </c>
      <c r="Z95" s="381">
        <f t="shared" si="25"/>
        <v>148.61484233369706</v>
      </c>
      <c r="AA95" s="381">
        <f t="shared" si="25"/>
        <v>153.44664865298577</v>
      </c>
      <c r="AB95" s="381">
        <f t="shared" si="25"/>
        <v>158.44947537331305</v>
      </c>
      <c r="AC95" s="381">
        <f t="shared" si="25"/>
        <v>163.62754201333956</v>
      </c>
      <c r="AD95" s="381">
        <f t="shared" si="25"/>
        <v>168.98521244613264</v>
      </c>
      <c r="AE95" s="381">
        <f t="shared" si="25"/>
        <v>174.52699994696397</v>
      </c>
      <c r="AF95" s="381">
        <f t="shared" si="25"/>
        <v>180.25757242129168</v>
      </c>
      <c r="AG95" s="381">
        <f t="shared" si="25"/>
        <v>186.19663877186485</v>
      </c>
    </row>
    <row r="96" spans="1:34" s="344" customFormat="1">
      <c r="A96" s="342" t="s">
        <v>180</v>
      </c>
      <c r="B96" s="342"/>
      <c r="H96" s="382">
        <f>H98/H63</f>
        <v>1.1023371223552292</v>
      </c>
      <c r="AB96" s="382">
        <f>AB98/AB63</f>
        <v>1.06908139016783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6">D97+1</f>
        <v>2027</v>
      </c>
      <c r="F97" s="360">
        <f t="shared" si="26"/>
        <v>2028</v>
      </c>
      <c r="G97" s="360">
        <f t="shared" si="26"/>
        <v>2029</v>
      </c>
      <c r="H97" s="360">
        <f>G97+1</f>
        <v>2030</v>
      </c>
      <c r="I97" s="360">
        <f>H97+1</f>
        <v>2031</v>
      </c>
      <c r="J97" s="360">
        <f t="shared" si="26"/>
        <v>2032</v>
      </c>
      <c r="K97" s="360">
        <f t="shared" si="26"/>
        <v>2033</v>
      </c>
      <c r="L97" s="360">
        <f t="shared" si="26"/>
        <v>2034</v>
      </c>
      <c r="M97" s="360">
        <f t="shared" si="26"/>
        <v>2035</v>
      </c>
      <c r="N97" s="360">
        <f t="shared" si="26"/>
        <v>2036</v>
      </c>
      <c r="O97" s="360">
        <f t="shared" si="26"/>
        <v>2037</v>
      </c>
      <c r="P97" s="360">
        <f t="shared" si="26"/>
        <v>2038</v>
      </c>
      <c r="Q97" s="360">
        <f t="shared" si="26"/>
        <v>2039</v>
      </c>
      <c r="R97" s="360">
        <f t="shared" si="26"/>
        <v>2040</v>
      </c>
      <c r="S97" s="360">
        <f t="shared" si="26"/>
        <v>2041</v>
      </c>
      <c r="T97" s="360">
        <f t="shared" si="26"/>
        <v>2042</v>
      </c>
      <c r="U97" s="360">
        <f t="shared" si="26"/>
        <v>2043</v>
      </c>
      <c r="V97" s="360">
        <f t="shared" si="26"/>
        <v>2044</v>
      </c>
      <c r="W97" s="360">
        <f t="shared" si="26"/>
        <v>2045</v>
      </c>
      <c r="X97" s="360">
        <f t="shared" si="26"/>
        <v>2046</v>
      </c>
      <c r="Y97" s="360">
        <f t="shared" si="26"/>
        <v>2047</v>
      </c>
      <c r="Z97" s="360">
        <f t="shared" si="26"/>
        <v>2048</v>
      </c>
      <c r="AA97" s="360">
        <f t="shared" si="26"/>
        <v>2049</v>
      </c>
      <c r="AB97" s="360">
        <f t="shared" si="26"/>
        <v>2050</v>
      </c>
      <c r="AC97" s="360">
        <f t="shared" si="26"/>
        <v>2051</v>
      </c>
      <c r="AD97" s="360">
        <f t="shared" si="26"/>
        <v>2052</v>
      </c>
      <c r="AE97" s="360">
        <f t="shared" si="26"/>
        <v>2053</v>
      </c>
      <c r="AF97" s="360">
        <f t="shared" si="26"/>
        <v>2054</v>
      </c>
      <c r="AG97" s="360">
        <f t="shared" si="26"/>
        <v>2055</v>
      </c>
    </row>
    <row r="98" spans="1:34">
      <c r="A98" s="368" t="s">
        <v>326</v>
      </c>
      <c r="B98" s="300" t="s">
        <v>309</v>
      </c>
      <c r="C98" s="376">
        <f>ROUND(('Changing with year'!C111)/1000,0)*1000</f>
        <v>5380000</v>
      </c>
      <c r="D98" s="376">
        <f>ROUND(('Changing with year'!D111)/1000,0)*1000</f>
        <v>5530000</v>
      </c>
      <c r="E98" s="376">
        <f>ROUND(('Changing with year'!E111)/1000,0)*1000</f>
        <v>5684000</v>
      </c>
      <c r="F98" s="376">
        <f>ROUND(('Changing with year'!F111)/1000,0)*1000</f>
        <v>5843000</v>
      </c>
      <c r="G98" s="376">
        <f>ROUND(('Changing with year'!G111)/1000,0)*1000</f>
        <v>6006000</v>
      </c>
      <c r="H98" s="376">
        <f>ROUND(('Changing with year'!H111)/1000,0)*1000</f>
        <v>6575000</v>
      </c>
      <c r="I98" s="376">
        <f>ROUND(('Changing with year'!I111)/1000,0)*1000</f>
        <v>6760000</v>
      </c>
      <c r="J98" s="376">
        <f>ROUND(('Changing with year'!J111)/1000,0)*1000</f>
        <v>6950000</v>
      </c>
      <c r="K98" s="376">
        <f>ROUND(('Changing with year'!K111)/1000,0)*1000</f>
        <v>7146000</v>
      </c>
      <c r="L98" s="376">
        <f>ROUND(('Changing with year'!L111)/1000,0)*1000</f>
        <v>7348000</v>
      </c>
      <c r="M98" s="376">
        <f>ROUND(('Changing with year'!M111)/1000,0)*1000</f>
        <v>7556000</v>
      </c>
      <c r="N98" s="376">
        <f>ROUND(('Changing with year'!N111)/1000,0)*1000</f>
        <v>7769000</v>
      </c>
      <c r="O98" s="376">
        <f>ROUND(('Changing with year'!O111)/1000,0)*1000</f>
        <v>7990000</v>
      </c>
      <c r="P98" s="376">
        <f>ROUND(('Changing with year'!P111)/1000,0)*1000</f>
        <v>8216000</v>
      </c>
      <c r="Q98" s="376">
        <f>ROUND(('Changing with year'!Q111)/1000,0)*1000</f>
        <v>8450000</v>
      </c>
      <c r="R98" s="376">
        <f>ROUND(('Changing with year'!R111)/1000,0)*1000</f>
        <v>8690000</v>
      </c>
      <c r="S98" s="376">
        <f>ROUND(('Changing with year'!S111)/1000,0)*1000</f>
        <v>8937000</v>
      </c>
      <c r="T98" s="376">
        <f>ROUND(('Changing with year'!T111)/1000,0)*1000</f>
        <v>9191000</v>
      </c>
      <c r="U98" s="376">
        <f>ROUND(('Changing with year'!U111)/1000,0)*1000</f>
        <v>9453000</v>
      </c>
      <c r="V98" s="376">
        <f>ROUND(('Changing with year'!V111)/1000,0)*1000</f>
        <v>9723000</v>
      </c>
      <c r="W98" s="376">
        <f>ROUND(('Changing with year'!W111)/1000,0)*1000</f>
        <v>10001000</v>
      </c>
      <c r="X98" s="376">
        <f>ROUND(('Changing with year'!X111)/1000,0)*1000</f>
        <v>10287000</v>
      </c>
      <c r="Y98" s="376">
        <f>ROUND(('Changing with year'!Y111)/1000,0)*1000</f>
        <v>10581000</v>
      </c>
      <c r="Z98" s="376">
        <f>ROUND(('Changing with year'!Z111)/1000,0)*1000</f>
        <v>10884000</v>
      </c>
      <c r="AA98" s="376">
        <f>ROUND(('Changing with year'!AA111)/1000,0)*1000</f>
        <v>11196000</v>
      </c>
      <c r="AB98" s="376">
        <f>ROUND(('Changing with year'!AB111)/1000,0)*1000</f>
        <v>11517000</v>
      </c>
      <c r="AC98" s="376">
        <f>ROUND(('Changing with year'!AC111)/1000,0)*1000</f>
        <v>11848000</v>
      </c>
      <c r="AD98" s="376">
        <f>ROUND(('Changing with year'!AD111)/1000,0)*1000</f>
        <v>12188000</v>
      </c>
      <c r="AE98" s="376">
        <f>ROUND(('Changing with year'!AE111)/1000,0)*1000</f>
        <v>12539000</v>
      </c>
      <c r="AF98" s="376">
        <f>ROUND(('Changing with year'!AF111)/1000,0)*1000</f>
        <v>12900000</v>
      </c>
      <c r="AG98" s="376">
        <f>ROUND(('Changing with year'!AG111)/1000,0)*1000</f>
        <v>13271000</v>
      </c>
    </row>
    <row r="99" spans="1:34">
      <c r="A99" s="368" t="s">
        <v>310</v>
      </c>
      <c r="B99" s="300" t="s">
        <v>309</v>
      </c>
      <c r="C99" s="376">
        <f>(C98*'No change with year'!$AE$12)</f>
        <v>1345000</v>
      </c>
      <c r="D99" s="376">
        <f>(D98*'No change with year'!$AE$12)</f>
        <v>1382500</v>
      </c>
      <c r="E99" s="376">
        <f>(E98*'No change with year'!$AE$12)</f>
        <v>1421000</v>
      </c>
      <c r="F99" s="376">
        <f>(F98*'No change with year'!$AE$12)</f>
        <v>1460750</v>
      </c>
      <c r="G99" s="376">
        <f>(G98*'No change with year'!$AE$12)</f>
        <v>1501500</v>
      </c>
      <c r="H99" s="376">
        <f>(H98*'No change with year'!$AE$12)</f>
        <v>1643750</v>
      </c>
      <c r="I99" s="376">
        <f>(I98*'No change with year'!$AE$12)</f>
        <v>1690000</v>
      </c>
      <c r="J99" s="376">
        <f>(J98*'No change with year'!$AE$12)</f>
        <v>1737500</v>
      </c>
      <c r="K99" s="376">
        <f>(K98*'No change with year'!$AE$12)</f>
        <v>1786500</v>
      </c>
      <c r="L99" s="376">
        <f>(L98*'No change with year'!$AE$12)</f>
        <v>1837000</v>
      </c>
      <c r="M99" s="376">
        <f>(M98*'No change with year'!$AE$12)</f>
        <v>1889000</v>
      </c>
      <c r="N99" s="376">
        <f>(N98*'No change with year'!$AF$12)</f>
        <v>1553800</v>
      </c>
      <c r="O99" s="376">
        <f>(O98*'No change with year'!$AF$12)</f>
        <v>1598000</v>
      </c>
      <c r="P99" s="376">
        <f>(P98*'No change with year'!$AF$12)</f>
        <v>1643200</v>
      </c>
      <c r="Q99" s="376">
        <f>(Q98*'No change with year'!$AF$12)</f>
        <v>1690000</v>
      </c>
      <c r="R99" s="376">
        <f>(R98*'No change with year'!$AF$12)</f>
        <v>1738000</v>
      </c>
      <c r="S99" s="376">
        <f>(S98*'No change with year'!$AF$12)</f>
        <v>1787400</v>
      </c>
      <c r="T99" s="376">
        <f>(T98*'No change with year'!$AF$12)</f>
        <v>1838200</v>
      </c>
      <c r="U99" s="376">
        <f>(U98*'No change with year'!$AF$12)</f>
        <v>1890600</v>
      </c>
      <c r="V99" s="376">
        <f>(V98*'No change with year'!$AF$12)</f>
        <v>1944600</v>
      </c>
      <c r="W99" s="376">
        <f>(W98*'No change with year'!$AF$12)</f>
        <v>2000200</v>
      </c>
      <c r="X99" s="376">
        <f>(X98*'No change with year'!$AG$12)</f>
        <v>1543049.9999999998</v>
      </c>
      <c r="Y99" s="376">
        <f>(Y98*'No change with year'!$AG$12)</f>
        <v>1587149.9999999995</v>
      </c>
      <c r="Z99" s="376">
        <f>(Z98*'No change with year'!$AG$12)</f>
        <v>1632599.9999999995</v>
      </c>
      <c r="AA99" s="376">
        <f>(AA98*'No change with year'!$AG$12)</f>
        <v>1679399.9999999995</v>
      </c>
      <c r="AB99" s="376">
        <f>(AB98*'No change with year'!$AG$12)</f>
        <v>1727549.9999999995</v>
      </c>
      <c r="AC99" s="376">
        <f>(AC98*'No change with year'!$AG$12)</f>
        <v>1777199.9999999995</v>
      </c>
      <c r="AD99" s="376">
        <f>(AD98*'No change with year'!$AG$12)</f>
        <v>1828199.9999999995</v>
      </c>
      <c r="AE99" s="376">
        <f>(AE98*'No change with year'!$AG$12)</f>
        <v>1880849.9999999995</v>
      </c>
      <c r="AF99" s="376">
        <f>(AF98*'No change with year'!$AG$12)</f>
        <v>1934999.9999999995</v>
      </c>
      <c r="AG99" s="376">
        <f>(AG98*'No change with year'!$AG$12)</f>
        <v>1990649.9999999995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7">-PMT($C$26,$C$25,C98)</f>
        <v>1178853.4191494829</v>
      </c>
      <c r="D101" s="376">
        <f t="shared" si="27"/>
        <v>1211721.0795346915</v>
      </c>
      <c r="E101" s="376">
        <f t="shared" si="27"/>
        <v>1245465.2108635057</v>
      </c>
      <c r="F101" s="376">
        <f t="shared" si="27"/>
        <v>1280304.9308718271</v>
      </c>
      <c r="G101" s="376">
        <f t="shared" si="27"/>
        <v>1316021.1218237537</v>
      </c>
      <c r="H101" s="376">
        <f t="shared" si="27"/>
        <v>1440699.1135516448</v>
      </c>
      <c r="I101" s="376">
        <f t="shared" si="27"/>
        <v>1481235.8946934023</v>
      </c>
      <c r="J101" s="376">
        <f t="shared" si="27"/>
        <v>1522868.2645146665</v>
      </c>
      <c r="K101" s="376">
        <f t="shared" si="27"/>
        <v>1565815.3407513392</v>
      </c>
      <c r="L101" s="376">
        <f t="shared" si="27"/>
        <v>1610077.1234034202</v>
      </c>
      <c r="M101" s="376">
        <f t="shared" si="27"/>
        <v>1655653.6124709093</v>
      </c>
      <c r="N101" s="376">
        <f t="shared" si="27"/>
        <v>1702325.6902179057</v>
      </c>
      <c r="O101" s="376">
        <f t="shared" si="27"/>
        <v>1750750.7098521129</v>
      </c>
      <c r="P101" s="376">
        <f t="shared" si="27"/>
        <v>1800271.3181658273</v>
      </c>
      <c r="Q101" s="376">
        <f t="shared" si="27"/>
        <v>1851544.868366753</v>
      </c>
      <c r="R101" s="376">
        <f t="shared" si="27"/>
        <v>1904133.1249830867</v>
      </c>
      <c r="S101" s="376">
        <f t="shared" si="27"/>
        <v>1958255.2057507304</v>
      </c>
      <c r="T101" s="376">
        <f t="shared" si="27"/>
        <v>2013911.1106696834</v>
      </c>
      <c r="U101" s="376">
        <f t="shared" si="27"/>
        <v>2071319.9574758478</v>
      </c>
      <c r="V101" s="376">
        <f t="shared" si="27"/>
        <v>2130481.7461692235</v>
      </c>
      <c r="W101" s="376">
        <f t="shared" si="27"/>
        <v>2191396.4767498104</v>
      </c>
      <c r="X101" s="376">
        <f t="shared" si="27"/>
        <v>2254064.1492176079</v>
      </c>
      <c r="Y101" s="376">
        <f t="shared" si="27"/>
        <v>2318484.763572617</v>
      </c>
      <c r="Z101" s="376">
        <f t="shared" si="27"/>
        <v>2384877.437550738</v>
      </c>
      <c r="AA101" s="376">
        <f t="shared" si="27"/>
        <v>2453242.1711519719</v>
      </c>
      <c r="AB101" s="376">
        <f t="shared" si="27"/>
        <v>2523578.9643763187</v>
      </c>
      <c r="AC101" s="376">
        <f t="shared" si="27"/>
        <v>2596106.9349596789</v>
      </c>
      <c r="AD101" s="376">
        <f t="shared" si="27"/>
        <v>2670606.965166152</v>
      </c>
      <c r="AE101" s="376">
        <f t="shared" si="27"/>
        <v>2747517.2904675403</v>
      </c>
      <c r="AF101" s="376">
        <f t="shared" si="27"/>
        <v>2826618.7931279424</v>
      </c>
      <c r="AG101" s="376">
        <f t="shared" si="27"/>
        <v>2907911.4731473583</v>
      </c>
    </row>
    <row r="102" spans="1:34">
      <c r="A102" s="300" t="s">
        <v>321</v>
      </c>
      <c r="B102" s="300" t="s">
        <v>309</v>
      </c>
      <c r="C102" s="376">
        <f t="shared" ref="C102:AG102" si="28">$E$38*C44</f>
        <v>1799225.8064516129</v>
      </c>
      <c r="D102" s="376">
        <f t="shared" si="28"/>
        <v>1864258.064516129</v>
      </c>
      <c r="E102" s="376">
        <f t="shared" si="28"/>
        <v>1920185.8064516129</v>
      </c>
      <c r="F102" s="376">
        <f t="shared" si="28"/>
        <v>1977791.380645161</v>
      </c>
      <c r="G102" s="376">
        <f t="shared" si="28"/>
        <v>2037125.1220645159</v>
      </c>
      <c r="H102" s="376">
        <f t="shared" si="28"/>
        <v>2098238.8757264516</v>
      </c>
      <c r="I102" s="376">
        <f t="shared" si="28"/>
        <v>2161186.0419982453</v>
      </c>
      <c r="J102" s="376">
        <f t="shared" si="28"/>
        <v>2226021.6232581926</v>
      </c>
      <c r="K102" s="376">
        <f t="shared" si="28"/>
        <v>2292802.2719559385</v>
      </c>
      <c r="L102" s="376">
        <f t="shared" si="28"/>
        <v>2361586.3401146168</v>
      </c>
      <c r="M102" s="376">
        <f t="shared" si="28"/>
        <v>2432433.9303180552</v>
      </c>
      <c r="N102" s="376">
        <f t="shared" si="28"/>
        <v>2505406.9482275969</v>
      </c>
      <c r="O102" s="376">
        <f t="shared" si="28"/>
        <v>2580569.1566744247</v>
      </c>
      <c r="P102" s="376">
        <f t="shared" si="28"/>
        <v>2657986.2313746577</v>
      </c>
      <c r="Q102" s="376">
        <f t="shared" si="28"/>
        <v>2737725.8183158971</v>
      </c>
      <c r="R102" s="376">
        <f t="shared" si="28"/>
        <v>2819857.5928653744</v>
      </c>
      <c r="S102" s="376">
        <f t="shared" si="28"/>
        <v>2904453.3206513356</v>
      </c>
      <c r="T102" s="376">
        <f t="shared" si="28"/>
        <v>2991586.920270876</v>
      </c>
      <c r="U102" s="376">
        <f t="shared" si="28"/>
        <v>3081334.5278790025</v>
      </c>
      <c r="V102" s="376">
        <f t="shared" si="28"/>
        <v>3173774.5637153722</v>
      </c>
      <c r="W102" s="376">
        <f t="shared" si="28"/>
        <v>3268987.8006268335</v>
      </c>
      <c r="X102" s="376">
        <f t="shared" si="28"/>
        <v>3367057.4346456388</v>
      </c>
      <c r="Y102" s="376">
        <f t="shared" si="28"/>
        <v>3468069.1576850084</v>
      </c>
      <c r="Z102" s="376">
        <f t="shared" si="28"/>
        <v>3572111.2324155583</v>
      </c>
      <c r="AA102" s="376">
        <f t="shared" si="28"/>
        <v>3679274.5693880254</v>
      </c>
      <c r="AB102" s="376">
        <f t="shared" si="28"/>
        <v>3789652.8064696663</v>
      </c>
      <c r="AC102" s="376">
        <f t="shared" si="28"/>
        <v>3903342.3906637561</v>
      </c>
      <c r="AD102" s="376">
        <f t="shared" si="28"/>
        <v>4020442.6623836691</v>
      </c>
      <c r="AE102" s="376">
        <f t="shared" si="28"/>
        <v>4141055.9422551789</v>
      </c>
      <c r="AF102" s="376">
        <f t="shared" si="28"/>
        <v>4265287.6205228344</v>
      </c>
      <c r="AG102" s="376">
        <f t="shared" si="28"/>
        <v>4393246.2491385192</v>
      </c>
    </row>
    <row r="103" spans="1:34">
      <c r="A103" s="300" t="s">
        <v>317</v>
      </c>
      <c r="B103" s="300" t="s">
        <v>309</v>
      </c>
      <c r="C103" s="376">
        <f t="shared" ref="C103:AG103" si="29">C57*$C$21*$C$22</f>
        <v>766080</v>
      </c>
      <c r="D103" s="376">
        <f t="shared" si="29"/>
        <v>796723.20000000019</v>
      </c>
      <c r="E103" s="376">
        <f t="shared" si="29"/>
        <v>828592.12800000014</v>
      </c>
      <c r="F103" s="376">
        <f t="shared" si="29"/>
        <v>861735.81312000006</v>
      </c>
      <c r="G103" s="376">
        <f t="shared" si="29"/>
        <v>896205.24564480025</v>
      </c>
      <c r="H103" s="376">
        <f t="shared" si="29"/>
        <v>932053.45547059213</v>
      </c>
      <c r="I103" s="376">
        <f t="shared" si="29"/>
        <v>969335.59368941595</v>
      </c>
      <c r="J103" s="376">
        <f t="shared" si="29"/>
        <v>1008109.0174369925</v>
      </c>
      <c r="K103" s="376">
        <f t="shared" si="29"/>
        <v>1048433.3781344723</v>
      </c>
      <c r="L103" s="376">
        <f t="shared" si="29"/>
        <v>1090370.7132598511</v>
      </c>
      <c r="M103" s="376">
        <f t="shared" si="29"/>
        <v>1133985.5417902453</v>
      </c>
      <c r="N103" s="376">
        <f t="shared" si="29"/>
        <v>1179344.9634618552</v>
      </c>
      <c r="O103" s="376">
        <f t="shared" si="29"/>
        <v>1226518.7620003296</v>
      </c>
      <c r="P103" s="376">
        <f t="shared" si="29"/>
        <v>1275579.5124803428</v>
      </c>
      <c r="Q103" s="376">
        <f t="shared" si="29"/>
        <v>1326602.6929795563</v>
      </c>
      <c r="R103" s="376">
        <f t="shared" si="29"/>
        <v>1379666.8006987385</v>
      </c>
      <c r="S103" s="376">
        <f t="shared" si="29"/>
        <v>1434853.4727266883</v>
      </c>
      <c r="T103" s="376">
        <f t="shared" si="29"/>
        <v>1492247.6116357557</v>
      </c>
      <c r="U103" s="376">
        <f t="shared" si="29"/>
        <v>1551937.5161011859</v>
      </c>
      <c r="V103" s="376">
        <f t="shared" si="29"/>
        <v>1614015.0167452334</v>
      </c>
      <c r="W103" s="376">
        <f t="shared" si="29"/>
        <v>1678575.6174150428</v>
      </c>
      <c r="X103" s="376">
        <f t="shared" si="29"/>
        <v>1745718.6421116444</v>
      </c>
      <c r="Y103" s="376">
        <f t="shared" si="29"/>
        <v>1815547.3877961102</v>
      </c>
      <c r="Z103" s="376">
        <f t="shared" si="29"/>
        <v>1888169.2833079547</v>
      </c>
      <c r="AA103" s="376">
        <f t="shared" si="29"/>
        <v>1963696.0546402731</v>
      </c>
      <c r="AB103" s="376">
        <f t="shared" si="29"/>
        <v>2042243.8968258842</v>
      </c>
      <c r="AC103" s="376">
        <f t="shared" si="29"/>
        <v>2123933.6526989196</v>
      </c>
      <c r="AD103" s="376">
        <f t="shared" si="29"/>
        <v>2208890.9988068766</v>
      </c>
      <c r="AE103" s="376">
        <f t="shared" si="29"/>
        <v>2297246.6387591516</v>
      </c>
      <c r="AF103" s="376">
        <f t="shared" si="29"/>
        <v>2389136.5043095173</v>
      </c>
      <c r="AG103" s="376">
        <f t="shared" si="29"/>
        <v>2484701.9644818986</v>
      </c>
    </row>
    <row r="104" spans="1:34">
      <c r="A104" s="368" t="s">
        <v>318</v>
      </c>
      <c r="B104" s="368" t="s">
        <v>313</v>
      </c>
      <c r="C104" s="376">
        <f>'Changing with year'!C293</f>
        <v>500000</v>
      </c>
      <c r="D104" s="376">
        <f>'Changing with year'!D293</f>
        <v>523000</v>
      </c>
      <c r="E104" s="376">
        <f>'Changing with year'!E293</f>
        <v>547000</v>
      </c>
      <c r="F104" s="376">
        <f>'Changing with year'!F293</f>
        <v>572000</v>
      </c>
      <c r="G104" s="376">
        <f>'Changing with year'!G293</f>
        <v>598000</v>
      </c>
      <c r="H104" s="376">
        <f>'Changing with year'!H293</f>
        <v>625000</v>
      </c>
      <c r="I104" s="376">
        <f>'Changing with year'!I293</f>
        <v>653000</v>
      </c>
      <c r="J104" s="376">
        <f>'Changing with year'!J293</f>
        <v>682000</v>
      </c>
      <c r="K104" s="376">
        <f>'Changing with year'!K293</f>
        <v>713000</v>
      </c>
      <c r="L104" s="376">
        <f>'Changing with year'!L293</f>
        <v>745000</v>
      </c>
      <c r="M104" s="376">
        <f>'Changing with year'!M293</f>
        <v>779000</v>
      </c>
      <c r="N104" s="376">
        <f>'Changing with year'!N293</f>
        <v>814000</v>
      </c>
      <c r="O104" s="376">
        <f>'Changing with year'!O293</f>
        <v>851000</v>
      </c>
      <c r="P104" s="376">
        <f>'Changing with year'!P293</f>
        <v>889000</v>
      </c>
      <c r="Q104" s="376">
        <f>'Changing with year'!Q293</f>
        <v>929000</v>
      </c>
      <c r="R104" s="376">
        <f>'Changing with year'!R293</f>
        <v>971000</v>
      </c>
      <c r="S104" s="376">
        <f>'Changing with year'!S293</f>
        <v>1015000</v>
      </c>
      <c r="T104" s="376">
        <f>'Changing with year'!T293</f>
        <v>1061000</v>
      </c>
      <c r="U104" s="376">
        <f>'Changing with year'!U293</f>
        <v>1109000</v>
      </c>
      <c r="V104" s="376">
        <f>'Changing with year'!V293</f>
        <v>1159000</v>
      </c>
      <c r="W104" s="376">
        <f>'Changing with year'!W293</f>
        <v>1211000</v>
      </c>
      <c r="X104" s="376">
        <f>'Changing with year'!X293</f>
        <v>1265000</v>
      </c>
      <c r="Y104" s="376">
        <f>'Changing with year'!Y293</f>
        <v>1322000</v>
      </c>
      <c r="Z104" s="376">
        <f>'Changing with year'!Z293</f>
        <v>1381000</v>
      </c>
      <c r="AA104" s="376">
        <f>'Changing with year'!AA293</f>
        <v>1443000</v>
      </c>
      <c r="AB104" s="376">
        <f>'Changing with year'!AB293</f>
        <v>1508000</v>
      </c>
      <c r="AC104" s="376">
        <f>'Changing with year'!AC293</f>
        <v>1576000</v>
      </c>
      <c r="AD104" s="376">
        <f>'Changing with year'!AD293</f>
        <v>1647000</v>
      </c>
      <c r="AE104" s="376">
        <f>'Changing with year'!AE293</f>
        <v>1721000</v>
      </c>
      <c r="AF104" s="376">
        <f>'Changing with year'!AF293</f>
        <v>1798000</v>
      </c>
      <c r="AG104" s="376">
        <f>'Changing with year'!AG293</f>
        <v>1879000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0">C60</f>
        <v>571200</v>
      </c>
      <c r="D105" s="376">
        <f t="shared" si="30"/>
        <v>576912</v>
      </c>
      <c r="E105" s="376">
        <f t="shared" si="30"/>
        <v>582681.12000000011</v>
      </c>
      <c r="F105" s="376">
        <f t="shared" si="30"/>
        <v>588507.93120000011</v>
      </c>
      <c r="G105" s="376">
        <f t="shared" si="30"/>
        <v>594393.01051200007</v>
      </c>
      <c r="H105" s="376">
        <f t="shared" si="30"/>
        <v>600336.94061712013</v>
      </c>
      <c r="I105" s="376">
        <f t="shared" si="30"/>
        <v>606340.31002329127</v>
      </c>
      <c r="J105" s="376">
        <f t="shared" si="30"/>
        <v>612403.71312352421</v>
      </c>
      <c r="K105" s="376">
        <f t="shared" si="30"/>
        <v>618527.75025475968</v>
      </c>
      <c r="L105" s="376">
        <f t="shared" si="30"/>
        <v>624713.02775730717</v>
      </c>
      <c r="M105" s="376">
        <f t="shared" si="30"/>
        <v>630960.1580348803</v>
      </c>
      <c r="N105" s="376">
        <f t="shared" si="30"/>
        <v>637269.75961522909</v>
      </c>
      <c r="O105" s="376">
        <f t="shared" si="30"/>
        <v>643642.45721138129</v>
      </c>
      <c r="P105" s="376">
        <f t="shared" si="30"/>
        <v>650078.88178349519</v>
      </c>
      <c r="Q105" s="376">
        <f t="shared" si="30"/>
        <v>656579.67060133012</v>
      </c>
      <c r="R105" s="376">
        <f t="shared" si="30"/>
        <v>663145.46730734338</v>
      </c>
      <c r="S105" s="376">
        <f t="shared" si="30"/>
        <v>669776.92198041675</v>
      </c>
      <c r="T105" s="376">
        <f t="shared" si="30"/>
        <v>676474.69120022096</v>
      </c>
      <c r="U105" s="376">
        <f t="shared" si="30"/>
        <v>683239.43811222329</v>
      </c>
      <c r="V105" s="376">
        <f t="shared" si="30"/>
        <v>690071.83249334537</v>
      </c>
      <c r="W105" s="376">
        <f t="shared" si="30"/>
        <v>696972.55081827892</v>
      </c>
      <c r="X105" s="376">
        <f t="shared" si="30"/>
        <v>703942.27632646158</v>
      </c>
      <c r="Y105" s="376">
        <f t="shared" si="30"/>
        <v>710981.69908972632</v>
      </c>
      <c r="Z105" s="376">
        <f t="shared" si="30"/>
        <v>718091.51608062361</v>
      </c>
      <c r="AA105" s="376">
        <f t="shared" si="30"/>
        <v>725272.43124142988</v>
      </c>
      <c r="AB105" s="376">
        <f t="shared" si="30"/>
        <v>732525.15555384418</v>
      </c>
      <c r="AC105" s="376">
        <f t="shared" si="30"/>
        <v>739850.40710938268</v>
      </c>
      <c r="AD105" s="376">
        <f t="shared" si="30"/>
        <v>747248.91118047654</v>
      </c>
      <c r="AE105" s="376">
        <f t="shared" si="30"/>
        <v>754721.40029228118</v>
      </c>
      <c r="AF105" s="376">
        <f t="shared" si="30"/>
        <v>762268.61429520405</v>
      </c>
      <c r="AG105" s="376">
        <f t="shared" si="30"/>
        <v>769891.300438156</v>
      </c>
    </row>
    <row r="106" spans="1:34">
      <c r="A106" s="300" t="s">
        <v>319</v>
      </c>
      <c r="B106" s="300" t="s">
        <v>309</v>
      </c>
      <c r="C106" s="376">
        <f t="shared" ref="C106:AG106" si="31">C98*$C$29</f>
        <v>107600</v>
      </c>
      <c r="D106" s="376">
        <f t="shared" si="31"/>
        <v>110600</v>
      </c>
      <c r="E106" s="376">
        <f t="shared" si="31"/>
        <v>113680</v>
      </c>
      <c r="F106" s="376">
        <f t="shared" si="31"/>
        <v>116860</v>
      </c>
      <c r="G106" s="376">
        <f t="shared" si="31"/>
        <v>120120</v>
      </c>
      <c r="H106" s="376">
        <f t="shared" si="31"/>
        <v>131500</v>
      </c>
      <c r="I106" s="376">
        <f t="shared" si="31"/>
        <v>135200</v>
      </c>
      <c r="J106" s="376">
        <f t="shared" si="31"/>
        <v>139000</v>
      </c>
      <c r="K106" s="376">
        <f t="shared" si="31"/>
        <v>142920</v>
      </c>
      <c r="L106" s="376">
        <f t="shared" si="31"/>
        <v>146960</v>
      </c>
      <c r="M106" s="376">
        <f t="shared" si="31"/>
        <v>151120</v>
      </c>
      <c r="N106" s="376">
        <f t="shared" si="31"/>
        <v>155380</v>
      </c>
      <c r="O106" s="376">
        <f t="shared" si="31"/>
        <v>159800</v>
      </c>
      <c r="P106" s="376">
        <f t="shared" si="31"/>
        <v>164320</v>
      </c>
      <c r="Q106" s="376">
        <f t="shared" si="31"/>
        <v>169000</v>
      </c>
      <c r="R106" s="376">
        <f t="shared" si="31"/>
        <v>173800</v>
      </c>
      <c r="S106" s="376">
        <f t="shared" si="31"/>
        <v>178740</v>
      </c>
      <c r="T106" s="376">
        <f t="shared" si="31"/>
        <v>183820</v>
      </c>
      <c r="U106" s="376">
        <f t="shared" si="31"/>
        <v>189060</v>
      </c>
      <c r="V106" s="376">
        <f t="shared" si="31"/>
        <v>194460</v>
      </c>
      <c r="W106" s="376">
        <f t="shared" si="31"/>
        <v>200020</v>
      </c>
      <c r="X106" s="376">
        <f t="shared" si="31"/>
        <v>205740</v>
      </c>
      <c r="Y106" s="376">
        <f t="shared" si="31"/>
        <v>211620</v>
      </c>
      <c r="Z106" s="376">
        <f t="shared" si="31"/>
        <v>217680</v>
      </c>
      <c r="AA106" s="376">
        <f t="shared" si="31"/>
        <v>223920</v>
      </c>
      <c r="AB106" s="376">
        <f t="shared" si="31"/>
        <v>230340</v>
      </c>
      <c r="AC106" s="376">
        <f t="shared" si="31"/>
        <v>236960</v>
      </c>
      <c r="AD106" s="376">
        <f t="shared" si="31"/>
        <v>243760</v>
      </c>
      <c r="AE106" s="376">
        <f t="shared" si="31"/>
        <v>250780</v>
      </c>
      <c r="AF106" s="376">
        <f t="shared" si="31"/>
        <v>258000</v>
      </c>
      <c r="AG106" s="376">
        <f t="shared" si="31"/>
        <v>265420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8" si="32">C101/($C$22*$C$21)</f>
        <v>17.542461594486351</v>
      </c>
      <c r="D108" s="379">
        <f t="shared" si="32"/>
        <v>18.031563683551958</v>
      </c>
      <c r="E108" s="379">
        <f t="shared" si="32"/>
        <v>18.533708494992645</v>
      </c>
      <c r="F108" s="379">
        <f t="shared" si="32"/>
        <v>19.052156709402187</v>
      </c>
      <c r="G108" s="379">
        <f t="shared" si="32"/>
        <v>19.583647646186812</v>
      </c>
      <c r="H108" s="379">
        <f t="shared" si="32"/>
        <v>21.438974904042333</v>
      </c>
      <c r="I108" s="379">
        <f t="shared" si="32"/>
        <v>22.042200813889917</v>
      </c>
      <c r="J108" s="379">
        <f t="shared" si="32"/>
        <v>22.661730126706345</v>
      </c>
      <c r="K108" s="379">
        <f t="shared" si="32"/>
        <v>23.300823523085405</v>
      </c>
      <c r="L108" s="379">
        <f t="shared" si="32"/>
        <v>23.959481003027086</v>
      </c>
      <c r="M108" s="379">
        <f t="shared" si="32"/>
        <v>24.637702566531388</v>
      </c>
      <c r="N108" s="379">
        <f t="shared" si="32"/>
        <v>25.332227533004549</v>
      </c>
      <c r="O108" s="379">
        <f t="shared" si="32"/>
        <v>26.052837944227871</v>
      </c>
      <c r="P108" s="379">
        <f t="shared" si="32"/>
        <v>26.789751758420049</v>
      </c>
      <c r="Q108" s="379">
        <f t="shared" si="32"/>
        <v>27.552751017362397</v>
      </c>
      <c r="R108" s="379">
        <f t="shared" si="32"/>
        <v>28.335314359867361</v>
      </c>
      <c r="S108" s="379">
        <f t="shared" si="32"/>
        <v>29.140702466528726</v>
      </c>
      <c r="T108" s="379">
        <f t="shared" si="32"/>
        <v>29.96891533734648</v>
      </c>
      <c r="U108" s="379">
        <f t="shared" si="32"/>
        <v>30.823213652914401</v>
      </c>
      <c r="V108" s="379">
        <f t="shared" si="32"/>
        <v>31.70359741323249</v>
      </c>
      <c r="W108" s="379">
        <f t="shared" si="32"/>
        <v>32.610066618300749</v>
      </c>
      <c r="X108" s="379">
        <f t="shared" si="32"/>
        <v>33.542621268119163</v>
      </c>
      <c r="Y108" s="379">
        <f t="shared" si="32"/>
        <v>34.50126136268775</v>
      </c>
      <c r="Z108" s="379">
        <f t="shared" si="32"/>
        <v>35.489247582600271</v>
      </c>
      <c r="AA108" s="379">
        <f t="shared" si="32"/>
        <v>36.506579927856727</v>
      </c>
      <c r="AB108" s="379">
        <f t="shared" si="32"/>
        <v>37.553258398457125</v>
      </c>
      <c r="AC108" s="379">
        <f t="shared" si="32"/>
        <v>38.632543674995219</v>
      </c>
      <c r="AD108" s="379">
        <f t="shared" si="32"/>
        <v>39.741175076877262</v>
      </c>
      <c r="AE108" s="379">
        <f t="shared" si="32"/>
        <v>40.885673965290778</v>
      </c>
      <c r="AF108" s="379">
        <f t="shared" si="32"/>
        <v>42.062779659641997</v>
      </c>
      <c r="AG108" s="379">
        <f t="shared" si="32"/>
        <v>43.272492159930927</v>
      </c>
    </row>
    <row r="109" spans="1:34">
      <c r="A109" s="300" t="s">
        <v>321</v>
      </c>
      <c r="B109" s="300" t="s">
        <v>300</v>
      </c>
      <c r="C109" s="379">
        <f t="shared" ref="C109:AG109" si="33">C102/($C$22*$C$21)</f>
        <v>26.774193548387096</v>
      </c>
      <c r="D109" s="379">
        <f t="shared" si="33"/>
        <v>27.741935483870968</v>
      </c>
      <c r="E109" s="379">
        <f t="shared" si="33"/>
        <v>28.574193548387097</v>
      </c>
      <c r="F109" s="379">
        <f t="shared" si="33"/>
        <v>29.431419354838706</v>
      </c>
      <c r="G109" s="379">
        <f t="shared" si="33"/>
        <v>30.31436193548387</v>
      </c>
      <c r="H109" s="379">
        <f t="shared" si="33"/>
        <v>31.223792793548387</v>
      </c>
      <c r="I109" s="379">
        <f t="shared" si="33"/>
        <v>32.160506577354838</v>
      </c>
      <c r="J109" s="379">
        <f t="shared" si="33"/>
        <v>33.125321774675484</v>
      </c>
      <c r="K109" s="379">
        <f t="shared" si="33"/>
        <v>34.119081427915752</v>
      </c>
      <c r="L109" s="379">
        <f t="shared" si="33"/>
        <v>35.142653870753229</v>
      </c>
      <c r="M109" s="379">
        <f t="shared" si="33"/>
        <v>36.196933486875821</v>
      </c>
      <c r="N109" s="379">
        <f t="shared" si="33"/>
        <v>37.282841491482095</v>
      </c>
      <c r="O109" s="379">
        <f t="shared" si="33"/>
        <v>38.401326736226558</v>
      </c>
      <c r="P109" s="379">
        <f t="shared" si="33"/>
        <v>39.553366538313362</v>
      </c>
      <c r="Q109" s="379">
        <f t="shared" si="33"/>
        <v>40.739967534462757</v>
      </c>
      <c r="R109" s="379">
        <f t="shared" si="33"/>
        <v>41.962166560496641</v>
      </c>
      <c r="S109" s="379">
        <f t="shared" si="33"/>
        <v>43.221031557311541</v>
      </c>
      <c r="T109" s="379">
        <f t="shared" si="33"/>
        <v>44.517662504030895</v>
      </c>
      <c r="U109" s="379">
        <f t="shared" si="33"/>
        <v>45.853192379151821</v>
      </c>
      <c r="V109" s="379">
        <f t="shared" si="33"/>
        <v>47.22878815052637</v>
      </c>
      <c r="W109" s="379">
        <f t="shared" si="33"/>
        <v>48.645651795042163</v>
      </c>
      <c r="X109" s="379">
        <f t="shared" si="33"/>
        <v>50.105021348893438</v>
      </c>
      <c r="Y109" s="379">
        <f t="shared" si="33"/>
        <v>51.608171989360244</v>
      </c>
      <c r="Z109" s="379">
        <f t="shared" si="33"/>
        <v>53.156417149041047</v>
      </c>
      <c r="AA109" s="379">
        <f t="shared" si="33"/>
        <v>54.751109663512281</v>
      </c>
      <c r="AB109" s="379">
        <f t="shared" si="33"/>
        <v>56.393642953417654</v>
      </c>
      <c r="AC109" s="379">
        <f t="shared" si="33"/>
        <v>58.085452242020182</v>
      </c>
      <c r="AD109" s="379">
        <f t="shared" si="33"/>
        <v>59.828015809280792</v>
      </c>
      <c r="AE109" s="379">
        <f t="shared" si="33"/>
        <v>61.622856283559209</v>
      </c>
      <c r="AF109" s="379">
        <f t="shared" si="33"/>
        <v>63.471541972065985</v>
      </c>
      <c r="AG109" s="379">
        <f t="shared" si="33"/>
        <v>65.375688231227969</v>
      </c>
    </row>
    <row r="110" spans="1:34">
      <c r="A110" s="300" t="s">
        <v>322</v>
      </c>
      <c r="B110" s="300" t="s">
        <v>300</v>
      </c>
      <c r="C110" s="379">
        <f t="shared" ref="C110:AG110" si="34">(C103+C104+C105+C106)/($C$22*$C$21)</f>
        <v>28.941666666666666</v>
      </c>
      <c r="D110" s="379">
        <f t="shared" si="34"/>
        <v>29.869571428571433</v>
      </c>
      <c r="E110" s="379">
        <f t="shared" si="34"/>
        <v>30.83263761904762</v>
      </c>
      <c r="F110" s="379">
        <f t="shared" si="34"/>
        <v>31.831900957142857</v>
      </c>
      <c r="G110" s="379">
        <f t="shared" si="34"/>
        <v>32.867831192809525</v>
      </c>
      <c r="H110" s="379">
        <f t="shared" si="34"/>
        <v>34.060868989400483</v>
      </c>
      <c r="I110" s="379">
        <f t="shared" si="34"/>
        <v>35.176724757629579</v>
      </c>
      <c r="J110" s="379">
        <f t="shared" si="34"/>
        <v>36.332034680960064</v>
      </c>
      <c r="K110" s="379">
        <f t="shared" si="34"/>
        <v>37.54287393436357</v>
      </c>
      <c r="L110" s="379">
        <f t="shared" si="34"/>
        <v>38.795293765136279</v>
      </c>
      <c r="M110" s="379">
        <f t="shared" si="34"/>
        <v>40.105144342635796</v>
      </c>
      <c r="N110" s="379">
        <f t="shared" si="34"/>
        <v>41.458254807694708</v>
      </c>
      <c r="O110" s="379">
        <f t="shared" si="34"/>
        <v>42.871446714459978</v>
      </c>
      <c r="P110" s="379">
        <f t="shared" si="34"/>
        <v>44.330035628926161</v>
      </c>
      <c r="Q110" s="379">
        <f t="shared" si="34"/>
        <v>45.85092802947748</v>
      </c>
      <c r="R110" s="379">
        <f t="shared" si="34"/>
        <v>47.434706369138119</v>
      </c>
      <c r="S110" s="379">
        <f t="shared" si="34"/>
        <v>49.082892778379538</v>
      </c>
      <c r="T110" s="379">
        <f t="shared" si="34"/>
        <v>50.796760458868704</v>
      </c>
      <c r="U110" s="379">
        <f t="shared" si="34"/>
        <v>52.577930866270975</v>
      </c>
      <c r="V110" s="379">
        <f t="shared" si="34"/>
        <v>54.427780494621707</v>
      </c>
      <c r="W110" s="379">
        <f t="shared" si="34"/>
        <v>56.347740598710139</v>
      </c>
      <c r="X110" s="379">
        <f t="shared" si="34"/>
        <v>58.339299381519432</v>
      </c>
      <c r="Y110" s="379">
        <f t="shared" si="34"/>
        <v>60.418885221515431</v>
      </c>
      <c r="Z110" s="379">
        <f t="shared" si="34"/>
        <v>62.573523800425271</v>
      </c>
      <c r="AA110" s="379">
        <f t="shared" si="34"/>
        <v>64.819769135144384</v>
      </c>
      <c r="AB110" s="379">
        <f t="shared" si="34"/>
        <v>67.159360898507856</v>
      </c>
      <c r="AC110" s="379">
        <f t="shared" si="34"/>
        <v>69.59440565190927</v>
      </c>
      <c r="AD110" s="379">
        <f t="shared" si="34"/>
        <v>72.126486755764176</v>
      </c>
      <c r="AE110" s="379">
        <f t="shared" si="34"/>
        <v>74.758155343027283</v>
      </c>
      <c r="AF110" s="379">
        <f t="shared" si="34"/>
        <v>77.491147598284542</v>
      </c>
      <c r="AG110" s="379">
        <f t="shared" si="34"/>
        <v>80.342459299405576</v>
      </c>
    </row>
    <row r="111" spans="1:34">
      <c r="A111" s="300" t="s">
        <v>310</v>
      </c>
      <c r="B111" s="300" t="s">
        <v>300</v>
      </c>
      <c r="C111" s="379">
        <f t="shared" ref="C111:AG111" si="35">C99/($C$22*$C$21*7)</f>
        <v>2.8592687074829932</v>
      </c>
      <c r="D111" s="379">
        <f t="shared" si="35"/>
        <v>2.9389880952380953</v>
      </c>
      <c r="E111" s="379">
        <f t="shared" si="35"/>
        <v>3.0208333333333335</v>
      </c>
      <c r="F111" s="379">
        <f t="shared" si="35"/>
        <v>3.1053358843537415</v>
      </c>
      <c r="G111" s="379">
        <f t="shared" si="35"/>
        <v>3.1919642857142856</v>
      </c>
      <c r="H111" s="379">
        <f t="shared" si="35"/>
        <v>3.4943664965986394</v>
      </c>
      <c r="I111" s="379">
        <f t="shared" si="35"/>
        <v>3.5926870748299318</v>
      </c>
      <c r="J111" s="379">
        <f t="shared" si="35"/>
        <v>3.6936649659863945</v>
      </c>
      <c r="K111" s="379">
        <f t="shared" si="35"/>
        <v>3.797831632653061</v>
      </c>
      <c r="L111" s="379">
        <f t="shared" si="35"/>
        <v>3.9051870748299318</v>
      </c>
      <c r="M111" s="379">
        <f t="shared" si="35"/>
        <v>4.0157312925170068</v>
      </c>
      <c r="N111" s="379">
        <f t="shared" si="35"/>
        <v>3.3031462585034013</v>
      </c>
      <c r="O111" s="379">
        <f t="shared" si="35"/>
        <v>3.3971088435374148</v>
      </c>
      <c r="P111" s="379">
        <f t="shared" si="35"/>
        <v>3.4931972789115648</v>
      </c>
      <c r="Q111" s="379">
        <f t="shared" si="35"/>
        <v>3.5926870748299318</v>
      </c>
      <c r="R111" s="379">
        <f t="shared" si="35"/>
        <v>3.6947278911564627</v>
      </c>
      <c r="S111" s="379">
        <f t="shared" si="35"/>
        <v>3.7997448979591835</v>
      </c>
      <c r="T111" s="379">
        <f t="shared" si="35"/>
        <v>3.9077380952380953</v>
      </c>
      <c r="U111" s="379">
        <f t="shared" si="35"/>
        <v>4.0191326530612246</v>
      </c>
      <c r="V111" s="379">
        <f t="shared" si="35"/>
        <v>4.1339285714285712</v>
      </c>
      <c r="W111" s="379">
        <f t="shared" si="35"/>
        <v>4.2521258503401365</v>
      </c>
      <c r="X111" s="379">
        <f t="shared" si="35"/>
        <v>3.2802933673469381</v>
      </c>
      <c r="Y111" s="379">
        <f t="shared" si="35"/>
        <v>3.3740433673469377</v>
      </c>
      <c r="Z111" s="379">
        <f t="shared" si="35"/>
        <v>3.4706632653061216</v>
      </c>
      <c r="AA111" s="379">
        <f t="shared" si="35"/>
        <v>3.5701530612244889</v>
      </c>
      <c r="AB111" s="379">
        <f t="shared" si="35"/>
        <v>3.6725127551020398</v>
      </c>
      <c r="AC111" s="379">
        <f t="shared" si="35"/>
        <v>3.7780612244897949</v>
      </c>
      <c r="AD111" s="379">
        <f t="shared" si="35"/>
        <v>3.8864795918367339</v>
      </c>
      <c r="AE111" s="379">
        <f t="shared" si="35"/>
        <v>3.998405612244897</v>
      </c>
      <c r="AF111" s="379">
        <f t="shared" si="35"/>
        <v>4.1135204081632644</v>
      </c>
      <c r="AG111" s="379">
        <f t="shared" si="35"/>
        <v>4.2318239795918355</v>
      </c>
    </row>
    <row r="112" spans="1:34" s="352" customFormat="1">
      <c r="A112" s="380" t="s">
        <v>323</v>
      </c>
      <c r="B112" s="352" t="s">
        <v>300</v>
      </c>
      <c r="C112" s="381">
        <f t="shared" ref="C112:AG112" si="36">SUM(C108:C110)-C111</f>
        <v>70.39905310205711</v>
      </c>
      <c r="D112" s="381">
        <f t="shared" si="36"/>
        <v>72.704082500756257</v>
      </c>
      <c r="E112" s="381">
        <f t="shared" si="36"/>
        <v>74.919706329094026</v>
      </c>
      <c r="F112" s="381">
        <f t="shared" si="36"/>
        <v>77.210141137030007</v>
      </c>
      <c r="G112" s="381">
        <f t="shared" si="36"/>
        <v>79.573876488765919</v>
      </c>
      <c r="H112" s="381">
        <f t="shared" si="36"/>
        <v>83.229270190392555</v>
      </c>
      <c r="I112" s="381">
        <f t="shared" si="36"/>
        <v>85.786745074044418</v>
      </c>
      <c r="J112" s="381">
        <f t="shared" si="36"/>
        <v>88.425421616355493</v>
      </c>
      <c r="K112" s="381">
        <f t="shared" si="36"/>
        <v>91.16494725271167</v>
      </c>
      <c r="L112" s="381">
        <f t="shared" si="36"/>
        <v>93.992241564086669</v>
      </c>
      <c r="M112" s="381">
        <f t="shared" si="36"/>
        <v>96.924049103526002</v>
      </c>
      <c r="N112" s="381">
        <f t="shared" si="36"/>
        <v>100.77017757367796</v>
      </c>
      <c r="O112" s="381">
        <f t="shared" si="36"/>
        <v>103.92850255137699</v>
      </c>
      <c r="P112" s="381">
        <f t="shared" si="36"/>
        <v>107.179956646748</v>
      </c>
      <c r="Q112" s="381">
        <f t="shared" si="36"/>
        <v>110.55095950647269</v>
      </c>
      <c r="R112" s="381">
        <f t="shared" si="36"/>
        <v>114.03745939834566</v>
      </c>
      <c r="S112" s="381">
        <f t="shared" si="36"/>
        <v>117.64488190426061</v>
      </c>
      <c r="T112" s="381">
        <f t="shared" si="36"/>
        <v>121.37560020500797</v>
      </c>
      <c r="U112" s="381">
        <f t="shared" si="36"/>
        <v>125.23520424527599</v>
      </c>
      <c r="V112" s="381">
        <f t="shared" si="36"/>
        <v>129.22623748695199</v>
      </c>
      <c r="W112" s="381">
        <f t="shared" si="36"/>
        <v>133.35133316171292</v>
      </c>
      <c r="X112" s="381">
        <f t="shared" si="36"/>
        <v>138.70664863118509</v>
      </c>
      <c r="Y112" s="381">
        <f t="shared" si="36"/>
        <v>143.15427520621651</v>
      </c>
      <c r="Z112" s="381">
        <f t="shared" si="36"/>
        <v>147.74852526676048</v>
      </c>
      <c r="AA112" s="381">
        <f t="shared" si="36"/>
        <v>152.5073056652889</v>
      </c>
      <c r="AB112" s="381">
        <f t="shared" si="36"/>
        <v>157.43374949528058</v>
      </c>
      <c r="AC112" s="381">
        <f t="shared" si="36"/>
        <v>162.53434034443487</v>
      </c>
      <c r="AD112" s="381">
        <f t="shared" si="36"/>
        <v>167.80919805008548</v>
      </c>
      <c r="AE112" s="381">
        <f t="shared" si="36"/>
        <v>173.26827997963235</v>
      </c>
      <c r="AF112" s="381">
        <f t="shared" si="36"/>
        <v>178.91194882182927</v>
      </c>
      <c r="AG112" s="381">
        <f t="shared" si="36"/>
        <v>184.75881571097264</v>
      </c>
    </row>
    <row r="113" spans="1:34" s="344" customFormat="1">
      <c r="A113" s="342" t="s">
        <v>327</v>
      </c>
      <c r="B113" s="342"/>
      <c r="H113" s="382">
        <f>H115/H63</f>
        <v>1.2049424940482178</v>
      </c>
      <c r="AB113" s="382">
        <f>AB115/AB63</f>
        <v>1.0832838259319768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37">D114+1</f>
        <v>2027</v>
      </c>
      <c r="F114" s="360">
        <f t="shared" si="37"/>
        <v>2028</v>
      </c>
      <c r="G114" s="360">
        <f t="shared" si="37"/>
        <v>2029</v>
      </c>
      <c r="H114" s="360">
        <f>G114+1</f>
        <v>2030</v>
      </c>
      <c r="I114" s="360">
        <f>H114+1</f>
        <v>2031</v>
      </c>
      <c r="J114" s="360">
        <f t="shared" si="37"/>
        <v>2032</v>
      </c>
      <c r="K114" s="360">
        <f t="shared" si="37"/>
        <v>2033</v>
      </c>
      <c r="L114" s="360">
        <f t="shared" si="37"/>
        <v>2034</v>
      </c>
      <c r="M114" s="360">
        <f t="shared" si="37"/>
        <v>2035</v>
      </c>
      <c r="N114" s="360">
        <f t="shared" si="37"/>
        <v>2036</v>
      </c>
      <c r="O114" s="360">
        <f t="shared" si="37"/>
        <v>2037</v>
      </c>
      <c r="P114" s="360">
        <f t="shared" si="37"/>
        <v>2038</v>
      </c>
      <c r="Q114" s="360">
        <f t="shared" si="37"/>
        <v>2039</v>
      </c>
      <c r="R114" s="360">
        <f t="shared" si="37"/>
        <v>2040</v>
      </c>
      <c r="S114" s="360">
        <f t="shared" si="37"/>
        <v>2041</v>
      </c>
      <c r="T114" s="360">
        <f t="shared" si="37"/>
        <v>2042</v>
      </c>
      <c r="U114" s="360">
        <f t="shared" si="37"/>
        <v>2043</v>
      </c>
      <c r="V114" s="360">
        <f t="shared" si="37"/>
        <v>2044</v>
      </c>
      <c r="W114" s="360">
        <f t="shared" si="37"/>
        <v>2045</v>
      </c>
      <c r="X114" s="360">
        <f t="shared" si="37"/>
        <v>2046</v>
      </c>
      <c r="Y114" s="360">
        <f t="shared" si="37"/>
        <v>2047</v>
      </c>
      <c r="Z114" s="360">
        <f t="shared" si="37"/>
        <v>2048</v>
      </c>
      <c r="AA114" s="360">
        <f t="shared" si="37"/>
        <v>2049</v>
      </c>
      <c r="AB114" s="360">
        <f t="shared" si="37"/>
        <v>2050</v>
      </c>
      <c r="AC114" s="360">
        <f t="shared" si="37"/>
        <v>2051</v>
      </c>
      <c r="AD114" s="360">
        <f t="shared" si="37"/>
        <v>2052</v>
      </c>
      <c r="AE114" s="360">
        <f t="shared" si="37"/>
        <v>2053</v>
      </c>
      <c r="AF114" s="360">
        <f t="shared" si="37"/>
        <v>2054</v>
      </c>
      <c r="AG114" s="360">
        <f t="shared" si="37"/>
        <v>2055</v>
      </c>
    </row>
    <row r="115" spans="1:34">
      <c r="A115" s="368" t="s">
        <v>328</v>
      </c>
      <c r="B115" s="300" t="s">
        <v>309</v>
      </c>
      <c r="C115" s="376">
        <f>ROUND(('Changing with year'!C123)/1000,0)*1000</f>
        <v>6379000</v>
      </c>
      <c r="D115" s="376">
        <f>ROUND(('Changing with year'!D123)/1000,0)*1000</f>
        <v>6444000</v>
      </c>
      <c r="E115" s="376">
        <f>ROUND(('Changing with year'!E123)/1000,0)*1000</f>
        <v>6518000</v>
      </c>
      <c r="F115" s="376">
        <f>ROUND(('Changing with year'!F123)/1000,0)*1000</f>
        <v>6599000</v>
      </c>
      <c r="G115" s="376">
        <f>ROUND(('Changing with year'!G123)/1000,0)*1000</f>
        <v>6689000</v>
      </c>
      <c r="H115" s="376">
        <f>ROUND(('Changing with year'!H123)/1000,0)*1000</f>
        <v>7187000</v>
      </c>
      <c r="I115" s="376">
        <f>ROUND(('Changing with year'!I123)/1000,0)*1000</f>
        <v>7317000</v>
      </c>
      <c r="J115" s="376">
        <f>ROUND(('Changing with year'!J123)/1000,0)*1000</f>
        <v>7454000</v>
      </c>
      <c r="K115" s="376">
        <f>ROUND(('Changing with year'!K123)/1000,0)*1000</f>
        <v>7599000</v>
      </c>
      <c r="L115" s="376">
        <f>ROUND(('Changing with year'!L123)/1000,0)*1000</f>
        <v>7751000</v>
      </c>
      <c r="M115" s="376">
        <f>ROUND(('Changing with year'!M123)/1000,0)*1000</f>
        <v>7911000</v>
      </c>
      <c r="N115" s="376">
        <f>ROUND(('Changing with year'!N123)/1000,0)*1000</f>
        <v>8078000</v>
      </c>
      <c r="O115" s="376">
        <f>ROUND(('Changing with year'!O123)/1000,0)*1000</f>
        <v>8254000</v>
      </c>
      <c r="P115" s="376">
        <f>ROUND(('Changing with year'!P123)/1000,0)*1000</f>
        <v>8437000</v>
      </c>
      <c r="Q115" s="376">
        <f>ROUND(('Changing with year'!Q123)/1000,0)*1000</f>
        <v>8629000</v>
      </c>
      <c r="R115" s="376">
        <f>ROUND(('Changing with year'!R123)/1000,0)*1000</f>
        <v>8828000</v>
      </c>
      <c r="S115" s="376">
        <f>ROUND(('Changing with year'!S123)/1000,0)*1000</f>
        <v>9077000</v>
      </c>
      <c r="T115" s="376">
        <f>ROUND(('Changing with year'!T123)/1000,0)*1000</f>
        <v>9333000</v>
      </c>
      <c r="U115" s="376">
        <f>ROUND(('Changing with year'!U123)/1000,0)*1000</f>
        <v>9596000</v>
      </c>
      <c r="V115" s="376">
        <f>ROUND(('Changing with year'!V123)/1000,0)*1000</f>
        <v>9867000</v>
      </c>
      <c r="W115" s="376">
        <f>ROUND(('Changing with year'!W123)/1000,0)*1000</f>
        <v>10147000</v>
      </c>
      <c r="X115" s="376">
        <f>ROUND(('Changing with year'!X123)/1000,0)*1000</f>
        <v>10434000</v>
      </c>
      <c r="Y115" s="376">
        <f>ROUND(('Changing with year'!Y123)/1000,0)*1000</f>
        <v>10730000</v>
      </c>
      <c r="Z115" s="376">
        <f>ROUND(('Changing with year'!Z123)/1000,0)*1000</f>
        <v>11034000</v>
      </c>
      <c r="AA115" s="376">
        <f>ROUND(('Changing with year'!AA123)/1000,0)*1000</f>
        <v>11348000</v>
      </c>
      <c r="AB115" s="376">
        <f>ROUND(('Changing with year'!AB123)/1000,0)*1000</f>
        <v>11670000</v>
      </c>
      <c r="AC115" s="376">
        <f>ROUND(('Changing with year'!AC123)/1000,0)*1000</f>
        <v>12002000</v>
      </c>
      <c r="AD115" s="376">
        <f>ROUND(('Changing with year'!AD123)/1000,0)*1000</f>
        <v>12344000</v>
      </c>
      <c r="AE115" s="376">
        <f>ROUND(('Changing with year'!AE123)/1000,0)*1000</f>
        <v>12696000</v>
      </c>
      <c r="AF115" s="376">
        <f>ROUND(('Changing with year'!AF123)/1000,0)*1000</f>
        <v>13059000</v>
      </c>
      <c r="AG115" s="376">
        <f>ROUND(('Changing with year'!AG123)/1000,0)*1000</f>
        <v>13432000</v>
      </c>
      <c r="AH115" s="376"/>
    </row>
    <row r="116" spans="1:34">
      <c r="A116" s="368" t="s">
        <v>310</v>
      </c>
      <c r="B116" s="300" t="s">
        <v>309</v>
      </c>
      <c r="C116" s="376">
        <f>(C115*'No change with year'!$AH$12)</f>
        <v>956850</v>
      </c>
      <c r="D116" s="376">
        <f>(D115*'No change with year'!$AH$12)</f>
        <v>966600</v>
      </c>
      <c r="E116" s="376">
        <f>(E115*'No change with year'!$AH$12)</f>
        <v>977700</v>
      </c>
      <c r="F116" s="376">
        <f>(F115*'No change with year'!$AH$12)</f>
        <v>989850</v>
      </c>
      <c r="G116" s="376">
        <f>(G115*'No change with year'!$AH$12)</f>
        <v>1003350</v>
      </c>
      <c r="H116" s="376">
        <f>(H115*'No change with year'!$AH$12)</f>
        <v>1078050</v>
      </c>
      <c r="I116" s="376">
        <f>(I115*'No change with year'!$AH$12)</f>
        <v>1097550</v>
      </c>
      <c r="J116" s="376">
        <f>(J115*'No change with year'!$AH$12)</f>
        <v>1118100</v>
      </c>
      <c r="K116" s="376">
        <f>(K115*'No change with year'!$AH$12)</f>
        <v>1139850</v>
      </c>
      <c r="L116" s="376">
        <f>(L115*'No change with year'!$AH$12)</f>
        <v>1162650</v>
      </c>
      <c r="M116" s="376">
        <f>(M115*'No change with year'!$AH$12)</f>
        <v>1186650</v>
      </c>
      <c r="N116" s="376">
        <f>(N115*'No change with year'!$AI$12)</f>
        <v>1615600</v>
      </c>
      <c r="O116" s="376">
        <f>(O115*'No change with year'!$AI$12)</f>
        <v>1650800</v>
      </c>
      <c r="P116" s="376">
        <f>(P115*'No change with year'!$AI$12)</f>
        <v>1687400</v>
      </c>
      <c r="Q116" s="376">
        <f>(Q115*'No change with year'!$AI$12)</f>
        <v>1725800</v>
      </c>
      <c r="R116" s="376">
        <f>(R115*'No change with year'!$AI$12)</f>
        <v>1765600</v>
      </c>
      <c r="S116" s="376">
        <f>(S115*'No change with year'!$AI$12)</f>
        <v>1815400</v>
      </c>
      <c r="T116" s="376">
        <f>(T115*'No change with year'!$AI$12)</f>
        <v>1866600</v>
      </c>
      <c r="U116" s="376">
        <f>(U115*'No change with year'!$AI$12)</f>
        <v>1919200</v>
      </c>
      <c r="V116" s="376">
        <f>(V115*'No change with year'!$AI$12)</f>
        <v>1973400</v>
      </c>
      <c r="W116" s="376">
        <f>(W115*'No change with year'!$AI$12)</f>
        <v>2029400</v>
      </c>
      <c r="X116" s="376">
        <f>(X115*'No change with year'!$AJ$12)</f>
        <v>2608500</v>
      </c>
      <c r="Y116" s="376">
        <f>(Y115*'No change with year'!$AJ$12)</f>
        <v>2682500</v>
      </c>
      <c r="Z116" s="376">
        <f>(Z115*'No change with year'!$AJ$12)</f>
        <v>2758500</v>
      </c>
      <c r="AA116" s="376">
        <f>(AA115*'No change with year'!$AJ$12)</f>
        <v>2837000</v>
      </c>
      <c r="AB116" s="376">
        <f>(AB115*'No change with year'!$AJ$12)</f>
        <v>2917500</v>
      </c>
      <c r="AC116" s="376">
        <f>(AC115*'No change with year'!$AJ$12)</f>
        <v>3000500</v>
      </c>
      <c r="AD116" s="376">
        <f>(AD115*'No change with year'!$AJ$12)</f>
        <v>3086000</v>
      </c>
      <c r="AE116" s="376">
        <f>(AE115*'No change with year'!$AJ$12)</f>
        <v>3174000</v>
      </c>
      <c r="AF116" s="376">
        <f>(AF115*'No change with year'!$AJ$12)</f>
        <v>3264750</v>
      </c>
      <c r="AG116" s="376">
        <f>(AG115*'No change with year'!$AJ$12)</f>
        <v>3358000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38">-PMT($C$26,$C$25,C115)</f>
        <v>1397752.0373149724</v>
      </c>
      <c r="D118" s="376">
        <f t="shared" si="38"/>
        <v>1411994.6901485627</v>
      </c>
      <c r="E118" s="376">
        <f t="shared" si="38"/>
        <v>1428209.4026052658</v>
      </c>
      <c r="F118" s="376">
        <f t="shared" si="38"/>
        <v>1445957.9392132782</v>
      </c>
      <c r="G118" s="376">
        <f t="shared" si="38"/>
        <v>1465678.5354444035</v>
      </c>
      <c r="H118" s="376">
        <f t="shared" si="38"/>
        <v>1574799.1679232961</v>
      </c>
      <c r="I118" s="376">
        <f t="shared" si="38"/>
        <v>1603284.4735904771</v>
      </c>
      <c r="J118" s="376">
        <f t="shared" si="38"/>
        <v>1633303.6034089676</v>
      </c>
      <c r="K118" s="376">
        <f t="shared" si="38"/>
        <v>1665075.6751146694</v>
      </c>
      <c r="L118" s="376">
        <f t="shared" si="38"/>
        <v>1698381.5709716806</v>
      </c>
      <c r="M118" s="376">
        <f t="shared" si="38"/>
        <v>1733440.4087159031</v>
      </c>
      <c r="N118" s="376">
        <f t="shared" si="38"/>
        <v>1770033.0706114355</v>
      </c>
      <c r="O118" s="376">
        <f t="shared" si="38"/>
        <v>1808597.7921300803</v>
      </c>
      <c r="P118" s="376">
        <f t="shared" si="38"/>
        <v>1848696.3378000348</v>
      </c>
      <c r="Q118" s="376">
        <f t="shared" si="38"/>
        <v>1890766.9430931017</v>
      </c>
      <c r="R118" s="376">
        <f t="shared" si="38"/>
        <v>1934371.3725374786</v>
      </c>
      <c r="S118" s="376">
        <f t="shared" si="38"/>
        <v>1988931.688776925</v>
      </c>
      <c r="T118" s="376">
        <f t="shared" si="38"/>
        <v>2045025.829167681</v>
      </c>
      <c r="U118" s="376">
        <f t="shared" si="38"/>
        <v>2102653.793709747</v>
      </c>
      <c r="V118" s="376">
        <f t="shared" si="38"/>
        <v>2162034.7001390234</v>
      </c>
      <c r="W118" s="376">
        <f t="shared" si="38"/>
        <v>2223387.6661914131</v>
      </c>
      <c r="X118" s="376">
        <f t="shared" si="38"/>
        <v>2286274.4563951124</v>
      </c>
      <c r="Y118" s="376">
        <f t="shared" si="38"/>
        <v>2351133.3062219243</v>
      </c>
      <c r="Z118" s="376">
        <f t="shared" si="38"/>
        <v>2417745.0979359471</v>
      </c>
      <c r="AA118" s="376">
        <f t="shared" si="38"/>
        <v>2486548.0670089833</v>
      </c>
      <c r="AB118" s="376">
        <f t="shared" si="38"/>
        <v>2557103.9779692315</v>
      </c>
      <c r="AC118" s="376">
        <f t="shared" si="38"/>
        <v>2629851.0662884931</v>
      </c>
      <c r="AD118" s="376">
        <f t="shared" si="38"/>
        <v>2704789.331966769</v>
      </c>
      <c r="AE118" s="376">
        <f t="shared" si="38"/>
        <v>2781918.7750040581</v>
      </c>
      <c r="AF118" s="376">
        <f t="shared" si="38"/>
        <v>2861458.5131362635</v>
      </c>
      <c r="AG118" s="376">
        <f t="shared" si="38"/>
        <v>2943189.4286274821</v>
      </c>
    </row>
    <row r="119" spans="1:34">
      <c r="A119" s="300" t="s">
        <v>321</v>
      </c>
      <c r="B119" s="368" t="s">
        <v>313</v>
      </c>
      <c r="C119" s="376">
        <f t="shared" ref="C119:AG119" si="39">$F$38*C50</f>
        <v>5387200</v>
      </c>
      <c r="D119" s="376">
        <f t="shared" si="39"/>
        <v>5337173.333333334</v>
      </c>
      <c r="E119" s="376">
        <f t="shared" si="39"/>
        <v>5292138.1333333338</v>
      </c>
      <c r="F119" s="376">
        <f t="shared" si="39"/>
        <v>5251983.1093333345</v>
      </c>
      <c r="G119" s="376">
        <f t="shared" si="39"/>
        <v>5216602.332853334</v>
      </c>
      <c r="H119" s="376">
        <f t="shared" si="39"/>
        <v>5185895.0670277346</v>
      </c>
      <c r="I119" s="376">
        <f t="shared" si="39"/>
        <v>4877040.5409523845</v>
      </c>
      <c r="J119" s="376">
        <f t="shared" si="39"/>
        <v>4714490.9829138685</v>
      </c>
      <c r="K119" s="376">
        <f t="shared" si="39"/>
        <v>4557347.9208609909</v>
      </c>
      <c r="L119" s="376">
        <f t="shared" si="39"/>
        <v>4405407.3133521462</v>
      </c>
      <c r="M119" s="376">
        <f t="shared" si="39"/>
        <v>4258473.5828093402</v>
      </c>
      <c r="N119" s="376">
        <f t="shared" si="39"/>
        <v>4116359.2417306118</v>
      </c>
      <c r="O119" s="376">
        <f t="shared" si="39"/>
        <v>3978884.5360738686</v>
      </c>
      <c r="P119" s="376">
        <f t="shared" si="39"/>
        <v>3845877.1050034435</v>
      </c>
      <c r="Q119" s="376">
        <f t="shared" si="39"/>
        <v>3717171.6562293917</v>
      </c>
      <c r="R119" s="376">
        <f t="shared" si="39"/>
        <v>3592609.6562063815</v>
      </c>
      <c r="S119" s="376">
        <f t="shared" si="39"/>
        <v>3316996.5407572831</v>
      </c>
      <c r="T119" s="376">
        <f t="shared" si="39"/>
        <v>3222812.4470792348</v>
      </c>
      <c r="U119" s="376">
        <f t="shared" si="39"/>
        <v>3131980.0620901892</v>
      </c>
      <c r="V119" s="376">
        <f t="shared" si="39"/>
        <v>3044354.5204754849</v>
      </c>
      <c r="W119" s="376">
        <f t="shared" si="39"/>
        <v>2959797.6986301993</v>
      </c>
      <c r="X119" s="376">
        <f t="shared" si="39"/>
        <v>2878177.8908198662</v>
      </c>
      <c r="Y119" s="376">
        <f t="shared" si="39"/>
        <v>2799369.5011537783</v>
      </c>
      <c r="Z119" s="376">
        <f t="shared" si="39"/>
        <v>2723252.7505914373</v>
      </c>
      <c r="AA119" s="376">
        <f t="shared" si="39"/>
        <v>2649713.3982413756</v>
      </c>
      <c r="AB119" s="376">
        <f t="shared" si="39"/>
        <v>2578642.4762482638</v>
      </c>
      <c r="AC119" s="376">
        <f t="shared" si="39"/>
        <v>2491997.8211764018</v>
      </c>
      <c r="AD119" s="376">
        <f t="shared" si="39"/>
        <v>2500586.3350720885</v>
      </c>
      <c r="AE119" s="376">
        <f t="shared" si="39"/>
        <v>2512092.6274881558</v>
      </c>
      <c r="AF119" s="376">
        <f t="shared" si="39"/>
        <v>2526469.8197221397</v>
      </c>
      <c r="AG119" s="376">
        <f t="shared" si="39"/>
        <v>2543675.5456599216</v>
      </c>
    </row>
    <row r="120" spans="1:34">
      <c r="A120" s="300" t="s">
        <v>317</v>
      </c>
      <c r="B120" s="368" t="s">
        <v>313</v>
      </c>
      <c r="C120" s="376">
        <f t="shared" ref="C120:AG120" si="40">$C$22*$C$21*C57</f>
        <v>766080</v>
      </c>
      <c r="D120" s="376">
        <f t="shared" si="40"/>
        <v>796723.20000000007</v>
      </c>
      <c r="E120" s="376">
        <f t="shared" si="40"/>
        <v>828592.12800000014</v>
      </c>
      <c r="F120" s="376">
        <f t="shared" si="40"/>
        <v>861735.81312000006</v>
      </c>
      <c r="G120" s="376">
        <f t="shared" si="40"/>
        <v>896205.24564480013</v>
      </c>
      <c r="H120" s="376">
        <f t="shared" si="40"/>
        <v>932053.45547059225</v>
      </c>
      <c r="I120" s="376">
        <f t="shared" si="40"/>
        <v>969335.59368941595</v>
      </c>
      <c r="J120" s="376">
        <f t="shared" si="40"/>
        <v>1008109.0174369925</v>
      </c>
      <c r="K120" s="376">
        <f t="shared" si="40"/>
        <v>1048433.3781344723</v>
      </c>
      <c r="L120" s="376">
        <f t="shared" si="40"/>
        <v>1090370.7132598511</v>
      </c>
      <c r="M120" s="376">
        <f t="shared" si="40"/>
        <v>1133985.5417902453</v>
      </c>
      <c r="N120" s="376">
        <f t="shared" si="40"/>
        <v>1179344.9634618552</v>
      </c>
      <c r="O120" s="376">
        <f t="shared" si="40"/>
        <v>1226518.7620003296</v>
      </c>
      <c r="P120" s="376">
        <f t="shared" si="40"/>
        <v>1275579.5124803428</v>
      </c>
      <c r="Q120" s="376">
        <f t="shared" si="40"/>
        <v>1326602.6929795563</v>
      </c>
      <c r="R120" s="376">
        <f t="shared" si="40"/>
        <v>1379666.8006987385</v>
      </c>
      <c r="S120" s="376">
        <f t="shared" si="40"/>
        <v>1434853.4727266883</v>
      </c>
      <c r="T120" s="376">
        <f t="shared" si="40"/>
        <v>1492247.6116357557</v>
      </c>
      <c r="U120" s="376">
        <f t="shared" si="40"/>
        <v>1551937.5161011859</v>
      </c>
      <c r="V120" s="376">
        <f t="shared" si="40"/>
        <v>1614015.0167452334</v>
      </c>
      <c r="W120" s="376">
        <f t="shared" si="40"/>
        <v>1678575.6174150428</v>
      </c>
      <c r="X120" s="376">
        <f t="shared" si="40"/>
        <v>1745718.6421116444</v>
      </c>
      <c r="Y120" s="376">
        <f t="shared" si="40"/>
        <v>1815547.3877961102</v>
      </c>
      <c r="Z120" s="376">
        <f t="shared" si="40"/>
        <v>1888169.2833079549</v>
      </c>
      <c r="AA120" s="376">
        <f t="shared" si="40"/>
        <v>1963696.0546402731</v>
      </c>
      <c r="AB120" s="376">
        <f t="shared" si="40"/>
        <v>2042243.8968258842</v>
      </c>
      <c r="AC120" s="376">
        <f t="shared" si="40"/>
        <v>2123933.6526989196</v>
      </c>
      <c r="AD120" s="376">
        <f t="shared" si="40"/>
        <v>2208890.9988068766</v>
      </c>
      <c r="AE120" s="376">
        <f t="shared" si="40"/>
        <v>2297246.6387591516</v>
      </c>
      <c r="AF120" s="376">
        <f t="shared" si="40"/>
        <v>2389136.5043095178</v>
      </c>
      <c r="AG120" s="376">
        <f t="shared" si="40"/>
        <v>2484701.9644818986</v>
      </c>
    </row>
    <row r="121" spans="1:34">
      <c r="A121" s="368" t="s">
        <v>318</v>
      </c>
      <c r="B121" s="368" t="s">
        <v>313</v>
      </c>
      <c r="C121" s="376">
        <f>'Changing with year'!C293</f>
        <v>500000</v>
      </c>
      <c r="D121" s="376">
        <f>'Changing with year'!D293</f>
        <v>523000</v>
      </c>
      <c r="E121" s="376">
        <f>'Changing with year'!E293</f>
        <v>547000</v>
      </c>
      <c r="F121" s="376">
        <f>'Changing with year'!F293</f>
        <v>572000</v>
      </c>
      <c r="G121" s="376">
        <f>'Changing with year'!G293</f>
        <v>598000</v>
      </c>
      <c r="H121" s="376">
        <f>'Changing with year'!H293</f>
        <v>625000</v>
      </c>
      <c r="I121" s="376">
        <f>'Changing with year'!I293</f>
        <v>653000</v>
      </c>
      <c r="J121" s="376">
        <f>'Changing with year'!J293</f>
        <v>682000</v>
      </c>
      <c r="K121" s="376">
        <f>'Changing with year'!K293</f>
        <v>713000</v>
      </c>
      <c r="L121" s="376">
        <f>'Changing with year'!L293</f>
        <v>745000</v>
      </c>
      <c r="M121" s="376">
        <f>'Changing with year'!M293</f>
        <v>779000</v>
      </c>
      <c r="N121" s="376">
        <f>'Changing with year'!N293</f>
        <v>814000</v>
      </c>
      <c r="O121" s="376">
        <f>'Changing with year'!O293</f>
        <v>851000</v>
      </c>
      <c r="P121" s="376">
        <f>'Changing with year'!P293</f>
        <v>889000</v>
      </c>
      <c r="Q121" s="376">
        <f>'Changing with year'!Q293</f>
        <v>929000</v>
      </c>
      <c r="R121" s="376">
        <f>'Changing with year'!R293</f>
        <v>971000</v>
      </c>
      <c r="S121" s="376">
        <f>'Changing with year'!S293</f>
        <v>1015000</v>
      </c>
      <c r="T121" s="376">
        <f>'Changing with year'!T293</f>
        <v>1061000</v>
      </c>
      <c r="U121" s="376">
        <f>'Changing with year'!U293</f>
        <v>1109000</v>
      </c>
      <c r="V121" s="376">
        <f>'Changing with year'!V293</f>
        <v>1159000</v>
      </c>
      <c r="W121" s="376">
        <f>'Changing with year'!W293</f>
        <v>1211000</v>
      </c>
      <c r="X121" s="376">
        <f>'Changing with year'!X293</f>
        <v>1265000</v>
      </c>
      <c r="Y121" s="376">
        <f>'Changing with year'!Y293</f>
        <v>1322000</v>
      </c>
      <c r="Z121" s="376">
        <f>'Changing with year'!Z293</f>
        <v>1381000</v>
      </c>
      <c r="AA121" s="376">
        <f>'Changing with year'!AA293</f>
        <v>1443000</v>
      </c>
      <c r="AB121" s="376">
        <f>'Changing with year'!AB293</f>
        <v>1508000</v>
      </c>
      <c r="AC121" s="376">
        <f>'Changing with year'!AC293</f>
        <v>1576000</v>
      </c>
      <c r="AD121" s="376">
        <f>'Changing with year'!AD293</f>
        <v>1647000</v>
      </c>
      <c r="AE121" s="376">
        <f>'Changing with year'!AE293</f>
        <v>1721000</v>
      </c>
      <c r="AF121" s="376">
        <f>'Changing with year'!AF293</f>
        <v>1798000</v>
      </c>
      <c r="AG121" s="376">
        <f>'Changing with year'!AG293</f>
        <v>1879000</v>
      </c>
      <c r="AH121" s="339"/>
    </row>
    <row r="122" spans="1:34">
      <c r="A122" s="300" t="s">
        <v>272</v>
      </c>
      <c r="B122" s="368" t="s">
        <v>313</v>
      </c>
      <c r="C122" s="376">
        <f>C61</f>
        <v>571200</v>
      </c>
      <c r="D122" s="376">
        <f t="shared" ref="D122:AG122" si="41">D61</f>
        <v>576912</v>
      </c>
      <c r="E122" s="376">
        <f t="shared" si="41"/>
        <v>582681.12000000011</v>
      </c>
      <c r="F122" s="376">
        <f t="shared" si="41"/>
        <v>588507.93120000011</v>
      </c>
      <c r="G122" s="376">
        <f t="shared" si="41"/>
        <v>594393.01051200007</v>
      </c>
      <c r="H122" s="376">
        <f t="shared" si="41"/>
        <v>600336.94061712013</v>
      </c>
      <c r="I122" s="376">
        <f t="shared" si="41"/>
        <v>606340.31002329127</v>
      </c>
      <c r="J122" s="376">
        <f t="shared" si="41"/>
        <v>612403.71312352421</v>
      </c>
      <c r="K122" s="376">
        <f t="shared" si="41"/>
        <v>618527.75025475968</v>
      </c>
      <c r="L122" s="376">
        <f t="shared" si="41"/>
        <v>624713.02775730717</v>
      </c>
      <c r="M122" s="376">
        <f t="shared" si="41"/>
        <v>630960.1580348803</v>
      </c>
      <c r="N122" s="376">
        <f t="shared" si="41"/>
        <v>637269.75961522909</v>
      </c>
      <c r="O122" s="376">
        <f t="shared" si="41"/>
        <v>643642.45721138129</v>
      </c>
      <c r="P122" s="376">
        <f t="shared" si="41"/>
        <v>650078.88178349519</v>
      </c>
      <c r="Q122" s="376">
        <f t="shared" si="41"/>
        <v>656579.67060133012</v>
      </c>
      <c r="R122" s="376">
        <f t="shared" si="41"/>
        <v>663145.46730734338</v>
      </c>
      <c r="S122" s="376">
        <f t="shared" si="41"/>
        <v>669776.92198041675</v>
      </c>
      <c r="T122" s="376">
        <f t="shared" si="41"/>
        <v>676474.69120022096</v>
      </c>
      <c r="U122" s="376">
        <f t="shared" si="41"/>
        <v>683239.43811222329</v>
      </c>
      <c r="V122" s="376">
        <f t="shared" si="41"/>
        <v>690071.83249334537</v>
      </c>
      <c r="W122" s="376">
        <f t="shared" si="41"/>
        <v>696972.55081827892</v>
      </c>
      <c r="X122" s="376">
        <f t="shared" si="41"/>
        <v>703942.27632646158</v>
      </c>
      <c r="Y122" s="376">
        <f t="shared" si="41"/>
        <v>710981.69908972632</v>
      </c>
      <c r="Z122" s="376">
        <f t="shared" si="41"/>
        <v>718091.51608062361</v>
      </c>
      <c r="AA122" s="376">
        <f t="shared" si="41"/>
        <v>725272.43124142988</v>
      </c>
      <c r="AB122" s="376">
        <f t="shared" si="41"/>
        <v>732525.15555384418</v>
      </c>
      <c r="AC122" s="376">
        <f t="shared" si="41"/>
        <v>739850.40710938268</v>
      </c>
      <c r="AD122" s="376">
        <f t="shared" si="41"/>
        <v>747248.91118047654</v>
      </c>
      <c r="AE122" s="376">
        <f t="shared" si="41"/>
        <v>754721.40029228118</v>
      </c>
      <c r="AF122" s="376">
        <f t="shared" si="41"/>
        <v>762268.61429520405</v>
      </c>
      <c r="AG122" s="376">
        <f t="shared" si="41"/>
        <v>769891.300438156</v>
      </c>
    </row>
    <row r="123" spans="1:34">
      <c r="A123" s="300" t="s">
        <v>319</v>
      </c>
      <c r="B123" s="368" t="s">
        <v>313</v>
      </c>
      <c r="C123" s="376">
        <f t="shared" ref="C123:AG123" si="42">C115*$C$29</f>
        <v>127580</v>
      </c>
      <c r="D123" s="376">
        <f t="shared" si="42"/>
        <v>128880</v>
      </c>
      <c r="E123" s="376">
        <f t="shared" si="42"/>
        <v>130360</v>
      </c>
      <c r="F123" s="376">
        <f t="shared" si="42"/>
        <v>131980</v>
      </c>
      <c r="G123" s="376">
        <f t="shared" si="42"/>
        <v>133780</v>
      </c>
      <c r="H123" s="376">
        <f t="shared" si="42"/>
        <v>143740</v>
      </c>
      <c r="I123" s="376">
        <f t="shared" si="42"/>
        <v>146340</v>
      </c>
      <c r="J123" s="376">
        <f t="shared" si="42"/>
        <v>149080</v>
      </c>
      <c r="K123" s="376">
        <f t="shared" si="42"/>
        <v>151980</v>
      </c>
      <c r="L123" s="376">
        <f t="shared" si="42"/>
        <v>155020</v>
      </c>
      <c r="M123" s="376">
        <f t="shared" si="42"/>
        <v>158220</v>
      </c>
      <c r="N123" s="376">
        <f t="shared" si="42"/>
        <v>161560</v>
      </c>
      <c r="O123" s="376">
        <f t="shared" si="42"/>
        <v>165080</v>
      </c>
      <c r="P123" s="376">
        <f t="shared" si="42"/>
        <v>168740</v>
      </c>
      <c r="Q123" s="376">
        <f t="shared" si="42"/>
        <v>172580</v>
      </c>
      <c r="R123" s="376">
        <f t="shared" si="42"/>
        <v>176560</v>
      </c>
      <c r="S123" s="376">
        <f t="shared" si="42"/>
        <v>181540</v>
      </c>
      <c r="T123" s="376">
        <f t="shared" si="42"/>
        <v>186660</v>
      </c>
      <c r="U123" s="376">
        <f t="shared" si="42"/>
        <v>191920</v>
      </c>
      <c r="V123" s="376">
        <f t="shared" si="42"/>
        <v>197340</v>
      </c>
      <c r="W123" s="376">
        <f t="shared" si="42"/>
        <v>202940</v>
      </c>
      <c r="X123" s="376">
        <f t="shared" si="42"/>
        <v>208680</v>
      </c>
      <c r="Y123" s="376">
        <f t="shared" si="42"/>
        <v>214600</v>
      </c>
      <c r="Z123" s="376">
        <f t="shared" si="42"/>
        <v>220680</v>
      </c>
      <c r="AA123" s="376">
        <f t="shared" si="42"/>
        <v>226960</v>
      </c>
      <c r="AB123" s="376">
        <f t="shared" si="42"/>
        <v>233400</v>
      </c>
      <c r="AC123" s="376">
        <f t="shared" si="42"/>
        <v>240040</v>
      </c>
      <c r="AD123" s="376">
        <f t="shared" si="42"/>
        <v>246880</v>
      </c>
      <c r="AE123" s="376">
        <f t="shared" si="42"/>
        <v>253920</v>
      </c>
      <c r="AF123" s="376">
        <f t="shared" si="42"/>
        <v>261180</v>
      </c>
      <c r="AG123" s="376">
        <f t="shared" si="42"/>
        <v>268640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5" si="43">C118/($C$22*$C$21)</f>
        <v>20.799881507663279</v>
      </c>
      <c r="D125" s="379">
        <f t="shared" si="43"/>
        <v>21.011825746258374</v>
      </c>
      <c r="E125" s="379">
        <f t="shared" si="43"/>
        <v>21.253116110197407</v>
      </c>
      <c r="F125" s="379">
        <f t="shared" si="43"/>
        <v>21.51723123829283</v>
      </c>
      <c r="G125" s="379">
        <f t="shared" si="43"/>
        <v>21.810692491732194</v>
      </c>
      <c r="H125" s="379">
        <f t="shared" si="43"/>
        <v>23.434511427430003</v>
      </c>
      <c r="I125" s="379">
        <f t="shared" si="43"/>
        <v>23.858399904620196</v>
      </c>
      <c r="J125" s="379">
        <f t="shared" si="43"/>
        <v>24.305113145966779</v>
      </c>
      <c r="K125" s="379">
        <f t="shared" si="43"/>
        <v>24.777911832063531</v>
      </c>
      <c r="L125" s="379">
        <f t="shared" si="43"/>
        <v>25.273535282316676</v>
      </c>
      <c r="M125" s="379">
        <f t="shared" si="43"/>
        <v>25.795244177319987</v>
      </c>
      <c r="N125" s="379">
        <f t="shared" si="43"/>
        <v>26.339777836479694</v>
      </c>
      <c r="O125" s="379">
        <f t="shared" si="43"/>
        <v>26.913657620983336</v>
      </c>
      <c r="P125" s="379">
        <f t="shared" si="43"/>
        <v>27.510362169643376</v>
      </c>
      <c r="Q125" s="379">
        <f t="shared" si="43"/>
        <v>28.136412843647346</v>
      </c>
      <c r="R125" s="379">
        <f t="shared" si="43"/>
        <v>28.785288281807716</v>
      </c>
      <c r="S125" s="379">
        <f t="shared" si="43"/>
        <v>29.597197749656623</v>
      </c>
      <c r="T125" s="379">
        <f t="shared" si="43"/>
        <v>30.431931981661922</v>
      </c>
      <c r="U125" s="379">
        <f t="shared" si="43"/>
        <v>31.289490977823615</v>
      </c>
      <c r="V125" s="379">
        <f t="shared" si="43"/>
        <v>32.17313541873547</v>
      </c>
      <c r="W125" s="379">
        <f t="shared" si="43"/>
        <v>33.086125984991263</v>
      </c>
      <c r="X125" s="379">
        <f t="shared" si="43"/>
        <v>34.02194131540346</v>
      </c>
      <c r="Y125" s="379">
        <f t="shared" si="43"/>
        <v>34.987102771159584</v>
      </c>
      <c r="Z125" s="379">
        <f t="shared" si="43"/>
        <v>35.978349671665882</v>
      </c>
      <c r="AA125" s="379">
        <f t="shared" si="43"/>
        <v>37.002203378109868</v>
      </c>
      <c r="AB125" s="379">
        <f t="shared" si="43"/>
        <v>38.052142529304042</v>
      </c>
      <c r="AC125" s="379">
        <f t="shared" si="43"/>
        <v>39.134688486435913</v>
      </c>
      <c r="AD125" s="379">
        <f t="shared" si="43"/>
        <v>40.249841249505494</v>
      </c>
      <c r="AE125" s="379">
        <f t="shared" si="43"/>
        <v>41.397600818512771</v>
      </c>
      <c r="AF125" s="379">
        <f t="shared" si="43"/>
        <v>42.581227874051542</v>
      </c>
      <c r="AG125" s="379">
        <f t="shared" si="43"/>
        <v>43.79746173552801</v>
      </c>
    </row>
    <row r="126" spans="1:34">
      <c r="A126" s="300" t="s">
        <v>321</v>
      </c>
      <c r="B126" s="300" t="s">
        <v>300</v>
      </c>
      <c r="C126" s="379">
        <f t="shared" ref="C126:AG126" si="44">C119/($C$22*$C$21)</f>
        <v>80.166666666666671</v>
      </c>
      <c r="D126" s="379">
        <f t="shared" si="44"/>
        <v>79.422222222222231</v>
      </c>
      <c r="E126" s="379">
        <f t="shared" si="44"/>
        <v>78.752055555555557</v>
      </c>
      <c r="F126" s="379">
        <f t="shared" si="44"/>
        <v>78.154510555555575</v>
      </c>
      <c r="G126" s="379">
        <f t="shared" si="44"/>
        <v>77.62801090555557</v>
      </c>
      <c r="H126" s="379">
        <f t="shared" si="44"/>
        <v>77.171057545055575</v>
      </c>
      <c r="I126" s="379">
        <f t="shared" si="44"/>
        <v>72.575008049886677</v>
      </c>
      <c r="J126" s="379">
        <f t="shared" si="44"/>
        <v>70.156115817170658</v>
      </c>
      <c r="K126" s="379">
        <f t="shared" si="44"/>
        <v>67.81767739376474</v>
      </c>
      <c r="L126" s="379">
        <f t="shared" si="44"/>
        <v>65.55665644869265</v>
      </c>
      <c r="M126" s="379">
        <f t="shared" si="44"/>
        <v>63.370142601329469</v>
      </c>
      <c r="N126" s="379">
        <f t="shared" si="44"/>
        <v>61.255345859086482</v>
      </c>
      <c r="O126" s="379">
        <f t="shared" si="44"/>
        <v>59.209591310623047</v>
      </c>
      <c r="P126" s="379">
        <f t="shared" si="44"/>
        <v>57.230314062551244</v>
      </c>
      <c r="Q126" s="379">
        <f t="shared" si="44"/>
        <v>55.31505440817547</v>
      </c>
      <c r="R126" s="379">
        <f t="shared" si="44"/>
        <v>53.461453217356869</v>
      </c>
      <c r="S126" s="379">
        <f t="shared" si="44"/>
        <v>49.3600675707929</v>
      </c>
      <c r="T126" s="379">
        <f t="shared" si="44"/>
        <v>47.958518557726705</v>
      </c>
      <c r="U126" s="379">
        <f t="shared" si="44"/>
        <v>46.606846162056385</v>
      </c>
      <c r="V126" s="379">
        <f t="shared" si="44"/>
        <v>45.30289464993281</v>
      </c>
      <c r="W126" s="379">
        <f t="shared" si="44"/>
        <v>44.044608610568439</v>
      </c>
      <c r="X126" s="379">
        <f t="shared" si="44"/>
        <v>42.830028137200387</v>
      </c>
      <c r="Y126" s="379">
        <f t="shared" si="44"/>
        <v>41.657284243359797</v>
      </c>
      <c r="Z126" s="379">
        <f t="shared" si="44"/>
        <v>40.524594502848771</v>
      </c>
      <c r="AA126" s="379">
        <f t="shared" si="44"/>
        <v>39.43025890240142</v>
      </c>
      <c r="AB126" s="379">
        <f t="shared" si="44"/>
        <v>38.372655896551542</v>
      </c>
      <c r="AC126" s="379">
        <f t="shared" si="44"/>
        <v>37.083300910363121</v>
      </c>
      <c r="AD126" s="379">
        <f t="shared" si="44"/>
        <v>37.211106176667982</v>
      </c>
      <c r="AE126" s="379">
        <f t="shared" si="44"/>
        <v>37.382330766192794</v>
      </c>
      <c r="AF126" s="379">
        <f t="shared" si="44"/>
        <v>37.596277079198508</v>
      </c>
      <c r="AG126" s="379">
        <f t="shared" si="44"/>
        <v>37.85231466755836</v>
      </c>
    </row>
    <row r="127" spans="1:34">
      <c r="A127" s="300" t="s">
        <v>322</v>
      </c>
      <c r="B127" s="300" t="s">
        <v>300</v>
      </c>
      <c r="C127" s="379">
        <f t="shared" ref="C127:AG127" si="45">(C120+C121+C122+C123)/($C$22*$C$21)</f>
        <v>29.238988095238096</v>
      </c>
      <c r="D127" s="379">
        <f t="shared" si="45"/>
        <v>30.141595238095242</v>
      </c>
      <c r="E127" s="379">
        <f t="shared" si="45"/>
        <v>31.080851904761907</v>
      </c>
      <c r="F127" s="379">
        <f t="shared" si="45"/>
        <v>32.056900957142858</v>
      </c>
      <c r="G127" s="379">
        <f t="shared" si="45"/>
        <v>33.07110500233334</v>
      </c>
      <c r="H127" s="379">
        <f t="shared" si="45"/>
        <v>34.24301184654334</v>
      </c>
      <c r="I127" s="379">
        <f t="shared" si="45"/>
        <v>35.342498567153385</v>
      </c>
      <c r="J127" s="379">
        <f t="shared" si="45"/>
        <v>36.482034680960069</v>
      </c>
      <c r="K127" s="379">
        <f t="shared" si="45"/>
        <v>37.677695362934998</v>
      </c>
      <c r="L127" s="379">
        <f t="shared" si="45"/>
        <v>38.915234241326758</v>
      </c>
      <c r="M127" s="379">
        <f t="shared" si="45"/>
        <v>40.210799104540563</v>
      </c>
      <c r="N127" s="379">
        <f t="shared" si="45"/>
        <v>41.550219093408991</v>
      </c>
      <c r="O127" s="379">
        <f t="shared" si="45"/>
        <v>42.950018143031407</v>
      </c>
      <c r="P127" s="379">
        <f t="shared" si="45"/>
        <v>44.395809438449973</v>
      </c>
      <c r="Q127" s="379">
        <f t="shared" si="45"/>
        <v>45.904201839001288</v>
      </c>
      <c r="R127" s="379">
        <f t="shared" si="45"/>
        <v>47.475777797709547</v>
      </c>
      <c r="S127" s="379">
        <f t="shared" si="45"/>
        <v>49.124559445046209</v>
      </c>
      <c r="T127" s="379">
        <f t="shared" si="45"/>
        <v>50.839022363630605</v>
      </c>
      <c r="U127" s="379">
        <f t="shared" si="45"/>
        <v>52.620490390080498</v>
      </c>
      <c r="V127" s="379">
        <f t="shared" si="45"/>
        <v>54.470637637478852</v>
      </c>
      <c r="W127" s="379">
        <f t="shared" si="45"/>
        <v>56.39119297966252</v>
      </c>
      <c r="X127" s="379">
        <f t="shared" si="45"/>
        <v>58.383049381519434</v>
      </c>
      <c r="Y127" s="379">
        <f t="shared" si="45"/>
        <v>60.463230459610671</v>
      </c>
      <c r="Z127" s="379">
        <f t="shared" si="45"/>
        <v>62.618166657568125</v>
      </c>
      <c r="AA127" s="379">
        <f t="shared" si="45"/>
        <v>64.865007230382489</v>
      </c>
      <c r="AB127" s="379">
        <f t="shared" si="45"/>
        <v>67.204896612793576</v>
      </c>
      <c r="AC127" s="379">
        <f t="shared" si="45"/>
        <v>69.640238985242604</v>
      </c>
      <c r="AD127" s="379">
        <f t="shared" si="45"/>
        <v>72.172915327192754</v>
      </c>
      <c r="AE127" s="379">
        <f t="shared" si="45"/>
        <v>74.804881533503462</v>
      </c>
      <c r="AF127" s="379">
        <f t="shared" si="45"/>
        <v>77.538469026855978</v>
      </c>
      <c r="AG127" s="379">
        <f t="shared" si="45"/>
        <v>80.390375966072241</v>
      </c>
    </row>
    <row r="128" spans="1:34">
      <c r="A128" s="300" t="s">
        <v>310</v>
      </c>
      <c r="B128" s="300" t="s">
        <v>300</v>
      </c>
      <c r="C128" s="379">
        <f t="shared" ref="C128:AG128" si="46">C116/($C$22*$C$21*7)</f>
        <v>2.0341198979591835</v>
      </c>
      <c r="D128" s="379">
        <f t="shared" si="46"/>
        <v>2.0548469387755102</v>
      </c>
      <c r="E128" s="379">
        <f t="shared" si="46"/>
        <v>2.0784438775510203</v>
      </c>
      <c r="F128" s="379">
        <f t="shared" si="46"/>
        <v>2.1042729591836733</v>
      </c>
      <c r="G128" s="379">
        <f t="shared" si="46"/>
        <v>2.1329719387755102</v>
      </c>
      <c r="H128" s="379">
        <f t="shared" si="46"/>
        <v>2.2917729591836733</v>
      </c>
      <c r="I128" s="379">
        <f t="shared" si="46"/>
        <v>2.3332270408163267</v>
      </c>
      <c r="J128" s="379">
        <f t="shared" si="46"/>
        <v>2.3769132653061225</v>
      </c>
      <c r="K128" s="379">
        <f t="shared" si="46"/>
        <v>2.4231505102040818</v>
      </c>
      <c r="L128" s="379">
        <f t="shared" si="46"/>
        <v>2.4716198979591835</v>
      </c>
      <c r="M128" s="379">
        <f t="shared" si="46"/>
        <v>2.5226403061224492</v>
      </c>
      <c r="N128" s="379">
        <f t="shared" si="46"/>
        <v>3.4345238095238093</v>
      </c>
      <c r="O128" s="379">
        <f t="shared" si="46"/>
        <v>3.5093537414965987</v>
      </c>
      <c r="P128" s="379">
        <f t="shared" si="46"/>
        <v>3.5871598639455784</v>
      </c>
      <c r="Q128" s="379">
        <f t="shared" si="46"/>
        <v>3.6687925170068025</v>
      </c>
      <c r="R128" s="379">
        <f t="shared" si="46"/>
        <v>3.7534013605442178</v>
      </c>
      <c r="S128" s="379">
        <f t="shared" si="46"/>
        <v>3.8592687074829932</v>
      </c>
      <c r="T128" s="379">
        <f t="shared" si="46"/>
        <v>3.9681122448979593</v>
      </c>
      <c r="U128" s="379">
        <f t="shared" si="46"/>
        <v>4.0799319727891152</v>
      </c>
      <c r="V128" s="379">
        <f t="shared" si="46"/>
        <v>4.1951530612244898</v>
      </c>
      <c r="W128" s="379">
        <f t="shared" si="46"/>
        <v>4.3142006802721085</v>
      </c>
      <c r="X128" s="379">
        <f t="shared" si="46"/>
        <v>5.5452806122448983</v>
      </c>
      <c r="Y128" s="379">
        <f t="shared" si="46"/>
        <v>5.7025935374149661</v>
      </c>
      <c r="Z128" s="379">
        <f t="shared" si="46"/>
        <v>5.8641581632653059</v>
      </c>
      <c r="AA128" s="379">
        <f t="shared" si="46"/>
        <v>6.0310374149659864</v>
      </c>
      <c r="AB128" s="379">
        <f t="shared" si="46"/>
        <v>6.202168367346939</v>
      </c>
      <c r="AC128" s="379">
        <f t="shared" si="46"/>
        <v>6.3786139455782314</v>
      </c>
      <c r="AD128" s="379">
        <f t="shared" si="46"/>
        <v>6.5603741496598635</v>
      </c>
      <c r="AE128" s="379">
        <f t="shared" si="46"/>
        <v>6.7474489795918364</v>
      </c>
      <c r="AF128" s="379">
        <f t="shared" si="46"/>
        <v>6.9403698979591839</v>
      </c>
      <c r="AG128" s="379">
        <f t="shared" si="46"/>
        <v>7.1386054421768703</v>
      </c>
    </row>
    <row r="129" spans="1:34" s="352" customFormat="1">
      <c r="A129" s="380" t="s">
        <v>323</v>
      </c>
      <c r="B129" s="352" t="s">
        <v>300</v>
      </c>
      <c r="C129" s="384">
        <f t="shared" ref="C129:AG129" si="47">SUM(C125:C127)-C128</f>
        <v>128.17141637160884</v>
      </c>
      <c r="D129" s="384">
        <f t="shared" si="47"/>
        <v>128.52079626780034</v>
      </c>
      <c r="E129" s="384">
        <f t="shared" si="47"/>
        <v>129.00757969296384</v>
      </c>
      <c r="F129" s="384">
        <f t="shared" si="47"/>
        <v>129.6243697918076</v>
      </c>
      <c r="G129" s="384">
        <f t="shared" si="47"/>
        <v>130.3768364608456</v>
      </c>
      <c r="H129" s="384">
        <f t="shared" si="47"/>
        <v>132.55680785984524</v>
      </c>
      <c r="I129" s="384">
        <f t="shared" si="47"/>
        <v>129.44267948084394</v>
      </c>
      <c r="J129" s="384">
        <f t="shared" si="47"/>
        <v>128.56635037879138</v>
      </c>
      <c r="K129" s="384">
        <f t="shared" si="47"/>
        <v>127.85013407855918</v>
      </c>
      <c r="L129" s="384">
        <f t="shared" si="47"/>
        <v>127.27380607437689</v>
      </c>
      <c r="M129" s="384">
        <f t="shared" si="47"/>
        <v>126.85354557706758</v>
      </c>
      <c r="N129" s="384">
        <f t="shared" si="47"/>
        <v>125.71081897945136</v>
      </c>
      <c r="O129" s="384">
        <f t="shared" si="47"/>
        <v>125.56391333314119</v>
      </c>
      <c r="P129" s="384">
        <f t="shared" si="47"/>
        <v>125.54932580669902</v>
      </c>
      <c r="Q129" s="384">
        <f t="shared" si="47"/>
        <v>125.6868765738173</v>
      </c>
      <c r="R129" s="384">
        <f t="shared" si="47"/>
        <v>125.96911793632992</v>
      </c>
      <c r="S129" s="384">
        <f t="shared" si="47"/>
        <v>124.22255605801273</v>
      </c>
      <c r="T129" s="384">
        <f t="shared" si="47"/>
        <v>125.26136065812128</v>
      </c>
      <c r="U129" s="384">
        <f t="shared" si="47"/>
        <v>126.43689555717138</v>
      </c>
      <c r="V129" s="384">
        <f t="shared" si="47"/>
        <v>127.75151464492265</v>
      </c>
      <c r="W129" s="384">
        <f t="shared" si="47"/>
        <v>129.2077268949501</v>
      </c>
      <c r="X129" s="384">
        <f t="shared" si="47"/>
        <v>129.68973822187837</v>
      </c>
      <c r="Y129" s="384">
        <f t="shared" si="47"/>
        <v>131.40502393671508</v>
      </c>
      <c r="Z129" s="384">
        <f t="shared" si="47"/>
        <v>133.25695266881746</v>
      </c>
      <c r="AA129" s="384">
        <f t="shared" si="47"/>
        <v>135.2664320959278</v>
      </c>
      <c r="AB129" s="384">
        <f t="shared" si="47"/>
        <v>137.42752667130225</v>
      </c>
      <c r="AC129" s="384">
        <f t="shared" si="47"/>
        <v>139.47961443646341</v>
      </c>
      <c r="AD129" s="384">
        <f t="shared" si="47"/>
        <v>143.07348860370638</v>
      </c>
      <c r="AE129" s="384">
        <f t="shared" si="47"/>
        <v>146.83736413861718</v>
      </c>
      <c r="AF129" s="384">
        <f t="shared" si="47"/>
        <v>150.77560408214683</v>
      </c>
      <c r="AG129" s="384">
        <f t="shared" si="47"/>
        <v>154.90154692698175</v>
      </c>
    </row>
    <row r="130" spans="1:34" s="344" customFormat="1">
      <c r="A130" s="342" t="s">
        <v>182</v>
      </c>
      <c r="B130" s="342"/>
      <c r="H130" s="385">
        <f>H132/H63</f>
        <v>1.7645776749488649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48">D131+1</f>
        <v>2027</v>
      </c>
      <c r="F131" s="360">
        <f t="shared" si="48"/>
        <v>2028</v>
      </c>
      <c r="G131" s="360">
        <f t="shared" si="48"/>
        <v>2029</v>
      </c>
      <c r="H131" s="360">
        <f>G131+1</f>
        <v>2030</v>
      </c>
      <c r="I131" s="360">
        <f>H131+1</f>
        <v>2031</v>
      </c>
      <c r="J131" s="360">
        <f t="shared" si="48"/>
        <v>2032</v>
      </c>
      <c r="K131" s="360">
        <f t="shared" si="48"/>
        <v>2033</v>
      </c>
      <c r="L131" s="360">
        <f t="shared" si="48"/>
        <v>2034</v>
      </c>
      <c r="M131" s="360">
        <f t="shared" si="48"/>
        <v>2035</v>
      </c>
      <c r="N131" s="360">
        <f t="shared" si="48"/>
        <v>2036</v>
      </c>
      <c r="O131" s="360">
        <f t="shared" si="48"/>
        <v>2037</v>
      </c>
      <c r="P131" s="360">
        <f t="shared" si="48"/>
        <v>2038</v>
      </c>
      <c r="Q131" s="360">
        <f t="shared" si="48"/>
        <v>2039</v>
      </c>
      <c r="R131" s="360">
        <f t="shared" si="48"/>
        <v>2040</v>
      </c>
      <c r="S131" s="360">
        <f t="shared" si="48"/>
        <v>2041</v>
      </c>
      <c r="T131" s="360">
        <f t="shared" si="48"/>
        <v>2042</v>
      </c>
      <c r="U131" s="360">
        <f t="shared" si="48"/>
        <v>2043</v>
      </c>
      <c r="V131" s="360">
        <f t="shared" si="48"/>
        <v>2044</v>
      </c>
      <c r="W131" s="360">
        <f t="shared" si="48"/>
        <v>2045</v>
      </c>
      <c r="X131" s="360">
        <f t="shared" si="48"/>
        <v>2046</v>
      </c>
      <c r="Y131" s="360">
        <f t="shared" si="48"/>
        <v>2047</v>
      </c>
      <c r="Z131" s="360">
        <f t="shared" si="48"/>
        <v>2048</v>
      </c>
      <c r="AA131" s="360">
        <f t="shared" si="48"/>
        <v>2049</v>
      </c>
      <c r="AB131" s="360">
        <f t="shared" si="48"/>
        <v>2050</v>
      </c>
      <c r="AC131" s="360">
        <f t="shared" si="48"/>
        <v>2051</v>
      </c>
      <c r="AD131" s="360">
        <f t="shared" si="48"/>
        <v>2052</v>
      </c>
      <c r="AE131" s="360">
        <f t="shared" si="48"/>
        <v>2053</v>
      </c>
      <c r="AF131" s="360">
        <f t="shared" si="48"/>
        <v>2054</v>
      </c>
      <c r="AG131" s="360">
        <f t="shared" si="48"/>
        <v>2055</v>
      </c>
    </row>
    <row r="132" spans="1:34">
      <c r="A132" s="368" t="s">
        <v>329</v>
      </c>
      <c r="B132" s="300" t="s">
        <v>309</v>
      </c>
      <c r="C132" s="376">
        <f>ROUND(('Changing with year'!C135)/1000,0)*1000</f>
        <v>11055000</v>
      </c>
      <c r="D132" s="376">
        <f>ROUND(('Changing with year'!D135)/1000,0)*1000</f>
        <v>11015000</v>
      </c>
      <c r="E132" s="376">
        <f>ROUND(('Changing with year'!E135)/1000,0)*1000</f>
        <v>10984000</v>
      </c>
      <c r="F132" s="376">
        <f>ROUND(('Changing with year'!F135)/1000,0)*1000</f>
        <v>10746000</v>
      </c>
      <c r="G132" s="376">
        <f>ROUND(('Changing with year'!G135)/1000,0)*1000</f>
        <v>10526000</v>
      </c>
      <c r="H132" s="376">
        <f>ROUND(('Changing with year'!H135)/1000,0)*1000</f>
        <v>10525000</v>
      </c>
      <c r="I132" s="376">
        <f>ROUND(('Changing with year'!I135)/1000,0)*1000</f>
        <v>10367000</v>
      </c>
      <c r="J132" s="376">
        <f>ROUND(('Changing with year'!J135)/1000,0)*1000</f>
        <v>10430000</v>
      </c>
      <c r="K132" s="376">
        <f>ROUND(('Changing with year'!K135)/1000,0)*1000</f>
        <v>10499000</v>
      </c>
      <c r="L132" s="376">
        <f>ROUND(('Changing with year'!L135)/1000,0)*1000</f>
        <v>10577000</v>
      </c>
      <c r="M132" s="376">
        <f>ROUND(('Changing with year'!M135)/1000,0)*1000</f>
        <v>10662000</v>
      </c>
      <c r="N132" s="376">
        <f>ROUND(('Changing with year'!N135)/1000,0)*1000</f>
        <v>10755000</v>
      </c>
      <c r="O132" s="376">
        <f>ROUND(('Changing with year'!O135)/1000,0)*1000</f>
        <v>10857000</v>
      </c>
      <c r="P132" s="376">
        <f>ROUND(('Changing with year'!P135)/1000,0)*1000</f>
        <v>10966000</v>
      </c>
      <c r="Q132" s="376">
        <f>ROUND(('Changing with year'!Q135)/1000,0)*1000</f>
        <v>11083000</v>
      </c>
      <c r="R132" s="376">
        <f>ROUND(('Changing with year'!R135)/1000,0)*1000</f>
        <v>11209000</v>
      </c>
      <c r="S132" s="376">
        <f>ROUND(('Changing with year'!S135)/1000,0)*1000</f>
        <v>11249000</v>
      </c>
      <c r="T132" s="376">
        <f>ROUND(('Changing with year'!T135)/1000,0)*1000</f>
        <v>11466000</v>
      </c>
      <c r="U132" s="376">
        <f>ROUND(('Changing with year'!U135)/1000,0)*1000</f>
        <v>11689000</v>
      </c>
      <c r="V132" s="376">
        <f>ROUND(('Changing with year'!V135)/1000,0)*1000</f>
        <v>11921000</v>
      </c>
      <c r="W132" s="376">
        <f>ROUND(('Changing with year'!W135)/1000,0)*1000</f>
        <v>12161000</v>
      </c>
      <c r="X132" s="376">
        <f>ROUND(('Changing with year'!X135)/1000,0)*1000</f>
        <v>12408000</v>
      </c>
      <c r="Y132" s="376">
        <f>ROUND(('Changing with year'!Y135)/1000,0)*1000</f>
        <v>12664000</v>
      </c>
      <c r="Z132" s="376">
        <f>ROUND(('Changing with year'!Z135)/1000,0)*1000</f>
        <v>12928000</v>
      </c>
      <c r="AA132" s="376">
        <f>ROUND(('Changing with year'!AA135)/1000,0)*1000</f>
        <v>13202000</v>
      </c>
      <c r="AB132" s="376">
        <f>ROUND(('Changing with year'!AB135)/1000,0)*1000</f>
        <v>13484000</v>
      </c>
      <c r="AC132" s="376">
        <f>ROUND(('Changing with year'!AC135)/1000,0)*1000</f>
        <v>13824000</v>
      </c>
      <c r="AD132" s="376">
        <f>ROUND(('Changing with year'!AD135)/1000,0)*1000</f>
        <v>14174000</v>
      </c>
      <c r="AE132" s="376">
        <f>ROUND(('Changing with year'!AE135)/1000,0)*1000</f>
        <v>14533000</v>
      </c>
      <c r="AF132" s="376">
        <f>ROUND(('Changing with year'!AF135)/1000,0)*1000</f>
        <v>14903000</v>
      </c>
      <c r="AG132" s="376">
        <f>ROUND(('Changing with year'!AG135)/1000,0)*1000</f>
        <v>15284000</v>
      </c>
    </row>
    <row r="133" spans="1:34">
      <c r="A133" s="368" t="s">
        <v>310</v>
      </c>
      <c r="B133" s="300" t="s">
        <v>309</v>
      </c>
      <c r="C133" s="376">
        <f>(C132*'No change with year'!$AK$12)</f>
        <v>1105499.9999999998</v>
      </c>
      <c r="D133" s="376">
        <f>(D132*'No change with year'!$AK$12)</f>
        <v>1101499.9999999998</v>
      </c>
      <c r="E133" s="376">
        <f>(E132*'No change with year'!$AK$12)</f>
        <v>1098399.9999999998</v>
      </c>
      <c r="F133" s="376">
        <f>(F132*'No change with year'!$AK$12)</f>
        <v>1074599.9999999998</v>
      </c>
      <c r="G133" s="376">
        <f>(G132*'No change with year'!$AK$12)</f>
        <v>1052599.9999999998</v>
      </c>
      <c r="H133" s="376">
        <f>(H132*'No change with year'!$AK$12)</f>
        <v>1052499.9999999998</v>
      </c>
      <c r="I133" s="376">
        <f>(I132*'No change with year'!$AK$12)</f>
        <v>1036699.9999999998</v>
      </c>
      <c r="J133" s="376">
        <f>(J132*'No change with year'!$AK$12)</f>
        <v>1042999.9999999998</v>
      </c>
      <c r="K133" s="376">
        <f>(K132*'No change with year'!$AK$12)</f>
        <v>1049899.9999999998</v>
      </c>
      <c r="L133" s="376">
        <f>(L132*'No change with year'!$AK$12)</f>
        <v>1057699.9999999998</v>
      </c>
      <c r="M133" s="376">
        <f>(M132*'No change with year'!$AK$12)</f>
        <v>1066199.9999999998</v>
      </c>
      <c r="N133" s="376">
        <f>(N132*'No change with year'!$AL$12)</f>
        <v>2151000</v>
      </c>
      <c r="O133" s="376">
        <f>(O132*'No change with year'!$AL$12)</f>
        <v>2171400</v>
      </c>
      <c r="P133" s="376">
        <f>(P132*'No change with year'!$AL$12)</f>
        <v>2193200</v>
      </c>
      <c r="Q133" s="376">
        <f>(Q132*'No change with year'!$AL$12)</f>
        <v>2216600</v>
      </c>
      <c r="R133" s="376">
        <f>(R132*'No change with year'!$AL$12)</f>
        <v>2241800</v>
      </c>
      <c r="S133" s="376">
        <f>(S132*'No change with year'!$AL$12)</f>
        <v>2249800</v>
      </c>
      <c r="T133" s="376">
        <f>(T132*'No change with year'!$AL$12)</f>
        <v>2293200</v>
      </c>
      <c r="U133" s="376">
        <f>(U132*'No change with year'!$AL$12)</f>
        <v>2337800</v>
      </c>
      <c r="V133" s="376">
        <f>(V132*'No change with year'!$AL$12)</f>
        <v>2384200</v>
      </c>
      <c r="W133" s="376">
        <f>(W132*'No change with year'!$AL$12)</f>
        <v>2432200</v>
      </c>
      <c r="X133" s="376">
        <f>(X132*'No change with year'!$AM$12)</f>
        <v>3102000</v>
      </c>
      <c r="Y133" s="376">
        <f>(Y132*'No change with year'!$AM$12)</f>
        <v>3166000</v>
      </c>
      <c r="Z133" s="376">
        <f>(Z132*'No change with year'!$AM$12)</f>
        <v>3232000</v>
      </c>
      <c r="AA133" s="376">
        <f>(AA132*'No change with year'!$AM$12)</f>
        <v>3300500</v>
      </c>
      <c r="AB133" s="376">
        <f>(AB132*'No change with year'!$AM$12)</f>
        <v>3371000</v>
      </c>
      <c r="AC133" s="376">
        <f>(AC132*'No change with year'!$AM$12)</f>
        <v>3456000</v>
      </c>
      <c r="AD133" s="376">
        <f>(AD132*'No change with year'!$AM$12)</f>
        <v>3543500</v>
      </c>
      <c r="AE133" s="376">
        <f>(AE132*'No change with year'!$AM$12)</f>
        <v>3633250</v>
      </c>
      <c r="AF133" s="376">
        <f>(AF132*'No change with year'!$AM$12)</f>
        <v>3725750</v>
      </c>
      <c r="AG133" s="376">
        <f>(AG132*'No change with year'!$AM$12)</f>
        <v>3821000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2422346.5703898761</v>
      </c>
      <c r="D135" s="376">
        <f t="shared" ref="D135:AG135" si="49">-PMT($C$28,$C$27,D132)</f>
        <v>2413581.8609538204</v>
      </c>
      <c r="E135" s="376">
        <f t="shared" si="49"/>
        <v>2406789.2111408776</v>
      </c>
      <c r="F135" s="376">
        <f t="shared" si="49"/>
        <v>2354639.1899963464</v>
      </c>
      <c r="G135" s="376">
        <f t="shared" si="49"/>
        <v>2306433.2880980405</v>
      </c>
      <c r="H135" s="376">
        <f t="shared" si="49"/>
        <v>2306214.1703621391</v>
      </c>
      <c r="I135" s="376">
        <f t="shared" si="49"/>
        <v>2271593.5680897194</v>
      </c>
      <c r="J135" s="376">
        <f t="shared" si="49"/>
        <v>2285397.9854515069</v>
      </c>
      <c r="K135" s="376">
        <f t="shared" si="49"/>
        <v>2300517.1092287027</v>
      </c>
      <c r="L135" s="376">
        <f t="shared" si="49"/>
        <v>2317608.292629011</v>
      </c>
      <c r="M135" s="376">
        <f t="shared" si="49"/>
        <v>2336233.3001806294</v>
      </c>
      <c r="N135" s="376">
        <f t="shared" si="49"/>
        <v>2356611.2496194588</v>
      </c>
      <c r="O135" s="376">
        <f t="shared" si="49"/>
        <v>2378961.2586814007</v>
      </c>
      <c r="P135" s="376">
        <f t="shared" si="49"/>
        <v>2402845.0918946522</v>
      </c>
      <c r="Q135" s="376">
        <f t="shared" si="49"/>
        <v>2428481.8669951148</v>
      </c>
      <c r="R135" s="376">
        <f t="shared" si="49"/>
        <v>2456090.7017186903</v>
      </c>
      <c r="S135" s="376">
        <f t="shared" si="49"/>
        <v>2464855.4111547461</v>
      </c>
      <c r="T135" s="376">
        <f t="shared" si="49"/>
        <v>2512403.9598453478</v>
      </c>
      <c r="U135" s="376">
        <f t="shared" si="49"/>
        <v>2561267.2149513578</v>
      </c>
      <c r="V135" s="376">
        <f t="shared" si="49"/>
        <v>2612102.5296804807</v>
      </c>
      <c r="W135" s="376">
        <f t="shared" si="49"/>
        <v>2664690.7862968147</v>
      </c>
      <c r="X135" s="376">
        <f t="shared" si="49"/>
        <v>2718812.8670644579</v>
      </c>
      <c r="Y135" s="376">
        <f t="shared" si="49"/>
        <v>2774907.0074552139</v>
      </c>
      <c r="Z135" s="376">
        <f t="shared" si="49"/>
        <v>2832754.0897331811</v>
      </c>
      <c r="AA135" s="376">
        <f t="shared" si="49"/>
        <v>2892792.3493701625</v>
      </c>
      <c r="AB135" s="376">
        <f t="shared" si="49"/>
        <v>2954583.5508943545</v>
      </c>
      <c r="AC135" s="376">
        <f t="shared" si="49"/>
        <v>3029083.5811008275</v>
      </c>
      <c r="AD135" s="376">
        <f t="shared" si="49"/>
        <v>3105774.7886663144</v>
      </c>
      <c r="AE135" s="376">
        <f t="shared" si="49"/>
        <v>3184438.0558549133</v>
      </c>
      <c r="AF135" s="376">
        <f t="shared" si="49"/>
        <v>3265511.6181384283</v>
      </c>
      <c r="AG135" s="376">
        <f t="shared" si="49"/>
        <v>3348995.475516858</v>
      </c>
    </row>
    <row r="136" spans="1:34">
      <c r="A136" s="300" t="s">
        <v>330</v>
      </c>
      <c r="B136" s="300" t="s">
        <v>313</v>
      </c>
      <c r="C136" s="376">
        <f t="shared" ref="C136:AG136" si="50">$G$38*C51</f>
        <v>1122360.0805031445</v>
      </c>
      <c r="D136" s="376">
        <f t="shared" si="50"/>
        <v>1136472.0805031448</v>
      </c>
      <c r="E136" s="376">
        <f t="shared" si="50"/>
        <v>1142423.2710486373</v>
      </c>
      <c r="F136" s="376">
        <f t="shared" si="50"/>
        <v>1141971.4352407423</v>
      </c>
      <c r="G136" s="376">
        <f t="shared" si="50"/>
        <v>1131702.0709670885</v>
      </c>
      <c r="H136" s="376">
        <f t="shared" si="50"/>
        <v>1140032.9354027268</v>
      </c>
      <c r="I136" s="376">
        <f t="shared" si="50"/>
        <v>989048.06401362864</v>
      </c>
      <c r="J136" s="376">
        <f t="shared" si="50"/>
        <v>964448.81871882139</v>
      </c>
      <c r="K136" s="376">
        <f t="shared" si="50"/>
        <v>923165.25147125463</v>
      </c>
      <c r="L136" s="376">
        <f t="shared" si="50"/>
        <v>888350.49628152535</v>
      </c>
      <c r="M136" s="376">
        <f t="shared" si="50"/>
        <v>860899.48047650687</v>
      </c>
      <c r="N136" s="376">
        <f t="shared" si="50"/>
        <v>851432.16409422387</v>
      </c>
      <c r="O136" s="376">
        <f t="shared" si="50"/>
        <v>842553.82430135261</v>
      </c>
      <c r="P136" s="376">
        <f t="shared" si="50"/>
        <v>831219.46508479735</v>
      </c>
      <c r="Q136" s="376">
        <f t="shared" si="50"/>
        <v>823470.03590582719</v>
      </c>
      <c r="R136" s="376">
        <f t="shared" si="50"/>
        <v>820061.49491626944</v>
      </c>
      <c r="S136" s="376">
        <f t="shared" si="50"/>
        <v>820488.11066601519</v>
      </c>
      <c r="T136" s="376">
        <f t="shared" si="50"/>
        <v>824692.91492465301</v>
      </c>
      <c r="U136" s="376">
        <f t="shared" si="50"/>
        <v>826173.32823744323</v>
      </c>
      <c r="V136" s="376">
        <f t="shared" si="50"/>
        <v>828232.39054272207</v>
      </c>
      <c r="W136" s="376">
        <f t="shared" si="50"/>
        <v>830968.98636606487</v>
      </c>
      <c r="X136" s="376">
        <f t="shared" si="50"/>
        <v>834360.46089581039</v>
      </c>
      <c r="Y136" s="376">
        <f t="shared" si="50"/>
        <v>838379.56064537051</v>
      </c>
      <c r="Z136" s="376">
        <f t="shared" si="50"/>
        <v>843133.19272155652</v>
      </c>
      <c r="AA136" s="376">
        <f t="shared" si="50"/>
        <v>848739.29985393165</v>
      </c>
      <c r="AB136" s="376">
        <f t="shared" si="50"/>
        <v>855105.76196164312</v>
      </c>
      <c r="AC136" s="376">
        <f t="shared" si="50"/>
        <v>877955.3076505377</v>
      </c>
      <c r="AD136" s="376">
        <f t="shared" si="50"/>
        <v>905995.90888473555</v>
      </c>
      <c r="AE136" s="376">
        <f t="shared" si="50"/>
        <v>935064.26189086074</v>
      </c>
      <c r="AF136" s="376">
        <f t="shared" si="50"/>
        <v>965544.56256758573</v>
      </c>
      <c r="AG136" s="376">
        <f t="shared" si="50"/>
        <v>997607.57336874027</v>
      </c>
    </row>
    <row r="137" spans="1:34">
      <c r="A137" s="300" t="s">
        <v>317</v>
      </c>
      <c r="B137" s="300" t="s">
        <v>313</v>
      </c>
      <c r="C137" s="376">
        <f t="shared" ref="C137:AG137" si="51">$C$22*$C$21*C58</f>
        <v>858331.60835675255</v>
      </c>
      <c r="D137" s="376">
        <f t="shared" si="51"/>
        <v>871205.79814783367</v>
      </c>
      <c r="E137" s="376">
        <f t="shared" si="51"/>
        <v>885131.43239413807</v>
      </c>
      <c r="F137" s="376">
        <f t="shared" si="51"/>
        <v>900137.15695228451</v>
      </c>
      <c r="G137" s="376">
        <f t="shared" si="51"/>
        <v>916253.09881119733</v>
      </c>
      <c r="H137" s="376">
        <f t="shared" si="51"/>
        <v>933510.91695494612</v>
      </c>
      <c r="I137" s="376">
        <f t="shared" si="51"/>
        <v>953398.27840531501</v>
      </c>
      <c r="J137" s="376">
        <f t="shared" si="51"/>
        <v>974430.19581825519</v>
      </c>
      <c r="K137" s="376">
        <f t="shared" si="51"/>
        <v>996645.47020217811</v>
      </c>
      <c r="L137" s="376">
        <f t="shared" si="51"/>
        <v>1020084.5942304342</v>
      </c>
      <c r="M137" s="376">
        <f t="shared" si="51"/>
        <v>1044789.8171154173</v>
      </c>
      <c r="N137" s="376">
        <f t="shared" si="51"/>
        <v>1070805.2121334842</v>
      </c>
      <c r="O137" s="376">
        <f t="shared" si="51"/>
        <v>1098176.7469056051</v>
      </c>
      <c r="P137" s="376">
        <f t="shared" si="51"/>
        <v>1126952.3565428753</v>
      </c>
      <c r="Q137" s="376">
        <f t="shared" si="51"/>
        <v>1157182.019770415</v>
      </c>
      <c r="R137" s="376">
        <f t="shared" si="51"/>
        <v>1188917.8381477401</v>
      </c>
      <c r="S137" s="376">
        <f t="shared" si="51"/>
        <v>1224590.8573692979</v>
      </c>
      <c r="T137" s="376">
        <f t="shared" si="51"/>
        <v>1261809.6343027619</v>
      </c>
      <c r="U137" s="376">
        <f t="shared" si="51"/>
        <v>1300634.8108871777</v>
      </c>
      <c r="V137" s="376">
        <f t="shared" si="51"/>
        <v>1341129.4666228469</v>
      </c>
      <c r="W137" s="376">
        <f t="shared" si="51"/>
        <v>1383359.215954941</v>
      </c>
      <c r="X137" s="376">
        <f t="shared" si="51"/>
        <v>1427392.3095536472</v>
      </c>
      <c r="Y137" s="376">
        <f t="shared" si="51"/>
        <v>1473299.7396466963</v>
      </c>
      <c r="Z137" s="376">
        <f t="shared" si="51"/>
        <v>1521155.3495663584</v>
      </c>
      <c r="AA137" s="376">
        <f t="shared" si="51"/>
        <v>1571035.9476794694</v>
      </c>
      <c r="AB137" s="376">
        <f t="shared" si="51"/>
        <v>1623021.4258758</v>
      </c>
      <c r="AC137" s="376">
        <f t="shared" si="51"/>
        <v>1681493.842842588</v>
      </c>
      <c r="AD137" s="376">
        <f t="shared" si="51"/>
        <v>1742240.6720873653</v>
      </c>
      <c r="AE137" s="376">
        <f t="shared" si="51"/>
        <v>1805352.2452572444</v>
      </c>
      <c r="AF137" s="376">
        <f t="shared" si="51"/>
        <v>1870922.5008167825</v>
      </c>
      <c r="AG137" s="376">
        <f t="shared" si="51"/>
        <v>1939049.1282561945</v>
      </c>
    </row>
    <row r="138" spans="1:34">
      <c r="A138" s="368" t="s">
        <v>318</v>
      </c>
      <c r="B138" s="300" t="s">
        <v>313</v>
      </c>
      <c r="C138" s="376">
        <f>'Changing with year'!C304</f>
        <v>560000</v>
      </c>
      <c r="D138" s="376">
        <f>'Changing with year'!D304</f>
        <v>585000</v>
      </c>
      <c r="E138" s="376">
        <f>'Changing with year'!E304</f>
        <v>611000</v>
      </c>
      <c r="F138" s="376">
        <f>'Changing with year'!F304</f>
        <v>638000</v>
      </c>
      <c r="G138" s="376">
        <f>'Changing with year'!G304</f>
        <v>667000</v>
      </c>
      <c r="H138" s="376">
        <f>'Changing with year'!H304</f>
        <v>697000</v>
      </c>
      <c r="I138" s="376">
        <f>'Changing with year'!I304</f>
        <v>728000</v>
      </c>
      <c r="J138" s="376">
        <f>'Changing with year'!J304</f>
        <v>761000</v>
      </c>
      <c r="K138" s="376">
        <f>'Changing with year'!K304</f>
        <v>795000</v>
      </c>
      <c r="L138" s="376">
        <f>'Changing with year'!L304</f>
        <v>831000</v>
      </c>
      <c r="M138" s="376">
        <f>'Changing with year'!M304</f>
        <v>868000</v>
      </c>
      <c r="N138" s="376">
        <f>'Changing with year'!N304</f>
        <v>907000</v>
      </c>
      <c r="O138" s="376">
        <f>'Changing with year'!O304</f>
        <v>948000</v>
      </c>
      <c r="P138" s="376">
        <f>'Changing with year'!P304</f>
        <v>991000</v>
      </c>
      <c r="Q138" s="376">
        <f>'Changing with year'!Q304</f>
        <v>1036000</v>
      </c>
      <c r="R138" s="376">
        <f>'Changing with year'!R304</f>
        <v>1083000</v>
      </c>
      <c r="S138" s="376">
        <f>'Changing with year'!S304</f>
        <v>1132000</v>
      </c>
      <c r="T138" s="376">
        <f>'Changing with year'!T304</f>
        <v>1183000</v>
      </c>
      <c r="U138" s="376">
        <f>'Changing with year'!U304</f>
        <v>1236000</v>
      </c>
      <c r="V138" s="376">
        <f>'Changing with year'!V304</f>
        <v>1292000</v>
      </c>
      <c r="W138" s="376">
        <f>'Changing with year'!W304</f>
        <v>1350000</v>
      </c>
      <c r="X138" s="376">
        <f>'Changing with year'!X304</f>
        <v>1411000</v>
      </c>
      <c r="Y138" s="376">
        <f>'Changing with year'!Y304</f>
        <v>1474000</v>
      </c>
      <c r="Z138" s="376">
        <f>'Changing with year'!Z304</f>
        <v>1540000</v>
      </c>
      <c r="AA138" s="376">
        <f>'Changing with year'!AA304</f>
        <v>1609000</v>
      </c>
      <c r="AB138" s="376">
        <f>'Changing with year'!AB304</f>
        <v>1681000</v>
      </c>
      <c r="AC138" s="376">
        <f>'Changing with year'!AC304</f>
        <v>1757000</v>
      </c>
      <c r="AD138" s="376">
        <f>'Changing with year'!AD304</f>
        <v>1836000</v>
      </c>
      <c r="AE138" s="376">
        <f>'Changing with year'!AE304</f>
        <v>1919000</v>
      </c>
      <c r="AF138" s="376">
        <f>'Changing with year'!AF304</f>
        <v>2005000</v>
      </c>
      <c r="AG138" s="376">
        <f>'Changing with year'!AG304</f>
        <v>2095000</v>
      </c>
      <c r="AH138" s="339"/>
    </row>
    <row r="139" spans="1:34">
      <c r="A139" s="300" t="s">
        <v>272</v>
      </c>
      <c r="B139" s="300" t="s">
        <v>313</v>
      </c>
      <c r="C139" s="376">
        <f>C61</f>
        <v>571200</v>
      </c>
      <c r="D139" s="376">
        <f t="shared" ref="D139:AG139" si="52">D61</f>
        <v>576912</v>
      </c>
      <c r="E139" s="376">
        <f t="shared" si="52"/>
        <v>582681.12000000011</v>
      </c>
      <c r="F139" s="376">
        <f t="shared" si="52"/>
        <v>588507.93120000011</v>
      </c>
      <c r="G139" s="376">
        <f t="shared" si="52"/>
        <v>594393.01051200007</v>
      </c>
      <c r="H139" s="376">
        <f t="shared" si="52"/>
        <v>600336.94061712013</v>
      </c>
      <c r="I139" s="376">
        <f t="shared" si="52"/>
        <v>606340.31002329127</v>
      </c>
      <c r="J139" s="376">
        <f t="shared" si="52"/>
        <v>612403.71312352421</v>
      </c>
      <c r="K139" s="376">
        <f t="shared" si="52"/>
        <v>618527.75025475968</v>
      </c>
      <c r="L139" s="376">
        <f t="shared" si="52"/>
        <v>624713.02775730717</v>
      </c>
      <c r="M139" s="376">
        <f t="shared" si="52"/>
        <v>630960.1580348803</v>
      </c>
      <c r="N139" s="376">
        <f t="shared" si="52"/>
        <v>637269.75961522909</v>
      </c>
      <c r="O139" s="376">
        <f t="shared" si="52"/>
        <v>643642.45721138129</v>
      </c>
      <c r="P139" s="376">
        <f t="shared" si="52"/>
        <v>650078.88178349519</v>
      </c>
      <c r="Q139" s="376">
        <f t="shared" si="52"/>
        <v>656579.67060133012</v>
      </c>
      <c r="R139" s="376">
        <f t="shared" si="52"/>
        <v>663145.46730734338</v>
      </c>
      <c r="S139" s="376">
        <f t="shared" si="52"/>
        <v>669776.92198041675</v>
      </c>
      <c r="T139" s="376">
        <f t="shared" si="52"/>
        <v>676474.69120022096</v>
      </c>
      <c r="U139" s="376">
        <f t="shared" si="52"/>
        <v>683239.43811222329</v>
      </c>
      <c r="V139" s="376">
        <f t="shared" si="52"/>
        <v>690071.83249334537</v>
      </c>
      <c r="W139" s="376">
        <f t="shared" si="52"/>
        <v>696972.55081827892</v>
      </c>
      <c r="X139" s="376">
        <f t="shared" si="52"/>
        <v>703942.27632646158</v>
      </c>
      <c r="Y139" s="376">
        <f t="shared" si="52"/>
        <v>710981.69908972632</v>
      </c>
      <c r="Z139" s="376">
        <f t="shared" si="52"/>
        <v>718091.51608062361</v>
      </c>
      <c r="AA139" s="376">
        <f t="shared" si="52"/>
        <v>725272.43124142988</v>
      </c>
      <c r="AB139" s="376">
        <f t="shared" si="52"/>
        <v>732525.15555384418</v>
      </c>
      <c r="AC139" s="376">
        <f t="shared" si="52"/>
        <v>739850.40710938268</v>
      </c>
      <c r="AD139" s="376">
        <f t="shared" si="52"/>
        <v>747248.91118047654</v>
      </c>
      <c r="AE139" s="376">
        <f t="shared" si="52"/>
        <v>754721.40029228118</v>
      </c>
      <c r="AF139" s="376">
        <f t="shared" si="52"/>
        <v>762268.61429520405</v>
      </c>
      <c r="AG139" s="376">
        <f t="shared" si="52"/>
        <v>769891.300438156</v>
      </c>
    </row>
    <row r="140" spans="1:34">
      <c r="A140" s="300" t="s">
        <v>319</v>
      </c>
      <c r="B140" s="300" t="s">
        <v>313</v>
      </c>
      <c r="C140" s="386">
        <f t="shared" ref="C140:AG140" si="53">((C132)*$C$29)</f>
        <v>221100</v>
      </c>
      <c r="D140" s="386">
        <f t="shared" si="53"/>
        <v>220300</v>
      </c>
      <c r="E140" s="386">
        <f t="shared" si="53"/>
        <v>219680</v>
      </c>
      <c r="F140" s="386">
        <f t="shared" si="53"/>
        <v>214920</v>
      </c>
      <c r="G140" s="386">
        <f t="shared" si="53"/>
        <v>210520</v>
      </c>
      <c r="H140" s="386">
        <f t="shared" si="53"/>
        <v>210500</v>
      </c>
      <c r="I140" s="386">
        <f t="shared" si="53"/>
        <v>207340</v>
      </c>
      <c r="J140" s="386">
        <f t="shared" si="53"/>
        <v>208600</v>
      </c>
      <c r="K140" s="386">
        <f t="shared" si="53"/>
        <v>209980</v>
      </c>
      <c r="L140" s="386">
        <f t="shared" si="53"/>
        <v>211540</v>
      </c>
      <c r="M140" s="386">
        <f t="shared" si="53"/>
        <v>213240</v>
      </c>
      <c r="N140" s="386">
        <f t="shared" si="53"/>
        <v>215100</v>
      </c>
      <c r="O140" s="386">
        <f t="shared" si="53"/>
        <v>217140</v>
      </c>
      <c r="P140" s="386">
        <f t="shared" si="53"/>
        <v>219320</v>
      </c>
      <c r="Q140" s="386">
        <f t="shared" si="53"/>
        <v>221660</v>
      </c>
      <c r="R140" s="386">
        <f t="shared" si="53"/>
        <v>224180</v>
      </c>
      <c r="S140" s="386">
        <f t="shared" si="53"/>
        <v>224980</v>
      </c>
      <c r="T140" s="386">
        <f t="shared" si="53"/>
        <v>229320</v>
      </c>
      <c r="U140" s="386">
        <f t="shared" si="53"/>
        <v>233780</v>
      </c>
      <c r="V140" s="386">
        <f t="shared" si="53"/>
        <v>238420</v>
      </c>
      <c r="W140" s="386">
        <f t="shared" si="53"/>
        <v>243220</v>
      </c>
      <c r="X140" s="386">
        <f t="shared" si="53"/>
        <v>248160</v>
      </c>
      <c r="Y140" s="386">
        <f t="shared" si="53"/>
        <v>253280</v>
      </c>
      <c r="Z140" s="386">
        <f t="shared" si="53"/>
        <v>258560</v>
      </c>
      <c r="AA140" s="386">
        <f t="shared" si="53"/>
        <v>264040</v>
      </c>
      <c r="AB140" s="386">
        <f t="shared" si="53"/>
        <v>269680</v>
      </c>
      <c r="AC140" s="386">
        <f t="shared" si="53"/>
        <v>276480</v>
      </c>
      <c r="AD140" s="386">
        <f t="shared" si="53"/>
        <v>283480</v>
      </c>
      <c r="AE140" s="386">
        <f t="shared" si="53"/>
        <v>290660</v>
      </c>
      <c r="AF140" s="386">
        <f t="shared" si="53"/>
        <v>298060</v>
      </c>
      <c r="AG140" s="386">
        <f t="shared" si="53"/>
        <v>305680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4">(C135)/($C$22*$C$21)</f>
        <v>36.046823964135065</v>
      </c>
      <c r="D142" s="379">
        <f t="shared" si="54"/>
        <v>35.916396740384229</v>
      </c>
      <c r="E142" s="379">
        <f t="shared" si="54"/>
        <v>35.815315641977342</v>
      </c>
      <c r="F142" s="379">
        <f t="shared" si="54"/>
        <v>35.039273660659916</v>
      </c>
      <c r="G142" s="379">
        <f t="shared" si="54"/>
        <v>34.321923930030366</v>
      </c>
      <c r="H142" s="379">
        <f t="shared" si="54"/>
        <v>34.318663249436597</v>
      </c>
      <c r="I142" s="379">
        <f t="shared" si="54"/>
        <v>33.803475715620827</v>
      </c>
      <c r="J142" s="379">
        <f t="shared" si="54"/>
        <v>34.008898593028377</v>
      </c>
      <c r="K142" s="379">
        <f t="shared" si="54"/>
        <v>34.233885553998554</v>
      </c>
      <c r="L142" s="379">
        <f t="shared" si="54"/>
        <v>34.488218640312667</v>
      </c>
      <c r="M142" s="379">
        <f t="shared" si="54"/>
        <v>34.765376490783176</v>
      </c>
      <c r="N142" s="379">
        <f t="shared" si="54"/>
        <v>35.06861978600385</v>
      </c>
      <c r="O142" s="379">
        <f t="shared" si="54"/>
        <v>35.40120920656846</v>
      </c>
      <c r="P142" s="379">
        <f t="shared" si="54"/>
        <v>35.756623391289466</v>
      </c>
      <c r="Q142" s="379">
        <f t="shared" si="54"/>
        <v>36.138123020760638</v>
      </c>
      <c r="R142" s="379">
        <f t="shared" si="54"/>
        <v>36.548968775575752</v>
      </c>
      <c r="S142" s="379">
        <f t="shared" si="54"/>
        <v>36.67939599932658</v>
      </c>
      <c r="T142" s="379">
        <f t="shared" si="54"/>
        <v>37.386963688174816</v>
      </c>
      <c r="U142" s="379">
        <f t="shared" si="54"/>
        <v>38.114095460585681</v>
      </c>
      <c r="V142" s="379">
        <f t="shared" si="54"/>
        <v>38.870573358340486</v>
      </c>
      <c r="W142" s="379">
        <f t="shared" si="54"/>
        <v>39.653136700845458</v>
      </c>
      <c r="X142" s="379">
        <f t="shared" si="54"/>
        <v>40.458524807506812</v>
      </c>
      <c r="Y142" s="379">
        <f t="shared" si="54"/>
        <v>41.293259039512115</v>
      </c>
      <c r="Z142" s="379">
        <f t="shared" si="54"/>
        <v>42.154078716267577</v>
      </c>
      <c r="AA142" s="379">
        <f t="shared" si="54"/>
        <v>43.047505198960749</v>
      </c>
      <c r="AB142" s="379">
        <f t="shared" si="54"/>
        <v>43.967017126404087</v>
      </c>
      <c r="AC142" s="379">
        <f t="shared" si="54"/>
        <v>45.075648528286123</v>
      </c>
      <c r="AD142" s="379">
        <f t="shared" si="54"/>
        <v>46.21688673610587</v>
      </c>
      <c r="AE142" s="379">
        <f t="shared" si="54"/>
        <v>47.387471069269544</v>
      </c>
      <c r="AF142" s="379">
        <f t="shared" si="54"/>
        <v>48.593922888964705</v>
      </c>
      <c r="AG142" s="379">
        <f t="shared" si="54"/>
        <v>49.836242195191339</v>
      </c>
    </row>
    <row r="143" spans="1:34">
      <c r="A143" s="300" t="s">
        <v>321</v>
      </c>
      <c r="B143" s="300" t="s">
        <v>300</v>
      </c>
      <c r="C143" s="379">
        <f t="shared" ref="C143:AG143" si="55">C136/($C$22*$C$21)</f>
        <v>16.701786912249176</v>
      </c>
      <c r="D143" s="379">
        <f t="shared" si="55"/>
        <v>16.911786912249177</v>
      </c>
      <c r="E143" s="379">
        <f t="shared" si="55"/>
        <v>17.000346295366626</v>
      </c>
      <c r="F143" s="379">
        <f t="shared" si="55"/>
        <v>16.993622548225332</v>
      </c>
      <c r="G143" s="379">
        <f t="shared" si="55"/>
        <v>16.840804627486435</v>
      </c>
      <c r="H143" s="379">
        <f t="shared" si="55"/>
        <v>16.96477582444534</v>
      </c>
      <c r="I143" s="379">
        <f t="shared" si="55"/>
        <v>14.717977143059951</v>
      </c>
      <c r="J143" s="379">
        <f t="shared" si="55"/>
        <v>14.351916945220557</v>
      </c>
      <c r="K143" s="379">
        <f t="shared" si="55"/>
        <v>13.73757814689367</v>
      </c>
      <c r="L143" s="379">
        <f t="shared" si="55"/>
        <v>13.219501432760794</v>
      </c>
      <c r="M143" s="379">
        <f t="shared" si="55"/>
        <v>12.811004173757542</v>
      </c>
      <c r="N143" s="379">
        <f t="shared" si="55"/>
        <v>12.670121489497379</v>
      </c>
      <c r="O143" s="379">
        <f t="shared" si="55"/>
        <v>12.538003337817747</v>
      </c>
      <c r="P143" s="379">
        <f t="shared" si="55"/>
        <v>12.369337278047579</v>
      </c>
      <c r="Q143" s="379">
        <f t="shared" si="55"/>
        <v>12.254018391455762</v>
      </c>
      <c r="R143" s="379">
        <f t="shared" si="55"/>
        <v>12.203296055301628</v>
      </c>
      <c r="S143" s="379">
        <f t="shared" si="55"/>
        <v>12.209644503958559</v>
      </c>
      <c r="T143" s="379">
        <f t="shared" si="55"/>
        <v>12.272215995902574</v>
      </c>
      <c r="U143" s="379">
        <f t="shared" si="55"/>
        <v>12.294245955914334</v>
      </c>
      <c r="V143" s="379">
        <f t="shared" si="55"/>
        <v>12.324886764028602</v>
      </c>
      <c r="W143" s="379">
        <f t="shared" si="55"/>
        <v>12.365609916161679</v>
      </c>
      <c r="X143" s="379">
        <f t="shared" si="55"/>
        <v>12.416078287140035</v>
      </c>
      <c r="Y143" s="379">
        <f t="shared" si="55"/>
        <v>12.475886319127538</v>
      </c>
      <c r="Z143" s="379">
        <f t="shared" si="55"/>
        <v>12.546624891689829</v>
      </c>
      <c r="AA143" s="379">
        <f t="shared" si="55"/>
        <v>12.630049104969221</v>
      </c>
      <c r="AB143" s="379">
        <f t="shared" si="55"/>
        <v>12.724788124429214</v>
      </c>
      <c r="AC143" s="379">
        <f t="shared" si="55"/>
        <v>13.064811125752049</v>
      </c>
      <c r="AD143" s="379">
        <f t="shared" si="55"/>
        <v>13.482081977451422</v>
      </c>
      <c r="AE143" s="379">
        <f t="shared" si="55"/>
        <v>13.914646754328285</v>
      </c>
      <c r="AF143" s="379">
        <f t="shared" si="55"/>
        <v>14.368222657255741</v>
      </c>
      <c r="AG143" s="379">
        <f t="shared" si="55"/>
        <v>14.845350794177683</v>
      </c>
    </row>
    <row r="144" spans="1:34">
      <c r="A144" s="300" t="s">
        <v>322</v>
      </c>
      <c r="B144" s="300" t="s">
        <v>300</v>
      </c>
      <c r="C144" s="379">
        <f t="shared" ref="C144:AG144" si="56">(C137+C138+C139+C140)/($C$22*$C$21)</f>
        <v>32.896303695785008</v>
      </c>
      <c r="D144" s="379">
        <f t="shared" si="56"/>
        <v>33.533002948628479</v>
      </c>
      <c r="E144" s="379">
        <f t="shared" si="56"/>
        <v>34.203758220150867</v>
      </c>
      <c r="F144" s="379">
        <f t="shared" si="56"/>
        <v>34.844718573694713</v>
      </c>
      <c r="G144" s="379">
        <f t="shared" si="56"/>
        <v>35.538186150642822</v>
      </c>
      <c r="H144" s="379">
        <f t="shared" si="56"/>
        <v>36.329581213870036</v>
      </c>
      <c r="I144" s="379">
        <f t="shared" si="56"/>
        <v>37.129145661139972</v>
      </c>
      <c r="J144" s="379">
        <f t="shared" si="56"/>
        <v>38.04217126401457</v>
      </c>
      <c r="K144" s="379">
        <f t="shared" si="56"/>
        <v>38.99037530441872</v>
      </c>
      <c r="L144" s="379">
        <f t="shared" si="56"/>
        <v>39.990143184341392</v>
      </c>
      <c r="M144" s="379">
        <f t="shared" si="56"/>
        <v>41.026636534974664</v>
      </c>
      <c r="N144" s="379">
        <f t="shared" si="56"/>
        <v>42.115698984355852</v>
      </c>
      <c r="O144" s="379">
        <f t="shared" si="56"/>
        <v>43.258321489836106</v>
      </c>
      <c r="P144" s="379">
        <f t="shared" si="56"/>
        <v>44.454631522713846</v>
      </c>
      <c r="Q144" s="379">
        <f t="shared" si="56"/>
        <v>45.705679916246211</v>
      </c>
      <c r="R144" s="379">
        <f t="shared" si="56"/>
        <v>47.012549188319689</v>
      </c>
      <c r="S144" s="379">
        <f t="shared" si="56"/>
        <v>48.383151478418377</v>
      </c>
      <c r="T144" s="379">
        <f t="shared" si="56"/>
        <v>49.860183415222956</v>
      </c>
      <c r="U144" s="379">
        <f t="shared" si="56"/>
        <v>51.393664419633943</v>
      </c>
      <c r="V144" s="379">
        <f t="shared" si="56"/>
        <v>53.000316951133819</v>
      </c>
      <c r="W144" s="379">
        <f t="shared" si="56"/>
        <v>54.66594891031577</v>
      </c>
      <c r="X144" s="379">
        <f t="shared" si="56"/>
        <v>56.406169432739716</v>
      </c>
      <c r="Y144" s="379">
        <f t="shared" si="56"/>
        <v>58.207759505006294</v>
      </c>
      <c r="Z144" s="379">
        <f t="shared" si="56"/>
        <v>60.086411691175321</v>
      </c>
      <c r="AA144" s="379">
        <f t="shared" si="56"/>
        <v>62.043874686322908</v>
      </c>
      <c r="AB144" s="379">
        <f t="shared" si="56"/>
        <v>64.080752699845888</v>
      </c>
      <c r="AC144" s="379">
        <f t="shared" si="56"/>
        <v>66.292027529047189</v>
      </c>
      <c r="AD144" s="379">
        <f t="shared" si="56"/>
        <v>68.585856893866691</v>
      </c>
      <c r="AE144" s="379">
        <f t="shared" si="56"/>
        <v>70.978179249248896</v>
      </c>
      <c r="AF144" s="379">
        <f t="shared" si="56"/>
        <v>73.456117784404555</v>
      </c>
      <c r="AG144" s="379">
        <f t="shared" si="56"/>
        <v>76.036018284142116</v>
      </c>
    </row>
    <row r="145" spans="1:34">
      <c r="A145" s="300" t="s">
        <v>310</v>
      </c>
      <c r="B145" s="300" t="s">
        <v>300</v>
      </c>
      <c r="C145" s="379">
        <f t="shared" ref="C145:AG145" si="57">C133/($C$22*$C$21*7)</f>
        <v>2.3501275510204076</v>
      </c>
      <c r="D145" s="379">
        <f t="shared" si="57"/>
        <v>2.3416241496598635</v>
      </c>
      <c r="E145" s="379">
        <f t="shared" si="57"/>
        <v>2.3350340136054415</v>
      </c>
      <c r="F145" s="379">
        <f t="shared" si="57"/>
        <v>2.2844387755102038</v>
      </c>
      <c r="G145" s="379">
        <f t="shared" si="57"/>
        <v>2.2376700680272106</v>
      </c>
      <c r="H145" s="379">
        <f t="shared" si="57"/>
        <v>2.2374574829931966</v>
      </c>
      <c r="I145" s="379">
        <f t="shared" si="57"/>
        <v>2.203869047619047</v>
      </c>
      <c r="J145" s="379">
        <f t="shared" si="57"/>
        <v>2.2172619047619042</v>
      </c>
      <c r="K145" s="379">
        <f t="shared" si="57"/>
        <v>2.2319302721088432</v>
      </c>
      <c r="L145" s="379">
        <f t="shared" si="57"/>
        <v>2.2485119047619042</v>
      </c>
      <c r="M145" s="379">
        <f t="shared" si="57"/>
        <v>2.2665816326530606</v>
      </c>
      <c r="N145" s="379">
        <f t="shared" si="57"/>
        <v>4.5727040816326534</v>
      </c>
      <c r="O145" s="379">
        <f t="shared" si="57"/>
        <v>4.6160714285714288</v>
      </c>
      <c r="P145" s="379">
        <f t="shared" si="57"/>
        <v>4.6624149659863949</v>
      </c>
      <c r="Q145" s="379">
        <f t="shared" si="57"/>
        <v>4.712159863945578</v>
      </c>
      <c r="R145" s="379">
        <f t="shared" si="57"/>
        <v>4.7657312925170068</v>
      </c>
      <c r="S145" s="379">
        <f t="shared" si="57"/>
        <v>4.7827380952380949</v>
      </c>
      <c r="T145" s="379">
        <f t="shared" si="57"/>
        <v>4.875</v>
      </c>
      <c r="U145" s="379">
        <f t="shared" si="57"/>
        <v>4.9698129251700678</v>
      </c>
      <c r="V145" s="379">
        <f t="shared" si="57"/>
        <v>5.0684523809523814</v>
      </c>
      <c r="W145" s="379">
        <f t="shared" si="57"/>
        <v>5.1704931972789119</v>
      </c>
      <c r="X145" s="379">
        <f t="shared" si="57"/>
        <v>6.5943877551020407</v>
      </c>
      <c r="Y145" s="379">
        <f t="shared" si="57"/>
        <v>6.7304421768707483</v>
      </c>
      <c r="Z145" s="379">
        <f t="shared" si="57"/>
        <v>6.870748299319728</v>
      </c>
      <c r="AA145" s="379">
        <f t="shared" si="57"/>
        <v>7.0163690476190474</v>
      </c>
      <c r="AB145" s="379">
        <f t="shared" si="57"/>
        <v>7.1662414965986398</v>
      </c>
      <c r="AC145" s="379">
        <f t="shared" si="57"/>
        <v>7.3469387755102042</v>
      </c>
      <c r="AD145" s="379">
        <f t="shared" si="57"/>
        <v>7.5329506802721085</v>
      </c>
      <c r="AE145" s="379">
        <f t="shared" si="57"/>
        <v>7.7237457482993195</v>
      </c>
      <c r="AF145" s="379">
        <f t="shared" si="57"/>
        <v>7.9203869047619051</v>
      </c>
      <c r="AG145" s="379">
        <f t="shared" si="57"/>
        <v>8.1228741496598644</v>
      </c>
    </row>
    <row r="146" spans="1:34" s="352" customFormat="1">
      <c r="A146" s="380" t="s">
        <v>323</v>
      </c>
      <c r="B146" s="352" t="s">
        <v>300</v>
      </c>
      <c r="C146" s="381">
        <f t="shared" ref="C146:AG146" si="58">SUM(C142:C144)-C145</f>
        <v>83.294787021148849</v>
      </c>
      <c r="D146" s="381">
        <f t="shared" si="58"/>
        <v>84.019562451602027</v>
      </c>
      <c r="E146" s="381">
        <f t="shared" si="58"/>
        <v>84.684386143889398</v>
      </c>
      <c r="F146" s="381">
        <f t="shared" si="58"/>
        <v>84.593176007069758</v>
      </c>
      <c r="G146" s="381">
        <f t="shared" si="58"/>
        <v>84.463244640132402</v>
      </c>
      <c r="H146" s="381">
        <f t="shared" si="58"/>
        <v>85.375562804758772</v>
      </c>
      <c r="I146" s="381">
        <f t="shared" si="58"/>
        <v>83.446729472201696</v>
      </c>
      <c r="J146" s="381">
        <f t="shared" si="58"/>
        <v>84.185724897501615</v>
      </c>
      <c r="K146" s="381">
        <f t="shared" si="58"/>
        <v>84.729908733202095</v>
      </c>
      <c r="L146" s="381">
        <f t="shared" si="58"/>
        <v>85.449351352652954</v>
      </c>
      <c r="M146" s="381">
        <f t="shared" si="58"/>
        <v>86.336435566862335</v>
      </c>
      <c r="N146" s="381">
        <f t="shared" si="58"/>
        <v>85.281736178224435</v>
      </c>
      <c r="O146" s="381">
        <f t="shared" si="58"/>
        <v>86.581462605650884</v>
      </c>
      <c r="P146" s="381">
        <f t="shared" si="58"/>
        <v>87.918177226064486</v>
      </c>
      <c r="Q146" s="381">
        <f t="shared" si="58"/>
        <v>89.385661464517042</v>
      </c>
      <c r="R146" s="381">
        <f t="shared" si="58"/>
        <v>90.999082726680072</v>
      </c>
      <c r="S146" s="381">
        <f t="shared" si="58"/>
        <v>92.489453886465412</v>
      </c>
      <c r="T146" s="381">
        <f t="shared" si="58"/>
        <v>94.644363099300335</v>
      </c>
      <c r="U146" s="381">
        <f t="shared" si="58"/>
        <v>96.832192910963897</v>
      </c>
      <c r="V146" s="381">
        <f t="shared" si="58"/>
        <v>99.12732469255053</v>
      </c>
      <c r="W146" s="381">
        <f t="shared" si="58"/>
        <v>101.51420233004399</v>
      </c>
      <c r="X146" s="381">
        <f t="shared" si="58"/>
        <v>102.68638477228453</v>
      </c>
      <c r="Y146" s="381">
        <f t="shared" si="58"/>
        <v>105.2464626867752</v>
      </c>
      <c r="Z146" s="381">
        <f t="shared" si="58"/>
        <v>107.91636699981299</v>
      </c>
      <c r="AA146" s="381">
        <f t="shared" si="58"/>
        <v>110.70505994263382</v>
      </c>
      <c r="AB146" s="381">
        <f t="shared" si="58"/>
        <v>113.60631645408054</v>
      </c>
      <c r="AC146" s="381">
        <f t="shared" si="58"/>
        <v>117.08554840757515</v>
      </c>
      <c r="AD146" s="381">
        <f t="shared" si="58"/>
        <v>120.75187492715187</v>
      </c>
      <c r="AE146" s="381">
        <f t="shared" si="58"/>
        <v>124.55655132454741</v>
      </c>
      <c r="AF146" s="381">
        <f t="shared" si="58"/>
        <v>128.4978764258631</v>
      </c>
      <c r="AG146" s="381">
        <f t="shared" si="58"/>
        <v>132.59473712385125</v>
      </c>
    </row>
    <row r="147" spans="1:34" s="344" customFormat="1">
      <c r="A147" s="342" t="s">
        <v>331</v>
      </c>
      <c r="B147" s="342"/>
      <c r="H147" s="385">
        <f>H149/H63</f>
        <v>2.0891593736377962</v>
      </c>
      <c r="AB147" s="385">
        <f>AB149/AB63</f>
        <v>1.3513664042774394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59">D148+1</f>
        <v>2027</v>
      </c>
      <c r="F148" s="360">
        <f t="shared" si="59"/>
        <v>2028</v>
      </c>
      <c r="G148" s="360">
        <f t="shared" si="59"/>
        <v>2029</v>
      </c>
      <c r="H148" s="360">
        <f>G148+1</f>
        <v>2030</v>
      </c>
      <c r="I148" s="360">
        <f>H148+1</f>
        <v>2031</v>
      </c>
      <c r="J148" s="360">
        <f t="shared" si="59"/>
        <v>2032</v>
      </c>
      <c r="K148" s="360">
        <f t="shared" si="59"/>
        <v>2033</v>
      </c>
      <c r="L148" s="360">
        <f t="shared" si="59"/>
        <v>2034</v>
      </c>
      <c r="M148" s="360">
        <f t="shared" si="59"/>
        <v>2035</v>
      </c>
      <c r="N148" s="360">
        <f t="shared" si="59"/>
        <v>2036</v>
      </c>
      <c r="O148" s="360">
        <f t="shared" si="59"/>
        <v>2037</v>
      </c>
      <c r="P148" s="360">
        <f t="shared" si="59"/>
        <v>2038</v>
      </c>
      <c r="Q148" s="360">
        <f t="shared" si="59"/>
        <v>2039</v>
      </c>
      <c r="R148" s="360">
        <f t="shared" si="59"/>
        <v>2040</v>
      </c>
      <c r="S148" s="360">
        <f t="shared" si="59"/>
        <v>2041</v>
      </c>
      <c r="T148" s="360">
        <f t="shared" si="59"/>
        <v>2042</v>
      </c>
      <c r="U148" s="360">
        <f t="shared" si="59"/>
        <v>2043</v>
      </c>
      <c r="V148" s="360">
        <f t="shared" si="59"/>
        <v>2044</v>
      </c>
      <c r="W148" s="360">
        <f t="shared" si="59"/>
        <v>2045</v>
      </c>
      <c r="X148" s="360">
        <f t="shared" si="59"/>
        <v>2046</v>
      </c>
      <c r="Y148" s="360">
        <f t="shared" si="59"/>
        <v>2047</v>
      </c>
      <c r="Z148" s="360">
        <f t="shared" si="59"/>
        <v>2048</v>
      </c>
      <c r="AA148" s="360">
        <f t="shared" si="59"/>
        <v>2049</v>
      </c>
      <c r="AB148" s="360">
        <f t="shared" si="59"/>
        <v>2050</v>
      </c>
      <c r="AC148" s="360">
        <f t="shared" si="59"/>
        <v>2051</v>
      </c>
      <c r="AD148" s="360">
        <f t="shared" si="59"/>
        <v>2052</v>
      </c>
      <c r="AE148" s="360">
        <f t="shared" si="59"/>
        <v>2053</v>
      </c>
      <c r="AF148" s="360">
        <f t="shared" si="59"/>
        <v>2054</v>
      </c>
      <c r="AG148" s="360">
        <f t="shared" si="59"/>
        <v>2055</v>
      </c>
    </row>
    <row r="149" spans="1:34">
      <c r="A149" s="368" t="s">
        <v>332</v>
      </c>
      <c r="B149" s="300" t="s">
        <v>309</v>
      </c>
      <c r="C149" s="376">
        <f>ROUND(('Changing with year'!C148)/1000,0)*1000</f>
        <v>13011000</v>
      </c>
      <c r="D149" s="376">
        <f>ROUND(('Changing with year'!D148)/1000,0)*1000</f>
        <v>12831000</v>
      </c>
      <c r="E149" s="376">
        <f>ROUND(('Changing with year'!E148)/1000,0)*1000</f>
        <v>12666000</v>
      </c>
      <c r="F149" s="376">
        <f>ROUND(('Changing with year'!F148)/1000,0)*1000</f>
        <v>12516000</v>
      </c>
      <c r="G149" s="376">
        <f>ROUND(('Changing with year'!G148)/1000,0)*1000</f>
        <v>12381000</v>
      </c>
      <c r="H149" s="376">
        <f>ROUND(('Changing with year'!H148)/1000,0)*1000</f>
        <v>12461000</v>
      </c>
      <c r="I149" s="376">
        <f>ROUND(('Changing with year'!I148)/1000,0)*1000</f>
        <v>12423000</v>
      </c>
      <c r="J149" s="376">
        <f>ROUND(('Changing with year'!J148)/1000,0)*1000</f>
        <v>12401000</v>
      </c>
      <c r="K149" s="376">
        <f>ROUND(('Changing with year'!K148)/1000,0)*1000</f>
        <v>12391000</v>
      </c>
      <c r="L149" s="376">
        <f>ROUND(('Changing with year'!L148)/1000,0)*1000</f>
        <v>12391000</v>
      </c>
      <c r="M149" s="376">
        <f>ROUND(('Changing with year'!M148)/1000,0)*1000</f>
        <v>12402000</v>
      </c>
      <c r="N149" s="376">
        <f>ROUND(('Changing with year'!N148)/1000,0)*1000</f>
        <v>12424000</v>
      </c>
      <c r="O149" s="376">
        <f>ROUND(('Changing with year'!O148)/1000,0)*1000</f>
        <v>12456000</v>
      </c>
      <c r="P149" s="376">
        <f>ROUND(('Changing with year'!P148)/1000,0)*1000</f>
        <v>12500000</v>
      </c>
      <c r="Q149" s="376">
        <f>ROUND(('Changing with year'!Q148)/1000,0)*1000</f>
        <v>12554000</v>
      </c>
      <c r="R149" s="376">
        <f>ROUND(('Changing with year'!R148)/1000,0)*1000</f>
        <v>12620000</v>
      </c>
      <c r="S149" s="376">
        <f>ROUND(('Changing with year'!S148)/1000,0)*1000</f>
        <v>12630000</v>
      </c>
      <c r="T149" s="376">
        <f>ROUND(('Changing with year'!T148)/1000,0)*1000</f>
        <v>12828000</v>
      </c>
      <c r="U149" s="376">
        <f>ROUND(('Changing with year'!U148)/1000,0)*1000</f>
        <v>13033000</v>
      </c>
      <c r="V149" s="376">
        <f>ROUND(('Changing with year'!V148)/1000,0)*1000</f>
        <v>13248000</v>
      </c>
      <c r="W149" s="376">
        <f>ROUND(('Changing with year'!W148)/1000,0)*1000</f>
        <v>13471000</v>
      </c>
      <c r="X149" s="376">
        <f>ROUND(('Changing with year'!X148)/1000,0)*1000</f>
        <v>13532000</v>
      </c>
      <c r="Y149" s="376">
        <f>ROUND(('Changing with year'!Y148)/1000,0)*1000</f>
        <v>13774000</v>
      </c>
      <c r="Z149" s="376">
        <f>ROUND(('Changing with year'!Z148)/1000,0)*1000</f>
        <v>14026000</v>
      </c>
      <c r="AA149" s="376">
        <f>ROUND(('Changing with year'!AA148)/1000,0)*1000</f>
        <v>14287000</v>
      </c>
      <c r="AB149" s="376">
        <f>ROUND(('Changing with year'!AB148)/1000,0)*1000</f>
        <v>14558000</v>
      </c>
      <c r="AC149" s="376">
        <f>ROUND(('Changing with year'!AC148)/1000,0)*1000</f>
        <v>14740000</v>
      </c>
      <c r="AD149" s="376">
        <f>ROUND(('Changing with year'!AD148)/1000,0)*1000</f>
        <v>15099000</v>
      </c>
      <c r="AE149" s="376">
        <f>ROUND(('Changing with year'!AE148)/1000,0)*1000</f>
        <v>15468000</v>
      </c>
      <c r="AF149" s="376">
        <f>ROUND(('Changing with year'!AF148)/1000,0)*1000</f>
        <v>15847000</v>
      </c>
      <c r="AG149" s="376">
        <f>ROUND(('Changing with year'!AG148)/1000,0)*1000</f>
        <v>16237000</v>
      </c>
    </row>
    <row r="150" spans="1:34">
      <c r="A150" s="368" t="s">
        <v>310</v>
      </c>
      <c r="B150" s="300" t="s">
        <v>309</v>
      </c>
      <c r="C150" s="376">
        <f>(C149*'No change with year'!$AN$12)</f>
        <v>650549.99999999988</v>
      </c>
      <c r="D150" s="376">
        <f>(D149*'No change with year'!$AN$12)</f>
        <v>641549.99999999988</v>
      </c>
      <c r="E150" s="376">
        <f>(E149*'No change with year'!$AN$12)</f>
        <v>633299.99999999988</v>
      </c>
      <c r="F150" s="376">
        <f>(F149*'No change with year'!$AN$12)</f>
        <v>625799.99999999988</v>
      </c>
      <c r="G150" s="376">
        <f>(G149*'No change with year'!$AN$12)</f>
        <v>619049.99999999988</v>
      </c>
      <c r="H150" s="376">
        <f>(H149*'No change with year'!$AN$12)</f>
        <v>623049.99999999988</v>
      </c>
      <c r="I150" s="376">
        <f>(I149*'No change with year'!$AN$12)</f>
        <v>621149.99999999988</v>
      </c>
      <c r="J150" s="376">
        <f>(J149*'No change with year'!$AN$12)</f>
        <v>620049.99999999988</v>
      </c>
      <c r="K150" s="376">
        <f>(K149*'No change with year'!$AN$12)</f>
        <v>619549.99999999988</v>
      </c>
      <c r="L150" s="376">
        <f>(L149*'No change with year'!$AN$12)</f>
        <v>619549.99999999988</v>
      </c>
      <c r="M150" s="376">
        <f>(M149*'No change with year'!$AN$12)</f>
        <v>620099.99999999988</v>
      </c>
      <c r="N150" s="376">
        <f>(N149*'No change with year'!$AO$12)</f>
        <v>1863600</v>
      </c>
      <c r="O150" s="376">
        <f>(O149*'No change with year'!$AO$12)</f>
        <v>1868400</v>
      </c>
      <c r="P150" s="376">
        <f>(P149*'No change with year'!$AO$12)</f>
        <v>1875000</v>
      </c>
      <c r="Q150" s="376">
        <f>(Q149*'No change with year'!$AO$12)</f>
        <v>1883100</v>
      </c>
      <c r="R150" s="376">
        <f>(R149*'No change with year'!$AO$12)</f>
        <v>1893000</v>
      </c>
      <c r="S150" s="376">
        <f>(S149*'No change with year'!$AO$12)</f>
        <v>1894500</v>
      </c>
      <c r="T150" s="376">
        <f>(T149*'No change with year'!$AO$12)</f>
        <v>1924200</v>
      </c>
      <c r="U150" s="376">
        <f>(U149*'No change with year'!$AO$12)</f>
        <v>1954950</v>
      </c>
      <c r="V150" s="376">
        <f>(V149*'No change with year'!$AO$12)</f>
        <v>1987200</v>
      </c>
      <c r="W150" s="376">
        <f>(W149*'No change with year'!$AO$12)</f>
        <v>2020650</v>
      </c>
      <c r="X150" s="376">
        <f>(X149*'No change with year'!$AP$12)</f>
        <v>2706400</v>
      </c>
      <c r="Y150" s="376">
        <f>(Y149*'No change with year'!$AP$12)</f>
        <v>2754800</v>
      </c>
      <c r="Z150" s="376">
        <f>(Z149*'No change with year'!$AP$12)</f>
        <v>2805199.9999999995</v>
      </c>
      <c r="AA150" s="376">
        <f>(AA149*'No change with year'!$AP$12)</f>
        <v>2857399.9999999995</v>
      </c>
      <c r="AB150" s="376">
        <f>(AB149*'No change with year'!$AP$12)</f>
        <v>2911599.9999999995</v>
      </c>
      <c r="AC150" s="376">
        <f>(AC149*'No change with year'!$AP$12)</f>
        <v>2947999.9999999995</v>
      </c>
      <c r="AD150" s="376">
        <f>(AD149*'No change with year'!$AP$12)</f>
        <v>3019799.9999999995</v>
      </c>
      <c r="AE150" s="376">
        <f>(AE149*'No change with year'!$AP$12)</f>
        <v>3093599.9999999995</v>
      </c>
      <c r="AF150" s="376">
        <f>(AF149*'No change with year'!$AP$12)</f>
        <v>3169399.9999999995</v>
      </c>
      <c r="AG150" s="376">
        <f>(AG149*'No change with year'!$AP$12)</f>
        <v>3247399.9999999995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2850940.8618129967</v>
      </c>
      <c r="D152" s="376">
        <f t="shared" ref="D152:AG152" si="60">-PMT($C$28,$C$27,D149)</f>
        <v>2811499.6693507461</v>
      </c>
      <c r="E152" s="376">
        <f t="shared" si="60"/>
        <v>2775345.2429270167</v>
      </c>
      <c r="F152" s="376">
        <f t="shared" si="60"/>
        <v>2742477.582541808</v>
      </c>
      <c r="G152" s="376">
        <f t="shared" si="60"/>
        <v>2712896.6881951205</v>
      </c>
      <c r="H152" s="376">
        <f t="shared" si="60"/>
        <v>2730426.1070672316</v>
      </c>
      <c r="I152" s="376">
        <f t="shared" si="60"/>
        <v>2722099.633102979</v>
      </c>
      <c r="J152" s="376">
        <f t="shared" si="60"/>
        <v>2717279.0429131482</v>
      </c>
      <c r="K152" s="376">
        <f t="shared" si="60"/>
        <v>2715087.8655541344</v>
      </c>
      <c r="L152" s="376">
        <f t="shared" si="60"/>
        <v>2715087.8655541344</v>
      </c>
      <c r="M152" s="376">
        <f t="shared" si="60"/>
        <v>2717498.1606490496</v>
      </c>
      <c r="N152" s="376">
        <f t="shared" si="60"/>
        <v>2722318.7508388804</v>
      </c>
      <c r="O152" s="376">
        <f t="shared" si="60"/>
        <v>2729330.5183877246</v>
      </c>
      <c r="P152" s="376">
        <f t="shared" si="60"/>
        <v>2738971.6987673859</v>
      </c>
      <c r="Q152" s="376">
        <f t="shared" si="60"/>
        <v>2750804.056506061</v>
      </c>
      <c r="R152" s="376">
        <f t="shared" si="60"/>
        <v>2765265.8270755527</v>
      </c>
      <c r="S152" s="376">
        <f t="shared" si="60"/>
        <v>2767457.0044345669</v>
      </c>
      <c r="T152" s="376">
        <f t="shared" si="60"/>
        <v>2810842.3161430419</v>
      </c>
      <c r="U152" s="376">
        <f t="shared" si="60"/>
        <v>2855761.4520028271</v>
      </c>
      <c r="V152" s="376">
        <f t="shared" si="60"/>
        <v>2902871.765221626</v>
      </c>
      <c r="W152" s="376">
        <f t="shared" si="60"/>
        <v>2951735.0203276365</v>
      </c>
      <c r="X152" s="376">
        <f t="shared" si="60"/>
        <v>2965101.2022176213</v>
      </c>
      <c r="Y152" s="376">
        <f t="shared" si="60"/>
        <v>3018127.694305758</v>
      </c>
      <c r="Z152" s="376">
        <f t="shared" si="60"/>
        <v>3073345.3637529085</v>
      </c>
      <c r="AA152" s="376">
        <f t="shared" si="60"/>
        <v>3130535.0928231711</v>
      </c>
      <c r="AB152" s="376">
        <f t="shared" si="60"/>
        <v>3189915.9992524483</v>
      </c>
      <c r="AC152" s="376">
        <f t="shared" si="60"/>
        <v>3229795.4271865012</v>
      </c>
      <c r="AD152" s="376">
        <f t="shared" si="60"/>
        <v>3308458.6943751005</v>
      </c>
      <c r="AE152" s="376">
        <f t="shared" si="60"/>
        <v>3389313.1389227142</v>
      </c>
      <c r="AF152" s="376">
        <f t="shared" si="60"/>
        <v>3472358.7608293411</v>
      </c>
      <c r="AG152" s="376">
        <f t="shared" si="60"/>
        <v>3557814.6778308838</v>
      </c>
    </row>
    <row r="153" spans="1:34">
      <c r="A153" s="300" t="s">
        <v>333</v>
      </c>
      <c r="B153" s="300" t="s">
        <v>313</v>
      </c>
      <c r="C153" s="376">
        <f t="shared" ref="C153:AG153" si="61">$H$38*C50</f>
        <v>4040400</v>
      </c>
      <c r="D153" s="376">
        <f t="shared" si="61"/>
        <v>4002880.0000000005</v>
      </c>
      <c r="E153" s="376">
        <f t="shared" si="61"/>
        <v>3969103.6</v>
      </c>
      <c r="F153" s="376">
        <f t="shared" si="61"/>
        <v>3938987.3320000004</v>
      </c>
      <c r="G153" s="376">
        <f t="shared" si="61"/>
        <v>3912451.7496400001</v>
      </c>
      <c r="H153" s="376">
        <f t="shared" si="61"/>
        <v>3889421.3002708009</v>
      </c>
      <c r="I153" s="376">
        <f t="shared" si="61"/>
        <v>3657780.4057142879</v>
      </c>
      <c r="J153" s="376">
        <f t="shared" si="61"/>
        <v>3535868.2371854009</v>
      </c>
      <c r="K153" s="376">
        <f t="shared" si="61"/>
        <v>3418010.9406457432</v>
      </c>
      <c r="L153" s="376">
        <f t="shared" si="61"/>
        <v>3304055.4850141099</v>
      </c>
      <c r="M153" s="376">
        <f t="shared" si="61"/>
        <v>3193855.1871070047</v>
      </c>
      <c r="N153" s="376">
        <f t="shared" si="61"/>
        <v>3087269.4312979588</v>
      </c>
      <c r="O153" s="376">
        <f t="shared" si="61"/>
        <v>2984163.4020554014</v>
      </c>
      <c r="P153" s="376">
        <f t="shared" si="61"/>
        <v>2884407.8287525824</v>
      </c>
      <c r="Q153" s="376">
        <f t="shared" si="61"/>
        <v>2787878.7421720438</v>
      </c>
      <c r="R153" s="376">
        <f t="shared" si="61"/>
        <v>2694457.2421547859</v>
      </c>
      <c r="S153" s="376">
        <f t="shared" si="61"/>
        <v>2487747.4055679622</v>
      </c>
      <c r="T153" s="376">
        <f t="shared" si="61"/>
        <v>2417109.3353094258</v>
      </c>
      <c r="U153" s="376">
        <f t="shared" si="61"/>
        <v>2348985.0465676417</v>
      </c>
      <c r="V153" s="376">
        <f t="shared" si="61"/>
        <v>2283265.8903566133</v>
      </c>
      <c r="W153" s="376">
        <f t="shared" si="61"/>
        <v>2219848.2739726491</v>
      </c>
      <c r="X153" s="376">
        <f t="shared" si="61"/>
        <v>2158633.4181148997</v>
      </c>
      <c r="Y153" s="376">
        <f t="shared" si="61"/>
        <v>2099527.1258653337</v>
      </c>
      <c r="Z153" s="376">
        <f t="shared" si="61"/>
        <v>2042439.562943578</v>
      </c>
      <c r="AA153" s="376">
        <f t="shared" si="61"/>
        <v>1987285.0486810314</v>
      </c>
      <c r="AB153" s="376">
        <f t="shared" si="61"/>
        <v>1933981.857186198</v>
      </c>
      <c r="AC153" s="376">
        <f t="shared" si="61"/>
        <v>1868998.3658823012</v>
      </c>
      <c r="AD153" s="376">
        <f t="shared" si="61"/>
        <v>1875439.7513040663</v>
      </c>
      <c r="AE153" s="376">
        <f t="shared" si="61"/>
        <v>1884069.4706161169</v>
      </c>
      <c r="AF153" s="376">
        <f t="shared" si="61"/>
        <v>1894852.3647916047</v>
      </c>
      <c r="AG153" s="376">
        <f t="shared" si="61"/>
        <v>1907756.6592449413</v>
      </c>
    </row>
    <row r="154" spans="1:34">
      <c r="A154" s="300" t="s">
        <v>317</v>
      </c>
      <c r="B154" s="300" t="s">
        <v>313</v>
      </c>
      <c r="C154" s="376">
        <f t="shared" ref="C154:AG154" si="62">$C$22*$C$21*C59</f>
        <v>896313.60000000009</v>
      </c>
      <c r="D154" s="376">
        <f t="shared" si="62"/>
        <v>908238.24000000011</v>
      </c>
      <c r="E154" s="376">
        <f t="shared" si="62"/>
        <v>921238.06319999986</v>
      </c>
      <c r="F154" s="376">
        <f t="shared" si="62"/>
        <v>935341.12198800023</v>
      </c>
      <c r="G154" s="376">
        <f t="shared" si="62"/>
        <v>950576.96472102019</v>
      </c>
      <c r="H154" s="376">
        <f t="shared" si="62"/>
        <v>966976.68621702341</v>
      </c>
      <c r="I154" s="376">
        <f t="shared" si="62"/>
        <v>986194.73228215065</v>
      </c>
      <c r="J154" s="376">
        <f t="shared" si="62"/>
        <v>1006570.7206175538</v>
      </c>
      <c r="K154" s="376">
        <f t="shared" si="62"/>
        <v>1028143.1845054909</v>
      </c>
      <c r="L154" s="376">
        <f t="shared" si="62"/>
        <v>1050952.3542476809</v>
      </c>
      <c r="M154" s="376">
        <f t="shared" si="62"/>
        <v>1075040.221932319</v>
      </c>
      <c r="N154" s="376">
        <f t="shared" si="62"/>
        <v>1100450.6088540482</v>
      </c>
      <c r="O154" s="376">
        <f t="shared" si="62"/>
        <v>1127229.2356917576</v>
      </c>
      <c r="P154" s="376">
        <f t="shared" si="62"/>
        <v>1155423.7955533047</v>
      </c>
      <c r="Q154" s="376">
        <f t="shared" si="62"/>
        <v>1185084.0300006359</v>
      </c>
      <c r="R154" s="376">
        <f t="shared" si="62"/>
        <v>1216261.8081733563</v>
      </c>
      <c r="S154" s="376">
        <f t="shared" si="62"/>
        <v>1251661.3876946585</v>
      </c>
      <c r="T154" s="376">
        <f t="shared" si="62"/>
        <v>1288609.4593248684</v>
      </c>
      <c r="U154" s="376">
        <f t="shared" si="62"/>
        <v>1327166.6376590631</v>
      </c>
      <c r="V154" s="376">
        <f t="shared" si="62"/>
        <v>1367395.9751270134</v>
      </c>
      <c r="W154" s="376">
        <f t="shared" si="62"/>
        <v>1409363.0593740661</v>
      </c>
      <c r="X154" s="376">
        <f t="shared" si="62"/>
        <v>1453136.1145385809</v>
      </c>
      <c r="Y154" s="376">
        <f t="shared" si="62"/>
        <v>1498786.1065817806</v>
      </c>
      <c r="Z154" s="376">
        <f t="shared" si="62"/>
        <v>1546386.852832092</v>
      </c>
      <c r="AA154" s="376">
        <f t="shared" si="62"/>
        <v>1596015.1359125455</v>
      </c>
      <c r="AB154" s="376">
        <f t="shared" si="62"/>
        <v>1647750.8222265455</v>
      </c>
      <c r="AC154" s="376">
        <f t="shared" si="62"/>
        <v>1706470.5331568408</v>
      </c>
      <c r="AD154" s="376">
        <f t="shared" si="62"/>
        <v>1767467.1293047611</v>
      </c>
      <c r="AE154" s="376">
        <f t="shared" si="62"/>
        <v>1830830.967046814</v>
      </c>
      <c r="AF154" s="376">
        <f t="shared" si="62"/>
        <v>1896656.0098242473</v>
      </c>
      <c r="AG154" s="376">
        <f t="shared" si="62"/>
        <v>1965039.9723537341</v>
      </c>
    </row>
    <row r="155" spans="1:34">
      <c r="A155" s="368" t="s">
        <v>318</v>
      </c>
      <c r="B155" s="300" t="s">
        <v>313</v>
      </c>
      <c r="C155" s="376">
        <f>'Changing with year'!C304</f>
        <v>560000</v>
      </c>
      <c r="D155" s="376">
        <f>'Changing with year'!D304</f>
        <v>585000</v>
      </c>
      <c r="E155" s="376">
        <f>'Changing with year'!E304</f>
        <v>611000</v>
      </c>
      <c r="F155" s="376">
        <f>'Changing with year'!F304</f>
        <v>638000</v>
      </c>
      <c r="G155" s="376">
        <f>'Changing with year'!G304</f>
        <v>667000</v>
      </c>
      <c r="H155" s="376">
        <f>'Changing with year'!H304</f>
        <v>697000</v>
      </c>
      <c r="I155" s="376">
        <f>'Changing with year'!I304</f>
        <v>728000</v>
      </c>
      <c r="J155" s="376">
        <f>'Changing with year'!J304</f>
        <v>761000</v>
      </c>
      <c r="K155" s="376">
        <f>'Changing with year'!K304</f>
        <v>795000</v>
      </c>
      <c r="L155" s="376">
        <f>'Changing with year'!L304</f>
        <v>831000</v>
      </c>
      <c r="M155" s="376">
        <f>'Changing with year'!M304</f>
        <v>868000</v>
      </c>
      <c r="N155" s="376">
        <f>'Changing with year'!N304</f>
        <v>907000</v>
      </c>
      <c r="O155" s="376">
        <f>'Changing with year'!O304</f>
        <v>948000</v>
      </c>
      <c r="P155" s="376">
        <f>'Changing with year'!P304</f>
        <v>991000</v>
      </c>
      <c r="Q155" s="376">
        <f>'Changing with year'!Q304</f>
        <v>1036000</v>
      </c>
      <c r="R155" s="376">
        <f>'Changing with year'!R304</f>
        <v>1083000</v>
      </c>
      <c r="S155" s="376">
        <f>'Changing with year'!S304</f>
        <v>1132000</v>
      </c>
      <c r="T155" s="376">
        <f>'Changing with year'!T304</f>
        <v>1183000</v>
      </c>
      <c r="U155" s="376">
        <f>'Changing with year'!U304</f>
        <v>1236000</v>
      </c>
      <c r="V155" s="376">
        <f>'Changing with year'!V304</f>
        <v>1292000</v>
      </c>
      <c r="W155" s="376">
        <f>'Changing with year'!W304</f>
        <v>1350000</v>
      </c>
      <c r="X155" s="376">
        <f>'Changing with year'!X304</f>
        <v>1411000</v>
      </c>
      <c r="Y155" s="376">
        <f>'Changing with year'!Y304</f>
        <v>1474000</v>
      </c>
      <c r="Z155" s="376">
        <f>'Changing with year'!Z304</f>
        <v>1540000</v>
      </c>
      <c r="AA155" s="376">
        <f>'Changing with year'!AA304</f>
        <v>1609000</v>
      </c>
      <c r="AB155" s="376">
        <f>'Changing with year'!AB304</f>
        <v>1681000</v>
      </c>
      <c r="AC155" s="376">
        <f>'Changing with year'!AC304</f>
        <v>1757000</v>
      </c>
      <c r="AD155" s="376">
        <f>'Changing with year'!AD304</f>
        <v>1836000</v>
      </c>
      <c r="AE155" s="376">
        <f>'Changing with year'!AE304</f>
        <v>1919000</v>
      </c>
      <c r="AF155" s="376">
        <f>'Changing with year'!AF304</f>
        <v>2005000</v>
      </c>
      <c r="AG155" s="376">
        <f>'Changing with year'!AG304</f>
        <v>2095000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3">C61</f>
        <v>571200</v>
      </c>
      <c r="D156" s="376">
        <f t="shared" si="63"/>
        <v>576912</v>
      </c>
      <c r="E156" s="376">
        <f t="shared" si="63"/>
        <v>582681.12000000011</v>
      </c>
      <c r="F156" s="376">
        <f t="shared" si="63"/>
        <v>588507.93120000011</v>
      </c>
      <c r="G156" s="376">
        <f t="shared" si="63"/>
        <v>594393.01051200007</v>
      </c>
      <c r="H156" s="376">
        <f t="shared" si="63"/>
        <v>600336.94061712013</v>
      </c>
      <c r="I156" s="376">
        <f t="shared" si="63"/>
        <v>606340.31002329127</v>
      </c>
      <c r="J156" s="376">
        <f t="shared" si="63"/>
        <v>612403.71312352421</v>
      </c>
      <c r="K156" s="376">
        <f t="shared" si="63"/>
        <v>618527.75025475968</v>
      </c>
      <c r="L156" s="376">
        <f t="shared" si="63"/>
        <v>624713.02775730717</v>
      </c>
      <c r="M156" s="376">
        <f t="shared" si="63"/>
        <v>630960.1580348803</v>
      </c>
      <c r="N156" s="376">
        <f t="shared" si="63"/>
        <v>637269.75961522909</v>
      </c>
      <c r="O156" s="376">
        <f t="shared" si="63"/>
        <v>643642.45721138129</v>
      </c>
      <c r="P156" s="376">
        <f t="shared" si="63"/>
        <v>650078.88178349519</v>
      </c>
      <c r="Q156" s="376">
        <f t="shared" si="63"/>
        <v>656579.67060133012</v>
      </c>
      <c r="R156" s="376">
        <f t="shared" si="63"/>
        <v>663145.46730734338</v>
      </c>
      <c r="S156" s="376">
        <f t="shared" si="63"/>
        <v>669776.92198041675</v>
      </c>
      <c r="T156" s="376">
        <f t="shared" si="63"/>
        <v>676474.69120022096</v>
      </c>
      <c r="U156" s="376">
        <f t="shared" si="63"/>
        <v>683239.43811222329</v>
      </c>
      <c r="V156" s="376">
        <f t="shared" si="63"/>
        <v>690071.83249334537</v>
      </c>
      <c r="W156" s="376">
        <f t="shared" si="63"/>
        <v>696972.55081827892</v>
      </c>
      <c r="X156" s="376">
        <f t="shared" si="63"/>
        <v>703942.27632646158</v>
      </c>
      <c r="Y156" s="376">
        <f t="shared" si="63"/>
        <v>710981.69908972632</v>
      </c>
      <c r="Z156" s="376">
        <f t="shared" si="63"/>
        <v>718091.51608062361</v>
      </c>
      <c r="AA156" s="376">
        <f t="shared" si="63"/>
        <v>725272.43124142988</v>
      </c>
      <c r="AB156" s="376">
        <f t="shared" si="63"/>
        <v>732525.15555384418</v>
      </c>
      <c r="AC156" s="376">
        <f t="shared" si="63"/>
        <v>739850.40710938268</v>
      </c>
      <c r="AD156" s="376">
        <f t="shared" si="63"/>
        <v>747248.91118047654</v>
      </c>
      <c r="AE156" s="376">
        <f t="shared" si="63"/>
        <v>754721.40029228118</v>
      </c>
      <c r="AF156" s="376">
        <f t="shared" si="63"/>
        <v>762268.61429520405</v>
      </c>
      <c r="AG156" s="376">
        <f t="shared" si="63"/>
        <v>769891.300438156</v>
      </c>
    </row>
    <row r="157" spans="1:34">
      <c r="A157" s="300" t="s">
        <v>319</v>
      </c>
      <c r="B157" s="300" t="s">
        <v>313</v>
      </c>
      <c r="C157" s="376">
        <f t="shared" ref="C157:AG157" si="64">C149*$C$29</f>
        <v>260220</v>
      </c>
      <c r="D157" s="376">
        <f t="shared" si="64"/>
        <v>256620</v>
      </c>
      <c r="E157" s="376">
        <f t="shared" si="64"/>
        <v>253320</v>
      </c>
      <c r="F157" s="376">
        <f t="shared" si="64"/>
        <v>250320</v>
      </c>
      <c r="G157" s="376">
        <f t="shared" si="64"/>
        <v>247620</v>
      </c>
      <c r="H157" s="376">
        <f t="shared" si="64"/>
        <v>249220</v>
      </c>
      <c r="I157" s="376">
        <f t="shared" si="64"/>
        <v>248460</v>
      </c>
      <c r="J157" s="376">
        <f t="shared" si="64"/>
        <v>248020</v>
      </c>
      <c r="K157" s="376">
        <f t="shared" si="64"/>
        <v>247820</v>
      </c>
      <c r="L157" s="376">
        <f t="shared" si="64"/>
        <v>247820</v>
      </c>
      <c r="M157" s="376">
        <f t="shared" si="64"/>
        <v>248040</v>
      </c>
      <c r="N157" s="376">
        <f t="shared" si="64"/>
        <v>248480</v>
      </c>
      <c r="O157" s="376">
        <f t="shared" si="64"/>
        <v>249120</v>
      </c>
      <c r="P157" s="376">
        <f t="shared" si="64"/>
        <v>250000</v>
      </c>
      <c r="Q157" s="376">
        <f t="shared" si="64"/>
        <v>251080</v>
      </c>
      <c r="R157" s="376">
        <f t="shared" si="64"/>
        <v>252400</v>
      </c>
      <c r="S157" s="376">
        <f t="shared" si="64"/>
        <v>252600</v>
      </c>
      <c r="T157" s="376">
        <f t="shared" si="64"/>
        <v>256560</v>
      </c>
      <c r="U157" s="376">
        <f t="shared" si="64"/>
        <v>260660</v>
      </c>
      <c r="V157" s="376">
        <f t="shared" si="64"/>
        <v>264960</v>
      </c>
      <c r="W157" s="376">
        <f t="shared" si="64"/>
        <v>269420</v>
      </c>
      <c r="X157" s="376">
        <f t="shared" si="64"/>
        <v>270640</v>
      </c>
      <c r="Y157" s="376">
        <f t="shared" si="64"/>
        <v>275480</v>
      </c>
      <c r="Z157" s="376">
        <f t="shared" si="64"/>
        <v>280520</v>
      </c>
      <c r="AA157" s="376">
        <f t="shared" si="64"/>
        <v>285740</v>
      </c>
      <c r="AB157" s="376">
        <f t="shared" si="64"/>
        <v>291160</v>
      </c>
      <c r="AC157" s="376">
        <f t="shared" si="64"/>
        <v>294800</v>
      </c>
      <c r="AD157" s="376">
        <f t="shared" si="64"/>
        <v>301980</v>
      </c>
      <c r="AE157" s="376">
        <f t="shared" si="64"/>
        <v>309360</v>
      </c>
      <c r="AF157" s="376">
        <f t="shared" si="64"/>
        <v>316940</v>
      </c>
      <c r="AG157" s="376">
        <f t="shared" si="64"/>
        <v>324740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59" si="65">C152/($C$22*$C$21)</f>
        <v>42.424715205550548</v>
      </c>
      <c r="D159" s="379">
        <f t="shared" si="65"/>
        <v>41.837792698671819</v>
      </c>
      <c r="E159" s="379">
        <f t="shared" si="65"/>
        <v>41.299780400699653</v>
      </c>
      <c r="F159" s="379">
        <f t="shared" si="65"/>
        <v>40.810678311634049</v>
      </c>
      <c r="G159" s="379">
        <f t="shared" si="65"/>
        <v>40.370486431475008</v>
      </c>
      <c r="H159" s="379">
        <f t="shared" si="65"/>
        <v>40.631340878976658</v>
      </c>
      <c r="I159" s="379">
        <f t="shared" si="65"/>
        <v>40.507435016413382</v>
      </c>
      <c r="J159" s="379">
        <f t="shared" si="65"/>
        <v>40.435700043350423</v>
      </c>
      <c r="K159" s="379">
        <f t="shared" si="65"/>
        <v>40.403093237412712</v>
      </c>
      <c r="L159" s="379">
        <f t="shared" si="65"/>
        <v>40.403093237412712</v>
      </c>
      <c r="M159" s="379">
        <f t="shared" si="65"/>
        <v>40.438960723944191</v>
      </c>
      <c r="N159" s="379">
        <f t="shared" si="65"/>
        <v>40.510695697007151</v>
      </c>
      <c r="O159" s="379">
        <f t="shared" si="65"/>
        <v>40.615037476007807</v>
      </c>
      <c r="P159" s="379">
        <f t="shared" si="65"/>
        <v>40.758507422133718</v>
      </c>
      <c r="Q159" s="379">
        <f t="shared" si="65"/>
        <v>40.934584174197333</v>
      </c>
      <c r="R159" s="379">
        <f t="shared" si="65"/>
        <v>41.149789093386204</v>
      </c>
      <c r="S159" s="379">
        <f t="shared" si="65"/>
        <v>41.182395899323915</v>
      </c>
      <c r="T159" s="379">
        <f t="shared" si="65"/>
        <v>41.828010656890505</v>
      </c>
      <c r="U159" s="379">
        <f t="shared" si="65"/>
        <v>42.4964501786135</v>
      </c>
      <c r="V159" s="379">
        <f t="shared" si="65"/>
        <v>43.197496506274199</v>
      </c>
      <c r="W159" s="379">
        <f t="shared" si="65"/>
        <v>43.92462827868507</v>
      </c>
      <c r="X159" s="379">
        <f t="shared" si="65"/>
        <v>44.123529794905082</v>
      </c>
      <c r="Y159" s="379">
        <f t="shared" si="65"/>
        <v>44.912614498597591</v>
      </c>
      <c r="Z159" s="379">
        <f t="shared" si="65"/>
        <v>45.734306008227804</v>
      </c>
      <c r="AA159" s="379">
        <f t="shared" si="65"/>
        <v>46.585343643201952</v>
      </c>
      <c r="AB159" s="379">
        <f t="shared" si="65"/>
        <v>47.468988084113818</v>
      </c>
      <c r="AC159" s="379">
        <f t="shared" si="65"/>
        <v>48.062431952180077</v>
      </c>
      <c r="AD159" s="379">
        <f t="shared" si="65"/>
        <v>49.233016285343759</v>
      </c>
      <c r="AE159" s="379">
        <f t="shared" si="65"/>
        <v>50.436207424445151</v>
      </c>
      <c r="AF159" s="379">
        <f t="shared" si="65"/>
        <v>51.672005369484246</v>
      </c>
      <c r="AG159" s="379">
        <f t="shared" si="65"/>
        <v>52.943670801054814</v>
      </c>
    </row>
    <row r="160" spans="1:34">
      <c r="A160" s="300" t="s">
        <v>321</v>
      </c>
      <c r="B160" s="300" t="s">
        <v>300</v>
      </c>
      <c r="C160" s="379">
        <f t="shared" ref="C160:AG160" si="66">C153/($C$22*$C$21)</f>
        <v>60.125</v>
      </c>
      <c r="D160" s="379">
        <f t="shared" si="66"/>
        <v>59.566666666666677</v>
      </c>
      <c r="E160" s="379">
        <f t="shared" si="66"/>
        <v>59.064041666666668</v>
      </c>
      <c r="F160" s="379">
        <f t="shared" si="66"/>
        <v>58.615882916666671</v>
      </c>
      <c r="G160" s="379">
        <f t="shared" si="66"/>
        <v>58.221008179166667</v>
      </c>
      <c r="H160" s="379">
        <f t="shared" si="66"/>
        <v>57.878293158791678</v>
      </c>
      <c r="I160" s="379">
        <f t="shared" si="66"/>
        <v>54.431256037414997</v>
      </c>
      <c r="J160" s="379">
        <f t="shared" si="66"/>
        <v>52.61708686287799</v>
      </c>
      <c r="K160" s="379">
        <f t="shared" si="66"/>
        <v>50.863258045323562</v>
      </c>
      <c r="L160" s="379">
        <f t="shared" si="66"/>
        <v>49.167492336519494</v>
      </c>
      <c r="M160" s="379">
        <f t="shared" si="66"/>
        <v>47.527606950997097</v>
      </c>
      <c r="N160" s="379">
        <f t="shared" si="66"/>
        <v>45.941509394314863</v>
      </c>
      <c r="O160" s="379">
        <f t="shared" si="66"/>
        <v>44.40719348296728</v>
      </c>
      <c r="P160" s="379">
        <f t="shared" si="66"/>
        <v>42.92273554691343</v>
      </c>
      <c r="Q160" s="379">
        <f t="shared" si="66"/>
        <v>41.486290806131606</v>
      </c>
      <c r="R160" s="379">
        <f t="shared" si="66"/>
        <v>40.09608991301765</v>
      </c>
      <c r="S160" s="379">
        <f t="shared" si="66"/>
        <v>37.020050678094677</v>
      </c>
      <c r="T160" s="379">
        <f t="shared" si="66"/>
        <v>35.968888918295029</v>
      </c>
      <c r="U160" s="379">
        <f t="shared" si="66"/>
        <v>34.955134621542285</v>
      </c>
      <c r="V160" s="379">
        <f t="shared" si="66"/>
        <v>33.977170987449604</v>
      </c>
      <c r="W160" s="379">
        <f t="shared" si="66"/>
        <v>33.033456457926327</v>
      </c>
      <c r="X160" s="379">
        <f t="shared" si="66"/>
        <v>32.122521102900293</v>
      </c>
      <c r="Y160" s="379">
        <f t="shared" si="66"/>
        <v>31.242963182519848</v>
      </c>
      <c r="Z160" s="379">
        <f t="shared" si="66"/>
        <v>30.393445877136578</v>
      </c>
      <c r="AA160" s="379">
        <f t="shared" si="66"/>
        <v>29.572694176801065</v>
      </c>
      <c r="AB160" s="379">
        <f t="shared" si="66"/>
        <v>28.779491922413662</v>
      </c>
      <c r="AC160" s="379">
        <f t="shared" si="66"/>
        <v>27.812475682772341</v>
      </c>
      <c r="AD160" s="379">
        <f t="shared" si="66"/>
        <v>27.908329632500987</v>
      </c>
      <c r="AE160" s="379">
        <f t="shared" si="66"/>
        <v>28.036748074644596</v>
      </c>
      <c r="AF160" s="379">
        <f t="shared" si="66"/>
        <v>28.197207809398879</v>
      </c>
      <c r="AG160" s="379">
        <f t="shared" si="66"/>
        <v>28.38923600066877</v>
      </c>
    </row>
    <row r="161" spans="1:33">
      <c r="A161" s="300" t="s">
        <v>322</v>
      </c>
      <c r="B161" s="300" t="s">
        <v>300</v>
      </c>
      <c r="C161" s="379">
        <f t="shared" ref="C161:AG161" si="67">(C154+C155+C156+C157)/($C$22*$C$21)</f>
        <v>34.043654761904762</v>
      </c>
      <c r="D161" s="379">
        <f t="shared" si="67"/>
        <v>34.624557142857149</v>
      </c>
      <c r="E161" s="379">
        <f t="shared" si="67"/>
        <v>35.241654511904763</v>
      </c>
      <c r="F161" s="379">
        <f t="shared" si="67"/>
        <v>35.895372815297627</v>
      </c>
      <c r="G161" s="379">
        <f t="shared" si="67"/>
        <v>36.601041298110424</v>
      </c>
      <c r="H161" s="379">
        <f t="shared" si="67"/>
        <v>37.403774208841426</v>
      </c>
      <c r="I161" s="379">
        <f t="shared" si="67"/>
        <v>38.229092891450023</v>
      </c>
      <c r="J161" s="379">
        <f t="shared" si="67"/>
        <v>39.107060025908893</v>
      </c>
      <c r="K161" s="379">
        <f t="shared" si="67"/>
        <v>40.022186529170398</v>
      </c>
      <c r="L161" s="379">
        <f t="shared" si="67"/>
        <v>40.989365803645654</v>
      </c>
      <c r="M161" s="379">
        <f t="shared" si="67"/>
        <v>41.994648511416656</v>
      </c>
      <c r="N161" s="379">
        <f t="shared" si="67"/>
        <v>43.053576911745196</v>
      </c>
      <c r="O161" s="379">
        <f t="shared" si="67"/>
        <v>44.166543049153852</v>
      </c>
      <c r="P161" s="379">
        <f t="shared" si="67"/>
        <v>45.334861269892855</v>
      </c>
      <c r="Q161" s="379">
        <f t="shared" si="67"/>
        <v>46.558686020862588</v>
      </c>
      <c r="R161" s="379">
        <f t="shared" si="67"/>
        <v>47.839393980367554</v>
      </c>
      <c r="S161" s="379">
        <f t="shared" si="67"/>
        <v>49.196998655879099</v>
      </c>
      <c r="T161" s="379">
        <f t="shared" si="67"/>
        <v>50.664347478051923</v>
      </c>
      <c r="U161" s="379">
        <f t="shared" si="67"/>
        <v>52.188483270406046</v>
      </c>
      <c r="V161" s="379">
        <f t="shared" si="67"/>
        <v>53.786128089588672</v>
      </c>
      <c r="W161" s="379">
        <f t="shared" si="67"/>
        <v>55.44279181833847</v>
      </c>
      <c r="X161" s="379">
        <f t="shared" si="67"/>
        <v>57.123785578348851</v>
      </c>
      <c r="Y161" s="379">
        <f t="shared" si="67"/>
        <v>58.9173780605879</v>
      </c>
      <c r="Z161" s="379">
        <f t="shared" si="67"/>
        <v>60.788666204058266</v>
      </c>
      <c r="AA161" s="379">
        <f t="shared" si="67"/>
        <v>62.738505463600823</v>
      </c>
      <c r="AB161" s="379">
        <f t="shared" si="67"/>
        <v>64.768392526493912</v>
      </c>
      <c r="AC161" s="379">
        <f t="shared" si="67"/>
        <v>66.93632351586642</v>
      </c>
      <c r="AD161" s="379">
        <f t="shared" si="67"/>
        <v>69.23654822150651</v>
      </c>
      <c r="AE161" s="379">
        <f t="shared" si="67"/>
        <v>71.635600704450823</v>
      </c>
      <c r="AF161" s="379">
        <f t="shared" si="67"/>
        <v>74.12000928749184</v>
      </c>
      <c r="AG161" s="379">
        <f t="shared" si="67"/>
        <v>76.706417749879321</v>
      </c>
    </row>
    <row r="162" spans="1:33">
      <c r="A162" s="300" t="s">
        <v>310</v>
      </c>
      <c r="B162" s="300" t="s">
        <v>300</v>
      </c>
      <c r="C162" s="379">
        <f t="shared" ref="C162:AG162" si="68">C150/($C$22*$C$21*7)</f>
        <v>1.3829719387755099</v>
      </c>
      <c r="D162" s="379">
        <f t="shared" si="68"/>
        <v>1.3638392857142854</v>
      </c>
      <c r="E162" s="379">
        <f t="shared" si="68"/>
        <v>1.3463010204081629</v>
      </c>
      <c r="F162" s="379">
        <f t="shared" si="68"/>
        <v>1.3303571428571426</v>
      </c>
      <c r="G162" s="379">
        <f t="shared" si="68"/>
        <v>1.3160076530612241</v>
      </c>
      <c r="H162" s="379">
        <f t="shared" si="68"/>
        <v>1.3245110544217684</v>
      </c>
      <c r="I162" s="379">
        <f t="shared" si="68"/>
        <v>1.3204719387755099</v>
      </c>
      <c r="J162" s="379">
        <f t="shared" si="68"/>
        <v>1.3181335034013604</v>
      </c>
      <c r="K162" s="379">
        <f t="shared" si="68"/>
        <v>1.3170705782312924</v>
      </c>
      <c r="L162" s="379">
        <f t="shared" si="68"/>
        <v>1.3170705782312924</v>
      </c>
      <c r="M162" s="379">
        <f t="shared" si="68"/>
        <v>1.3182397959183672</v>
      </c>
      <c r="N162" s="379">
        <f t="shared" si="68"/>
        <v>3.9617346938775508</v>
      </c>
      <c r="O162" s="379">
        <f t="shared" si="68"/>
        <v>3.9719387755102042</v>
      </c>
      <c r="P162" s="379">
        <f t="shared" si="68"/>
        <v>3.9859693877551021</v>
      </c>
      <c r="Q162" s="379">
        <f t="shared" si="68"/>
        <v>4.0031887755102042</v>
      </c>
      <c r="R162" s="379">
        <f t="shared" si="68"/>
        <v>4.0242346938775508</v>
      </c>
      <c r="S162" s="379">
        <f t="shared" si="68"/>
        <v>4.0274234693877551</v>
      </c>
      <c r="T162" s="379">
        <f t="shared" si="68"/>
        <v>4.0905612244897958</v>
      </c>
      <c r="U162" s="379">
        <f t="shared" si="68"/>
        <v>4.1559311224489797</v>
      </c>
      <c r="V162" s="379">
        <f t="shared" si="68"/>
        <v>4.2244897959183669</v>
      </c>
      <c r="W162" s="379">
        <f t="shared" si="68"/>
        <v>4.2955994897959187</v>
      </c>
      <c r="X162" s="379">
        <f t="shared" si="68"/>
        <v>5.7534013605442178</v>
      </c>
      <c r="Y162" s="379">
        <f t="shared" si="68"/>
        <v>5.8562925170068025</v>
      </c>
      <c r="Z162" s="379">
        <f t="shared" si="68"/>
        <v>5.9634353741496593</v>
      </c>
      <c r="AA162" s="379">
        <f t="shared" si="68"/>
        <v>6.074404761904761</v>
      </c>
      <c r="AB162" s="379">
        <f t="shared" si="68"/>
        <v>6.1896258503401347</v>
      </c>
      <c r="AC162" s="379">
        <f t="shared" si="68"/>
        <v>6.2670068027210872</v>
      </c>
      <c r="AD162" s="379">
        <f t="shared" si="68"/>
        <v>6.4196428571428559</v>
      </c>
      <c r="AE162" s="379">
        <f t="shared" si="68"/>
        <v>6.5765306122448965</v>
      </c>
      <c r="AF162" s="379">
        <f t="shared" si="68"/>
        <v>6.7376700680272101</v>
      </c>
      <c r="AG162" s="379">
        <f t="shared" si="68"/>
        <v>6.903486394557822</v>
      </c>
    </row>
    <row r="163" spans="1:33">
      <c r="A163" s="380" t="s">
        <v>323</v>
      </c>
      <c r="B163" s="300" t="s">
        <v>300</v>
      </c>
      <c r="C163" s="387">
        <f t="shared" ref="C163:AG163" si="69">SUM(C159:C161)-C162</f>
        <v>135.2103980286798</v>
      </c>
      <c r="D163" s="387">
        <f t="shared" si="69"/>
        <v>134.66517722248136</v>
      </c>
      <c r="E163" s="387">
        <f t="shared" si="69"/>
        <v>134.25917555886292</v>
      </c>
      <c r="F163" s="387">
        <f t="shared" si="69"/>
        <v>133.99157690074122</v>
      </c>
      <c r="G163" s="387">
        <f t="shared" si="69"/>
        <v>133.87652825569086</v>
      </c>
      <c r="H163" s="387">
        <f t="shared" si="69"/>
        <v>134.588897192188</v>
      </c>
      <c r="I163" s="387">
        <f t="shared" si="69"/>
        <v>131.8473120065029</v>
      </c>
      <c r="J163" s="387">
        <f t="shared" si="69"/>
        <v>130.84171342873597</v>
      </c>
      <c r="K163" s="387">
        <f t="shared" si="69"/>
        <v>129.97146723367538</v>
      </c>
      <c r="L163" s="387">
        <f t="shared" si="69"/>
        <v>129.24288079934658</v>
      </c>
      <c r="M163" s="387">
        <f t="shared" si="69"/>
        <v>128.64297639043957</v>
      </c>
      <c r="N163" s="387">
        <f t="shared" si="69"/>
        <v>125.54404730918968</v>
      </c>
      <c r="O163" s="387">
        <f t="shared" si="69"/>
        <v>125.21683523261873</v>
      </c>
      <c r="P163" s="387">
        <f t="shared" si="69"/>
        <v>125.03013485118488</v>
      </c>
      <c r="Q163" s="387">
        <f t="shared" si="69"/>
        <v>124.9763722256813</v>
      </c>
      <c r="R163" s="387">
        <f t="shared" si="69"/>
        <v>125.06103829289385</v>
      </c>
      <c r="S163" s="387">
        <f t="shared" si="69"/>
        <v>123.37202176390993</v>
      </c>
      <c r="T163" s="387">
        <f t="shared" si="69"/>
        <v>124.37068582874767</v>
      </c>
      <c r="U163" s="387">
        <f t="shared" si="69"/>
        <v>125.48413694811285</v>
      </c>
      <c r="V163" s="387">
        <f t="shared" si="69"/>
        <v>126.73630578739409</v>
      </c>
      <c r="W163" s="387">
        <f t="shared" si="69"/>
        <v>128.10527706515393</v>
      </c>
      <c r="X163" s="387">
        <f t="shared" si="69"/>
        <v>127.61643511561002</v>
      </c>
      <c r="Y163" s="387">
        <f t="shared" si="69"/>
        <v>129.21666322469852</v>
      </c>
      <c r="Z163" s="387">
        <f t="shared" si="69"/>
        <v>130.95298271527298</v>
      </c>
      <c r="AA163" s="387">
        <f t="shared" si="69"/>
        <v>132.82213852169909</v>
      </c>
      <c r="AB163" s="387">
        <f t="shared" si="69"/>
        <v>134.82724668268128</v>
      </c>
      <c r="AC163" s="387">
        <f t="shared" si="69"/>
        <v>136.54422434809777</v>
      </c>
      <c r="AD163" s="387">
        <f t="shared" si="69"/>
        <v>139.95825128220841</v>
      </c>
      <c r="AE163" s="387">
        <f t="shared" si="69"/>
        <v>143.53202559129565</v>
      </c>
      <c r="AF163" s="387">
        <f t="shared" si="69"/>
        <v>147.25155239834777</v>
      </c>
      <c r="AG163" s="387">
        <f t="shared" si="69"/>
        <v>151.13583815704507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0">D164+1</f>
        <v>2027</v>
      </c>
      <c r="F164" s="360">
        <f t="shared" si="70"/>
        <v>2028</v>
      </c>
      <c r="G164" s="360">
        <f t="shared" si="70"/>
        <v>2029</v>
      </c>
      <c r="H164" s="360">
        <f>G164+1</f>
        <v>2030</v>
      </c>
      <c r="I164" s="360">
        <f>H164+1</f>
        <v>2031</v>
      </c>
      <c r="J164" s="360">
        <f t="shared" si="70"/>
        <v>2032</v>
      </c>
      <c r="K164" s="360">
        <f t="shared" si="70"/>
        <v>2033</v>
      </c>
      <c r="L164" s="360">
        <f t="shared" si="70"/>
        <v>2034</v>
      </c>
      <c r="M164" s="360">
        <f t="shared" si="70"/>
        <v>2035</v>
      </c>
      <c r="N164" s="360">
        <f t="shared" si="70"/>
        <v>2036</v>
      </c>
      <c r="O164" s="360">
        <f t="shared" si="70"/>
        <v>2037</v>
      </c>
      <c r="P164" s="360">
        <f t="shared" si="70"/>
        <v>2038</v>
      </c>
      <c r="Q164" s="360">
        <f t="shared" si="70"/>
        <v>2039</v>
      </c>
      <c r="R164" s="360">
        <f t="shared" si="70"/>
        <v>2040</v>
      </c>
      <c r="S164" s="360">
        <f t="shared" si="70"/>
        <v>2041</v>
      </c>
      <c r="T164" s="360">
        <f t="shared" si="70"/>
        <v>2042</v>
      </c>
      <c r="U164" s="360">
        <f t="shared" si="70"/>
        <v>2043</v>
      </c>
      <c r="V164" s="360">
        <f t="shared" si="70"/>
        <v>2044</v>
      </c>
      <c r="W164" s="360">
        <f t="shared" si="70"/>
        <v>2045</v>
      </c>
      <c r="X164" s="360">
        <f t="shared" si="70"/>
        <v>2046</v>
      </c>
      <c r="Y164" s="360">
        <f t="shared" si="70"/>
        <v>2047</v>
      </c>
      <c r="Z164" s="360">
        <f t="shared" si="70"/>
        <v>2048</v>
      </c>
      <c r="AA164" s="360">
        <f t="shared" si="70"/>
        <v>2049</v>
      </c>
      <c r="AB164" s="360">
        <f t="shared" si="70"/>
        <v>2050</v>
      </c>
      <c r="AC164" s="360">
        <f t="shared" si="70"/>
        <v>2051</v>
      </c>
      <c r="AD164" s="360">
        <f t="shared" si="70"/>
        <v>2052</v>
      </c>
      <c r="AE164" s="360">
        <f t="shared" si="70"/>
        <v>2053</v>
      </c>
      <c r="AF164" s="360">
        <f t="shared" si="70"/>
        <v>2054</v>
      </c>
      <c r="AG164" s="360">
        <f t="shared" si="70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1">C78</f>
        <v>71.417855348874852</v>
      </c>
      <c r="D165" s="379">
        <f t="shared" si="71"/>
        <v>76.082493631112541</v>
      </c>
      <c r="E165" s="379">
        <f t="shared" si="71"/>
        <v>78.095532826774175</v>
      </c>
      <c r="F165" s="379">
        <f t="shared" si="71"/>
        <v>80.169378764827172</v>
      </c>
      <c r="G165" s="379">
        <f t="shared" si="71"/>
        <v>82.305336269715042</v>
      </c>
      <c r="H165" s="379">
        <f t="shared" si="71"/>
        <v>85.672962734655599</v>
      </c>
      <c r="I165" s="379">
        <f t="shared" si="71"/>
        <v>87.97224466959544</v>
      </c>
      <c r="J165" s="379">
        <f t="shared" si="71"/>
        <v>90.339226589723111</v>
      </c>
      <c r="K165" s="379">
        <f t="shared" si="71"/>
        <v>92.790241139679452</v>
      </c>
      <c r="L165" s="379">
        <f t="shared" si="71"/>
        <v>95.312191272984194</v>
      </c>
      <c r="M165" s="379">
        <f t="shared" si="71"/>
        <v>97.921783490411528</v>
      </c>
      <c r="N165" s="379">
        <f t="shared" si="71"/>
        <v>101.36271819305615</v>
      </c>
      <c r="O165" s="379">
        <f t="shared" si="71"/>
        <v>104.16078725788569</v>
      </c>
      <c r="P165" s="379">
        <f t="shared" si="71"/>
        <v>107.03774787175196</v>
      </c>
      <c r="Q165" s="379">
        <f t="shared" si="71"/>
        <v>110.01051036821254</v>
      </c>
      <c r="R165" s="379">
        <f t="shared" si="71"/>
        <v>113.08115408631508</v>
      </c>
      <c r="S165" s="379">
        <f t="shared" si="71"/>
        <v>116.2518101826751</v>
      </c>
      <c r="T165" s="379">
        <f t="shared" si="71"/>
        <v>119.52466356278121</v>
      </c>
      <c r="U165" s="379">
        <f t="shared" si="71"/>
        <v>122.90195488671762</v>
      </c>
      <c r="V165" s="379">
        <f t="shared" si="71"/>
        <v>126.38628533592839</v>
      </c>
      <c r="W165" s="379">
        <f t="shared" si="71"/>
        <v>129.9800134092358</v>
      </c>
      <c r="X165" s="379">
        <f t="shared" si="71"/>
        <v>134.70293868003299</v>
      </c>
      <c r="Y165" s="379">
        <f t="shared" si="71"/>
        <v>138.56818635793755</v>
      </c>
      <c r="Z165" s="379">
        <f t="shared" si="71"/>
        <v>142.55182018222322</v>
      </c>
      <c r="AA165" s="379">
        <f t="shared" si="71"/>
        <v>146.67105090878792</v>
      </c>
      <c r="AB165" s="379">
        <f t="shared" si="71"/>
        <v>150.92922041873328</v>
      </c>
      <c r="AC165" s="379">
        <f t="shared" si="71"/>
        <v>155.32911882242729</v>
      </c>
      <c r="AD165" s="379">
        <f t="shared" si="71"/>
        <v>159.87392722010878</v>
      </c>
      <c r="AE165" s="379">
        <f t="shared" si="71"/>
        <v>164.56690732006723</v>
      </c>
      <c r="AF165" s="379">
        <f t="shared" si="71"/>
        <v>169.41140448349168</v>
      </c>
      <c r="AG165" s="379">
        <f t="shared" si="71"/>
        <v>174.42573183988884</v>
      </c>
    </row>
    <row r="166" spans="1:33">
      <c r="A166" s="368" t="s">
        <v>179</v>
      </c>
      <c r="B166" s="368" t="s">
        <v>179</v>
      </c>
      <c r="C166" s="379">
        <f t="shared" ref="C166:AG166" si="72">C95</f>
        <v>69.813503325072645</v>
      </c>
      <c r="D166" s="379">
        <f t="shared" si="72"/>
        <v>72.561581043872437</v>
      </c>
      <c r="E166" s="379">
        <f t="shared" si="72"/>
        <v>74.808949189474319</v>
      </c>
      <c r="F166" s="379">
        <f t="shared" si="72"/>
        <v>77.130930446110924</v>
      </c>
      <c r="G166" s="379">
        <f t="shared" si="72"/>
        <v>79.529489304541883</v>
      </c>
      <c r="H166" s="379">
        <f t="shared" si="72"/>
        <v>83.217391428931862</v>
      </c>
      <c r="I166" s="379">
        <f t="shared" si="72"/>
        <v>85.811588703680243</v>
      </c>
      <c r="J166" s="379">
        <f t="shared" si="72"/>
        <v>88.489754069201766</v>
      </c>
      <c r="K166" s="379">
        <f t="shared" si="72"/>
        <v>91.269045142347764</v>
      </c>
      <c r="L166" s="379">
        <f t="shared" si="72"/>
        <v>94.136934633169517</v>
      </c>
      <c r="M166" s="379">
        <f t="shared" si="72"/>
        <v>97.110736817662428</v>
      </c>
      <c r="N166" s="379">
        <f t="shared" si="72"/>
        <v>100.97187921149701</v>
      </c>
      <c r="O166" s="379">
        <f t="shared" si="72"/>
        <v>104.17407211228112</v>
      </c>
      <c r="P166" s="379">
        <f t="shared" si="72"/>
        <v>107.4758171696343</v>
      </c>
      <c r="Q166" s="379">
        <f t="shared" si="72"/>
        <v>110.89479730212115</v>
      </c>
      <c r="R166" s="379">
        <f t="shared" si="72"/>
        <v>114.43390957710396</v>
      </c>
      <c r="S166" s="379">
        <f t="shared" si="72"/>
        <v>118.09614946353673</v>
      </c>
      <c r="T166" s="379">
        <f t="shared" si="72"/>
        <v>121.88461424934252</v>
      </c>
      <c r="U166" s="379">
        <f t="shared" si="72"/>
        <v>125.8025065799828</v>
      </c>
      <c r="V166" s="379">
        <f t="shared" si="72"/>
        <v>129.85313812260208</v>
      </c>
      <c r="W166" s="379">
        <f t="shared" si="72"/>
        <v>134.0399333602918</v>
      </c>
      <c r="X166" s="379">
        <f t="shared" si="72"/>
        <v>139.43322456739969</v>
      </c>
      <c r="Y166" s="379">
        <f t="shared" si="72"/>
        <v>143.9499763772578</v>
      </c>
      <c r="Z166" s="379">
        <f t="shared" si="72"/>
        <v>148.61484233369706</v>
      </c>
      <c r="AA166" s="379">
        <f t="shared" si="72"/>
        <v>153.44664865298577</v>
      </c>
      <c r="AB166" s="379">
        <f t="shared" si="72"/>
        <v>158.44947537331305</v>
      </c>
      <c r="AC166" s="379">
        <f t="shared" si="72"/>
        <v>163.62754201333956</v>
      </c>
      <c r="AD166" s="379">
        <f t="shared" si="72"/>
        <v>168.98521244613264</v>
      </c>
      <c r="AE166" s="379">
        <f t="shared" si="72"/>
        <v>174.52699994696397</v>
      </c>
      <c r="AF166" s="379">
        <f t="shared" si="72"/>
        <v>180.25757242129168</v>
      </c>
      <c r="AG166" s="379">
        <f t="shared" si="72"/>
        <v>186.19663877186485</v>
      </c>
    </row>
    <row r="167" spans="1:33">
      <c r="A167" s="300" t="s">
        <v>180</v>
      </c>
      <c r="B167" s="300" t="s">
        <v>180</v>
      </c>
      <c r="C167" s="379">
        <f t="shared" ref="C167:AG167" si="73">C112</f>
        <v>70.39905310205711</v>
      </c>
      <c r="D167" s="379">
        <f t="shared" si="73"/>
        <v>72.704082500756257</v>
      </c>
      <c r="E167" s="379">
        <f t="shared" si="73"/>
        <v>74.919706329094026</v>
      </c>
      <c r="F167" s="379">
        <f t="shared" si="73"/>
        <v>77.210141137030007</v>
      </c>
      <c r="G167" s="379">
        <f t="shared" si="73"/>
        <v>79.573876488765919</v>
      </c>
      <c r="H167" s="379">
        <f t="shared" si="73"/>
        <v>83.229270190392555</v>
      </c>
      <c r="I167" s="379">
        <f t="shared" si="73"/>
        <v>85.786745074044418</v>
      </c>
      <c r="J167" s="379">
        <f t="shared" si="73"/>
        <v>88.425421616355493</v>
      </c>
      <c r="K167" s="379">
        <f t="shared" si="73"/>
        <v>91.16494725271167</v>
      </c>
      <c r="L167" s="379">
        <f t="shared" si="73"/>
        <v>93.992241564086669</v>
      </c>
      <c r="M167" s="379">
        <f t="shared" si="73"/>
        <v>96.924049103526002</v>
      </c>
      <c r="N167" s="379">
        <f t="shared" si="73"/>
        <v>100.77017757367796</v>
      </c>
      <c r="O167" s="379">
        <f t="shared" si="73"/>
        <v>103.92850255137699</v>
      </c>
      <c r="P167" s="379">
        <f t="shared" si="73"/>
        <v>107.179956646748</v>
      </c>
      <c r="Q167" s="379">
        <f t="shared" si="73"/>
        <v>110.55095950647269</v>
      </c>
      <c r="R167" s="379">
        <f t="shared" si="73"/>
        <v>114.03745939834566</v>
      </c>
      <c r="S167" s="379">
        <f t="shared" si="73"/>
        <v>117.64488190426061</v>
      </c>
      <c r="T167" s="379">
        <f t="shared" si="73"/>
        <v>121.37560020500797</v>
      </c>
      <c r="U167" s="379">
        <f t="shared" si="73"/>
        <v>125.23520424527599</v>
      </c>
      <c r="V167" s="379">
        <f t="shared" si="73"/>
        <v>129.22623748695199</v>
      </c>
      <c r="W167" s="379">
        <f t="shared" si="73"/>
        <v>133.35133316171292</v>
      </c>
      <c r="X167" s="379">
        <f t="shared" si="73"/>
        <v>138.70664863118509</v>
      </c>
      <c r="Y167" s="379">
        <f t="shared" si="73"/>
        <v>143.15427520621651</v>
      </c>
      <c r="Z167" s="379">
        <f t="shared" si="73"/>
        <v>147.74852526676048</v>
      </c>
      <c r="AA167" s="379">
        <f t="shared" si="73"/>
        <v>152.5073056652889</v>
      </c>
      <c r="AB167" s="379">
        <f t="shared" si="73"/>
        <v>157.43374949528058</v>
      </c>
      <c r="AC167" s="379">
        <f t="shared" si="73"/>
        <v>162.53434034443487</v>
      </c>
      <c r="AD167" s="379">
        <f t="shared" si="73"/>
        <v>167.80919805008548</v>
      </c>
      <c r="AE167" s="379">
        <f t="shared" si="73"/>
        <v>173.26827997963235</v>
      </c>
      <c r="AF167" s="379">
        <f t="shared" si="73"/>
        <v>178.91194882182927</v>
      </c>
      <c r="AG167" s="379">
        <f t="shared" si="73"/>
        <v>184.75881571097264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4">C146</f>
        <v>83.294787021148849</v>
      </c>
      <c r="D168" s="379">
        <f t="shared" si="74"/>
        <v>84.019562451602027</v>
      </c>
      <c r="E168" s="379">
        <f t="shared" si="74"/>
        <v>84.684386143889398</v>
      </c>
      <c r="F168" s="379">
        <f t="shared" si="74"/>
        <v>84.593176007069758</v>
      </c>
      <c r="G168" s="379">
        <f t="shared" si="74"/>
        <v>84.463244640132402</v>
      </c>
      <c r="H168" s="379">
        <f t="shared" si="74"/>
        <v>85.375562804758772</v>
      </c>
      <c r="I168" s="379">
        <f t="shared" si="74"/>
        <v>83.446729472201696</v>
      </c>
      <c r="J168" s="379">
        <f t="shared" si="74"/>
        <v>84.185724897501615</v>
      </c>
      <c r="K168" s="379">
        <f t="shared" si="74"/>
        <v>84.729908733202095</v>
      </c>
      <c r="L168" s="379">
        <f t="shared" si="74"/>
        <v>85.449351352652954</v>
      </c>
      <c r="M168" s="379">
        <f t="shared" si="74"/>
        <v>86.336435566862335</v>
      </c>
      <c r="N168" s="379">
        <f t="shared" si="74"/>
        <v>85.281736178224435</v>
      </c>
      <c r="O168" s="379">
        <f t="shared" si="74"/>
        <v>86.581462605650884</v>
      </c>
      <c r="P168" s="379">
        <f t="shared" si="74"/>
        <v>87.918177226064486</v>
      </c>
      <c r="Q168" s="379">
        <f t="shared" si="74"/>
        <v>89.385661464517042</v>
      </c>
      <c r="R168" s="379">
        <f t="shared" si="74"/>
        <v>90.999082726680072</v>
      </c>
      <c r="S168" s="379">
        <f t="shared" si="74"/>
        <v>92.489453886465412</v>
      </c>
      <c r="T168" s="379">
        <f t="shared" si="74"/>
        <v>94.644363099300335</v>
      </c>
      <c r="U168" s="379">
        <f t="shared" si="74"/>
        <v>96.832192910963897</v>
      </c>
      <c r="V168" s="379">
        <f t="shared" si="74"/>
        <v>99.12732469255053</v>
      </c>
      <c r="W168" s="379">
        <f t="shared" si="74"/>
        <v>101.51420233004399</v>
      </c>
      <c r="X168" s="379">
        <f t="shared" si="74"/>
        <v>102.68638477228453</v>
      </c>
      <c r="Y168" s="379">
        <f t="shared" si="74"/>
        <v>105.2464626867752</v>
      </c>
      <c r="Z168" s="379">
        <f t="shared" si="74"/>
        <v>107.91636699981299</v>
      </c>
      <c r="AA168" s="379">
        <f t="shared" si="74"/>
        <v>110.70505994263382</v>
      </c>
      <c r="AB168" s="379">
        <f t="shared" si="74"/>
        <v>113.60631645408054</v>
      </c>
      <c r="AC168" s="379">
        <f t="shared" si="74"/>
        <v>117.08554840757515</v>
      </c>
      <c r="AD168" s="379">
        <f t="shared" si="74"/>
        <v>120.75187492715187</v>
      </c>
      <c r="AE168" s="379">
        <f t="shared" si="74"/>
        <v>124.55655132454741</v>
      </c>
      <c r="AF168" s="379">
        <f t="shared" si="74"/>
        <v>128.4978764258631</v>
      </c>
      <c r="AG168" s="379">
        <f t="shared" si="74"/>
        <v>132.59473712385125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5">C129</f>
        <v>128.17141637160884</v>
      </c>
      <c r="D169" s="379">
        <f t="shared" si="75"/>
        <v>128.52079626780034</v>
      </c>
      <c r="E169" s="379">
        <f t="shared" si="75"/>
        <v>129.00757969296384</v>
      </c>
      <c r="F169" s="379">
        <f t="shared" si="75"/>
        <v>129.6243697918076</v>
      </c>
      <c r="G169" s="379">
        <f t="shared" si="75"/>
        <v>130.3768364608456</v>
      </c>
      <c r="H169" s="379">
        <f t="shared" si="75"/>
        <v>132.55680785984524</v>
      </c>
      <c r="I169" s="379">
        <f t="shared" si="75"/>
        <v>129.44267948084394</v>
      </c>
      <c r="J169" s="379">
        <f t="shared" si="75"/>
        <v>128.56635037879138</v>
      </c>
      <c r="K169" s="379">
        <f t="shared" si="75"/>
        <v>127.85013407855918</v>
      </c>
      <c r="L169" s="379">
        <f t="shared" si="75"/>
        <v>127.27380607437689</v>
      </c>
      <c r="M169" s="379">
        <f t="shared" si="75"/>
        <v>126.85354557706758</v>
      </c>
      <c r="N169" s="379">
        <f t="shared" si="75"/>
        <v>125.71081897945136</v>
      </c>
      <c r="O169" s="379">
        <f t="shared" si="75"/>
        <v>125.56391333314119</v>
      </c>
      <c r="P169" s="379">
        <f t="shared" si="75"/>
        <v>125.54932580669902</v>
      </c>
      <c r="Q169" s="379">
        <f t="shared" si="75"/>
        <v>125.6868765738173</v>
      </c>
      <c r="R169" s="379">
        <f t="shared" si="75"/>
        <v>125.96911793632992</v>
      </c>
      <c r="S169" s="379">
        <f t="shared" si="75"/>
        <v>124.22255605801273</v>
      </c>
      <c r="T169" s="379">
        <f t="shared" si="75"/>
        <v>125.26136065812128</v>
      </c>
      <c r="U169" s="379">
        <f t="shared" si="75"/>
        <v>126.43689555717138</v>
      </c>
      <c r="V169" s="379">
        <f t="shared" si="75"/>
        <v>127.75151464492265</v>
      </c>
      <c r="W169" s="379">
        <f t="shared" si="75"/>
        <v>129.2077268949501</v>
      </c>
      <c r="X169" s="379">
        <f t="shared" si="75"/>
        <v>129.68973822187837</v>
      </c>
      <c r="Y169" s="379">
        <f t="shared" si="75"/>
        <v>131.40502393671508</v>
      </c>
      <c r="Z169" s="379">
        <f t="shared" si="75"/>
        <v>133.25695266881746</v>
      </c>
      <c r="AA169" s="379">
        <f t="shared" si="75"/>
        <v>135.2664320959278</v>
      </c>
      <c r="AB169" s="379">
        <f t="shared" si="75"/>
        <v>137.42752667130225</v>
      </c>
      <c r="AC169" s="379">
        <f t="shared" si="75"/>
        <v>139.47961443646341</v>
      </c>
      <c r="AD169" s="379">
        <f t="shared" si="75"/>
        <v>143.07348860370638</v>
      </c>
      <c r="AE169" s="379">
        <f t="shared" si="75"/>
        <v>146.83736413861718</v>
      </c>
      <c r="AF169" s="379">
        <f t="shared" si="75"/>
        <v>150.77560408214683</v>
      </c>
      <c r="AG169" s="379">
        <f t="shared" si="75"/>
        <v>154.90154692698175</v>
      </c>
    </row>
    <row r="170" spans="1:33">
      <c r="A170" s="300" t="str">
        <f>A147</f>
        <v>FCET</v>
      </c>
      <c r="B170" s="300" t="str">
        <f>A170</f>
        <v>FCET</v>
      </c>
      <c r="C170" s="379">
        <f t="shared" ref="C170:AG170" si="76">C163</f>
        <v>135.2103980286798</v>
      </c>
      <c r="D170" s="379">
        <f t="shared" si="76"/>
        <v>134.66517722248136</v>
      </c>
      <c r="E170" s="379">
        <f t="shared" si="76"/>
        <v>134.25917555886292</v>
      </c>
      <c r="F170" s="379">
        <f t="shared" si="76"/>
        <v>133.99157690074122</v>
      </c>
      <c r="G170" s="379">
        <f t="shared" si="76"/>
        <v>133.87652825569086</v>
      </c>
      <c r="H170" s="379">
        <f t="shared" si="76"/>
        <v>134.588897192188</v>
      </c>
      <c r="I170" s="379">
        <f t="shared" si="76"/>
        <v>131.8473120065029</v>
      </c>
      <c r="J170" s="379">
        <f t="shared" si="76"/>
        <v>130.84171342873597</v>
      </c>
      <c r="K170" s="379">
        <f t="shared" si="76"/>
        <v>129.97146723367538</v>
      </c>
      <c r="L170" s="379">
        <f t="shared" si="76"/>
        <v>129.24288079934658</v>
      </c>
      <c r="M170" s="379">
        <f t="shared" si="76"/>
        <v>128.64297639043957</v>
      </c>
      <c r="N170" s="379">
        <f t="shared" si="76"/>
        <v>125.54404730918968</v>
      </c>
      <c r="O170" s="379">
        <f t="shared" si="76"/>
        <v>125.21683523261873</v>
      </c>
      <c r="P170" s="379">
        <f t="shared" si="76"/>
        <v>125.03013485118488</v>
      </c>
      <c r="Q170" s="379">
        <f t="shared" si="76"/>
        <v>124.9763722256813</v>
      </c>
      <c r="R170" s="379">
        <f t="shared" si="76"/>
        <v>125.06103829289385</v>
      </c>
      <c r="S170" s="379">
        <f t="shared" si="76"/>
        <v>123.37202176390993</v>
      </c>
      <c r="T170" s="379">
        <f t="shared" si="76"/>
        <v>124.37068582874767</v>
      </c>
      <c r="U170" s="379">
        <f t="shared" si="76"/>
        <v>125.48413694811285</v>
      </c>
      <c r="V170" s="379">
        <f t="shared" si="76"/>
        <v>126.73630578739409</v>
      </c>
      <c r="W170" s="379">
        <f t="shared" si="76"/>
        <v>128.10527706515393</v>
      </c>
      <c r="X170" s="379">
        <f t="shared" si="76"/>
        <v>127.61643511561002</v>
      </c>
      <c r="Y170" s="379">
        <f t="shared" si="76"/>
        <v>129.21666322469852</v>
      </c>
      <c r="Z170" s="379">
        <f t="shared" si="76"/>
        <v>130.95298271527298</v>
      </c>
      <c r="AA170" s="379">
        <f t="shared" si="76"/>
        <v>132.82213852169909</v>
      </c>
      <c r="AB170" s="379">
        <f t="shared" si="76"/>
        <v>134.82724668268128</v>
      </c>
      <c r="AC170" s="379">
        <f t="shared" si="76"/>
        <v>136.54422434809777</v>
      </c>
      <c r="AD170" s="379">
        <f t="shared" si="76"/>
        <v>139.95825128220841</v>
      </c>
      <c r="AE170" s="379">
        <f t="shared" si="76"/>
        <v>143.53202559129565</v>
      </c>
      <c r="AF170" s="379">
        <f t="shared" si="76"/>
        <v>147.25155239834777</v>
      </c>
      <c r="AG170" s="379">
        <f t="shared" si="76"/>
        <v>151.13583815704507</v>
      </c>
    </row>
    <row r="171" spans="1:33">
      <c r="A171" s="300" t="s">
        <v>334</v>
      </c>
      <c r="C171" s="379">
        <f t="shared" ref="C171:AG171" si="77">C165*0.9</f>
        <v>64.276069813987363</v>
      </c>
      <c r="D171" s="379">
        <f t="shared" si="77"/>
        <v>68.474244268001286</v>
      </c>
      <c r="E171" s="379">
        <f t="shared" si="77"/>
        <v>70.285979544096762</v>
      </c>
      <c r="F171" s="379">
        <f t="shared" si="77"/>
        <v>72.152440888344458</v>
      </c>
      <c r="G171" s="379">
        <f t="shared" si="77"/>
        <v>74.074802642743535</v>
      </c>
      <c r="H171" s="379">
        <f t="shared" si="77"/>
        <v>77.10566646119004</v>
      </c>
      <c r="I171" s="379">
        <f t="shared" si="77"/>
        <v>79.175020202635892</v>
      </c>
      <c r="J171" s="379">
        <f t="shared" si="77"/>
        <v>81.305303930750796</v>
      </c>
      <c r="K171" s="379">
        <f t="shared" si="77"/>
        <v>83.511217025711503</v>
      </c>
      <c r="L171" s="379">
        <f t="shared" si="77"/>
        <v>85.78097214568578</v>
      </c>
      <c r="M171" s="379">
        <f t="shared" si="77"/>
        <v>88.129605141370376</v>
      </c>
      <c r="N171" s="379">
        <f t="shared" si="77"/>
        <v>91.226446373750534</v>
      </c>
      <c r="O171" s="379">
        <f t="shared" si="77"/>
        <v>93.744708532097121</v>
      </c>
      <c r="P171" s="379">
        <f t="shared" si="77"/>
        <v>96.333973084576769</v>
      </c>
      <c r="Q171" s="379">
        <f t="shared" si="77"/>
        <v>99.009459331391284</v>
      </c>
      <c r="R171" s="379">
        <f t="shared" si="77"/>
        <v>101.77303867768357</v>
      </c>
      <c r="S171" s="379">
        <f t="shared" si="77"/>
        <v>104.62662916440759</v>
      </c>
      <c r="T171" s="379">
        <f t="shared" si="77"/>
        <v>107.57219720650309</v>
      </c>
      <c r="U171" s="379">
        <f t="shared" si="77"/>
        <v>110.61175939804586</v>
      </c>
      <c r="V171" s="379">
        <f t="shared" si="77"/>
        <v>113.74765680233556</v>
      </c>
      <c r="W171" s="379">
        <f t="shared" si="77"/>
        <v>116.98201206831222</v>
      </c>
      <c r="X171" s="379">
        <f t="shared" si="77"/>
        <v>121.23264481202969</v>
      </c>
      <c r="Y171" s="379">
        <f t="shared" si="77"/>
        <v>124.71136772214379</v>
      </c>
      <c r="Z171" s="379">
        <f t="shared" si="77"/>
        <v>128.29663816400091</v>
      </c>
      <c r="AA171" s="379">
        <f t="shared" si="77"/>
        <v>132.00394581790914</v>
      </c>
      <c r="AB171" s="379">
        <f t="shared" si="77"/>
        <v>135.83629837685996</v>
      </c>
      <c r="AC171" s="379">
        <f t="shared" si="77"/>
        <v>139.79620694018456</v>
      </c>
      <c r="AD171" s="379">
        <f t="shared" si="77"/>
        <v>143.88653449809792</v>
      </c>
      <c r="AE171" s="379">
        <f t="shared" si="77"/>
        <v>148.11021658806052</v>
      </c>
      <c r="AF171" s="379">
        <f t="shared" si="77"/>
        <v>152.47026403514252</v>
      </c>
      <c r="AG171" s="379">
        <f t="shared" si="77"/>
        <v>156.98315865589996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78">D173+1</f>
        <v>2027</v>
      </c>
      <c r="F173" s="360">
        <f t="shared" si="78"/>
        <v>2028</v>
      </c>
      <c r="G173" s="360">
        <f t="shared" si="78"/>
        <v>2029</v>
      </c>
      <c r="H173" s="360">
        <f>G173+1</f>
        <v>2030</v>
      </c>
      <c r="I173" s="360">
        <f>H173+1</f>
        <v>2031</v>
      </c>
      <c r="J173" s="360">
        <f t="shared" si="78"/>
        <v>2032</v>
      </c>
      <c r="K173" s="360">
        <f t="shared" si="78"/>
        <v>2033</v>
      </c>
      <c r="L173" s="360">
        <f t="shared" si="78"/>
        <v>2034</v>
      </c>
      <c r="M173" s="360">
        <f t="shared" si="78"/>
        <v>2035</v>
      </c>
      <c r="N173" s="360">
        <f t="shared" si="78"/>
        <v>2036</v>
      </c>
      <c r="O173" s="360">
        <f t="shared" si="78"/>
        <v>2037</v>
      </c>
      <c r="P173" s="360">
        <f t="shared" si="78"/>
        <v>2038</v>
      </c>
      <c r="Q173" s="360">
        <f t="shared" si="78"/>
        <v>2039</v>
      </c>
      <c r="R173" s="360">
        <f t="shared" si="78"/>
        <v>2040</v>
      </c>
      <c r="S173" s="360">
        <f t="shared" si="78"/>
        <v>2041</v>
      </c>
      <c r="T173" s="360">
        <f t="shared" si="78"/>
        <v>2042</v>
      </c>
      <c r="U173" s="360">
        <f t="shared" si="78"/>
        <v>2043</v>
      </c>
      <c r="V173" s="360">
        <f t="shared" si="78"/>
        <v>2044</v>
      </c>
      <c r="W173" s="360">
        <f t="shared" si="78"/>
        <v>2045</v>
      </c>
      <c r="X173" s="360">
        <f t="shared" si="78"/>
        <v>2046</v>
      </c>
      <c r="Y173" s="360">
        <f t="shared" si="78"/>
        <v>2047</v>
      </c>
      <c r="Z173" s="360">
        <f t="shared" si="78"/>
        <v>2048</v>
      </c>
      <c r="AA173" s="360">
        <f t="shared" si="78"/>
        <v>2049</v>
      </c>
      <c r="AB173" s="360">
        <f t="shared" si="78"/>
        <v>2050</v>
      </c>
      <c r="AC173" s="360">
        <f t="shared" si="78"/>
        <v>2051</v>
      </c>
      <c r="AD173" s="360">
        <f t="shared" si="78"/>
        <v>2052</v>
      </c>
      <c r="AE173" s="360">
        <f t="shared" si="78"/>
        <v>2053</v>
      </c>
      <c r="AF173" s="360">
        <f t="shared" si="78"/>
        <v>2054</v>
      </c>
      <c r="AG173" s="360">
        <f t="shared" si="78"/>
        <v>2055</v>
      </c>
    </row>
    <row r="174" spans="1:33">
      <c r="A174" s="300" t="s">
        <v>307</v>
      </c>
      <c r="B174" s="300" t="str">
        <f t="shared" ref="B174:B179" si="79">A174</f>
        <v xml:space="preserve">Diesel   </v>
      </c>
      <c r="C174" s="379">
        <f t="shared" ref="C174:AG174" si="80">C165/($C$17)*1000</f>
        <v>3.5708927674437425</v>
      </c>
      <c r="D174" s="379">
        <f t="shared" si="80"/>
        <v>3.8041246815556269</v>
      </c>
      <c r="E174" s="379">
        <f t="shared" si="80"/>
        <v>3.9047766413387088</v>
      </c>
      <c r="F174" s="379">
        <f t="shared" si="80"/>
        <v>4.008468938241359</v>
      </c>
      <c r="G174" s="379">
        <f t="shared" si="80"/>
        <v>4.1152668134857517</v>
      </c>
      <c r="H174" s="379">
        <f t="shared" si="80"/>
        <v>4.2836481367327801</v>
      </c>
      <c r="I174" s="379">
        <f t="shared" si="80"/>
        <v>4.3986122334797715</v>
      </c>
      <c r="J174" s="379">
        <f t="shared" si="80"/>
        <v>4.516961329486155</v>
      </c>
      <c r="K174" s="379">
        <f t="shared" si="80"/>
        <v>4.6395120569839721</v>
      </c>
      <c r="L174" s="379">
        <f t="shared" si="80"/>
        <v>4.7656095636492095</v>
      </c>
      <c r="M174" s="379">
        <f t="shared" si="80"/>
        <v>4.8960891745205757</v>
      </c>
      <c r="N174" s="379">
        <f t="shared" si="80"/>
        <v>5.068135909652808</v>
      </c>
      <c r="O174" s="379">
        <f t="shared" si="80"/>
        <v>5.2080393628942847</v>
      </c>
      <c r="P174" s="379">
        <f t="shared" si="80"/>
        <v>5.3518873935875977</v>
      </c>
      <c r="Q174" s="379">
        <f t="shared" si="80"/>
        <v>5.500525518410627</v>
      </c>
      <c r="R174" s="379">
        <f t="shared" si="80"/>
        <v>5.6540577043157541</v>
      </c>
      <c r="S174" s="379">
        <f t="shared" si="80"/>
        <v>5.8125905091337557</v>
      </c>
      <c r="T174" s="379">
        <f t="shared" si="80"/>
        <v>5.9762331781390605</v>
      </c>
      <c r="U174" s="379">
        <f t="shared" si="80"/>
        <v>6.1450977443358807</v>
      </c>
      <c r="V174" s="379">
        <f t="shared" si="80"/>
        <v>6.3193142667964199</v>
      </c>
      <c r="W174" s="379">
        <f t="shared" si="80"/>
        <v>6.4990006704617898</v>
      </c>
      <c r="X174" s="379">
        <f t="shared" si="80"/>
        <v>6.7351469340016497</v>
      </c>
      <c r="Y174" s="379">
        <f t="shared" si="80"/>
        <v>6.9284093178968771</v>
      </c>
      <c r="Z174" s="379">
        <f t="shared" si="80"/>
        <v>7.1275910091111614</v>
      </c>
      <c r="AA174" s="379">
        <f t="shared" si="80"/>
        <v>7.3335525454393959</v>
      </c>
      <c r="AB174" s="379">
        <f t="shared" si="80"/>
        <v>7.5464610209366638</v>
      </c>
      <c r="AC174" s="379">
        <f t="shared" si="80"/>
        <v>7.7664559411213645</v>
      </c>
      <c r="AD174" s="379">
        <f t="shared" si="80"/>
        <v>7.9936963610054388</v>
      </c>
      <c r="AE174" s="379">
        <f t="shared" si="80"/>
        <v>8.2283453660033619</v>
      </c>
      <c r="AF174" s="379">
        <f t="shared" si="80"/>
        <v>8.4705702241745833</v>
      </c>
      <c r="AG174" s="379">
        <f t="shared" si="80"/>
        <v>8.721286591994442</v>
      </c>
    </row>
    <row r="175" spans="1:33">
      <c r="A175" s="300" t="s">
        <v>179</v>
      </c>
      <c r="B175" s="300" t="str">
        <f t="shared" si="79"/>
        <v>CNG</v>
      </c>
      <c r="C175" s="379">
        <f t="shared" ref="C175:AG175" si="81">C169/($C$17)*1000</f>
        <v>6.4085708185804418</v>
      </c>
      <c r="D175" s="379">
        <f t="shared" si="81"/>
        <v>6.4260398133900161</v>
      </c>
      <c r="E175" s="379">
        <f t="shared" si="81"/>
        <v>6.4503789846481929</v>
      </c>
      <c r="F175" s="379">
        <f t="shared" si="81"/>
        <v>6.4812184895903799</v>
      </c>
      <c r="G175" s="379">
        <f t="shared" si="81"/>
        <v>6.5188418230422798</v>
      </c>
      <c r="H175" s="379">
        <f t="shared" si="81"/>
        <v>6.6278403929922618</v>
      </c>
      <c r="I175" s="379">
        <f t="shared" si="81"/>
        <v>6.4721339740421966</v>
      </c>
      <c r="J175" s="379">
        <f t="shared" si="81"/>
        <v>6.4283175189395694</v>
      </c>
      <c r="K175" s="379">
        <f t="shared" si="81"/>
        <v>6.3925067039279595</v>
      </c>
      <c r="L175" s="379">
        <f t="shared" si="81"/>
        <v>6.3636903037188439</v>
      </c>
      <c r="M175" s="379">
        <f t="shared" si="81"/>
        <v>6.3426772788533796</v>
      </c>
      <c r="N175" s="379">
        <f t="shared" si="81"/>
        <v>6.2855409489725682</v>
      </c>
      <c r="O175" s="379">
        <f t="shared" si="81"/>
        <v>6.2781956666570595</v>
      </c>
      <c r="P175" s="379">
        <f t="shared" si="81"/>
        <v>6.2774662903349512</v>
      </c>
      <c r="Q175" s="379">
        <f t="shared" si="81"/>
        <v>6.2843438286908651</v>
      </c>
      <c r="R175" s="379">
        <f t="shared" si="81"/>
        <v>6.2984558968164954</v>
      </c>
      <c r="S175" s="379">
        <f t="shared" si="81"/>
        <v>6.211127802900636</v>
      </c>
      <c r="T175" s="379">
        <f t="shared" si="81"/>
        <v>6.2630680329060633</v>
      </c>
      <c r="U175" s="379">
        <f t="shared" si="81"/>
        <v>6.3218447778585691</v>
      </c>
      <c r="V175" s="379">
        <f t="shared" si="81"/>
        <v>6.3875757322461322</v>
      </c>
      <c r="W175" s="379">
        <f t="shared" si="81"/>
        <v>6.4603863447475049</v>
      </c>
      <c r="X175" s="379">
        <f t="shared" si="81"/>
        <v>6.4844869110939181</v>
      </c>
      <c r="Y175" s="379">
        <f t="shared" si="81"/>
        <v>6.5702511968357546</v>
      </c>
      <c r="Z175" s="379">
        <f t="shared" si="81"/>
        <v>6.6628476334408733</v>
      </c>
      <c r="AA175" s="379">
        <f t="shared" si="81"/>
        <v>6.7633216047963902</v>
      </c>
      <c r="AB175" s="379">
        <f t="shared" si="81"/>
        <v>6.8713763335651121</v>
      </c>
      <c r="AC175" s="379">
        <f t="shared" si="81"/>
        <v>6.9739807218231702</v>
      </c>
      <c r="AD175" s="379">
        <f t="shared" si="81"/>
        <v>7.153674430185319</v>
      </c>
      <c r="AE175" s="379">
        <f t="shared" si="81"/>
        <v>7.3418682069308581</v>
      </c>
      <c r="AF175" s="379">
        <f t="shared" si="81"/>
        <v>7.5387802041073417</v>
      </c>
      <c r="AG175" s="379">
        <f t="shared" si="81"/>
        <v>7.7450773463490874</v>
      </c>
    </row>
    <row r="176" spans="1:33">
      <c r="A176" s="300" t="s">
        <v>180</v>
      </c>
      <c r="B176" s="300" t="str">
        <f t="shared" si="79"/>
        <v>LNG</v>
      </c>
      <c r="C176" s="379">
        <f t="shared" ref="C176:AG176" si="82">C167/($C$17)*1000</f>
        <v>3.5199526551028555</v>
      </c>
      <c r="D176" s="379">
        <f t="shared" si="82"/>
        <v>3.6352041250378129</v>
      </c>
      <c r="E176" s="379">
        <f t="shared" si="82"/>
        <v>3.7459853164547012</v>
      </c>
      <c r="F176" s="379">
        <f t="shared" si="82"/>
        <v>3.8605070568515005</v>
      </c>
      <c r="G176" s="379">
        <f t="shared" si="82"/>
        <v>3.9786938244382957</v>
      </c>
      <c r="H176" s="379">
        <f t="shared" si="82"/>
        <v>4.1614635095196277</v>
      </c>
      <c r="I176" s="379">
        <f t="shared" si="82"/>
        <v>4.2893372537022207</v>
      </c>
      <c r="J176" s="379">
        <f t="shared" si="82"/>
        <v>4.4212710808177746</v>
      </c>
      <c r="K176" s="379">
        <f t="shared" si="82"/>
        <v>4.5582473626355835</v>
      </c>
      <c r="L176" s="379">
        <f t="shared" si="82"/>
        <v>4.6996120782043329</v>
      </c>
      <c r="M176" s="379">
        <f t="shared" si="82"/>
        <v>4.8462024551763001</v>
      </c>
      <c r="N176" s="379">
        <f t="shared" si="82"/>
        <v>5.0385088786838983</v>
      </c>
      <c r="O176" s="379">
        <f t="shared" si="82"/>
        <v>5.1964251275688493</v>
      </c>
      <c r="P176" s="379">
        <f t="shared" si="82"/>
        <v>5.3589978323373995</v>
      </c>
      <c r="Q176" s="379">
        <f t="shared" si="82"/>
        <v>5.5275479753236354</v>
      </c>
      <c r="R176" s="379">
        <f t="shared" si="82"/>
        <v>5.7018729699172832</v>
      </c>
      <c r="S176" s="379">
        <f t="shared" si="82"/>
        <v>5.8822440952130313</v>
      </c>
      <c r="T176" s="379">
        <f t="shared" si="82"/>
        <v>6.068780010250399</v>
      </c>
      <c r="U176" s="379">
        <f t="shared" si="82"/>
        <v>6.2617602122637992</v>
      </c>
      <c r="V176" s="379">
        <f t="shared" si="82"/>
        <v>6.4613118743475999</v>
      </c>
      <c r="W176" s="379">
        <f t="shared" si="82"/>
        <v>6.6675666580856454</v>
      </c>
      <c r="X176" s="379">
        <f t="shared" si="82"/>
        <v>6.9353324315592539</v>
      </c>
      <c r="Y176" s="379">
        <f t="shared" si="82"/>
        <v>7.1577137603108252</v>
      </c>
      <c r="Z176" s="379">
        <f t="shared" si="82"/>
        <v>7.3874262633380239</v>
      </c>
      <c r="AA176" s="379">
        <f t="shared" si="82"/>
        <v>7.6253652832644452</v>
      </c>
      <c r="AB176" s="379">
        <f t="shared" si="82"/>
        <v>7.8716874747640286</v>
      </c>
      <c r="AC176" s="379">
        <f t="shared" si="82"/>
        <v>8.1267170172217433</v>
      </c>
      <c r="AD176" s="379">
        <f t="shared" si="82"/>
        <v>8.3904599025042739</v>
      </c>
      <c r="AE176" s="379">
        <f t="shared" si="82"/>
        <v>8.6634139989816177</v>
      </c>
      <c r="AF176" s="379">
        <f t="shared" si="82"/>
        <v>8.9455974410914632</v>
      </c>
      <c r="AG176" s="379">
        <f t="shared" si="82"/>
        <v>9.2379407855486306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3">C168/($C$18)*1000</f>
        <v>4.7326583534743669</v>
      </c>
      <c r="D177" s="379">
        <f t="shared" si="83"/>
        <v>4.7738387756592058</v>
      </c>
      <c r="E177" s="379">
        <f t="shared" si="83"/>
        <v>4.8116128490846242</v>
      </c>
      <c r="F177" s="379">
        <f t="shared" si="83"/>
        <v>4.8064304549471455</v>
      </c>
      <c r="G177" s="379">
        <f t="shared" si="83"/>
        <v>4.7990479909166135</v>
      </c>
      <c r="H177" s="379">
        <f t="shared" si="83"/>
        <v>4.8508842502703846</v>
      </c>
      <c r="I177" s="379">
        <f t="shared" si="83"/>
        <v>4.7412914472841869</v>
      </c>
      <c r="J177" s="379">
        <f t="shared" si="83"/>
        <v>4.7832798237216823</v>
      </c>
      <c r="K177" s="379">
        <f t="shared" si="83"/>
        <v>4.8141993598410284</v>
      </c>
      <c r="L177" s="379">
        <f t="shared" si="83"/>
        <v>4.8550767814007356</v>
      </c>
      <c r="M177" s="379">
        <f t="shared" si="83"/>
        <v>4.9054792935717231</v>
      </c>
      <c r="N177" s="379">
        <f t="shared" si="83"/>
        <v>4.8455531919445702</v>
      </c>
      <c r="O177" s="379">
        <f t="shared" si="83"/>
        <v>4.9194012844119825</v>
      </c>
      <c r="P177" s="379">
        <f t="shared" si="83"/>
        <v>4.9953509787536641</v>
      </c>
      <c r="Q177" s="379">
        <f t="shared" si="83"/>
        <v>5.0787307650293778</v>
      </c>
      <c r="R177" s="379">
        <f t="shared" si="83"/>
        <v>5.1704024276522764</v>
      </c>
      <c r="S177" s="379">
        <f t="shared" si="83"/>
        <v>5.2550826071855345</v>
      </c>
      <c r="T177" s="379">
        <f t="shared" si="83"/>
        <v>5.3775206306420644</v>
      </c>
      <c r="U177" s="379">
        <f t="shared" si="83"/>
        <v>5.5018291426684032</v>
      </c>
      <c r="V177" s="379">
        <f t="shared" si="83"/>
        <v>5.6322343575312805</v>
      </c>
      <c r="W177" s="379">
        <f t="shared" si="83"/>
        <v>5.7678524051161357</v>
      </c>
      <c r="X177" s="379">
        <f t="shared" si="83"/>
        <v>5.8344536802434384</v>
      </c>
      <c r="Y177" s="379">
        <f t="shared" si="83"/>
        <v>5.9799126526576813</v>
      </c>
      <c r="Z177" s="379">
        <f t="shared" si="83"/>
        <v>6.1316117613530112</v>
      </c>
      <c r="AA177" s="379">
        <f t="shared" si="83"/>
        <v>6.2900602240132857</v>
      </c>
      <c r="AB177" s="379">
        <f t="shared" si="83"/>
        <v>6.4549043439818492</v>
      </c>
      <c r="AC177" s="379">
        <f t="shared" si="83"/>
        <v>6.6525879777031331</v>
      </c>
      <c r="AD177" s="379">
        <f t="shared" si="83"/>
        <v>6.8609019844972661</v>
      </c>
      <c r="AE177" s="379">
        <f t="shared" si="83"/>
        <v>7.0770767798038303</v>
      </c>
      <c r="AF177" s="379">
        <f t="shared" si="83"/>
        <v>7.3010157060149492</v>
      </c>
      <c r="AG177" s="379">
        <f t="shared" si="83"/>
        <v>7.5337918820370025</v>
      </c>
    </row>
    <row r="178" spans="1:33">
      <c r="A178" s="300" t="s">
        <v>181</v>
      </c>
      <c r="B178" s="300" t="str">
        <f t="shared" si="79"/>
        <v>H2 ICE</v>
      </c>
      <c r="C178" s="379">
        <f t="shared" ref="C178:AG178" si="84">C170/($C$17)*1000</f>
        <v>6.7605199014339901</v>
      </c>
      <c r="D178" s="379">
        <f t="shared" si="84"/>
        <v>6.7332588611240674</v>
      </c>
      <c r="E178" s="379">
        <f t="shared" si="84"/>
        <v>6.7129587779431459</v>
      </c>
      <c r="F178" s="379">
        <f t="shared" si="84"/>
        <v>6.6995788450370615</v>
      </c>
      <c r="G178" s="379">
        <f t="shared" si="84"/>
        <v>6.6938264127845422</v>
      </c>
      <c r="H178" s="379">
        <f t="shared" si="84"/>
        <v>6.7294448596094005</v>
      </c>
      <c r="I178" s="379">
        <f t="shared" si="84"/>
        <v>6.5923656003251452</v>
      </c>
      <c r="J178" s="379">
        <f t="shared" si="84"/>
        <v>6.5420856714367988</v>
      </c>
      <c r="K178" s="379">
        <f t="shared" si="84"/>
        <v>6.4985733616837695</v>
      </c>
      <c r="L178" s="379">
        <f t="shared" si="84"/>
        <v>6.4621440399673293</v>
      </c>
      <c r="M178" s="379">
        <f t="shared" si="84"/>
        <v>6.432148819521978</v>
      </c>
      <c r="N178" s="379">
        <f t="shared" si="84"/>
        <v>6.277202365459484</v>
      </c>
      <c r="O178" s="379">
        <f t="shared" si="84"/>
        <v>6.2608417616309371</v>
      </c>
      <c r="P178" s="379">
        <f t="shared" si="84"/>
        <v>6.2515067425592443</v>
      </c>
      <c r="Q178" s="379">
        <f t="shared" si="84"/>
        <v>6.2488186112840651</v>
      </c>
      <c r="R178" s="379">
        <f t="shared" si="84"/>
        <v>6.2530519146446926</v>
      </c>
      <c r="S178" s="379">
        <f t="shared" si="84"/>
        <v>6.168601088195496</v>
      </c>
      <c r="T178" s="379">
        <f t="shared" si="84"/>
        <v>6.2185342914373836</v>
      </c>
      <c r="U178" s="379">
        <f t="shared" si="84"/>
        <v>6.2742068474056421</v>
      </c>
      <c r="V178" s="379">
        <f t="shared" si="84"/>
        <v>6.3368152893697047</v>
      </c>
      <c r="W178" s="379">
        <f t="shared" si="84"/>
        <v>6.4052638532576971</v>
      </c>
      <c r="X178" s="379">
        <f t="shared" si="84"/>
        <v>6.3808217557805005</v>
      </c>
      <c r="Y178" s="379">
        <f t="shared" si="84"/>
        <v>6.4608331612349268</v>
      </c>
      <c r="Z178" s="379">
        <f t="shared" si="84"/>
        <v>6.547649135763649</v>
      </c>
      <c r="AA178" s="379">
        <f t="shared" si="84"/>
        <v>6.6411069260849542</v>
      </c>
      <c r="AB178" s="379">
        <f t="shared" si="84"/>
        <v>6.741362334134064</v>
      </c>
      <c r="AC178" s="379">
        <f t="shared" si="84"/>
        <v>6.8272112174048889</v>
      </c>
      <c r="AD178" s="379">
        <f t="shared" si="84"/>
        <v>6.9979125641104201</v>
      </c>
      <c r="AE178" s="379">
        <f t="shared" si="84"/>
        <v>7.1766012795647827</v>
      </c>
      <c r="AF178" s="379">
        <f t="shared" si="84"/>
        <v>7.3625776199173885</v>
      </c>
      <c r="AG178" s="379">
        <f t="shared" si="84"/>
        <v>7.5567919078522534</v>
      </c>
    </row>
    <row r="179" spans="1:33">
      <c r="A179" s="300" t="str">
        <f>A170</f>
        <v>FCET</v>
      </c>
      <c r="B179" s="300" t="str">
        <f t="shared" si="79"/>
        <v>FCET</v>
      </c>
      <c r="C179" s="379">
        <f t="shared" ref="C179:AG179" si="85">C170/($C$19)*1000</f>
        <v>7.0790784308209318</v>
      </c>
      <c r="D179" s="379">
        <f t="shared" si="85"/>
        <v>7.0505328388733703</v>
      </c>
      <c r="E179" s="379">
        <f t="shared" si="85"/>
        <v>7.0292762072703106</v>
      </c>
      <c r="F179" s="379">
        <f t="shared" si="85"/>
        <v>7.0152658063215299</v>
      </c>
      <c r="G179" s="379">
        <f t="shared" si="85"/>
        <v>7.0092423170518776</v>
      </c>
      <c r="H179" s="379">
        <f t="shared" si="85"/>
        <v>7.0465391200098431</v>
      </c>
      <c r="I179" s="379">
        <f t="shared" si="85"/>
        <v>6.9030006286127179</v>
      </c>
      <c r="J179" s="379">
        <f t="shared" si="85"/>
        <v>6.8503514884154955</v>
      </c>
      <c r="K179" s="379">
        <f t="shared" si="85"/>
        <v>6.8047888604018523</v>
      </c>
      <c r="L179" s="379">
        <f t="shared" si="85"/>
        <v>6.7666429737877793</v>
      </c>
      <c r="M179" s="379">
        <f t="shared" si="85"/>
        <v>6.7352343659916007</v>
      </c>
      <c r="N179" s="379">
        <f t="shared" si="85"/>
        <v>6.5729867701146425</v>
      </c>
      <c r="O179" s="379">
        <f t="shared" si="85"/>
        <v>6.5558552477810856</v>
      </c>
      <c r="P179" s="379">
        <f t="shared" si="85"/>
        <v>6.5460803587007792</v>
      </c>
      <c r="Q179" s="379">
        <f t="shared" si="85"/>
        <v>6.5432655615539943</v>
      </c>
      <c r="R179" s="379">
        <f t="shared" si="85"/>
        <v>6.5476983399420865</v>
      </c>
      <c r="S179" s="379">
        <f t="shared" si="85"/>
        <v>6.4592681551785303</v>
      </c>
      <c r="T179" s="379">
        <f t="shared" si="85"/>
        <v>6.5115542318716058</v>
      </c>
      <c r="U179" s="379">
        <f t="shared" si="85"/>
        <v>6.5698501019954367</v>
      </c>
      <c r="V179" s="379">
        <f t="shared" si="85"/>
        <v>6.6354086799682763</v>
      </c>
      <c r="W179" s="379">
        <f t="shared" si="85"/>
        <v>6.7070825688562268</v>
      </c>
      <c r="X179" s="379">
        <f t="shared" si="85"/>
        <v>6.681488749508377</v>
      </c>
      <c r="Y179" s="379">
        <f t="shared" si="85"/>
        <v>6.7652703259004454</v>
      </c>
      <c r="Z179" s="379">
        <f t="shared" si="85"/>
        <v>6.8561771055116747</v>
      </c>
      <c r="AA179" s="379">
        <f t="shared" si="85"/>
        <v>6.9540386660575439</v>
      </c>
      <c r="AB179" s="379">
        <f t="shared" si="85"/>
        <v>7.0590181509257208</v>
      </c>
      <c r="AC179" s="379">
        <f t="shared" si="85"/>
        <v>7.1489122695339145</v>
      </c>
      <c r="AD179" s="379">
        <f t="shared" si="85"/>
        <v>7.3276571351941575</v>
      </c>
      <c r="AE179" s="379">
        <f t="shared" si="85"/>
        <v>7.5147657377641703</v>
      </c>
      <c r="AF179" s="379">
        <f t="shared" si="85"/>
        <v>7.7095053611700406</v>
      </c>
      <c r="AG179" s="379">
        <f t="shared" si="85"/>
        <v>7.9128711076986953</v>
      </c>
    </row>
    <row r="180" spans="1:33">
      <c r="A180" s="300" t="s">
        <v>334</v>
      </c>
      <c r="C180" s="379">
        <f t="shared" ref="C180:AG180" si="86">C174*0.9</f>
        <v>3.2138034906993682</v>
      </c>
      <c r="D180" s="379">
        <f t="shared" si="86"/>
        <v>3.4237122134000644</v>
      </c>
      <c r="E180" s="379">
        <f t="shared" si="86"/>
        <v>3.5142989772048381</v>
      </c>
      <c r="F180" s="379">
        <f t="shared" si="86"/>
        <v>3.6076220444172233</v>
      </c>
      <c r="G180" s="379">
        <f t="shared" si="86"/>
        <v>3.7037401321371766</v>
      </c>
      <c r="H180" s="379">
        <f t="shared" si="86"/>
        <v>3.8552833230595023</v>
      </c>
      <c r="I180" s="379">
        <f t="shared" si="86"/>
        <v>3.9587510101317944</v>
      </c>
      <c r="J180" s="379">
        <f t="shared" si="86"/>
        <v>4.0652651965375393</v>
      </c>
      <c r="K180" s="379">
        <f t="shared" si="86"/>
        <v>4.1755608512855753</v>
      </c>
      <c r="L180" s="379">
        <f t="shared" si="86"/>
        <v>4.2890486072842888</v>
      </c>
      <c r="M180" s="379">
        <f t="shared" si="86"/>
        <v>4.4064802570685186</v>
      </c>
      <c r="N180" s="379">
        <f t="shared" si="86"/>
        <v>4.5613223186875276</v>
      </c>
      <c r="O180" s="379">
        <f t="shared" si="86"/>
        <v>4.6872354266048566</v>
      </c>
      <c r="P180" s="379">
        <f t="shared" si="86"/>
        <v>4.8166986542288379</v>
      </c>
      <c r="Q180" s="379">
        <f t="shared" si="86"/>
        <v>4.9504729665695644</v>
      </c>
      <c r="R180" s="379">
        <f t="shared" si="86"/>
        <v>5.0886519338841785</v>
      </c>
      <c r="S180" s="379">
        <f t="shared" si="86"/>
        <v>5.2313314582203807</v>
      </c>
      <c r="T180" s="379">
        <f t="shared" si="86"/>
        <v>5.3786098603251542</v>
      </c>
      <c r="U180" s="379">
        <f t="shared" si="86"/>
        <v>5.5305879699022924</v>
      </c>
      <c r="V180" s="379">
        <f t="shared" si="86"/>
        <v>5.6873828401167783</v>
      </c>
      <c r="W180" s="379">
        <f t="shared" si="86"/>
        <v>5.8491006034156108</v>
      </c>
      <c r="X180" s="379">
        <f t="shared" si="86"/>
        <v>6.0616322406014849</v>
      </c>
      <c r="Y180" s="379">
        <f t="shared" si="86"/>
        <v>6.2355683861071896</v>
      </c>
      <c r="Z180" s="379">
        <f t="shared" si="86"/>
        <v>6.4148319082000453</v>
      </c>
      <c r="AA180" s="379">
        <f t="shared" si="86"/>
        <v>6.6001972908954567</v>
      </c>
      <c r="AB180" s="379">
        <f t="shared" si="86"/>
        <v>6.7918149188429977</v>
      </c>
      <c r="AC180" s="379">
        <f t="shared" si="86"/>
        <v>6.9898103470092279</v>
      </c>
      <c r="AD180" s="379">
        <f t="shared" si="86"/>
        <v>7.1943267249048954</v>
      </c>
      <c r="AE180" s="379">
        <f t="shared" si="86"/>
        <v>7.4055108294030259</v>
      </c>
      <c r="AF180" s="379">
        <f t="shared" si="86"/>
        <v>7.6235132017571248</v>
      </c>
      <c r="AG180" s="379">
        <f t="shared" si="86"/>
        <v>7.8491579327949976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87">D182+1</f>
        <v>2027</v>
      </c>
      <c r="F182" s="360">
        <f t="shared" si="87"/>
        <v>2028</v>
      </c>
      <c r="G182" s="360">
        <f t="shared" si="87"/>
        <v>2029</v>
      </c>
      <c r="H182" s="360">
        <f>G182+1</f>
        <v>2030</v>
      </c>
      <c r="I182" s="360">
        <f>H182+1</f>
        <v>2031</v>
      </c>
      <c r="J182" s="360">
        <f t="shared" si="87"/>
        <v>2032</v>
      </c>
      <c r="K182" s="360">
        <f t="shared" si="87"/>
        <v>2033</v>
      </c>
      <c r="L182" s="360">
        <f t="shared" si="87"/>
        <v>2034</v>
      </c>
      <c r="M182" s="360">
        <f t="shared" si="87"/>
        <v>2035</v>
      </c>
      <c r="N182" s="360">
        <f t="shared" si="87"/>
        <v>2036</v>
      </c>
      <c r="O182" s="360">
        <f t="shared" si="87"/>
        <v>2037</v>
      </c>
      <c r="P182" s="360">
        <f t="shared" si="87"/>
        <v>2038</v>
      </c>
      <c r="Q182" s="360">
        <f t="shared" si="87"/>
        <v>2039</v>
      </c>
      <c r="R182" s="360">
        <f t="shared" si="87"/>
        <v>2040</v>
      </c>
      <c r="S182" s="360">
        <f t="shared" si="87"/>
        <v>2041</v>
      </c>
      <c r="T182" s="360">
        <f t="shared" si="87"/>
        <v>2042</v>
      </c>
      <c r="U182" s="360">
        <f t="shared" si="87"/>
        <v>2043</v>
      </c>
      <c r="V182" s="360">
        <f t="shared" si="87"/>
        <v>2044</v>
      </c>
      <c r="W182" s="360">
        <f t="shared" si="87"/>
        <v>2045</v>
      </c>
      <c r="X182" s="360">
        <f t="shared" si="87"/>
        <v>2046</v>
      </c>
      <c r="Y182" s="360">
        <f t="shared" si="87"/>
        <v>2047</v>
      </c>
      <c r="Z182" s="360">
        <f t="shared" si="87"/>
        <v>2048</v>
      </c>
      <c r="AA182" s="360">
        <f t="shared" si="87"/>
        <v>2049</v>
      </c>
      <c r="AB182" s="360">
        <f t="shared" si="87"/>
        <v>2050</v>
      </c>
      <c r="AC182" s="360">
        <f t="shared" si="87"/>
        <v>2051</v>
      </c>
      <c r="AD182" s="360">
        <f t="shared" si="87"/>
        <v>2052</v>
      </c>
      <c r="AE182" s="360">
        <f t="shared" si="87"/>
        <v>2053</v>
      </c>
      <c r="AF182" s="360">
        <f t="shared" si="87"/>
        <v>2054</v>
      </c>
      <c r="AG182" s="360">
        <f t="shared" si="87"/>
        <v>2055</v>
      </c>
    </row>
    <row r="183" spans="1:33">
      <c r="A183" s="300" t="str">
        <f t="shared" ref="A183:A188" si="88">A174</f>
        <v xml:space="preserve">Diesel   </v>
      </c>
      <c r="B183" s="300" t="str">
        <f t="shared" ref="B183:B188" si="89">A183</f>
        <v xml:space="preserve">Diesel   </v>
      </c>
      <c r="C183" s="379">
        <f t="shared" ref="C183:AG183" si="90">C165/($C$17*$C$24)*1000</f>
        <v>7.141785534887485</v>
      </c>
      <c r="D183" s="379">
        <f t="shared" si="90"/>
        <v>7.6082493631112538</v>
      </c>
      <c r="E183" s="379">
        <f t="shared" si="90"/>
        <v>7.8095532826774177</v>
      </c>
      <c r="F183" s="379">
        <f t="shared" si="90"/>
        <v>8.0169378764827179</v>
      </c>
      <c r="G183" s="379">
        <f t="shared" si="90"/>
        <v>8.2305336269715035</v>
      </c>
      <c r="H183" s="379">
        <f t="shared" si="90"/>
        <v>8.5672962734655602</v>
      </c>
      <c r="I183" s="379">
        <f t="shared" si="90"/>
        <v>8.797224466959543</v>
      </c>
      <c r="J183" s="379">
        <f t="shared" si="90"/>
        <v>9.0339226589723101</v>
      </c>
      <c r="K183" s="379">
        <f t="shared" si="90"/>
        <v>9.2790241139679441</v>
      </c>
      <c r="L183" s="379">
        <f t="shared" si="90"/>
        <v>9.531219127298419</v>
      </c>
      <c r="M183" s="379">
        <f t="shared" si="90"/>
        <v>9.7921783490411514</v>
      </c>
      <c r="N183" s="379">
        <f t="shared" si="90"/>
        <v>10.136271819305616</v>
      </c>
      <c r="O183" s="379">
        <f t="shared" si="90"/>
        <v>10.416078725788569</v>
      </c>
      <c r="P183" s="379">
        <f t="shared" si="90"/>
        <v>10.703774787175195</v>
      </c>
      <c r="Q183" s="379">
        <f t="shared" si="90"/>
        <v>11.001051036821254</v>
      </c>
      <c r="R183" s="379">
        <f t="shared" si="90"/>
        <v>11.308115408631508</v>
      </c>
      <c r="S183" s="379">
        <f t="shared" si="90"/>
        <v>11.625181018267511</v>
      </c>
      <c r="T183" s="379">
        <f t="shared" si="90"/>
        <v>11.952466356278121</v>
      </c>
      <c r="U183" s="379">
        <f t="shared" si="90"/>
        <v>12.290195488671761</v>
      </c>
      <c r="V183" s="379">
        <f t="shared" si="90"/>
        <v>12.63862853359284</v>
      </c>
      <c r="W183" s="379">
        <f t="shared" si="90"/>
        <v>12.99800134092358</v>
      </c>
      <c r="X183" s="379">
        <f t="shared" si="90"/>
        <v>13.470293868003299</v>
      </c>
      <c r="Y183" s="379">
        <f t="shared" si="90"/>
        <v>13.856818635793754</v>
      </c>
      <c r="Z183" s="379">
        <f t="shared" si="90"/>
        <v>14.255182018222323</v>
      </c>
      <c r="AA183" s="379">
        <f t="shared" si="90"/>
        <v>14.667105090878792</v>
      </c>
      <c r="AB183" s="379">
        <f t="shared" si="90"/>
        <v>15.092922041873328</v>
      </c>
      <c r="AC183" s="379">
        <f t="shared" si="90"/>
        <v>15.532911882242729</v>
      </c>
      <c r="AD183" s="379">
        <f t="shared" si="90"/>
        <v>15.987392722010878</v>
      </c>
      <c r="AE183" s="379">
        <f t="shared" si="90"/>
        <v>16.456690732006724</v>
      </c>
      <c r="AF183" s="379">
        <f t="shared" si="90"/>
        <v>16.941140448349167</v>
      </c>
      <c r="AG183" s="379">
        <f t="shared" si="90"/>
        <v>17.442573183988884</v>
      </c>
    </row>
    <row r="184" spans="1:33">
      <c r="A184" s="300" t="str">
        <f t="shared" si="88"/>
        <v>CNG</v>
      </c>
      <c r="B184" s="300" t="str">
        <f t="shared" si="89"/>
        <v>CNG</v>
      </c>
      <c r="C184" s="379">
        <f t="shared" ref="C184:AG184" si="91">C169/($C$17*$C$24)*1000</f>
        <v>12.817141637160884</v>
      </c>
      <c r="D184" s="379">
        <f t="shared" si="91"/>
        <v>12.852079626780032</v>
      </c>
      <c r="E184" s="379">
        <f t="shared" si="91"/>
        <v>12.900757969296386</v>
      </c>
      <c r="F184" s="379">
        <f t="shared" si="91"/>
        <v>12.96243697918076</v>
      </c>
      <c r="G184" s="379">
        <f t="shared" si="91"/>
        <v>13.03768364608456</v>
      </c>
      <c r="H184" s="379">
        <f t="shared" si="91"/>
        <v>13.255680785984524</v>
      </c>
      <c r="I184" s="379">
        <f t="shared" si="91"/>
        <v>12.944267948084393</v>
      </c>
      <c r="J184" s="379">
        <f t="shared" si="91"/>
        <v>12.856635037879139</v>
      </c>
      <c r="K184" s="379">
        <f t="shared" si="91"/>
        <v>12.785013407855919</v>
      </c>
      <c r="L184" s="379">
        <f t="shared" si="91"/>
        <v>12.727380607437688</v>
      </c>
      <c r="M184" s="379">
        <f t="shared" si="91"/>
        <v>12.685354557706759</v>
      </c>
      <c r="N184" s="379">
        <f t="shared" si="91"/>
        <v>12.571081897945136</v>
      </c>
      <c r="O184" s="379">
        <f t="shared" si="91"/>
        <v>12.556391333314119</v>
      </c>
      <c r="P184" s="379">
        <f t="shared" si="91"/>
        <v>12.554932580669902</v>
      </c>
      <c r="Q184" s="379">
        <f t="shared" si="91"/>
        <v>12.56868765738173</v>
      </c>
      <c r="R184" s="379">
        <f t="shared" si="91"/>
        <v>12.596911793632991</v>
      </c>
      <c r="S184" s="379">
        <f t="shared" si="91"/>
        <v>12.422255605801272</v>
      </c>
      <c r="T184" s="379">
        <f t="shared" si="91"/>
        <v>12.526136065812127</v>
      </c>
      <c r="U184" s="379">
        <f t="shared" si="91"/>
        <v>12.643689555717138</v>
      </c>
      <c r="V184" s="379">
        <f t="shared" si="91"/>
        <v>12.775151464492264</v>
      </c>
      <c r="W184" s="379">
        <f t="shared" si="91"/>
        <v>12.92077268949501</v>
      </c>
      <c r="X184" s="379">
        <f t="shared" si="91"/>
        <v>12.968973822187836</v>
      </c>
      <c r="Y184" s="379">
        <f t="shared" si="91"/>
        <v>13.140502393671509</v>
      </c>
      <c r="Z184" s="379">
        <f t="shared" si="91"/>
        <v>13.325695266881747</v>
      </c>
      <c r="AA184" s="379">
        <f t="shared" si="91"/>
        <v>13.52664320959278</v>
      </c>
      <c r="AB184" s="379">
        <f t="shared" si="91"/>
        <v>13.742752667130224</v>
      </c>
      <c r="AC184" s="379">
        <f t="shared" si="91"/>
        <v>13.94796144364634</v>
      </c>
      <c r="AD184" s="379">
        <f t="shared" si="91"/>
        <v>14.307348860370638</v>
      </c>
      <c r="AE184" s="379">
        <f t="shared" si="91"/>
        <v>14.683736413861716</v>
      </c>
      <c r="AF184" s="379">
        <f t="shared" si="91"/>
        <v>15.077560408214683</v>
      </c>
      <c r="AG184" s="379">
        <f t="shared" si="91"/>
        <v>15.490154692698175</v>
      </c>
    </row>
    <row r="185" spans="1:33">
      <c r="A185" s="300" t="str">
        <f t="shared" si="88"/>
        <v>LNG</v>
      </c>
      <c r="B185" s="300" t="str">
        <f t="shared" si="89"/>
        <v>LNG</v>
      </c>
      <c r="C185" s="379">
        <f t="shared" ref="C185:AG185" si="92">C167/($C$17*$C$24)*1000</f>
        <v>7.039905310205711</v>
      </c>
      <c r="D185" s="379">
        <f t="shared" si="92"/>
        <v>7.2704082500756257</v>
      </c>
      <c r="E185" s="379">
        <f t="shared" si="92"/>
        <v>7.4919706329094025</v>
      </c>
      <c r="F185" s="379">
        <f t="shared" si="92"/>
        <v>7.7210141137030011</v>
      </c>
      <c r="G185" s="379">
        <f t="shared" si="92"/>
        <v>7.9573876488765913</v>
      </c>
      <c r="H185" s="379">
        <f t="shared" si="92"/>
        <v>8.3229270190392555</v>
      </c>
      <c r="I185" s="379">
        <f t="shared" si="92"/>
        <v>8.5786745074044415</v>
      </c>
      <c r="J185" s="379">
        <f t="shared" si="92"/>
        <v>8.8425421616355493</v>
      </c>
      <c r="K185" s="379">
        <f t="shared" si="92"/>
        <v>9.116494725271167</v>
      </c>
      <c r="L185" s="379">
        <f t="shared" si="92"/>
        <v>9.3992241564086658</v>
      </c>
      <c r="M185" s="379">
        <f t="shared" si="92"/>
        <v>9.6924049103526002</v>
      </c>
      <c r="N185" s="379">
        <f t="shared" si="92"/>
        <v>10.077017757367797</v>
      </c>
      <c r="O185" s="379">
        <f t="shared" si="92"/>
        <v>10.392850255137699</v>
      </c>
      <c r="P185" s="379">
        <f t="shared" si="92"/>
        <v>10.717995664674799</v>
      </c>
      <c r="Q185" s="379">
        <f t="shared" si="92"/>
        <v>11.055095950647271</v>
      </c>
      <c r="R185" s="379">
        <f t="shared" si="92"/>
        <v>11.403745939834566</v>
      </c>
      <c r="S185" s="379">
        <f t="shared" si="92"/>
        <v>11.764488190426063</v>
      </c>
      <c r="T185" s="379">
        <f t="shared" si="92"/>
        <v>12.137560020500798</v>
      </c>
      <c r="U185" s="379">
        <f t="shared" si="92"/>
        <v>12.523520424527598</v>
      </c>
      <c r="V185" s="379">
        <f t="shared" si="92"/>
        <v>12.9226237486952</v>
      </c>
      <c r="W185" s="379">
        <f t="shared" si="92"/>
        <v>13.335133316171291</v>
      </c>
      <c r="X185" s="379">
        <f t="shared" si="92"/>
        <v>13.870664863118508</v>
      </c>
      <c r="Y185" s="379">
        <f t="shared" si="92"/>
        <v>14.31542752062165</v>
      </c>
      <c r="Z185" s="379">
        <f t="shared" si="92"/>
        <v>14.774852526676048</v>
      </c>
      <c r="AA185" s="379">
        <f t="shared" si="92"/>
        <v>15.25073056652889</v>
      </c>
      <c r="AB185" s="379">
        <f t="shared" si="92"/>
        <v>15.743374949528057</v>
      </c>
      <c r="AC185" s="379">
        <f t="shared" si="92"/>
        <v>16.253434034443487</v>
      </c>
      <c r="AD185" s="379">
        <f t="shared" si="92"/>
        <v>16.780919805008548</v>
      </c>
      <c r="AE185" s="379">
        <f t="shared" si="92"/>
        <v>17.326827997963235</v>
      </c>
      <c r="AF185" s="379">
        <f t="shared" si="92"/>
        <v>17.891194882182926</v>
      </c>
      <c r="AG185" s="379">
        <f t="shared" si="92"/>
        <v>18.475881571097261</v>
      </c>
    </row>
    <row r="186" spans="1:33">
      <c r="A186" s="300" t="str">
        <f t="shared" si="88"/>
        <v>BET</v>
      </c>
      <c r="B186" s="300" t="str">
        <f>A186</f>
        <v>BET</v>
      </c>
      <c r="C186" s="379">
        <f t="shared" ref="C186:AG186" si="93">C168/($C$18*$C$24)*1000</f>
        <v>9.4653167069487338</v>
      </c>
      <c r="D186" s="379">
        <f t="shared" si="93"/>
        <v>9.5476775513184116</v>
      </c>
      <c r="E186" s="379">
        <f t="shared" si="93"/>
        <v>9.6232256981692483</v>
      </c>
      <c r="F186" s="379">
        <f t="shared" si="93"/>
        <v>9.612860909894291</v>
      </c>
      <c r="G186" s="379">
        <f t="shared" si="93"/>
        <v>9.598095981833227</v>
      </c>
      <c r="H186" s="379">
        <f t="shared" si="93"/>
        <v>9.7017685005407692</v>
      </c>
      <c r="I186" s="379">
        <f t="shared" si="93"/>
        <v>9.4825828945683739</v>
      </c>
      <c r="J186" s="379">
        <f t="shared" si="93"/>
        <v>9.5665596474433645</v>
      </c>
      <c r="K186" s="379">
        <f t="shared" si="93"/>
        <v>9.6283987196820568</v>
      </c>
      <c r="L186" s="379">
        <f t="shared" si="93"/>
        <v>9.7101535628014712</v>
      </c>
      <c r="M186" s="379">
        <f t="shared" si="93"/>
        <v>9.8109585871434462</v>
      </c>
      <c r="N186" s="379">
        <f t="shared" si="93"/>
        <v>9.6911063838891405</v>
      </c>
      <c r="O186" s="379">
        <f t="shared" si="93"/>
        <v>9.8388025688239651</v>
      </c>
      <c r="P186" s="379">
        <f t="shared" si="93"/>
        <v>9.9907019575073281</v>
      </c>
      <c r="Q186" s="379">
        <f t="shared" si="93"/>
        <v>10.157461530058756</v>
      </c>
      <c r="R186" s="379">
        <f t="shared" si="93"/>
        <v>10.340804855304553</v>
      </c>
      <c r="S186" s="379">
        <f t="shared" si="93"/>
        <v>10.510165214371069</v>
      </c>
      <c r="T186" s="379">
        <f t="shared" si="93"/>
        <v>10.755041261284129</v>
      </c>
      <c r="U186" s="379">
        <f t="shared" si="93"/>
        <v>11.003658285336806</v>
      </c>
      <c r="V186" s="379">
        <f t="shared" si="93"/>
        <v>11.264468715062561</v>
      </c>
      <c r="W186" s="379">
        <f t="shared" si="93"/>
        <v>11.535704810232271</v>
      </c>
      <c r="X186" s="379">
        <f t="shared" si="93"/>
        <v>11.668907360486877</v>
      </c>
      <c r="Y186" s="379">
        <f t="shared" si="93"/>
        <v>11.959825305315363</v>
      </c>
      <c r="Z186" s="379">
        <f t="shared" si="93"/>
        <v>12.263223522706022</v>
      </c>
      <c r="AA186" s="379">
        <f t="shared" si="93"/>
        <v>12.580120448026571</v>
      </c>
      <c r="AB186" s="379">
        <f t="shared" si="93"/>
        <v>12.909808687963698</v>
      </c>
      <c r="AC186" s="379">
        <f t="shared" si="93"/>
        <v>13.305175955406266</v>
      </c>
      <c r="AD186" s="379">
        <f t="shared" si="93"/>
        <v>13.721803968994532</v>
      </c>
      <c r="AE186" s="379">
        <f t="shared" si="93"/>
        <v>14.154153559607661</v>
      </c>
      <c r="AF186" s="379">
        <f t="shared" si="93"/>
        <v>14.602031412029898</v>
      </c>
      <c r="AG186" s="379">
        <f t="shared" si="93"/>
        <v>15.067583764074005</v>
      </c>
    </row>
    <row r="187" spans="1:33">
      <c r="A187" s="300" t="str">
        <f t="shared" si="88"/>
        <v>H2 ICE</v>
      </c>
      <c r="B187" s="300" t="str">
        <f t="shared" si="89"/>
        <v>H2 ICE</v>
      </c>
      <c r="C187" s="379">
        <f t="shared" ref="C187:AG187" si="94">C170/($C$17*$C$24)*1000</f>
        <v>13.52103980286798</v>
      </c>
      <c r="D187" s="379">
        <f t="shared" si="94"/>
        <v>13.466517722248135</v>
      </c>
      <c r="E187" s="379">
        <f t="shared" si="94"/>
        <v>13.425917555886292</v>
      </c>
      <c r="F187" s="379">
        <f t="shared" si="94"/>
        <v>13.399157690074123</v>
      </c>
      <c r="G187" s="379">
        <f t="shared" si="94"/>
        <v>13.387652825569084</v>
      </c>
      <c r="H187" s="379">
        <f t="shared" si="94"/>
        <v>13.458889719218801</v>
      </c>
      <c r="I187" s="379">
        <f t="shared" si="94"/>
        <v>13.18473120065029</v>
      </c>
      <c r="J187" s="379">
        <f t="shared" si="94"/>
        <v>13.084171342873598</v>
      </c>
      <c r="K187" s="379">
        <f t="shared" si="94"/>
        <v>12.997146723367539</v>
      </c>
      <c r="L187" s="379">
        <f t="shared" si="94"/>
        <v>12.924288079934659</v>
      </c>
      <c r="M187" s="379">
        <f t="shared" si="94"/>
        <v>12.864297639043956</v>
      </c>
      <c r="N187" s="379">
        <f t="shared" si="94"/>
        <v>12.554404730918968</v>
      </c>
      <c r="O187" s="379">
        <f t="shared" si="94"/>
        <v>12.521683523261874</v>
      </c>
      <c r="P187" s="379">
        <f t="shared" si="94"/>
        <v>12.503013485118489</v>
      </c>
      <c r="Q187" s="379">
        <f t="shared" si="94"/>
        <v>12.49763722256813</v>
      </c>
      <c r="R187" s="379">
        <f t="shared" si="94"/>
        <v>12.506103829289385</v>
      </c>
      <c r="S187" s="379">
        <f t="shared" si="94"/>
        <v>12.337202176390992</v>
      </c>
      <c r="T187" s="379">
        <f t="shared" si="94"/>
        <v>12.437068582874767</v>
      </c>
      <c r="U187" s="379">
        <f t="shared" si="94"/>
        <v>12.548413694811284</v>
      </c>
      <c r="V187" s="379">
        <f t="shared" si="94"/>
        <v>12.673630578739409</v>
      </c>
      <c r="W187" s="379">
        <f t="shared" si="94"/>
        <v>12.810527706515394</v>
      </c>
      <c r="X187" s="379">
        <f t="shared" si="94"/>
        <v>12.761643511561001</v>
      </c>
      <c r="Y187" s="379">
        <f t="shared" si="94"/>
        <v>12.921666322469854</v>
      </c>
      <c r="Z187" s="379">
        <f t="shared" si="94"/>
        <v>13.095298271527298</v>
      </c>
      <c r="AA187" s="379">
        <f t="shared" si="94"/>
        <v>13.282213852169908</v>
      </c>
      <c r="AB187" s="379">
        <f t="shared" si="94"/>
        <v>13.482724668268128</v>
      </c>
      <c r="AC187" s="379">
        <f t="shared" si="94"/>
        <v>13.654422434809778</v>
      </c>
      <c r="AD187" s="379">
        <f t="shared" si="94"/>
        <v>13.99582512822084</v>
      </c>
      <c r="AE187" s="379">
        <f t="shared" si="94"/>
        <v>14.353202559129565</v>
      </c>
      <c r="AF187" s="379">
        <f t="shared" si="94"/>
        <v>14.725155239834777</v>
      </c>
      <c r="AG187" s="379">
        <f t="shared" si="94"/>
        <v>15.113583815704507</v>
      </c>
    </row>
    <row r="188" spans="1:33">
      <c r="A188" s="300" t="str">
        <f t="shared" si="88"/>
        <v>FCET</v>
      </c>
      <c r="B188" s="300" t="str">
        <f t="shared" si="89"/>
        <v>FCET</v>
      </c>
      <c r="C188" s="379">
        <f t="shared" ref="C188:AG188" si="95">C170/($C$19*$C$24)*1000</f>
        <v>14.158156861641864</v>
      </c>
      <c r="D188" s="379">
        <f t="shared" si="95"/>
        <v>14.101065677746741</v>
      </c>
      <c r="E188" s="379">
        <f t="shared" si="95"/>
        <v>14.058552414540621</v>
      </c>
      <c r="F188" s="379">
        <f t="shared" si="95"/>
        <v>14.03053161264306</v>
      </c>
      <c r="G188" s="379">
        <f t="shared" si="95"/>
        <v>14.018484634103755</v>
      </c>
      <c r="H188" s="379">
        <f t="shared" si="95"/>
        <v>14.093078240019686</v>
      </c>
      <c r="I188" s="379">
        <f t="shared" si="95"/>
        <v>13.806001257225436</v>
      </c>
      <c r="J188" s="379">
        <f t="shared" si="95"/>
        <v>13.700702976830991</v>
      </c>
      <c r="K188" s="379">
        <f t="shared" si="95"/>
        <v>13.609577720803705</v>
      </c>
      <c r="L188" s="379">
        <f t="shared" si="95"/>
        <v>13.533285947575559</v>
      </c>
      <c r="M188" s="379">
        <f t="shared" si="95"/>
        <v>13.470468731983201</v>
      </c>
      <c r="N188" s="379">
        <f t="shared" si="95"/>
        <v>13.145973540229285</v>
      </c>
      <c r="O188" s="379">
        <f t="shared" si="95"/>
        <v>13.111710495562171</v>
      </c>
      <c r="P188" s="379">
        <f t="shared" si="95"/>
        <v>13.092160717401558</v>
      </c>
      <c r="Q188" s="379">
        <f t="shared" si="95"/>
        <v>13.086531123107989</v>
      </c>
      <c r="R188" s="379">
        <f t="shared" si="95"/>
        <v>13.095396679884173</v>
      </c>
      <c r="S188" s="379">
        <f t="shared" si="95"/>
        <v>12.918536310357061</v>
      </c>
      <c r="T188" s="379">
        <f t="shared" si="95"/>
        <v>13.023108463743212</v>
      </c>
      <c r="U188" s="379">
        <f t="shared" si="95"/>
        <v>13.139700203990873</v>
      </c>
      <c r="V188" s="379">
        <f t="shared" si="95"/>
        <v>13.270817359936553</v>
      </c>
      <c r="W188" s="379">
        <f t="shared" si="95"/>
        <v>13.414165137712454</v>
      </c>
      <c r="X188" s="379">
        <f t="shared" si="95"/>
        <v>13.362977499016754</v>
      </c>
      <c r="Y188" s="379">
        <f t="shared" si="95"/>
        <v>13.530540651800891</v>
      </c>
      <c r="Z188" s="379">
        <f t="shared" si="95"/>
        <v>13.712354211023349</v>
      </c>
      <c r="AA188" s="379">
        <f t="shared" si="95"/>
        <v>13.908077332115088</v>
      </c>
      <c r="AB188" s="379">
        <f t="shared" si="95"/>
        <v>14.118036301851442</v>
      </c>
      <c r="AC188" s="379">
        <f t="shared" si="95"/>
        <v>14.297824539067829</v>
      </c>
      <c r="AD188" s="379">
        <f t="shared" si="95"/>
        <v>14.655314270388315</v>
      </c>
      <c r="AE188" s="379">
        <f t="shared" si="95"/>
        <v>15.029531475528341</v>
      </c>
      <c r="AF188" s="379">
        <f t="shared" si="95"/>
        <v>15.419010722340081</v>
      </c>
      <c r="AG188" s="379">
        <f t="shared" si="95"/>
        <v>15.825742215397391</v>
      </c>
    </row>
    <row r="189" spans="1:33">
      <c r="A189" s="300" t="s">
        <v>334</v>
      </c>
      <c r="C189" s="379">
        <f t="shared" ref="C189:AG189" si="96">C183*0.9</f>
        <v>6.4276069813987364</v>
      </c>
      <c r="D189" s="379">
        <f t="shared" si="96"/>
        <v>6.8474244268001287</v>
      </c>
      <c r="E189" s="379">
        <f t="shared" si="96"/>
        <v>7.0285979544096762</v>
      </c>
      <c r="F189" s="379">
        <f t="shared" si="96"/>
        <v>7.2152440888344467</v>
      </c>
      <c r="G189" s="379">
        <f t="shared" si="96"/>
        <v>7.4074802642743531</v>
      </c>
      <c r="H189" s="379">
        <f t="shared" si="96"/>
        <v>7.7105666461190046</v>
      </c>
      <c r="I189" s="379">
        <f t="shared" si="96"/>
        <v>7.9175020202635888</v>
      </c>
      <c r="J189" s="379">
        <f t="shared" si="96"/>
        <v>8.1305303930750785</v>
      </c>
      <c r="K189" s="379">
        <f t="shared" si="96"/>
        <v>8.3511217025711506</v>
      </c>
      <c r="L189" s="379">
        <f t="shared" si="96"/>
        <v>8.5780972145685777</v>
      </c>
      <c r="M189" s="379">
        <f t="shared" si="96"/>
        <v>8.8129605141370373</v>
      </c>
      <c r="N189" s="379">
        <f t="shared" si="96"/>
        <v>9.1226446373750552</v>
      </c>
      <c r="O189" s="379">
        <f t="shared" si="96"/>
        <v>9.3744708532097132</v>
      </c>
      <c r="P189" s="379">
        <f t="shared" si="96"/>
        <v>9.6333973084576758</v>
      </c>
      <c r="Q189" s="379">
        <f t="shared" si="96"/>
        <v>9.9009459331391287</v>
      </c>
      <c r="R189" s="379">
        <f t="shared" si="96"/>
        <v>10.177303867768357</v>
      </c>
      <c r="S189" s="379">
        <f t="shared" si="96"/>
        <v>10.462662916440761</v>
      </c>
      <c r="T189" s="379">
        <f t="shared" si="96"/>
        <v>10.757219720650308</v>
      </c>
      <c r="U189" s="379">
        <f t="shared" si="96"/>
        <v>11.061175939804585</v>
      </c>
      <c r="V189" s="379">
        <f t="shared" si="96"/>
        <v>11.374765680233557</v>
      </c>
      <c r="W189" s="379">
        <f t="shared" si="96"/>
        <v>11.698201206831222</v>
      </c>
      <c r="X189" s="379">
        <f t="shared" si="96"/>
        <v>12.12326448120297</v>
      </c>
      <c r="Y189" s="379">
        <f t="shared" si="96"/>
        <v>12.471136772214379</v>
      </c>
      <c r="Z189" s="379">
        <f t="shared" si="96"/>
        <v>12.829663816400091</v>
      </c>
      <c r="AA189" s="379">
        <f t="shared" si="96"/>
        <v>13.200394581790913</v>
      </c>
      <c r="AB189" s="379">
        <f t="shared" si="96"/>
        <v>13.583629837685995</v>
      </c>
      <c r="AC189" s="379">
        <f t="shared" si="96"/>
        <v>13.979620694018456</v>
      </c>
      <c r="AD189" s="379">
        <f t="shared" si="96"/>
        <v>14.388653449809791</v>
      </c>
      <c r="AE189" s="379">
        <f t="shared" si="96"/>
        <v>14.811021658806052</v>
      </c>
      <c r="AF189" s="379">
        <f t="shared" si="96"/>
        <v>15.24702640351425</v>
      </c>
      <c r="AG189" s="379">
        <f t="shared" si="96"/>
        <v>15.698315865589995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97">D191+1</f>
        <v>2027</v>
      </c>
      <c r="F191" s="360">
        <f t="shared" si="97"/>
        <v>2028</v>
      </c>
      <c r="G191" s="360">
        <f t="shared" si="97"/>
        <v>2029</v>
      </c>
      <c r="H191" s="360">
        <f>G191+1</f>
        <v>2030</v>
      </c>
      <c r="I191" s="360">
        <f>H191+1</f>
        <v>2031</v>
      </c>
      <c r="J191" s="360">
        <f t="shared" si="97"/>
        <v>2032</v>
      </c>
      <c r="K191" s="360">
        <f t="shared" si="97"/>
        <v>2033</v>
      </c>
      <c r="L191" s="360">
        <f t="shared" si="97"/>
        <v>2034</v>
      </c>
      <c r="M191" s="360">
        <f t="shared" si="97"/>
        <v>2035</v>
      </c>
      <c r="N191" s="360">
        <f t="shared" si="97"/>
        <v>2036</v>
      </c>
      <c r="O191" s="360">
        <f t="shared" si="97"/>
        <v>2037</v>
      </c>
      <c r="P191" s="360">
        <f t="shared" si="97"/>
        <v>2038</v>
      </c>
      <c r="Q191" s="360">
        <f t="shared" si="97"/>
        <v>2039</v>
      </c>
      <c r="R191" s="360">
        <f t="shared" si="97"/>
        <v>2040</v>
      </c>
      <c r="S191" s="360">
        <f t="shared" si="97"/>
        <v>2041</v>
      </c>
      <c r="T191" s="360">
        <f t="shared" si="97"/>
        <v>2042</v>
      </c>
      <c r="U191" s="360">
        <f t="shared" si="97"/>
        <v>2043</v>
      </c>
      <c r="V191" s="360">
        <f t="shared" si="97"/>
        <v>2044</v>
      </c>
      <c r="W191" s="360">
        <f t="shared" si="97"/>
        <v>2045</v>
      </c>
      <c r="X191" s="360">
        <f t="shared" si="97"/>
        <v>2046</v>
      </c>
      <c r="Y191" s="360">
        <f t="shared" si="97"/>
        <v>2047</v>
      </c>
      <c r="Z191" s="360">
        <f t="shared" si="97"/>
        <v>2048</v>
      </c>
      <c r="AA191" s="360">
        <f t="shared" si="97"/>
        <v>2049</v>
      </c>
      <c r="AB191" s="360">
        <f t="shared" si="97"/>
        <v>2050</v>
      </c>
      <c r="AC191" s="360">
        <f t="shared" si="97"/>
        <v>2051</v>
      </c>
      <c r="AD191" s="360">
        <f t="shared" si="97"/>
        <v>2052</v>
      </c>
      <c r="AE191" s="360">
        <f t="shared" si="97"/>
        <v>2053</v>
      </c>
      <c r="AF191" s="360">
        <f t="shared" si="97"/>
        <v>2054</v>
      </c>
      <c r="AG191" s="360">
        <f t="shared" si="97"/>
        <v>2055</v>
      </c>
    </row>
    <row r="192" spans="1:33">
      <c r="A192" s="300" t="str">
        <f>A165</f>
        <v xml:space="preserve">Diesel   </v>
      </c>
      <c r="C192" s="388">
        <f t="shared" ref="C192:AG192" si="98">C165/C168</f>
        <v>0.85741086450874293</v>
      </c>
      <c r="D192" s="388">
        <f t="shared" si="98"/>
        <v>0.90553308552324951</v>
      </c>
      <c r="E192" s="388">
        <f t="shared" si="98"/>
        <v>0.92219518122360911</v>
      </c>
      <c r="F192" s="388">
        <f t="shared" si="98"/>
        <v>0.94770503424681829</v>
      </c>
      <c r="G192" s="388">
        <f t="shared" si="98"/>
        <v>0.97445150988916618</v>
      </c>
      <c r="H192" s="388">
        <f t="shared" si="98"/>
        <v>1.0034834315596481</v>
      </c>
      <c r="I192" s="388">
        <f t="shared" si="98"/>
        <v>1.0542323854513833</v>
      </c>
      <c r="J192" s="388">
        <f t="shared" si="98"/>
        <v>1.0730943601152518</v>
      </c>
      <c r="K192" s="388">
        <f t="shared" si="98"/>
        <v>1.0951297189739431</v>
      </c>
      <c r="L192" s="388">
        <f t="shared" si="98"/>
        <v>1.1154232274932889</v>
      </c>
      <c r="M192" s="388">
        <f t="shared" si="98"/>
        <v>1.1341883973722431</v>
      </c>
      <c r="N192" s="388">
        <f t="shared" si="98"/>
        <v>1.1885630234031022</v>
      </c>
      <c r="O192" s="388">
        <f t="shared" si="98"/>
        <v>1.2030379728314669</v>
      </c>
      <c r="P192" s="388">
        <f t="shared" si="98"/>
        <v>1.2174700528256541</v>
      </c>
      <c r="Q192" s="388">
        <f t="shared" si="98"/>
        <v>1.2307400154093264</v>
      </c>
      <c r="R192" s="388">
        <f t="shared" si="98"/>
        <v>1.2426625708520549</v>
      </c>
      <c r="S192" s="388">
        <f t="shared" si="98"/>
        <v>1.2569196302681056</v>
      </c>
      <c r="T192" s="388">
        <f t="shared" si="98"/>
        <v>1.2628820105997924</v>
      </c>
      <c r="U192" s="388">
        <f t="shared" si="98"/>
        <v>1.2692261859619824</v>
      </c>
      <c r="V192" s="388">
        <f t="shared" si="98"/>
        <v>1.2749893707706044</v>
      </c>
      <c r="W192" s="388">
        <f t="shared" si="98"/>
        <v>1.2804121041767484</v>
      </c>
      <c r="X192" s="388">
        <f t="shared" si="98"/>
        <v>1.3117896688908446</v>
      </c>
      <c r="Y192" s="388">
        <f t="shared" si="98"/>
        <v>1.3166065900982475</v>
      </c>
      <c r="Z192" s="388">
        <f t="shared" si="98"/>
        <v>1.3209471755333484</v>
      </c>
      <c r="AA192" s="388">
        <f t="shared" si="98"/>
        <v>1.32488118415537</v>
      </c>
      <c r="AB192" s="388">
        <f t="shared" si="98"/>
        <v>1.3285284227989083</v>
      </c>
      <c r="AC192" s="388">
        <f t="shared" si="98"/>
        <v>1.3266292974238474</v>
      </c>
      <c r="AD192" s="388">
        <f t="shared" si="98"/>
        <v>1.3239871208340142</v>
      </c>
      <c r="AE192" s="388">
        <f t="shared" si="98"/>
        <v>1.3212224131934089</v>
      </c>
      <c r="AF192" s="388">
        <f t="shared" si="98"/>
        <v>1.3183984762676888</v>
      </c>
      <c r="AG192" s="388">
        <f t="shared" si="98"/>
        <v>1.3154800531559936</v>
      </c>
    </row>
    <row r="193" spans="1:33">
      <c r="A193" s="300" t="str">
        <f>A169</f>
        <v>H2-ICE</v>
      </c>
      <c r="C193" s="388">
        <f t="shared" ref="C193:AG193" si="99">C169/C168</f>
        <v>1.5387687627926301</v>
      </c>
      <c r="D193" s="388">
        <f t="shared" si="99"/>
        <v>1.5296532440505441</v>
      </c>
      <c r="E193" s="388">
        <f t="shared" si="99"/>
        <v>1.5233927476756315</v>
      </c>
      <c r="F193" s="388">
        <f t="shared" si="99"/>
        <v>1.5323265529240138</v>
      </c>
      <c r="G193" s="388">
        <f t="shared" si="99"/>
        <v>1.5435925652197537</v>
      </c>
      <c r="H193" s="388">
        <f t="shared" si="99"/>
        <v>1.5526317309671265</v>
      </c>
      <c r="I193" s="388">
        <f t="shared" si="99"/>
        <v>1.5512013508446092</v>
      </c>
      <c r="J193" s="388">
        <f t="shared" si="99"/>
        <v>1.5271751895624155</v>
      </c>
      <c r="K193" s="388">
        <f t="shared" si="99"/>
        <v>1.5089138651280063</v>
      </c>
      <c r="L193" s="388">
        <f t="shared" si="99"/>
        <v>1.4894648591200266</v>
      </c>
      <c r="M193" s="388">
        <f t="shared" si="99"/>
        <v>1.4692932913454273</v>
      </c>
      <c r="N193" s="388">
        <f t="shared" si="99"/>
        <v>1.4740649594273851</v>
      </c>
      <c r="O193" s="388">
        <f t="shared" si="99"/>
        <v>1.4502401501929125</v>
      </c>
      <c r="P193" s="388">
        <f t="shared" si="99"/>
        <v>1.4280246675710002</v>
      </c>
      <c r="Q193" s="388">
        <f t="shared" si="99"/>
        <v>1.4061189962073566</v>
      </c>
      <c r="R193" s="388">
        <f t="shared" si="99"/>
        <v>1.38428997481968</v>
      </c>
      <c r="S193" s="388">
        <f t="shared" si="99"/>
        <v>1.3430996815107266</v>
      </c>
      <c r="T193" s="388">
        <f t="shared" si="99"/>
        <v>1.3234952041116042</v>
      </c>
      <c r="U193" s="388">
        <f t="shared" si="99"/>
        <v>1.3057320272962183</v>
      </c>
      <c r="V193" s="388">
        <f t="shared" si="99"/>
        <v>1.2887618529114127</v>
      </c>
      <c r="W193" s="388">
        <f t="shared" si="99"/>
        <v>1.2728044345447216</v>
      </c>
      <c r="X193" s="388">
        <f t="shared" si="99"/>
        <v>1.2629691707374449</v>
      </c>
      <c r="Y193" s="388">
        <f t="shared" si="99"/>
        <v>1.2485457523431507</v>
      </c>
      <c r="Z193" s="388">
        <f t="shared" si="99"/>
        <v>1.2348168899074261</v>
      </c>
      <c r="AA193" s="388">
        <f t="shared" si="99"/>
        <v>1.2218631394628341</v>
      </c>
      <c r="AB193" s="388">
        <f t="shared" si="99"/>
        <v>1.2096820930449779</v>
      </c>
      <c r="AC193" s="388">
        <f t="shared" si="99"/>
        <v>1.1912624259224072</v>
      </c>
      <c r="AD193" s="388">
        <f t="shared" si="99"/>
        <v>1.1848552139668296</v>
      </c>
      <c r="AE193" s="388">
        <f t="shared" si="99"/>
        <v>1.1788810992046044</v>
      </c>
      <c r="AF193" s="388">
        <f t="shared" si="99"/>
        <v>1.1733703954954997</v>
      </c>
      <c r="AG193" s="388">
        <f t="shared" si="99"/>
        <v>1.1682329954189257</v>
      </c>
    </row>
    <row r="194" spans="1:33">
      <c r="A194" s="300" t="str">
        <f>A170</f>
        <v>FCET</v>
      </c>
      <c r="C194" s="388">
        <f t="shared" ref="C194:AG194" si="100">C170/C168</f>
        <v>1.6232756318153427</v>
      </c>
      <c r="D194" s="388">
        <f t="shared" si="100"/>
        <v>1.6027836053068336</v>
      </c>
      <c r="E194" s="388">
        <f t="shared" si="100"/>
        <v>1.5854064919445685</v>
      </c>
      <c r="F194" s="388">
        <f t="shared" si="100"/>
        <v>1.5839525506116836</v>
      </c>
      <c r="G194" s="388">
        <f t="shared" si="100"/>
        <v>1.585027059120103</v>
      </c>
      <c r="H194" s="388">
        <f t="shared" si="100"/>
        <v>1.5764334988920987</v>
      </c>
      <c r="I194" s="388">
        <f t="shared" si="100"/>
        <v>1.5800177291600712</v>
      </c>
      <c r="J194" s="388">
        <f t="shared" si="100"/>
        <v>1.5542030859512024</v>
      </c>
      <c r="K194" s="388">
        <f t="shared" si="100"/>
        <v>1.5339502800944835</v>
      </c>
      <c r="L194" s="388">
        <f t="shared" si="100"/>
        <v>1.5125086235699547</v>
      </c>
      <c r="M194" s="388">
        <f t="shared" si="100"/>
        <v>1.4900195444229729</v>
      </c>
      <c r="N194" s="388">
        <f t="shared" si="100"/>
        <v>1.4721094214923558</v>
      </c>
      <c r="O194" s="388">
        <f t="shared" si="100"/>
        <v>1.4462314618423442</v>
      </c>
      <c r="P194" s="388">
        <f t="shared" si="100"/>
        <v>1.4221192794943214</v>
      </c>
      <c r="Q194" s="388">
        <f t="shared" si="100"/>
        <v>1.3981702454066698</v>
      </c>
      <c r="R194" s="388">
        <f t="shared" si="100"/>
        <v>1.3743109770514987</v>
      </c>
      <c r="S194" s="388">
        <f t="shared" si="100"/>
        <v>1.3339036677127982</v>
      </c>
      <c r="T194" s="388">
        <f t="shared" si="100"/>
        <v>1.3140844499979216</v>
      </c>
      <c r="U194" s="388">
        <f t="shared" si="100"/>
        <v>1.2958927519434997</v>
      </c>
      <c r="V194" s="388">
        <f t="shared" si="100"/>
        <v>1.2785203896148161</v>
      </c>
      <c r="W194" s="388">
        <f t="shared" si="100"/>
        <v>1.261944379453988</v>
      </c>
      <c r="X194" s="388">
        <f t="shared" si="100"/>
        <v>1.2427785377643776</v>
      </c>
      <c r="Y194" s="388">
        <f t="shared" si="100"/>
        <v>1.2277530277598139</v>
      </c>
      <c r="Z194" s="388">
        <f t="shared" si="100"/>
        <v>1.2134673020960751</v>
      </c>
      <c r="AA194" s="388">
        <f t="shared" si="100"/>
        <v>1.1997838092543023</v>
      </c>
      <c r="AB194" s="388">
        <f t="shared" si="100"/>
        <v>1.1867935770734912</v>
      </c>
      <c r="AC194" s="388">
        <f t="shared" si="100"/>
        <v>1.1661919528513196</v>
      </c>
      <c r="AD194" s="388">
        <f t="shared" si="100"/>
        <v>1.1590565477069694</v>
      </c>
      <c r="AE194" s="388">
        <f t="shared" si="100"/>
        <v>1.1523442489773605</v>
      </c>
      <c r="AF194" s="388">
        <f t="shared" si="100"/>
        <v>1.1459454155517084</v>
      </c>
      <c r="AG194" s="388">
        <f t="shared" si="100"/>
        <v>1.1398328578899428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6:A37"/>
  </mergeCells>
  <pageMargins left="0.7" right="0.7" top="0.75" bottom="0.75" header="0.3" footer="0.3"/>
  <pageSetup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A939-7008-4A82-94B6-2F8D82F95E51}">
  <sheetPr>
    <tabColor rgb="FF0070C0"/>
  </sheetPr>
  <dimension ref="A1:AL200"/>
  <sheetViews>
    <sheetView zoomScaleNormal="100" workbookViewId="0">
      <pane xSplit="2" ySplit="4" topLeftCell="R161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</row>
    <row r="2" spans="1:21">
      <c r="A2" s="352" t="s">
        <v>868</v>
      </c>
      <c r="B2" s="352" t="str">
        <f>'No change with year'!B13</f>
        <v>Cement (Bulkers &amp; Bagged)</v>
      </c>
      <c r="F2" s="341" t="s">
        <v>249</v>
      </c>
      <c r="G2" s="341" t="s">
        <v>250</v>
      </c>
    </row>
    <row r="3" spans="1:21">
      <c r="A3" s="352" t="s">
        <v>4</v>
      </c>
      <c r="B3" s="352" t="str">
        <f>'No change with year'!C13</f>
        <v>48T Rigid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year'!AR13</f>
        <v>47500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year'!$C$85</f>
        <v>4700000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year'!$C$96</f>
        <v>4950000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year'!$C$109</f>
        <v>5280375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year'!$C$121</f>
        <v>6279200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year'!$C$133</f>
        <v>11697500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year'!$C$146</f>
        <v>15066000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year'!$G$13</f>
        <v>350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year'!$J$13</f>
        <v>120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year'!$I$13</f>
        <v>80</v>
      </c>
      <c r="D16" s="347"/>
      <c r="E16" s="347"/>
    </row>
    <row r="17" spans="1:14" ht="15.6">
      <c r="A17" s="348" t="s">
        <v>269</v>
      </c>
      <c r="B17" s="300" t="s">
        <v>255</v>
      </c>
      <c r="C17" s="346">
        <f>'No change with year'!$AX$13</f>
        <v>35000</v>
      </c>
      <c r="D17" s="347" t="s">
        <v>169</v>
      </c>
      <c r="E17" s="347">
        <v>13</v>
      </c>
    </row>
    <row r="18" spans="1:14" ht="15.6">
      <c r="A18" s="328" t="s">
        <v>270</v>
      </c>
      <c r="B18" s="300" t="s">
        <v>255</v>
      </c>
      <c r="C18" s="346">
        <f>'No change with year'!$AY$13</f>
        <v>32200</v>
      </c>
      <c r="D18" s="347" t="s">
        <v>169</v>
      </c>
      <c r="E18" s="347">
        <v>14</v>
      </c>
    </row>
    <row r="19" spans="1:14" ht="15.6">
      <c r="A19" s="328" t="s">
        <v>271</v>
      </c>
      <c r="B19" s="300" t="s">
        <v>255</v>
      </c>
      <c r="C19" s="346">
        <f>'No change with year'!$AZ$13</f>
        <v>33900</v>
      </c>
      <c r="D19" s="347" t="s">
        <v>169</v>
      </c>
      <c r="E19" s="347">
        <v>18</v>
      </c>
    </row>
    <row r="20" spans="1:14" ht="15.6">
      <c r="A20" s="328" t="s">
        <v>272</v>
      </c>
      <c r="B20" s="300" t="s">
        <v>273</v>
      </c>
      <c r="C20" s="391">
        <f>'Changing with year'!$C$269</f>
        <v>9</v>
      </c>
      <c r="D20" s="347" t="s">
        <v>169</v>
      </c>
      <c r="E20" s="347">
        <v>19</v>
      </c>
    </row>
    <row r="21" spans="1:14" ht="15.6">
      <c r="A21" s="328" t="s">
        <v>274</v>
      </c>
      <c r="B21" s="300" t="s">
        <v>195</v>
      </c>
      <c r="C21" s="346">
        <f>'No change with year'!$K$13</f>
        <v>360</v>
      </c>
      <c r="D21" s="347" t="s">
        <v>169</v>
      </c>
      <c r="E21" s="347">
        <v>20</v>
      </c>
    </row>
    <row r="22" spans="1:14" ht="15.6">
      <c r="A22" s="328" t="s">
        <v>172</v>
      </c>
      <c r="B22" s="300" t="s">
        <v>196</v>
      </c>
      <c r="C22" s="346">
        <f>'No change with year'!$L$13</f>
        <v>320</v>
      </c>
      <c r="D22" s="347" t="s">
        <v>169</v>
      </c>
      <c r="E22" s="347">
        <v>21</v>
      </c>
    </row>
    <row r="23" spans="1:14" ht="15.6">
      <c r="A23" s="328" t="s">
        <v>174</v>
      </c>
      <c r="B23" s="300" t="s">
        <v>197</v>
      </c>
      <c r="C23" s="346">
        <f>'No change with year'!$Q$13</f>
        <v>9</v>
      </c>
      <c r="D23" s="347" t="s">
        <v>275</v>
      </c>
      <c r="E23" s="347">
        <v>2</v>
      </c>
    </row>
    <row r="24" spans="1:14" ht="15.6">
      <c r="A24" s="328" t="s">
        <v>276</v>
      </c>
      <c r="B24" s="300" t="s">
        <v>198</v>
      </c>
      <c r="C24" s="390">
        <f>'No change with year'!$O$13</f>
        <v>0.9</v>
      </c>
      <c r="D24" s="347" t="s">
        <v>275</v>
      </c>
      <c r="E24" s="347">
        <v>3</v>
      </c>
    </row>
    <row r="25" spans="1:14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14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14" ht="15.6">
      <c r="A27" s="328" t="s">
        <v>687</v>
      </c>
      <c r="C27" s="345">
        <f>'No change with year'!D30</f>
        <v>7</v>
      </c>
      <c r="D27" s="347"/>
      <c r="E27" s="347"/>
    </row>
    <row r="28" spans="1:14" ht="15.6">
      <c r="A28" s="328" t="s">
        <v>688</v>
      </c>
      <c r="C28" s="325">
        <f>'No change with year'!D29</f>
        <v>0.12</v>
      </c>
      <c r="D28" s="347"/>
      <c r="E28" s="347"/>
    </row>
    <row r="29" spans="1:14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14" ht="15.6">
      <c r="D30" s="347" t="s">
        <v>275</v>
      </c>
      <c r="E30" s="347">
        <v>5</v>
      </c>
    </row>
    <row r="31" spans="1:14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14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  <c r="N32" s="368" t="s">
        <v>363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year'!$E$13</f>
        <v>157.5</v>
      </c>
      <c r="F35" s="355">
        <f>'No change with year'!$F$13</f>
        <v>28.2</v>
      </c>
      <c r="G35" s="328"/>
      <c r="H35" s="355">
        <f>'No change with year'!$H$13</f>
        <v>28.2</v>
      </c>
    </row>
    <row r="36" spans="1:38">
      <c r="A36" s="974" t="s">
        <v>345</v>
      </c>
      <c r="B36" s="328" t="s">
        <v>201</v>
      </c>
      <c r="C36" s="356"/>
      <c r="D36" s="356"/>
      <c r="E36" s="356"/>
      <c r="F36" s="356"/>
      <c r="G36" s="356"/>
      <c r="H36" s="356"/>
    </row>
    <row r="37" spans="1:38">
      <c r="A37" s="974"/>
      <c r="B37" s="328" t="s">
        <v>346</v>
      </c>
      <c r="C37" s="358">
        <f>'No change with year'!S13</f>
        <v>2.9</v>
      </c>
      <c r="D37" s="358">
        <f>'No change with year'!T13</f>
        <v>3.1</v>
      </c>
      <c r="E37" s="358">
        <f>'No change with year'!U13</f>
        <v>3</v>
      </c>
      <c r="F37" s="358">
        <f>'No change with year'!V13</f>
        <v>8.6999999999999993</v>
      </c>
      <c r="G37" s="357">
        <f>'No change with year'!$W$13</f>
        <v>1.4</v>
      </c>
      <c r="H37" s="358">
        <f>'No change with year'!X13</f>
        <v>11.6</v>
      </c>
    </row>
    <row r="38" spans="1:38" ht="28.8">
      <c r="A38" s="296" t="s">
        <v>283</v>
      </c>
      <c r="B38" s="296" t="s">
        <v>284</v>
      </c>
      <c r="C38" s="297">
        <f>($C$21*$C$22)/C37</f>
        <v>39724.137931034486</v>
      </c>
      <c r="D38" s="297">
        <f>($C$21*$C$22)/D37</f>
        <v>37161.290322580644</v>
      </c>
      <c r="E38" s="297">
        <f>($C$21*$C$22)/E37</f>
        <v>38400</v>
      </c>
      <c r="F38" s="297">
        <f>($C$21*$C$22)/F37</f>
        <v>13241.379310344828</v>
      </c>
      <c r="G38" s="297">
        <f>($C$21*$C$22*G37)</f>
        <v>161280</v>
      </c>
      <c r="H38" s="297">
        <f>($C$21*$C$22)/H37</f>
        <v>9931.0344827586214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36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36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36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</row>
    <row r="52" spans="1:36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</row>
    <row r="53" spans="1:36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</row>
    <row r="54" spans="1:36">
      <c r="A54" s="348" t="s">
        <v>356</v>
      </c>
      <c r="B54" s="328" t="s">
        <v>300</v>
      </c>
      <c r="C54" s="393">
        <f>'Changing with year'!C291/($C$21*$C$22)</f>
        <v>5.208333333333333</v>
      </c>
      <c r="D54" s="393">
        <f>'Changing with year'!D291/($C$21*$C$22)</f>
        <v>5.442708333333333</v>
      </c>
      <c r="E54" s="393">
        <f>'Changing with year'!E291/($C$21*$C$22)</f>
        <v>5.6857638888888893</v>
      </c>
      <c r="F54" s="393">
        <f>'Changing with year'!F291/($C$21*$C$22)</f>
        <v>5.9375</v>
      </c>
      <c r="G54" s="393">
        <f>'Changing with year'!G291/($C$21*$C$22)</f>
        <v>6.2065972222222223</v>
      </c>
      <c r="H54" s="393">
        <f>'Changing with year'!H291/($C$21*$C$22)</f>
        <v>6.484375</v>
      </c>
      <c r="I54" s="393">
        <f>'Changing with year'!I291/($C$21*$C$22)</f>
        <v>6.7795138888888893</v>
      </c>
      <c r="J54" s="393">
        <f>'Changing with year'!J291/($C$21*$C$22)</f>
        <v>7.083333333333333</v>
      </c>
      <c r="K54" s="393">
        <f>'Changing with year'!K291/($C$21*$C$22)</f>
        <v>7.4045138888888893</v>
      </c>
      <c r="L54" s="393">
        <f>'Changing with year'!L291/($C$21*$C$22)</f>
        <v>7.734375</v>
      </c>
      <c r="M54" s="393">
        <f>'Changing with year'!M291/($C$21*$C$22)</f>
        <v>8.0815972222222214</v>
      </c>
      <c r="N54" s="393">
        <f>'Changing with year'!N291/($C$21*$C$22)</f>
        <v>8.4461805555555554</v>
      </c>
      <c r="O54" s="393">
        <f>'Changing with year'!O291/($C$21*$C$22)</f>
        <v>8.828125</v>
      </c>
      <c r="P54" s="393">
        <f>'Changing with year'!P291/($C$21*$C$22)</f>
        <v>9.2274305555555554</v>
      </c>
      <c r="Q54" s="393">
        <f>'Changing with year'!Q291/($C$21*$C$22)</f>
        <v>9.6440972222222214</v>
      </c>
      <c r="R54" s="393">
        <f>'Changing with year'!R291/($C$21*$C$22)</f>
        <v>10.078125</v>
      </c>
      <c r="S54" s="393">
        <f>'Changing with year'!S291/($C$21*$C$22)</f>
        <v>10.529513888888889</v>
      </c>
      <c r="T54" s="393">
        <f>'Changing with year'!T291/($C$21*$C$22)</f>
        <v>11.006944444444445</v>
      </c>
      <c r="U54" s="393">
        <f>'Changing with year'!U291/($C$21*$C$22)</f>
        <v>11.501736111111111</v>
      </c>
      <c r="V54" s="393">
        <f>'Changing with year'!V291/($C$21*$C$22)</f>
        <v>12.022569444444445</v>
      </c>
      <c r="W54" s="393">
        <f>'Changing with year'!W291/($C$21*$C$22)</f>
        <v>12.560763888888889</v>
      </c>
      <c r="X54" s="393">
        <f>'Changing with year'!X291/($C$21*$C$22)</f>
        <v>13.125</v>
      </c>
      <c r="Y54" s="393">
        <f>'Changing with year'!Y291/($C$21*$C$22)</f>
        <v>13.715277777777779</v>
      </c>
      <c r="Z54" s="393">
        <f>'Changing with year'!Z291/($C$21*$C$22)</f>
        <v>14.331597222222221</v>
      </c>
      <c r="AA54" s="393">
        <f>'Changing with year'!AA291/($C$21*$C$22)</f>
        <v>14.973958333333334</v>
      </c>
      <c r="AB54" s="393">
        <f>'Changing with year'!AB291/($C$21*$C$22)</f>
        <v>15.651041666666666</v>
      </c>
      <c r="AC54" s="393">
        <f>'Changing with year'!AC291/($C$21*$C$22)</f>
        <v>16.354166666666668</v>
      </c>
      <c r="AD54" s="393">
        <f>'Changing with year'!AD291/($C$21*$C$22)</f>
        <v>17.092013888888889</v>
      </c>
      <c r="AE54" s="393">
        <f>'Changing with year'!AE291/($C$21*$C$22)</f>
        <v>17.864583333333332</v>
      </c>
      <c r="AF54" s="393">
        <f>'Changing with year'!AF291/($C$21*$C$22)</f>
        <v>18.671875</v>
      </c>
      <c r="AG54" s="393">
        <f>'Changing with year'!AG291/($C$21*$C$22)</f>
        <v>19.513888888888889</v>
      </c>
      <c r="AH54" s="339"/>
    </row>
    <row r="55" spans="1:36">
      <c r="A55" s="348" t="s">
        <v>357</v>
      </c>
      <c r="B55" s="328" t="s">
        <v>300</v>
      </c>
      <c r="C55" s="393">
        <f>'Changing with year'!C302/($C$21*$C$22)</f>
        <v>5.729166666666667</v>
      </c>
      <c r="D55" s="393">
        <f>'Changing with year'!D302/($C$21*$C$22)</f>
        <v>5.989583333333333</v>
      </c>
      <c r="E55" s="393">
        <f>'Changing with year'!E302/($C$21*$C$22)</f>
        <v>6.2586805555555554</v>
      </c>
      <c r="F55" s="393">
        <f>'Changing with year'!F302/($C$21*$C$22)</f>
        <v>6.536458333333333</v>
      </c>
      <c r="G55" s="393">
        <f>'Changing with year'!G302/($C$21*$C$22)</f>
        <v>6.8315972222222223</v>
      </c>
      <c r="H55" s="393">
        <f>'Changing with year'!H302/($C$21*$C$22)</f>
        <v>7.135416666666667</v>
      </c>
      <c r="I55" s="393">
        <f>'Changing with year'!I302/($C$21*$C$22)</f>
        <v>7.4565972222222223</v>
      </c>
      <c r="J55" s="393">
        <f>'Changing with year'!J302/($C$21*$C$22)</f>
        <v>7.7951388888888893</v>
      </c>
      <c r="K55" s="393">
        <f>'Changing with year'!K302/($C$21*$C$22)</f>
        <v>8.1423611111111107</v>
      </c>
      <c r="L55" s="393">
        <f>'Changing with year'!L302/($C$21*$C$22)</f>
        <v>8.5069444444444446</v>
      </c>
      <c r="M55" s="393">
        <f>'Changing with year'!M302/($C$21*$C$22)</f>
        <v>8.8888888888888893</v>
      </c>
      <c r="N55" s="393">
        <f>'Changing with year'!N302/($C$21*$C$22)</f>
        <v>9.2881944444444446</v>
      </c>
      <c r="O55" s="393">
        <f>'Changing with year'!O302/($C$21*$C$22)</f>
        <v>9.7048611111111107</v>
      </c>
      <c r="P55" s="393">
        <f>'Changing with year'!P302/($C$21*$C$22)</f>
        <v>10.138888888888889</v>
      </c>
      <c r="Q55" s="393">
        <f>'Changing with year'!Q302/($C$21*$C$22)</f>
        <v>10.598958333333334</v>
      </c>
      <c r="R55" s="393">
        <f>'Changing with year'!R302/($C$21*$C$22)</f>
        <v>11.076388888888889</v>
      </c>
      <c r="S55" s="393">
        <f>'Changing with year'!S302/($C$21*$C$22)</f>
        <v>11.571180555555555</v>
      </c>
      <c r="T55" s="393">
        <f>'Changing with year'!T302/($C$21*$C$22)</f>
        <v>12.092013888888889</v>
      </c>
      <c r="U55" s="393">
        <f>'Changing with year'!U302/($C$21*$C$22)</f>
        <v>12.638888888888889</v>
      </c>
      <c r="V55" s="393">
        <f>'Changing with year'!V302/($C$21*$C$22)</f>
        <v>13.211805555555555</v>
      </c>
      <c r="W55" s="393">
        <f>'Changing with year'!W302/($C$21*$C$22)</f>
        <v>13.802083333333334</v>
      </c>
      <c r="X55" s="393">
        <f>'Changing with year'!X302/($C$21*$C$22)</f>
        <v>14.427083333333334</v>
      </c>
      <c r="Y55" s="393">
        <f>'Changing with year'!Y302/($C$21*$C$22)</f>
        <v>15.078125</v>
      </c>
      <c r="Z55" s="393">
        <f>'Changing with year'!Z302/($C$21*$C$22)</f>
        <v>15.755208333333334</v>
      </c>
      <c r="AA55" s="393">
        <f>'Changing with year'!AA302/($C$21*$C$22)</f>
        <v>16.467013888888889</v>
      </c>
      <c r="AB55" s="393">
        <f>'Changing with year'!AB302/($C$21*$C$22)</f>
        <v>17.204861111111111</v>
      </c>
      <c r="AC55" s="393">
        <f>'Changing with year'!AC302/($C$21*$C$22)</f>
        <v>17.977430555555557</v>
      </c>
      <c r="AD55" s="393">
        <f>'Changing with year'!AD302/($C$21*$C$22)</f>
        <v>18.784722222222221</v>
      </c>
      <c r="AE55" s="393">
        <f>'Changing with year'!AE302/($C$21*$C$22)</f>
        <v>19.626736111111111</v>
      </c>
      <c r="AF55" s="393">
        <f>'Changing with year'!AF302/($C$21*$C$22)</f>
        <v>20.512152777777779</v>
      </c>
      <c r="AG55" s="393">
        <f>'Changing with year'!AG302/($C$21*$C$22)</f>
        <v>21.432291666666668</v>
      </c>
      <c r="AH55" s="339"/>
    </row>
    <row r="56" spans="1:36">
      <c r="A56" s="328" t="s">
        <v>299</v>
      </c>
      <c r="B56" s="328" t="s">
        <v>300</v>
      </c>
      <c r="C56" s="338">
        <f>'Changing with year'!C161</f>
        <v>7.7</v>
      </c>
      <c r="D56" s="338">
        <f>'Changing with year'!D161</f>
        <v>8.0080000000000009</v>
      </c>
      <c r="E56" s="338">
        <f>'Changing with year'!E161</f>
        <v>8.3283200000000015</v>
      </c>
      <c r="F56" s="338">
        <f>'Changing with year'!F161</f>
        <v>8.6614528000000011</v>
      </c>
      <c r="G56" s="338">
        <f>'Changing with year'!G161</f>
        <v>9.0079109120000016</v>
      </c>
      <c r="H56" s="338">
        <f>'Changing with year'!H161</f>
        <v>9.3682273484800014</v>
      </c>
      <c r="I56" s="338">
        <f>'Changing with year'!I161</f>
        <v>9.7429564424192012</v>
      </c>
      <c r="J56" s="338">
        <f>'Changing with year'!J161</f>
        <v>10.13267470011597</v>
      </c>
      <c r="K56" s="338">
        <f>'Changing with year'!K161</f>
        <v>10.53798168812061</v>
      </c>
      <c r="L56" s="338">
        <f>'Changing with year'!L161</f>
        <v>10.959500955645435</v>
      </c>
      <c r="M56" s="338">
        <f>'Changing with year'!M161</f>
        <v>11.397880993871253</v>
      </c>
      <c r="N56" s="338">
        <f>'Changing with year'!N161</f>
        <v>11.853796233626102</v>
      </c>
      <c r="O56" s="338">
        <f>'Changing with year'!O161</f>
        <v>12.327948082971147</v>
      </c>
      <c r="P56" s="338">
        <f>'Changing with year'!P161</f>
        <v>12.821066006289994</v>
      </c>
      <c r="Q56" s="338">
        <f>'Changing with year'!Q161</f>
        <v>13.333908646541595</v>
      </c>
      <c r="R56" s="338">
        <f>'Changing with year'!R161</f>
        <v>13.867264992403259</v>
      </c>
      <c r="S56" s="338">
        <f>'Changing with year'!S161</f>
        <v>14.421955592099389</v>
      </c>
      <c r="T56" s="338">
        <f>'Changing with year'!T161</f>
        <v>14.998833815783366</v>
      </c>
      <c r="U56" s="338">
        <f>'Changing with year'!U161</f>
        <v>15.598787168414701</v>
      </c>
      <c r="V56" s="338">
        <f>'Changing with year'!V161</f>
        <v>16.222738655151289</v>
      </c>
      <c r="W56" s="338">
        <f>'Changing with year'!W161</f>
        <v>16.871648201357342</v>
      </c>
      <c r="X56" s="338">
        <f>'Changing with year'!X161</f>
        <v>17.546514129411637</v>
      </c>
      <c r="Y56" s="338">
        <f>'Changing with year'!Y161</f>
        <v>18.248374694588104</v>
      </c>
      <c r="Z56" s="338">
        <f>'Changing with year'!Z161</f>
        <v>18.978309682371631</v>
      </c>
      <c r="AA56" s="338">
        <f>'Changing with year'!AA161</f>
        <v>19.737442069666496</v>
      </c>
      <c r="AB56" s="338">
        <f>'Changing with year'!AB161</f>
        <v>20.526939752453156</v>
      </c>
      <c r="AC56" s="338">
        <f>'Changing with year'!AC161</f>
        <v>21.348017342551284</v>
      </c>
      <c r="AD56" s="338">
        <f>'Changing with year'!AD161</f>
        <v>22.201938036253335</v>
      </c>
      <c r="AE56" s="338">
        <f>'Changing with year'!AE161</f>
        <v>23.09001555770347</v>
      </c>
      <c r="AF56" s="338">
        <f>'Changing with year'!AF161</f>
        <v>24.01361618001161</v>
      </c>
      <c r="AG56" s="338">
        <f>'Changing with year'!AG161</f>
        <v>24.974160827212074</v>
      </c>
      <c r="AH56" s="339"/>
    </row>
    <row r="57" spans="1:36">
      <c r="A57" s="328" t="s">
        <v>301</v>
      </c>
      <c r="B57" s="328" t="s">
        <v>300</v>
      </c>
      <c r="C57" s="338">
        <f>'Changing with year'!C193</f>
        <v>8.1999999999999993</v>
      </c>
      <c r="D57" s="338">
        <f>'Changing with year'!D193</f>
        <v>8.5279999999999987</v>
      </c>
      <c r="E57" s="338">
        <f>'Changing with year'!E193</f>
        <v>8.8691199999999988</v>
      </c>
      <c r="F57" s="338">
        <f>'Changing with year'!F193</f>
        <v>9.2238847999999987</v>
      </c>
      <c r="G57" s="338">
        <f>'Changing with year'!G193</f>
        <v>9.5928401919999988</v>
      </c>
      <c r="H57" s="338">
        <f>'Changing with year'!H193</f>
        <v>9.9765537996799996</v>
      </c>
      <c r="I57" s="338">
        <f>'Changing with year'!I193</f>
        <v>10.3756159516672</v>
      </c>
      <c r="J57" s="338">
        <f>'Changing with year'!J193</f>
        <v>10.790640589733888</v>
      </c>
      <c r="K57" s="338">
        <f>'Changing with year'!K193</f>
        <v>11.222266213323245</v>
      </c>
      <c r="L57" s="338">
        <f>'Changing with year'!L193</f>
        <v>11.671156861856176</v>
      </c>
      <c r="M57" s="338">
        <f>'Changing with year'!M193</f>
        <v>12.138003136330424</v>
      </c>
      <c r="N57" s="338">
        <f>'Changing with year'!N193</f>
        <v>12.623523261783641</v>
      </c>
      <c r="O57" s="338">
        <f>'Changing with year'!O193</f>
        <v>13.128464192254986</v>
      </c>
      <c r="P57" s="338">
        <f>'Changing with year'!P193</f>
        <v>13.653602759945187</v>
      </c>
      <c r="Q57" s="338">
        <f>'Changing with year'!Q193</f>
        <v>14.199746870342995</v>
      </c>
      <c r="R57" s="338">
        <f>'Changing with year'!R193</f>
        <v>14.767736745156716</v>
      </c>
      <c r="S57" s="338">
        <f>'Changing with year'!S193</f>
        <v>15.358446214962985</v>
      </c>
      <c r="T57" s="338">
        <f>'Changing with year'!T193</f>
        <v>15.972784063561505</v>
      </c>
      <c r="U57" s="338">
        <f>'Changing with year'!U193</f>
        <v>16.611695426103967</v>
      </c>
      <c r="V57" s="338">
        <f>'Changing with year'!V193</f>
        <v>17.276163243148126</v>
      </c>
      <c r="W57" s="338">
        <f>'Changing with year'!W193</f>
        <v>17.967209772874053</v>
      </c>
      <c r="X57" s="338">
        <f>'Changing with year'!X193</f>
        <v>18.685898163789016</v>
      </c>
      <c r="Y57" s="338">
        <f>'Changing with year'!Y193</f>
        <v>19.433334090340576</v>
      </c>
      <c r="Z57" s="338">
        <f>'Changing with year'!Z193</f>
        <v>20.210667453954201</v>
      </c>
      <c r="AA57" s="338">
        <f>'Changing with year'!AA193</f>
        <v>21.01909415211237</v>
      </c>
      <c r="AB57" s="338">
        <f>'Changing with year'!AB193</f>
        <v>21.859857918196866</v>
      </c>
      <c r="AC57" s="338">
        <f>'Changing with year'!AC193</f>
        <v>22.734252234924742</v>
      </c>
      <c r="AD57" s="338">
        <f>'Changing with year'!AD193</f>
        <v>23.643622324321733</v>
      </c>
      <c r="AE57" s="338">
        <f>'Changing with year'!AE193</f>
        <v>24.589367217294601</v>
      </c>
      <c r="AF57" s="338">
        <f>'Changing with year'!AF193</f>
        <v>25.572941905986387</v>
      </c>
      <c r="AG57" s="338">
        <f>'Changing with year'!AG193</f>
        <v>26.595859582225842</v>
      </c>
      <c r="AH57" s="339"/>
    </row>
    <row r="58" spans="1:36" ht="28.8">
      <c r="A58" s="337" t="s">
        <v>302</v>
      </c>
      <c r="B58" s="328" t="s">
        <v>300</v>
      </c>
      <c r="C58" s="338">
        <f>'Changing with year'!C225</f>
        <v>11.338909877108112</v>
      </c>
      <c r="D58" s="338">
        <f>'Changing with year'!D225</f>
        <v>11.48833713018041</v>
      </c>
      <c r="E58" s="338">
        <f>'Changing with year'!E225</f>
        <v>11.651344701925899</v>
      </c>
      <c r="F58" s="338">
        <f>'Changing with year'!F225</f>
        <v>11.828285724377752</v>
      </c>
      <c r="G58" s="338">
        <f>'Changing with year'!G225</f>
        <v>12.019532206868309</v>
      </c>
      <c r="H58" s="338">
        <f>'Changing with year'!H225</f>
        <v>12.225475672320599</v>
      </c>
      <c r="I58" s="338">
        <f>'Changing with year'!I225</f>
        <v>12.467140658673227</v>
      </c>
      <c r="J58" s="338">
        <f>'Changing with year'!J225</f>
        <v>12.723419325290767</v>
      </c>
      <c r="K58" s="338">
        <f>'Changing with year'!K225</f>
        <v>12.994797277767592</v>
      </c>
      <c r="L58" s="338">
        <f>'Changing with year'!L225</f>
        <v>13.281781524754189</v>
      </c>
      <c r="M58" s="338">
        <f>'Changing with year'!M225</f>
        <v>13.58490129450273</v>
      </c>
      <c r="N58" s="338">
        <f>'Changing with year'!N225</f>
        <v>13.904708884866047</v>
      </c>
      <c r="O58" s="338">
        <f>'Changing with year'!O225</f>
        <v>14.241780548072231</v>
      </c>
      <c r="P58" s="338">
        <f>'Changing with year'!P225</f>
        <v>14.596717411650435</v>
      </c>
      <c r="Q58" s="338">
        <f>'Changing with year'!Q225</f>
        <v>14.970146436938657</v>
      </c>
      <c r="R58" s="338">
        <f>'Changing with year'!R225</f>
        <v>15.362721416661966</v>
      </c>
      <c r="S58" s="338">
        <f>'Changing with year'!S225</f>
        <v>15.808808389829148</v>
      </c>
      <c r="T58" s="338">
        <f>'Changing with year'!T225</f>
        <v>16.274423060758011</v>
      </c>
      <c r="U58" s="338">
        <f>'Changing with year'!U225</f>
        <v>16.760329695170675</v>
      </c>
      <c r="V58" s="338">
        <f>'Changing with year'!V225</f>
        <v>17.267323297840022</v>
      </c>
      <c r="W58" s="338">
        <f>'Changing with year'!W225</f>
        <v>17.796230840467512</v>
      </c>
      <c r="X58" s="338">
        <f>'Changing with year'!X225</f>
        <v>18.34791253869297</v>
      </c>
      <c r="Y58" s="338">
        <f>'Changing with year'!Y225</f>
        <v>18.923263180201378</v>
      </c>
      <c r="Z58" s="338">
        <f>'Changing with year'!Z225</f>
        <v>19.52321350597051</v>
      </c>
      <c r="AA58" s="338">
        <f>'Changing with year'!AA225</f>
        <v>20.1487316467848</v>
      </c>
      <c r="AB58" s="338">
        <f>'Changing with year'!AB225</f>
        <v>20.800824617225903</v>
      </c>
      <c r="AC58" s="338">
        <f>'Changing with year'!AC225</f>
        <v>21.541466962429354</v>
      </c>
      <c r="AD58" s="338">
        <f>'Changing with year'!AD225</f>
        <v>22.31082109504608</v>
      </c>
      <c r="AE58" s="338">
        <f>'Changing with year'!AE225</f>
        <v>23.110026347508676</v>
      </c>
      <c r="AF58" s="338">
        <f>'Changing with year'!AF225</f>
        <v>23.94026753415638</v>
      </c>
      <c r="AG58" s="338">
        <f>'Changing with year'!AG225</f>
        <v>24.802776769597468</v>
      </c>
      <c r="AH58" s="339"/>
      <c r="AI58" s="339" t="e">
        <f>#REF!</f>
        <v>#REF!</v>
      </c>
    </row>
    <row r="59" spans="1:36">
      <c r="A59" s="328" t="s">
        <v>303</v>
      </c>
      <c r="B59" s="374" t="s">
        <v>300</v>
      </c>
      <c r="C59" s="338">
        <f>'Changing with year'!C257</f>
        <v>11.842142857142857</v>
      </c>
      <c r="D59" s="338">
        <f>'Changing with year'!D257</f>
        <v>11.978989285714286</v>
      </c>
      <c r="E59" s="338">
        <f>'Changing with year'!E257</f>
        <v>12.129730553571429</v>
      </c>
      <c r="F59" s="338">
        <f>'Changing with year'!F257</f>
        <v>12.294711929732143</v>
      </c>
      <c r="G59" s="338">
        <f>'Changing with year'!G257</f>
        <v>12.47429775708884</v>
      </c>
      <c r="H59" s="338">
        <f>'Changing with year'!H257</f>
        <v>12.668872083785617</v>
      </c>
      <c r="I59" s="338">
        <f>'Changing with year'!I257</f>
        <v>12.901669141908945</v>
      </c>
      <c r="J59" s="338">
        <f>'Changing with year'!J257</f>
        <v>13.149257238861768</v>
      </c>
      <c r="K59" s="338">
        <f>'Changing with year'!K257</f>
        <v>13.412118433067175</v>
      </c>
      <c r="L59" s="338">
        <f>'Changing with year'!L257</f>
        <v>13.690756256947781</v>
      </c>
      <c r="M59" s="338">
        <f>'Changing with year'!M257</f>
        <v>13.985696532052449</v>
      </c>
      <c r="N59" s="338">
        <f>'Changing with year'!N257</f>
        <v>14.297488217664771</v>
      </c>
      <c r="O59" s="338">
        <f>'Changing with year'!O257</f>
        <v>14.626704294214981</v>
      </c>
      <c r="P59" s="338">
        <f>'Changing with year'!P257</f>
        <v>14.973942682870327</v>
      </c>
      <c r="Q59" s="338">
        <f>'Changing with year'!Q257</f>
        <v>15.339827202734154</v>
      </c>
      <c r="R59" s="338">
        <f>'Changing with year'!R257</f>
        <v>15.72500856714155</v>
      </c>
      <c r="S59" s="338">
        <f>'Changing with year'!S257</f>
        <v>16.167472668803939</v>
      </c>
      <c r="T59" s="338">
        <f>'Changing with year'!T257</f>
        <v>16.629500696943055</v>
      </c>
      <c r="U59" s="338">
        <f>'Changing with year'!U257</f>
        <v>17.111856554993867</v>
      </c>
      <c r="V59" s="338">
        <f>'Changing with year'!V257</f>
        <v>17.615334889064982</v>
      </c>
      <c r="W59" s="338">
        <f>'Changing with year'!W257</f>
        <v>18.140762315780226</v>
      </c>
      <c r="X59" s="338">
        <f>'Changing with year'!X257</f>
        <v>18.688998699252554</v>
      </c>
      <c r="Y59" s="338">
        <f>'Changing with year'!Y257</f>
        <v>19.260938479155364</v>
      </c>
      <c r="Z59" s="338">
        <f>'Changing with year'!Z257</f>
        <v>19.857512051934961</v>
      </c>
      <c r="AA59" s="338">
        <f>'Changing with year'!AA257</f>
        <v>20.479687207289604</v>
      </c>
      <c r="AB59" s="338">
        <f>'Changing with year'!AB257</f>
        <v>21.128470622125661</v>
      </c>
      <c r="AC59" s="338">
        <f>'Changing with year'!AC257</f>
        <v>21.872389427378106</v>
      </c>
      <c r="AD59" s="338">
        <f>'Changing with year'!AD257</f>
        <v>22.645052784644321</v>
      </c>
      <c r="AE59" s="338">
        <f>'Changing with year'!AE257</f>
        <v>23.447600354002898</v>
      </c>
      <c r="AF59" s="338">
        <f>'Changing with year'!AF257</f>
        <v>24.281217280715545</v>
      </c>
      <c r="AG59" s="338">
        <f>'Changing with year'!AG257</f>
        <v>25.147136013622223</v>
      </c>
      <c r="AH59" s="339"/>
    </row>
    <row r="60" spans="1:36">
      <c r="A60" s="328" t="s">
        <v>304</v>
      </c>
      <c r="B60" s="374" t="s">
        <v>305</v>
      </c>
      <c r="C60" s="361">
        <f>'Changing with year'!C269*$C$21*$C$22</f>
        <v>1036800</v>
      </c>
      <c r="D60" s="361">
        <f>'Changing with year'!D269*$C$21*$C$22</f>
        <v>1047168</v>
      </c>
      <c r="E60" s="361">
        <f>'Changing with year'!E269*$C$21*$C$22</f>
        <v>1057639.68</v>
      </c>
      <c r="F60" s="361">
        <f>'Changing with year'!F269*$C$21*$C$22</f>
        <v>1068216.0767999999</v>
      </c>
      <c r="G60" s="361">
        <f>'Changing with year'!G269*$C$21*$C$22</f>
        <v>1078898.2375679999</v>
      </c>
      <c r="H60" s="361">
        <f>'Changing with year'!H269*$C$21*$C$22</f>
        <v>1089687.2199436799</v>
      </c>
      <c r="I60" s="361">
        <f>'Changing with year'!I269*$C$21*$C$22</f>
        <v>1100584.0921431168</v>
      </c>
      <c r="J60" s="361">
        <f>'Changing with year'!J269*$C$21*$C$22</f>
        <v>1111589.9330645478</v>
      </c>
      <c r="K60" s="361">
        <f>'Changing with year'!K269*$C$21*$C$22</f>
        <v>1122705.8323951936</v>
      </c>
      <c r="L60" s="361">
        <f>'Changing with year'!L269*$C$21*$C$22</f>
        <v>1133932.8907191455</v>
      </c>
      <c r="M60" s="361">
        <f>'Changing with year'!M269*$C$21*$C$22</f>
        <v>1145272.2196263371</v>
      </c>
      <c r="N60" s="361">
        <f>'Changing with year'!N269*$C$21*$C$22</f>
        <v>1156724.9418226003</v>
      </c>
      <c r="O60" s="361">
        <f>'Changing with year'!O269*$C$21*$C$22</f>
        <v>1168292.1912408266</v>
      </c>
      <c r="P60" s="361">
        <f>'Changing with year'!P269*$C$21*$C$22</f>
        <v>1179975.1131532348</v>
      </c>
      <c r="Q60" s="361">
        <f>'Changing with year'!Q269*$C$21*$C$22</f>
        <v>1191774.8642847673</v>
      </c>
      <c r="R60" s="361">
        <f>'Changing with year'!R269*$C$21*$C$22</f>
        <v>1203692.6129276149</v>
      </c>
      <c r="S60" s="361">
        <f>'Changing with year'!S269*$C$21*$C$22</f>
        <v>1215729.5390568911</v>
      </c>
      <c r="T60" s="361">
        <f>'Changing with year'!T269*$C$21*$C$22</f>
        <v>1227886.8344474602</v>
      </c>
      <c r="U60" s="361">
        <f>'Changing with year'!U269*$C$21*$C$22</f>
        <v>1240165.7027919348</v>
      </c>
      <c r="V60" s="361">
        <f>'Changing with year'!V269*$C$21*$C$22</f>
        <v>1252567.3598198541</v>
      </c>
      <c r="W60" s="361">
        <f>'Changing with year'!W269*$C$21*$C$22</f>
        <v>1265093.0334180526</v>
      </c>
      <c r="X60" s="361">
        <f>'Changing with year'!X269*$C$21*$C$22</f>
        <v>1277743.9637522332</v>
      </c>
      <c r="Y60" s="361">
        <f>'Changing with year'!Y269*$C$21*$C$22</f>
        <v>1290521.4033897556</v>
      </c>
      <c r="Z60" s="361">
        <f>'Changing with year'!Z269*$C$21*$C$22</f>
        <v>1303426.6174236531</v>
      </c>
      <c r="AA60" s="361">
        <f>'Changing with year'!AA269*$C$21*$C$22</f>
        <v>1316460.8835978897</v>
      </c>
      <c r="AB60" s="361">
        <f>'Changing with year'!AB269*$C$21*$C$22</f>
        <v>1329625.4924338686</v>
      </c>
      <c r="AC60" s="361">
        <f>'Changing with year'!AC269*$C$21*$C$22</f>
        <v>1342921.7473582074</v>
      </c>
      <c r="AD60" s="361">
        <f>'Changing with year'!AD269*$C$21*$C$22</f>
        <v>1356350.9648317895</v>
      </c>
      <c r="AE60" s="361">
        <f>'Changing with year'!AE269*$C$21*$C$22</f>
        <v>1369914.4744801074</v>
      </c>
      <c r="AF60" s="361">
        <f>'Changing with year'!AF269*$C$21*$C$22</f>
        <v>1383613.6192249085</v>
      </c>
      <c r="AG60" s="361">
        <f>'Changing with year'!AG269*$C$21*$C$22</f>
        <v>1397449.7554171574</v>
      </c>
      <c r="AH60" s="339"/>
      <c r="AI60" s="375"/>
      <c r="AJ60" s="376"/>
    </row>
    <row r="61" spans="1:36">
      <c r="A61" s="328" t="s">
        <v>306</v>
      </c>
      <c r="B61" s="374" t="s">
        <v>305</v>
      </c>
      <c r="C61" s="361">
        <f>'Changing with year'!C280*$C$21*$C$22</f>
        <v>1036800</v>
      </c>
      <c r="D61" s="361">
        <f>'Changing with year'!D280*$C$21*$C$22</f>
        <v>1047168</v>
      </c>
      <c r="E61" s="361">
        <f>'Changing with year'!E280*$C$21*$C$22</f>
        <v>1057639.68</v>
      </c>
      <c r="F61" s="361">
        <f>'Changing with year'!F280*$C$21*$C$22</f>
        <v>1068216.0767999999</v>
      </c>
      <c r="G61" s="361">
        <f>'Changing with year'!G280*$C$21*$C$22</f>
        <v>1078898.2375679999</v>
      </c>
      <c r="H61" s="361">
        <f>'Changing with year'!H280*$C$21*$C$22</f>
        <v>1089687.2199436799</v>
      </c>
      <c r="I61" s="361">
        <f>'Changing with year'!I280*$C$21*$C$22</f>
        <v>1100584.0921431168</v>
      </c>
      <c r="J61" s="361">
        <f>'Changing with year'!J280*$C$21*$C$22</f>
        <v>1111589.9330645478</v>
      </c>
      <c r="K61" s="361">
        <f>'Changing with year'!K280*$C$21*$C$22</f>
        <v>1122705.8323951936</v>
      </c>
      <c r="L61" s="361">
        <f>'Changing with year'!L280*$C$21*$C$22</f>
        <v>1133932.8907191455</v>
      </c>
      <c r="M61" s="361">
        <f>'Changing with year'!M280*$C$21*$C$22</f>
        <v>1145272.2196263371</v>
      </c>
      <c r="N61" s="361">
        <f>'Changing with year'!N280*$C$21*$C$22</f>
        <v>1156724.9418226003</v>
      </c>
      <c r="O61" s="361">
        <f>'Changing with year'!O280*$C$21*$C$22</f>
        <v>1168292.1912408266</v>
      </c>
      <c r="P61" s="361">
        <f>'Changing with year'!P280*$C$21*$C$22</f>
        <v>1179975.1131532348</v>
      </c>
      <c r="Q61" s="361">
        <f>'Changing with year'!Q280*$C$21*$C$22</f>
        <v>1191774.8642847673</v>
      </c>
      <c r="R61" s="361">
        <f>'Changing with year'!R280*$C$21*$C$22</f>
        <v>1203692.6129276149</v>
      </c>
      <c r="S61" s="361">
        <f>'Changing with year'!S280*$C$21*$C$22</f>
        <v>1215729.5390568911</v>
      </c>
      <c r="T61" s="361">
        <f>'Changing with year'!T280*$C$21*$C$22</f>
        <v>1227886.8344474602</v>
      </c>
      <c r="U61" s="361">
        <f>'Changing with year'!U280*$C$21*$C$22</f>
        <v>1240165.7027919348</v>
      </c>
      <c r="V61" s="361">
        <f>'Changing with year'!V280*$C$21*$C$22</f>
        <v>1252567.3598198541</v>
      </c>
      <c r="W61" s="361">
        <f>'Changing with year'!W280*$C$21*$C$22</f>
        <v>1265093.0334180526</v>
      </c>
      <c r="X61" s="361">
        <f>'Changing with year'!X280*$C$21*$C$22</f>
        <v>1277743.9637522332</v>
      </c>
      <c r="Y61" s="361">
        <f>'Changing with year'!Y280*$C$21*$C$22</f>
        <v>1290521.4033897556</v>
      </c>
      <c r="Z61" s="361">
        <f>'Changing with year'!Z280*$C$21*$C$22</f>
        <v>1303426.6174236531</v>
      </c>
      <c r="AA61" s="361">
        <f>'Changing with year'!AA280*$C$21*$C$22</f>
        <v>1316460.8835978897</v>
      </c>
      <c r="AB61" s="361">
        <f>'Changing with year'!AB280*$C$21*$C$22</f>
        <v>1329625.4924338686</v>
      </c>
      <c r="AC61" s="361">
        <f>'Changing with year'!AC280*$C$21*$C$22</f>
        <v>1342921.7473582074</v>
      </c>
      <c r="AD61" s="361">
        <f>'Changing with year'!AD280*$C$21*$C$22</f>
        <v>1356350.9648317895</v>
      </c>
      <c r="AE61" s="361">
        <f>'Changing with year'!AE280*$C$21*$C$22</f>
        <v>1369914.4744801074</v>
      </c>
      <c r="AF61" s="361">
        <f>'Changing with year'!AF280*$C$21*$C$22</f>
        <v>1383613.6192249085</v>
      </c>
      <c r="AG61" s="361">
        <f>'Changing with year'!AG280*$C$21*$C$22</f>
        <v>1397449.7554171574</v>
      </c>
    </row>
    <row r="62" spans="1:36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36">
      <c r="A63" s="368" t="s">
        <v>308</v>
      </c>
      <c r="B63" s="300" t="s">
        <v>309</v>
      </c>
      <c r="C63" s="376">
        <f>'Changing with year'!C85</f>
        <v>4700000</v>
      </c>
      <c r="D63" s="376">
        <f>'Changing with year'!D85</f>
        <v>4841000</v>
      </c>
      <c r="E63" s="376">
        <f>'Changing with year'!E85</f>
        <v>4986200</v>
      </c>
      <c r="F63" s="376">
        <f>'Changing with year'!F85</f>
        <v>5135800</v>
      </c>
      <c r="G63" s="376">
        <f>'Changing with year'!G85</f>
        <v>5289900</v>
      </c>
      <c r="H63" s="376">
        <f>'Changing with year'!H85</f>
        <v>5848600</v>
      </c>
      <c r="I63" s="376">
        <f>'Changing with year'!I85</f>
        <v>6024100</v>
      </c>
      <c r="J63" s="376">
        <f>'Changing with year'!J85</f>
        <v>6204800</v>
      </c>
      <c r="K63" s="376">
        <f>'Changing with year'!K85</f>
        <v>6390900</v>
      </c>
      <c r="L63" s="376">
        <f>'Changing with year'!L85</f>
        <v>6582600</v>
      </c>
      <c r="M63" s="376">
        <f>'Changing with year'!M85</f>
        <v>6780100</v>
      </c>
      <c r="N63" s="376">
        <f>'Changing with year'!N85</f>
        <v>6983500</v>
      </c>
      <c r="O63" s="376">
        <f>'Changing with year'!O85</f>
        <v>7193000</v>
      </c>
      <c r="P63" s="376">
        <f>'Changing with year'!P85</f>
        <v>7408800</v>
      </c>
      <c r="Q63" s="376">
        <f>'Changing with year'!Q85</f>
        <v>7631100</v>
      </c>
      <c r="R63" s="376">
        <f>'Changing with year'!R85</f>
        <v>7860000</v>
      </c>
      <c r="S63" s="376">
        <f>'Changing with year'!S85</f>
        <v>8095800</v>
      </c>
      <c r="T63" s="376">
        <f>'Changing with year'!T85</f>
        <v>8338700</v>
      </c>
      <c r="U63" s="376">
        <f>'Changing with year'!U85</f>
        <v>8588900</v>
      </c>
      <c r="V63" s="376">
        <f>'Changing with year'!V85</f>
        <v>8846600</v>
      </c>
      <c r="W63" s="376">
        <f>'Changing with year'!W85</f>
        <v>9112000</v>
      </c>
      <c r="X63" s="376">
        <f>'Changing with year'!X85</f>
        <v>9385400</v>
      </c>
      <c r="Y63" s="376">
        <f>'Changing with year'!Y85</f>
        <v>9667000</v>
      </c>
      <c r="Z63" s="376">
        <f>'Changing with year'!Z85</f>
        <v>9957000</v>
      </c>
      <c r="AA63" s="376">
        <f>'Changing with year'!AA85</f>
        <v>10255700</v>
      </c>
      <c r="AB63" s="376">
        <f>'Changing with year'!AB85</f>
        <v>10563400</v>
      </c>
      <c r="AC63" s="376">
        <f>'Changing with year'!AC85</f>
        <v>10880300</v>
      </c>
      <c r="AD63" s="376">
        <f>'Changing with year'!AD85</f>
        <v>11206700</v>
      </c>
      <c r="AE63" s="376">
        <f>'Changing with year'!AE85</f>
        <v>11542900</v>
      </c>
      <c r="AF63" s="376">
        <f>'Changing with year'!AF85</f>
        <v>11889200</v>
      </c>
      <c r="AG63" s="376">
        <f>'Changing with year'!AG85</f>
        <v>12245900</v>
      </c>
    </row>
    <row r="64" spans="1:36">
      <c r="A64" s="368" t="s">
        <v>310</v>
      </c>
      <c r="B64" s="300" t="s">
        <v>309</v>
      </c>
      <c r="C64" s="376">
        <f>(C63*'No change with year'!$Y$13)</f>
        <v>2350000</v>
      </c>
      <c r="D64" s="376">
        <f>(D63*'No change with year'!$Y$13)</f>
        <v>2420500</v>
      </c>
      <c r="E64" s="376">
        <f>(E63*'No change with year'!$Y$13)</f>
        <v>2493100</v>
      </c>
      <c r="F64" s="376">
        <f>(F63*'No change with year'!$Y$13)</f>
        <v>2567900</v>
      </c>
      <c r="G64" s="376">
        <f>(G63*'No change with year'!$Y$13)</f>
        <v>2644950</v>
      </c>
      <c r="H64" s="376">
        <f>(H63*'No change with year'!$Y$13)</f>
        <v>2924300</v>
      </c>
      <c r="I64" s="376">
        <f>(I63*'No change with year'!$Y$13)</f>
        <v>3012050</v>
      </c>
      <c r="J64" s="376">
        <f>(J63*'No change with year'!$Y$13)</f>
        <v>3102400</v>
      </c>
      <c r="K64" s="376">
        <f>(K63*'No change with year'!$Y$13)</f>
        <v>3195450</v>
      </c>
      <c r="L64" s="376">
        <f>(L63*'No change with year'!$Y$13)</f>
        <v>3291300</v>
      </c>
      <c r="M64" s="376">
        <f>(M63*'No change with year'!$Y$13)</f>
        <v>3390050</v>
      </c>
      <c r="N64" s="376">
        <f>(N63*'No change with year'!$Z$13)</f>
        <v>2793400</v>
      </c>
      <c r="O64" s="376">
        <f>(O63*'No change with year'!$Z$13)</f>
        <v>2877200</v>
      </c>
      <c r="P64" s="376">
        <f>(P63*'No change with year'!$Z$13)</f>
        <v>2963520</v>
      </c>
      <c r="Q64" s="376">
        <f>(Q63*'No change with year'!$Z$13)</f>
        <v>3052440</v>
      </c>
      <c r="R64" s="376">
        <f>(R63*'No change with year'!$Z$13)</f>
        <v>3144000</v>
      </c>
      <c r="S64" s="376">
        <f>(S63*'No change with year'!$Z$13)</f>
        <v>3238320</v>
      </c>
      <c r="T64" s="376">
        <f>(T63*'No change with year'!$Z$13)</f>
        <v>3335480</v>
      </c>
      <c r="U64" s="376">
        <f>(U63*'No change with year'!$Z$13)</f>
        <v>3435560</v>
      </c>
      <c r="V64" s="376">
        <f>(V63*'No change with year'!$Z$13)</f>
        <v>3538640</v>
      </c>
      <c r="W64" s="376">
        <f>(W63*'No change with year'!$Z$13)</f>
        <v>3644800</v>
      </c>
      <c r="X64" s="376">
        <f>(X63*'No change with year'!$AA$13)</f>
        <v>2815620</v>
      </c>
      <c r="Y64" s="376">
        <f>(Y63*'No change with year'!$AA$13)</f>
        <v>2900100</v>
      </c>
      <c r="Z64" s="376">
        <f>(Z63*'No change with year'!$AA$13)</f>
        <v>2987100</v>
      </c>
      <c r="AA64" s="376">
        <f>(AA63*'No change with year'!$AA$13)</f>
        <v>3076710</v>
      </c>
      <c r="AB64" s="376">
        <f>(AB63*'No change with year'!$AA$13)</f>
        <v>3169020</v>
      </c>
      <c r="AC64" s="376">
        <f>(AC63*'No change with year'!$AA$13)</f>
        <v>3264090</v>
      </c>
      <c r="AD64" s="376">
        <f>(AD63*'No change with year'!$AA$13)</f>
        <v>3362010</v>
      </c>
      <c r="AE64" s="376">
        <f>(AE63*'No change with year'!$AA$13)</f>
        <v>3462870</v>
      </c>
      <c r="AF64" s="376">
        <f>(AF63*'No change with year'!$AA$13)</f>
        <v>3566760</v>
      </c>
      <c r="AG64" s="376">
        <f>(AG63*'No change with year'!$AA$13)</f>
        <v>3673770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1029853.3587365372</v>
      </c>
      <c r="D66" s="376">
        <f t="shared" si="4"/>
        <v>1060748.9594986332</v>
      </c>
      <c r="E66" s="376">
        <f t="shared" si="4"/>
        <v>1092564.8547515152</v>
      </c>
      <c r="F66" s="376">
        <f t="shared" si="4"/>
        <v>1125344.8680423633</v>
      </c>
      <c r="G66" s="376">
        <f t="shared" si="4"/>
        <v>1159110.9111447674</v>
      </c>
      <c r="H66" s="376">
        <f t="shared" si="4"/>
        <v>1281531.9901928748</v>
      </c>
      <c r="I66" s="376">
        <f t="shared" si="4"/>
        <v>1319987.1528435687</v>
      </c>
      <c r="J66" s="376">
        <f t="shared" si="4"/>
        <v>1359581.7277209503</v>
      </c>
      <c r="K66" s="376">
        <f t="shared" si="4"/>
        <v>1400359.5383721988</v>
      </c>
      <c r="L66" s="376">
        <f t="shared" si="4"/>
        <v>1442364.4083444956</v>
      </c>
      <c r="M66" s="376">
        <f t="shared" si="4"/>
        <v>1485640.1611850201</v>
      </c>
      <c r="N66" s="376">
        <f t="shared" si="4"/>
        <v>1530208.7086673633</v>
      </c>
      <c r="O66" s="376">
        <f t="shared" si="4"/>
        <v>1576113.8743387046</v>
      </c>
      <c r="P66" s="376">
        <f t="shared" si="4"/>
        <v>1623399.4817462247</v>
      </c>
      <c r="Q66" s="376">
        <f t="shared" si="4"/>
        <v>1672109.354437104</v>
      </c>
      <c r="R66" s="376">
        <f t="shared" si="4"/>
        <v>1722265.4041849324</v>
      </c>
      <c r="S66" s="376">
        <f t="shared" si="4"/>
        <v>1773933.3663104803</v>
      </c>
      <c r="T66" s="376">
        <f t="shared" si="4"/>
        <v>1827157.064360928</v>
      </c>
      <c r="U66" s="376">
        <f t="shared" si="4"/>
        <v>1881980.3218834561</v>
      </c>
      <c r="V66" s="376">
        <f t="shared" si="4"/>
        <v>1938446.9624252445</v>
      </c>
      <c r="W66" s="376">
        <f t="shared" si="4"/>
        <v>1996600.8095334736</v>
      </c>
      <c r="X66" s="376">
        <f t="shared" si="4"/>
        <v>2056507.5985289142</v>
      </c>
      <c r="Y66" s="376">
        <f t="shared" si="4"/>
        <v>2118211.1529587456</v>
      </c>
      <c r="Z66" s="376">
        <f t="shared" si="4"/>
        <v>2181755.2963701487</v>
      </c>
      <c r="AA66" s="376">
        <f t="shared" si="4"/>
        <v>2247205.7640838944</v>
      </c>
      <c r="AB66" s="376">
        <f t="shared" si="4"/>
        <v>2314628.2914207526</v>
      </c>
      <c r="AC66" s="376">
        <f t="shared" si="4"/>
        <v>2384066.7019279031</v>
      </c>
      <c r="AD66" s="376">
        <f t="shared" si="4"/>
        <v>2455586.7309261169</v>
      </c>
      <c r="AE66" s="376">
        <f t="shared" si="4"/>
        <v>2529254.1137361648</v>
      </c>
      <c r="AF66" s="376">
        <f t="shared" si="4"/>
        <v>2605134.5856788163</v>
      </c>
      <c r="AG66" s="376">
        <f t="shared" si="4"/>
        <v>2683293.8820748427</v>
      </c>
    </row>
    <row r="67" spans="1:35">
      <c r="A67" s="368" t="s">
        <v>314</v>
      </c>
      <c r="B67" s="368" t="s">
        <v>313</v>
      </c>
      <c r="C67" s="376">
        <f t="shared" ref="C67:AG67" si="5">C41*$C$38</f>
        <v>3532520.4523129058</v>
      </c>
      <c r="D67" s="376">
        <f t="shared" si="5"/>
        <v>3932689.6551724141</v>
      </c>
      <c r="E67" s="376">
        <f t="shared" si="5"/>
        <v>4011343.4482758627</v>
      </c>
      <c r="F67" s="376">
        <f t="shared" si="5"/>
        <v>4091570.3172413795</v>
      </c>
      <c r="G67" s="376">
        <f t="shared" si="5"/>
        <v>4173401.7235862077</v>
      </c>
      <c r="H67" s="376">
        <f t="shared" si="5"/>
        <v>4256869.7580579314</v>
      </c>
      <c r="I67" s="376">
        <f t="shared" si="5"/>
        <v>4342007.1532190898</v>
      </c>
      <c r="J67" s="376">
        <f t="shared" si="5"/>
        <v>4428847.2962834714</v>
      </c>
      <c r="K67" s="376">
        <f t="shared" si="5"/>
        <v>4517424.2422091411</v>
      </c>
      <c r="L67" s="376">
        <f t="shared" si="5"/>
        <v>4607772.7270533247</v>
      </c>
      <c r="M67" s="376">
        <f t="shared" si="5"/>
        <v>4699928.1815943914</v>
      </c>
      <c r="N67" s="376">
        <f t="shared" si="5"/>
        <v>4793926.7452262789</v>
      </c>
      <c r="O67" s="376">
        <f t="shared" si="5"/>
        <v>4889805.2801308045</v>
      </c>
      <c r="P67" s="376">
        <f t="shared" si="5"/>
        <v>4987601.38573342</v>
      </c>
      <c r="Q67" s="376">
        <f t="shared" si="5"/>
        <v>5087353.4134480888</v>
      </c>
      <c r="R67" s="376">
        <f t="shared" si="5"/>
        <v>5189100.481717051</v>
      </c>
      <c r="S67" s="376">
        <f t="shared" si="5"/>
        <v>5292882.4913513931</v>
      </c>
      <c r="T67" s="376">
        <f t="shared" si="5"/>
        <v>5398740.1411784207</v>
      </c>
      <c r="U67" s="376">
        <f t="shared" si="5"/>
        <v>5506714.9440019894</v>
      </c>
      <c r="V67" s="376">
        <f t="shared" si="5"/>
        <v>5616849.2428820292</v>
      </c>
      <c r="W67" s="376">
        <f t="shared" si="5"/>
        <v>5729186.2277396694</v>
      </c>
      <c r="X67" s="376">
        <f t="shared" si="5"/>
        <v>5843769.9522944633</v>
      </c>
      <c r="Y67" s="376">
        <f t="shared" si="5"/>
        <v>5960645.3513403526</v>
      </c>
      <c r="Z67" s="376">
        <f t="shared" si="5"/>
        <v>6079858.2583671603</v>
      </c>
      <c r="AA67" s="376">
        <f t="shared" si="5"/>
        <v>6201455.4235345032</v>
      </c>
      <c r="AB67" s="376">
        <f t="shared" si="5"/>
        <v>6325484.5320051927</v>
      </c>
      <c r="AC67" s="376">
        <f t="shared" si="5"/>
        <v>6451994.2226452967</v>
      </c>
      <c r="AD67" s="376">
        <f t="shared" si="5"/>
        <v>6581034.1070982022</v>
      </c>
      <c r="AE67" s="376">
        <f t="shared" si="5"/>
        <v>6712654.7892401665</v>
      </c>
      <c r="AF67" s="376">
        <f t="shared" si="5"/>
        <v>6846907.8850249704</v>
      </c>
      <c r="AG67" s="376">
        <f t="shared" si="5"/>
        <v>6983846.0427254699</v>
      </c>
    </row>
    <row r="68" spans="1:35">
      <c r="A68" s="368" t="s">
        <v>315</v>
      </c>
      <c r="B68" s="368" t="s">
        <v>313</v>
      </c>
      <c r="C68" s="329">
        <f t="shared" ref="C68:AG68" si="6">$C$38*$AH$68*C42</f>
        <v>109241.37931034484</v>
      </c>
      <c r="D68" s="329">
        <f t="shared" si="6"/>
        <v>111972.41379310345</v>
      </c>
      <c r="E68" s="329">
        <f t="shared" si="6"/>
        <v>114771.72413793103</v>
      </c>
      <c r="F68" s="329">
        <f t="shared" si="6"/>
        <v>117641.01724137929</v>
      </c>
      <c r="G68" s="329">
        <f t="shared" si="6"/>
        <v>120582.04267241377</v>
      </c>
      <c r="H68" s="329">
        <f t="shared" si="6"/>
        <v>123596.5937392241</v>
      </c>
      <c r="I68" s="329">
        <f t="shared" si="6"/>
        <v>126686.50858270469</v>
      </c>
      <c r="J68" s="329">
        <f t="shared" si="6"/>
        <v>129853.67129727229</v>
      </c>
      <c r="K68" s="329">
        <f t="shared" si="6"/>
        <v>133100.01307970411</v>
      </c>
      <c r="L68" s="329">
        <f t="shared" si="6"/>
        <v>136427.5134066967</v>
      </c>
      <c r="M68" s="329">
        <f t="shared" si="6"/>
        <v>139838.2012418641</v>
      </c>
      <c r="N68" s="329">
        <f t="shared" si="6"/>
        <v>143334.15627291068</v>
      </c>
      <c r="O68" s="329">
        <f t="shared" si="6"/>
        <v>146917.51017973345</v>
      </c>
      <c r="P68" s="329">
        <f t="shared" si="6"/>
        <v>150590.44793422677</v>
      </c>
      <c r="Q68" s="329">
        <f t="shared" si="6"/>
        <v>154355.20913258241</v>
      </c>
      <c r="R68" s="329">
        <f t="shared" si="6"/>
        <v>158214.08936089699</v>
      </c>
      <c r="S68" s="329">
        <f t="shared" si="6"/>
        <v>162169.44159491939</v>
      </c>
      <c r="T68" s="329">
        <f t="shared" si="6"/>
        <v>166223.67763479237</v>
      </c>
      <c r="U68" s="329">
        <f t="shared" si="6"/>
        <v>170379.26957566218</v>
      </c>
      <c r="V68" s="329">
        <f t="shared" si="6"/>
        <v>174638.7513150537</v>
      </c>
      <c r="W68" s="329">
        <f t="shared" si="6"/>
        <v>179004.72009793003</v>
      </c>
      <c r="X68" s="329">
        <f t="shared" si="6"/>
        <v>183479.83810037829</v>
      </c>
      <c r="Y68" s="329">
        <f t="shared" si="6"/>
        <v>188066.83405288772</v>
      </c>
      <c r="Z68" s="329">
        <f t="shared" si="6"/>
        <v>192768.5049042099</v>
      </c>
      <c r="AA68" s="329">
        <f t="shared" si="6"/>
        <v>197587.71752681513</v>
      </c>
      <c r="AB68" s="329">
        <f t="shared" si="6"/>
        <v>202527.4104649855</v>
      </c>
      <c r="AC68" s="329">
        <f t="shared" si="6"/>
        <v>207590.5957266101</v>
      </c>
      <c r="AD68" s="329">
        <f t="shared" si="6"/>
        <v>212780.36061977534</v>
      </c>
      <c r="AE68" s="329">
        <f t="shared" si="6"/>
        <v>218099.86963526972</v>
      </c>
      <c r="AF68" s="329">
        <f t="shared" si="6"/>
        <v>223552.36637615142</v>
      </c>
      <c r="AG68" s="329">
        <f t="shared" si="6"/>
        <v>229141.1755355552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887040</v>
      </c>
      <c r="D69" s="376">
        <f t="shared" si="7"/>
        <v>922521.60000000009</v>
      </c>
      <c r="E69" s="376">
        <f t="shared" si="7"/>
        <v>959422.46400000015</v>
      </c>
      <c r="F69" s="376">
        <f t="shared" si="7"/>
        <v>997799.36256000015</v>
      </c>
      <c r="G69" s="376">
        <f t="shared" si="7"/>
        <v>1037711.3370624002</v>
      </c>
      <c r="H69" s="376">
        <f t="shared" si="7"/>
        <v>1079219.7905448962</v>
      </c>
      <c r="I69" s="376">
        <f t="shared" si="7"/>
        <v>1122388.582166692</v>
      </c>
      <c r="J69" s="376">
        <f t="shared" si="7"/>
        <v>1167284.1254533597</v>
      </c>
      <c r="K69" s="376">
        <f t="shared" si="7"/>
        <v>1213975.4904714942</v>
      </c>
      <c r="L69" s="376">
        <f t="shared" si="7"/>
        <v>1262534.5100903541</v>
      </c>
      <c r="M69" s="376">
        <f t="shared" si="7"/>
        <v>1313035.8904939683</v>
      </c>
      <c r="N69" s="376">
        <f t="shared" si="7"/>
        <v>1365557.3261137269</v>
      </c>
      <c r="O69" s="376">
        <f t="shared" si="7"/>
        <v>1420179.6191582761</v>
      </c>
      <c r="P69" s="376">
        <f t="shared" si="7"/>
        <v>1476986.8039246073</v>
      </c>
      <c r="Q69" s="376">
        <f t="shared" si="7"/>
        <v>1536066.2760815916</v>
      </c>
      <c r="R69" s="376">
        <f t="shared" si="7"/>
        <v>1597508.9271248553</v>
      </c>
      <c r="S69" s="376">
        <f t="shared" si="7"/>
        <v>1661409.2842098495</v>
      </c>
      <c r="T69" s="376">
        <f t="shared" si="7"/>
        <v>1727865.6555782438</v>
      </c>
      <c r="U69" s="376">
        <f t="shared" si="7"/>
        <v>1796980.2818013735</v>
      </c>
      <c r="V69" s="376">
        <f t="shared" si="7"/>
        <v>1868859.4930734285</v>
      </c>
      <c r="W69" s="376">
        <f t="shared" si="7"/>
        <v>1943613.8727963658</v>
      </c>
      <c r="X69" s="376">
        <f t="shared" si="7"/>
        <v>2021358.4277082207</v>
      </c>
      <c r="Y69" s="376">
        <f t="shared" si="7"/>
        <v>2102212.7648165496</v>
      </c>
      <c r="Z69" s="376">
        <f t="shared" si="7"/>
        <v>2186301.2754092119</v>
      </c>
      <c r="AA69" s="376">
        <f t="shared" si="7"/>
        <v>2273753.3264255803</v>
      </c>
      <c r="AB69" s="376">
        <f t="shared" si="7"/>
        <v>2364703.4594826037</v>
      </c>
      <c r="AC69" s="376">
        <f t="shared" si="7"/>
        <v>2459291.5978619079</v>
      </c>
      <c r="AD69" s="376">
        <f t="shared" si="7"/>
        <v>2557663.261776384</v>
      </c>
      <c r="AE69" s="376">
        <f t="shared" si="7"/>
        <v>2659969.7922474397</v>
      </c>
      <c r="AF69" s="376">
        <f t="shared" si="7"/>
        <v>2766368.5839373376</v>
      </c>
      <c r="AG69" s="376">
        <f t="shared" si="7"/>
        <v>2877023.3272948312</v>
      </c>
    </row>
    <row r="70" spans="1:35">
      <c r="A70" s="368" t="s">
        <v>318</v>
      </c>
      <c r="B70" s="368" t="s">
        <v>313</v>
      </c>
      <c r="C70" s="376">
        <f>'Changing with year'!C291</f>
        <v>600000</v>
      </c>
      <c r="D70" s="376">
        <f>'Changing with year'!D291</f>
        <v>627000</v>
      </c>
      <c r="E70" s="376">
        <f>'Changing with year'!E291</f>
        <v>655000</v>
      </c>
      <c r="F70" s="376">
        <f>'Changing with year'!F291</f>
        <v>684000</v>
      </c>
      <c r="G70" s="376">
        <f>'Changing with year'!G291</f>
        <v>715000</v>
      </c>
      <c r="H70" s="376">
        <f>'Changing with year'!H291</f>
        <v>747000</v>
      </c>
      <c r="I70" s="376">
        <f>'Changing with year'!I291</f>
        <v>781000</v>
      </c>
      <c r="J70" s="376">
        <f>'Changing with year'!J291</f>
        <v>816000</v>
      </c>
      <c r="K70" s="376">
        <f>'Changing with year'!K291</f>
        <v>853000</v>
      </c>
      <c r="L70" s="376">
        <f>'Changing with year'!L291</f>
        <v>891000</v>
      </c>
      <c r="M70" s="376">
        <f>'Changing with year'!M291</f>
        <v>931000</v>
      </c>
      <c r="N70" s="376">
        <f>'Changing with year'!N291</f>
        <v>973000</v>
      </c>
      <c r="O70" s="376">
        <f>'Changing with year'!O291</f>
        <v>1017000</v>
      </c>
      <c r="P70" s="376">
        <f>'Changing with year'!P291</f>
        <v>1063000</v>
      </c>
      <c r="Q70" s="376">
        <f>'Changing with year'!Q291</f>
        <v>1111000</v>
      </c>
      <c r="R70" s="376">
        <f>'Changing with year'!R291</f>
        <v>1161000</v>
      </c>
      <c r="S70" s="376">
        <f>'Changing with year'!S291</f>
        <v>1213000</v>
      </c>
      <c r="T70" s="376">
        <f>'Changing with year'!T291</f>
        <v>1268000</v>
      </c>
      <c r="U70" s="376">
        <f>'Changing with year'!U291</f>
        <v>1325000</v>
      </c>
      <c r="V70" s="376">
        <f>'Changing with year'!V291</f>
        <v>1385000</v>
      </c>
      <c r="W70" s="376">
        <f>'Changing with year'!W291</f>
        <v>1447000</v>
      </c>
      <c r="X70" s="376">
        <f>'Changing with year'!X291</f>
        <v>1512000</v>
      </c>
      <c r="Y70" s="376">
        <f>'Changing with year'!Y291</f>
        <v>1580000</v>
      </c>
      <c r="Z70" s="376">
        <f>'Changing with year'!Z291</f>
        <v>1651000</v>
      </c>
      <c r="AA70" s="376">
        <f>'Changing with year'!AA291</f>
        <v>1725000</v>
      </c>
      <c r="AB70" s="376">
        <f>'Changing with year'!AB291</f>
        <v>1803000</v>
      </c>
      <c r="AC70" s="376">
        <f>'Changing with year'!AC291</f>
        <v>1884000</v>
      </c>
      <c r="AD70" s="376">
        <f>'Changing with year'!AD291</f>
        <v>1969000</v>
      </c>
      <c r="AE70" s="376">
        <f>'Changing with year'!AE291</f>
        <v>2058000</v>
      </c>
      <c r="AF70" s="376">
        <f>'Changing with year'!AF291</f>
        <v>2151000</v>
      </c>
      <c r="AG70" s="376">
        <f>'Changing with year'!AG291</f>
        <v>2248000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1036800</v>
      </c>
      <c r="D71" s="376">
        <f t="shared" si="8"/>
        <v>1047168</v>
      </c>
      <c r="E71" s="376">
        <f t="shared" si="8"/>
        <v>1057639.68</v>
      </c>
      <c r="F71" s="376">
        <f t="shared" si="8"/>
        <v>1068216.0767999999</v>
      </c>
      <c r="G71" s="376">
        <f t="shared" si="8"/>
        <v>1078898.2375679999</v>
      </c>
      <c r="H71" s="376">
        <f t="shared" si="8"/>
        <v>1089687.2199436799</v>
      </c>
      <c r="I71" s="376">
        <f t="shared" si="8"/>
        <v>1100584.0921431168</v>
      </c>
      <c r="J71" s="376">
        <f t="shared" si="8"/>
        <v>1111589.9330645478</v>
      </c>
      <c r="K71" s="376">
        <f t="shared" si="8"/>
        <v>1122705.8323951936</v>
      </c>
      <c r="L71" s="376">
        <f t="shared" si="8"/>
        <v>1133932.8907191455</v>
      </c>
      <c r="M71" s="376">
        <f t="shared" si="8"/>
        <v>1145272.2196263371</v>
      </c>
      <c r="N71" s="376">
        <f t="shared" si="8"/>
        <v>1156724.9418226003</v>
      </c>
      <c r="O71" s="376">
        <f t="shared" si="8"/>
        <v>1168292.1912408266</v>
      </c>
      <c r="P71" s="376">
        <f t="shared" si="8"/>
        <v>1179975.1131532348</v>
      </c>
      <c r="Q71" s="376">
        <f t="shared" si="8"/>
        <v>1191774.8642847673</v>
      </c>
      <c r="R71" s="376">
        <f t="shared" si="8"/>
        <v>1203692.6129276149</v>
      </c>
      <c r="S71" s="376">
        <f t="shared" si="8"/>
        <v>1215729.5390568911</v>
      </c>
      <c r="T71" s="376">
        <f t="shared" si="8"/>
        <v>1227886.8344474602</v>
      </c>
      <c r="U71" s="376">
        <f t="shared" si="8"/>
        <v>1240165.7027919348</v>
      </c>
      <c r="V71" s="376">
        <f t="shared" si="8"/>
        <v>1252567.3598198541</v>
      </c>
      <c r="W71" s="376">
        <f t="shared" si="8"/>
        <v>1265093.0334180526</v>
      </c>
      <c r="X71" s="376">
        <f t="shared" si="8"/>
        <v>1277743.9637522332</v>
      </c>
      <c r="Y71" s="376">
        <f t="shared" si="8"/>
        <v>1290521.4033897556</v>
      </c>
      <c r="Z71" s="376">
        <f t="shared" si="8"/>
        <v>1303426.6174236531</v>
      </c>
      <c r="AA71" s="376">
        <f t="shared" si="8"/>
        <v>1316460.8835978897</v>
      </c>
      <c r="AB71" s="376">
        <f t="shared" si="8"/>
        <v>1329625.4924338686</v>
      </c>
      <c r="AC71" s="376">
        <f t="shared" si="8"/>
        <v>1342921.7473582074</v>
      </c>
      <c r="AD71" s="376">
        <f t="shared" si="8"/>
        <v>1356350.9648317895</v>
      </c>
      <c r="AE71" s="376">
        <f t="shared" si="8"/>
        <v>1369914.4744801074</v>
      </c>
      <c r="AF71" s="376">
        <f t="shared" si="8"/>
        <v>1383613.6192249085</v>
      </c>
      <c r="AG71" s="376">
        <f t="shared" si="8"/>
        <v>1397449.7554171574</v>
      </c>
    </row>
    <row r="72" spans="1:35">
      <c r="A72" s="300" t="s">
        <v>319</v>
      </c>
      <c r="B72" s="368" t="s">
        <v>313</v>
      </c>
      <c r="C72" s="376">
        <f t="shared" ref="C72:AG72" si="9">C63*$C$29</f>
        <v>94000</v>
      </c>
      <c r="D72" s="376">
        <f t="shared" si="9"/>
        <v>96820</v>
      </c>
      <c r="E72" s="376">
        <f t="shared" si="9"/>
        <v>99724</v>
      </c>
      <c r="F72" s="376">
        <f t="shared" si="9"/>
        <v>102716</v>
      </c>
      <c r="G72" s="376">
        <f t="shared" si="9"/>
        <v>105798</v>
      </c>
      <c r="H72" s="376">
        <f t="shared" si="9"/>
        <v>116972</v>
      </c>
      <c r="I72" s="376">
        <f t="shared" si="9"/>
        <v>120482</v>
      </c>
      <c r="J72" s="376">
        <f t="shared" si="9"/>
        <v>124096</v>
      </c>
      <c r="K72" s="376">
        <f t="shared" si="9"/>
        <v>127818</v>
      </c>
      <c r="L72" s="376">
        <f t="shared" si="9"/>
        <v>131652</v>
      </c>
      <c r="M72" s="376">
        <f t="shared" si="9"/>
        <v>135602</v>
      </c>
      <c r="N72" s="376">
        <f t="shared" si="9"/>
        <v>139670</v>
      </c>
      <c r="O72" s="376">
        <f t="shared" si="9"/>
        <v>143860</v>
      </c>
      <c r="P72" s="376">
        <f t="shared" si="9"/>
        <v>148176</v>
      </c>
      <c r="Q72" s="376">
        <f t="shared" si="9"/>
        <v>152622</v>
      </c>
      <c r="R72" s="376">
        <f t="shared" si="9"/>
        <v>157200</v>
      </c>
      <c r="S72" s="376">
        <f t="shared" si="9"/>
        <v>161916</v>
      </c>
      <c r="T72" s="376">
        <f t="shared" si="9"/>
        <v>166774</v>
      </c>
      <c r="U72" s="376">
        <f t="shared" si="9"/>
        <v>171778</v>
      </c>
      <c r="V72" s="376">
        <f t="shared" si="9"/>
        <v>176932</v>
      </c>
      <c r="W72" s="376">
        <f t="shared" si="9"/>
        <v>182240</v>
      </c>
      <c r="X72" s="376">
        <f t="shared" si="9"/>
        <v>187708</v>
      </c>
      <c r="Y72" s="376">
        <f t="shared" si="9"/>
        <v>193340</v>
      </c>
      <c r="Z72" s="376">
        <f t="shared" si="9"/>
        <v>199140</v>
      </c>
      <c r="AA72" s="376">
        <f t="shared" si="9"/>
        <v>205114</v>
      </c>
      <c r="AB72" s="376">
        <f t="shared" si="9"/>
        <v>211268</v>
      </c>
      <c r="AC72" s="376">
        <f t="shared" si="9"/>
        <v>217606</v>
      </c>
      <c r="AD72" s="376">
        <f t="shared" si="9"/>
        <v>224134</v>
      </c>
      <c r="AE72" s="376">
        <f t="shared" si="9"/>
        <v>230858</v>
      </c>
      <c r="AF72" s="376">
        <f t="shared" si="9"/>
        <v>237784</v>
      </c>
      <c r="AG72" s="376">
        <f t="shared" si="9"/>
        <v>244918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8.9396992945879958</v>
      </c>
      <c r="D74" s="379">
        <f t="shared" si="10"/>
        <v>9.2078902734256349</v>
      </c>
      <c r="E74" s="379">
        <f t="shared" si="10"/>
        <v>9.4840699197180136</v>
      </c>
      <c r="F74" s="379">
        <f t="shared" si="10"/>
        <v>9.7686186462010713</v>
      </c>
      <c r="G74" s="379">
        <f t="shared" si="10"/>
        <v>10.061726659242773</v>
      </c>
      <c r="H74" s="379">
        <f t="shared" si="10"/>
        <v>11.124409637090928</v>
      </c>
      <c r="I74" s="379">
        <f t="shared" si="10"/>
        <v>11.4582218128782</v>
      </c>
      <c r="J74" s="379">
        <f t="shared" si="10"/>
        <v>11.801924719799915</v>
      </c>
      <c r="K74" s="379">
        <f t="shared" si="10"/>
        <v>12.155898770592003</v>
      </c>
      <c r="L74" s="379">
        <f t="shared" si="10"/>
        <v>12.520524377990412</v>
      </c>
      <c r="M74" s="379">
        <f t="shared" si="10"/>
        <v>12.896181954731077</v>
      </c>
      <c r="N74" s="379">
        <f t="shared" si="10"/>
        <v>13.283061707181973</v>
      </c>
      <c r="O74" s="379">
        <f t="shared" si="10"/>
        <v>13.681544048079033</v>
      </c>
      <c r="P74" s="379">
        <f t="shared" si="10"/>
        <v>14.0920093901582</v>
      </c>
      <c r="Q74" s="379">
        <f t="shared" si="10"/>
        <v>14.514838146155416</v>
      </c>
      <c r="R74" s="379">
        <f t="shared" si="10"/>
        <v>14.950220522438649</v>
      </c>
      <c r="S74" s="379">
        <f t="shared" si="10"/>
        <v>15.398727138111807</v>
      </c>
      <c r="T74" s="379">
        <f t="shared" si="10"/>
        <v>15.860738405910833</v>
      </c>
      <c r="U74" s="379">
        <f t="shared" si="10"/>
        <v>16.336634738571668</v>
      </c>
      <c r="V74" s="379">
        <f t="shared" si="10"/>
        <v>16.826796548830249</v>
      </c>
      <c r="W74" s="379">
        <f t="shared" si="10"/>
        <v>17.331604249422515</v>
      </c>
      <c r="X74" s="379">
        <f t="shared" si="10"/>
        <v>17.851628459452378</v>
      </c>
      <c r="Y74" s="379">
        <f t="shared" si="10"/>
        <v>18.387249591655777</v>
      </c>
      <c r="Z74" s="379">
        <f t="shared" si="10"/>
        <v>18.938848058768652</v>
      </c>
      <c r="AA74" s="379">
        <f t="shared" si="10"/>
        <v>19.506994479894917</v>
      </c>
      <c r="AB74" s="379">
        <f t="shared" si="10"/>
        <v>20.092259474138476</v>
      </c>
      <c r="AC74" s="379">
        <f t="shared" si="10"/>
        <v>20.695023454235269</v>
      </c>
      <c r="AD74" s="379">
        <f t="shared" si="10"/>
        <v>21.315857039289209</v>
      </c>
      <c r="AE74" s="379">
        <f t="shared" si="10"/>
        <v>21.955330848404209</v>
      </c>
      <c r="AF74" s="379">
        <f t="shared" si="10"/>
        <v>22.614015500684168</v>
      </c>
      <c r="AG74" s="379">
        <f t="shared" si="10"/>
        <v>23.292481615233008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31.612515899507382</v>
      </c>
      <c r="D75" s="379">
        <f t="shared" si="11"/>
        <v>35.109913793103452</v>
      </c>
      <c r="E75" s="379">
        <f t="shared" si="11"/>
        <v>35.816971982758631</v>
      </c>
      <c r="F75" s="379">
        <f t="shared" si="11"/>
        <v>36.538292834051731</v>
      </c>
      <c r="G75" s="379">
        <f t="shared" si="11"/>
        <v>37.274164637661649</v>
      </c>
      <c r="H75" s="379">
        <f t="shared" si="11"/>
        <v>38.024881526016969</v>
      </c>
      <c r="I75" s="379">
        <f t="shared" si="11"/>
        <v>38.790743592029465</v>
      </c>
      <c r="J75" s="379">
        <f t="shared" si="11"/>
        <v>39.572057010249516</v>
      </c>
      <c r="K75" s="379">
        <f t="shared" si="11"/>
        <v>40.369134160493445</v>
      </c>
      <c r="L75" s="379">
        <f t="shared" si="11"/>
        <v>41.182293753993243</v>
      </c>
      <c r="M75" s="379">
        <f t="shared" si="11"/>
        <v>42.011860962120274</v>
      </c>
      <c r="N75" s="379">
        <f t="shared" si="11"/>
        <v>42.858167547736016</v>
      </c>
      <c r="O75" s="379">
        <f t="shared" si="11"/>
        <v>43.721551999223422</v>
      </c>
      <c r="P75" s="379">
        <f t="shared" si="11"/>
        <v>44.602359667253879</v>
      </c>
      <c r="Q75" s="379">
        <f t="shared" si="11"/>
        <v>45.500942904346111</v>
      </c>
      <c r="R75" s="379">
        <f t="shared" si="11"/>
        <v>46.417661207273859</v>
      </c>
      <c r="S75" s="379">
        <f t="shared" si="11"/>
        <v>47.352881362381183</v>
      </c>
      <c r="T75" s="379">
        <f t="shared" si="11"/>
        <v>48.306977593864694</v>
      </c>
      <c r="U75" s="379">
        <f t="shared" si="11"/>
        <v>49.280331715083783</v>
      </c>
      <c r="V75" s="379">
        <f t="shared" si="11"/>
        <v>50.273333282960785</v>
      </c>
      <c r="W75" s="379">
        <f t="shared" si="11"/>
        <v>51.286379755534718</v>
      </c>
      <c r="X75" s="379">
        <f t="shared" si="11"/>
        <v>52.319876652733001</v>
      </c>
      <c r="Y75" s="379">
        <f t="shared" si="11"/>
        <v>53.374237720427431</v>
      </c>
      <c r="Z75" s="379">
        <f t="shared" si="11"/>
        <v>54.449885097841751</v>
      </c>
      <c r="AA75" s="379">
        <f t="shared" si="11"/>
        <v>55.547249488379499</v>
      </c>
      <c r="AB75" s="379">
        <f t="shared" si="11"/>
        <v>56.666770333942516</v>
      </c>
      <c r="AC75" s="379">
        <f t="shared" si="11"/>
        <v>57.808895992811692</v>
      </c>
      <c r="AD75" s="379">
        <f t="shared" si="11"/>
        <v>58.974083921163</v>
      </c>
      <c r="AE75" s="379">
        <f t="shared" si="11"/>
        <v>60.162800858293721</v>
      </c>
      <c r="AF75" s="379">
        <f t="shared" si="11"/>
        <v>61.375523015634734</v>
      </c>
      <c r="AG75" s="379">
        <f t="shared" si="11"/>
        <v>62.61273626962695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22.724305555555556</v>
      </c>
      <c r="D76" s="379">
        <f t="shared" si="12"/>
        <v>23.381159722222222</v>
      </c>
      <c r="E76" s="379">
        <f t="shared" si="12"/>
        <v>24.060643611111114</v>
      </c>
      <c r="F76" s="379">
        <f t="shared" si="12"/>
        <v>24.763293744444447</v>
      </c>
      <c r="G76" s="379">
        <f t="shared" si="12"/>
        <v>25.49832964088889</v>
      </c>
      <c r="H76" s="379">
        <f t="shared" si="12"/>
        <v>26.327074743824447</v>
      </c>
      <c r="I76" s="379">
        <f t="shared" si="12"/>
        <v>27.122002381161533</v>
      </c>
      <c r="J76" s="379">
        <f t="shared" si="12"/>
        <v>27.942448424634616</v>
      </c>
      <c r="K76" s="379">
        <f t="shared" si="12"/>
        <v>28.797737177662217</v>
      </c>
      <c r="L76" s="379">
        <f t="shared" si="12"/>
        <v>29.679855909804683</v>
      </c>
      <c r="M76" s="379">
        <f t="shared" si="12"/>
        <v>30.598178039238764</v>
      </c>
      <c r="N76" s="379">
        <f t="shared" si="12"/>
        <v>31.553405103613954</v>
      </c>
      <c r="O76" s="379">
        <f t="shared" si="12"/>
        <v>32.546283076381101</v>
      </c>
      <c r="P76" s="379">
        <f t="shared" si="12"/>
        <v>33.57758608574516</v>
      </c>
      <c r="Q76" s="379">
        <f t="shared" si="12"/>
        <v>34.648117537902422</v>
      </c>
      <c r="R76" s="379">
        <f t="shared" si="12"/>
        <v>35.758693924066577</v>
      </c>
      <c r="S76" s="379">
        <f t="shared" si="12"/>
        <v>36.910198118634902</v>
      </c>
      <c r="T76" s="379">
        <f t="shared" si="12"/>
        <v>38.112209114806454</v>
      </c>
      <c r="U76" s="379">
        <f t="shared" si="12"/>
        <v>39.356979032928024</v>
      </c>
      <c r="V76" s="379">
        <f t="shared" si="12"/>
        <v>40.654156709143081</v>
      </c>
      <c r="W76" s="379">
        <f t="shared" si="12"/>
        <v>41.996066894222388</v>
      </c>
      <c r="X76" s="379">
        <f t="shared" si="12"/>
        <v>43.392451314760883</v>
      </c>
      <c r="Y76" s="379">
        <f t="shared" si="12"/>
        <v>44.844393821235286</v>
      </c>
      <c r="Z76" s="379">
        <f t="shared" si="12"/>
        <v>46.353019903063064</v>
      </c>
      <c r="AA76" s="379">
        <f t="shared" si="12"/>
        <v>47.919515712009293</v>
      </c>
      <c r="AB76" s="379">
        <f t="shared" si="12"/>
        <v>49.553792985386039</v>
      </c>
      <c r="AC76" s="379">
        <f t="shared" si="12"/>
        <v>51.248431816146841</v>
      </c>
      <c r="AD76" s="379">
        <f t="shared" si="12"/>
        <v>53.013439467084844</v>
      </c>
      <c r="AE76" s="379">
        <f t="shared" si="12"/>
        <v>54.85019328756551</v>
      </c>
      <c r="AF76" s="379">
        <f t="shared" si="12"/>
        <v>56.760123291338942</v>
      </c>
      <c r="AG76" s="379">
        <f t="shared" si="12"/>
        <v>58.744714259652682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2.9141865079365079</v>
      </c>
      <c r="D77" s="379">
        <f t="shared" si="13"/>
        <v>3.0016121031746033</v>
      </c>
      <c r="E77" s="379">
        <f t="shared" si="13"/>
        <v>3.0916418650793651</v>
      </c>
      <c r="F77" s="379">
        <f t="shared" si="13"/>
        <v>3.1843998015873014</v>
      </c>
      <c r="G77" s="379">
        <f t="shared" si="13"/>
        <v>3.2799479166666665</v>
      </c>
      <c r="H77" s="379">
        <f t="shared" si="13"/>
        <v>3.6263640873015874</v>
      </c>
      <c r="I77" s="379">
        <f t="shared" si="13"/>
        <v>3.7351810515873014</v>
      </c>
      <c r="J77" s="379">
        <f t="shared" si="13"/>
        <v>3.8472222222222223</v>
      </c>
      <c r="K77" s="379">
        <f t="shared" si="13"/>
        <v>3.9626116071428572</v>
      </c>
      <c r="L77" s="379">
        <f t="shared" si="13"/>
        <v>4.0814732142857144</v>
      </c>
      <c r="M77" s="379">
        <f t="shared" si="13"/>
        <v>4.2039310515873014</v>
      </c>
      <c r="N77" s="379">
        <f t="shared" si="13"/>
        <v>3.4640376984126986</v>
      </c>
      <c r="O77" s="379">
        <f t="shared" si="13"/>
        <v>3.5679563492063493</v>
      </c>
      <c r="P77" s="379">
        <f t="shared" si="13"/>
        <v>3.6749999999999998</v>
      </c>
      <c r="Q77" s="379">
        <f t="shared" si="13"/>
        <v>3.7852678571428573</v>
      </c>
      <c r="R77" s="379">
        <f t="shared" si="13"/>
        <v>3.8988095238095237</v>
      </c>
      <c r="S77" s="379">
        <f t="shared" si="13"/>
        <v>4.0157738095238091</v>
      </c>
      <c r="T77" s="379">
        <f t="shared" si="13"/>
        <v>4.1362599206349202</v>
      </c>
      <c r="U77" s="379">
        <f t="shared" si="13"/>
        <v>4.2603670634920636</v>
      </c>
      <c r="V77" s="379">
        <f t="shared" si="13"/>
        <v>4.3881944444444443</v>
      </c>
      <c r="W77" s="379">
        <f t="shared" si="13"/>
        <v>4.5198412698412698</v>
      </c>
      <c r="X77" s="379">
        <f t="shared" si="13"/>
        <v>3.4915922619047617</v>
      </c>
      <c r="Y77" s="379">
        <f t="shared" si="13"/>
        <v>3.5963541666666665</v>
      </c>
      <c r="Z77" s="379">
        <f t="shared" si="13"/>
        <v>3.7042410714285716</v>
      </c>
      <c r="AA77" s="379">
        <f t="shared" si="13"/>
        <v>3.8153645833333334</v>
      </c>
      <c r="AB77" s="379">
        <f t="shared" si="13"/>
        <v>3.9298363095238096</v>
      </c>
      <c r="AC77" s="379">
        <f t="shared" si="13"/>
        <v>4.0477306547619047</v>
      </c>
      <c r="AD77" s="379">
        <f t="shared" si="13"/>
        <v>4.1691592261904766</v>
      </c>
      <c r="AE77" s="379">
        <f t="shared" si="13"/>
        <v>4.2942336309523812</v>
      </c>
      <c r="AF77" s="379">
        <f t="shared" si="13"/>
        <v>4.4230654761904766</v>
      </c>
      <c r="AG77" s="379">
        <f t="shared" si="13"/>
        <v>4.5557663690476193</v>
      </c>
    </row>
    <row r="78" spans="1:35" s="352" customFormat="1">
      <c r="A78" s="380" t="s">
        <v>323</v>
      </c>
      <c r="B78" s="352" t="s">
        <v>300</v>
      </c>
      <c r="C78" s="381">
        <f>SUM(C74:C76)-C77</f>
        <v>60.362334241714436</v>
      </c>
      <c r="D78" s="381">
        <f t="shared" ref="D78:AG78" si="14">SUM(D74:D76)-D77</f>
        <v>64.697351685576706</v>
      </c>
      <c r="E78" s="381">
        <f t="shared" si="14"/>
        <v>66.270043648508391</v>
      </c>
      <c r="F78" s="381">
        <f t="shared" si="14"/>
        <v>67.885805423109943</v>
      </c>
      <c r="G78" s="381">
        <f t="shared" si="14"/>
        <v>69.554273021126633</v>
      </c>
      <c r="H78" s="381">
        <f t="shared" si="14"/>
        <v>71.850001819630762</v>
      </c>
      <c r="I78" s="381">
        <f t="shared" si="14"/>
        <v>73.635786734481897</v>
      </c>
      <c r="J78" s="381">
        <f t="shared" si="14"/>
        <v>75.469207932461813</v>
      </c>
      <c r="K78" s="381">
        <f t="shared" si="14"/>
        <v>77.360158501604801</v>
      </c>
      <c r="L78" s="381">
        <f t="shared" si="14"/>
        <v>79.301200827502626</v>
      </c>
      <c r="M78" s="381">
        <f t="shared" si="14"/>
        <v>81.302289904502814</v>
      </c>
      <c r="N78" s="381">
        <f t="shared" si="14"/>
        <v>84.230596660119247</v>
      </c>
      <c r="O78" s="381">
        <f t="shared" si="14"/>
        <v>86.381422774477201</v>
      </c>
      <c r="P78" s="381">
        <f t="shared" si="14"/>
        <v>88.596955143157246</v>
      </c>
      <c r="Q78" s="381">
        <f t="shared" si="14"/>
        <v>90.878630731261097</v>
      </c>
      <c r="R78" s="381">
        <f t="shared" si="14"/>
        <v>93.227766129969567</v>
      </c>
      <c r="S78" s="381">
        <f t="shared" si="14"/>
        <v>95.646032809604094</v>
      </c>
      <c r="T78" s="381">
        <f t="shared" si="14"/>
        <v>98.143665193947044</v>
      </c>
      <c r="U78" s="381">
        <f t="shared" si="14"/>
        <v>100.71357842309141</v>
      </c>
      <c r="V78" s="381">
        <f t="shared" si="14"/>
        <v>103.36609209648967</v>
      </c>
      <c r="W78" s="381">
        <f t="shared" si="14"/>
        <v>106.09420962933837</v>
      </c>
      <c r="X78" s="381">
        <f t="shared" si="14"/>
        <v>110.07236416504149</v>
      </c>
      <c r="Y78" s="381">
        <f t="shared" si="14"/>
        <v>113.00952696665182</v>
      </c>
      <c r="Z78" s="381">
        <f t="shared" si="14"/>
        <v>116.0375119882449</v>
      </c>
      <c r="AA78" s="381">
        <f t="shared" si="14"/>
        <v>119.15839509695037</v>
      </c>
      <c r="AB78" s="381">
        <f t="shared" si="14"/>
        <v>122.38298648394323</v>
      </c>
      <c r="AC78" s="381">
        <f t="shared" si="14"/>
        <v>125.70462060843191</v>
      </c>
      <c r="AD78" s="381">
        <f t="shared" si="14"/>
        <v>129.13422120134658</v>
      </c>
      <c r="AE78" s="381">
        <f t="shared" si="14"/>
        <v>132.67409136331105</v>
      </c>
      <c r="AF78" s="381">
        <f t="shared" si="14"/>
        <v>136.32659633146736</v>
      </c>
      <c r="AG78" s="381">
        <f t="shared" si="14"/>
        <v>140.094165775465</v>
      </c>
    </row>
    <row r="79" spans="1:35" s="344" customFormat="1">
      <c r="A79" s="342" t="s">
        <v>179</v>
      </c>
      <c r="B79" s="342"/>
      <c r="H79" s="382">
        <f>H81/K59</f>
        <v>457676.14552604477</v>
      </c>
      <c r="AB79" s="382">
        <f>AB81/AE59</f>
        <v>472826.43333536101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year'!C96</f>
        <v>4950000</v>
      </c>
      <c r="D81" s="376">
        <f>'Changing with year'!D96</f>
        <v>5098500</v>
      </c>
      <c r="E81" s="376">
        <f>'Changing with year'!E96</f>
        <v>5251455</v>
      </c>
      <c r="F81" s="376">
        <f>'Changing with year'!F96</f>
        <v>5408998.6500000004</v>
      </c>
      <c r="G81" s="376">
        <f>'Changing with year'!G96</f>
        <v>5571268.6095000003</v>
      </c>
      <c r="H81" s="376">
        <f>'Changing with year'!H96</f>
        <v>6138406.6677850001</v>
      </c>
      <c r="I81" s="376">
        <f>'Changing with year'!I96</f>
        <v>6322558.8678185502</v>
      </c>
      <c r="J81" s="376">
        <f>'Changing with year'!J96</f>
        <v>6512235.6338531068</v>
      </c>
      <c r="K81" s="376">
        <f>'Changing with year'!K96</f>
        <v>6707602.7028687</v>
      </c>
      <c r="L81" s="376">
        <f>'Changing with year'!L96</f>
        <v>6908830.783954761</v>
      </c>
      <c r="M81" s="376">
        <f>'Changing with year'!M96</f>
        <v>7116095.7074734038</v>
      </c>
      <c r="N81" s="376">
        <f>'Changing with year'!N96</f>
        <v>7329578.578697606</v>
      </c>
      <c r="O81" s="376">
        <f>'Changing with year'!O96</f>
        <v>7549465.9360585343</v>
      </c>
      <c r="P81" s="376">
        <f>'Changing with year'!P96</f>
        <v>7775949.9141402906</v>
      </c>
      <c r="Q81" s="376">
        <f>'Changing with year'!Q96</f>
        <v>8009228.4115644991</v>
      </c>
      <c r="R81" s="376">
        <f>'Changing with year'!R96</f>
        <v>8249505.2639114344</v>
      </c>
      <c r="S81" s="376">
        <f>'Changing with year'!S96</f>
        <v>8496990.4218287785</v>
      </c>
      <c r="T81" s="376">
        <f>'Changing with year'!T96</f>
        <v>8751900.1344836429</v>
      </c>
      <c r="U81" s="376">
        <f>'Changing with year'!U96</f>
        <v>9014457.1385181528</v>
      </c>
      <c r="V81" s="376">
        <f>'Changing with year'!V96</f>
        <v>9284890.8526736982</v>
      </c>
      <c r="W81" s="376">
        <f>'Changing with year'!W96</f>
        <v>9563437.5782539099</v>
      </c>
      <c r="X81" s="376">
        <f>'Changing with year'!X96</f>
        <v>9850340.7056015283</v>
      </c>
      <c r="Y81" s="376">
        <f>'Changing with year'!Y96</f>
        <v>10145850.926769575</v>
      </c>
      <c r="Z81" s="376">
        <f>'Changing with year'!Z96</f>
        <v>10450226.454572663</v>
      </c>
      <c r="AA81" s="376">
        <f>'Changing with year'!AA96</f>
        <v>10763733.248209843</v>
      </c>
      <c r="AB81" s="376">
        <f>'Changing with year'!AB96</f>
        <v>11086645.245656138</v>
      </c>
      <c r="AC81" s="376">
        <f>'Changing with year'!AC96</f>
        <v>11419244.603025822</v>
      </c>
      <c r="AD81" s="376">
        <f>'Changing with year'!AD96</f>
        <v>11761821.941116598</v>
      </c>
      <c r="AE81" s="376">
        <f>'Changing with year'!AE96</f>
        <v>12114676.599350097</v>
      </c>
      <c r="AF81" s="376">
        <f>'Changing with year'!AF96</f>
        <v>12478116.897330601</v>
      </c>
      <c r="AG81" s="376">
        <f>'Changing with year'!AG96</f>
        <v>12852460.404250519</v>
      </c>
    </row>
    <row r="82" spans="1:34">
      <c r="A82" s="368" t="s">
        <v>310</v>
      </c>
      <c r="B82" s="300" t="s">
        <v>309</v>
      </c>
      <c r="C82" s="376">
        <f>(C81*'No change with year'!$AB$13)</f>
        <v>2227500</v>
      </c>
      <c r="D82" s="376">
        <f>(D81*'No change with year'!$AB$13)</f>
        <v>2294325</v>
      </c>
      <c r="E82" s="376">
        <f>(E81*'No change with year'!$AB$13)</f>
        <v>2363154.75</v>
      </c>
      <c r="F82" s="376">
        <f>(F81*'No change with year'!$AB$13)</f>
        <v>2434049.3925000001</v>
      </c>
      <c r="G82" s="376">
        <f>(G81*'No change with year'!$AB$13)</f>
        <v>2507070.8742750003</v>
      </c>
      <c r="H82" s="376">
        <f>(H81*'No change with year'!$AB$13)</f>
        <v>2762283.0005032499</v>
      </c>
      <c r="I82" s="376">
        <f>(I81*'No change with year'!$AB$13)</f>
        <v>2845151.4905183478</v>
      </c>
      <c r="J82" s="376">
        <f>(J81*'No change with year'!$AB$13)</f>
        <v>2930506.0352338981</v>
      </c>
      <c r="K82" s="376">
        <f>(K81*'No change with year'!$AB$13)</f>
        <v>3018421.2162909149</v>
      </c>
      <c r="L82" s="376">
        <f>(L81*'No change with year'!$AB$13)</f>
        <v>3108973.8527796427</v>
      </c>
      <c r="M82" s="376">
        <f>(M81*'No change with year'!$AB$13)</f>
        <v>3202243.0683630318</v>
      </c>
      <c r="N82" s="376">
        <f>(N81*'No change with year'!$AC$13)</f>
        <v>2565352.5025441623</v>
      </c>
      <c r="O82" s="376">
        <f>(O81*'No change with year'!$AC$13)</f>
        <v>2642313.0776204872</v>
      </c>
      <c r="P82" s="376">
        <f>(P81*'No change with year'!$AC$13)</f>
        <v>2721582.469949102</v>
      </c>
      <c r="Q82" s="376">
        <f>(Q81*'No change with year'!$AC$13)</f>
        <v>2803229.9440475749</v>
      </c>
      <c r="R82" s="376">
        <f>(R81*'No change with year'!$AC$13)</f>
        <v>2887326.8423690023</v>
      </c>
      <c r="S82" s="376">
        <f>(S81*'No change with year'!$AC$13)</f>
        <v>2973946.6476400727</v>
      </c>
      <c r="T82" s="376">
        <f>(T81*'No change with year'!$AC$13)</f>
        <v>3063165.0470692753</v>
      </c>
      <c r="U82" s="376">
        <f>(U81*'No change with year'!$AC$13)</f>
        <v>3155059.9984813537</v>
      </c>
      <c r="V82" s="376">
        <f>(V81*'No change with year'!$AC$13)</f>
        <v>3249711.7984357947</v>
      </c>
      <c r="W82" s="376">
        <f>(W81*'No change with year'!$AC$13)</f>
        <v>3347203.1523888689</v>
      </c>
      <c r="X82" s="376">
        <f>(X81*'No change with year'!$AD$13)</f>
        <v>2462585.1764003821</v>
      </c>
      <c r="Y82" s="376">
        <f>(Y81*'No change with year'!$AD$13)</f>
        <v>2536462.7316923938</v>
      </c>
      <c r="Z82" s="376">
        <f>(Z81*'No change with year'!$AD$13)</f>
        <v>2612556.6136431657</v>
      </c>
      <c r="AA82" s="376">
        <f>(AA81*'No change with year'!$AD$13)</f>
        <v>2690933.3120524609</v>
      </c>
      <c r="AB82" s="376">
        <f>(AB81*'No change with year'!$AD$13)</f>
        <v>2771661.3114140346</v>
      </c>
      <c r="AC82" s="376">
        <f>(AC81*'No change with year'!$AD$13)</f>
        <v>2854811.1507564555</v>
      </c>
      <c r="AD82" s="376">
        <f>(AD81*'No change with year'!$AD$13)</f>
        <v>2940455.4852791494</v>
      </c>
      <c r="AE82" s="376">
        <f>(AE81*'No change with year'!$AD$13)</f>
        <v>3028669.1498375242</v>
      </c>
      <c r="AF82" s="376">
        <f>(AF81*'No change with year'!$AD$13)</f>
        <v>3119529.2243326502</v>
      </c>
      <c r="AG82" s="376">
        <f>(AG81*'No change with year'!$AD$13)</f>
        <v>3213115.1010626298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1084632.7927118847</v>
      </c>
      <c r="D84" s="376">
        <f t="shared" si="16"/>
        <v>1117171.7764932413</v>
      </c>
      <c r="E84" s="376">
        <f t="shared" si="16"/>
        <v>1150686.9297880386</v>
      </c>
      <c r="F84" s="376">
        <f t="shared" si="16"/>
        <v>1185207.5376816797</v>
      </c>
      <c r="G84" s="376">
        <f t="shared" si="16"/>
        <v>1220763.7638121303</v>
      </c>
      <c r="H84" s="376">
        <f t="shared" si="16"/>
        <v>1345033.7710870502</v>
      </c>
      <c r="I84" s="376">
        <f t="shared" si="16"/>
        <v>1385384.784219662</v>
      </c>
      <c r="J84" s="376">
        <f t="shared" si="16"/>
        <v>1426946.3277462518</v>
      </c>
      <c r="K84" s="376">
        <f t="shared" si="16"/>
        <v>1469754.7175786393</v>
      </c>
      <c r="L84" s="376">
        <f t="shared" si="16"/>
        <v>1513847.3591059987</v>
      </c>
      <c r="M84" s="376">
        <f t="shared" si="16"/>
        <v>1559262.7798791784</v>
      </c>
      <c r="N84" s="376">
        <f t="shared" si="16"/>
        <v>1606040.6632755541</v>
      </c>
      <c r="O84" s="376">
        <f t="shared" si="16"/>
        <v>1654221.8831738206</v>
      </c>
      <c r="P84" s="376">
        <f t="shared" si="16"/>
        <v>1703848.5396690352</v>
      </c>
      <c r="Q84" s="376">
        <f t="shared" si="16"/>
        <v>1754963.9958591063</v>
      </c>
      <c r="R84" s="376">
        <f t="shared" si="16"/>
        <v>1807612.9157348794</v>
      </c>
      <c r="S84" s="376">
        <f t="shared" si="16"/>
        <v>1861841.303206926</v>
      </c>
      <c r="T84" s="376">
        <f t="shared" si="16"/>
        <v>1917696.5423031342</v>
      </c>
      <c r="U84" s="376">
        <f t="shared" si="16"/>
        <v>1975227.4385722282</v>
      </c>
      <c r="V84" s="376">
        <f t="shared" si="16"/>
        <v>2034484.2617293952</v>
      </c>
      <c r="W84" s="376">
        <f t="shared" si="16"/>
        <v>2095518.7895812774</v>
      </c>
      <c r="X84" s="376">
        <f t="shared" si="16"/>
        <v>2158384.353268716</v>
      </c>
      <c r="Y84" s="376">
        <f t="shared" si="16"/>
        <v>2223135.8838667776</v>
      </c>
      <c r="Z84" s="376">
        <f t="shared" si="16"/>
        <v>2289829.960382781</v>
      </c>
      <c r="AA84" s="376">
        <f t="shared" si="16"/>
        <v>2358524.8591942647</v>
      </c>
      <c r="AB84" s="376">
        <f t="shared" si="16"/>
        <v>2429280.6049700924</v>
      </c>
      <c r="AC84" s="376">
        <f t="shared" si="16"/>
        <v>2502159.0231191949</v>
      </c>
      <c r="AD84" s="376">
        <f t="shared" si="16"/>
        <v>2577223.7938127713</v>
      </c>
      <c r="AE84" s="376">
        <f t="shared" si="16"/>
        <v>2654540.5076271542</v>
      </c>
      <c r="AF84" s="376">
        <f t="shared" si="16"/>
        <v>2734176.7228559698</v>
      </c>
      <c r="AG84" s="376">
        <f t="shared" si="16"/>
        <v>2816202.0245416486</v>
      </c>
    </row>
    <row r="85" spans="1:34">
      <c r="A85" s="300" t="s">
        <v>321</v>
      </c>
      <c r="B85" s="300" t="s">
        <v>309</v>
      </c>
      <c r="C85" s="376">
        <f t="shared" ref="C85:AG85" si="17">C43*$D$38</f>
        <v>3233032.2580645159</v>
      </c>
      <c r="D85" s="376">
        <f t="shared" si="17"/>
        <v>3400258.064516129</v>
      </c>
      <c r="E85" s="376">
        <f t="shared" si="17"/>
        <v>3502265.8064516131</v>
      </c>
      <c r="F85" s="376">
        <f t="shared" si="17"/>
        <v>3607333.7806451614</v>
      </c>
      <c r="G85" s="376">
        <f t="shared" si="17"/>
        <v>3715553.7940645162</v>
      </c>
      <c r="H85" s="376">
        <f t="shared" si="17"/>
        <v>3827020.4078864516</v>
      </c>
      <c r="I85" s="376">
        <f t="shared" si="17"/>
        <v>3941831.020123045</v>
      </c>
      <c r="J85" s="376">
        <f t="shared" si="17"/>
        <v>4060085.9507267363</v>
      </c>
      <c r="K85" s="376">
        <f t="shared" si="17"/>
        <v>4181888.5292485389</v>
      </c>
      <c r="L85" s="376">
        <f t="shared" si="17"/>
        <v>4307345.1851259954</v>
      </c>
      <c r="M85" s="376">
        <f t="shared" si="17"/>
        <v>4436565.5406797752</v>
      </c>
      <c r="N85" s="376">
        <f t="shared" si="17"/>
        <v>4569662.506900168</v>
      </c>
      <c r="O85" s="376">
        <f t="shared" si="17"/>
        <v>4706752.3821071731</v>
      </c>
      <c r="P85" s="376">
        <f t="shared" si="17"/>
        <v>4847954.9535703883</v>
      </c>
      <c r="Q85" s="376">
        <f t="shared" si="17"/>
        <v>4993393.6021774998</v>
      </c>
      <c r="R85" s="376">
        <f t="shared" si="17"/>
        <v>5143195.4102428248</v>
      </c>
      <c r="S85" s="376">
        <f t="shared" si="17"/>
        <v>5297491.2725501098</v>
      </c>
      <c r="T85" s="376">
        <f t="shared" si="17"/>
        <v>5456416.010726613</v>
      </c>
      <c r="U85" s="376">
        <f t="shared" si="17"/>
        <v>5620108.4910484115</v>
      </c>
      <c r="V85" s="376">
        <f t="shared" si="17"/>
        <v>5788711.7457798636</v>
      </c>
      <c r="W85" s="376">
        <f t="shared" si="17"/>
        <v>5962373.0981532596</v>
      </c>
      <c r="X85" s="376">
        <f t="shared" si="17"/>
        <v>6141244.2910978571</v>
      </c>
      <c r="Y85" s="376">
        <f t="shared" si="17"/>
        <v>6325481.6198307928</v>
      </c>
      <c r="Z85" s="376">
        <f t="shared" si="17"/>
        <v>6515246.0684257159</v>
      </c>
      <c r="AA85" s="376">
        <f t="shared" si="17"/>
        <v>6710703.4504784876</v>
      </c>
      <c r="AB85" s="376">
        <f t="shared" si="17"/>
        <v>6912024.5539928423</v>
      </c>
      <c r="AC85" s="376">
        <f t="shared" si="17"/>
        <v>7119385.2906126278</v>
      </c>
      <c r="AD85" s="376">
        <f t="shared" si="17"/>
        <v>7332966.8493310073</v>
      </c>
      <c r="AE85" s="376">
        <f t="shared" si="17"/>
        <v>7552955.8548109382</v>
      </c>
      <c r="AF85" s="376">
        <f t="shared" si="17"/>
        <v>7779544.5304552661</v>
      </c>
      <c r="AG85" s="376">
        <f t="shared" si="17"/>
        <v>8012930.8663689243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944639.99999999988</v>
      </c>
      <c r="D86" s="376">
        <f t="shared" si="18"/>
        <v>982425.59999999986</v>
      </c>
      <c r="E86" s="376">
        <f t="shared" si="18"/>
        <v>1021722.624</v>
      </c>
      <c r="F86" s="376">
        <f t="shared" si="18"/>
        <v>1062591.5289599998</v>
      </c>
      <c r="G86" s="376">
        <f t="shared" si="18"/>
        <v>1105095.1901183999</v>
      </c>
      <c r="H86" s="376">
        <f t="shared" si="18"/>
        <v>1149298.9977231361</v>
      </c>
      <c r="I86" s="376">
        <f t="shared" si="18"/>
        <v>1195270.9576320616</v>
      </c>
      <c r="J86" s="376">
        <f t="shared" si="18"/>
        <v>1243081.795937344</v>
      </c>
      <c r="K86" s="376">
        <f t="shared" si="18"/>
        <v>1292805.0677748378</v>
      </c>
      <c r="L86" s="376">
        <f t="shared" si="18"/>
        <v>1344517.2704858314</v>
      </c>
      <c r="M86" s="376">
        <f t="shared" si="18"/>
        <v>1398297.9613052648</v>
      </c>
      <c r="N86" s="376">
        <f t="shared" si="18"/>
        <v>1454229.8797574753</v>
      </c>
      <c r="O86" s="376">
        <f t="shared" si="18"/>
        <v>1512399.0749477744</v>
      </c>
      <c r="P86" s="376">
        <f t="shared" si="18"/>
        <v>1572895.0379456857</v>
      </c>
      <c r="Q86" s="376">
        <f t="shared" si="18"/>
        <v>1635810.8394635131</v>
      </c>
      <c r="R86" s="376">
        <f t="shared" si="18"/>
        <v>1701243.2730420537</v>
      </c>
      <c r="S86" s="376">
        <f t="shared" si="18"/>
        <v>1769293.0039637359</v>
      </c>
      <c r="T86" s="376">
        <f t="shared" si="18"/>
        <v>1840064.7241222854</v>
      </c>
      <c r="U86" s="376">
        <f t="shared" si="18"/>
        <v>1913667.3130871772</v>
      </c>
      <c r="V86" s="376">
        <f t="shared" si="18"/>
        <v>1990214.0056106639</v>
      </c>
      <c r="W86" s="376">
        <f t="shared" si="18"/>
        <v>2069822.5658350908</v>
      </c>
      <c r="X86" s="376">
        <f t="shared" si="18"/>
        <v>2152615.4684684947</v>
      </c>
      <c r="Y86" s="376">
        <f t="shared" si="18"/>
        <v>2238720.0872072345</v>
      </c>
      <c r="Z86" s="376">
        <f t="shared" si="18"/>
        <v>2328268.8906955239</v>
      </c>
      <c r="AA86" s="376">
        <f t="shared" si="18"/>
        <v>2421399.6463233451</v>
      </c>
      <c r="AB86" s="376">
        <f t="shared" si="18"/>
        <v>2518255.6321762791</v>
      </c>
      <c r="AC86" s="376">
        <f t="shared" si="18"/>
        <v>2618985.8574633305</v>
      </c>
      <c r="AD86" s="376">
        <f t="shared" si="18"/>
        <v>2723745.2917618635</v>
      </c>
      <c r="AE86" s="376">
        <f t="shared" si="18"/>
        <v>2832695.1034323382</v>
      </c>
      <c r="AF86" s="376">
        <f t="shared" si="18"/>
        <v>2946002.9075696319</v>
      </c>
      <c r="AG86" s="376">
        <f t="shared" si="18"/>
        <v>3063843.0238724169</v>
      </c>
    </row>
    <row r="87" spans="1:34">
      <c r="A87" s="368" t="s">
        <v>318</v>
      </c>
      <c r="B87" s="368" t="s">
        <v>313</v>
      </c>
      <c r="C87" s="376">
        <f>'Changing with year'!C291</f>
        <v>600000</v>
      </c>
      <c r="D87" s="376">
        <f>'Changing with year'!D291</f>
        <v>627000</v>
      </c>
      <c r="E87" s="376">
        <f>'Changing with year'!E291</f>
        <v>655000</v>
      </c>
      <c r="F87" s="376">
        <f>'Changing with year'!F291</f>
        <v>684000</v>
      </c>
      <c r="G87" s="376">
        <f>'Changing with year'!G291</f>
        <v>715000</v>
      </c>
      <c r="H87" s="376">
        <f>'Changing with year'!H291</f>
        <v>747000</v>
      </c>
      <c r="I87" s="376">
        <f>'Changing with year'!I291</f>
        <v>781000</v>
      </c>
      <c r="J87" s="376">
        <f>'Changing with year'!J291</f>
        <v>816000</v>
      </c>
      <c r="K87" s="376">
        <f>'Changing with year'!K291</f>
        <v>853000</v>
      </c>
      <c r="L87" s="376">
        <f>'Changing with year'!L291</f>
        <v>891000</v>
      </c>
      <c r="M87" s="376">
        <f>'Changing with year'!M291</f>
        <v>931000</v>
      </c>
      <c r="N87" s="376">
        <f>'Changing with year'!N291</f>
        <v>973000</v>
      </c>
      <c r="O87" s="376">
        <f>'Changing with year'!O291</f>
        <v>1017000</v>
      </c>
      <c r="P87" s="376">
        <f>'Changing with year'!P291</f>
        <v>1063000</v>
      </c>
      <c r="Q87" s="376">
        <f>'Changing with year'!Q291</f>
        <v>1111000</v>
      </c>
      <c r="R87" s="376">
        <f>'Changing with year'!R291</f>
        <v>1161000</v>
      </c>
      <c r="S87" s="376">
        <f>'Changing with year'!S291</f>
        <v>1213000</v>
      </c>
      <c r="T87" s="376">
        <f>'Changing with year'!T291</f>
        <v>1268000</v>
      </c>
      <c r="U87" s="376">
        <f>'Changing with year'!U291</f>
        <v>1325000</v>
      </c>
      <c r="V87" s="376">
        <f>'Changing with year'!V291</f>
        <v>1385000</v>
      </c>
      <c r="W87" s="376">
        <f>'Changing with year'!W291</f>
        <v>1447000</v>
      </c>
      <c r="X87" s="376">
        <f>'Changing with year'!X291</f>
        <v>1512000</v>
      </c>
      <c r="Y87" s="376">
        <f>'Changing with year'!Y291</f>
        <v>1580000</v>
      </c>
      <c r="Z87" s="376">
        <f>'Changing with year'!Z291</f>
        <v>1651000</v>
      </c>
      <c r="AA87" s="376">
        <f>'Changing with year'!AA291</f>
        <v>1725000</v>
      </c>
      <c r="AB87" s="376">
        <f>'Changing with year'!AB291</f>
        <v>1803000</v>
      </c>
      <c r="AC87" s="376">
        <f>'Changing with year'!AC291</f>
        <v>1884000</v>
      </c>
      <c r="AD87" s="376">
        <f>'Changing with year'!AD291</f>
        <v>1969000</v>
      </c>
      <c r="AE87" s="376">
        <f>'Changing with year'!AE291</f>
        <v>2058000</v>
      </c>
      <c r="AF87" s="376">
        <f>'Changing with year'!AF291</f>
        <v>2151000</v>
      </c>
      <c r="AG87" s="376">
        <f>'Changing with year'!AG291</f>
        <v>2248000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1036800</v>
      </c>
      <c r="D88" s="376">
        <f t="shared" si="19"/>
        <v>1047168</v>
      </c>
      <c r="E88" s="376">
        <f t="shared" si="19"/>
        <v>1057639.68</v>
      </c>
      <c r="F88" s="376">
        <f t="shared" si="19"/>
        <v>1068216.0767999999</v>
      </c>
      <c r="G88" s="376">
        <f t="shared" si="19"/>
        <v>1078898.2375679999</v>
      </c>
      <c r="H88" s="376">
        <f t="shared" si="19"/>
        <v>1089687.2199436799</v>
      </c>
      <c r="I88" s="376">
        <f t="shared" si="19"/>
        <v>1100584.0921431168</v>
      </c>
      <c r="J88" s="376">
        <f t="shared" si="19"/>
        <v>1111589.9330645478</v>
      </c>
      <c r="K88" s="376">
        <f t="shared" si="19"/>
        <v>1122705.8323951936</v>
      </c>
      <c r="L88" s="376">
        <f t="shared" si="19"/>
        <v>1133932.8907191455</v>
      </c>
      <c r="M88" s="376">
        <f t="shared" si="19"/>
        <v>1145272.2196263371</v>
      </c>
      <c r="N88" s="376">
        <f t="shared" si="19"/>
        <v>1156724.9418226003</v>
      </c>
      <c r="O88" s="376">
        <f t="shared" si="19"/>
        <v>1168292.1912408266</v>
      </c>
      <c r="P88" s="376">
        <f t="shared" si="19"/>
        <v>1179975.1131532348</v>
      </c>
      <c r="Q88" s="376">
        <f t="shared" si="19"/>
        <v>1191774.8642847673</v>
      </c>
      <c r="R88" s="376">
        <f t="shared" si="19"/>
        <v>1203692.6129276149</v>
      </c>
      <c r="S88" s="376">
        <f t="shared" si="19"/>
        <v>1215729.5390568911</v>
      </c>
      <c r="T88" s="376">
        <f t="shared" si="19"/>
        <v>1227886.8344474602</v>
      </c>
      <c r="U88" s="376">
        <f t="shared" si="19"/>
        <v>1240165.7027919348</v>
      </c>
      <c r="V88" s="376">
        <f t="shared" si="19"/>
        <v>1252567.3598198541</v>
      </c>
      <c r="W88" s="376">
        <f t="shared" si="19"/>
        <v>1265093.0334180526</v>
      </c>
      <c r="X88" s="376">
        <f t="shared" si="19"/>
        <v>1277743.9637522332</v>
      </c>
      <c r="Y88" s="376">
        <f t="shared" si="19"/>
        <v>1290521.4033897556</v>
      </c>
      <c r="Z88" s="376">
        <f t="shared" si="19"/>
        <v>1303426.6174236531</v>
      </c>
      <c r="AA88" s="376">
        <f t="shared" si="19"/>
        <v>1316460.8835978897</v>
      </c>
      <c r="AB88" s="376">
        <f t="shared" si="19"/>
        <v>1329625.4924338686</v>
      </c>
      <c r="AC88" s="376">
        <f t="shared" si="19"/>
        <v>1342921.7473582074</v>
      </c>
      <c r="AD88" s="376">
        <f t="shared" si="19"/>
        <v>1356350.9648317895</v>
      </c>
      <c r="AE88" s="376">
        <f t="shared" si="19"/>
        <v>1369914.4744801074</v>
      </c>
      <c r="AF88" s="376">
        <f t="shared" si="19"/>
        <v>1383613.6192249085</v>
      </c>
      <c r="AG88" s="376">
        <f t="shared" si="19"/>
        <v>1397449.7554171574</v>
      </c>
    </row>
    <row r="89" spans="1:34">
      <c r="A89" s="300" t="s">
        <v>319</v>
      </c>
      <c r="B89" s="300" t="s">
        <v>309</v>
      </c>
      <c r="C89" s="376">
        <f t="shared" ref="C89:AG89" si="20">C81*$C$29</f>
        <v>99000</v>
      </c>
      <c r="D89" s="376">
        <f t="shared" si="20"/>
        <v>101970</v>
      </c>
      <c r="E89" s="376">
        <f t="shared" si="20"/>
        <v>105029.1</v>
      </c>
      <c r="F89" s="376">
        <f t="shared" si="20"/>
        <v>108179.97300000001</v>
      </c>
      <c r="G89" s="376">
        <f t="shared" si="20"/>
        <v>111425.37219000001</v>
      </c>
      <c r="H89" s="376">
        <f t="shared" si="20"/>
        <v>122768.1333557</v>
      </c>
      <c r="I89" s="376">
        <f t="shared" si="20"/>
        <v>126451.177356371</v>
      </c>
      <c r="J89" s="376">
        <f t="shared" si="20"/>
        <v>130244.71267706214</v>
      </c>
      <c r="K89" s="376">
        <f t="shared" si="20"/>
        <v>134152.05405737401</v>
      </c>
      <c r="L89" s="376">
        <f t="shared" si="20"/>
        <v>138176.61567909521</v>
      </c>
      <c r="M89" s="376">
        <f t="shared" si="20"/>
        <v>142321.91414946807</v>
      </c>
      <c r="N89" s="376">
        <f t="shared" si="20"/>
        <v>146591.57157395213</v>
      </c>
      <c r="O89" s="376">
        <f t="shared" si="20"/>
        <v>150989.31872117068</v>
      </c>
      <c r="P89" s="376">
        <f t="shared" si="20"/>
        <v>155518.99828280581</v>
      </c>
      <c r="Q89" s="376">
        <f t="shared" si="20"/>
        <v>160184.56823128997</v>
      </c>
      <c r="R89" s="376">
        <f t="shared" si="20"/>
        <v>164990.1052782287</v>
      </c>
      <c r="S89" s="376">
        <f t="shared" si="20"/>
        <v>169939.80843657558</v>
      </c>
      <c r="T89" s="376">
        <f t="shared" si="20"/>
        <v>175038.00268967287</v>
      </c>
      <c r="U89" s="376">
        <f t="shared" si="20"/>
        <v>180289.14277036305</v>
      </c>
      <c r="V89" s="376">
        <f t="shared" si="20"/>
        <v>185697.81705347396</v>
      </c>
      <c r="W89" s="376">
        <f t="shared" si="20"/>
        <v>191268.75156507822</v>
      </c>
      <c r="X89" s="376">
        <f t="shared" si="20"/>
        <v>197006.81411203058</v>
      </c>
      <c r="Y89" s="376">
        <f t="shared" si="20"/>
        <v>202917.01853539151</v>
      </c>
      <c r="Z89" s="376">
        <f t="shared" si="20"/>
        <v>209004.52909145327</v>
      </c>
      <c r="AA89" s="376">
        <f t="shared" si="20"/>
        <v>215274.66496419688</v>
      </c>
      <c r="AB89" s="376">
        <f t="shared" si="20"/>
        <v>221732.90491312277</v>
      </c>
      <c r="AC89" s="376">
        <f t="shared" si="20"/>
        <v>228384.89206051643</v>
      </c>
      <c r="AD89" s="376">
        <f t="shared" si="20"/>
        <v>235236.43882233195</v>
      </c>
      <c r="AE89" s="376">
        <f t="shared" si="20"/>
        <v>242293.53198700194</v>
      </c>
      <c r="AF89" s="376">
        <f t="shared" si="20"/>
        <v>249562.33794661201</v>
      </c>
      <c r="AG89" s="376">
        <f t="shared" si="20"/>
        <v>257049.20808501038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9.4152152145128873</v>
      </c>
      <c r="D91" s="379">
        <f t="shared" si="21"/>
        <v>9.6976716709482744</v>
      </c>
      <c r="E91" s="379">
        <f t="shared" si="21"/>
        <v>9.988601821076724</v>
      </c>
      <c r="F91" s="379">
        <f t="shared" si="21"/>
        <v>10.288259875709025</v>
      </c>
      <c r="G91" s="379">
        <f t="shared" si="21"/>
        <v>10.596907671980297</v>
      </c>
      <c r="H91" s="379">
        <f t="shared" si="21"/>
        <v>11.675640374019533</v>
      </c>
      <c r="I91" s="379">
        <f t="shared" si="21"/>
        <v>12.025909585240122</v>
      </c>
      <c r="J91" s="379">
        <f t="shared" si="21"/>
        <v>12.386686872797325</v>
      </c>
      <c r="K91" s="379">
        <f t="shared" si="21"/>
        <v>12.758287478981243</v>
      </c>
      <c r="L91" s="379">
        <f t="shared" si="21"/>
        <v>13.141036103350682</v>
      </c>
      <c r="M91" s="379">
        <f t="shared" si="21"/>
        <v>13.5352671864512</v>
      </c>
      <c r="N91" s="379">
        <f t="shared" si="21"/>
        <v>13.941325202044741</v>
      </c>
      <c r="O91" s="379">
        <f t="shared" si="21"/>
        <v>14.35956495810608</v>
      </c>
      <c r="P91" s="379">
        <f t="shared" si="21"/>
        <v>14.790351906849263</v>
      </c>
      <c r="Q91" s="379">
        <f t="shared" si="21"/>
        <v>15.234062464054743</v>
      </c>
      <c r="R91" s="379">
        <f t="shared" si="21"/>
        <v>15.691084337976385</v>
      </c>
      <c r="S91" s="379">
        <f t="shared" si="21"/>
        <v>16.161816868115675</v>
      </c>
      <c r="T91" s="379">
        <f t="shared" si="21"/>
        <v>16.646671374159151</v>
      </c>
      <c r="U91" s="379">
        <f t="shared" si="21"/>
        <v>17.146071515383927</v>
      </c>
      <c r="V91" s="379">
        <f t="shared" si="21"/>
        <v>17.660453660845445</v>
      </c>
      <c r="W91" s="379">
        <f t="shared" si="21"/>
        <v>18.190267270670812</v>
      </c>
      <c r="X91" s="379">
        <f t="shared" si="21"/>
        <v>18.735975288790939</v>
      </c>
      <c r="Y91" s="379">
        <f t="shared" si="21"/>
        <v>19.298054547454669</v>
      </c>
      <c r="Z91" s="379">
        <f t="shared" si="21"/>
        <v>19.876996183878308</v>
      </c>
      <c r="AA91" s="379">
        <f t="shared" si="21"/>
        <v>20.47330606939466</v>
      </c>
      <c r="AB91" s="379">
        <f t="shared" si="21"/>
        <v>21.087505251476497</v>
      </c>
      <c r="AC91" s="379">
        <f t="shared" si="21"/>
        <v>21.72013040902079</v>
      </c>
      <c r="AD91" s="379">
        <f t="shared" si="21"/>
        <v>22.371734321291417</v>
      </c>
      <c r="AE91" s="379">
        <f t="shared" si="21"/>
        <v>23.042886350930157</v>
      </c>
      <c r="AF91" s="379">
        <f t="shared" si="21"/>
        <v>23.73417294145807</v>
      </c>
      <c r="AG91" s="379">
        <f t="shared" si="21"/>
        <v>24.446198129701809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28.064516129032256</v>
      </c>
      <c r="D92" s="379">
        <f t="shared" si="22"/>
        <v>29.516129032258064</v>
      </c>
      <c r="E92" s="379">
        <f t="shared" si="22"/>
        <v>30.401612903225807</v>
      </c>
      <c r="F92" s="379">
        <f t="shared" si="22"/>
        <v>31.313661290322582</v>
      </c>
      <c r="G92" s="379">
        <f t="shared" si="22"/>
        <v>32.253071129032257</v>
      </c>
      <c r="H92" s="379">
        <f t="shared" si="22"/>
        <v>33.220663262903223</v>
      </c>
      <c r="I92" s="379">
        <f t="shared" si="22"/>
        <v>34.217283160790323</v>
      </c>
      <c r="J92" s="379">
        <f t="shared" si="22"/>
        <v>35.243801655614028</v>
      </c>
      <c r="K92" s="379">
        <f t="shared" si="22"/>
        <v>36.301115705282456</v>
      </c>
      <c r="L92" s="379">
        <f t="shared" si="22"/>
        <v>37.390149176440936</v>
      </c>
      <c r="M92" s="379">
        <f t="shared" si="22"/>
        <v>38.511853651734157</v>
      </c>
      <c r="N92" s="379">
        <f t="shared" si="22"/>
        <v>39.667209261286182</v>
      </c>
      <c r="O92" s="379">
        <f t="shared" si="22"/>
        <v>40.857225539124769</v>
      </c>
      <c r="P92" s="379">
        <f t="shared" si="22"/>
        <v>42.082942305298509</v>
      </c>
      <c r="Q92" s="379">
        <f t="shared" si="22"/>
        <v>43.345430574457467</v>
      </c>
      <c r="R92" s="379">
        <f t="shared" si="22"/>
        <v>44.645793491691187</v>
      </c>
      <c r="S92" s="379">
        <f t="shared" si="22"/>
        <v>45.985167296441922</v>
      </c>
      <c r="T92" s="379">
        <f t="shared" si="22"/>
        <v>47.364722315335179</v>
      </c>
      <c r="U92" s="379">
        <f t="shared" si="22"/>
        <v>48.785663984795235</v>
      </c>
      <c r="V92" s="379">
        <f t="shared" si="22"/>
        <v>50.249233904339093</v>
      </c>
      <c r="W92" s="379">
        <f t="shared" si="22"/>
        <v>51.756710921469271</v>
      </c>
      <c r="X92" s="379">
        <f t="shared" si="22"/>
        <v>53.309412249113343</v>
      </c>
      <c r="Y92" s="379">
        <f t="shared" si="22"/>
        <v>54.908694616586743</v>
      </c>
      <c r="Z92" s="379">
        <f t="shared" si="22"/>
        <v>56.555955455084337</v>
      </c>
      <c r="AA92" s="379">
        <f t="shared" si="22"/>
        <v>58.252634118736871</v>
      </c>
      <c r="AB92" s="379">
        <f t="shared" si="22"/>
        <v>60.000213142298982</v>
      </c>
      <c r="AC92" s="379">
        <f t="shared" si="22"/>
        <v>61.800219536567951</v>
      </c>
      <c r="AD92" s="379">
        <f t="shared" si="22"/>
        <v>63.654226122664994</v>
      </c>
      <c r="AE92" s="379">
        <f t="shared" si="22"/>
        <v>65.563852906344948</v>
      </c>
      <c r="AF92" s="379">
        <f t="shared" si="22"/>
        <v>67.530768493535291</v>
      </c>
      <c r="AG92" s="379">
        <f t="shared" si="22"/>
        <v>69.556691548341362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23.267708333333335</v>
      </c>
      <c r="D93" s="379">
        <f t="shared" si="23"/>
        <v>23.945864583333329</v>
      </c>
      <c r="E93" s="379">
        <f t="shared" si="23"/>
        <v>24.647494826388886</v>
      </c>
      <c r="F93" s="379">
        <f t="shared" si="23"/>
        <v>25.373156065625</v>
      </c>
      <c r="G93" s="379">
        <f t="shared" si="23"/>
        <v>26.13210763781597</v>
      </c>
      <c r="H93" s="379">
        <f t="shared" si="23"/>
        <v>26.985714852626007</v>
      </c>
      <c r="I93" s="379">
        <f t="shared" si="23"/>
        <v>27.806477666072482</v>
      </c>
      <c r="J93" s="379">
        <f t="shared" si="23"/>
        <v>28.653788556240919</v>
      </c>
      <c r="K93" s="379">
        <f t="shared" si="23"/>
        <v>29.537004811001786</v>
      </c>
      <c r="L93" s="379">
        <f t="shared" si="23"/>
        <v>30.448149104896459</v>
      </c>
      <c r="M93" s="379">
        <f t="shared" si="23"/>
        <v>31.396632769800952</v>
      </c>
      <c r="N93" s="379">
        <f t="shared" si="23"/>
        <v>32.383215218350934</v>
      </c>
      <c r="O93" s="379">
        <f t="shared" si="23"/>
        <v>33.408685632897324</v>
      </c>
      <c r="P93" s="379">
        <f t="shared" si="23"/>
        <v>34.473864143938606</v>
      </c>
      <c r="Q93" s="379">
        <f t="shared" si="23"/>
        <v>35.579603055378215</v>
      </c>
      <c r="R93" s="379">
        <f t="shared" si="23"/>
        <v>36.726788118471326</v>
      </c>
      <c r="S93" s="379">
        <f t="shared" si="23"/>
        <v>37.916339856399318</v>
      </c>
      <c r="T93" s="379">
        <f t="shared" si="23"/>
        <v>39.157895497043569</v>
      </c>
      <c r="U93" s="379">
        <f t="shared" si="23"/>
        <v>40.443768738276695</v>
      </c>
      <c r="V93" s="379">
        <f t="shared" si="23"/>
        <v>41.783673459062427</v>
      </c>
      <c r="W93" s="379">
        <f t="shared" si="23"/>
        <v>43.170003045297058</v>
      </c>
      <c r="X93" s="379">
        <f t="shared" si="23"/>
        <v>44.612554221638533</v>
      </c>
      <c r="Y93" s="379">
        <f t="shared" si="23"/>
        <v>46.112487058440813</v>
      </c>
      <c r="Z93" s="379">
        <f t="shared" si="23"/>
        <v>47.67100726745339</v>
      </c>
      <c r="AA93" s="379">
        <f t="shared" si="23"/>
        <v>49.28936801115826</v>
      </c>
      <c r="AB93" s="379">
        <f t="shared" si="23"/>
        <v>50.977552339611719</v>
      </c>
      <c r="AC93" s="379">
        <f t="shared" si="23"/>
        <v>52.728233479878938</v>
      </c>
      <c r="AD93" s="379">
        <f t="shared" si="23"/>
        <v>54.551499092152653</v>
      </c>
      <c r="AE93" s="379">
        <f t="shared" si="23"/>
        <v>56.448811717877156</v>
      </c>
      <c r="AF93" s="379">
        <f t="shared" si="23"/>
        <v>58.421691534211398</v>
      </c>
      <c r="AG93" s="379">
        <f t="shared" si="23"/>
        <v>60.471718640404376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2.7622767857142856</v>
      </c>
      <c r="D94" s="379">
        <f t="shared" si="24"/>
        <v>2.8451450892857144</v>
      </c>
      <c r="E94" s="379">
        <f t="shared" si="24"/>
        <v>2.9304994419642858</v>
      </c>
      <c r="F94" s="379">
        <f t="shared" si="24"/>
        <v>3.0184144252232143</v>
      </c>
      <c r="G94" s="379">
        <f t="shared" si="24"/>
        <v>3.1089668579799112</v>
      </c>
      <c r="H94" s="379">
        <f t="shared" si="24"/>
        <v>3.4254501494335936</v>
      </c>
      <c r="I94" s="379">
        <f t="shared" si="24"/>
        <v>3.5282136539166018</v>
      </c>
      <c r="J94" s="379">
        <f t="shared" si="24"/>
        <v>3.6340600635340996</v>
      </c>
      <c r="K94" s="379">
        <f t="shared" si="24"/>
        <v>3.7430818654401228</v>
      </c>
      <c r="L94" s="379">
        <f t="shared" si="24"/>
        <v>3.8553743214033269</v>
      </c>
      <c r="M94" s="379">
        <f t="shared" si="24"/>
        <v>3.9710355510454263</v>
      </c>
      <c r="N94" s="379">
        <f t="shared" si="24"/>
        <v>3.1812407025597249</v>
      </c>
      <c r="O94" s="379">
        <f t="shared" si="24"/>
        <v>3.2766779236365169</v>
      </c>
      <c r="P94" s="379">
        <f t="shared" si="24"/>
        <v>3.3749782613456127</v>
      </c>
      <c r="Q94" s="379">
        <f t="shared" si="24"/>
        <v>3.4762276091859809</v>
      </c>
      <c r="R94" s="379">
        <f t="shared" si="24"/>
        <v>3.5805144374615603</v>
      </c>
      <c r="S94" s="379">
        <f t="shared" si="24"/>
        <v>3.6879298705854078</v>
      </c>
      <c r="T94" s="379">
        <f t="shared" si="24"/>
        <v>3.7985677667029702</v>
      </c>
      <c r="U94" s="379">
        <f t="shared" si="24"/>
        <v>3.9125247997040598</v>
      </c>
      <c r="V94" s="379">
        <f t="shared" si="24"/>
        <v>4.0299005436951818</v>
      </c>
      <c r="W94" s="379">
        <f t="shared" si="24"/>
        <v>4.1507975600060378</v>
      </c>
      <c r="X94" s="379">
        <f t="shared" si="24"/>
        <v>3.053801062004442</v>
      </c>
      <c r="Y94" s="379">
        <f t="shared" si="24"/>
        <v>3.1454150938645755</v>
      </c>
      <c r="Z94" s="379">
        <f t="shared" si="24"/>
        <v>3.239777546680513</v>
      </c>
      <c r="AA94" s="379">
        <f t="shared" si="24"/>
        <v>3.3369708730809284</v>
      </c>
      <c r="AB94" s="379">
        <f t="shared" si="24"/>
        <v>3.4370799992733563</v>
      </c>
      <c r="AC94" s="379">
        <f t="shared" si="24"/>
        <v>3.5401923992515569</v>
      </c>
      <c r="AD94" s="379">
        <f t="shared" si="24"/>
        <v>3.6463981712291038</v>
      </c>
      <c r="AE94" s="379">
        <f t="shared" si="24"/>
        <v>3.7557901163659775</v>
      </c>
      <c r="AF94" s="379">
        <f t="shared" si="24"/>
        <v>3.8684638198569572</v>
      </c>
      <c r="AG94" s="379">
        <f t="shared" si="24"/>
        <v>3.9845177344526661</v>
      </c>
    </row>
    <row r="95" spans="1:34" s="352" customFormat="1">
      <c r="A95" s="380" t="s">
        <v>323</v>
      </c>
      <c r="B95" s="352" t="s">
        <v>300</v>
      </c>
      <c r="C95" s="381">
        <f>SUM(C91:C93)-C94</f>
        <v>57.985162891164187</v>
      </c>
      <c r="D95" s="381">
        <f t="shared" ref="D95" si="25">SUM(D91:D93)-D94</f>
        <v>60.314520197253948</v>
      </c>
      <c r="E95" s="381">
        <f t="shared" ref="E95" si="26">SUM(E91:E93)-E94</f>
        <v>62.107210108727131</v>
      </c>
      <c r="F95" s="381">
        <f t="shared" ref="F95:AG95" si="27">SUM(F91:F93)-F94</f>
        <v>63.9566628064334</v>
      </c>
      <c r="G95" s="381">
        <f t="shared" si="27"/>
        <v>65.873119580848623</v>
      </c>
      <c r="H95" s="381">
        <f t="shared" si="27"/>
        <v>68.456568340115169</v>
      </c>
      <c r="I95" s="381">
        <f t="shared" si="27"/>
        <v>70.521456758186332</v>
      </c>
      <c r="J95" s="381">
        <f t="shared" si="27"/>
        <v>72.650217021118181</v>
      </c>
      <c r="K95" s="381">
        <f t="shared" si="27"/>
        <v>74.853326129825362</v>
      </c>
      <c r="L95" s="381">
        <f t="shared" si="27"/>
        <v>77.123960063284741</v>
      </c>
      <c r="M95" s="381">
        <f t="shared" si="27"/>
        <v>79.472718056940877</v>
      </c>
      <c r="N95" s="381">
        <f t="shared" si="27"/>
        <v>82.810508979122133</v>
      </c>
      <c r="O95" s="381">
        <f t="shared" si="27"/>
        <v>85.348798206491651</v>
      </c>
      <c r="P95" s="381">
        <f t="shared" si="27"/>
        <v>87.97218009474075</v>
      </c>
      <c r="Q95" s="381">
        <f t="shared" si="27"/>
        <v>90.682868484704443</v>
      </c>
      <c r="R95" s="381">
        <f t="shared" si="27"/>
        <v>93.483151510677331</v>
      </c>
      <c r="S95" s="381">
        <f t="shared" si="27"/>
        <v>96.375394150371505</v>
      </c>
      <c r="T95" s="381">
        <f t="shared" si="27"/>
        <v>99.370721419834922</v>
      </c>
      <c r="U95" s="381">
        <f t="shared" si="27"/>
        <v>102.46297943875179</v>
      </c>
      <c r="V95" s="381">
        <f t="shared" si="27"/>
        <v>105.66346048055179</v>
      </c>
      <c r="W95" s="381">
        <f t="shared" si="27"/>
        <v>108.96618367743109</v>
      </c>
      <c r="X95" s="381">
        <f t="shared" si="27"/>
        <v>113.60414069753837</v>
      </c>
      <c r="Y95" s="381">
        <f t="shared" si="27"/>
        <v>117.17382112861766</v>
      </c>
      <c r="Z95" s="381">
        <f t="shared" si="27"/>
        <v>120.86418135973553</v>
      </c>
      <c r="AA95" s="381">
        <f t="shared" si="27"/>
        <v>124.67833732620886</v>
      </c>
      <c r="AB95" s="381">
        <f t="shared" si="27"/>
        <v>128.62819073411384</v>
      </c>
      <c r="AC95" s="381">
        <f t="shared" si="27"/>
        <v>132.70839102621613</v>
      </c>
      <c r="AD95" s="381">
        <f t="shared" si="27"/>
        <v>136.93106136487998</v>
      </c>
      <c r="AE95" s="381">
        <f t="shared" si="27"/>
        <v>141.2997608587863</v>
      </c>
      <c r="AF95" s="381">
        <f t="shared" si="27"/>
        <v>145.8181691493478</v>
      </c>
      <c r="AG95" s="381">
        <f t="shared" si="27"/>
        <v>150.49009058399491</v>
      </c>
    </row>
    <row r="96" spans="1:34" s="344" customFormat="1">
      <c r="A96" s="342" t="s">
        <v>180</v>
      </c>
      <c r="B96" s="342"/>
      <c r="H96" s="382">
        <f>H98/H63</f>
        <v>1.1043668570256129</v>
      </c>
      <c r="AB96" s="382">
        <f>AB98/AB63</f>
        <v>1.0704886684211523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year'!C109)/1000,0)*1000</f>
        <v>5280000</v>
      </c>
      <c r="D98" s="376">
        <f>ROUND(('Changing with year'!D109)/1000,0)*1000</f>
        <v>5427000</v>
      </c>
      <c r="E98" s="376">
        <f>ROUND(('Changing with year'!E109)/1000,0)*1000</f>
        <v>5578000</v>
      </c>
      <c r="F98" s="376">
        <f>ROUND(('Changing with year'!F109)/1000,0)*1000</f>
        <v>5734000</v>
      </c>
      <c r="G98" s="376">
        <f>ROUND(('Changing with year'!G109)/1000,0)*1000</f>
        <v>5894000</v>
      </c>
      <c r="H98" s="376">
        <f>ROUND(('Changing with year'!H109)/1000,0)*1000</f>
        <v>6459000</v>
      </c>
      <c r="I98" s="376">
        <f>ROUND(('Changing with year'!I109)/1000,0)*1000</f>
        <v>6640000</v>
      </c>
      <c r="J98" s="376">
        <f>ROUND(('Changing with year'!J109)/1000,0)*1000</f>
        <v>6827000</v>
      </c>
      <c r="K98" s="376">
        <f>ROUND(('Changing with year'!K109)/1000,0)*1000</f>
        <v>7019000</v>
      </c>
      <c r="L98" s="376">
        <f>ROUND(('Changing with year'!L109)/1000,0)*1000</f>
        <v>7217000</v>
      </c>
      <c r="M98" s="376">
        <f>ROUND(('Changing with year'!M109)/1000,0)*1000</f>
        <v>7421000</v>
      </c>
      <c r="N98" s="376">
        <f>ROUND(('Changing with year'!N109)/1000,0)*1000</f>
        <v>7631000</v>
      </c>
      <c r="O98" s="376">
        <f>ROUND(('Changing with year'!O109)/1000,0)*1000</f>
        <v>7847000</v>
      </c>
      <c r="P98" s="376">
        <f>ROUND(('Changing with year'!P109)/1000,0)*1000</f>
        <v>8069000</v>
      </c>
      <c r="Q98" s="376">
        <f>ROUND(('Changing with year'!Q109)/1000,0)*1000</f>
        <v>8298000</v>
      </c>
      <c r="R98" s="376">
        <f>ROUND(('Changing with year'!R109)/1000,0)*1000</f>
        <v>8534000</v>
      </c>
      <c r="S98" s="376">
        <f>ROUND(('Changing with year'!S109)/1000,0)*1000</f>
        <v>8776000</v>
      </c>
      <c r="T98" s="376">
        <f>ROUND(('Changing with year'!T109)/1000,0)*1000</f>
        <v>9026000</v>
      </c>
      <c r="U98" s="376">
        <f>ROUND(('Changing with year'!U109)/1000,0)*1000</f>
        <v>9283000</v>
      </c>
      <c r="V98" s="376">
        <f>ROUND(('Changing with year'!V109)/1000,0)*1000</f>
        <v>9548000</v>
      </c>
      <c r="W98" s="376">
        <f>ROUND(('Changing with year'!W109)/1000,0)*1000</f>
        <v>9820000</v>
      </c>
      <c r="X98" s="376">
        <f>ROUND(('Changing with year'!X109)/1000,0)*1000</f>
        <v>10101000</v>
      </c>
      <c r="Y98" s="376">
        <f>ROUND(('Changing with year'!Y109)/1000,0)*1000</f>
        <v>10389000</v>
      </c>
      <c r="Z98" s="376">
        <f>ROUND(('Changing with year'!Z109)/1000,0)*1000</f>
        <v>10687000</v>
      </c>
      <c r="AA98" s="376">
        <f>ROUND(('Changing with year'!AA109)/1000,0)*1000</f>
        <v>10993000</v>
      </c>
      <c r="AB98" s="376">
        <f>ROUND(('Changing with year'!AB109)/1000,0)*1000</f>
        <v>11308000</v>
      </c>
      <c r="AC98" s="376">
        <f>ROUND(('Changing with year'!AC109)/1000,0)*1000</f>
        <v>11632000</v>
      </c>
      <c r="AD98" s="376">
        <f>ROUND(('Changing with year'!AD109)/1000,0)*1000</f>
        <v>11966000</v>
      </c>
      <c r="AE98" s="376">
        <f>ROUND(('Changing with year'!AE109)/1000,0)*1000</f>
        <v>12310000</v>
      </c>
      <c r="AF98" s="376">
        <f>ROUND(('Changing with year'!AF109)/1000,0)*1000</f>
        <v>12664000</v>
      </c>
      <c r="AG98" s="376">
        <f>ROUND(('Changing with year'!AG109)/1000,0)*1000</f>
        <v>13028000</v>
      </c>
    </row>
    <row r="99" spans="1:34">
      <c r="A99" s="368" t="s">
        <v>310</v>
      </c>
      <c r="B99" s="300" t="s">
        <v>309</v>
      </c>
      <c r="C99" s="376">
        <f>(C98*'No change with year'!$AE$13)</f>
        <v>2376000</v>
      </c>
      <c r="D99" s="376">
        <f>(D98*'No change with year'!$AE$13)</f>
        <v>2442150</v>
      </c>
      <c r="E99" s="376">
        <f>(E98*'No change with year'!$AE$13)</f>
        <v>2510100</v>
      </c>
      <c r="F99" s="376">
        <f>(F98*'No change with year'!$AE$13)</f>
        <v>2580300</v>
      </c>
      <c r="G99" s="376">
        <f>(G98*'No change with year'!$AE$13)</f>
        <v>2652300</v>
      </c>
      <c r="H99" s="376">
        <f>(H98*'No change with year'!$AE$13)</f>
        <v>2906550</v>
      </c>
      <c r="I99" s="376">
        <f>(I98*'No change with year'!$AE$13)</f>
        <v>2988000</v>
      </c>
      <c r="J99" s="376">
        <f>(J98*'No change with year'!$AE$13)</f>
        <v>3072150</v>
      </c>
      <c r="K99" s="376">
        <f>(K98*'No change with year'!$AE$13)</f>
        <v>3158550</v>
      </c>
      <c r="L99" s="376">
        <f>(L98*'No change with year'!$AE$13)</f>
        <v>3247650</v>
      </c>
      <c r="M99" s="376">
        <f>(M98*'No change with year'!$AE$13)</f>
        <v>3339450</v>
      </c>
      <c r="N99" s="376">
        <f>(N98*'No change with year'!$AF$13)</f>
        <v>2670850.0000000005</v>
      </c>
      <c r="O99" s="376">
        <f>(O98*'No change with year'!$AF$13)</f>
        <v>2746450.0000000005</v>
      </c>
      <c r="P99" s="376">
        <f>(P98*'No change with year'!$AF$13)</f>
        <v>2824150.0000000005</v>
      </c>
      <c r="Q99" s="376">
        <f>(Q98*'No change with year'!$AF$13)</f>
        <v>2904300.0000000005</v>
      </c>
      <c r="R99" s="376">
        <f>(R98*'No change with year'!$AF$13)</f>
        <v>2986900.0000000005</v>
      </c>
      <c r="S99" s="376">
        <f>(S98*'No change with year'!$AF$13)</f>
        <v>3071600.0000000005</v>
      </c>
      <c r="T99" s="376">
        <f>(T98*'No change with year'!$AF$13)</f>
        <v>3159100.0000000005</v>
      </c>
      <c r="U99" s="376">
        <f>(U98*'No change with year'!$AF$13)</f>
        <v>3249050.0000000005</v>
      </c>
      <c r="V99" s="376">
        <f>(V98*'No change with year'!$AF$13)</f>
        <v>3341800.0000000005</v>
      </c>
      <c r="W99" s="376">
        <f>(W98*'No change with year'!$AF$13)</f>
        <v>3437000.0000000005</v>
      </c>
      <c r="X99" s="376">
        <f>(X98*'No change with year'!$AG$13)</f>
        <v>2525250</v>
      </c>
      <c r="Y99" s="376">
        <f>(Y98*'No change with year'!$AG$13)</f>
        <v>2597250</v>
      </c>
      <c r="Z99" s="376">
        <f>(Z98*'No change with year'!$AG$13)</f>
        <v>2671750</v>
      </c>
      <c r="AA99" s="376">
        <f>(AA98*'No change with year'!$AG$13)</f>
        <v>2748250</v>
      </c>
      <c r="AB99" s="376">
        <f>(AB98*'No change with year'!$AG$13)</f>
        <v>2827000</v>
      </c>
      <c r="AC99" s="376">
        <f>(AC98*'No change with year'!$AG$13)</f>
        <v>2908000</v>
      </c>
      <c r="AD99" s="376">
        <f>(AD98*'No change with year'!$AG$13)</f>
        <v>2991500</v>
      </c>
      <c r="AE99" s="376">
        <f>(AE98*'No change with year'!$AG$13)</f>
        <v>3077500</v>
      </c>
      <c r="AF99" s="376">
        <f>(AF98*'No change with year'!$AG$13)</f>
        <v>3166000</v>
      </c>
      <c r="AG99" s="376">
        <f>(AG98*'No change with year'!$AG$13)</f>
        <v>3257000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1156941.6455593437</v>
      </c>
      <c r="D101" s="376">
        <f t="shared" si="29"/>
        <v>1189151.9527368483</v>
      </c>
      <c r="E101" s="376">
        <f t="shared" si="29"/>
        <v>1222238.7308579583</v>
      </c>
      <c r="F101" s="376">
        <f t="shared" si="29"/>
        <v>1256421.0976585753</v>
      </c>
      <c r="G101" s="376">
        <f t="shared" si="29"/>
        <v>1291479.9354027978</v>
      </c>
      <c r="H101" s="376">
        <f t="shared" si="29"/>
        <v>1415281.4561870839</v>
      </c>
      <c r="I101" s="376">
        <f t="shared" si="29"/>
        <v>1454941.7663852354</v>
      </c>
      <c r="J101" s="376">
        <f t="shared" si="29"/>
        <v>1495916.7829987954</v>
      </c>
      <c r="K101" s="376">
        <f t="shared" si="29"/>
        <v>1537987.3882918626</v>
      </c>
      <c r="L101" s="376">
        <f t="shared" si="29"/>
        <v>1581372.700000338</v>
      </c>
      <c r="M101" s="376">
        <f t="shared" si="29"/>
        <v>1626072.7181242215</v>
      </c>
      <c r="N101" s="376">
        <f t="shared" si="29"/>
        <v>1672087.4426635138</v>
      </c>
      <c r="O101" s="376">
        <f t="shared" si="29"/>
        <v>1719416.8736182142</v>
      </c>
      <c r="P101" s="376">
        <f t="shared" si="29"/>
        <v>1768061.0109883228</v>
      </c>
      <c r="Q101" s="376">
        <f t="shared" si="29"/>
        <v>1818238.9725097416</v>
      </c>
      <c r="R101" s="376">
        <f t="shared" si="29"/>
        <v>1869950.7581824695</v>
      </c>
      <c r="S101" s="376">
        <f t="shared" si="29"/>
        <v>1922977.2502706063</v>
      </c>
      <c r="T101" s="376">
        <f t="shared" si="29"/>
        <v>1977756.684245954</v>
      </c>
      <c r="U101" s="376">
        <f t="shared" si="29"/>
        <v>2034069.9423726117</v>
      </c>
      <c r="V101" s="376">
        <f t="shared" si="29"/>
        <v>2092136.14238648</v>
      </c>
      <c r="W101" s="376">
        <f t="shared" si="29"/>
        <v>2151736.1665516584</v>
      </c>
      <c r="X101" s="376">
        <f t="shared" si="29"/>
        <v>2213308.250339949</v>
      </c>
      <c r="Y101" s="376">
        <f t="shared" si="29"/>
        <v>2276414.1582795498</v>
      </c>
      <c r="Z101" s="376">
        <f t="shared" si="29"/>
        <v>2341711.2435781639</v>
      </c>
      <c r="AA101" s="376">
        <f t="shared" si="29"/>
        <v>2408761.27076399</v>
      </c>
      <c r="AB101" s="376">
        <f t="shared" si="29"/>
        <v>2477783.3575729281</v>
      </c>
      <c r="AC101" s="376">
        <f t="shared" si="29"/>
        <v>2548777.5040049786</v>
      </c>
      <c r="AD101" s="376">
        <f t="shared" si="29"/>
        <v>2621962.8277960429</v>
      </c>
      <c r="AE101" s="376">
        <f t="shared" si="29"/>
        <v>2697339.3289461215</v>
      </c>
      <c r="AF101" s="376">
        <f t="shared" si="29"/>
        <v>2774907.0074552139</v>
      </c>
      <c r="AG101" s="376">
        <f t="shared" si="29"/>
        <v>2854665.8633233206</v>
      </c>
    </row>
    <row r="102" spans="1:34">
      <c r="A102" s="300" t="s">
        <v>321</v>
      </c>
      <c r="B102" s="300" t="s">
        <v>309</v>
      </c>
      <c r="C102" s="376">
        <f t="shared" ref="C102:AG102" si="30">$E$38*C44</f>
        <v>3187200</v>
      </c>
      <c r="D102" s="376">
        <f t="shared" si="30"/>
        <v>3302400</v>
      </c>
      <c r="E102" s="376">
        <f t="shared" si="30"/>
        <v>3401472</v>
      </c>
      <c r="F102" s="376">
        <f t="shared" si="30"/>
        <v>3503516.1599999997</v>
      </c>
      <c r="G102" s="376">
        <f t="shared" si="30"/>
        <v>3608621.6447999999</v>
      </c>
      <c r="H102" s="376">
        <f t="shared" si="30"/>
        <v>3716880.2941439999</v>
      </c>
      <c r="I102" s="376">
        <f t="shared" si="30"/>
        <v>3828386.7029683203</v>
      </c>
      <c r="J102" s="376">
        <f t="shared" si="30"/>
        <v>3943238.3040573699</v>
      </c>
      <c r="K102" s="376">
        <f t="shared" si="30"/>
        <v>4061535.4531790912</v>
      </c>
      <c r="L102" s="376">
        <f t="shared" si="30"/>
        <v>4183381.5167744644</v>
      </c>
      <c r="M102" s="376">
        <f t="shared" si="30"/>
        <v>4308882.9622776983</v>
      </c>
      <c r="N102" s="376">
        <f t="shared" si="30"/>
        <v>4438149.4511460289</v>
      </c>
      <c r="O102" s="376">
        <f t="shared" si="30"/>
        <v>4571293.9346804097</v>
      </c>
      <c r="P102" s="376">
        <f t="shared" si="30"/>
        <v>4708432.7527208226</v>
      </c>
      <c r="Q102" s="376">
        <f t="shared" si="30"/>
        <v>4849685.7353024473</v>
      </c>
      <c r="R102" s="376">
        <f t="shared" si="30"/>
        <v>4995176.3073615208</v>
      </c>
      <c r="S102" s="376">
        <f t="shared" si="30"/>
        <v>5145031.5965823662</v>
      </c>
      <c r="T102" s="376">
        <f t="shared" si="30"/>
        <v>5299382.5444798376</v>
      </c>
      <c r="U102" s="376">
        <f t="shared" si="30"/>
        <v>5458364.0208142325</v>
      </c>
      <c r="V102" s="376">
        <f t="shared" si="30"/>
        <v>5622114.94143866</v>
      </c>
      <c r="W102" s="376">
        <f t="shared" si="30"/>
        <v>5790778.3896818198</v>
      </c>
      <c r="X102" s="376">
        <f t="shared" si="30"/>
        <v>5964501.7413722752</v>
      </c>
      <c r="Y102" s="376">
        <f t="shared" si="30"/>
        <v>6143436.7936134441</v>
      </c>
      <c r="Z102" s="376">
        <f t="shared" si="30"/>
        <v>6327739.8974218471</v>
      </c>
      <c r="AA102" s="376">
        <f t="shared" si="30"/>
        <v>6517572.0943445023</v>
      </c>
      <c r="AB102" s="376">
        <f t="shared" si="30"/>
        <v>6713099.2571748374</v>
      </c>
      <c r="AC102" s="376">
        <f t="shared" si="30"/>
        <v>6914492.2348900829</v>
      </c>
      <c r="AD102" s="376">
        <f t="shared" si="30"/>
        <v>7121927.0019367849</v>
      </c>
      <c r="AE102" s="376">
        <f t="shared" si="30"/>
        <v>7335584.8119948888</v>
      </c>
      <c r="AF102" s="376">
        <f t="shared" si="30"/>
        <v>7555652.3563547358</v>
      </c>
      <c r="AG102" s="376">
        <f t="shared" si="30"/>
        <v>7782321.927045377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944639.99999999988</v>
      </c>
      <c r="D103" s="376">
        <f t="shared" si="31"/>
        <v>982425.59999999986</v>
      </c>
      <c r="E103" s="376">
        <f t="shared" si="31"/>
        <v>1021722.624</v>
      </c>
      <c r="F103" s="376">
        <f t="shared" si="31"/>
        <v>1062591.5289599998</v>
      </c>
      <c r="G103" s="376">
        <f t="shared" si="31"/>
        <v>1105095.1901183999</v>
      </c>
      <c r="H103" s="376">
        <f t="shared" si="31"/>
        <v>1149298.9977231361</v>
      </c>
      <c r="I103" s="376">
        <f t="shared" si="31"/>
        <v>1195270.9576320616</v>
      </c>
      <c r="J103" s="376">
        <f t="shared" si="31"/>
        <v>1243081.795937344</v>
      </c>
      <c r="K103" s="376">
        <f t="shared" si="31"/>
        <v>1292805.0677748378</v>
      </c>
      <c r="L103" s="376">
        <f t="shared" si="31"/>
        <v>1344517.2704858314</v>
      </c>
      <c r="M103" s="376">
        <f t="shared" si="31"/>
        <v>1398297.9613052648</v>
      </c>
      <c r="N103" s="376">
        <f t="shared" si="31"/>
        <v>1454229.8797574753</v>
      </c>
      <c r="O103" s="376">
        <f t="shared" si="31"/>
        <v>1512399.0749477744</v>
      </c>
      <c r="P103" s="376">
        <f t="shared" si="31"/>
        <v>1572895.0379456857</v>
      </c>
      <c r="Q103" s="376">
        <f t="shared" si="31"/>
        <v>1635810.8394635131</v>
      </c>
      <c r="R103" s="376">
        <f t="shared" si="31"/>
        <v>1701243.2730420537</v>
      </c>
      <c r="S103" s="376">
        <f t="shared" si="31"/>
        <v>1769293.0039637359</v>
      </c>
      <c r="T103" s="376">
        <f t="shared" si="31"/>
        <v>1840064.7241222854</v>
      </c>
      <c r="U103" s="376">
        <f t="shared" si="31"/>
        <v>1913667.3130871772</v>
      </c>
      <c r="V103" s="376">
        <f t="shared" si="31"/>
        <v>1990214.0056106639</v>
      </c>
      <c r="W103" s="376">
        <f t="shared" si="31"/>
        <v>2069822.5658350908</v>
      </c>
      <c r="X103" s="376">
        <f t="shared" si="31"/>
        <v>2152615.4684684947</v>
      </c>
      <c r="Y103" s="376">
        <f t="shared" si="31"/>
        <v>2238720.0872072345</v>
      </c>
      <c r="Z103" s="376">
        <f t="shared" si="31"/>
        <v>2328268.8906955239</v>
      </c>
      <c r="AA103" s="376">
        <f t="shared" si="31"/>
        <v>2421399.6463233451</v>
      </c>
      <c r="AB103" s="376">
        <f t="shared" si="31"/>
        <v>2518255.6321762791</v>
      </c>
      <c r="AC103" s="376">
        <f t="shared" si="31"/>
        <v>2618985.8574633305</v>
      </c>
      <c r="AD103" s="376">
        <f t="shared" si="31"/>
        <v>2723745.2917618635</v>
      </c>
      <c r="AE103" s="376">
        <f t="shared" si="31"/>
        <v>2832695.1034323382</v>
      </c>
      <c r="AF103" s="376">
        <f t="shared" si="31"/>
        <v>2946002.9075696319</v>
      </c>
      <c r="AG103" s="376">
        <f t="shared" si="31"/>
        <v>3063843.0238724169</v>
      </c>
    </row>
    <row r="104" spans="1:34">
      <c r="A104" s="368" t="s">
        <v>318</v>
      </c>
      <c r="B104" s="368" t="s">
        <v>313</v>
      </c>
      <c r="C104" s="376">
        <f>'Changing with year'!C291</f>
        <v>600000</v>
      </c>
      <c r="D104" s="376">
        <f>'Changing with year'!D291</f>
        <v>627000</v>
      </c>
      <c r="E104" s="376">
        <f>'Changing with year'!E291</f>
        <v>655000</v>
      </c>
      <c r="F104" s="376">
        <f>'Changing with year'!F291</f>
        <v>684000</v>
      </c>
      <c r="G104" s="376">
        <f>'Changing with year'!G291</f>
        <v>715000</v>
      </c>
      <c r="H104" s="376">
        <f>'Changing with year'!H291</f>
        <v>747000</v>
      </c>
      <c r="I104" s="376">
        <f>'Changing with year'!I291</f>
        <v>781000</v>
      </c>
      <c r="J104" s="376">
        <f>'Changing with year'!J291</f>
        <v>816000</v>
      </c>
      <c r="K104" s="376">
        <f>'Changing with year'!K291</f>
        <v>853000</v>
      </c>
      <c r="L104" s="376">
        <f>'Changing with year'!L291</f>
        <v>891000</v>
      </c>
      <c r="M104" s="376">
        <f>'Changing with year'!M291</f>
        <v>931000</v>
      </c>
      <c r="N104" s="376">
        <f>'Changing with year'!N291</f>
        <v>973000</v>
      </c>
      <c r="O104" s="376">
        <f>'Changing with year'!O291</f>
        <v>1017000</v>
      </c>
      <c r="P104" s="376">
        <f>'Changing with year'!P291</f>
        <v>1063000</v>
      </c>
      <c r="Q104" s="376">
        <f>'Changing with year'!Q291</f>
        <v>1111000</v>
      </c>
      <c r="R104" s="376">
        <f>'Changing with year'!R291</f>
        <v>1161000</v>
      </c>
      <c r="S104" s="376">
        <f>'Changing with year'!S291</f>
        <v>1213000</v>
      </c>
      <c r="T104" s="376">
        <f>'Changing with year'!T291</f>
        <v>1268000</v>
      </c>
      <c r="U104" s="376">
        <f>'Changing with year'!U291</f>
        <v>1325000</v>
      </c>
      <c r="V104" s="376">
        <f>'Changing with year'!V291</f>
        <v>1385000</v>
      </c>
      <c r="W104" s="376">
        <f>'Changing with year'!W291</f>
        <v>1447000</v>
      </c>
      <c r="X104" s="376">
        <f>'Changing with year'!X291</f>
        <v>1512000</v>
      </c>
      <c r="Y104" s="376">
        <f>'Changing with year'!Y291</f>
        <v>1580000</v>
      </c>
      <c r="Z104" s="376">
        <f>'Changing with year'!Z291</f>
        <v>1651000</v>
      </c>
      <c r="AA104" s="376">
        <f>'Changing with year'!AA291</f>
        <v>1725000</v>
      </c>
      <c r="AB104" s="376">
        <f>'Changing with year'!AB291</f>
        <v>1803000</v>
      </c>
      <c r="AC104" s="376">
        <f>'Changing with year'!AC291</f>
        <v>1884000</v>
      </c>
      <c r="AD104" s="376">
        <f>'Changing with year'!AD291</f>
        <v>1969000</v>
      </c>
      <c r="AE104" s="376">
        <f>'Changing with year'!AE291</f>
        <v>2058000</v>
      </c>
      <c r="AF104" s="376">
        <f>'Changing with year'!AF291</f>
        <v>2151000</v>
      </c>
      <c r="AG104" s="376">
        <f>'Changing with year'!AG291</f>
        <v>2248000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1036800</v>
      </c>
      <c r="D105" s="376">
        <f t="shared" si="32"/>
        <v>1047168</v>
      </c>
      <c r="E105" s="376">
        <f t="shared" si="32"/>
        <v>1057639.68</v>
      </c>
      <c r="F105" s="376">
        <f t="shared" si="32"/>
        <v>1068216.0767999999</v>
      </c>
      <c r="G105" s="376">
        <f t="shared" si="32"/>
        <v>1078898.2375679999</v>
      </c>
      <c r="H105" s="376">
        <f t="shared" si="32"/>
        <v>1089687.2199436799</v>
      </c>
      <c r="I105" s="376">
        <f t="shared" si="32"/>
        <v>1100584.0921431168</v>
      </c>
      <c r="J105" s="376">
        <f t="shared" si="32"/>
        <v>1111589.9330645478</v>
      </c>
      <c r="K105" s="376">
        <f t="shared" si="32"/>
        <v>1122705.8323951936</v>
      </c>
      <c r="L105" s="376">
        <f t="shared" si="32"/>
        <v>1133932.8907191455</v>
      </c>
      <c r="M105" s="376">
        <f t="shared" si="32"/>
        <v>1145272.2196263371</v>
      </c>
      <c r="N105" s="376">
        <f t="shared" si="32"/>
        <v>1156724.9418226003</v>
      </c>
      <c r="O105" s="376">
        <f t="shared" si="32"/>
        <v>1168292.1912408266</v>
      </c>
      <c r="P105" s="376">
        <f t="shared" si="32"/>
        <v>1179975.1131532348</v>
      </c>
      <c r="Q105" s="376">
        <f t="shared" si="32"/>
        <v>1191774.8642847673</v>
      </c>
      <c r="R105" s="376">
        <f t="shared" si="32"/>
        <v>1203692.6129276149</v>
      </c>
      <c r="S105" s="376">
        <f t="shared" si="32"/>
        <v>1215729.5390568911</v>
      </c>
      <c r="T105" s="376">
        <f t="shared" si="32"/>
        <v>1227886.8344474602</v>
      </c>
      <c r="U105" s="376">
        <f t="shared" si="32"/>
        <v>1240165.7027919348</v>
      </c>
      <c r="V105" s="376">
        <f t="shared" si="32"/>
        <v>1252567.3598198541</v>
      </c>
      <c r="W105" s="376">
        <f t="shared" si="32"/>
        <v>1265093.0334180526</v>
      </c>
      <c r="X105" s="376">
        <f t="shared" si="32"/>
        <v>1277743.9637522332</v>
      </c>
      <c r="Y105" s="376">
        <f t="shared" si="32"/>
        <v>1290521.4033897556</v>
      </c>
      <c r="Z105" s="376">
        <f t="shared" si="32"/>
        <v>1303426.6174236531</v>
      </c>
      <c r="AA105" s="376">
        <f t="shared" si="32"/>
        <v>1316460.8835978897</v>
      </c>
      <c r="AB105" s="376">
        <f t="shared" si="32"/>
        <v>1329625.4924338686</v>
      </c>
      <c r="AC105" s="376">
        <f t="shared" si="32"/>
        <v>1342921.7473582074</v>
      </c>
      <c r="AD105" s="376">
        <f t="shared" si="32"/>
        <v>1356350.9648317895</v>
      </c>
      <c r="AE105" s="376">
        <f t="shared" si="32"/>
        <v>1369914.4744801074</v>
      </c>
      <c r="AF105" s="376">
        <f t="shared" si="32"/>
        <v>1383613.6192249085</v>
      </c>
      <c r="AG105" s="376">
        <f t="shared" si="32"/>
        <v>1397449.7554171574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105600</v>
      </c>
      <c r="D106" s="376">
        <f t="shared" si="33"/>
        <v>108540</v>
      </c>
      <c r="E106" s="376">
        <f t="shared" si="33"/>
        <v>111560</v>
      </c>
      <c r="F106" s="376">
        <f t="shared" si="33"/>
        <v>114680</v>
      </c>
      <c r="G106" s="376">
        <f t="shared" si="33"/>
        <v>117880</v>
      </c>
      <c r="H106" s="376">
        <f t="shared" si="33"/>
        <v>129180</v>
      </c>
      <c r="I106" s="376">
        <f t="shared" si="33"/>
        <v>132800</v>
      </c>
      <c r="J106" s="376">
        <f t="shared" si="33"/>
        <v>136540</v>
      </c>
      <c r="K106" s="376">
        <f t="shared" si="33"/>
        <v>140380</v>
      </c>
      <c r="L106" s="376">
        <f t="shared" si="33"/>
        <v>144340</v>
      </c>
      <c r="M106" s="376">
        <f t="shared" si="33"/>
        <v>148420</v>
      </c>
      <c r="N106" s="376">
        <f t="shared" si="33"/>
        <v>152620</v>
      </c>
      <c r="O106" s="376">
        <f t="shared" si="33"/>
        <v>156940</v>
      </c>
      <c r="P106" s="376">
        <f t="shared" si="33"/>
        <v>161380</v>
      </c>
      <c r="Q106" s="376">
        <f t="shared" si="33"/>
        <v>165960</v>
      </c>
      <c r="R106" s="376">
        <f t="shared" si="33"/>
        <v>170680</v>
      </c>
      <c r="S106" s="376">
        <f t="shared" si="33"/>
        <v>175520</v>
      </c>
      <c r="T106" s="376">
        <f t="shared" si="33"/>
        <v>180520</v>
      </c>
      <c r="U106" s="376">
        <f t="shared" si="33"/>
        <v>185660</v>
      </c>
      <c r="V106" s="376">
        <f t="shared" si="33"/>
        <v>190960</v>
      </c>
      <c r="W106" s="376">
        <f t="shared" si="33"/>
        <v>196400</v>
      </c>
      <c r="X106" s="376">
        <f t="shared" si="33"/>
        <v>202020</v>
      </c>
      <c r="Y106" s="376">
        <f t="shared" si="33"/>
        <v>207780</v>
      </c>
      <c r="Z106" s="376">
        <f t="shared" si="33"/>
        <v>213740</v>
      </c>
      <c r="AA106" s="376">
        <f t="shared" si="33"/>
        <v>219860</v>
      </c>
      <c r="AB106" s="376">
        <f t="shared" si="33"/>
        <v>226160</v>
      </c>
      <c r="AC106" s="376">
        <f t="shared" si="33"/>
        <v>232640</v>
      </c>
      <c r="AD106" s="376">
        <f t="shared" si="33"/>
        <v>239320</v>
      </c>
      <c r="AE106" s="376">
        <f t="shared" si="33"/>
        <v>246200</v>
      </c>
      <c r="AF106" s="376">
        <f t="shared" si="33"/>
        <v>253280</v>
      </c>
      <c r="AG106" s="376">
        <f t="shared" si="33"/>
        <v>260560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10.042896228813747</v>
      </c>
      <c r="D108" s="379">
        <f t="shared" si="34"/>
        <v>10.322499589729585</v>
      </c>
      <c r="E108" s="379">
        <f t="shared" si="34"/>
        <v>10.609711205364221</v>
      </c>
      <c r="F108" s="379">
        <f t="shared" si="34"/>
        <v>10.906433139397356</v>
      </c>
      <c r="G108" s="379">
        <f t="shared" si="34"/>
        <v>11.210763328149286</v>
      </c>
      <c r="H108" s="379">
        <f t="shared" si="34"/>
        <v>12.285429307179548</v>
      </c>
      <c r="I108" s="379">
        <f t="shared" si="34"/>
        <v>12.629702833205169</v>
      </c>
      <c r="J108" s="379">
        <f t="shared" si="34"/>
        <v>12.985388741308988</v>
      </c>
      <c r="K108" s="379">
        <f t="shared" si="34"/>
        <v>13.350584967811306</v>
      </c>
      <c r="L108" s="379">
        <f t="shared" si="34"/>
        <v>13.727193576391823</v>
      </c>
      <c r="M108" s="379">
        <f t="shared" si="34"/>
        <v>14.115214567050534</v>
      </c>
      <c r="N108" s="379">
        <f t="shared" si="34"/>
        <v>14.514647939787446</v>
      </c>
      <c r="O108" s="379">
        <f t="shared" si="34"/>
        <v>14.925493694602553</v>
      </c>
      <c r="P108" s="379">
        <f t="shared" si="34"/>
        <v>15.347751831495858</v>
      </c>
      <c r="Q108" s="379">
        <f t="shared" si="34"/>
        <v>15.783324414147062</v>
      </c>
      <c r="R108" s="379">
        <f t="shared" si="34"/>
        <v>16.23221144255616</v>
      </c>
      <c r="S108" s="379">
        <f t="shared" si="34"/>
        <v>16.692510853043458</v>
      </c>
      <c r="T108" s="379">
        <f t="shared" si="34"/>
        <v>17.16802677296835</v>
      </c>
      <c r="U108" s="379">
        <f t="shared" si="34"/>
        <v>17.656857138651144</v>
      </c>
      <c r="V108" s="379">
        <f t="shared" si="34"/>
        <v>18.160904013771528</v>
      </c>
      <c r="W108" s="379">
        <f t="shared" si="34"/>
        <v>18.678265334649812</v>
      </c>
      <c r="X108" s="379">
        <f t="shared" si="34"/>
        <v>19.212745228645392</v>
      </c>
      <c r="Y108" s="379">
        <f t="shared" si="34"/>
        <v>19.760539568398869</v>
      </c>
      <c r="Z108" s="379">
        <f t="shared" si="34"/>
        <v>20.32735454494934</v>
      </c>
      <c r="AA108" s="379">
        <f t="shared" si="34"/>
        <v>20.909386030937412</v>
      </c>
      <c r="AB108" s="379">
        <f t="shared" si="34"/>
        <v>21.508536090042778</v>
      </c>
      <c r="AC108" s="379">
        <f t="shared" si="34"/>
        <v>22.124804722265438</v>
      </c>
      <c r="AD108" s="379">
        <f t="shared" si="34"/>
        <v>22.760093991285096</v>
      </c>
      <c r="AE108" s="379">
        <f t="shared" si="34"/>
        <v>23.414403897101749</v>
      </c>
      <c r="AF108" s="379">
        <f t="shared" si="34"/>
        <v>24.087734439715398</v>
      </c>
      <c r="AG108" s="379">
        <f t="shared" si="34"/>
        <v>24.780085619126048</v>
      </c>
    </row>
    <row r="109" spans="1:34">
      <c r="A109" s="300" t="s">
        <v>321</v>
      </c>
      <c r="B109" s="300" t="s">
        <v>300</v>
      </c>
      <c r="C109" s="379">
        <f t="shared" si="34"/>
        <v>27.666666666666668</v>
      </c>
      <c r="D109" s="379">
        <f t="shared" si="34"/>
        <v>28.666666666666668</v>
      </c>
      <c r="E109" s="379">
        <f t="shared" si="34"/>
        <v>29.526666666666667</v>
      </c>
      <c r="F109" s="379">
        <f t="shared" si="34"/>
        <v>30.412466666666663</v>
      </c>
      <c r="G109" s="379">
        <f t="shared" si="34"/>
        <v>31.324840666666667</v>
      </c>
      <c r="H109" s="379">
        <f t="shared" si="34"/>
        <v>32.264585886666666</v>
      </c>
      <c r="I109" s="379">
        <f t="shared" si="34"/>
        <v>33.232523463266666</v>
      </c>
      <c r="J109" s="379">
        <f t="shared" si="34"/>
        <v>34.229499167164668</v>
      </c>
      <c r="K109" s="379">
        <f t="shared" si="34"/>
        <v>35.256384142179613</v>
      </c>
      <c r="L109" s="379">
        <f t="shared" si="34"/>
        <v>36.314075666445007</v>
      </c>
      <c r="M109" s="379">
        <f t="shared" si="34"/>
        <v>37.403497936438356</v>
      </c>
      <c r="N109" s="379">
        <f t="shared" si="34"/>
        <v>38.525602874531501</v>
      </c>
      <c r="O109" s="379">
        <f t="shared" si="34"/>
        <v>39.681370960767445</v>
      </c>
      <c r="P109" s="379">
        <f t="shared" si="34"/>
        <v>40.87181208959047</v>
      </c>
      <c r="Q109" s="379">
        <f t="shared" si="34"/>
        <v>42.097966452278186</v>
      </c>
      <c r="R109" s="379">
        <f t="shared" si="34"/>
        <v>43.360905445846534</v>
      </c>
      <c r="S109" s="379">
        <f t="shared" si="34"/>
        <v>44.661732609221929</v>
      </c>
      <c r="T109" s="379">
        <f t="shared" si="34"/>
        <v>46.001584587498591</v>
      </c>
      <c r="U109" s="379">
        <f t="shared" si="34"/>
        <v>47.381632125123545</v>
      </c>
      <c r="V109" s="379">
        <f t="shared" si="34"/>
        <v>48.803081088877256</v>
      </c>
      <c r="W109" s="379">
        <f t="shared" si="34"/>
        <v>50.267173521543576</v>
      </c>
      <c r="X109" s="379">
        <f t="shared" si="34"/>
        <v>51.775188727189885</v>
      </c>
      <c r="Y109" s="379">
        <f t="shared" si="34"/>
        <v>53.32844438900559</v>
      </c>
      <c r="Z109" s="379">
        <f t="shared" si="34"/>
        <v>54.928297720675758</v>
      </c>
      <c r="AA109" s="379">
        <f t="shared" si="34"/>
        <v>56.576146652296025</v>
      </c>
      <c r="AB109" s="379">
        <f t="shared" si="34"/>
        <v>58.273431051864911</v>
      </c>
      <c r="AC109" s="379">
        <f t="shared" si="34"/>
        <v>60.021633983420855</v>
      </c>
      <c r="AD109" s="379">
        <f t="shared" si="34"/>
        <v>61.822283002923477</v>
      </c>
      <c r="AE109" s="379">
        <f t="shared" si="34"/>
        <v>63.676951493011188</v>
      </c>
      <c r="AF109" s="379">
        <f t="shared" si="34"/>
        <v>65.587260037801528</v>
      </c>
      <c r="AG109" s="379">
        <f t="shared" si="34"/>
        <v>67.554877838935568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23.324999999999999</v>
      </c>
      <c r="D110" s="379">
        <f t="shared" si="35"/>
        <v>24.00289583333333</v>
      </c>
      <c r="E110" s="379">
        <f t="shared" si="35"/>
        <v>24.704186666666661</v>
      </c>
      <c r="F110" s="379">
        <f t="shared" si="35"/>
        <v>25.429579911111109</v>
      </c>
      <c r="G110" s="379">
        <f t="shared" si="35"/>
        <v>26.188137393111109</v>
      </c>
      <c r="H110" s="379">
        <f t="shared" si="35"/>
        <v>27.041373417246668</v>
      </c>
      <c r="I110" s="379">
        <f t="shared" si="35"/>
        <v>27.861588973742869</v>
      </c>
      <c r="J110" s="379">
        <f t="shared" si="35"/>
        <v>28.708435147585867</v>
      </c>
      <c r="K110" s="379">
        <f t="shared" si="35"/>
        <v>29.591066841753744</v>
      </c>
      <c r="L110" s="379">
        <f t="shared" si="35"/>
        <v>30.501650704904314</v>
      </c>
      <c r="M110" s="379">
        <f t="shared" si="35"/>
        <v>31.449567542809042</v>
      </c>
      <c r="N110" s="379">
        <f t="shared" si="35"/>
        <v>32.435545326215937</v>
      </c>
      <c r="O110" s="379">
        <f t="shared" si="35"/>
        <v>33.460340852331605</v>
      </c>
      <c r="P110" s="379">
        <f t="shared" si="35"/>
        <v>34.524740894955912</v>
      </c>
      <c r="Q110" s="379">
        <f t="shared" si="35"/>
        <v>35.629737011703824</v>
      </c>
      <c r="R110" s="379">
        <f t="shared" si="35"/>
        <v>36.776179565708929</v>
      </c>
      <c r="S110" s="379">
        <f t="shared" si="35"/>
        <v>37.964779019276271</v>
      </c>
      <c r="T110" s="379">
        <f t="shared" si="35"/>
        <v>39.205482279251271</v>
      </c>
      <c r="U110" s="379">
        <f t="shared" si="35"/>
        <v>40.490390762839517</v>
      </c>
      <c r="V110" s="379">
        <f t="shared" si="35"/>
        <v>41.829352130473247</v>
      </c>
      <c r="W110" s="379">
        <f t="shared" si="35"/>
        <v>43.21454513240576</v>
      </c>
      <c r="X110" s="379">
        <f t="shared" si="35"/>
        <v>44.656071460249379</v>
      </c>
      <c r="Y110" s="379">
        <f t="shared" si="35"/>
        <v>46.154700439209982</v>
      </c>
      <c r="Z110" s="379">
        <f t="shared" si="35"/>
        <v>47.712113785756742</v>
      </c>
      <c r="AA110" s="379">
        <f t="shared" si="35"/>
        <v>49.329171266677385</v>
      </c>
      <c r="AB110" s="379">
        <f t="shared" si="35"/>
        <v>51.015981984463089</v>
      </c>
      <c r="AC110" s="379">
        <f t="shared" si="35"/>
        <v>52.765170180742516</v>
      </c>
      <c r="AD110" s="379">
        <f t="shared" si="35"/>
        <v>54.586946671819909</v>
      </c>
      <c r="AE110" s="379">
        <f t="shared" si="35"/>
        <v>56.482722030489981</v>
      </c>
      <c r="AF110" s="379">
        <f t="shared" si="35"/>
        <v>58.453962906202612</v>
      </c>
      <c r="AG110" s="379">
        <f t="shared" si="35"/>
        <v>60.502194264666436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2.9464285714285716</v>
      </c>
      <c r="D111" s="379">
        <f t="shared" si="36"/>
        <v>3.0284598214285716</v>
      </c>
      <c r="E111" s="379">
        <f t="shared" si="36"/>
        <v>3.1127232142857144</v>
      </c>
      <c r="F111" s="379">
        <f t="shared" si="36"/>
        <v>3.1997767857142856</v>
      </c>
      <c r="G111" s="379">
        <f t="shared" si="36"/>
        <v>3.2890625</v>
      </c>
      <c r="H111" s="379">
        <f t="shared" si="36"/>
        <v>3.6043526785714284</v>
      </c>
      <c r="I111" s="379">
        <f t="shared" si="36"/>
        <v>3.7053571428571428</v>
      </c>
      <c r="J111" s="379">
        <f t="shared" si="36"/>
        <v>3.8097098214285716</v>
      </c>
      <c r="K111" s="379">
        <f t="shared" si="36"/>
        <v>3.9168526785714284</v>
      </c>
      <c r="L111" s="379">
        <f t="shared" si="36"/>
        <v>4.02734375</v>
      </c>
      <c r="M111" s="379">
        <f t="shared" si="36"/>
        <v>4.1411830357142856</v>
      </c>
      <c r="N111" s="379">
        <f t="shared" si="36"/>
        <v>3.3120659722222228</v>
      </c>
      <c r="O111" s="379">
        <f t="shared" si="36"/>
        <v>3.4058159722222228</v>
      </c>
      <c r="P111" s="379">
        <f t="shared" si="36"/>
        <v>3.5021701388888893</v>
      </c>
      <c r="Q111" s="379">
        <f t="shared" si="36"/>
        <v>3.6015625000000004</v>
      </c>
      <c r="R111" s="379">
        <f t="shared" si="36"/>
        <v>3.7039930555555562</v>
      </c>
      <c r="S111" s="379">
        <f t="shared" si="36"/>
        <v>3.8090277777777786</v>
      </c>
      <c r="T111" s="379">
        <f t="shared" si="36"/>
        <v>3.9175347222222228</v>
      </c>
      <c r="U111" s="379">
        <f t="shared" si="36"/>
        <v>4.0290798611111116</v>
      </c>
      <c r="V111" s="379">
        <f t="shared" si="36"/>
        <v>4.1440972222222232</v>
      </c>
      <c r="W111" s="379">
        <f t="shared" si="36"/>
        <v>4.2621527777777786</v>
      </c>
      <c r="X111" s="379">
        <f t="shared" si="36"/>
        <v>3.1315104166666665</v>
      </c>
      <c r="Y111" s="379">
        <f t="shared" si="36"/>
        <v>3.2207961309523809</v>
      </c>
      <c r="Z111" s="379">
        <f t="shared" si="36"/>
        <v>3.3131820436507935</v>
      </c>
      <c r="AA111" s="379">
        <f t="shared" si="36"/>
        <v>3.4080481150793651</v>
      </c>
      <c r="AB111" s="379">
        <f t="shared" si="36"/>
        <v>3.5057043650793651</v>
      </c>
      <c r="AC111" s="379">
        <f t="shared" si="36"/>
        <v>3.6061507936507935</v>
      </c>
      <c r="AD111" s="379">
        <f t="shared" si="36"/>
        <v>3.7096974206349205</v>
      </c>
      <c r="AE111" s="379">
        <f t="shared" si="36"/>
        <v>3.816344246031746</v>
      </c>
      <c r="AF111" s="379">
        <f t="shared" si="36"/>
        <v>3.9260912698412698</v>
      </c>
      <c r="AG111" s="379">
        <f t="shared" si="36"/>
        <v>4.0389384920634921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58.08813432405185</v>
      </c>
      <c r="D112" s="381">
        <f t="shared" ref="D112" si="37">SUM(D108:D110)-D111</f>
        <v>59.963602268301017</v>
      </c>
      <c r="E112" s="381">
        <f t="shared" ref="E112" si="38">SUM(E108:E110)-E111</f>
        <v>61.727841324411834</v>
      </c>
      <c r="F112" s="381">
        <f t="shared" ref="F112:AG112" si="39">SUM(F108:F110)-F111</f>
        <v>63.548702931460845</v>
      </c>
      <c r="G112" s="381">
        <f t="shared" si="39"/>
        <v>65.434678887927063</v>
      </c>
      <c r="H112" s="381">
        <f t="shared" si="39"/>
        <v>67.987035932521451</v>
      </c>
      <c r="I112" s="381">
        <f t="shared" si="39"/>
        <v>70.018458127357562</v>
      </c>
      <c r="J112" s="381">
        <f t="shared" si="39"/>
        <v>72.113613234630961</v>
      </c>
      <c r="K112" s="381">
        <f t="shared" si="39"/>
        <v>74.281183273173227</v>
      </c>
      <c r="L112" s="381">
        <f t="shared" si="39"/>
        <v>76.515576197741154</v>
      </c>
      <c r="M112" s="381">
        <f t="shared" si="39"/>
        <v>78.827097010583643</v>
      </c>
      <c r="N112" s="381">
        <f t="shared" si="39"/>
        <v>82.163730168312654</v>
      </c>
      <c r="O112" s="381">
        <f t="shared" si="39"/>
        <v>84.661389535479373</v>
      </c>
      <c r="P112" s="381">
        <f t="shared" si="39"/>
        <v>87.242134677153359</v>
      </c>
      <c r="Q112" s="381">
        <f t="shared" si="39"/>
        <v>89.90946537812907</v>
      </c>
      <c r="R112" s="381">
        <f t="shared" si="39"/>
        <v>92.665303398556063</v>
      </c>
      <c r="S112" s="381">
        <f t="shared" si="39"/>
        <v>95.50999470376388</v>
      </c>
      <c r="T112" s="381">
        <f t="shared" si="39"/>
        <v>98.457558917495987</v>
      </c>
      <c r="U112" s="381">
        <f t="shared" si="39"/>
        <v>101.4998001655031</v>
      </c>
      <c r="V112" s="381">
        <f t="shared" si="39"/>
        <v>104.6492400108998</v>
      </c>
      <c r="W112" s="381">
        <f t="shared" si="39"/>
        <v>107.89783121082138</v>
      </c>
      <c r="X112" s="381">
        <f t="shared" si="39"/>
        <v>112.51249499941798</v>
      </c>
      <c r="Y112" s="381">
        <f t="shared" si="39"/>
        <v>116.02288826566206</v>
      </c>
      <c r="Z112" s="381">
        <f t="shared" si="39"/>
        <v>119.65458400773105</v>
      </c>
      <c r="AA112" s="381">
        <f t="shared" si="39"/>
        <v>123.40665583483144</v>
      </c>
      <c r="AB112" s="381">
        <f t="shared" si="39"/>
        <v>127.29224476129141</v>
      </c>
      <c r="AC112" s="381">
        <f t="shared" si="39"/>
        <v>131.30545809277803</v>
      </c>
      <c r="AD112" s="381">
        <f t="shared" si="39"/>
        <v>135.45962624539357</v>
      </c>
      <c r="AE112" s="381">
        <f t="shared" si="39"/>
        <v>139.75773317457117</v>
      </c>
      <c r="AF112" s="381">
        <f t="shared" si="39"/>
        <v>144.20286611387826</v>
      </c>
      <c r="AG112" s="381">
        <f t="shared" si="39"/>
        <v>148.79821923066456</v>
      </c>
    </row>
    <row r="113" spans="1:34" s="344" customFormat="1">
      <c r="A113" s="342" t="s">
        <v>327</v>
      </c>
      <c r="B113" s="342"/>
      <c r="H113" s="382">
        <f>H115/H63</f>
        <v>1.2090072837944124</v>
      </c>
      <c r="AB113" s="382">
        <f>AB115/AB63</f>
        <v>1.0849726413844027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year'!C121)/1000,0)*1000</f>
        <v>6279000</v>
      </c>
      <c r="D115" s="376">
        <f>ROUND(('Changing with year'!D121)/1000,0)*1000</f>
        <v>6341000</v>
      </c>
      <c r="E115" s="376">
        <f>ROUND(('Changing with year'!E121)/1000,0)*1000</f>
        <v>6411000</v>
      </c>
      <c r="F115" s="376">
        <f>ROUND(('Changing with year'!F121)/1000,0)*1000</f>
        <v>6490000</v>
      </c>
      <c r="G115" s="376">
        <f>ROUND(('Changing with year'!G121)/1000,0)*1000</f>
        <v>6576000</v>
      </c>
      <c r="H115" s="376">
        <f>ROUND(('Changing with year'!H121)/1000,0)*1000</f>
        <v>7071000</v>
      </c>
      <c r="I115" s="376">
        <f>ROUND(('Changing with year'!I121)/1000,0)*1000</f>
        <v>7197000</v>
      </c>
      <c r="J115" s="376">
        <f>ROUND(('Changing with year'!J121)/1000,0)*1000</f>
        <v>7331000</v>
      </c>
      <c r="K115" s="376">
        <f>ROUND(('Changing with year'!K121)/1000,0)*1000</f>
        <v>7472000</v>
      </c>
      <c r="L115" s="376">
        <f>ROUND(('Changing with year'!L121)/1000,0)*1000</f>
        <v>7620000</v>
      </c>
      <c r="M115" s="376">
        <f>ROUND(('Changing with year'!M121)/1000,0)*1000</f>
        <v>7776000</v>
      </c>
      <c r="N115" s="376">
        <f>ROUND(('Changing with year'!N121)/1000,0)*1000</f>
        <v>7940000</v>
      </c>
      <c r="O115" s="376">
        <f>ROUND(('Changing with year'!O121)/1000,0)*1000</f>
        <v>8111000</v>
      </c>
      <c r="P115" s="376">
        <f>ROUND(('Changing with year'!P121)/1000,0)*1000</f>
        <v>8290000</v>
      </c>
      <c r="Q115" s="376">
        <f>ROUND(('Changing with year'!Q121)/1000,0)*1000</f>
        <v>8477000</v>
      </c>
      <c r="R115" s="376">
        <f>ROUND(('Changing with year'!R121)/1000,0)*1000</f>
        <v>8672000</v>
      </c>
      <c r="S115" s="376">
        <f>ROUND(('Changing with year'!S121)/1000,0)*1000</f>
        <v>8916000</v>
      </c>
      <c r="T115" s="376">
        <f>ROUND(('Changing with year'!T121)/1000,0)*1000</f>
        <v>9167000</v>
      </c>
      <c r="U115" s="376">
        <f>ROUND(('Changing with year'!U121)/1000,0)*1000</f>
        <v>9426000</v>
      </c>
      <c r="V115" s="376">
        <f>ROUND(('Changing with year'!V121)/1000,0)*1000</f>
        <v>9692000</v>
      </c>
      <c r="W115" s="376">
        <f>ROUND(('Changing with year'!W121)/1000,0)*1000</f>
        <v>9966000</v>
      </c>
      <c r="X115" s="376">
        <f>ROUND(('Changing with year'!X121)/1000,0)*1000</f>
        <v>10248000</v>
      </c>
      <c r="Y115" s="376">
        <f>ROUND(('Changing with year'!Y121)/1000,0)*1000</f>
        <v>10538000</v>
      </c>
      <c r="Z115" s="376">
        <f>ROUND(('Changing with year'!Z121)/1000,0)*1000</f>
        <v>10837000</v>
      </c>
      <c r="AA115" s="376">
        <f>ROUND(('Changing with year'!AA121)/1000,0)*1000</f>
        <v>11144000</v>
      </c>
      <c r="AB115" s="376">
        <f>ROUND(('Changing with year'!AB121)/1000,0)*1000</f>
        <v>11461000</v>
      </c>
      <c r="AC115" s="376">
        <f>ROUND(('Changing with year'!AC121)/1000,0)*1000</f>
        <v>11787000</v>
      </c>
      <c r="AD115" s="376">
        <f>ROUND(('Changing with year'!AD121)/1000,0)*1000</f>
        <v>12122000</v>
      </c>
      <c r="AE115" s="376">
        <f>ROUND(('Changing with year'!AE121)/1000,0)*1000</f>
        <v>12467000</v>
      </c>
      <c r="AF115" s="376">
        <f>ROUND(('Changing with year'!AF121)/1000,0)*1000</f>
        <v>12823000</v>
      </c>
      <c r="AG115" s="376">
        <f>ROUND(('Changing with year'!AG121)/1000,0)*1000</f>
        <v>13189000</v>
      </c>
    </row>
    <row r="116" spans="1:34">
      <c r="A116" s="368" t="s">
        <v>310</v>
      </c>
      <c r="B116" s="300" t="s">
        <v>309</v>
      </c>
      <c r="C116" s="376">
        <f>(C115*'No change with year'!$AH$13)</f>
        <v>1255800</v>
      </c>
      <c r="D116" s="376">
        <f>(D115*'No change with year'!$AH$13)</f>
        <v>1268200</v>
      </c>
      <c r="E116" s="376">
        <f>(E115*'No change with year'!$AH$13)</f>
        <v>1282200</v>
      </c>
      <c r="F116" s="376">
        <f>(F115*'No change with year'!$AH$13)</f>
        <v>1298000</v>
      </c>
      <c r="G116" s="376">
        <f>(G115*'No change with year'!$AH$13)</f>
        <v>1315200</v>
      </c>
      <c r="H116" s="376">
        <f>(H115*'No change with year'!$AH$13)</f>
        <v>1414200</v>
      </c>
      <c r="I116" s="376">
        <f>(I115*'No change with year'!$AH$13)</f>
        <v>1439400</v>
      </c>
      <c r="J116" s="376">
        <f>(J115*'No change with year'!$AH$13)</f>
        <v>1466200</v>
      </c>
      <c r="K116" s="376">
        <f>(K115*'No change with year'!$AH$13)</f>
        <v>1494400</v>
      </c>
      <c r="L116" s="376">
        <f>(L115*'No change with year'!$AH$13)</f>
        <v>1524000</v>
      </c>
      <c r="M116" s="376">
        <f>(M115*'No change with year'!$AH$13)</f>
        <v>1555200</v>
      </c>
      <c r="N116" s="376">
        <f>(N115*'No change with year'!$AI$13)</f>
        <v>2382000.0000000005</v>
      </c>
      <c r="O116" s="376">
        <f>(O115*'No change with year'!$AI$13)</f>
        <v>2433300.0000000005</v>
      </c>
      <c r="P116" s="376">
        <f>(P115*'No change with year'!$AI$13)</f>
        <v>2487000.0000000005</v>
      </c>
      <c r="Q116" s="376">
        <f>(Q115*'No change with year'!$AI$13)</f>
        <v>2543100.0000000005</v>
      </c>
      <c r="R116" s="376">
        <f>(R115*'No change with year'!$AI$13)</f>
        <v>2601600.0000000005</v>
      </c>
      <c r="S116" s="376">
        <f>(S115*'No change with year'!$AI$13)</f>
        <v>2674800.0000000005</v>
      </c>
      <c r="T116" s="376">
        <f>(T115*'No change with year'!$AI$13)</f>
        <v>2750100.0000000005</v>
      </c>
      <c r="U116" s="376">
        <f>(U115*'No change with year'!$AI$13)</f>
        <v>2827800.0000000005</v>
      </c>
      <c r="V116" s="376">
        <f>(V115*'No change with year'!$AI$13)</f>
        <v>2907600.0000000005</v>
      </c>
      <c r="W116" s="376">
        <f>(W115*'No change with year'!$AI$13)</f>
        <v>2989800.0000000005</v>
      </c>
      <c r="X116" s="376">
        <f>(X115*'No change with year'!$AJ$13)</f>
        <v>3586800</v>
      </c>
      <c r="Y116" s="376">
        <f>(Y115*'No change with year'!$AJ$13)</f>
        <v>3688299.9999999995</v>
      </c>
      <c r="Z116" s="376">
        <f>(Z115*'No change with year'!$AJ$13)</f>
        <v>3792949.9999999995</v>
      </c>
      <c r="AA116" s="376">
        <f>(AA115*'No change with year'!$AJ$13)</f>
        <v>3900399.9999999995</v>
      </c>
      <c r="AB116" s="376">
        <f>(AB115*'No change with year'!$AJ$13)</f>
        <v>4011349.9999999995</v>
      </c>
      <c r="AC116" s="376">
        <f>(AC115*'No change with year'!$AJ$13)</f>
        <v>4125449.9999999995</v>
      </c>
      <c r="AD116" s="376">
        <f>(AD115*'No change with year'!$AJ$13)</f>
        <v>4242700</v>
      </c>
      <c r="AE116" s="376">
        <f>(AE115*'No change with year'!$AJ$13)</f>
        <v>4363450</v>
      </c>
      <c r="AF116" s="376">
        <f>(AF115*'No change with year'!$AJ$13)</f>
        <v>4488050</v>
      </c>
      <c r="AG116" s="376">
        <f>(AG115*'No change with year'!$AJ$13)</f>
        <v>4616150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41">-PMT($C$26,$C$25,C115)</f>
        <v>1375840.2637248333</v>
      </c>
      <c r="D118" s="376">
        <f t="shared" si="41"/>
        <v>1389425.5633507194</v>
      </c>
      <c r="E118" s="376">
        <f t="shared" si="41"/>
        <v>1404763.8048638171</v>
      </c>
      <c r="F118" s="376">
        <f t="shared" si="41"/>
        <v>1422074.1060000269</v>
      </c>
      <c r="G118" s="376">
        <f t="shared" si="41"/>
        <v>1440918.2312875465</v>
      </c>
      <c r="H118" s="376">
        <f t="shared" si="41"/>
        <v>1549381.5105587349</v>
      </c>
      <c r="I118" s="376">
        <f t="shared" si="41"/>
        <v>1576990.3452823102</v>
      </c>
      <c r="J118" s="376">
        <f t="shared" si="41"/>
        <v>1606352.1218930965</v>
      </c>
      <c r="K118" s="376">
        <f t="shared" si="41"/>
        <v>1637247.7226551927</v>
      </c>
      <c r="L118" s="376">
        <f t="shared" si="41"/>
        <v>1669677.1475685984</v>
      </c>
      <c r="M118" s="376">
        <f t="shared" si="41"/>
        <v>1703859.5143692154</v>
      </c>
      <c r="N118" s="376">
        <f t="shared" si="41"/>
        <v>1739794.8230570436</v>
      </c>
      <c r="O118" s="376">
        <f t="shared" si="41"/>
        <v>1777263.9558961815</v>
      </c>
      <c r="P118" s="376">
        <f t="shared" si="41"/>
        <v>1816486.0306225305</v>
      </c>
      <c r="Q118" s="376">
        <f t="shared" si="41"/>
        <v>1857461.0472360905</v>
      </c>
      <c r="R118" s="376">
        <f t="shared" si="41"/>
        <v>1900189.0057368618</v>
      </c>
      <c r="S118" s="376">
        <f t="shared" si="41"/>
        <v>1953653.7332968009</v>
      </c>
      <c r="T118" s="376">
        <f t="shared" si="41"/>
        <v>2008652.28500805</v>
      </c>
      <c r="U118" s="376">
        <f t="shared" si="41"/>
        <v>2065403.7786065103</v>
      </c>
      <c r="V118" s="376">
        <f t="shared" si="41"/>
        <v>2123689.0963562801</v>
      </c>
      <c r="W118" s="376">
        <f t="shared" si="41"/>
        <v>2183727.3559932616</v>
      </c>
      <c r="X118" s="376">
        <f t="shared" si="41"/>
        <v>2245518.557517454</v>
      </c>
      <c r="Y118" s="376">
        <f t="shared" si="41"/>
        <v>2309062.7009288571</v>
      </c>
      <c r="Z118" s="376">
        <f t="shared" si="41"/>
        <v>2374578.9039633726</v>
      </c>
      <c r="AA118" s="376">
        <f t="shared" si="41"/>
        <v>2441848.0488851001</v>
      </c>
      <c r="AB118" s="376">
        <f t="shared" si="41"/>
        <v>2511308.3711658409</v>
      </c>
      <c r="AC118" s="376">
        <f t="shared" si="41"/>
        <v>2582740.7530696942</v>
      </c>
      <c r="AD118" s="376">
        <f t="shared" si="41"/>
        <v>2656145.1945966603</v>
      </c>
      <c r="AE118" s="376">
        <f t="shared" si="41"/>
        <v>2731740.8134826398</v>
      </c>
      <c r="AF118" s="376">
        <f t="shared" si="41"/>
        <v>2809746.727463535</v>
      </c>
      <c r="AG118" s="376">
        <f t="shared" si="41"/>
        <v>2889943.818803444</v>
      </c>
    </row>
    <row r="119" spans="1:34">
      <c r="A119" s="300" t="s">
        <v>321</v>
      </c>
      <c r="B119" s="368" t="s">
        <v>313</v>
      </c>
      <c r="C119" s="376">
        <f t="shared" ref="C119:AG119" si="42">$F$38*C50</f>
        <v>9553655.1724137925</v>
      </c>
      <c r="D119" s="376">
        <f t="shared" si="42"/>
        <v>9464937.931034483</v>
      </c>
      <c r="E119" s="376">
        <f t="shared" si="42"/>
        <v>9385072.5517241377</v>
      </c>
      <c r="F119" s="376">
        <f t="shared" si="42"/>
        <v>9313861.6717241388</v>
      </c>
      <c r="G119" s="376">
        <f t="shared" si="42"/>
        <v>9251117.4375724141</v>
      </c>
      <c r="H119" s="376">
        <f t="shared" si="42"/>
        <v>9196661.2026107609</v>
      </c>
      <c r="I119" s="376">
        <f t="shared" si="42"/>
        <v>8648938.8903589081</v>
      </c>
      <c r="J119" s="376">
        <f t="shared" si="42"/>
        <v>8360673.6642807517</v>
      </c>
      <c r="K119" s="376">
        <f t="shared" si="42"/>
        <v>8081996.3128569303</v>
      </c>
      <c r="L119" s="376">
        <f t="shared" si="42"/>
        <v>7812544.9891959252</v>
      </c>
      <c r="M119" s="376">
        <f t="shared" si="42"/>
        <v>7551972.8562136078</v>
      </c>
      <c r="N119" s="376">
        <f t="shared" si="42"/>
        <v>7299947.423758721</v>
      </c>
      <c r="O119" s="376">
        <f t="shared" si="42"/>
        <v>7056149.916190112</v>
      </c>
      <c r="P119" s="376">
        <f t="shared" si="42"/>
        <v>6820274.6689716233</v>
      </c>
      <c r="Q119" s="376">
        <f t="shared" si="42"/>
        <v>6592028.5529191177</v>
      </c>
      <c r="R119" s="376">
        <f t="shared" si="42"/>
        <v>6371130.4247994944</v>
      </c>
      <c r="S119" s="376">
        <f t="shared" si="42"/>
        <v>5882358.3974020788</v>
      </c>
      <c r="T119" s="376">
        <f t="shared" si="42"/>
        <v>5715332.4184656376</v>
      </c>
      <c r="U119" s="376">
        <f t="shared" si="42"/>
        <v>5554250.3564160988</v>
      </c>
      <c r="V119" s="376">
        <f t="shared" si="42"/>
        <v>5398855.3072471656</v>
      </c>
      <c r="W119" s="376">
        <f t="shared" si="42"/>
        <v>5248902.3226939496</v>
      </c>
      <c r="X119" s="376">
        <f t="shared" si="42"/>
        <v>5104157.8359367084</v>
      </c>
      <c r="Y119" s="376">
        <f t="shared" si="42"/>
        <v>4964399.1153466012</v>
      </c>
      <c r="Z119" s="376">
        <f t="shared" si="42"/>
        <v>4829413.7448912188</v>
      </c>
      <c r="AA119" s="376">
        <f t="shared" si="42"/>
        <v>4698999.129886183</v>
      </c>
      <c r="AB119" s="376">
        <f t="shared" si="42"/>
        <v>4572962.0268442119</v>
      </c>
      <c r="AC119" s="376">
        <f t="shared" si="42"/>
        <v>4419306.4809039636</v>
      </c>
      <c r="AD119" s="376">
        <f t="shared" si="42"/>
        <v>4434537.3429849837</v>
      </c>
      <c r="AE119" s="376">
        <f t="shared" si="42"/>
        <v>4454942.5906193899</v>
      </c>
      <c r="AF119" s="376">
        <f t="shared" si="42"/>
        <v>4480439.0891624149</v>
      </c>
      <c r="AG119" s="376">
        <f t="shared" si="42"/>
        <v>4510951.7065890236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944639.99999999988</v>
      </c>
      <c r="D120" s="376">
        <f t="shared" si="43"/>
        <v>982425.59999999986</v>
      </c>
      <c r="E120" s="376">
        <f t="shared" si="43"/>
        <v>1021722.6239999998</v>
      </c>
      <c r="F120" s="376">
        <f t="shared" si="43"/>
        <v>1062591.5289599998</v>
      </c>
      <c r="G120" s="376">
        <f t="shared" si="43"/>
        <v>1105095.1901183999</v>
      </c>
      <c r="H120" s="376">
        <f t="shared" si="43"/>
        <v>1149298.9977231359</v>
      </c>
      <c r="I120" s="376">
        <f t="shared" si="43"/>
        <v>1195270.9576320613</v>
      </c>
      <c r="J120" s="376">
        <f t="shared" si="43"/>
        <v>1243081.795937344</v>
      </c>
      <c r="K120" s="376">
        <f t="shared" si="43"/>
        <v>1292805.0677748378</v>
      </c>
      <c r="L120" s="376">
        <f t="shared" si="43"/>
        <v>1344517.2704858314</v>
      </c>
      <c r="M120" s="376">
        <f t="shared" si="43"/>
        <v>1398297.9613052648</v>
      </c>
      <c r="N120" s="376">
        <f t="shared" si="43"/>
        <v>1454229.8797574753</v>
      </c>
      <c r="O120" s="376">
        <f t="shared" si="43"/>
        <v>1512399.0749477744</v>
      </c>
      <c r="P120" s="376">
        <f t="shared" si="43"/>
        <v>1572895.0379456854</v>
      </c>
      <c r="Q120" s="376">
        <f t="shared" si="43"/>
        <v>1635810.8394635131</v>
      </c>
      <c r="R120" s="376">
        <f t="shared" si="43"/>
        <v>1701243.2730420537</v>
      </c>
      <c r="S120" s="376">
        <f t="shared" si="43"/>
        <v>1769293.0039637359</v>
      </c>
      <c r="T120" s="376">
        <f t="shared" si="43"/>
        <v>1840064.7241222854</v>
      </c>
      <c r="U120" s="376">
        <f t="shared" si="43"/>
        <v>1913667.313087177</v>
      </c>
      <c r="V120" s="376">
        <f t="shared" si="43"/>
        <v>1990214.0056106641</v>
      </c>
      <c r="W120" s="376">
        <f t="shared" si="43"/>
        <v>2069822.5658350908</v>
      </c>
      <c r="X120" s="376">
        <f t="shared" si="43"/>
        <v>2152615.4684684947</v>
      </c>
      <c r="Y120" s="376">
        <f t="shared" si="43"/>
        <v>2238720.0872072345</v>
      </c>
      <c r="Z120" s="376">
        <f t="shared" si="43"/>
        <v>2328268.8906955239</v>
      </c>
      <c r="AA120" s="376">
        <f t="shared" si="43"/>
        <v>2421399.6463233451</v>
      </c>
      <c r="AB120" s="376">
        <f t="shared" si="43"/>
        <v>2518255.6321762791</v>
      </c>
      <c r="AC120" s="376">
        <f t="shared" si="43"/>
        <v>2618985.8574633305</v>
      </c>
      <c r="AD120" s="376">
        <f t="shared" si="43"/>
        <v>2723745.2917618635</v>
      </c>
      <c r="AE120" s="376">
        <f t="shared" si="43"/>
        <v>2832695.1034323382</v>
      </c>
      <c r="AF120" s="376">
        <f t="shared" si="43"/>
        <v>2946002.9075696319</v>
      </c>
      <c r="AG120" s="376">
        <f t="shared" si="43"/>
        <v>3063843.0238724169</v>
      </c>
    </row>
    <row r="121" spans="1:34">
      <c r="A121" s="368" t="s">
        <v>318</v>
      </c>
      <c r="B121" s="368" t="s">
        <v>313</v>
      </c>
      <c r="C121" s="376">
        <f>'Changing with year'!C291</f>
        <v>600000</v>
      </c>
      <c r="D121" s="376">
        <f>'Changing with year'!D291</f>
        <v>627000</v>
      </c>
      <c r="E121" s="376">
        <f>'Changing with year'!E291</f>
        <v>655000</v>
      </c>
      <c r="F121" s="376">
        <f>'Changing with year'!F291</f>
        <v>684000</v>
      </c>
      <c r="G121" s="376">
        <f>'Changing with year'!G291</f>
        <v>715000</v>
      </c>
      <c r="H121" s="376">
        <f>'Changing with year'!H291</f>
        <v>747000</v>
      </c>
      <c r="I121" s="376">
        <f>'Changing with year'!I291</f>
        <v>781000</v>
      </c>
      <c r="J121" s="376">
        <f>'Changing with year'!J291</f>
        <v>816000</v>
      </c>
      <c r="K121" s="376">
        <f>'Changing with year'!K291</f>
        <v>853000</v>
      </c>
      <c r="L121" s="376">
        <f>'Changing with year'!L291</f>
        <v>891000</v>
      </c>
      <c r="M121" s="376">
        <f>'Changing with year'!M291</f>
        <v>931000</v>
      </c>
      <c r="N121" s="376">
        <f>'Changing with year'!N291</f>
        <v>973000</v>
      </c>
      <c r="O121" s="376">
        <f>'Changing with year'!O291</f>
        <v>1017000</v>
      </c>
      <c r="P121" s="376">
        <f>'Changing with year'!P291</f>
        <v>1063000</v>
      </c>
      <c r="Q121" s="376">
        <f>'Changing with year'!Q291</f>
        <v>1111000</v>
      </c>
      <c r="R121" s="376">
        <f>'Changing with year'!R291</f>
        <v>1161000</v>
      </c>
      <c r="S121" s="376">
        <f>'Changing with year'!S291</f>
        <v>1213000</v>
      </c>
      <c r="T121" s="376">
        <f>'Changing with year'!T291</f>
        <v>1268000</v>
      </c>
      <c r="U121" s="376">
        <f>'Changing with year'!U291</f>
        <v>1325000</v>
      </c>
      <c r="V121" s="376">
        <f>'Changing with year'!V291</f>
        <v>1385000</v>
      </c>
      <c r="W121" s="376">
        <f>'Changing with year'!W291</f>
        <v>1447000</v>
      </c>
      <c r="X121" s="376">
        <f>'Changing with year'!X291</f>
        <v>1512000</v>
      </c>
      <c r="Y121" s="376">
        <f>'Changing with year'!Y291</f>
        <v>1580000</v>
      </c>
      <c r="Z121" s="376">
        <f>'Changing with year'!Z291</f>
        <v>1651000</v>
      </c>
      <c r="AA121" s="376">
        <f>'Changing with year'!AA291</f>
        <v>1725000</v>
      </c>
      <c r="AB121" s="376">
        <f>'Changing with year'!AB291</f>
        <v>1803000</v>
      </c>
      <c r="AC121" s="376">
        <f>'Changing with year'!AC291</f>
        <v>1884000</v>
      </c>
      <c r="AD121" s="376">
        <f>'Changing with year'!AD291</f>
        <v>1969000</v>
      </c>
      <c r="AE121" s="376">
        <f>'Changing with year'!AE291</f>
        <v>2058000</v>
      </c>
      <c r="AF121" s="376">
        <f>'Changing with year'!AF291</f>
        <v>2151000</v>
      </c>
      <c r="AG121" s="376">
        <f>'Changing with year'!AG291</f>
        <v>2248000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4">C61</f>
        <v>1036800</v>
      </c>
      <c r="D122" s="376">
        <f t="shared" si="44"/>
        <v>1047168</v>
      </c>
      <c r="E122" s="376">
        <f t="shared" si="44"/>
        <v>1057639.68</v>
      </c>
      <c r="F122" s="376">
        <f t="shared" si="44"/>
        <v>1068216.0767999999</v>
      </c>
      <c r="G122" s="376">
        <f t="shared" si="44"/>
        <v>1078898.2375679999</v>
      </c>
      <c r="H122" s="376">
        <f t="shared" si="44"/>
        <v>1089687.2199436799</v>
      </c>
      <c r="I122" s="376">
        <f t="shared" si="44"/>
        <v>1100584.0921431168</v>
      </c>
      <c r="J122" s="376">
        <f t="shared" si="44"/>
        <v>1111589.9330645478</v>
      </c>
      <c r="K122" s="376">
        <f t="shared" si="44"/>
        <v>1122705.8323951936</v>
      </c>
      <c r="L122" s="376">
        <f t="shared" si="44"/>
        <v>1133932.8907191455</v>
      </c>
      <c r="M122" s="376">
        <f t="shared" si="44"/>
        <v>1145272.2196263371</v>
      </c>
      <c r="N122" s="376">
        <f t="shared" si="44"/>
        <v>1156724.9418226003</v>
      </c>
      <c r="O122" s="376">
        <f t="shared" si="44"/>
        <v>1168292.1912408266</v>
      </c>
      <c r="P122" s="376">
        <f t="shared" si="44"/>
        <v>1179975.1131532348</v>
      </c>
      <c r="Q122" s="376">
        <f t="shared" si="44"/>
        <v>1191774.8642847673</v>
      </c>
      <c r="R122" s="376">
        <f t="shared" si="44"/>
        <v>1203692.6129276149</v>
      </c>
      <c r="S122" s="376">
        <f t="shared" si="44"/>
        <v>1215729.5390568911</v>
      </c>
      <c r="T122" s="376">
        <f t="shared" si="44"/>
        <v>1227886.8344474602</v>
      </c>
      <c r="U122" s="376">
        <f t="shared" si="44"/>
        <v>1240165.7027919348</v>
      </c>
      <c r="V122" s="376">
        <f t="shared" si="44"/>
        <v>1252567.3598198541</v>
      </c>
      <c r="W122" s="376">
        <f t="shared" si="44"/>
        <v>1265093.0334180526</v>
      </c>
      <c r="X122" s="376">
        <f t="shared" si="44"/>
        <v>1277743.9637522332</v>
      </c>
      <c r="Y122" s="376">
        <f t="shared" si="44"/>
        <v>1290521.4033897556</v>
      </c>
      <c r="Z122" s="376">
        <f t="shared" si="44"/>
        <v>1303426.6174236531</v>
      </c>
      <c r="AA122" s="376">
        <f t="shared" si="44"/>
        <v>1316460.8835978897</v>
      </c>
      <c r="AB122" s="376">
        <f t="shared" si="44"/>
        <v>1329625.4924338686</v>
      </c>
      <c r="AC122" s="376">
        <f t="shared" si="44"/>
        <v>1342921.7473582074</v>
      </c>
      <c r="AD122" s="376">
        <f t="shared" si="44"/>
        <v>1356350.9648317895</v>
      </c>
      <c r="AE122" s="376">
        <f t="shared" si="44"/>
        <v>1369914.4744801074</v>
      </c>
      <c r="AF122" s="376">
        <f t="shared" si="44"/>
        <v>1383613.6192249085</v>
      </c>
      <c r="AG122" s="376">
        <f t="shared" si="44"/>
        <v>1397449.7554171574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125580</v>
      </c>
      <c r="D123" s="376">
        <f t="shared" si="45"/>
        <v>126820</v>
      </c>
      <c r="E123" s="376">
        <f t="shared" si="45"/>
        <v>128220</v>
      </c>
      <c r="F123" s="376">
        <f t="shared" si="45"/>
        <v>129800</v>
      </c>
      <c r="G123" s="376">
        <f t="shared" si="45"/>
        <v>131520</v>
      </c>
      <c r="H123" s="376">
        <f t="shared" si="45"/>
        <v>141420</v>
      </c>
      <c r="I123" s="376">
        <f t="shared" si="45"/>
        <v>143940</v>
      </c>
      <c r="J123" s="376">
        <f t="shared" si="45"/>
        <v>146620</v>
      </c>
      <c r="K123" s="376">
        <f t="shared" si="45"/>
        <v>149440</v>
      </c>
      <c r="L123" s="376">
        <f t="shared" si="45"/>
        <v>152400</v>
      </c>
      <c r="M123" s="376">
        <f t="shared" si="45"/>
        <v>155520</v>
      </c>
      <c r="N123" s="376">
        <f t="shared" si="45"/>
        <v>158800</v>
      </c>
      <c r="O123" s="376">
        <f t="shared" si="45"/>
        <v>162220</v>
      </c>
      <c r="P123" s="376">
        <f t="shared" si="45"/>
        <v>165800</v>
      </c>
      <c r="Q123" s="376">
        <f t="shared" si="45"/>
        <v>169540</v>
      </c>
      <c r="R123" s="376">
        <f t="shared" si="45"/>
        <v>173440</v>
      </c>
      <c r="S123" s="376">
        <f t="shared" si="45"/>
        <v>178320</v>
      </c>
      <c r="T123" s="376">
        <f t="shared" si="45"/>
        <v>183340</v>
      </c>
      <c r="U123" s="376">
        <f t="shared" si="45"/>
        <v>188520</v>
      </c>
      <c r="V123" s="376">
        <f t="shared" si="45"/>
        <v>193840</v>
      </c>
      <c r="W123" s="376">
        <f t="shared" si="45"/>
        <v>199320</v>
      </c>
      <c r="X123" s="376">
        <f t="shared" si="45"/>
        <v>204960</v>
      </c>
      <c r="Y123" s="376">
        <f t="shared" si="45"/>
        <v>210760</v>
      </c>
      <c r="Z123" s="376">
        <f t="shared" si="45"/>
        <v>216740</v>
      </c>
      <c r="AA123" s="376">
        <f t="shared" si="45"/>
        <v>222880</v>
      </c>
      <c r="AB123" s="376">
        <f t="shared" si="45"/>
        <v>229220</v>
      </c>
      <c r="AC123" s="376">
        <f t="shared" si="45"/>
        <v>235740</v>
      </c>
      <c r="AD123" s="376">
        <f t="shared" si="45"/>
        <v>242440</v>
      </c>
      <c r="AE123" s="376">
        <f t="shared" si="45"/>
        <v>249340</v>
      </c>
      <c r="AF123" s="376">
        <f t="shared" si="45"/>
        <v>256460</v>
      </c>
      <c r="AG123" s="376">
        <f t="shared" si="45"/>
        <v>263780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11.943057844833621</v>
      </c>
      <c r="D125" s="379">
        <f t="shared" si="46"/>
        <v>12.060985792974995</v>
      </c>
      <c r="E125" s="379">
        <f t="shared" si="46"/>
        <v>12.194130250553968</v>
      </c>
      <c r="F125" s="379">
        <f t="shared" si="46"/>
        <v>12.344393281250234</v>
      </c>
      <c r="G125" s="379">
        <f t="shared" si="46"/>
        <v>12.507970757704395</v>
      </c>
      <c r="H125" s="379">
        <f t="shared" si="46"/>
        <v>13.449492279155685</v>
      </c>
      <c r="I125" s="379">
        <f t="shared" si="46"/>
        <v>13.689152302797831</v>
      </c>
      <c r="J125" s="379">
        <f t="shared" si="46"/>
        <v>13.944028835877573</v>
      </c>
      <c r="K125" s="379">
        <f t="shared" si="46"/>
        <v>14.212219814715214</v>
      </c>
      <c r="L125" s="379">
        <f t="shared" si="46"/>
        <v>14.49372523931075</v>
      </c>
      <c r="M125" s="379">
        <f t="shared" si="46"/>
        <v>14.790447173343884</v>
      </c>
      <c r="N125" s="379">
        <f t="shared" si="46"/>
        <v>15.102385616814615</v>
      </c>
      <c r="O125" s="379">
        <f t="shared" si="46"/>
        <v>15.427638506043243</v>
      </c>
      <c r="P125" s="379">
        <f t="shared" si="46"/>
        <v>15.768107904709467</v>
      </c>
      <c r="Q125" s="379">
        <f t="shared" si="46"/>
        <v>16.123793812813286</v>
      </c>
      <c r="R125" s="379">
        <f t="shared" si="46"/>
        <v>16.494696230354702</v>
      </c>
      <c r="S125" s="379">
        <f t="shared" si="46"/>
        <v>16.958799768201395</v>
      </c>
      <c r="T125" s="379">
        <f t="shared" si="46"/>
        <v>17.436217751805991</v>
      </c>
      <c r="U125" s="379">
        <f t="shared" si="46"/>
        <v>17.92885224484818</v>
      </c>
      <c r="V125" s="379">
        <f t="shared" si="46"/>
        <v>18.434801183648265</v>
      </c>
      <c r="W125" s="379">
        <f t="shared" si="46"/>
        <v>18.95596663188595</v>
      </c>
      <c r="X125" s="379">
        <f t="shared" si="46"/>
        <v>19.492348589561232</v>
      </c>
      <c r="Y125" s="379">
        <f t="shared" si="46"/>
        <v>20.043947056674106</v>
      </c>
      <c r="Z125" s="379">
        <f t="shared" si="46"/>
        <v>20.612664096904275</v>
      </c>
      <c r="AA125" s="379">
        <f t="shared" si="46"/>
        <v>21.196597646572048</v>
      </c>
      <c r="AB125" s="379">
        <f t="shared" si="46"/>
        <v>21.799551833036812</v>
      </c>
      <c r="AC125" s="379">
        <f t="shared" si="46"/>
        <v>22.419624592618874</v>
      </c>
      <c r="AD125" s="379">
        <f t="shared" si="46"/>
        <v>23.056815925318233</v>
      </c>
      <c r="AE125" s="379">
        <f t="shared" si="46"/>
        <v>23.713027894814584</v>
      </c>
      <c r="AF125" s="379">
        <f t="shared" si="46"/>
        <v>24.39016256478763</v>
      </c>
      <c r="AG125" s="379">
        <f t="shared" si="46"/>
        <v>25.086317871557675</v>
      </c>
    </row>
    <row r="126" spans="1:34">
      <c r="A126" s="300" t="s">
        <v>321</v>
      </c>
      <c r="B126" s="300" t="s">
        <v>300</v>
      </c>
      <c r="C126" s="379">
        <f t="shared" si="46"/>
        <v>82.931034482758619</v>
      </c>
      <c r="D126" s="379">
        <f t="shared" si="46"/>
        <v>82.160919540229884</v>
      </c>
      <c r="E126" s="379">
        <f t="shared" si="46"/>
        <v>81.467643678160911</v>
      </c>
      <c r="F126" s="379">
        <f t="shared" si="46"/>
        <v>80.849493678160925</v>
      </c>
      <c r="G126" s="379">
        <f t="shared" si="46"/>
        <v>80.304838867816088</v>
      </c>
      <c r="H126" s="379">
        <f t="shared" si="46"/>
        <v>79.832128494885083</v>
      </c>
      <c r="I126" s="379">
        <f t="shared" si="46"/>
        <v>75.077594534365517</v>
      </c>
      <c r="J126" s="379">
        <f t="shared" si="46"/>
        <v>72.575292224659307</v>
      </c>
      <c r="K126" s="379">
        <f t="shared" si="46"/>
        <v>70.156217993549745</v>
      </c>
      <c r="L126" s="379">
        <f t="shared" si="46"/>
        <v>67.817230808992406</v>
      </c>
      <c r="M126" s="379">
        <f t="shared" si="46"/>
        <v>65.555319932409787</v>
      </c>
      <c r="N126" s="379">
        <f t="shared" si="46"/>
        <v>63.367599164572233</v>
      </c>
      <c r="O126" s="379">
        <f t="shared" si="46"/>
        <v>61.251301355816942</v>
      </c>
      <c r="P126" s="379">
        <f t="shared" si="46"/>
        <v>59.203773168156452</v>
      </c>
      <c r="Q126" s="379">
        <f t="shared" si="46"/>
        <v>57.222470077422898</v>
      </c>
      <c r="R126" s="379">
        <f t="shared" si="46"/>
        <v>55.304951604162277</v>
      </c>
      <c r="S126" s="379">
        <f t="shared" si="46"/>
        <v>51.062138866337492</v>
      </c>
      <c r="T126" s="379">
        <f t="shared" si="46"/>
        <v>49.612260576958661</v>
      </c>
      <c r="U126" s="379">
        <f t="shared" si="46"/>
        <v>48.213978788334188</v>
      </c>
      <c r="V126" s="379">
        <f t="shared" si="46"/>
        <v>46.86506343096498</v>
      </c>
      <c r="W126" s="379">
        <f t="shared" si="46"/>
        <v>45.56338821782942</v>
      </c>
      <c r="X126" s="379">
        <f t="shared" si="46"/>
        <v>44.306925659172819</v>
      </c>
      <c r="Y126" s="379">
        <f t="shared" si="46"/>
        <v>43.093742320717027</v>
      </c>
      <c r="Z126" s="379">
        <f t="shared" si="46"/>
        <v>41.921994313291833</v>
      </c>
      <c r="AA126" s="379">
        <f t="shared" si="46"/>
        <v>40.78992300248423</v>
      </c>
      <c r="AB126" s="379">
        <f t="shared" si="46"/>
        <v>39.69585092746712</v>
      </c>
      <c r="AC126" s="379">
        <f t="shared" si="46"/>
        <v>38.362035424513572</v>
      </c>
      <c r="AD126" s="379">
        <f t="shared" si="46"/>
        <v>38.494247768966872</v>
      </c>
      <c r="AE126" s="379">
        <f t="shared" si="46"/>
        <v>38.671376654682206</v>
      </c>
      <c r="AF126" s="379">
        <f t="shared" si="46"/>
        <v>38.892700426757074</v>
      </c>
      <c r="AG126" s="379">
        <f t="shared" si="46"/>
        <v>39.157566897474162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23.498437500000001</v>
      </c>
      <c r="D127" s="379">
        <f t="shared" si="47"/>
        <v>24.161576388888886</v>
      </c>
      <c r="E127" s="379">
        <f t="shared" si="47"/>
        <v>24.848804722222219</v>
      </c>
      <c r="F127" s="379">
        <f t="shared" si="47"/>
        <v>25.56082991111111</v>
      </c>
      <c r="G127" s="379">
        <f t="shared" si="47"/>
        <v>26.306540170888887</v>
      </c>
      <c r="H127" s="379">
        <f t="shared" si="47"/>
        <v>27.147623417246667</v>
      </c>
      <c r="I127" s="379">
        <f t="shared" si="47"/>
        <v>27.958290362631754</v>
      </c>
      <c r="J127" s="379">
        <f t="shared" si="47"/>
        <v>28.795935147585865</v>
      </c>
      <c r="K127" s="379">
        <f t="shared" si="47"/>
        <v>29.66971267508708</v>
      </c>
      <c r="L127" s="379">
        <f t="shared" si="47"/>
        <v>30.57161598268209</v>
      </c>
      <c r="M127" s="379">
        <f t="shared" si="47"/>
        <v>31.511199487253485</v>
      </c>
      <c r="N127" s="379">
        <f t="shared" si="47"/>
        <v>32.489191159549264</v>
      </c>
      <c r="O127" s="379">
        <f t="shared" si="47"/>
        <v>33.506174185664939</v>
      </c>
      <c r="P127" s="379">
        <f t="shared" si="47"/>
        <v>34.563108950511456</v>
      </c>
      <c r="Q127" s="379">
        <f t="shared" si="47"/>
        <v>35.660813400592716</v>
      </c>
      <c r="R127" s="379">
        <f t="shared" si="47"/>
        <v>36.800137899042262</v>
      </c>
      <c r="S127" s="379">
        <f t="shared" si="47"/>
        <v>37.989084574831828</v>
      </c>
      <c r="T127" s="379">
        <f t="shared" si="47"/>
        <v>39.229961445917937</v>
      </c>
      <c r="U127" s="379">
        <f t="shared" si="47"/>
        <v>40.5152171517284</v>
      </c>
      <c r="V127" s="379">
        <f t="shared" si="47"/>
        <v>41.854352130473252</v>
      </c>
      <c r="W127" s="379">
        <f t="shared" si="47"/>
        <v>43.239892354627976</v>
      </c>
      <c r="X127" s="379">
        <f t="shared" si="47"/>
        <v>44.68159229358271</v>
      </c>
      <c r="Y127" s="379">
        <f t="shared" si="47"/>
        <v>46.180568494765538</v>
      </c>
      <c r="Z127" s="379">
        <f t="shared" si="47"/>
        <v>47.738155452423413</v>
      </c>
      <c r="AA127" s="379">
        <f t="shared" si="47"/>
        <v>49.355386544455165</v>
      </c>
      <c r="AB127" s="379">
        <f t="shared" si="47"/>
        <v>51.042544484463086</v>
      </c>
      <c r="AC127" s="379">
        <f t="shared" si="47"/>
        <v>52.792079902964737</v>
      </c>
      <c r="AD127" s="379">
        <f t="shared" si="47"/>
        <v>54.614030005153246</v>
      </c>
      <c r="AE127" s="379">
        <f t="shared" si="47"/>
        <v>56.509978974934427</v>
      </c>
      <c r="AF127" s="379">
        <f t="shared" si="47"/>
        <v>58.481567072869275</v>
      </c>
      <c r="AG127" s="379">
        <f t="shared" si="47"/>
        <v>60.530145653555323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1.5572916666666667</v>
      </c>
      <c r="D128" s="379">
        <f t="shared" si="48"/>
        <v>1.5726686507936507</v>
      </c>
      <c r="E128" s="379">
        <f t="shared" si="48"/>
        <v>1.5900297619047619</v>
      </c>
      <c r="F128" s="379">
        <f t="shared" si="48"/>
        <v>1.6096230158730158</v>
      </c>
      <c r="G128" s="379">
        <f t="shared" si="48"/>
        <v>1.6309523809523809</v>
      </c>
      <c r="H128" s="379">
        <f t="shared" si="48"/>
        <v>1.7537202380952381</v>
      </c>
      <c r="I128" s="379">
        <f t="shared" si="48"/>
        <v>1.7849702380952381</v>
      </c>
      <c r="J128" s="379">
        <f t="shared" si="48"/>
        <v>1.8182043650793651</v>
      </c>
      <c r="K128" s="379">
        <f t="shared" si="48"/>
        <v>1.8531746031746033</v>
      </c>
      <c r="L128" s="379">
        <f t="shared" si="48"/>
        <v>1.8898809523809523</v>
      </c>
      <c r="M128" s="379">
        <f t="shared" si="48"/>
        <v>1.9285714285714286</v>
      </c>
      <c r="N128" s="379">
        <f t="shared" si="48"/>
        <v>2.9538690476190483</v>
      </c>
      <c r="O128" s="379">
        <f t="shared" si="48"/>
        <v>3.0174851190476195</v>
      </c>
      <c r="P128" s="379">
        <f t="shared" si="48"/>
        <v>3.0840773809523814</v>
      </c>
      <c r="Q128" s="379">
        <f t="shared" si="48"/>
        <v>3.1536458333333339</v>
      </c>
      <c r="R128" s="379">
        <f t="shared" si="48"/>
        <v>3.2261904761904767</v>
      </c>
      <c r="S128" s="379">
        <f t="shared" si="48"/>
        <v>3.3169642857142865</v>
      </c>
      <c r="T128" s="379">
        <f t="shared" si="48"/>
        <v>3.4103422619047623</v>
      </c>
      <c r="U128" s="379">
        <f t="shared" si="48"/>
        <v>3.5066964285714293</v>
      </c>
      <c r="V128" s="379">
        <f t="shared" si="48"/>
        <v>3.6056547619047623</v>
      </c>
      <c r="W128" s="379">
        <f t="shared" si="48"/>
        <v>3.7075892857142865</v>
      </c>
      <c r="X128" s="379">
        <f t="shared" si="48"/>
        <v>4.447916666666667</v>
      </c>
      <c r="Y128" s="379">
        <f t="shared" si="48"/>
        <v>4.5737847222222214</v>
      </c>
      <c r="Z128" s="379">
        <f t="shared" si="48"/>
        <v>4.7035590277777768</v>
      </c>
      <c r="AA128" s="379">
        <f t="shared" si="48"/>
        <v>4.8368055555555554</v>
      </c>
      <c r="AB128" s="379">
        <f t="shared" si="48"/>
        <v>4.9743923611111107</v>
      </c>
      <c r="AC128" s="379">
        <f t="shared" si="48"/>
        <v>5.1158854166666661</v>
      </c>
      <c r="AD128" s="379">
        <f t="shared" si="48"/>
        <v>5.2612847222222223</v>
      </c>
      <c r="AE128" s="379">
        <f t="shared" si="48"/>
        <v>5.4110243055555554</v>
      </c>
      <c r="AF128" s="379">
        <f t="shared" si="48"/>
        <v>5.5655381944444446</v>
      </c>
      <c r="AG128" s="379">
        <f t="shared" si="48"/>
        <v>5.7243923611111107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116.81523816092557</v>
      </c>
      <c r="D129" s="384">
        <f t="shared" ref="D129:AG129" si="49">SUM(D125:D127)-D128</f>
        <v>116.81081307130012</v>
      </c>
      <c r="E129" s="384">
        <f t="shared" si="49"/>
        <v>116.92054888903235</v>
      </c>
      <c r="F129" s="384">
        <f t="shared" si="49"/>
        <v>117.14509385464926</v>
      </c>
      <c r="G129" s="384">
        <f t="shared" si="49"/>
        <v>117.488397415457</v>
      </c>
      <c r="H129" s="384">
        <f t="shared" si="49"/>
        <v>118.67552395319218</v>
      </c>
      <c r="I129" s="384">
        <f t="shared" si="49"/>
        <v>114.94006696169987</v>
      </c>
      <c r="J129" s="384">
        <f t="shared" si="49"/>
        <v>113.49705184304338</v>
      </c>
      <c r="K129" s="384">
        <f t="shared" si="49"/>
        <v>112.18497588017743</v>
      </c>
      <c r="L129" s="384">
        <f t="shared" si="49"/>
        <v>110.9926910786043</v>
      </c>
      <c r="M129" s="384">
        <f t="shared" si="49"/>
        <v>109.92839516443571</v>
      </c>
      <c r="N129" s="384">
        <f t="shared" si="49"/>
        <v>108.00530689331706</v>
      </c>
      <c r="O129" s="384">
        <f t="shared" si="49"/>
        <v>107.16762892847751</v>
      </c>
      <c r="P129" s="384">
        <f t="shared" si="49"/>
        <v>106.45091264242501</v>
      </c>
      <c r="Q129" s="384">
        <f t="shared" si="49"/>
        <v>105.85343145749557</v>
      </c>
      <c r="R129" s="384">
        <f t="shared" si="49"/>
        <v>105.37359525736875</v>
      </c>
      <c r="S129" s="384">
        <f t="shared" si="49"/>
        <v>102.69305892365641</v>
      </c>
      <c r="T129" s="384">
        <f t="shared" si="49"/>
        <v>102.86809751277782</v>
      </c>
      <c r="U129" s="384">
        <f t="shared" si="49"/>
        <v>103.15135175633934</v>
      </c>
      <c r="V129" s="384">
        <f t="shared" si="49"/>
        <v>103.54856198318174</v>
      </c>
      <c r="W129" s="384">
        <f t="shared" si="49"/>
        <v>104.05165791862906</v>
      </c>
      <c r="X129" s="384">
        <f t="shared" si="49"/>
        <v>104.03294987565009</v>
      </c>
      <c r="Y129" s="384">
        <f t="shared" si="49"/>
        <v>104.74447314993444</v>
      </c>
      <c r="Z129" s="384">
        <f t="shared" si="49"/>
        <v>105.56925483484176</v>
      </c>
      <c r="AA129" s="384">
        <f t="shared" si="49"/>
        <v>106.50510163795589</v>
      </c>
      <c r="AB129" s="384">
        <f t="shared" si="49"/>
        <v>107.56355488385591</v>
      </c>
      <c r="AC129" s="384">
        <f t="shared" si="49"/>
        <v>108.45785450343051</v>
      </c>
      <c r="AD129" s="384">
        <f t="shared" si="49"/>
        <v>110.90380897721613</v>
      </c>
      <c r="AE129" s="384">
        <f t="shared" si="49"/>
        <v>113.48335921887566</v>
      </c>
      <c r="AF129" s="384">
        <f t="shared" si="49"/>
        <v>116.19889186996953</v>
      </c>
      <c r="AG129" s="384">
        <f t="shared" si="49"/>
        <v>119.04963806147605</v>
      </c>
    </row>
    <row r="130" spans="1:34" s="344" customFormat="1">
      <c r="A130" s="342" t="s">
        <v>182</v>
      </c>
      <c r="B130" s="342"/>
      <c r="H130" s="385">
        <f>H132/H63</f>
        <v>1.8857504360017783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year'!C133)/1000,0)*1000</f>
        <v>11698000</v>
      </c>
      <c r="D132" s="376">
        <f>ROUND(('Changing with year'!D133)/1000,0)*1000</f>
        <v>11644000</v>
      </c>
      <c r="E132" s="376">
        <f>ROUND(('Changing with year'!E133)/1000,0)*1000</f>
        <v>11599000</v>
      </c>
      <c r="F132" s="376">
        <f>ROUND(('Changing with year'!F133)/1000,0)*1000</f>
        <v>11322000</v>
      </c>
      <c r="G132" s="376">
        <f>ROUND(('Changing with year'!G133)/1000,0)*1000</f>
        <v>11066000</v>
      </c>
      <c r="H132" s="376">
        <f>ROUND(('Changing with year'!H133)/1000,0)*1000</f>
        <v>11029000</v>
      </c>
      <c r="I132" s="376">
        <f>ROUND(('Changing with year'!I133)/1000,0)*1000</f>
        <v>10830000</v>
      </c>
      <c r="J132" s="376">
        <f>ROUND(('Changing with year'!J133)/1000,0)*1000</f>
        <v>10874000</v>
      </c>
      <c r="K132" s="376">
        <f>ROUND(('Changing with year'!K133)/1000,0)*1000</f>
        <v>10926000</v>
      </c>
      <c r="L132" s="376">
        <f>ROUND(('Changing with year'!L133)/1000,0)*1000</f>
        <v>10986000</v>
      </c>
      <c r="M132" s="376">
        <f>ROUND(('Changing with year'!M133)/1000,0)*1000</f>
        <v>11054000</v>
      </c>
      <c r="N132" s="376">
        <f>ROUND(('Changing with year'!N133)/1000,0)*1000</f>
        <v>11130000</v>
      </c>
      <c r="O132" s="376">
        <f>ROUND(('Changing with year'!O133)/1000,0)*1000</f>
        <v>11214000</v>
      </c>
      <c r="P132" s="376">
        <f>ROUND(('Changing with year'!P133)/1000,0)*1000</f>
        <v>11306000</v>
      </c>
      <c r="Q132" s="376">
        <f>ROUND(('Changing with year'!Q133)/1000,0)*1000</f>
        <v>11407000</v>
      </c>
      <c r="R132" s="376">
        <f>ROUND(('Changing with year'!R133)/1000,0)*1000</f>
        <v>11517000</v>
      </c>
      <c r="S132" s="376">
        <f>ROUND(('Changing with year'!S133)/1000,0)*1000</f>
        <v>11529000</v>
      </c>
      <c r="T132" s="376">
        <f>ROUND(('Changing with year'!T133)/1000,0)*1000</f>
        <v>11737000</v>
      </c>
      <c r="U132" s="376">
        <f>ROUND(('Changing with year'!U133)/1000,0)*1000</f>
        <v>11951000</v>
      </c>
      <c r="V132" s="376">
        <f>ROUND(('Changing with year'!V133)/1000,0)*1000</f>
        <v>12174000</v>
      </c>
      <c r="W132" s="376">
        <f>ROUND(('Changing with year'!W133)/1000,0)*1000</f>
        <v>12403000</v>
      </c>
      <c r="X132" s="376">
        <f>ROUND(('Changing with year'!X133)/1000,0)*1000</f>
        <v>12641000</v>
      </c>
      <c r="Y132" s="376">
        <f>ROUND(('Changing with year'!Y133)/1000,0)*1000</f>
        <v>12887000</v>
      </c>
      <c r="Z132" s="376">
        <f>ROUND(('Changing with year'!Z133)/1000,0)*1000</f>
        <v>13142000</v>
      </c>
      <c r="AA132" s="376">
        <f>ROUND(('Changing with year'!AA133)/1000,0)*1000</f>
        <v>13405000</v>
      </c>
      <c r="AB132" s="376">
        <f>ROUND(('Changing with year'!AB133)/1000,0)*1000</f>
        <v>13678000</v>
      </c>
      <c r="AC132" s="376">
        <f>ROUND(('Changing with year'!AC133)/1000,0)*1000</f>
        <v>14015000</v>
      </c>
      <c r="AD132" s="376">
        <f>ROUND(('Changing with year'!AD133)/1000,0)*1000</f>
        <v>14363000</v>
      </c>
      <c r="AE132" s="376">
        <f>ROUND(('Changing with year'!AE133)/1000,0)*1000</f>
        <v>14720000</v>
      </c>
      <c r="AF132" s="376">
        <f>ROUND(('Changing with year'!AF133)/1000,0)*1000</f>
        <v>15087000</v>
      </c>
      <c r="AG132" s="376">
        <f>ROUND(('Changing with year'!AG133)/1000,0)*1000</f>
        <v>15464000</v>
      </c>
    </row>
    <row r="133" spans="1:34">
      <c r="A133" s="368" t="s">
        <v>310</v>
      </c>
      <c r="B133" s="300" t="s">
        <v>309</v>
      </c>
      <c r="C133" s="376">
        <f>(C132*'No change with year'!$AK$13)</f>
        <v>1754700.0000000002</v>
      </c>
      <c r="D133" s="376">
        <f>(D132*'No change with year'!$AK$13)</f>
        <v>1746600.0000000002</v>
      </c>
      <c r="E133" s="376">
        <f>(E132*'No change with year'!$AK$13)</f>
        <v>1739850.0000000002</v>
      </c>
      <c r="F133" s="376">
        <f>(F132*'No change with year'!$AK$13)</f>
        <v>1698300.0000000002</v>
      </c>
      <c r="G133" s="376">
        <f>(G132*'No change with year'!$AK$13)</f>
        <v>1659900.0000000002</v>
      </c>
      <c r="H133" s="376">
        <f>(H132*'No change with year'!$AK$13)</f>
        <v>1654350.0000000002</v>
      </c>
      <c r="I133" s="376">
        <f>(I132*'No change with year'!$AK$13)</f>
        <v>1624500.0000000002</v>
      </c>
      <c r="J133" s="376">
        <f>(J132*'No change with year'!$AK$13)</f>
        <v>1631100.0000000002</v>
      </c>
      <c r="K133" s="376">
        <f>(K132*'No change with year'!$AK$13)</f>
        <v>1638900.0000000002</v>
      </c>
      <c r="L133" s="376">
        <f>(L132*'No change with year'!$AK$13)</f>
        <v>1647900.0000000002</v>
      </c>
      <c r="M133" s="376">
        <f>(M132*'No change with year'!$AK$13)</f>
        <v>1658100.0000000002</v>
      </c>
      <c r="N133" s="376">
        <f>(N132*'No change with year'!$AL$13)</f>
        <v>2782500</v>
      </c>
      <c r="O133" s="376">
        <f>(O132*'No change with year'!$AL$13)</f>
        <v>2803500</v>
      </c>
      <c r="P133" s="376">
        <f>(P132*'No change with year'!$AL$13)</f>
        <v>2826500</v>
      </c>
      <c r="Q133" s="376">
        <f>(Q132*'No change with year'!$AL$13)</f>
        <v>2851750</v>
      </c>
      <c r="R133" s="376">
        <f>(R132*'No change with year'!$AL$13)</f>
        <v>2879250</v>
      </c>
      <c r="S133" s="376">
        <f>(S132*'No change with year'!$AL$13)</f>
        <v>2882250</v>
      </c>
      <c r="T133" s="376">
        <f>(T132*'No change with year'!$AL$13)</f>
        <v>2934250</v>
      </c>
      <c r="U133" s="376">
        <f>(U132*'No change with year'!$AL$13)</f>
        <v>2987750</v>
      </c>
      <c r="V133" s="376">
        <f>(V132*'No change with year'!$AL$13)</f>
        <v>3043500</v>
      </c>
      <c r="W133" s="376">
        <f>(W132*'No change with year'!$AL$13)</f>
        <v>3100750</v>
      </c>
      <c r="X133" s="376">
        <f>(X132*'No change with year'!$AM$13)</f>
        <v>4424350</v>
      </c>
      <c r="Y133" s="376">
        <f>(Y132*'No change with year'!$AM$13)</f>
        <v>4510450</v>
      </c>
      <c r="Z133" s="376">
        <f>(Z132*'No change with year'!$AM$13)</f>
        <v>4599700</v>
      </c>
      <c r="AA133" s="376">
        <f>(AA132*'No change with year'!$AM$13)</f>
        <v>4691750</v>
      </c>
      <c r="AB133" s="376">
        <f>(AB132*'No change with year'!$AM$13)</f>
        <v>4787300</v>
      </c>
      <c r="AC133" s="376">
        <f>(AC132*'No change with year'!$AM$13)</f>
        <v>4905250</v>
      </c>
      <c r="AD133" s="376">
        <f>(AD132*'No change with year'!$AM$13)</f>
        <v>5027050</v>
      </c>
      <c r="AE133" s="376">
        <f>(AE132*'No change with year'!$AM$13)</f>
        <v>5152000</v>
      </c>
      <c r="AF133" s="376">
        <f>(AF132*'No change with year'!$AM$13)</f>
        <v>5280450</v>
      </c>
      <c r="AG133" s="376">
        <f>(AG132*'No change with year'!$AM$13)</f>
        <v>5412400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2563239.2745744702</v>
      </c>
      <c r="D135" s="376">
        <f t="shared" ref="D135:AG135" si="51">-PMT($C$28,$C$27,D132)</f>
        <v>2551406.9168357952</v>
      </c>
      <c r="E135" s="376">
        <f t="shared" si="51"/>
        <v>2541546.618720233</v>
      </c>
      <c r="F135" s="376">
        <f t="shared" si="51"/>
        <v>2480851.0058755474</v>
      </c>
      <c r="G135" s="376">
        <f t="shared" si="51"/>
        <v>2424756.8654847918</v>
      </c>
      <c r="H135" s="376">
        <f t="shared" si="51"/>
        <v>2416649.5092564397</v>
      </c>
      <c r="I135" s="376">
        <f t="shared" si="51"/>
        <v>2373045.0798120629</v>
      </c>
      <c r="J135" s="376">
        <f t="shared" si="51"/>
        <v>2382686.2601917246</v>
      </c>
      <c r="K135" s="376">
        <f t="shared" si="51"/>
        <v>2394080.3824585965</v>
      </c>
      <c r="L135" s="376">
        <f t="shared" si="51"/>
        <v>2407227.4466126803</v>
      </c>
      <c r="M135" s="376">
        <f t="shared" si="51"/>
        <v>2422127.4526539748</v>
      </c>
      <c r="N135" s="376">
        <f t="shared" si="51"/>
        <v>2438780.4005824807</v>
      </c>
      <c r="O135" s="376">
        <f t="shared" si="51"/>
        <v>2457186.2903981972</v>
      </c>
      <c r="P135" s="376">
        <f t="shared" si="51"/>
        <v>2477345.1221011248</v>
      </c>
      <c r="Q135" s="376">
        <f t="shared" si="51"/>
        <v>2499476.0134271658</v>
      </c>
      <c r="R135" s="376">
        <f t="shared" si="51"/>
        <v>2523578.9643763187</v>
      </c>
      <c r="S135" s="376">
        <f t="shared" si="51"/>
        <v>2526208.3772071353</v>
      </c>
      <c r="T135" s="376">
        <f t="shared" si="51"/>
        <v>2571784.8662746246</v>
      </c>
      <c r="U135" s="376">
        <f t="shared" si="51"/>
        <v>2618676.0617575222</v>
      </c>
      <c r="V135" s="376">
        <f t="shared" si="51"/>
        <v>2667539.3168635322</v>
      </c>
      <c r="W135" s="376">
        <f t="shared" si="51"/>
        <v>2717717.2783849509</v>
      </c>
      <c r="X135" s="376">
        <f t="shared" si="51"/>
        <v>2769867.2995294817</v>
      </c>
      <c r="Y135" s="376">
        <f t="shared" si="51"/>
        <v>2823770.2625612239</v>
      </c>
      <c r="Z135" s="376">
        <f t="shared" si="51"/>
        <v>2879645.2852160786</v>
      </c>
      <c r="AA135" s="376">
        <f t="shared" si="51"/>
        <v>2937273.2497581444</v>
      </c>
      <c r="AB135" s="376">
        <f t="shared" si="51"/>
        <v>2997092.3916592244</v>
      </c>
      <c r="AC135" s="376">
        <f t="shared" si="51"/>
        <v>3070935.0686579933</v>
      </c>
      <c r="AD135" s="376">
        <f t="shared" si="51"/>
        <v>3147188.040751677</v>
      </c>
      <c r="AE135" s="376">
        <f t="shared" si="51"/>
        <v>3225413.0724684736</v>
      </c>
      <c r="AF135" s="376">
        <f t="shared" si="51"/>
        <v>3305829.2815442844</v>
      </c>
      <c r="AG135" s="376">
        <f t="shared" si="51"/>
        <v>3388436.6679791082</v>
      </c>
    </row>
    <row r="136" spans="1:34">
      <c r="A136" s="300" t="s">
        <v>330</v>
      </c>
      <c r="B136" s="300" t="s">
        <v>313</v>
      </c>
      <c r="C136" s="376">
        <f t="shared" ref="C136:AG136" si="52">$G$38*C51</f>
        <v>1924045.8522911051</v>
      </c>
      <c r="D136" s="376">
        <f t="shared" si="52"/>
        <v>1948237.8522911051</v>
      </c>
      <c r="E136" s="376">
        <f t="shared" si="52"/>
        <v>1958439.8932262354</v>
      </c>
      <c r="F136" s="376">
        <f t="shared" si="52"/>
        <v>1957665.3175555582</v>
      </c>
      <c r="G136" s="376">
        <f t="shared" si="52"/>
        <v>1940060.6930864372</v>
      </c>
      <c r="H136" s="376">
        <f t="shared" si="52"/>
        <v>1954342.1749761028</v>
      </c>
      <c r="I136" s="376">
        <f t="shared" si="52"/>
        <v>1695510.9668805061</v>
      </c>
      <c r="J136" s="376">
        <f t="shared" si="52"/>
        <v>1653340.8320894081</v>
      </c>
      <c r="K136" s="376">
        <f t="shared" si="52"/>
        <v>1582569.0025221508</v>
      </c>
      <c r="L136" s="376">
        <f t="shared" si="52"/>
        <v>1522886.5650540434</v>
      </c>
      <c r="M136" s="376">
        <f t="shared" si="52"/>
        <v>1475827.6808168688</v>
      </c>
      <c r="N136" s="376">
        <f t="shared" si="52"/>
        <v>1459597.9955900982</v>
      </c>
      <c r="O136" s="376">
        <f t="shared" si="52"/>
        <v>1444377.9845166043</v>
      </c>
      <c r="P136" s="376">
        <f t="shared" si="52"/>
        <v>1424947.6544310811</v>
      </c>
      <c r="Q136" s="376">
        <f t="shared" si="52"/>
        <v>1411662.9186957038</v>
      </c>
      <c r="R136" s="376">
        <f t="shared" si="52"/>
        <v>1405819.7055707476</v>
      </c>
      <c r="S136" s="376">
        <f t="shared" si="52"/>
        <v>1406551.0468560262</v>
      </c>
      <c r="T136" s="376">
        <f t="shared" si="52"/>
        <v>1413759.2827279766</v>
      </c>
      <c r="U136" s="376">
        <f t="shared" si="52"/>
        <v>1416297.1341213312</v>
      </c>
      <c r="V136" s="376">
        <f t="shared" si="52"/>
        <v>1419826.9552160951</v>
      </c>
      <c r="W136" s="376">
        <f t="shared" si="52"/>
        <v>1424518.2623418255</v>
      </c>
      <c r="X136" s="376">
        <f t="shared" si="52"/>
        <v>1430332.2186785322</v>
      </c>
      <c r="Y136" s="376">
        <f t="shared" si="52"/>
        <v>1437222.1039634922</v>
      </c>
      <c r="Z136" s="376">
        <f t="shared" si="52"/>
        <v>1445371.1875226684</v>
      </c>
      <c r="AA136" s="376">
        <f t="shared" si="52"/>
        <v>1454981.6568924543</v>
      </c>
      <c r="AB136" s="376">
        <f t="shared" si="52"/>
        <v>1465895.5919342453</v>
      </c>
      <c r="AC136" s="376">
        <f t="shared" si="52"/>
        <v>1505066.2416866361</v>
      </c>
      <c r="AD136" s="376">
        <f t="shared" si="52"/>
        <v>1553135.8438024037</v>
      </c>
      <c r="AE136" s="376">
        <f t="shared" si="52"/>
        <v>1602967.3060986183</v>
      </c>
      <c r="AF136" s="376">
        <f t="shared" si="52"/>
        <v>1655219.2501158612</v>
      </c>
      <c r="AG136" s="376">
        <f t="shared" si="52"/>
        <v>1710184.411489269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1306242.4178428545</v>
      </c>
      <c r="D137" s="376">
        <f t="shared" si="53"/>
        <v>1323456.4373967831</v>
      </c>
      <c r="E137" s="376">
        <f t="shared" si="53"/>
        <v>1342234.9096618635</v>
      </c>
      <c r="F137" s="376">
        <f t="shared" si="53"/>
        <v>1362618.5154483169</v>
      </c>
      <c r="G137" s="376">
        <f t="shared" si="53"/>
        <v>1384650.1102312291</v>
      </c>
      <c r="H137" s="376">
        <f t="shared" si="53"/>
        <v>1408374.7974513329</v>
      </c>
      <c r="I137" s="376">
        <f t="shared" si="53"/>
        <v>1436214.6038791558</v>
      </c>
      <c r="J137" s="376">
        <f t="shared" si="53"/>
        <v>1465737.9062734963</v>
      </c>
      <c r="K137" s="376">
        <f t="shared" si="53"/>
        <v>1497000.6463988267</v>
      </c>
      <c r="L137" s="376">
        <f t="shared" si="53"/>
        <v>1530061.2316516826</v>
      </c>
      <c r="M137" s="376">
        <f t="shared" si="53"/>
        <v>1564980.6291267145</v>
      </c>
      <c r="N137" s="376">
        <f t="shared" si="53"/>
        <v>1601822.4635365685</v>
      </c>
      <c r="O137" s="376">
        <f t="shared" si="53"/>
        <v>1640653.1191379211</v>
      </c>
      <c r="P137" s="376">
        <f t="shared" si="53"/>
        <v>1681541.8458221301</v>
      </c>
      <c r="Q137" s="376">
        <f t="shared" si="53"/>
        <v>1724560.8695353332</v>
      </c>
      <c r="R137" s="376">
        <f t="shared" si="53"/>
        <v>1769785.5071994585</v>
      </c>
      <c r="S137" s="376">
        <f t="shared" si="53"/>
        <v>1821174.7265083177</v>
      </c>
      <c r="T137" s="376">
        <f t="shared" si="53"/>
        <v>1874813.5365993229</v>
      </c>
      <c r="U137" s="376">
        <f t="shared" si="53"/>
        <v>1930789.9808836619</v>
      </c>
      <c r="V137" s="376">
        <f t="shared" si="53"/>
        <v>1989195.6439111705</v>
      </c>
      <c r="W137" s="376">
        <f t="shared" si="53"/>
        <v>2050125.7928218574</v>
      </c>
      <c r="X137" s="376">
        <f t="shared" si="53"/>
        <v>2113679.52445743</v>
      </c>
      <c r="Y137" s="376">
        <f t="shared" si="53"/>
        <v>2179959.9183591986</v>
      </c>
      <c r="Z137" s="376">
        <f t="shared" si="53"/>
        <v>2249074.1958878026</v>
      </c>
      <c r="AA137" s="376">
        <f t="shared" si="53"/>
        <v>2321133.8857096089</v>
      </c>
      <c r="AB137" s="376">
        <f t="shared" si="53"/>
        <v>2396254.9959044242</v>
      </c>
      <c r="AC137" s="376">
        <f t="shared" si="53"/>
        <v>2481576.9940718617</v>
      </c>
      <c r="AD137" s="376">
        <f t="shared" si="53"/>
        <v>2570206.5901493086</v>
      </c>
      <c r="AE137" s="376">
        <f t="shared" si="53"/>
        <v>2662275.0352329994</v>
      </c>
      <c r="AF137" s="376">
        <f t="shared" si="53"/>
        <v>2757918.8199348152</v>
      </c>
      <c r="AG137" s="376">
        <f t="shared" si="53"/>
        <v>2857279.8838576283</v>
      </c>
    </row>
    <row r="138" spans="1:34">
      <c r="A138" s="368" t="s">
        <v>318</v>
      </c>
      <c r="B138" s="300" t="s">
        <v>313</v>
      </c>
      <c r="C138" s="376">
        <f>'Changing with year'!C302</f>
        <v>660000</v>
      </c>
      <c r="D138" s="376">
        <f>'Changing with year'!D302</f>
        <v>690000</v>
      </c>
      <c r="E138" s="376">
        <f>'Changing with year'!E302</f>
        <v>721000</v>
      </c>
      <c r="F138" s="376">
        <f>'Changing with year'!F302</f>
        <v>753000</v>
      </c>
      <c r="G138" s="376">
        <f>'Changing with year'!G302</f>
        <v>787000</v>
      </c>
      <c r="H138" s="376">
        <f>'Changing with year'!H302</f>
        <v>822000</v>
      </c>
      <c r="I138" s="376">
        <f>'Changing with year'!I302</f>
        <v>859000</v>
      </c>
      <c r="J138" s="376">
        <f>'Changing with year'!J302</f>
        <v>898000</v>
      </c>
      <c r="K138" s="376">
        <f>'Changing with year'!K302</f>
        <v>938000</v>
      </c>
      <c r="L138" s="376">
        <f>'Changing with year'!L302</f>
        <v>980000</v>
      </c>
      <c r="M138" s="376">
        <f>'Changing with year'!M302</f>
        <v>1024000</v>
      </c>
      <c r="N138" s="376">
        <f>'Changing with year'!N302</f>
        <v>1070000</v>
      </c>
      <c r="O138" s="376">
        <f>'Changing with year'!O302</f>
        <v>1118000</v>
      </c>
      <c r="P138" s="376">
        <f>'Changing with year'!P302</f>
        <v>1168000</v>
      </c>
      <c r="Q138" s="376">
        <f>'Changing with year'!Q302</f>
        <v>1221000</v>
      </c>
      <c r="R138" s="376">
        <f>'Changing with year'!R302</f>
        <v>1276000</v>
      </c>
      <c r="S138" s="376">
        <f>'Changing with year'!S302</f>
        <v>1333000</v>
      </c>
      <c r="T138" s="376">
        <f>'Changing with year'!T302</f>
        <v>1393000</v>
      </c>
      <c r="U138" s="376">
        <f>'Changing with year'!U302</f>
        <v>1456000</v>
      </c>
      <c r="V138" s="376">
        <f>'Changing with year'!V302</f>
        <v>1522000</v>
      </c>
      <c r="W138" s="376">
        <f>'Changing with year'!W302</f>
        <v>1590000</v>
      </c>
      <c r="X138" s="376">
        <f>'Changing with year'!X302</f>
        <v>1662000</v>
      </c>
      <c r="Y138" s="376">
        <f>'Changing with year'!Y302</f>
        <v>1737000</v>
      </c>
      <c r="Z138" s="376">
        <f>'Changing with year'!Z302</f>
        <v>1815000</v>
      </c>
      <c r="AA138" s="376">
        <f>'Changing with year'!AA302</f>
        <v>1897000</v>
      </c>
      <c r="AB138" s="376">
        <f>'Changing with year'!AB302</f>
        <v>1982000</v>
      </c>
      <c r="AC138" s="376">
        <f>'Changing with year'!AC302</f>
        <v>2071000</v>
      </c>
      <c r="AD138" s="376">
        <f>'Changing with year'!AD302</f>
        <v>2164000</v>
      </c>
      <c r="AE138" s="376">
        <f>'Changing with year'!AE302</f>
        <v>2261000</v>
      </c>
      <c r="AF138" s="376">
        <f>'Changing with year'!AF302</f>
        <v>2363000</v>
      </c>
      <c r="AG138" s="376">
        <f>'Changing with year'!AG302</f>
        <v>2469000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C61</f>
        <v>1036800</v>
      </c>
      <c r="D139" s="376">
        <f t="shared" si="54"/>
        <v>1047168</v>
      </c>
      <c r="E139" s="376">
        <f t="shared" si="54"/>
        <v>1057639.68</v>
      </c>
      <c r="F139" s="376">
        <f t="shared" si="54"/>
        <v>1068216.0767999999</v>
      </c>
      <c r="G139" s="376">
        <f t="shared" si="54"/>
        <v>1078898.2375679999</v>
      </c>
      <c r="H139" s="376">
        <f t="shared" si="54"/>
        <v>1089687.2199436799</v>
      </c>
      <c r="I139" s="376">
        <f t="shared" si="54"/>
        <v>1100584.0921431168</v>
      </c>
      <c r="J139" s="376">
        <f t="shared" si="54"/>
        <v>1111589.9330645478</v>
      </c>
      <c r="K139" s="376">
        <f t="shared" si="54"/>
        <v>1122705.8323951936</v>
      </c>
      <c r="L139" s="376">
        <f t="shared" si="54"/>
        <v>1133932.8907191455</v>
      </c>
      <c r="M139" s="376">
        <f t="shared" si="54"/>
        <v>1145272.2196263371</v>
      </c>
      <c r="N139" s="376">
        <f t="shared" si="54"/>
        <v>1156724.9418226003</v>
      </c>
      <c r="O139" s="376">
        <f t="shared" si="54"/>
        <v>1168292.1912408266</v>
      </c>
      <c r="P139" s="376">
        <f t="shared" si="54"/>
        <v>1179975.1131532348</v>
      </c>
      <c r="Q139" s="376">
        <f t="shared" si="54"/>
        <v>1191774.8642847673</v>
      </c>
      <c r="R139" s="376">
        <f t="shared" si="54"/>
        <v>1203692.6129276149</v>
      </c>
      <c r="S139" s="376">
        <f t="shared" si="54"/>
        <v>1215729.5390568911</v>
      </c>
      <c r="T139" s="376">
        <f t="shared" si="54"/>
        <v>1227886.8344474602</v>
      </c>
      <c r="U139" s="376">
        <f t="shared" si="54"/>
        <v>1240165.7027919348</v>
      </c>
      <c r="V139" s="376">
        <f t="shared" si="54"/>
        <v>1252567.3598198541</v>
      </c>
      <c r="W139" s="376">
        <f t="shared" si="54"/>
        <v>1265093.0334180526</v>
      </c>
      <c r="X139" s="376">
        <f t="shared" si="54"/>
        <v>1277743.9637522332</v>
      </c>
      <c r="Y139" s="376">
        <f t="shared" si="54"/>
        <v>1290521.4033897556</v>
      </c>
      <c r="Z139" s="376">
        <f t="shared" si="54"/>
        <v>1303426.6174236531</v>
      </c>
      <c r="AA139" s="376">
        <f t="shared" si="54"/>
        <v>1316460.8835978897</v>
      </c>
      <c r="AB139" s="376">
        <f t="shared" si="54"/>
        <v>1329625.4924338686</v>
      </c>
      <c r="AC139" s="376">
        <f t="shared" si="54"/>
        <v>1342921.7473582074</v>
      </c>
      <c r="AD139" s="376">
        <f t="shared" si="54"/>
        <v>1356350.9648317895</v>
      </c>
      <c r="AE139" s="376">
        <f t="shared" si="54"/>
        <v>1369914.4744801074</v>
      </c>
      <c r="AF139" s="376">
        <f t="shared" si="54"/>
        <v>1383613.6192249085</v>
      </c>
      <c r="AG139" s="376">
        <f t="shared" si="54"/>
        <v>1397449.7554171574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233960</v>
      </c>
      <c r="D140" s="386">
        <f t="shared" si="55"/>
        <v>232880</v>
      </c>
      <c r="E140" s="386">
        <f t="shared" si="55"/>
        <v>231980</v>
      </c>
      <c r="F140" s="386">
        <f t="shared" si="55"/>
        <v>226440</v>
      </c>
      <c r="G140" s="386">
        <f t="shared" si="55"/>
        <v>221320</v>
      </c>
      <c r="H140" s="386">
        <f t="shared" si="55"/>
        <v>220580</v>
      </c>
      <c r="I140" s="386">
        <f t="shared" si="55"/>
        <v>216600</v>
      </c>
      <c r="J140" s="386">
        <f t="shared" si="55"/>
        <v>217480</v>
      </c>
      <c r="K140" s="386">
        <f t="shared" si="55"/>
        <v>218520</v>
      </c>
      <c r="L140" s="386">
        <f t="shared" si="55"/>
        <v>219720</v>
      </c>
      <c r="M140" s="386">
        <f t="shared" si="55"/>
        <v>221080</v>
      </c>
      <c r="N140" s="386">
        <f t="shared" si="55"/>
        <v>222600</v>
      </c>
      <c r="O140" s="386">
        <f t="shared" si="55"/>
        <v>224280</v>
      </c>
      <c r="P140" s="386">
        <f t="shared" si="55"/>
        <v>226120</v>
      </c>
      <c r="Q140" s="386">
        <f t="shared" si="55"/>
        <v>228140</v>
      </c>
      <c r="R140" s="386">
        <f t="shared" si="55"/>
        <v>230340</v>
      </c>
      <c r="S140" s="386">
        <f t="shared" si="55"/>
        <v>230580</v>
      </c>
      <c r="T140" s="386">
        <f t="shared" si="55"/>
        <v>234740</v>
      </c>
      <c r="U140" s="386">
        <f t="shared" si="55"/>
        <v>239020</v>
      </c>
      <c r="V140" s="386">
        <f t="shared" si="55"/>
        <v>243480</v>
      </c>
      <c r="W140" s="386">
        <f t="shared" si="55"/>
        <v>248060</v>
      </c>
      <c r="X140" s="386">
        <f t="shared" si="55"/>
        <v>252820</v>
      </c>
      <c r="Y140" s="386">
        <f t="shared" si="55"/>
        <v>257740</v>
      </c>
      <c r="Z140" s="386">
        <f t="shared" si="55"/>
        <v>262840</v>
      </c>
      <c r="AA140" s="386">
        <f t="shared" si="55"/>
        <v>268100</v>
      </c>
      <c r="AB140" s="386">
        <f t="shared" si="55"/>
        <v>273560</v>
      </c>
      <c r="AC140" s="386">
        <f t="shared" si="55"/>
        <v>280300</v>
      </c>
      <c r="AD140" s="386">
        <f t="shared" si="55"/>
        <v>287260</v>
      </c>
      <c r="AE140" s="386">
        <f t="shared" si="55"/>
        <v>294400</v>
      </c>
      <c r="AF140" s="386">
        <f t="shared" si="55"/>
        <v>301740</v>
      </c>
      <c r="AG140" s="386">
        <f t="shared" si="55"/>
        <v>309280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22.250340925125609</v>
      </c>
      <c r="D142" s="379">
        <f t="shared" si="56"/>
        <v>22.147629486421835</v>
      </c>
      <c r="E142" s="379">
        <f t="shared" si="56"/>
        <v>22.062036620835357</v>
      </c>
      <c r="F142" s="379">
        <f t="shared" si="56"/>
        <v>21.535164981558573</v>
      </c>
      <c r="G142" s="379">
        <f t="shared" si="56"/>
        <v>21.048236679555483</v>
      </c>
      <c r="H142" s="379">
        <f t="shared" si="56"/>
        <v>20.977860323406595</v>
      </c>
      <c r="I142" s="379">
        <f t="shared" si="56"/>
        <v>20.59934965114638</v>
      </c>
      <c r="J142" s="379">
        <f t="shared" si="56"/>
        <v>20.683040453053167</v>
      </c>
      <c r="K142" s="379">
        <f t="shared" si="56"/>
        <v>20.78194776439754</v>
      </c>
      <c r="L142" s="379">
        <f t="shared" si="56"/>
        <v>20.896071585179516</v>
      </c>
      <c r="M142" s="379">
        <f t="shared" si="56"/>
        <v>21.025411915399086</v>
      </c>
      <c r="N142" s="379">
        <f t="shared" si="56"/>
        <v>21.169968755056257</v>
      </c>
      <c r="O142" s="379">
        <f t="shared" si="56"/>
        <v>21.329742104151016</v>
      </c>
      <c r="P142" s="379">
        <f t="shared" si="56"/>
        <v>21.504731962683376</v>
      </c>
      <c r="Q142" s="379">
        <f t="shared" si="56"/>
        <v>21.696840394333037</v>
      </c>
      <c r="R142" s="379">
        <f t="shared" si="56"/>
        <v>21.906067399099989</v>
      </c>
      <c r="S142" s="379">
        <f t="shared" si="56"/>
        <v>21.928892163256382</v>
      </c>
      <c r="T142" s="379">
        <f t="shared" si="56"/>
        <v>22.324521408633895</v>
      </c>
      <c r="U142" s="379">
        <f t="shared" si="56"/>
        <v>22.731563036089604</v>
      </c>
      <c r="V142" s="379">
        <f t="shared" si="56"/>
        <v>23.155723236662606</v>
      </c>
      <c r="W142" s="379">
        <f t="shared" si="56"/>
        <v>23.59129581931381</v>
      </c>
      <c r="X142" s="379">
        <f t="shared" si="56"/>
        <v>24.043986975082305</v>
      </c>
      <c r="Y142" s="379">
        <f t="shared" si="56"/>
        <v>24.511894640288403</v>
      </c>
      <c r="Z142" s="379">
        <f t="shared" si="56"/>
        <v>24.996920878611792</v>
      </c>
      <c r="AA142" s="379">
        <f t="shared" si="56"/>
        <v>25.497163626372782</v>
      </c>
      <c r="AB142" s="379">
        <f t="shared" si="56"/>
        <v>26.016427010930766</v>
      </c>
      <c r="AC142" s="379">
        <f t="shared" si="56"/>
        <v>26.657422470989527</v>
      </c>
      <c r="AD142" s="379">
        <f t="shared" si="56"/>
        <v>27.319340631524973</v>
      </c>
      <c r="AE142" s="379">
        <f t="shared" si="56"/>
        <v>27.998377365177721</v>
      </c>
      <c r="AF142" s="379">
        <f t="shared" si="56"/>
        <v>28.69643473562747</v>
      </c>
      <c r="AG142" s="379">
        <f t="shared" si="56"/>
        <v>29.413512742874204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16.701786912249176</v>
      </c>
      <c r="D143" s="379">
        <f t="shared" si="57"/>
        <v>16.911786912249177</v>
      </c>
      <c r="E143" s="379">
        <f t="shared" si="57"/>
        <v>17.000346295366626</v>
      </c>
      <c r="F143" s="379">
        <f t="shared" si="57"/>
        <v>16.993622548225332</v>
      </c>
      <c r="G143" s="379">
        <f t="shared" si="57"/>
        <v>16.840804627486435</v>
      </c>
      <c r="H143" s="379">
        <f t="shared" si="57"/>
        <v>16.964775824445336</v>
      </c>
      <c r="I143" s="379">
        <f t="shared" si="57"/>
        <v>14.717977143059949</v>
      </c>
      <c r="J143" s="379">
        <f t="shared" si="57"/>
        <v>14.351916945220555</v>
      </c>
      <c r="K143" s="379">
        <f t="shared" si="57"/>
        <v>13.73757814689367</v>
      </c>
      <c r="L143" s="379">
        <f t="shared" si="57"/>
        <v>13.219501432760794</v>
      </c>
      <c r="M143" s="379">
        <f t="shared" si="57"/>
        <v>12.811004173757542</v>
      </c>
      <c r="N143" s="379">
        <f t="shared" si="57"/>
        <v>12.670121489497379</v>
      </c>
      <c r="O143" s="379">
        <f t="shared" si="57"/>
        <v>12.538003337817745</v>
      </c>
      <c r="P143" s="379">
        <f t="shared" si="57"/>
        <v>12.369337278047579</v>
      </c>
      <c r="Q143" s="379">
        <f t="shared" si="57"/>
        <v>12.254018391455762</v>
      </c>
      <c r="R143" s="379">
        <f t="shared" si="57"/>
        <v>12.203296055301628</v>
      </c>
      <c r="S143" s="379">
        <f t="shared" si="57"/>
        <v>12.209644503958561</v>
      </c>
      <c r="T143" s="379">
        <f t="shared" si="57"/>
        <v>12.272215995902574</v>
      </c>
      <c r="U143" s="379">
        <f t="shared" si="57"/>
        <v>12.294245955914333</v>
      </c>
      <c r="V143" s="379">
        <f t="shared" si="57"/>
        <v>12.324886764028603</v>
      </c>
      <c r="W143" s="379">
        <f t="shared" si="57"/>
        <v>12.365609916161679</v>
      </c>
      <c r="X143" s="379">
        <f t="shared" si="57"/>
        <v>12.416078287140037</v>
      </c>
      <c r="Y143" s="379">
        <f t="shared" si="57"/>
        <v>12.475886319127536</v>
      </c>
      <c r="Z143" s="379">
        <f t="shared" si="57"/>
        <v>12.546624891689829</v>
      </c>
      <c r="AA143" s="379">
        <f t="shared" si="57"/>
        <v>12.630049104969221</v>
      </c>
      <c r="AB143" s="379">
        <f t="shared" si="57"/>
        <v>12.724788124429212</v>
      </c>
      <c r="AC143" s="379">
        <f t="shared" si="57"/>
        <v>13.064811125752049</v>
      </c>
      <c r="AD143" s="379">
        <f t="shared" si="57"/>
        <v>13.48208197745142</v>
      </c>
      <c r="AE143" s="379">
        <f t="shared" si="57"/>
        <v>13.914646754328285</v>
      </c>
      <c r="AF143" s="379">
        <f t="shared" si="57"/>
        <v>14.368222657255739</v>
      </c>
      <c r="AG143" s="379">
        <f t="shared" si="57"/>
        <v>14.845350794177682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28.098979321552559</v>
      </c>
      <c r="D144" s="379">
        <f t="shared" si="58"/>
        <v>28.589448241291521</v>
      </c>
      <c r="E144" s="379">
        <f t="shared" si="58"/>
        <v>29.104640535259232</v>
      </c>
      <c r="F144" s="379">
        <f t="shared" si="58"/>
        <v>29.603078057711084</v>
      </c>
      <c r="G144" s="379">
        <f t="shared" si="58"/>
        <v>30.137746074646085</v>
      </c>
      <c r="H144" s="379">
        <f t="shared" si="58"/>
        <v>30.734739734331711</v>
      </c>
      <c r="I144" s="379">
        <f t="shared" si="58"/>
        <v>31.357627569637778</v>
      </c>
      <c r="J144" s="379">
        <f t="shared" si="58"/>
        <v>32.055623605364964</v>
      </c>
      <c r="K144" s="379">
        <f t="shared" si="58"/>
        <v>32.779743739531426</v>
      </c>
      <c r="L144" s="379">
        <f t="shared" si="58"/>
        <v>33.539185090024546</v>
      </c>
      <c r="M144" s="379">
        <f t="shared" si="58"/>
        <v>34.334486534314685</v>
      </c>
      <c r="N144" s="379">
        <f t="shared" si="58"/>
        <v>35.166210115965008</v>
      </c>
      <c r="O144" s="379">
        <f t="shared" si="58"/>
        <v>36.034941930371076</v>
      </c>
      <c r="P144" s="379">
        <f t="shared" si="58"/>
        <v>36.941293046661158</v>
      </c>
      <c r="Q144" s="379">
        <f t="shared" si="58"/>
        <v>37.894754633855044</v>
      </c>
      <c r="R144" s="379">
        <f t="shared" si="58"/>
        <v>38.887310070547514</v>
      </c>
      <c r="S144" s="379">
        <f t="shared" si="58"/>
        <v>39.934759249697997</v>
      </c>
      <c r="T144" s="379">
        <f t="shared" si="58"/>
        <v>41.062850443114442</v>
      </c>
      <c r="U144" s="379">
        <f t="shared" si="58"/>
        <v>42.23937225412844</v>
      </c>
      <c r="V144" s="379">
        <f t="shared" si="58"/>
        <v>43.465651074054037</v>
      </c>
      <c r="W144" s="379">
        <f t="shared" si="58"/>
        <v>44.733323144443666</v>
      </c>
      <c r="X144" s="379">
        <f t="shared" si="58"/>
        <v>46.061141390708883</v>
      </c>
      <c r="Y144" s="379">
        <f t="shared" si="58"/>
        <v>47.441157306848559</v>
      </c>
      <c r="Z144" s="379">
        <f t="shared" si="58"/>
        <v>48.874486226661944</v>
      </c>
      <c r="AA144" s="379">
        <f t="shared" si="58"/>
        <v>50.370614316905375</v>
      </c>
      <c r="AB144" s="379">
        <f t="shared" si="58"/>
        <v>51.922226461269901</v>
      </c>
      <c r="AC144" s="379">
        <f t="shared" si="58"/>
        <v>53.609364074913799</v>
      </c>
      <c r="AD144" s="379">
        <f t="shared" si="58"/>
        <v>55.362999609210917</v>
      </c>
      <c r="AE144" s="379">
        <f t="shared" si="58"/>
        <v>57.183936716259609</v>
      </c>
      <c r="AF144" s="379">
        <f t="shared" si="58"/>
        <v>59.082226034372603</v>
      </c>
      <c r="AG144" s="379">
        <f t="shared" si="58"/>
        <v>61.05043089648251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2.1759672619047623</v>
      </c>
      <c r="D145" s="379">
        <f t="shared" si="59"/>
        <v>2.1659226190476195</v>
      </c>
      <c r="E145" s="379">
        <f t="shared" si="59"/>
        <v>2.1575520833333335</v>
      </c>
      <c r="F145" s="379">
        <f t="shared" si="59"/>
        <v>2.106026785714286</v>
      </c>
      <c r="G145" s="379">
        <f t="shared" si="59"/>
        <v>2.0584077380952386</v>
      </c>
      <c r="H145" s="379">
        <f t="shared" si="59"/>
        <v>2.0515252976190479</v>
      </c>
      <c r="I145" s="379">
        <f t="shared" si="59"/>
        <v>2.0145089285714288</v>
      </c>
      <c r="J145" s="379">
        <f t="shared" si="59"/>
        <v>2.0226934523809526</v>
      </c>
      <c r="K145" s="379">
        <f t="shared" si="59"/>
        <v>2.0323660714285716</v>
      </c>
      <c r="L145" s="379">
        <f t="shared" si="59"/>
        <v>2.043526785714286</v>
      </c>
      <c r="M145" s="379">
        <f t="shared" si="59"/>
        <v>2.0561755952380953</v>
      </c>
      <c r="N145" s="379">
        <f t="shared" si="59"/>
        <v>3.4505208333333335</v>
      </c>
      <c r="O145" s="379">
        <f t="shared" si="59"/>
        <v>3.4765625</v>
      </c>
      <c r="P145" s="379">
        <f t="shared" si="59"/>
        <v>3.5050843253968256</v>
      </c>
      <c r="Q145" s="379">
        <f t="shared" si="59"/>
        <v>3.5363963293650795</v>
      </c>
      <c r="R145" s="379">
        <f t="shared" si="59"/>
        <v>3.5704985119047619</v>
      </c>
      <c r="S145" s="379">
        <f t="shared" si="59"/>
        <v>3.57421875</v>
      </c>
      <c r="T145" s="379">
        <f t="shared" si="59"/>
        <v>3.638702876984127</v>
      </c>
      <c r="U145" s="379">
        <f t="shared" si="59"/>
        <v>3.705047123015873</v>
      </c>
      <c r="V145" s="379">
        <f t="shared" si="59"/>
        <v>3.7741815476190474</v>
      </c>
      <c r="W145" s="379">
        <f t="shared" si="59"/>
        <v>3.8451760912698414</v>
      </c>
      <c r="X145" s="379">
        <f t="shared" si="59"/>
        <v>5.4865451388888893</v>
      </c>
      <c r="Y145" s="379">
        <f t="shared" si="59"/>
        <v>5.5933159722222223</v>
      </c>
      <c r="Z145" s="379">
        <f t="shared" si="59"/>
        <v>5.7039930555555554</v>
      </c>
      <c r="AA145" s="379">
        <f t="shared" si="59"/>
        <v>5.8181423611111107</v>
      </c>
      <c r="AB145" s="379">
        <f t="shared" si="59"/>
        <v>5.9366319444444446</v>
      </c>
      <c r="AC145" s="379">
        <f t="shared" si="59"/>
        <v>6.0828993055555554</v>
      </c>
      <c r="AD145" s="379">
        <f t="shared" si="59"/>
        <v>6.2339409722222223</v>
      </c>
      <c r="AE145" s="379">
        <f t="shared" si="59"/>
        <v>6.3888888888888893</v>
      </c>
      <c r="AF145" s="379">
        <f t="shared" si="59"/>
        <v>6.548177083333333</v>
      </c>
      <c r="AG145" s="379">
        <f t="shared" si="59"/>
        <v>6.7118055555555554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64.875139897022592</v>
      </c>
      <c r="D146" s="381">
        <f t="shared" ref="D146:AG146" si="60">SUM(D142:D144)-D145</f>
        <v>65.482942020914919</v>
      </c>
      <c r="E146" s="381">
        <f t="shared" si="60"/>
        <v>66.00947136812789</v>
      </c>
      <c r="F146" s="381">
        <f t="shared" si="60"/>
        <v>66.025838801780694</v>
      </c>
      <c r="G146" s="381">
        <f t="shared" si="60"/>
        <v>65.968379643592769</v>
      </c>
      <c r="H146" s="381">
        <f t="shared" si="60"/>
        <v>66.625850584564589</v>
      </c>
      <c r="I146" s="381">
        <f t="shared" si="60"/>
        <v>64.660445435272678</v>
      </c>
      <c r="J146" s="381">
        <f t="shared" si="60"/>
        <v>65.067887551257726</v>
      </c>
      <c r="K146" s="381">
        <f t="shared" si="60"/>
        <v>65.266903579394068</v>
      </c>
      <c r="L146" s="381">
        <f t="shared" si="60"/>
        <v>65.611231322250561</v>
      </c>
      <c r="M146" s="381">
        <f t="shared" si="60"/>
        <v>66.114727028233204</v>
      </c>
      <c r="N146" s="381">
        <f t="shared" si="60"/>
        <v>65.555779527185322</v>
      </c>
      <c r="O146" s="381">
        <f t="shared" si="60"/>
        <v>66.426124872339841</v>
      </c>
      <c r="P146" s="381">
        <f t="shared" si="60"/>
        <v>67.310277961995283</v>
      </c>
      <c r="Q146" s="381">
        <f t="shared" si="60"/>
        <v>68.309217090278764</v>
      </c>
      <c r="R146" s="381">
        <f t="shared" si="60"/>
        <v>69.426175013044372</v>
      </c>
      <c r="S146" s="381">
        <f t="shared" si="60"/>
        <v>70.49907716691294</v>
      </c>
      <c r="T146" s="381">
        <f t="shared" si="60"/>
        <v>72.020884970666785</v>
      </c>
      <c r="U146" s="381">
        <f t="shared" si="60"/>
        <v>73.560134123116512</v>
      </c>
      <c r="V146" s="381">
        <f t="shared" si="60"/>
        <v>75.172079527126201</v>
      </c>
      <c r="W146" s="381">
        <f t="shared" si="60"/>
        <v>76.845052788649312</v>
      </c>
      <c r="X146" s="381">
        <f t="shared" si="60"/>
        <v>77.034661514042341</v>
      </c>
      <c r="Y146" s="381">
        <f t="shared" si="60"/>
        <v>78.835622294042281</v>
      </c>
      <c r="Z146" s="381">
        <f t="shared" si="60"/>
        <v>80.714038941408006</v>
      </c>
      <c r="AA146" s="381">
        <f t="shared" si="60"/>
        <v>82.679684687136259</v>
      </c>
      <c r="AB146" s="381">
        <f t="shared" si="60"/>
        <v>84.726809652185437</v>
      </c>
      <c r="AC146" s="381">
        <f t="shared" si="60"/>
        <v>87.248698366099816</v>
      </c>
      <c r="AD146" s="381">
        <f t="shared" si="60"/>
        <v>89.930481245965083</v>
      </c>
      <c r="AE146" s="381">
        <f t="shared" si="60"/>
        <v>92.708071946876728</v>
      </c>
      <c r="AF146" s="381">
        <f t="shared" si="60"/>
        <v>95.598706343922473</v>
      </c>
      <c r="AG146" s="381">
        <f t="shared" si="60"/>
        <v>98.597488877978847</v>
      </c>
    </row>
    <row r="147" spans="1:34" s="344" customFormat="1">
      <c r="A147" s="342" t="s">
        <v>331</v>
      </c>
      <c r="B147" s="342"/>
      <c r="H147" s="385">
        <f>H149/H63</f>
        <v>2.4287863762267894</v>
      </c>
      <c r="AB147" s="385">
        <f>AB149/AB63</f>
        <v>1.4579586118105914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year'!C146)/1000,0)*1000</f>
        <v>15066000</v>
      </c>
      <c r="D149" s="376">
        <f>ROUND(('Changing with year'!D146)/1000,0)*1000</f>
        <v>14820000</v>
      </c>
      <c r="E149" s="376">
        <f>ROUND(('Changing with year'!E146)/1000,0)*1000</f>
        <v>14591000</v>
      </c>
      <c r="F149" s="376">
        <f>ROUND(('Changing with year'!F146)/1000,0)*1000</f>
        <v>14379000</v>
      </c>
      <c r="G149" s="376">
        <f>ROUND(('Changing with year'!G146)/1000,0)*1000</f>
        <v>14184000</v>
      </c>
      <c r="H149" s="376">
        <f>ROUND(('Changing with year'!H146)/1000,0)*1000</f>
        <v>14205000</v>
      </c>
      <c r="I149" s="376">
        <f>ROUND(('Changing with year'!I146)/1000,0)*1000</f>
        <v>14108000</v>
      </c>
      <c r="J149" s="376">
        <f>ROUND(('Changing with year'!J146)/1000,0)*1000</f>
        <v>14029000</v>
      </c>
      <c r="K149" s="376">
        <f>ROUND(('Changing with year'!K146)/1000,0)*1000</f>
        <v>13963000</v>
      </c>
      <c r="L149" s="376">
        <f>ROUND(('Changing with year'!L146)/1000,0)*1000</f>
        <v>13909000</v>
      </c>
      <c r="M149" s="376">
        <f>ROUND(('Changing with year'!M146)/1000,0)*1000</f>
        <v>13867000</v>
      </c>
      <c r="N149" s="376">
        <f>ROUND(('Changing with year'!N146)/1000,0)*1000</f>
        <v>13838000</v>
      </c>
      <c r="O149" s="376">
        <f>ROUND(('Changing with year'!O146)/1000,0)*1000</f>
        <v>13820000</v>
      </c>
      <c r="P149" s="376">
        <f>ROUND(('Changing with year'!P146)/1000,0)*1000</f>
        <v>13815000</v>
      </c>
      <c r="Q149" s="376">
        <f>ROUND(('Changing with year'!Q146)/1000,0)*1000</f>
        <v>13821000</v>
      </c>
      <c r="R149" s="376">
        <f>ROUND(('Changing with year'!R146)/1000,0)*1000</f>
        <v>13840000</v>
      </c>
      <c r="S149" s="376">
        <f>ROUND(('Changing with year'!S146)/1000,0)*1000</f>
        <v>13771000</v>
      </c>
      <c r="T149" s="376">
        <f>ROUND(('Changing with year'!T146)/1000,0)*1000</f>
        <v>13939000</v>
      </c>
      <c r="U149" s="376">
        <f>ROUND(('Changing with year'!U146)/1000,0)*1000</f>
        <v>14115000</v>
      </c>
      <c r="V149" s="376">
        <f>ROUND(('Changing with year'!V146)/1000,0)*1000</f>
        <v>14300000</v>
      </c>
      <c r="W149" s="376">
        <f>ROUND(('Changing with year'!W146)/1000,0)*1000</f>
        <v>14494000</v>
      </c>
      <c r="X149" s="376">
        <f>ROUND(('Changing with year'!X146)/1000,0)*1000</f>
        <v>14483000</v>
      </c>
      <c r="Y149" s="376">
        <f>ROUND(('Changing with year'!Y146)/1000,0)*1000</f>
        <v>14698000</v>
      </c>
      <c r="Z149" s="376">
        <f>ROUND(('Changing with year'!Z146)/1000,0)*1000</f>
        <v>14922000</v>
      </c>
      <c r="AA149" s="376">
        <f>ROUND(('Changing with year'!AA146)/1000,0)*1000</f>
        <v>15156000</v>
      </c>
      <c r="AB149" s="376">
        <f>ROUND(('Changing with year'!AB146)/1000,0)*1000</f>
        <v>15401000</v>
      </c>
      <c r="AC149" s="376">
        <f>ROUND(('Changing with year'!AC146)/1000,0)*1000</f>
        <v>15547000</v>
      </c>
      <c r="AD149" s="376">
        <f>ROUND(('Changing with year'!AD146)/1000,0)*1000</f>
        <v>15909000</v>
      </c>
      <c r="AE149" s="376">
        <f>ROUND(('Changing with year'!AE146)/1000,0)*1000</f>
        <v>16282000</v>
      </c>
      <c r="AF149" s="376">
        <f>ROUND(('Changing with year'!AF146)/1000,0)*1000</f>
        <v>16664000</v>
      </c>
      <c r="AG149" s="376">
        <f>ROUND(('Changing with year'!AG146)/1000,0)*1000</f>
        <v>17058000</v>
      </c>
    </row>
    <row r="150" spans="1:34">
      <c r="A150" s="368" t="s">
        <v>310</v>
      </c>
      <c r="B150" s="300" t="s">
        <v>309</v>
      </c>
      <c r="C150" s="376">
        <f>(C149*'No change with year'!$AN$13)</f>
        <v>753299.99999999988</v>
      </c>
      <c r="D150" s="376">
        <f>(D149*'No change with year'!$AN$13)</f>
        <v>740999.99999999988</v>
      </c>
      <c r="E150" s="376">
        <f>(E149*'No change with year'!$AN$13)</f>
        <v>729549.99999999988</v>
      </c>
      <c r="F150" s="376">
        <f>(F149*'No change with year'!$AN$13)</f>
        <v>718949.99999999988</v>
      </c>
      <c r="G150" s="376">
        <f>(G149*'No change with year'!$AN$13)</f>
        <v>709199.99999999988</v>
      </c>
      <c r="H150" s="376">
        <f>(H149*'No change with year'!$AN$13)</f>
        <v>710249.99999999988</v>
      </c>
      <c r="I150" s="376">
        <f>(I149*'No change with year'!$AN$13)</f>
        <v>705399.99999999988</v>
      </c>
      <c r="J150" s="376">
        <f>(J149*'No change with year'!$AN$13)</f>
        <v>701449.99999999988</v>
      </c>
      <c r="K150" s="376">
        <f>(K149*'No change with year'!$AN$13)</f>
        <v>698149.99999999988</v>
      </c>
      <c r="L150" s="376">
        <f>(L149*'No change with year'!$AN$13)</f>
        <v>695449.99999999988</v>
      </c>
      <c r="M150" s="376">
        <f>(M149*'No change with year'!$AN$13)</f>
        <v>693349.99999999988</v>
      </c>
      <c r="N150" s="376">
        <f>(N149*'No change with year'!$AO$13)</f>
        <v>2075700.0000000002</v>
      </c>
      <c r="O150" s="376">
        <f>(O149*'No change with year'!$AO$13)</f>
        <v>2073000.0000000002</v>
      </c>
      <c r="P150" s="376">
        <f>(P149*'No change with year'!$AO$13)</f>
        <v>2072250.0000000002</v>
      </c>
      <c r="Q150" s="376">
        <f>(Q149*'No change with year'!$AO$13)</f>
        <v>2073150.0000000002</v>
      </c>
      <c r="R150" s="376">
        <f>(R149*'No change with year'!$AO$13)</f>
        <v>2076000.0000000002</v>
      </c>
      <c r="S150" s="376">
        <f>(S149*'No change with year'!$AO$13)</f>
        <v>2065650.0000000002</v>
      </c>
      <c r="T150" s="376">
        <f>(T149*'No change with year'!$AO$13)</f>
        <v>2090850.0000000002</v>
      </c>
      <c r="U150" s="376">
        <f>(U149*'No change with year'!$AO$13)</f>
        <v>2117250.0000000005</v>
      </c>
      <c r="V150" s="376">
        <f>(V149*'No change with year'!$AO$13)</f>
        <v>2145000.0000000005</v>
      </c>
      <c r="W150" s="376">
        <f>(W149*'No change with year'!$AO$13)</f>
        <v>2174100.0000000005</v>
      </c>
      <c r="X150" s="376">
        <f>(X149*'No change with year'!$AP$13)</f>
        <v>3620750</v>
      </c>
      <c r="Y150" s="376">
        <f>(Y149*'No change with year'!$AP$13)</f>
        <v>3674500</v>
      </c>
      <c r="Z150" s="376">
        <f>(Z149*'No change with year'!$AP$13)</f>
        <v>3730500</v>
      </c>
      <c r="AA150" s="376">
        <f>(AA149*'No change with year'!$AP$13)</f>
        <v>3789000</v>
      </c>
      <c r="AB150" s="376">
        <f>(AB149*'No change with year'!$AP$13)</f>
        <v>3850250</v>
      </c>
      <c r="AC150" s="376">
        <f>(AC149*'No change with year'!$AP$13)</f>
        <v>3886750</v>
      </c>
      <c r="AD150" s="376">
        <f>(AD149*'No change with year'!$AP$13)</f>
        <v>3977250</v>
      </c>
      <c r="AE150" s="376">
        <f>(AE149*'No change with year'!$AP$13)</f>
        <v>4070500</v>
      </c>
      <c r="AF150" s="376">
        <f>(AF149*'No change with year'!$AP$13)</f>
        <v>4166000</v>
      </c>
      <c r="AG150" s="376">
        <f>(AG149*'No change with year'!$AP$13)</f>
        <v>4264500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3301227.8090903549</v>
      </c>
      <c r="D152" s="376">
        <f t="shared" ref="D152:AG152" si="62">-PMT($C$28,$C$27,D149)</f>
        <v>3247324.8460586127</v>
      </c>
      <c r="E152" s="376">
        <f t="shared" si="62"/>
        <v>3197146.8845371944</v>
      </c>
      <c r="F152" s="376">
        <f t="shared" si="62"/>
        <v>3150693.9245260996</v>
      </c>
      <c r="G152" s="376">
        <f t="shared" si="62"/>
        <v>3107965.9660253278</v>
      </c>
      <c r="H152" s="376">
        <f t="shared" si="62"/>
        <v>3112567.4384792577</v>
      </c>
      <c r="I152" s="376">
        <f t="shared" si="62"/>
        <v>3091313.0180968223</v>
      </c>
      <c r="J152" s="376">
        <f t="shared" si="62"/>
        <v>3074002.7169606127</v>
      </c>
      <c r="K152" s="376">
        <f t="shared" si="62"/>
        <v>3059540.9463911206</v>
      </c>
      <c r="L152" s="376">
        <f t="shared" si="62"/>
        <v>3047708.5886524459</v>
      </c>
      <c r="M152" s="376">
        <f t="shared" si="62"/>
        <v>3038505.643744587</v>
      </c>
      <c r="N152" s="376">
        <f t="shared" si="62"/>
        <v>3032151.2294034469</v>
      </c>
      <c r="O152" s="376">
        <f t="shared" si="62"/>
        <v>3028207.110157222</v>
      </c>
      <c r="P152" s="376">
        <f t="shared" si="62"/>
        <v>3027111.5214777151</v>
      </c>
      <c r="Q152" s="376">
        <f t="shared" si="62"/>
        <v>3028426.2278931234</v>
      </c>
      <c r="R152" s="376">
        <f t="shared" si="62"/>
        <v>3032589.4648752497</v>
      </c>
      <c r="S152" s="376">
        <f t="shared" si="62"/>
        <v>3017470.3410980534</v>
      </c>
      <c r="T152" s="376">
        <f t="shared" si="62"/>
        <v>3054282.1207294874</v>
      </c>
      <c r="U152" s="376">
        <f t="shared" si="62"/>
        <v>3092846.842248132</v>
      </c>
      <c r="V152" s="376">
        <f t="shared" si="62"/>
        <v>3133383.6233898895</v>
      </c>
      <c r="W152" s="376">
        <f t="shared" si="62"/>
        <v>3175892.4641547594</v>
      </c>
      <c r="X152" s="376">
        <f t="shared" si="62"/>
        <v>3173482.1690598442</v>
      </c>
      <c r="Y152" s="376">
        <f t="shared" si="62"/>
        <v>3220592.4822786432</v>
      </c>
      <c r="Z152" s="376">
        <f t="shared" si="62"/>
        <v>3269674.8551205546</v>
      </c>
      <c r="AA152" s="376">
        <f t="shared" si="62"/>
        <v>3320948.4053214802</v>
      </c>
      <c r="AB152" s="376">
        <f t="shared" si="62"/>
        <v>3374632.2506173206</v>
      </c>
      <c r="AC152" s="376">
        <f t="shared" si="62"/>
        <v>3406623.4400589238</v>
      </c>
      <c r="AD152" s="376">
        <f t="shared" si="62"/>
        <v>3485944.0604552273</v>
      </c>
      <c r="AE152" s="376">
        <f t="shared" si="62"/>
        <v>3567674.9759464459</v>
      </c>
      <c r="AF152" s="376">
        <f t="shared" si="62"/>
        <v>3651377.9510607775</v>
      </c>
      <c r="AG152" s="376">
        <f t="shared" si="62"/>
        <v>3737710.3390059257</v>
      </c>
    </row>
    <row r="153" spans="1:34">
      <c r="A153" s="300" t="s">
        <v>333</v>
      </c>
      <c r="B153" s="300" t="s">
        <v>313</v>
      </c>
      <c r="C153" s="376">
        <f t="shared" ref="C153:AG153" si="63">$H$38*C50</f>
        <v>7165241.3793103453</v>
      </c>
      <c r="D153" s="376">
        <f t="shared" si="63"/>
        <v>7098703.4482758632</v>
      </c>
      <c r="E153" s="376">
        <f t="shared" si="63"/>
        <v>7038804.4137931038</v>
      </c>
      <c r="F153" s="376">
        <f t="shared" si="63"/>
        <v>6985396.2537931046</v>
      </c>
      <c r="G153" s="376">
        <f t="shared" si="63"/>
        <v>6938338.078179311</v>
      </c>
      <c r="H153" s="376">
        <f t="shared" si="63"/>
        <v>6897495.9019580707</v>
      </c>
      <c r="I153" s="376">
        <f t="shared" si="63"/>
        <v>6486704.1677691815</v>
      </c>
      <c r="J153" s="376">
        <f t="shared" si="63"/>
        <v>6270505.2482105643</v>
      </c>
      <c r="K153" s="376">
        <f t="shared" si="63"/>
        <v>6061497.2346426984</v>
      </c>
      <c r="L153" s="376">
        <f t="shared" si="63"/>
        <v>5859408.7418969441</v>
      </c>
      <c r="M153" s="376">
        <f t="shared" si="63"/>
        <v>5663979.6421602061</v>
      </c>
      <c r="N153" s="376">
        <f t="shared" si="63"/>
        <v>5474960.5678190403</v>
      </c>
      <c r="O153" s="376">
        <f t="shared" si="63"/>
        <v>5292112.4371425845</v>
      </c>
      <c r="P153" s="376">
        <f t="shared" si="63"/>
        <v>5115206.0017287182</v>
      </c>
      <c r="Q153" s="376">
        <f t="shared" si="63"/>
        <v>4944021.4146893388</v>
      </c>
      <c r="R153" s="376">
        <f t="shared" si="63"/>
        <v>4778347.8185996208</v>
      </c>
      <c r="S153" s="376">
        <f t="shared" si="63"/>
        <v>4411768.7980515594</v>
      </c>
      <c r="T153" s="376">
        <f t="shared" si="63"/>
        <v>4286499.3138492284</v>
      </c>
      <c r="U153" s="376">
        <f t="shared" si="63"/>
        <v>4165687.7673120745</v>
      </c>
      <c r="V153" s="376">
        <f t="shared" si="63"/>
        <v>4049141.4804353742</v>
      </c>
      <c r="W153" s="376">
        <f t="shared" si="63"/>
        <v>3936676.7420204622</v>
      </c>
      <c r="X153" s="376">
        <f t="shared" si="63"/>
        <v>3828118.3769525317</v>
      </c>
      <c r="Y153" s="376">
        <f t="shared" si="63"/>
        <v>3723299.3365099514</v>
      </c>
      <c r="Z153" s="376">
        <f t="shared" si="63"/>
        <v>3622060.3086684141</v>
      </c>
      <c r="AA153" s="376">
        <f t="shared" si="63"/>
        <v>3524249.3474146375</v>
      </c>
      <c r="AB153" s="376">
        <f t="shared" si="63"/>
        <v>3429721.5201331591</v>
      </c>
      <c r="AC153" s="376">
        <f t="shared" si="63"/>
        <v>3314479.8606779729</v>
      </c>
      <c r="AD153" s="376">
        <f t="shared" si="63"/>
        <v>3325903.0072387382</v>
      </c>
      <c r="AE153" s="376">
        <f t="shared" si="63"/>
        <v>3341206.9429645427</v>
      </c>
      <c r="AF153" s="376">
        <f t="shared" si="63"/>
        <v>3360329.3168718116</v>
      </c>
      <c r="AG153" s="376">
        <f t="shared" si="63"/>
        <v>3383213.7799417679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1364214.857142857</v>
      </c>
      <c r="D154" s="376">
        <f t="shared" si="64"/>
        <v>1379979.5657142857</v>
      </c>
      <c r="E154" s="376">
        <f t="shared" si="64"/>
        <v>1397344.9597714287</v>
      </c>
      <c r="F154" s="376">
        <f t="shared" si="64"/>
        <v>1416350.814305143</v>
      </c>
      <c r="G154" s="376">
        <f t="shared" si="64"/>
        <v>1437039.1016166343</v>
      </c>
      <c r="H154" s="376">
        <f t="shared" si="64"/>
        <v>1459454.0640521031</v>
      </c>
      <c r="I154" s="376">
        <f t="shared" si="64"/>
        <v>1486272.2851479105</v>
      </c>
      <c r="J154" s="376">
        <f t="shared" si="64"/>
        <v>1514794.4339168756</v>
      </c>
      <c r="K154" s="376">
        <f t="shared" si="64"/>
        <v>1545076.0434893386</v>
      </c>
      <c r="L154" s="376">
        <f t="shared" si="64"/>
        <v>1577175.1208003843</v>
      </c>
      <c r="M154" s="376">
        <f t="shared" si="64"/>
        <v>1611152.2404924422</v>
      </c>
      <c r="N154" s="376">
        <f t="shared" si="64"/>
        <v>1647070.6426749816</v>
      </c>
      <c r="O154" s="376">
        <f t="shared" si="64"/>
        <v>1684996.334693566</v>
      </c>
      <c r="P154" s="376">
        <f t="shared" si="64"/>
        <v>1724998.1970666617</v>
      </c>
      <c r="Q154" s="376">
        <f t="shared" si="64"/>
        <v>1767148.0937549747</v>
      </c>
      <c r="R154" s="376">
        <f t="shared" si="64"/>
        <v>1811520.9869347066</v>
      </c>
      <c r="S154" s="376">
        <f t="shared" si="64"/>
        <v>1862492.8514462137</v>
      </c>
      <c r="T154" s="376">
        <f t="shared" si="64"/>
        <v>1915718.4802878399</v>
      </c>
      <c r="U154" s="376">
        <f t="shared" si="64"/>
        <v>1971285.8751352935</v>
      </c>
      <c r="V154" s="376">
        <f t="shared" si="64"/>
        <v>2029286.5792202859</v>
      </c>
      <c r="W154" s="376">
        <f t="shared" si="64"/>
        <v>2089815.818777882</v>
      </c>
      <c r="X154" s="376">
        <f t="shared" si="64"/>
        <v>2152972.6501538944</v>
      </c>
      <c r="Y154" s="376">
        <f t="shared" si="64"/>
        <v>2218860.1127986978</v>
      </c>
      <c r="Z154" s="376">
        <f t="shared" si="64"/>
        <v>2287585.3883829075</v>
      </c>
      <c r="AA154" s="376">
        <f t="shared" si="64"/>
        <v>2359259.9662797623</v>
      </c>
      <c r="AB154" s="376">
        <f t="shared" si="64"/>
        <v>2433999.8156688763</v>
      </c>
      <c r="AC154" s="376">
        <f t="shared" si="64"/>
        <v>2519699.262033958</v>
      </c>
      <c r="AD154" s="376">
        <f t="shared" si="64"/>
        <v>2608710.0807910259</v>
      </c>
      <c r="AE154" s="376">
        <f t="shared" si="64"/>
        <v>2701163.5607811338</v>
      </c>
      <c r="AF154" s="376">
        <f t="shared" si="64"/>
        <v>2797196.2307384307</v>
      </c>
      <c r="AG154" s="376">
        <f t="shared" si="64"/>
        <v>2896950.0687692799</v>
      </c>
    </row>
    <row r="155" spans="1:34">
      <c r="A155" s="368" t="s">
        <v>318</v>
      </c>
      <c r="B155" s="300" t="s">
        <v>313</v>
      </c>
      <c r="C155" s="376">
        <f>'Changing with year'!C302</f>
        <v>660000</v>
      </c>
      <c r="D155" s="376">
        <f>'Changing with year'!D302</f>
        <v>690000</v>
      </c>
      <c r="E155" s="376">
        <f>'Changing with year'!E302</f>
        <v>721000</v>
      </c>
      <c r="F155" s="376">
        <f>'Changing with year'!F302</f>
        <v>753000</v>
      </c>
      <c r="G155" s="376">
        <f>'Changing with year'!G302</f>
        <v>787000</v>
      </c>
      <c r="H155" s="376">
        <f>'Changing with year'!H302</f>
        <v>822000</v>
      </c>
      <c r="I155" s="376">
        <f>'Changing with year'!I302</f>
        <v>859000</v>
      </c>
      <c r="J155" s="376">
        <f>'Changing with year'!J302</f>
        <v>898000</v>
      </c>
      <c r="K155" s="376">
        <f>'Changing with year'!K302</f>
        <v>938000</v>
      </c>
      <c r="L155" s="376">
        <f>'Changing with year'!L302</f>
        <v>980000</v>
      </c>
      <c r="M155" s="376">
        <f>'Changing with year'!M302</f>
        <v>1024000</v>
      </c>
      <c r="N155" s="376">
        <f>'Changing with year'!N302</f>
        <v>1070000</v>
      </c>
      <c r="O155" s="376">
        <f>'Changing with year'!O302</f>
        <v>1118000</v>
      </c>
      <c r="P155" s="376">
        <f>'Changing with year'!P302</f>
        <v>1168000</v>
      </c>
      <c r="Q155" s="376">
        <f>'Changing with year'!Q302</f>
        <v>1221000</v>
      </c>
      <c r="R155" s="376">
        <f>'Changing with year'!R302</f>
        <v>1276000</v>
      </c>
      <c r="S155" s="376">
        <f>'Changing with year'!S302</f>
        <v>1333000</v>
      </c>
      <c r="T155" s="376">
        <f>'Changing with year'!T302</f>
        <v>1393000</v>
      </c>
      <c r="U155" s="376">
        <f>'Changing with year'!U302</f>
        <v>1456000</v>
      </c>
      <c r="V155" s="376">
        <f>'Changing with year'!V302</f>
        <v>1522000</v>
      </c>
      <c r="W155" s="376">
        <f>'Changing with year'!W302</f>
        <v>1590000</v>
      </c>
      <c r="X155" s="376">
        <f>'Changing with year'!X302</f>
        <v>1662000</v>
      </c>
      <c r="Y155" s="376">
        <f>'Changing with year'!Y302</f>
        <v>1737000</v>
      </c>
      <c r="Z155" s="376">
        <f>'Changing with year'!Z302</f>
        <v>1815000</v>
      </c>
      <c r="AA155" s="376">
        <f>'Changing with year'!AA302</f>
        <v>1897000</v>
      </c>
      <c r="AB155" s="376">
        <f>'Changing with year'!AB302</f>
        <v>1982000</v>
      </c>
      <c r="AC155" s="376">
        <f>'Changing with year'!AC302</f>
        <v>2071000</v>
      </c>
      <c r="AD155" s="376">
        <f>'Changing with year'!AD302</f>
        <v>2164000</v>
      </c>
      <c r="AE155" s="376">
        <f>'Changing with year'!AE302</f>
        <v>2261000</v>
      </c>
      <c r="AF155" s="376">
        <f>'Changing with year'!AF302</f>
        <v>2363000</v>
      </c>
      <c r="AG155" s="376">
        <f>'Changing with year'!AG302</f>
        <v>2469000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C61</f>
        <v>1036800</v>
      </c>
      <c r="D156" s="376">
        <f t="shared" si="65"/>
        <v>1047168</v>
      </c>
      <c r="E156" s="376">
        <f t="shared" si="65"/>
        <v>1057639.68</v>
      </c>
      <c r="F156" s="376">
        <f t="shared" si="65"/>
        <v>1068216.0767999999</v>
      </c>
      <c r="G156" s="376">
        <f t="shared" si="65"/>
        <v>1078898.2375679999</v>
      </c>
      <c r="H156" s="376">
        <f t="shared" si="65"/>
        <v>1089687.2199436799</v>
      </c>
      <c r="I156" s="376">
        <f t="shared" si="65"/>
        <v>1100584.0921431168</v>
      </c>
      <c r="J156" s="376">
        <f t="shared" si="65"/>
        <v>1111589.9330645478</v>
      </c>
      <c r="K156" s="376">
        <f t="shared" si="65"/>
        <v>1122705.8323951936</v>
      </c>
      <c r="L156" s="376">
        <f t="shared" si="65"/>
        <v>1133932.8907191455</v>
      </c>
      <c r="M156" s="376">
        <f t="shared" si="65"/>
        <v>1145272.2196263371</v>
      </c>
      <c r="N156" s="376">
        <f t="shared" si="65"/>
        <v>1156724.9418226003</v>
      </c>
      <c r="O156" s="376">
        <f t="shared" si="65"/>
        <v>1168292.1912408266</v>
      </c>
      <c r="P156" s="376">
        <f t="shared" si="65"/>
        <v>1179975.1131532348</v>
      </c>
      <c r="Q156" s="376">
        <f t="shared" si="65"/>
        <v>1191774.8642847673</v>
      </c>
      <c r="R156" s="376">
        <f t="shared" si="65"/>
        <v>1203692.6129276149</v>
      </c>
      <c r="S156" s="376">
        <f t="shared" si="65"/>
        <v>1215729.5390568911</v>
      </c>
      <c r="T156" s="376">
        <f t="shared" si="65"/>
        <v>1227886.8344474602</v>
      </c>
      <c r="U156" s="376">
        <f t="shared" si="65"/>
        <v>1240165.7027919348</v>
      </c>
      <c r="V156" s="376">
        <f t="shared" si="65"/>
        <v>1252567.3598198541</v>
      </c>
      <c r="W156" s="376">
        <f t="shared" si="65"/>
        <v>1265093.0334180526</v>
      </c>
      <c r="X156" s="376">
        <f t="shared" si="65"/>
        <v>1277743.9637522332</v>
      </c>
      <c r="Y156" s="376">
        <f t="shared" si="65"/>
        <v>1290521.4033897556</v>
      </c>
      <c r="Z156" s="376">
        <f t="shared" si="65"/>
        <v>1303426.6174236531</v>
      </c>
      <c r="AA156" s="376">
        <f t="shared" si="65"/>
        <v>1316460.8835978897</v>
      </c>
      <c r="AB156" s="376">
        <f t="shared" si="65"/>
        <v>1329625.4924338686</v>
      </c>
      <c r="AC156" s="376">
        <f t="shared" si="65"/>
        <v>1342921.7473582074</v>
      </c>
      <c r="AD156" s="376">
        <f t="shared" si="65"/>
        <v>1356350.9648317895</v>
      </c>
      <c r="AE156" s="376">
        <f t="shared" si="65"/>
        <v>1369914.4744801074</v>
      </c>
      <c r="AF156" s="376">
        <f t="shared" si="65"/>
        <v>1383613.6192249085</v>
      </c>
      <c r="AG156" s="376">
        <f t="shared" si="65"/>
        <v>1397449.7554171574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301320</v>
      </c>
      <c r="D157" s="376">
        <f t="shared" si="66"/>
        <v>296400</v>
      </c>
      <c r="E157" s="376">
        <f t="shared" si="66"/>
        <v>291820</v>
      </c>
      <c r="F157" s="376">
        <f t="shared" si="66"/>
        <v>287580</v>
      </c>
      <c r="G157" s="376">
        <f t="shared" si="66"/>
        <v>283680</v>
      </c>
      <c r="H157" s="376">
        <f t="shared" si="66"/>
        <v>284100</v>
      </c>
      <c r="I157" s="376">
        <f t="shared" si="66"/>
        <v>282160</v>
      </c>
      <c r="J157" s="376">
        <f t="shared" si="66"/>
        <v>280580</v>
      </c>
      <c r="K157" s="376">
        <f t="shared" si="66"/>
        <v>279260</v>
      </c>
      <c r="L157" s="376">
        <f t="shared" si="66"/>
        <v>278180</v>
      </c>
      <c r="M157" s="376">
        <f t="shared" si="66"/>
        <v>277340</v>
      </c>
      <c r="N157" s="376">
        <f t="shared" si="66"/>
        <v>276760</v>
      </c>
      <c r="O157" s="376">
        <f t="shared" si="66"/>
        <v>276400</v>
      </c>
      <c r="P157" s="376">
        <f t="shared" si="66"/>
        <v>276300</v>
      </c>
      <c r="Q157" s="376">
        <f t="shared" si="66"/>
        <v>276420</v>
      </c>
      <c r="R157" s="376">
        <f t="shared" si="66"/>
        <v>276800</v>
      </c>
      <c r="S157" s="376">
        <f t="shared" si="66"/>
        <v>275420</v>
      </c>
      <c r="T157" s="376">
        <f t="shared" si="66"/>
        <v>278780</v>
      </c>
      <c r="U157" s="376">
        <f t="shared" si="66"/>
        <v>282300</v>
      </c>
      <c r="V157" s="376">
        <f t="shared" si="66"/>
        <v>286000</v>
      </c>
      <c r="W157" s="376">
        <f t="shared" si="66"/>
        <v>289880</v>
      </c>
      <c r="X157" s="376">
        <f t="shared" si="66"/>
        <v>289660</v>
      </c>
      <c r="Y157" s="376">
        <f t="shared" si="66"/>
        <v>293960</v>
      </c>
      <c r="Z157" s="376">
        <f t="shared" si="66"/>
        <v>298440</v>
      </c>
      <c r="AA157" s="376">
        <f t="shared" si="66"/>
        <v>303120</v>
      </c>
      <c r="AB157" s="376">
        <f t="shared" si="66"/>
        <v>308020</v>
      </c>
      <c r="AC157" s="376">
        <f t="shared" si="66"/>
        <v>310940</v>
      </c>
      <c r="AD157" s="376">
        <f t="shared" si="66"/>
        <v>318180</v>
      </c>
      <c r="AE157" s="376">
        <f t="shared" si="66"/>
        <v>325640</v>
      </c>
      <c r="AF157" s="376">
        <f t="shared" si="66"/>
        <v>333280</v>
      </c>
      <c r="AG157" s="376">
        <f t="shared" si="66"/>
        <v>341160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28.656491398353776</v>
      </c>
      <c r="D159" s="379">
        <f t="shared" si="67"/>
        <v>28.188583733147681</v>
      </c>
      <c r="E159" s="379">
        <f t="shared" si="67"/>
        <v>27.75301115049648</v>
      </c>
      <c r="F159" s="379">
        <f t="shared" si="67"/>
        <v>27.34977365040017</v>
      </c>
      <c r="G159" s="379">
        <f t="shared" si="67"/>
        <v>26.978871232858747</v>
      </c>
      <c r="H159" s="379">
        <f t="shared" si="67"/>
        <v>27.018814570132445</v>
      </c>
      <c r="I159" s="379">
        <f t="shared" si="67"/>
        <v>26.834314393201584</v>
      </c>
      <c r="J159" s="379">
        <f t="shared" si="67"/>
        <v>26.684051362505318</v>
      </c>
      <c r="K159" s="379">
        <f t="shared" si="67"/>
        <v>26.558515159645143</v>
      </c>
      <c r="L159" s="379">
        <f t="shared" si="67"/>
        <v>26.455803720941372</v>
      </c>
      <c r="M159" s="379">
        <f t="shared" si="67"/>
        <v>26.375917046393983</v>
      </c>
      <c r="N159" s="379">
        <f t="shared" si="67"/>
        <v>26.320757199682699</v>
      </c>
      <c r="O159" s="379">
        <f t="shared" si="67"/>
        <v>26.286520053448108</v>
      </c>
      <c r="P159" s="379">
        <f t="shared" si="67"/>
        <v>26.27700973504961</v>
      </c>
      <c r="Q159" s="379">
        <f t="shared" si="67"/>
        <v>26.288422117127809</v>
      </c>
      <c r="R159" s="379">
        <f t="shared" si="67"/>
        <v>26.324561327042098</v>
      </c>
      <c r="S159" s="379">
        <f t="shared" si="67"/>
        <v>26.193318933142823</v>
      </c>
      <c r="T159" s="379">
        <f t="shared" si="67"/>
        <v>26.512865631332357</v>
      </c>
      <c r="U159" s="379">
        <f t="shared" si="67"/>
        <v>26.84762883895948</v>
      </c>
      <c r="V159" s="379">
        <f t="shared" si="67"/>
        <v>27.199510619703901</v>
      </c>
      <c r="W159" s="379">
        <f t="shared" si="67"/>
        <v>27.568510973565619</v>
      </c>
      <c r="X159" s="379">
        <f t="shared" si="67"/>
        <v>27.547588273088927</v>
      </c>
      <c r="Y159" s="379">
        <f t="shared" si="67"/>
        <v>27.956531964224332</v>
      </c>
      <c r="Z159" s="379">
        <f t="shared" si="67"/>
        <v>28.382594228477036</v>
      </c>
      <c r="AA159" s="379">
        <f t="shared" si="67"/>
        <v>28.827677129526737</v>
      </c>
      <c r="AB159" s="379">
        <f t="shared" si="67"/>
        <v>29.293682731053131</v>
      </c>
      <c r="AC159" s="379">
        <f t="shared" si="67"/>
        <v>29.57138402828927</v>
      </c>
      <c r="AD159" s="379">
        <f t="shared" si="67"/>
        <v>30.259931080340515</v>
      </c>
      <c r="AE159" s="379">
        <f t="shared" si="67"/>
        <v>30.969400832868455</v>
      </c>
      <c r="AF159" s="379">
        <f t="shared" si="67"/>
        <v>31.695989158513694</v>
      </c>
      <c r="AG159" s="379">
        <f t="shared" si="67"/>
        <v>32.445402248315325</v>
      </c>
    </row>
    <row r="160" spans="1:34">
      <c r="A160" s="300" t="s">
        <v>321</v>
      </c>
      <c r="B160" s="300" t="s">
        <v>300</v>
      </c>
      <c r="C160" s="379">
        <f t="shared" si="67"/>
        <v>62.198275862068968</v>
      </c>
      <c r="D160" s="379">
        <f t="shared" si="67"/>
        <v>61.620689655172427</v>
      </c>
      <c r="E160" s="379">
        <f t="shared" si="67"/>
        <v>61.100732758620694</v>
      </c>
      <c r="F160" s="379">
        <f t="shared" si="67"/>
        <v>60.637120258620698</v>
      </c>
      <c r="G160" s="379">
        <f t="shared" si="67"/>
        <v>60.228629150862076</v>
      </c>
      <c r="H160" s="379">
        <f t="shared" si="67"/>
        <v>59.874096371163809</v>
      </c>
      <c r="I160" s="379">
        <f t="shared" si="67"/>
        <v>56.308195900774145</v>
      </c>
      <c r="J160" s="379">
        <f t="shared" si="67"/>
        <v>54.43146916849448</v>
      </c>
      <c r="K160" s="379">
        <f t="shared" si="67"/>
        <v>52.617163495162316</v>
      </c>
      <c r="L160" s="379">
        <f t="shared" si="67"/>
        <v>50.862923106744304</v>
      </c>
      <c r="M160" s="379">
        <f t="shared" si="67"/>
        <v>49.166489949307348</v>
      </c>
      <c r="N160" s="379">
        <f t="shared" si="67"/>
        <v>47.52569937342917</v>
      </c>
      <c r="O160" s="379">
        <f t="shared" si="67"/>
        <v>45.938476016862715</v>
      </c>
      <c r="P160" s="379">
        <f t="shared" si="67"/>
        <v>44.402829876117345</v>
      </c>
      <c r="Q160" s="379">
        <f t="shared" si="67"/>
        <v>42.916852558067177</v>
      </c>
      <c r="R160" s="379">
        <f t="shared" si="67"/>
        <v>41.478713703121706</v>
      </c>
      <c r="S160" s="379">
        <f t="shared" si="67"/>
        <v>38.296604149753122</v>
      </c>
      <c r="T160" s="379">
        <f t="shared" si="67"/>
        <v>37.209195432719</v>
      </c>
      <c r="U160" s="379">
        <f t="shared" si="67"/>
        <v>36.160484091250645</v>
      </c>
      <c r="V160" s="379">
        <f t="shared" si="67"/>
        <v>35.148797573223732</v>
      </c>
      <c r="W160" s="379">
        <f t="shared" si="67"/>
        <v>34.172541163372067</v>
      </c>
      <c r="X160" s="379">
        <f t="shared" si="67"/>
        <v>33.230194244379618</v>
      </c>
      <c r="Y160" s="379">
        <f t="shared" si="67"/>
        <v>32.320306740537774</v>
      </c>
      <c r="Z160" s="379">
        <f t="shared" si="67"/>
        <v>31.441495734968871</v>
      </c>
      <c r="AA160" s="379">
        <f t="shared" si="67"/>
        <v>30.592442251863172</v>
      </c>
      <c r="AB160" s="379">
        <f t="shared" si="67"/>
        <v>29.77188819560034</v>
      </c>
      <c r="AC160" s="379">
        <f t="shared" si="67"/>
        <v>28.77152656838518</v>
      </c>
      <c r="AD160" s="379">
        <f t="shared" si="67"/>
        <v>28.870685826725158</v>
      </c>
      <c r="AE160" s="379">
        <f t="shared" si="67"/>
        <v>29.003532491011654</v>
      </c>
      <c r="AF160" s="379">
        <f t="shared" si="67"/>
        <v>29.169525320067809</v>
      </c>
      <c r="AG160" s="379">
        <f t="shared" si="67"/>
        <v>29.368175173105623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29.186934523809526</v>
      </c>
      <c r="D161" s="379">
        <f t="shared" si="68"/>
        <v>29.631489285714284</v>
      </c>
      <c r="E161" s="379">
        <f t="shared" si="68"/>
        <v>30.102470831349208</v>
      </c>
      <c r="F161" s="379">
        <f t="shared" si="68"/>
        <v>30.600233429732143</v>
      </c>
      <c r="G161" s="379">
        <f t="shared" si="68"/>
        <v>31.133831069311057</v>
      </c>
      <c r="H161" s="379">
        <f t="shared" si="68"/>
        <v>31.729525034685615</v>
      </c>
      <c r="I161" s="379">
        <f t="shared" si="68"/>
        <v>32.361253275095727</v>
      </c>
      <c r="J161" s="379">
        <f t="shared" si="68"/>
        <v>33.029204574491523</v>
      </c>
      <c r="K161" s="379">
        <f t="shared" si="68"/>
        <v>33.724321839275454</v>
      </c>
      <c r="L161" s="379">
        <f t="shared" si="68"/>
        <v>34.45562509999592</v>
      </c>
      <c r="M161" s="379">
        <f t="shared" si="68"/>
        <v>35.223649827419955</v>
      </c>
      <c r="N161" s="379">
        <f t="shared" si="68"/>
        <v>36.029128337652622</v>
      </c>
      <c r="O161" s="379">
        <f t="shared" si="68"/>
        <v>36.872296232069381</v>
      </c>
      <c r="P161" s="379">
        <f t="shared" si="68"/>
        <v>37.754108595658828</v>
      </c>
      <c r="Q161" s="379">
        <f t="shared" si="68"/>
        <v>38.683532621872757</v>
      </c>
      <c r="R161" s="379">
        <f t="shared" si="68"/>
        <v>39.652895832138206</v>
      </c>
      <c r="S161" s="379">
        <f t="shared" si="68"/>
        <v>40.682659639783893</v>
      </c>
      <c r="T161" s="379">
        <f t="shared" si="68"/>
        <v>41.800219745966146</v>
      </c>
      <c r="U161" s="379">
        <f t="shared" si="68"/>
        <v>42.966593558396077</v>
      </c>
      <c r="V161" s="379">
        <f t="shared" si="68"/>
        <v>44.182759887501213</v>
      </c>
      <c r="W161" s="379">
        <f t="shared" si="68"/>
        <v>45.44087545308971</v>
      </c>
      <c r="X161" s="379">
        <f t="shared" si="68"/>
        <v>46.722019217935134</v>
      </c>
      <c r="Y161" s="379">
        <f t="shared" si="68"/>
        <v>48.093242328024772</v>
      </c>
      <c r="Z161" s="379">
        <f t="shared" si="68"/>
        <v>49.517812550404173</v>
      </c>
      <c r="AA161" s="379">
        <f t="shared" si="68"/>
        <v>51.005562932965731</v>
      </c>
      <c r="AB161" s="379">
        <f t="shared" si="68"/>
        <v>52.549004410614103</v>
      </c>
      <c r="AC161" s="379">
        <f t="shared" si="68"/>
        <v>54.206258762084772</v>
      </c>
      <c r="AD161" s="379">
        <f t="shared" si="68"/>
        <v>55.965634076586944</v>
      </c>
      <c r="AE161" s="379">
        <f t="shared" si="68"/>
        <v>57.792691278309391</v>
      </c>
      <c r="AF161" s="379">
        <f t="shared" si="68"/>
        <v>59.696960503153996</v>
      </c>
      <c r="AG161" s="379">
        <f t="shared" si="68"/>
        <v>61.671526251618374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0.93415178571428559</v>
      </c>
      <c r="D162" s="379">
        <f t="shared" si="69"/>
        <v>0.91889880952380942</v>
      </c>
      <c r="E162" s="379">
        <f t="shared" si="69"/>
        <v>0.9046999007936507</v>
      </c>
      <c r="F162" s="379">
        <f t="shared" si="69"/>
        <v>0.89155505952380942</v>
      </c>
      <c r="G162" s="379">
        <f t="shared" si="69"/>
        <v>0.87946428571428559</v>
      </c>
      <c r="H162" s="379">
        <f t="shared" si="69"/>
        <v>0.88076636904761896</v>
      </c>
      <c r="I162" s="379">
        <f t="shared" si="69"/>
        <v>0.87475198412698396</v>
      </c>
      <c r="J162" s="379">
        <f t="shared" si="69"/>
        <v>0.86985367063492047</v>
      </c>
      <c r="K162" s="379">
        <f t="shared" si="69"/>
        <v>0.86576140873015861</v>
      </c>
      <c r="L162" s="379">
        <f t="shared" si="69"/>
        <v>0.86241319444444431</v>
      </c>
      <c r="M162" s="379">
        <f t="shared" si="69"/>
        <v>0.85980902777777768</v>
      </c>
      <c r="N162" s="379">
        <f t="shared" si="69"/>
        <v>2.5740327380952386</v>
      </c>
      <c r="O162" s="379">
        <f t="shared" si="69"/>
        <v>2.5706845238095242</v>
      </c>
      <c r="P162" s="379">
        <f t="shared" si="69"/>
        <v>2.5697544642857144</v>
      </c>
      <c r="Q162" s="379">
        <f t="shared" si="69"/>
        <v>2.570870535714286</v>
      </c>
      <c r="R162" s="379">
        <f t="shared" si="69"/>
        <v>2.5744047619047623</v>
      </c>
      <c r="S162" s="379">
        <f t="shared" si="69"/>
        <v>2.5615699404761907</v>
      </c>
      <c r="T162" s="379">
        <f t="shared" si="69"/>
        <v>2.5928199404761907</v>
      </c>
      <c r="U162" s="379">
        <f t="shared" si="69"/>
        <v>2.6255580357142865</v>
      </c>
      <c r="V162" s="379">
        <f t="shared" si="69"/>
        <v>2.6599702380952386</v>
      </c>
      <c r="W162" s="379">
        <f t="shared" si="69"/>
        <v>2.6960565476190483</v>
      </c>
      <c r="X162" s="379">
        <f t="shared" si="69"/>
        <v>4.4900173611111107</v>
      </c>
      <c r="Y162" s="379">
        <f t="shared" si="69"/>
        <v>4.5566716269841274</v>
      </c>
      <c r="Z162" s="379">
        <f t="shared" si="69"/>
        <v>4.6261160714285712</v>
      </c>
      <c r="AA162" s="379">
        <f t="shared" si="69"/>
        <v>4.6986607142857144</v>
      </c>
      <c r="AB162" s="379">
        <f t="shared" si="69"/>
        <v>4.7746155753968251</v>
      </c>
      <c r="AC162" s="379">
        <f t="shared" si="69"/>
        <v>4.8198784722222223</v>
      </c>
      <c r="AD162" s="379">
        <f t="shared" si="69"/>
        <v>4.9321056547619051</v>
      </c>
      <c r="AE162" s="379">
        <f t="shared" si="69"/>
        <v>5.0477430555555554</v>
      </c>
      <c r="AF162" s="379">
        <f t="shared" si="69"/>
        <v>5.1661706349206353</v>
      </c>
      <c r="AG162" s="379">
        <f t="shared" si="69"/>
        <v>5.2883184523809526</v>
      </c>
    </row>
    <row r="163" spans="1:33" s="352" customFormat="1">
      <c r="A163" s="380" t="s">
        <v>323</v>
      </c>
      <c r="B163" s="352" t="s">
        <v>300</v>
      </c>
      <c r="C163" s="381">
        <f>SUM(C159:C161)-C162</f>
        <v>119.10754999851798</v>
      </c>
      <c r="D163" s="381">
        <f t="shared" ref="D163:AG163" si="70">SUM(D159:D161)-D162</f>
        <v>118.52186386451058</v>
      </c>
      <c r="E163" s="381">
        <f t="shared" si="70"/>
        <v>118.05151483967273</v>
      </c>
      <c r="F163" s="381">
        <f t="shared" si="70"/>
        <v>117.6955722792292</v>
      </c>
      <c r="G163" s="381">
        <f t="shared" si="70"/>
        <v>117.46186716731759</v>
      </c>
      <c r="H163" s="381">
        <f t="shared" si="70"/>
        <v>117.74166960693424</v>
      </c>
      <c r="I163" s="381">
        <f t="shared" si="70"/>
        <v>114.62901158494446</v>
      </c>
      <c r="J163" s="381">
        <f t="shared" si="70"/>
        <v>113.27487143485639</v>
      </c>
      <c r="K163" s="381">
        <f t="shared" si="70"/>
        <v>112.03423908535275</v>
      </c>
      <c r="L163" s="381">
        <f t="shared" si="70"/>
        <v>110.91193873323716</v>
      </c>
      <c r="M163" s="381">
        <f t="shared" si="70"/>
        <v>109.90624779534352</v>
      </c>
      <c r="N163" s="381">
        <f t="shared" si="70"/>
        <v>107.30155217266925</v>
      </c>
      <c r="O163" s="381">
        <f t="shared" si="70"/>
        <v>106.52660777857068</v>
      </c>
      <c r="P163" s="381">
        <f t="shared" si="70"/>
        <v>105.86419374254008</v>
      </c>
      <c r="Q163" s="381">
        <f t="shared" si="70"/>
        <v>105.31793676135345</v>
      </c>
      <c r="R163" s="381">
        <f t="shared" si="70"/>
        <v>104.88176610039724</v>
      </c>
      <c r="S163" s="381">
        <f t="shared" si="70"/>
        <v>102.61101278220364</v>
      </c>
      <c r="T163" s="381">
        <f t="shared" si="70"/>
        <v>102.92946086954132</v>
      </c>
      <c r="U163" s="381">
        <f t="shared" si="70"/>
        <v>103.34914845289191</v>
      </c>
      <c r="V163" s="381">
        <f t="shared" si="70"/>
        <v>103.8710978423336</v>
      </c>
      <c r="W163" s="381">
        <f t="shared" si="70"/>
        <v>104.48587104240833</v>
      </c>
      <c r="X163" s="381">
        <f t="shared" si="70"/>
        <v>103.00978437429256</v>
      </c>
      <c r="Y163" s="381">
        <f t="shared" si="70"/>
        <v>103.81340940580276</v>
      </c>
      <c r="Z163" s="381">
        <f t="shared" si="70"/>
        <v>104.7157864424215</v>
      </c>
      <c r="AA163" s="381">
        <f t="shared" si="70"/>
        <v>105.72702160006993</v>
      </c>
      <c r="AB163" s="381">
        <f t="shared" si="70"/>
        <v>106.83995976187076</v>
      </c>
      <c r="AC163" s="381">
        <f t="shared" si="70"/>
        <v>107.729290886537</v>
      </c>
      <c r="AD163" s="381">
        <f t="shared" si="70"/>
        <v>110.16414532889073</v>
      </c>
      <c r="AE163" s="381">
        <f t="shared" si="70"/>
        <v>112.71788154663395</v>
      </c>
      <c r="AF163" s="381">
        <f t="shared" si="70"/>
        <v>115.39630434681487</v>
      </c>
      <c r="AG163" s="381">
        <f t="shared" si="70"/>
        <v>118.19678522065837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60.362334241714436</v>
      </c>
      <c r="D165" s="379">
        <f t="shared" si="72"/>
        <v>64.697351685576706</v>
      </c>
      <c r="E165" s="379">
        <f t="shared" si="72"/>
        <v>66.270043648508391</v>
      </c>
      <c r="F165" s="379">
        <f t="shared" si="72"/>
        <v>67.885805423109943</v>
      </c>
      <c r="G165" s="379">
        <f t="shared" si="72"/>
        <v>69.554273021126633</v>
      </c>
      <c r="H165" s="379">
        <f t="shared" si="72"/>
        <v>71.850001819630762</v>
      </c>
      <c r="I165" s="379">
        <f t="shared" si="72"/>
        <v>73.635786734481897</v>
      </c>
      <c r="J165" s="379">
        <f t="shared" si="72"/>
        <v>75.469207932461813</v>
      </c>
      <c r="K165" s="379">
        <f t="shared" si="72"/>
        <v>77.360158501604801</v>
      </c>
      <c r="L165" s="379">
        <f t="shared" si="72"/>
        <v>79.301200827502626</v>
      </c>
      <c r="M165" s="379">
        <f t="shared" si="72"/>
        <v>81.302289904502814</v>
      </c>
      <c r="N165" s="379">
        <f t="shared" si="72"/>
        <v>84.230596660119247</v>
      </c>
      <c r="O165" s="379">
        <f t="shared" si="72"/>
        <v>86.381422774477201</v>
      </c>
      <c r="P165" s="379">
        <f t="shared" si="72"/>
        <v>88.596955143157246</v>
      </c>
      <c r="Q165" s="379">
        <f t="shared" si="72"/>
        <v>90.878630731261097</v>
      </c>
      <c r="R165" s="379">
        <f t="shared" si="72"/>
        <v>93.227766129969567</v>
      </c>
      <c r="S165" s="379">
        <f t="shared" si="72"/>
        <v>95.646032809604094</v>
      </c>
      <c r="T165" s="379">
        <f t="shared" si="72"/>
        <v>98.143665193947044</v>
      </c>
      <c r="U165" s="379">
        <f t="shared" si="72"/>
        <v>100.71357842309141</v>
      </c>
      <c r="V165" s="379">
        <f t="shared" si="72"/>
        <v>103.36609209648967</v>
      </c>
      <c r="W165" s="379">
        <f t="shared" si="72"/>
        <v>106.09420962933837</v>
      </c>
      <c r="X165" s="379">
        <f t="shared" si="72"/>
        <v>110.07236416504149</v>
      </c>
      <c r="Y165" s="379">
        <f t="shared" si="72"/>
        <v>113.00952696665182</v>
      </c>
      <c r="Z165" s="379">
        <f t="shared" si="72"/>
        <v>116.0375119882449</v>
      </c>
      <c r="AA165" s="379">
        <f t="shared" si="72"/>
        <v>119.15839509695037</v>
      </c>
      <c r="AB165" s="379">
        <f t="shared" si="72"/>
        <v>122.38298648394323</v>
      </c>
      <c r="AC165" s="379">
        <f t="shared" si="72"/>
        <v>125.70462060843191</v>
      </c>
      <c r="AD165" s="379">
        <f t="shared" si="72"/>
        <v>129.13422120134658</v>
      </c>
      <c r="AE165" s="379">
        <f t="shared" si="72"/>
        <v>132.67409136331105</v>
      </c>
      <c r="AF165" s="379">
        <f t="shared" si="72"/>
        <v>136.32659633146736</v>
      </c>
      <c r="AG165" s="379">
        <f t="shared" si="72"/>
        <v>140.094165775465</v>
      </c>
    </row>
    <row r="166" spans="1:33">
      <c r="A166" s="368" t="s">
        <v>179</v>
      </c>
      <c r="B166" s="368" t="s">
        <v>179</v>
      </c>
      <c r="C166" s="379">
        <f t="shared" ref="C166:AG166" si="73">C95</f>
        <v>57.985162891164187</v>
      </c>
      <c r="D166" s="379">
        <f t="shared" si="73"/>
        <v>60.314520197253948</v>
      </c>
      <c r="E166" s="379">
        <f t="shared" si="73"/>
        <v>62.107210108727131</v>
      </c>
      <c r="F166" s="379">
        <f t="shared" si="73"/>
        <v>63.9566628064334</v>
      </c>
      <c r="G166" s="379">
        <f t="shared" si="73"/>
        <v>65.873119580848623</v>
      </c>
      <c r="H166" s="379">
        <f t="shared" si="73"/>
        <v>68.456568340115169</v>
      </c>
      <c r="I166" s="379">
        <f t="shared" si="73"/>
        <v>70.521456758186332</v>
      </c>
      <c r="J166" s="379">
        <f t="shared" si="73"/>
        <v>72.650217021118181</v>
      </c>
      <c r="K166" s="379">
        <f t="shared" si="73"/>
        <v>74.853326129825362</v>
      </c>
      <c r="L166" s="379">
        <f t="shared" si="73"/>
        <v>77.123960063284741</v>
      </c>
      <c r="M166" s="379">
        <f t="shared" si="73"/>
        <v>79.472718056940877</v>
      </c>
      <c r="N166" s="379">
        <f t="shared" si="73"/>
        <v>82.810508979122133</v>
      </c>
      <c r="O166" s="379">
        <f t="shared" si="73"/>
        <v>85.348798206491651</v>
      </c>
      <c r="P166" s="379">
        <f t="shared" si="73"/>
        <v>87.97218009474075</v>
      </c>
      <c r="Q166" s="379">
        <f t="shared" si="73"/>
        <v>90.682868484704443</v>
      </c>
      <c r="R166" s="379">
        <f t="shared" si="73"/>
        <v>93.483151510677331</v>
      </c>
      <c r="S166" s="379">
        <f t="shared" si="73"/>
        <v>96.375394150371505</v>
      </c>
      <c r="T166" s="379">
        <f t="shared" si="73"/>
        <v>99.370721419834922</v>
      </c>
      <c r="U166" s="379">
        <f t="shared" si="73"/>
        <v>102.46297943875179</v>
      </c>
      <c r="V166" s="379">
        <f t="shared" si="73"/>
        <v>105.66346048055179</v>
      </c>
      <c r="W166" s="379">
        <f t="shared" si="73"/>
        <v>108.96618367743109</v>
      </c>
      <c r="X166" s="379">
        <f t="shared" si="73"/>
        <v>113.60414069753837</v>
      </c>
      <c r="Y166" s="379">
        <f t="shared" si="73"/>
        <v>117.17382112861766</v>
      </c>
      <c r="Z166" s="379">
        <f t="shared" si="73"/>
        <v>120.86418135973553</v>
      </c>
      <c r="AA166" s="379">
        <f t="shared" si="73"/>
        <v>124.67833732620886</v>
      </c>
      <c r="AB166" s="379">
        <f t="shared" si="73"/>
        <v>128.62819073411384</v>
      </c>
      <c r="AC166" s="379">
        <f t="shared" si="73"/>
        <v>132.70839102621613</v>
      </c>
      <c r="AD166" s="379">
        <f t="shared" si="73"/>
        <v>136.93106136487998</v>
      </c>
      <c r="AE166" s="379">
        <f t="shared" si="73"/>
        <v>141.2997608587863</v>
      </c>
      <c r="AF166" s="379">
        <f t="shared" si="73"/>
        <v>145.8181691493478</v>
      </c>
      <c r="AG166" s="379">
        <f t="shared" si="73"/>
        <v>150.49009058399491</v>
      </c>
    </row>
    <row r="167" spans="1:33">
      <c r="A167" s="300" t="s">
        <v>180</v>
      </c>
      <c r="B167" s="300" t="s">
        <v>180</v>
      </c>
      <c r="C167" s="379">
        <f t="shared" ref="C167:AG167" si="74">C112</f>
        <v>58.08813432405185</v>
      </c>
      <c r="D167" s="379">
        <f t="shared" si="74"/>
        <v>59.963602268301017</v>
      </c>
      <c r="E167" s="379">
        <f t="shared" si="74"/>
        <v>61.727841324411834</v>
      </c>
      <c r="F167" s="379">
        <f t="shared" si="74"/>
        <v>63.548702931460845</v>
      </c>
      <c r="G167" s="379">
        <f t="shared" si="74"/>
        <v>65.434678887927063</v>
      </c>
      <c r="H167" s="379">
        <f t="shared" si="74"/>
        <v>67.987035932521451</v>
      </c>
      <c r="I167" s="379">
        <f t="shared" si="74"/>
        <v>70.018458127357562</v>
      </c>
      <c r="J167" s="379">
        <f t="shared" si="74"/>
        <v>72.113613234630961</v>
      </c>
      <c r="K167" s="379">
        <f t="shared" si="74"/>
        <v>74.281183273173227</v>
      </c>
      <c r="L167" s="379">
        <f t="shared" si="74"/>
        <v>76.515576197741154</v>
      </c>
      <c r="M167" s="379">
        <f t="shared" si="74"/>
        <v>78.827097010583643</v>
      </c>
      <c r="N167" s="379">
        <f t="shared" si="74"/>
        <v>82.163730168312654</v>
      </c>
      <c r="O167" s="379">
        <f t="shared" si="74"/>
        <v>84.661389535479373</v>
      </c>
      <c r="P167" s="379">
        <f t="shared" si="74"/>
        <v>87.242134677153359</v>
      </c>
      <c r="Q167" s="379">
        <f t="shared" si="74"/>
        <v>89.90946537812907</v>
      </c>
      <c r="R167" s="379">
        <f t="shared" si="74"/>
        <v>92.665303398556063</v>
      </c>
      <c r="S167" s="379">
        <f t="shared" si="74"/>
        <v>95.50999470376388</v>
      </c>
      <c r="T167" s="379">
        <f t="shared" si="74"/>
        <v>98.457558917495987</v>
      </c>
      <c r="U167" s="379">
        <f t="shared" si="74"/>
        <v>101.4998001655031</v>
      </c>
      <c r="V167" s="379">
        <f t="shared" si="74"/>
        <v>104.6492400108998</v>
      </c>
      <c r="W167" s="379">
        <f t="shared" si="74"/>
        <v>107.89783121082138</v>
      </c>
      <c r="X167" s="379">
        <f t="shared" si="74"/>
        <v>112.51249499941798</v>
      </c>
      <c r="Y167" s="379">
        <f t="shared" si="74"/>
        <v>116.02288826566206</v>
      </c>
      <c r="Z167" s="379">
        <f t="shared" si="74"/>
        <v>119.65458400773105</v>
      </c>
      <c r="AA167" s="379">
        <f t="shared" si="74"/>
        <v>123.40665583483144</v>
      </c>
      <c r="AB167" s="379">
        <f t="shared" si="74"/>
        <v>127.29224476129141</v>
      </c>
      <c r="AC167" s="379">
        <f t="shared" si="74"/>
        <v>131.30545809277803</v>
      </c>
      <c r="AD167" s="379">
        <f t="shared" si="74"/>
        <v>135.45962624539357</v>
      </c>
      <c r="AE167" s="379">
        <f t="shared" si="74"/>
        <v>139.75773317457117</v>
      </c>
      <c r="AF167" s="379">
        <f t="shared" si="74"/>
        <v>144.20286611387826</v>
      </c>
      <c r="AG167" s="379">
        <f t="shared" si="74"/>
        <v>148.79821923066456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64.875139897022592</v>
      </c>
      <c r="D168" s="379">
        <f t="shared" si="75"/>
        <v>65.482942020914919</v>
      </c>
      <c r="E168" s="379">
        <f t="shared" si="75"/>
        <v>66.00947136812789</v>
      </c>
      <c r="F168" s="379">
        <f t="shared" si="75"/>
        <v>66.025838801780694</v>
      </c>
      <c r="G168" s="379">
        <f t="shared" si="75"/>
        <v>65.968379643592769</v>
      </c>
      <c r="H168" s="379">
        <f t="shared" si="75"/>
        <v>66.625850584564589</v>
      </c>
      <c r="I168" s="379">
        <f t="shared" si="75"/>
        <v>64.660445435272678</v>
      </c>
      <c r="J168" s="379">
        <f t="shared" si="75"/>
        <v>65.067887551257726</v>
      </c>
      <c r="K168" s="379">
        <f t="shared" si="75"/>
        <v>65.266903579394068</v>
      </c>
      <c r="L168" s="379">
        <f t="shared" si="75"/>
        <v>65.611231322250561</v>
      </c>
      <c r="M168" s="379">
        <f t="shared" si="75"/>
        <v>66.114727028233204</v>
      </c>
      <c r="N168" s="379">
        <f t="shared" si="75"/>
        <v>65.555779527185322</v>
      </c>
      <c r="O168" s="379">
        <f t="shared" si="75"/>
        <v>66.426124872339841</v>
      </c>
      <c r="P168" s="379">
        <f t="shared" si="75"/>
        <v>67.310277961995283</v>
      </c>
      <c r="Q168" s="379">
        <f t="shared" si="75"/>
        <v>68.309217090278764</v>
      </c>
      <c r="R168" s="379">
        <f t="shared" si="75"/>
        <v>69.426175013044372</v>
      </c>
      <c r="S168" s="379">
        <f t="shared" si="75"/>
        <v>70.49907716691294</v>
      </c>
      <c r="T168" s="379">
        <f t="shared" si="75"/>
        <v>72.020884970666785</v>
      </c>
      <c r="U168" s="379">
        <f t="shared" si="75"/>
        <v>73.560134123116512</v>
      </c>
      <c r="V168" s="379">
        <f t="shared" si="75"/>
        <v>75.172079527126201</v>
      </c>
      <c r="W168" s="379">
        <f t="shared" si="75"/>
        <v>76.845052788649312</v>
      </c>
      <c r="X168" s="379">
        <f t="shared" si="75"/>
        <v>77.034661514042341</v>
      </c>
      <c r="Y168" s="379">
        <f t="shared" si="75"/>
        <v>78.835622294042281</v>
      </c>
      <c r="Z168" s="379">
        <f t="shared" si="75"/>
        <v>80.714038941408006</v>
      </c>
      <c r="AA168" s="379">
        <f t="shared" si="75"/>
        <v>82.679684687136259</v>
      </c>
      <c r="AB168" s="379">
        <f t="shared" si="75"/>
        <v>84.726809652185437</v>
      </c>
      <c r="AC168" s="379">
        <f t="shared" si="75"/>
        <v>87.248698366099816</v>
      </c>
      <c r="AD168" s="379">
        <f t="shared" si="75"/>
        <v>89.930481245965083</v>
      </c>
      <c r="AE168" s="379">
        <f t="shared" si="75"/>
        <v>92.708071946876728</v>
      </c>
      <c r="AF168" s="379">
        <f t="shared" si="75"/>
        <v>95.598706343922473</v>
      </c>
      <c r="AG168" s="379">
        <f t="shared" si="75"/>
        <v>98.597488877978847</v>
      </c>
    </row>
    <row r="169" spans="1:33">
      <c r="A169" s="300" t="str">
        <f>A113</f>
        <v>H2-ICE</v>
      </c>
      <c r="B169" s="300" t="str">
        <f t="shared" ref="B169:B170" si="76">A169</f>
        <v>H2-ICE</v>
      </c>
      <c r="C169" s="379">
        <f t="shared" ref="C169:AG169" si="77">C129</f>
        <v>116.81523816092557</v>
      </c>
      <c r="D169" s="379">
        <f t="shared" si="77"/>
        <v>116.81081307130012</v>
      </c>
      <c r="E169" s="379">
        <f t="shared" si="77"/>
        <v>116.92054888903235</v>
      </c>
      <c r="F169" s="379">
        <f t="shared" si="77"/>
        <v>117.14509385464926</v>
      </c>
      <c r="G169" s="379">
        <f t="shared" si="77"/>
        <v>117.488397415457</v>
      </c>
      <c r="H169" s="379">
        <f t="shared" si="77"/>
        <v>118.67552395319218</v>
      </c>
      <c r="I169" s="379">
        <f t="shared" si="77"/>
        <v>114.94006696169987</v>
      </c>
      <c r="J169" s="379">
        <f t="shared" si="77"/>
        <v>113.49705184304338</v>
      </c>
      <c r="K169" s="379">
        <f t="shared" si="77"/>
        <v>112.18497588017743</v>
      </c>
      <c r="L169" s="379">
        <f t="shared" si="77"/>
        <v>110.9926910786043</v>
      </c>
      <c r="M169" s="379">
        <f t="shared" si="77"/>
        <v>109.92839516443571</v>
      </c>
      <c r="N169" s="379">
        <f t="shared" si="77"/>
        <v>108.00530689331706</v>
      </c>
      <c r="O169" s="379">
        <f t="shared" si="77"/>
        <v>107.16762892847751</v>
      </c>
      <c r="P169" s="379">
        <f t="shared" si="77"/>
        <v>106.45091264242501</v>
      </c>
      <c r="Q169" s="379">
        <f t="shared" si="77"/>
        <v>105.85343145749557</v>
      </c>
      <c r="R169" s="379">
        <f t="shared" si="77"/>
        <v>105.37359525736875</v>
      </c>
      <c r="S169" s="379">
        <f t="shared" si="77"/>
        <v>102.69305892365641</v>
      </c>
      <c r="T169" s="379">
        <f t="shared" si="77"/>
        <v>102.86809751277782</v>
      </c>
      <c r="U169" s="379">
        <f t="shared" si="77"/>
        <v>103.15135175633934</v>
      </c>
      <c r="V169" s="379">
        <f t="shared" si="77"/>
        <v>103.54856198318174</v>
      </c>
      <c r="W169" s="379">
        <f t="shared" si="77"/>
        <v>104.05165791862906</v>
      </c>
      <c r="X169" s="379">
        <f t="shared" si="77"/>
        <v>104.03294987565009</v>
      </c>
      <c r="Y169" s="379">
        <f t="shared" si="77"/>
        <v>104.74447314993444</v>
      </c>
      <c r="Z169" s="379">
        <f t="shared" si="77"/>
        <v>105.56925483484176</v>
      </c>
      <c r="AA169" s="379">
        <f t="shared" si="77"/>
        <v>106.50510163795589</v>
      </c>
      <c r="AB169" s="379">
        <f t="shared" si="77"/>
        <v>107.56355488385591</v>
      </c>
      <c r="AC169" s="379">
        <f t="shared" si="77"/>
        <v>108.45785450343051</v>
      </c>
      <c r="AD169" s="379">
        <f t="shared" si="77"/>
        <v>110.90380897721613</v>
      </c>
      <c r="AE169" s="379">
        <f t="shared" si="77"/>
        <v>113.48335921887566</v>
      </c>
      <c r="AF169" s="379">
        <f t="shared" si="77"/>
        <v>116.19889186996953</v>
      </c>
      <c r="AG169" s="379">
        <f t="shared" si="77"/>
        <v>119.04963806147605</v>
      </c>
    </row>
    <row r="170" spans="1:33">
      <c r="A170" s="300" t="str">
        <f>A147</f>
        <v>FCET</v>
      </c>
      <c r="B170" s="300" t="str">
        <f t="shared" si="76"/>
        <v>FCET</v>
      </c>
      <c r="C170" s="379">
        <f t="shared" ref="C170:AG170" si="78">C163</f>
        <v>119.10754999851798</v>
      </c>
      <c r="D170" s="379">
        <f t="shared" si="78"/>
        <v>118.52186386451058</v>
      </c>
      <c r="E170" s="379">
        <f t="shared" si="78"/>
        <v>118.05151483967273</v>
      </c>
      <c r="F170" s="379">
        <f t="shared" si="78"/>
        <v>117.6955722792292</v>
      </c>
      <c r="G170" s="379">
        <f t="shared" si="78"/>
        <v>117.46186716731759</v>
      </c>
      <c r="H170" s="379">
        <f t="shared" si="78"/>
        <v>117.74166960693424</v>
      </c>
      <c r="I170" s="379">
        <f t="shared" si="78"/>
        <v>114.62901158494446</v>
      </c>
      <c r="J170" s="379">
        <f t="shared" si="78"/>
        <v>113.27487143485639</v>
      </c>
      <c r="K170" s="379">
        <f t="shared" si="78"/>
        <v>112.03423908535275</v>
      </c>
      <c r="L170" s="379">
        <f t="shared" si="78"/>
        <v>110.91193873323716</v>
      </c>
      <c r="M170" s="379">
        <f t="shared" si="78"/>
        <v>109.90624779534352</v>
      </c>
      <c r="N170" s="379">
        <f t="shared" si="78"/>
        <v>107.30155217266925</v>
      </c>
      <c r="O170" s="379">
        <f t="shared" si="78"/>
        <v>106.52660777857068</v>
      </c>
      <c r="P170" s="379">
        <f t="shared" si="78"/>
        <v>105.86419374254008</v>
      </c>
      <c r="Q170" s="379">
        <f t="shared" si="78"/>
        <v>105.31793676135345</v>
      </c>
      <c r="R170" s="379">
        <f t="shared" si="78"/>
        <v>104.88176610039724</v>
      </c>
      <c r="S170" s="379">
        <f t="shared" si="78"/>
        <v>102.61101278220364</v>
      </c>
      <c r="T170" s="379">
        <f t="shared" si="78"/>
        <v>102.92946086954132</v>
      </c>
      <c r="U170" s="379">
        <f t="shared" si="78"/>
        <v>103.34914845289191</v>
      </c>
      <c r="V170" s="379">
        <f t="shared" si="78"/>
        <v>103.8710978423336</v>
      </c>
      <c r="W170" s="379">
        <f t="shared" si="78"/>
        <v>104.48587104240833</v>
      </c>
      <c r="X170" s="379">
        <f t="shared" si="78"/>
        <v>103.00978437429256</v>
      </c>
      <c r="Y170" s="379">
        <f t="shared" si="78"/>
        <v>103.81340940580276</v>
      </c>
      <c r="Z170" s="379">
        <f t="shared" si="78"/>
        <v>104.7157864424215</v>
      </c>
      <c r="AA170" s="379">
        <f t="shared" si="78"/>
        <v>105.72702160006993</v>
      </c>
      <c r="AB170" s="379">
        <f t="shared" si="78"/>
        <v>106.83995976187076</v>
      </c>
      <c r="AC170" s="379">
        <f t="shared" si="78"/>
        <v>107.729290886537</v>
      </c>
      <c r="AD170" s="379">
        <f t="shared" si="78"/>
        <v>110.16414532889073</v>
      </c>
      <c r="AE170" s="379">
        <f t="shared" si="78"/>
        <v>112.71788154663395</v>
      </c>
      <c r="AF170" s="379">
        <f t="shared" si="78"/>
        <v>115.39630434681487</v>
      </c>
      <c r="AG170" s="379">
        <f t="shared" si="78"/>
        <v>118.19678522065837</v>
      </c>
    </row>
    <row r="171" spans="1:33">
      <c r="A171" s="300" t="s">
        <v>334</v>
      </c>
      <c r="C171" s="379">
        <f t="shared" ref="C171:AG171" si="79">C165*0.9</f>
        <v>54.326100817542994</v>
      </c>
      <c r="D171" s="379">
        <f t="shared" si="79"/>
        <v>58.227616517019037</v>
      </c>
      <c r="E171" s="379">
        <f t="shared" si="79"/>
        <v>59.643039283657551</v>
      </c>
      <c r="F171" s="379">
        <f t="shared" si="79"/>
        <v>61.097224880798947</v>
      </c>
      <c r="G171" s="379">
        <f t="shared" si="79"/>
        <v>62.598845719013973</v>
      </c>
      <c r="H171" s="379">
        <f t="shared" si="79"/>
        <v>64.665001637667686</v>
      </c>
      <c r="I171" s="379">
        <f t="shared" si="79"/>
        <v>66.272208061033709</v>
      </c>
      <c r="J171" s="379">
        <f t="shared" si="79"/>
        <v>67.922287139215641</v>
      </c>
      <c r="K171" s="379">
        <f t="shared" si="79"/>
        <v>69.624142651444316</v>
      </c>
      <c r="L171" s="379">
        <f t="shared" si="79"/>
        <v>71.371080744752362</v>
      </c>
      <c r="M171" s="379">
        <f t="shared" si="79"/>
        <v>73.172060914052537</v>
      </c>
      <c r="N171" s="379">
        <f t="shared" si="79"/>
        <v>75.807536994107323</v>
      </c>
      <c r="O171" s="379">
        <f t="shared" si="79"/>
        <v>77.743280497029488</v>
      </c>
      <c r="P171" s="379">
        <f t="shared" si="79"/>
        <v>79.737259628841528</v>
      </c>
      <c r="Q171" s="379">
        <f t="shared" si="79"/>
        <v>81.790767658134996</v>
      </c>
      <c r="R171" s="379">
        <f t="shared" si="79"/>
        <v>83.904989516972606</v>
      </c>
      <c r="S171" s="379">
        <f t="shared" si="79"/>
        <v>86.081429528643682</v>
      </c>
      <c r="T171" s="379">
        <f t="shared" si="79"/>
        <v>88.329298674552348</v>
      </c>
      <c r="U171" s="379">
        <f t="shared" si="79"/>
        <v>90.642220580782265</v>
      </c>
      <c r="V171" s="379">
        <f t="shared" si="79"/>
        <v>93.029482886840697</v>
      </c>
      <c r="W171" s="379">
        <f t="shared" si="79"/>
        <v>95.484788666404526</v>
      </c>
      <c r="X171" s="379">
        <f t="shared" si="79"/>
        <v>99.06512774853735</v>
      </c>
      <c r="Y171" s="379">
        <f t="shared" si="79"/>
        <v>101.70857426998664</v>
      </c>
      <c r="Z171" s="379">
        <f t="shared" si="79"/>
        <v>104.43376078942042</v>
      </c>
      <c r="AA171" s="379">
        <f t="shared" si="79"/>
        <v>107.24255558725534</v>
      </c>
      <c r="AB171" s="379">
        <f t="shared" si="79"/>
        <v>110.14468783554891</v>
      </c>
      <c r="AC171" s="379">
        <f t="shared" si="79"/>
        <v>113.13415854758873</v>
      </c>
      <c r="AD171" s="379">
        <f t="shared" si="79"/>
        <v>116.22079908121192</v>
      </c>
      <c r="AE171" s="379">
        <f t="shared" si="79"/>
        <v>119.40668222697995</v>
      </c>
      <c r="AF171" s="379">
        <f t="shared" si="79"/>
        <v>122.69393669832063</v>
      </c>
      <c r="AG171" s="379">
        <f t="shared" si="79"/>
        <v>126.0847491979185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1.7246381211918409</v>
      </c>
      <c r="D174" s="379">
        <f t="shared" si="81"/>
        <v>1.8484957624450487</v>
      </c>
      <c r="E174" s="379">
        <f t="shared" si="81"/>
        <v>1.8934298185288112</v>
      </c>
      <c r="F174" s="379">
        <f t="shared" si="81"/>
        <v>1.9395944406602841</v>
      </c>
      <c r="G174" s="379">
        <f t="shared" si="81"/>
        <v>1.9872649434607608</v>
      </c>
      <c r="H174" s="379">
        <f t="shared" si="81"/>
        <v>2.052857194846593</v>
      </c>
      <c r="I174" s="379">
        <f t="shared" si="81"/>
        <v>2.1038796209851971</v>
      </c>
      <c r="J174" s="379">
        <f t="shared" si="81"/>
        <v>2.1562630837846233</v>
      </c>
      <c r="K174" s="379">
        <f t="shared" si="81"/>
        <v>2.2102902429029943</v>
      </c>
      <c r="L174" s="379">
        <f t="shared" si="81"/>
        <v>2.2657485950715035</v>
      </c>
      <c r="M174" s="379">
        <f t="shared" si="81"/>
        <v>2.3229225687000805</v>
      </c>
      <c r="N174" s="379">
        <f t="shared" si="81"/>
        <v>2.4065884760034071</v>
      </c>
      <c r="O174" s="379">
        <f t="shared" si="81"/>
        <v>2.4680406506993484</v>
      </c>
      <c r="P174" s="379">
        <f t="shared" si="81"/>
        <v>2.5313415755187783</v>
      </c>
      <c r="Q174" s="379">
        <f t="shared" si="81"/>
        <v>2.5965323066074597</v>
      </c>
      <c r="R174" s="379">
        <f t="shared" si="81"/>
        <v>2.6636504608562732</v>
      </c>
      <c r="S174" s="379">
        <f t="shared" si="81"/>
        <v>2.732743794560117</v>
      </c>
      <c r="T174" s="379">
        <f t="shared" si="81"/>
        <v>2.8041047198270581</v>
      </c>
      <c r="U174" s="379">
        <f t="shared" si="81"/>
        <v>2.8775308120883261</v>
      </c>
      <c r="V174" s="379">
        <f t="shared" si="81"/>
        <v>2.9533169170425619</v>
      </c>
      <c r="W174" s="379">
        <f t="shared" si="81"/>
        <v>3.0312631322668104</v>
      </c>
      <c r="X174" s="379">
        <f t="shared" si="81"/>
        <v>3.144924690429757</v>
      </c>
      <c r="Y174" s="379">
        <f t="shared" si="81"/>
        <v>3.2288436276186232</v>
      </c>
      <c r="Z174" s="379">
        <f t="shared" si="81"/>
        <v>3.315357485378426</v>
      </c>
      <c r="AA174" s="379">
        <f t="shared" si="81"/>
        <v>3.404525574198582</v>
      </c>
      <c r="AB174" s="379">
        <f t="shared" si="81"/>
        <v>3.496656756684092</v>
      </c>
      <c r="AC174" s="379">
        <f t="shared" si="81"/>
        <v>3.5915605888123401</v>
      </c>
      <c r="AD174" s="379">
        <f t="shared" si="81"/>
        <v>3.6895491771813305</v>
      </c>
      <c r="AE174" s="379">
        <f t="shared" si="81"/>
        <v>3.7906883246660303</v>
      </c>
      <c r="AF174" s="379">
        <f t="shared" si="81"/>
        <v>3.8950456094704959</v>
      </c>
      <c r="AG174" s="379">
        <f t="shared" si="81"/>
        <v>4.0026904507275711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3.3375782331693018</v>
      </c>
      <c r="D175" s="379">
        <f t="shared" si="83"/>
        <v>3.3374518020371462</v>
      </c>
      <c r="E175" s="379">
        <f t="shared" si="83"/>
        <v>3.3405871111152097</v>
      </c>
      <c r="F175" s="379">
        <f t="shared" si="83"/>
        <v>3.3470026815614076</v>
      </c>
      <c r="G175" s="379">
        <f t="shared" si="83"/>
        <v>3.356811354727343</v>
      </c>
      <c r="H175" s="379">
        <f t="shared" si="83"/>
        <v>3.3907292558054909</v>
      </c>
      <c r="I175" s="379">
        <f t="shared" si="83"/>
        <v>3.2840019131914246</v>
      </c>
      <c r="J175" s="379">
        <f t="shared" si="83"/>
        <v>3.2427729098012392</v>
      </c>
      <c r="K175" s="379">
        <f t="shared" si="83"/>
        <v>3.2052850251479268</v>
      </c>
      <c r="L175" s="379">
        <f t="shared" si="83"/>
        <v>3.17121974510298</v>
      </c>
      <c r="M175" s="379">
        <f t="shared" si="83"/>
        <v>3.140811290412449</v>
      </c>
      <c r="N175" s="379">
        <f t="shared" si="83"/>
        <v>3.0858659112376303</v>
      </c>
      <c r="O175" s="379">
        <f t="shared" si="83"/>
        <v>3.0619322550993573</v>
      </c>
      <c r="P175" s="379">
        <f t="shared" si="83"/>
        <v>3.0414546469264288</v>
      </c>
      <c r="Q175" s="379">
        <f t="shared" si="83"/>
        <v>3.024383755928445</v>
      </c>
      <c r="R175" s="379">
        <f t="shared" si="83"/>
        <v>3.0106741502105354</v>
      </c>
      <c r="S175" s="379">
        <f t="shared" si="83"/>
        <v>2.9340873978187547</v>
      </c>
      <c r="T175" s="379">
        <f t="shared" si="83"/>
        <v>2.9390885003650808</v>
      </c>
      <c r="U175" s="379">
        <f t="shared" si="83"/>
        <v>2.9471814787525523</v>
      </c>
      <c r="V175" s="379">
        <f t="shared" si="83"/>
        <v>2.9585303423766209</v>
      </c>
      <c r="W175" s="379">
        <f t="shared" si="83"/>
        <v>2.9729045119608304</v>
      </c>
      <c r="X175" s="379">
        <f t="shared" si="83"/>
        <v>2.9723699964471457</v>
      </c>
      <c r="Y175" s="379">
        <f t="shared" si="83"/>
        <v>2.9926992328552693</v>
      </c>
      <c r="Z175" s="379">
        <f t="shared" si="83"/>
        <v>3.0162644238526215</v>
      </c>
      <c r="AA175" s="379">
        <f t="shared" si="83"/>
        <v>3.0430029039415967</v>
      </c>
      <c r="AB175" s="379">
        <f t="shared" si="83"/>
        <v>3.073244425253026</v>
      </c>
      <c r="AC175" s="379">
        <f t="shared" si="83"/>
        <v>3.0987958429551576</v>
      </c>
      <c r="AD175" s="379">
        <f t="shared" si="83"/>
        <v>3.1686802564918897</v>
      </c>
      <c r="AE175" s="379">
        <f t="shared" si="83"/>
        <v>3.2423816919678763</v>
      </c>
      <c r="AF175" s="379">
        <f t="shared" si="83"/>
        <v>3.3199683391419867</v>
      </c>
      <c r="AG175" s="379">
        <f t="shared" si="83"/>
        <v>3.401418230327887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1.6596609806871958</v>
      </c>
      <c r="D176" s="379">
        <f t="shared" si="84"/>
        <v>1.7132457790943147</v>
      </c>
      <c r="E176" s="379">
        <f t="shared" si="84"/>
        <v>1.7636526092689095</v>
      </c>
      <c r="F176" s="379">
        <f t="shared" si="84"/>
        <v>1.8156772266131669</v>
      </c>
      <c r="G176" s="379">
        <f t="shared" si="84"/>
        <v>1.8695622539407732</v>
      </c>
      <c r="H176" s="379">
        <f t="shared" si="84"/>
        <v>1.9424867409291844</v>
      </c>
      <c r="I176" s="379">
        <f t="shared" si="84"/>
        <v>2.0005273750673589</v>
      </c>
      <c r="J176" s="379">
        <f t="shared" si="84"/>
        <v>2.0603889495608847</v>
      </c>
      <c r="K176" s="379">
        <f t="shared" si="84"/>
        <v>2.1223195220906637</v>
      </c>
      <c r="L176" s="379">
        <f t="shared" si="84"/>
        <v>2.1861593199354612</v>
      </c>
      <c r="M176" s="379">
        <f t="shared" si="84"/>
        <v>2.2522027717309614</v>
      </c>
      <c r="N176" s="379">
        <f t="shared" si="84"/>
        <v>2.347535147666076</v>
      </c>
      <c r="O176" s="379">
        <f t="shared" si="84"/>
        <v>2.4188968438708391</v>
      </c>
      <c r="P176" s="379">
        <f t="shared" si="84"/>
        <v>2.4926324193472387</v>
      </c>
      <c r="Q176" s="379">
        <f t="shared" si="84"/>
        <v>2.5688418679465452</v>
      </c>
      <c r="R176" s="379">
        <f t="shared" si="84"/>
        <v>2.6475800971016015</v>
      </c>
      <c r="S176" s="379">
        <f t="shared" si="84"/>
        <v>2.7288569915361109</v>
      </c>
      <c r="T176" s="379">
        <f t="shared" si="84"/>
        <v>2.8130731119284564</v>
      </c>
      <c r="U176" s="379">
        <f t="shared" si="84"/>
        <v>2.8999942904429457</v>
      </c>
      <c r="V176" s="379">
        <f t="shared" si="84"/>
        <v>2.9899782860257087</v>
      </c>
      <c r="W176" s="379">
        <f t="shared" si="84"/>
        <v>3.0827951774520392</v>
      </c>
      <c r="X176" s="379">
        <f t="shared" si="84"/>
        <v>3.2146427142690852</v>
      </c>
      <c r="Y176" s="379">
        <f t="shared" si="84"/>
        <v>3.3149396647332017</v>
      </c>
      <c r="Z176" s="379">
        <f t="shared" si="84"/>
        <v>3.4187024002208868</v>
      </c>
      <c r="AA176" s="379">
        <f t="shared" si="84"/>
        <v>3.5259044524237555</v>
      </c>
      <c r="AB176" s="379">
        <f t="shared" si="84"/>
        <v>3.6369212788940404</v>
      </c>
      <c r="AC176" s="379">
        <f t="shared" si="84"/>
        <v>3.7515845169365147</v>
      </c>
      <c r="AD176" s="379">
        <f t="shared" si="84"/>
        <v>3.8702750355826732</v>
      </c>
      <c r="AE176" s="379">
        <f t="shared" si="84"/>
        <v>3.9930780907020331</v>
      </c>
      <c r="AF176" s="379">
        <f t="shared" si="84"/>
        <v>4.1200818889679498</v>
      </c>
      <c r="AG176" s="379">
        <f t="shared" si="84"/>
        <v>4.2513776923047022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2.0147558974230617</v>
      </c>
      <c r="D177" s="379">
        <f t="shared" si="85"/>
        <v>2.0336317397799668</v>
      </c>
      <c r="E177" s="379">
        <f t="shared" si="85"/>
        <v>2.0499835828611146</v>
      </c>
      <c r="F177" s="379">
        <f t="shared" si="85"/>
        <v>2.0504918882540588</v>
      </c>
      <c r="G177" s="379">
        <f t="shared" si="85"/>
        <v>2.0487074423476015</v>
      </c>
      <c r="H177" s="379">
        <f t="shared" si="85"/>
        <v>2.0691257945516957</v>
      </c>
      <c r="I177" s="379">
        <f t="shared" si="85"/>
        <v>2.008088367555052</v>
      </c>
      <c r="J177" s="379">
        <f t="shared" si="85"/>
        <v>2.0207418494179419</v>
      </c>
      <c r="K177" s="379">
        <f t="shared" si="85"/>
        <v>2.0269224714097538</v>
      </c>
      <c r="L177" s="379">
        <f t="shared" si="85"/>
        <v>2.0376158795729986</v>
      </c>
      <c r="M177" s="379">
        <f t="shared" si="85"/>
        <v>2.0532523921811552</v>
      </c>
      <c r="N177" s="379">
        <f t="shared" si="85"/>
        <v>2.03589377413619</v>
      </c>
      <c r="O177" s="379">
        <f t="shared" si="85"/>
        <v>2.0629231326813615</v>
      </c>
      <c r="P177" s="379">
        <f t="shared" si="85"/>
        <v>2.0903813031675553</v>
      </c>
      <c r="Q177" s="379">
        <f t="shared" si="85"/>
        <v>2.1214042574620731</v>
      </c>
      <c r="R177" s="379">
        <f t="shared" si="85"/>
        <v>2.1560923917094525</v>
      </c>
      <c r="S177" s="379">
        <f t="shared" si="85"/>
        <v>2.1894123343761782</v>
      </c>
      <c r="T177" s="379">
        <f t="shared" si="85"/>
        <v>2.2366734462939992</v>
      </c>
      <c r="U177" s="379">
        <f t="shared" si="85"/>
        <v>2.2844762150036182</v>
      </c>
      <c r="V177" s="379">
        <f t="shared" si="85"/>
        <v>2.3345366312772113</v>
      </c>
      <c r="W177" s="379">
        <f t="shared" si="85"/>
        <v>2.3864923226288606</v>
      </c>
      <c r="X177" s="379">
        <f t="shared" si="85"/>
        <v>2.3923807923615636</v>
      </c>
      <c r="Y177" s="379">
        <f t="shared" si="85"/>
        <v>2.4483112513677727</v>
      </c>
      <c r="Z177" s="379">
        <f t="shared" si="85"/>
        <v>2.506647172093416</v>
      </c>
      <c r="AA177" s="379">
        <f t="shared" si="85"/>
        <v>2.567692071029076</v>
      </c>
      <c r="AB177" s="379">
        <f t="shared" si="85"/>
        <v>2.6312673805026532</v>
      </c>
      <c r="AC177" s="379">
        <f t="shared" si="85"/>
        <v>2.7095869057794975</v>
      </c>
      <c r="AD177" s="379">
        <f t="shared" si="85"/>
        <v>2.792872088384009</v>
      </c>
      <c r="AE177" s="379">
        <f t="shared" si="85"/>
        <v>2.8791326691576624</v>
      </c>
      <c r="AF177" s="379">
        <f t="shared" si="85"/>
        <v>2.9689039237243002</v>
      </c>
      <c r="AG177" s="379">
        <f t="shared" si="85"/>
        <v>3.0620338160862999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3.403072857100514</v>
      </c>
      <c r="D178" s="379">
        <f t="shared" si="87"/>
        <v>3.3863389675574451</v>
      </c>
      <c r="E178" s="379">
        <f t="shared" si="87"/>
        <v>3.3729004239906497</v>
      </c>
      <c r="F178" s="379">
        <f t="shared" si="87"/>
        <v>3.3627306365494056</v>
      </c>
      <c r="G178" s="379">
        <f t="shared" si="87"/>
        <v>3.3560533476376455</v>
      </c>
      <c r="H178" s="379">
        <f t="shared" si="87"/>
        <v>3.364047703055264</v>
      </c>
      <c r="I178" s="379">
        <f t="shared" si="87"/>
        <v>3.275114616712699</v>
      </c>
      <c r="J178" s="379">
        <f t="shared" si="87"/>
        <v>3.2364248981387544</v>
      </c>
      <c r="K178" s="379">
        <f t="shared" si="87"/>
        <v>3.2009782595815071</v>
      </c>
      <c r="L178" s="379">
        <f t="shared" si="87"/>
        <v>3.1689125352353478</v>
      </c>
      <c r="M178" s="379">
        <f t="shared" si="87"/>
        <v>3.1401785084383866</v>
      </c>
      <c r="N178" s="379">
        <f t="shared" si="87"/>
        <v>3.0657586335048355</v>
      </c>
      <c r="O178" s="379">
        <f t="shared" si="87"/>
        <v>3.0436173651020195</v>
      </c>
      <c r="P178" s="379">
        <f t="shared" si="87"/>
        <v>3.0246912497868594</v>
      </c>
      <c r="Q178" s="379">
        <f t="shared" si="87"/>
        <v>3.0090839074672417</v>
      </c>
      <c r="R178" s="379">
        <f t="shared" si="87"/>
        <v>2.9966218885827782</v>
      </c>
      <c r="S178" s="379">
        <f t="shared" si="87"/>
        <v>2.9317432223486755</v>
      </c>
      <c r="T178" s="379">
        <f t="shared" si="87"/>
        <v>2.9408417391297519</v>
      </c>
      <c r="U178" s="379">
        <f t="shared" si="87"/>
        <v>2.9528328129397687</v>
      </c>
      <c r="V178" s="379">
        <f t="shared" si="87"/>
        <v>2.967745652638103</v>
      </c>
      <c r="W178" s="379">
        <f t="shared" si="87"/>
        <v>2.9853106012116664</v>
      </c>
      <c r="X178" s="379">
        <f t="shared" si="87"/>
        <v>2.9431366964083594</v>
      </c>
      <c r="Y178" s="379">
        <f t="shared" si="87"/>
        <v>2.9660974115943644</v>
      </c>
      <c r="Z178" s="379">
        <f t="shared" si="87"/>
        <v>2.9918796126406142</v>
      </c>
      <c r="AA178" s="379">
        <f t="shared" si="87"/>
        <v>3.0207720457162837</v>
      </c>
      <c r="AB178" s="379">
        <f t="shared" si="87"/>
        <v>3.0525702789105931</v>
      </c>
      <c r="AC178" s="379">
        <f t="shared" si="87"/>
        <v>3.0779797396153428</v>
      </c>
      <c r="AD178" s="379">
        <f t="shared" si="87"/>
        <v>3.1475470093968778</v>
      </c>
      <c r="AE178" s="379">
        <f t="shared" si="87"/>
        <v>3.2205109013323985</v>
      </c>
      <c r="AF178" s="379">
        <f t="shared" si="87"/>
        <v>3.2970372670518535</v>
      </c>
      <c r="AG178" s="379">
        <f t="shared" si="87"/>
        <v>3.3770510063045247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3.5134970501037754</v>
      </c>
      <c r="D179" s="379">
        <f t="shared" si="88"/>
        <v>3.4962201729944122</v>
      </c>
      <c r="E179" s="379">
        <f t="shared" si="88"/>
        <v>3.4823455704918209</v>
      </c>
      <c r="F179" s="379">
        <f t="shared" si="88"/>
        <v>3.4718457899477637</v>
      </c>
      <c r="G179" s="379">
        <f t="shared" si="88"/>
        <v>3.4649518338441769</v>
      </c>
      <c r="H179" s="379">
        <f t="shared" si="88"/>
        <v>3.473205593124904</v>
      </c>
      <c r="I179" s="379">
        <f t="shared" si="88"/>
        <v>3.3813867724172408</v>
      </c>
      <c r="J179" s="379">
        <f t="shared" si="88"/>
        <v>3.3414416352465013</v>
      </c>
      <c r="K179" s="379">
        <f t="shared" si="88"/>
        <v>3.3048448107773676</v>
      </c>
      <c r="L179" s="379">
        <f t="shared" si="88"/>
        <v>3.2717386057002114</v>
      </c>
      <c r="M179" s="379">
        <f t="shared" si="88"/>
        <v>3.2420722063523164</v>
      </c>
      <c r="N179" s="379">
        <f t="shared" si="88"/>
        <v>3.1652375272173816</v>
      </c>
      <c r="O179" s="379">
        <f t="shared" si="88"/>
        <v>3.1423778105773064</v>
      </c>
      <c r="P179" s="379">
        <f t="shared" si="88"/>
        <v>3.1228375735262563</v>
      </c>
      <c r="Q179" s="379">
        <f t="shared" si="88"/>
        <v>3.1067237982700133</v>
      </c>
      <c r="R179" s="379">
        <f t="shared" si="88"/>
        <v>3.0938574070913645</v>
      </c>
      <c r="S179" s="379">
        <f t="shared" si="88"/>
        <v>3.0268735333983376</v>
      </c>
      <c r="T179" s="379">
        <f t="shared" si="88"/>
        <v>3.0362672822873544</v>
      </c>
      <c r="U179" s="379">
        <f t="shared" si="88"/>
        <v>3.0486474469879621</v>
      </c>
      <c r="V179" s="379">
        <f t="shared" si="88"/>
        <v>3.0640441841396342</v>
      </c>
      <c r="W179" s="379">
        <f t="shared" si="88"/>
        <v>3.0821790867967063</v>
      </c>
      <c r="X179" s="379">
        <f t="shared" si="88"/>
        <v>3.0386367072062703</v>
      </c>
      <c r="Y179" s="379">
        <f t="shared" si="88"/>
        <v>3.0623424603481642</v>
      </c>
      <c r="Z179" s="379">
        <f t="shared" si="88"/>
        <v>3.088961251988835</v>
      </c>
      <c r="AA179" s="379">
        <f t="shared" si="88"/>
        <v>3.1187911976421807</v>
      </c>
      <c r="AB179" s="379">
        <f t="shared" si="88"/>
        <v>3.1516212319135919</v>
      </c>
      <c r="AC179" s="379">
        <f t="shared" si="88"/>
        <v>3.1778551883934218</v>
      </c>
      <c r="AD179" s="379">
        <f t="shared" si="88"/>
        <v>3.2496798032121159</v>
      </c>
      <c r="AE179" s="379">
        <f t="shared" si="88"/>
        <v>3.3250112550629485</v>
      </c>
      <c r="AF179" s="379">
        <f t="shared" si="88"/>
        <v>3.4040207771921791</v>
      </c>
      <c r="AG179" s="379">
        <f t="shared" si="88"/>
        <v>3.4866308324677981</v>
      </c>
    </row>
    <row r="180" spans="1:33">
      <c r="A180" s="300" t="s">
        <v>334</v>
      </c>
      <c r="C180" s="379">
        <f t="shared" ref="C180:AG180" si="89">C174*0.9</f>
        <v>1.5521743090726567</v>
      </c>
      <c r="D180" s="379">
        <f t="shared" si="89"/>
        <v>1.6636461862005438</v>
      </c>
      <c r="E180" s="379">
        <f t="shared" si="89"/>
        <v>1.7040868366759301</v>
      </c>
      <c r="F180" s="379">
        <f t="shared" si="89"/>
        <v>1.7456349965942557</v>
      </c>
      <c r="G180" s="379">
        <f t="shared" si="89"/>
        <v>1.7885384491146847</v>
      </c>
      <c r="H180" s="379">
        <f t="shared" si="89"/>
        <v>1.8475714753619337</v>
      </c>
      <c r="I180" s="379">
        <f t="shared" si="89"/>
        <v>1.8934916588866775</v>
      </c>
      <c r="J180" s="379">
        <f t="shared" si="89"/>
        <v>1.9406367754061611</v>
      </c>
      <c r="K180" s="379">
        <f t="shared" si="89"/>
        <v>1.9892612186126948</v>
      </c>
      <c r="L180" s="379">
        <f t="shared" si="89"/>
        <v>2.0391737355643533</v>
      </c>
      <c r="M180" s="379">
        <f t="shared" si="89"/>
        <v>2.0906303118300724</v>
      </c>
      <c r="N180" s="379">
        <f t="shared" si="89"/>
        <v>2.1659296284030662</v>
      </c>
      <c r="O180" s="379">
        <f t="shared" si="89"/>
        <v>2.2212365856294136</v>
      </c>
      <c r="P180" s="379">
        <f t="shared" si="89"/>
        <v>2.2782074179669003</v>
      </c>
      <c r="Q180" s="379">
        <f t="shared" si="89"/>
        <v>2.336879075946714</v>
      </c>
      <c r="R180" s="379">
        <f t="shared" si="89"/>
        <v>2.3972854147706459</v>
      </c>
      <c r="S180" s="379">
        <f t="shared" si="89"/>
        <v>2.4594694151041052</v>
      </c>
      <c r="T180" s="379">
        <f t="shared" si="89"/>
        <v>2.5236942478443525</v>
      </c>
      <c r="U180" s="379">
        <f t="shared" si="89"/>
        <v>2.5897777308794936</v>
      </c>
      <c r="V180" s="379">
        <f t="shared" si="89"/>
        <v>2.6579852253383058</v>
      </c>
      <c r="W180" s="379">
        <f t="shared" si="89"/>
        <v>2.7281368190401296</v>
      </c>
      <c r="X180" s="379">
        <f t="shared" si="89"/>
        <v>2.8304322213867814</v>
      </c>
      <c r="Y180" s="379">
        <f t="shared" si="89"/>
        <v>2.9059592648567611</v>
      </c>
      <c r="Z180" s="379">
        <f t="shared" si="89"/>
        <v>2.9838217368405835</v>
      </c>
      <c r="AA180" s="379">
        <f t="shared" si="89"/>
        <v>3.0640730167787238</v>
      </c>
      <c r="AB180" s="379">
        <f t="shared" si="89"/>
        <v>3.1469910810156829</v>
      </c>
      <c r="AC180" s="379">
        <f t="shared" si="89"/>
        <v>3.2324045299311059</v>
      </c>
      <c r="AD180" s="379">
        <f t="shared" si="89"/>
        <v>3.3205942594631974</v>
      </c>
      <c r="AE180" s="379">
        <f t="shared" si="89"/>
        <v>3.4116194921994274</v>
      </c>
      <c r="AF180" s="379">
        <f t="shared" si="89"/>
        <v>3.5055410485234466</v>
      </c>
      <c r="AG180" s="379">
        <f t="shared" si="89"/>
        <v>3.6024214056548143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1.9162645791020456</v>
      </c>
      <c r="D183" s="379">
        <f t="shared" si="91"/>
        <v>2.0538841804944985</v>
      </c>
      <c r="E183" s="379">
        <f t="shared" si="91"/>
        <v>2.103810909476457</v>
      </c>
      <c r="F183" s="379">
        <f t="shared" si="91"/>
        <v>2.1551049340669821</v>
      </c>
      <c r="G183" s="379">
        <f t="shared" si="91"/>
        <v>2.2080721594008454</v>
      </c>
      <c r="H183" s="379">
        <f t="shared" si="91"/>
        <v>2.2809524387184368</v>
      </c>
      <c r="I183" s="379">
        <f t="shared" si="91"/>
        <v>2.3376440233168854</v>
      </c>
      <c r="J183" s="379">
        <f t="shared" si="91"/>
        <v>2.3958478708718034</v>
      </c>
      <c r="K183" s="379">
        <f t="shared" si="91"/>
        <v>2.4558780476699935</v>
      </c>
      <c r="L183" s="379">
        <f t="shared" si="91"/>
        <v>2.5174984389683375</v>
      </c>
      <c r="M183" s="379">
        <f t="shared" si="91"/>
        <v>2.5810250763334226</v>
      </c>
      <c r="N183" s="379">
        <f t="shared" si="91"/>
        <v>2.6739871955593415</v>
      </c>
      <c r="O183" s="379">
        <f t="shared" si="91"/>
        <v>2.7422673896659426</v>
      </c>
      <c r="P183" s="379">
        <f t="shared" si="91"/>
        <v>2.8126017505764205</v>
      </c>
      <c r="Q183" s="379">
        <f t="shared" si="91"/>
        <v>2.8850358962305109</v>
      </c>
      <c r="R183" s="379">
        <f t="shared" si="91"/>
        <v>2.9596116231736369</v>
      </c>
      <c r="S183" s="379">
        <f t="shared" si="91"/>
        <v>3.0363819939556853</v>
      </c>
      <c r="T183" s="379">
        <f t="shared" si="91"/>
        <v>3.1156719109189539</v>
      </c>
      <c r="U183" s="379">
        <f t="shared" si="91"/>
        <v>3.1972564578759175</v>
      </c>
      <c r="V183" s="379">
        <f t="shared" si="91"/>
        <v>3.2814632411584017</v>
      </c>
      <c r="W183" s="379">
        <f t="shared" si="91"/>
        <v>3.3680701469631225</v>
      </c>
      <c r="X183" s="379">
        <f t="shared" si="91"/>
        <v>3.4943607671441743</v>
      </c>
      <c r="Y183" s="379">
        <f t="shared" si="91"/>
        <v>3.5876040306873591</v>
      </c>
      <c r="Z183" s="379">
        <f t="shared" si="91"/>
        <v>3.6837305393093618</v>
      </c>
      <c r="AA183" s="379">
        <f t="shared" si="91"/>
        <v>3.7828061935539803</v>
      </c>
      <c r="AB183" s="379">
        <f t="shared" si="91"/>
        <v>3.8851741740934358</v>
      </c>
      <c r="AC183" s="379">
        <f t="shared" si="91"/>
        <v>3.9906228764581559</v>
      </c>
      <c r="AD183" s="379">
        <f t="shared" si="91"/>
        <v>4.0994990857570341</v>
      </c>
      <c r="AE183" s="379">
        <f t="shared" si="91"/>
        <v>4.2118759162955897</v>
      </c>
      <c r="AF183" s="379">
        <f t="shared" si="91"/>
        <v>4.327828454967217</v>
      </c>
      <c r="AG183" s="379">
        <f t="shared" si="91"/>
        <v>4.4474338341417461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3.7084202590770023</v>
      </c>
      <c r="D184" s="379">
        <f t="shared" si="93"/>
        <v>3.7082797800412735</v>
      </c>
      <c r="E184" s="379">
        <f t="shared" si="93"/>
        <v>3.7117634567946776</v>
      </c>
      <c r="F184" s="379">
        <f t="shared" si="93"/>
        <v>3.7188918684015642</v>
      </c>
      <c r="G184" s="379">
        <f t="shared" si="93"/>
        <v>3.7297903941414923</v>
      </c>
      <c r="H184" s="379">
        <f t="shared" si="93"/>
        <v>3.7674769508949901</v>
      </c>
      <c r="I184" s="379">
        <f t="shared" si="93"/>
        <v>3.6488910146571389</v>
      </c>
      <c r="J184" s="379">
        <f t="shared" si="93"/>
        <v>3.603081010890266</v>
      </c>
      <c r="K184" s="379">
        <f t="shared" si="93"/>
        <v>3.5614278057199185</v>
      </c>
      <c r="L184" s="379">
        <f t="shared" si="93"/>
        <v>3.5235774945588663</v>
      </c>
      <c r="M184" s="379">
        <f t="shared" si="93"/>
        <v>3.4897903226804985</v>
      </c>
      <c r="N184" s="379">
        <f t="shared" si="93"/>
        <v>3.4287399013751449</v>
      </c>
      <c r="O184" s="379">
        <f t="shared" si="93"/>
        <v>3.4021469501103971</v>
      </c>
      <c r="P184" s="379">
        <f t="shared" si="93"/>
        <v>3.3793940521404764</v>
      </c>
      <c r="Q184" s="379">
        <f t="shared" si="93"/>
        <v>3.36042639547605</v>
      </c>
      <c r="R184" s="379">
        <f t="shared" si="93"/>
        <v>3.3451935002339286</v>
      </c>
      <c r="S184" s="379">
        <f t="shared" si="93"/>
        <v>3.2600971086875052</v>
      </c>
      <c r="T184" s="379">
        <f t="shared" si="93"/>
        <v>3.2656538892945344</v>
      </c>
      <c r="U184" s="379">
        <f t="shared" si="93"/>
        <v>3.2746460875028363</v>
      </c>
      <c r="V184" s="379">
        <f t="shared" si="93"/>
        <v>3.2872559359740237</v>
      </c>
      <c r="W184" s="379">
        <f t="shared" si="93"/>
        <v>3.3032272355120336</v>
      </c>
      <c r="X184" s="379">
        <f t="shared" si="93"/>
        <v>3.3026333293857171</v>
      </c>
      <c r="Y184" s="379">
        <f t="shared" si="93"/>
        <v>3.3252213698391886</v>
      </c>
      <c r="Z184" s="379">
        <f t="shared" si="93"/>
        <v>3.351404915391802</v>
      </c>
      <c r="AA184" s="379">
        <f t="shared" si="93"/>
        <v>3.3811143377128854</v>
      </c>
      <c r="AB184" s="379">
        <f t="shared" si="93"/>
        <v>3.4147160280589182</v>
      </c>
      <c r="AC184" s="379">
        <f t="shared" si="93"/>
        <v>3.4431064921723968</v>
      </c>
      <c r="AD184" s="379">
        <f t="shared" si="93"/>
        <v>3.5207558405465438</v>
      </c>
      <c r="AE184" s="379">
        <f t="shared" si="93"/>
        <v>3.6026463244087514</v>
      </c>
      <c r="AF184" s="379">
        <f t="shared" si="93"/>
        <v>3.6888537101577628</v>
      </c>
      <c r="AG184" s="379">
        <f t="shared" si="93"/>
        <v>3.779353589253208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1.8440677563191064</v>
      </c>
      <c r="D185" s="379">
        <f t="shared" si="94"/>
        <v>1.9036064212159052</v>
      </c>
      <c r="E185" s="379">
        <f t="shared" si="94"/>
        <v>1.9596140102987885</v>
      </c>
      <c r="F185" s="379">
        <f t="shared" si="94"/>
        <v>2.0174191406812967</v>
      </c>
      <c r="G185" s="379">
        <f t="shared" si="94"/>
        <v>2.0772913932675259</v>
      </c>
      <c r="H185" s="379">
        <f t="shared" si="94"/>
        <v>2.1583186010324273</v>
      </c>
      <c r="I185" s="379">
        <f t="shared" si="94"/>
        <v>2.2228081945192875</v>
      </c>
      <c r="J185" s="379">
        <f t="shared" si="94"/>
        <v>2.2893210550676497</v>
      </c>
      <c r="K185" s="379">
        <f t="shared" si="94"/>
        <v>2.3581328023229595</v>
      </c>
      <c r="L185" s="379">
        <f t="shared" si="94"/>
        <v>2.4290659110394017</v>
      </c>
      <c r="M185" s="379">
        <f t="shared" si="94"/>
        <v>2.5024475241455129</v>
      </c>
      <c r="N185" s="379">
        <f t="shared" si="94"/>
        <v>2.6083723862956401</v>
      </c>
      <c r="O185" s="379">
        <f t="shared" si="94"/>
        <v>2.6876631598564882</v>
      </c>
      <c r="P185" s="379">
        <f t="shared" si="94"/>
        <v>2.7695915770524873</v>
      </c>
      <c r="Q185" s="379">
        <f t="shared" si="94"/>
        <v>2.8542687421628279</v>
      </c>
      <c r="R185" s="379">
        <f t="shared" si="94"/>
        <v>2.9417556634462239</v>
      </c>
      <c r="S185" s="379">
        <f t="shared" si="94"/>
        <v>3.032063323929012</v>
      </c>
      <c r="T185" s="379">
        <f t="shared" si="94"/>
        <v>3.1256367910316185</v>
      </c>
      <c r="U185" s="379">
        <f t="shared" si="94"/>
        <v>3.2222158782699397</v>
      </c>
      <c r="V185" s="379">
        <f t="shared" si="94"/>
        <v>3.3221980955841208</v>
      </c>
      <c r="W185" s="379">
        <f t="shared" si="94"/>
        <v>3.4253279749467103</v>
      </c>
      <c r="X185" s="379">
        <f t="shared" si="94"/>
        <v>3.5718252380767614</v>
      </c>
      <c r="Y185" s="379">
        <f t="shared" si="94"/>
        <v>3.6832662941480021</v>
      </c>
      <c r="Z185" s="379">
        <f t="shared" si="94"/>
        <v>3.7985582224676526</v>
      </c>
      <c r="AA185" s="379">
        <f t="shared" si="94"/>
        <v>3.9176716138041727</v>
      </c>
      <c r="AB185" s="379">
        <f t="shared" si="94"/>
        <v>4.0410236432155999</v>
      </c>
      <c r="AC185" s="379">
        <f t="shared" si="94"/>
        <v>4.1684272410405727</v>
      </c>
      <c r="AD185" s="379">
        <f t="shared" si="94"/>
        <v>4.3003055950918592</v>
      </c>
      <c r="AE185" s="379">
        <f t="shared" si="94"/>
        <v>4.4367534341133705</v>
      </c>
      <c r="AF185" s="379">
        <f t="shared" si="94"/>
        <v>4.5778687655199448</v>
      </c>
      <c r="AG185" s="379">
        <f t="shared" si="94"/>
        <v>4.7237529914496683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3.7811920634450153</v>
      </c>
      <c r="D186" s="379">
        <f t="shared" si="96"/>
        <v>3.7625988528416059</v>
      </c>
      <c r="E186" s="379">
        <f t="shared" si="96"/>
        <v>3.7476671377673885</v>
      </c>
      <c r="F186" s="379">
        <f t="shared" si="96"/>
        <v>3.7363673739437839</v>
      </c>
      <c r="G186" s="379">
        <f t="shared" si="96"/>
        <v>3.7289481640418285</v>
      </c>
      <c r="H186" s="379">
        <f t="shared" si="96"/>
        <v>3.7378307811725153</v>
      </c>
      <c r="I186" s="379">
        <f t="shared" si="96"/>
        <v>3.639016240791888</v>
      </c>
      <c r="J186" s="379">
        <f t="shared" si="96"/>
        <v>3.5960276645986156</v>
      </c>
      <c r="K186" s="379">
        <f t="shared" si="96"/>
        <v>3.5566425106461192</v>
      </c>
      <c r="L186" s="379">
        <f t="shared" si="96"/>
        <v>3.5210139280392752</v>
      </c>
      <c r="M186" s="379">
        <f t="shared" si="96"/>
        <v>3.4890872315982069</v>
      </c>
      <c r="N186" s="379">
        <f t="shared" si="96"/>
        <v>3.4063984816720398</v>
      </c>
      <c r="O186" s="379">
        <f t="shared" si="96"/>
        <v>3.3817970723355768</v>
      </c>
      <c r="P186" s="379">
        <f t="shared" si="96"/>
        <v>3.3607680553187329</v>
      </c>
      <c r="Q186" s="379">
        <f t="shared" si="96"/>
        <v>3.3434265638524905</v>
      </c>
      <c r="R186" s="379">
        <f t="shared" si="96"/>
        <v>3.3295798762030873</v>
      </c>
      <c r="S186" s="379">
        <f t="shared" si="96"/>
        <v>3.2574924692763059</v>
      </c>
      <c r="T186" s="379">
        <f t="shared" si="96"/>
        <v>3.2676019323663907</v>
      </c>
      <c r="U186" s="379">
        <f t="shared" si="96"/>
        <v>3.2809253477108542</v>
      </c>
      <c r="V186" s="379">
        <f t="shared" si="96"/>
        <v>3.2974951695978918</v>
      </c>
      <c r="W186" s="379">
        <f t="shared" si="96"/>
        <v>3.3170117791240741</v>
      </c>
      <c r="X186" s="379">
        <f t="shared" si="96"/>
        <v>3.2701518848981768</v>
      </c>
      <c r="Y186" s="379">
        <f t="shared" si="96"/>
        <v>3.2956637906604049</v>
      </c>
      <c r="Z186" s="379">
        <f t="shared" si="96"/>
        <v>3.3243106807117937</v>
      </c>
      <c r="AA186" s="379">
        <f t="shared" si="96"/>
        <v>3.3564133841292039</v>
      </c>
      <c r="AB186" s="379">
        <f t="shared" si="96"/>
        <v>3.3917447543451038</v>
      </c>
      <c r="AC186" s="379">
        <f t="shared" si="96"/>
        <v>3.419977488461492</v>
      </c>
      <c r="AD186" s="379">
        <f t="shared" si="96"/>
        <v>3.49727445488542</v>
      </c>
      <c r="AE186" s="379">
        <f t="shared" si="96"/>
        <v>3.5783454459248869</v>
      </c>
      <c r="AF186" s="379">
        <f t="shared" si="96"/>
        <v>3.6633747411687261</v>
      </c>
      <c r="AG186" s="379">
        <f t="shared" si="96"/>
        <v>3.7522788958939164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2.2386176638034021</v>
      </c>
      <c r="D187" s="379">
        <f t="shared" si="97"/>
        <v>2.2595908219777403</v>
      </c>
      <c r="E187" s="379">
        <f t="shared" si="97"/>
        <v>2.2777595365123497</v>
      </c>
      <c r="F187" s="379">
        <f t="shared" si="97"/>
        <v>2.2783243202822878</v>
      </c>
      <c r="G187" s="379">
        <f t="shared" si="97"/>
        <v>2.2763416026084462</v>
      </c>
      <c r="H187" s="379">
        <f t="shared" si="97"/>
        <v>2.2990286606129948</v>
      </c>
      <c r="I187" s="379">
        <f t="shared" si="97"/>
        <v>2.231209297283391</v>
      </c>
      <c r="J187" s="379">
        <f t="shared" si="97"/>
        <v>2.2452687215754912</v>
      </c>
      <c r="K187" s="379">
        <f t="shared" si="97"/>
        <v>2.2521360793441705</v>
      </c>
      <c r="L187" s="379">
        <f t="shared" si="97"/>
        <v>2.2640176439699986</v>
      </c>
      <c r="M187" s="379">
        <f t="shared" si="97"/>
        <v>2.2813915468679506</v>
      </c>
      <c r="N187" s="379">
        <f t="shared" si="97"/>
        <v>2.2621041934846557</v>
      </c>
      <c r="O187" s="379">
        <f t="shared" si="97"/>
        <v>2.2921368140904015</v>
      </c>
      <c r="P187" s="379">
        <f t="shared" si="97"/>
        <v>2.3226458924083948</v>
      </c>
      <c r="Q187" s="379">
        <f t="shared" si="97"/>
        <v>2.3571158416245259</v>
      </c>
      <c r="R187" s="379">
        <f t="shared" si="97"/>
        <v>2.3956582130105026</v>
      </c>
      <c r="S187" s="379">
        <f t="shared" si="97"/>
        <v>2.432680371529087</v>
      </c>
      <c r="T187" s="379">
        <f t="shared" si="97"/>
        <v>2.4851927181044435</v>
      </c>
      <c r="U187" s="379">
        <f t="shared" si="97"/>
        <v>2.5383069055595757</v>
      </c>
      <c r="V187" s="379">
        <f t="shared" si="97"/>
        <v>2.5939295903080124</v>
      </c>
      <c r="W187" s="379">
        <f t="shared" si="97"/>
        <v>2.6516581362542895</v>
      </c>
      <c r="X187" s="379">
        <f t="shared" si="97"/>
        <v>2.6582008804017372</v>
      </c>
      <c r="Y187" s="379">
        <f t="shared" si="97"/>
        <v>2.7203458348530805</v>
      </c>
      <c r="Z187" s="379">
        <f t="shared" si="97"/>
        <v>2.7851635245482407</v>
      </c>
      <c r="AA187" s="379">
        <f t="shared" si="97"/>
        <v>2.8529911900323071</v>
      </c>
      <c r="AB187" s="379">
        <f t="shared" si="97"/>
        <v>2.9236304227807257</v>
      </c>
      <c r="AC187" s="379">
        <f t="shared" si="97"/>
        <v>3.0106521175327745</v>
      </c>
      <c r="AD187" s="379">
        <f t="shared" si="97"/>
        <v>3.1031912093155651</v>
      </c>
      <c r="AE187" s="379">
        <f t="shared" si="97"/>
        <v>3.1990362990640691</v>
      </c>
      <c r="AF187" s="379">
        <f t="shared" si="97"/>
        <v>3.298782137471445</v>
      </c>
      <c r="AG187" s="379">
        <f t="shared" si="97"/>
        <v>3.4022597956514438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3.9038856112264169</v>
      </c>
      <c r="D188" s="379">
        <f t="shared" si="99"/>
        <v>3.8846890811049026</v>
      </c>
      <c r="E188" s="379">
        <f t="shared" si="99"/>
        <v>3.8692728561020235</v>
      </c>
      <c r="F188" s="379">
        <f t="shared" si="99"/>
        <v>3.8576064332752931</v>
      </c>
      <c r="G188" s="379">
        <f t="shared" si="99"/>
        <v>3.8499464820490856</v>
      </c>
      <c r="H188" s="379">
        <f t="shared" si="99"/>
        <v>3.8591173256943372</v>
      </c>
      <c r="I188" s="379">
        <f t="shared" si="99"/>
        <v>3.7570964137969343</v>
      </c>
      <c r="J188" s="379">
        <f t="shared" si="99"/>
        <v>3.7127129280516682</v>
      </c>
      <c r="K188" s="379">
        <f t="shared" si="99"/>
        <v>3.6720497897526303</v>
      </c>
      <c r="L188" s="379">
        <f t="shared" si="99"/>
        <v>3.6352651174446793</v>
      </c>
      <c r="M188" s="379">
        <f t="shared" si="99"/>
        <v>3.6023024515025734</v>
      </c>
      <c r="N188" s="379">
        <f t="shared" si="99"/>
        <v>3.5169305857970912</v>
      </c>
      <c r="O188" s="379">
        <f t="shared" si="99"/>
        <v>3.4915309006414512</v>
      </c>
      <c r="P188" s="379">
        <f t="shared" si="99"/>
        <v>3.4698195261402844</v>
      </c>
      <c r="Q188" s="379">
        <f t="shared" si="99"/>
        <v>3.4519153314111257</v>
      </c>
      <c r="R188" s="379">
        <f t="shared" si="99"/>
        <v>3.4376193412126268</v>
      </c>
      <c r="S188" s="379">
        <f t="shared" si="99"/>
        <v>3.3631928148870416</v>
      </c>
      <c r="T188" s="379">
        <f t="shared" si="99"/>
        <v>3.3736303136526158</v>
      </c>
      <c r="U188" s="379">
        <f t="shared" si="99"/>
        <v>3.3873860522088468</v>
      </c>
      <c r="V188" s="379">
        <f t="shared" si="99"/>
        <v>3.4044935379329266</v>
      </c>
      <c r="W188" s="379">
        <f t="shared" si="99"/>
        <v>3.4246434297741182</v>
      </c>
      <c r="X188" s="379">
        <f t="shared" si="99"/>
        <v>3.3762630080069669</v>
      </c>
      <c r="Y188" s="379">
        <f t="shared" si="99"/>
        <v>3.4026027337201818</v>
      </c>
      <c r="Z188" s="379">
        <f t="shared" si="99"/>
        <v>3.4321791688764831</v>
      </c>
      <c r="AA188" s="379">
        <f t="shared" si="99"/>
        <v>3.4653235529357564</v>
      </c>
      <c r="AB188" s="379">
        <f t="shared" si="99"/>
        <v>3.5018013687928797</v>
      </c>
      <c r="AC188" s="379">
        <f t="shared" si="99"/>
        <v>3.5309502093260243</v>
      </c>
      <c r="AD188" s="379">
        <f t="shared" si="99"/>
        <v>3.6107553369023511</v>
      </c>
      <c r="AE188" s="379">
        <f t="shared" si="99"/>
        <v>3.6944569500699425</v>
      </c>
      <c r="AF188" s="379">
        <f t="shared" si="99"/>
        <v>3.7822453079913099</v>
      </c>
      <c r="AG188" s="379">
        <f t="shared" si="99"/>
        <v>3.874034258297554</v>
      </c>
    </row>
    <row r="189" spans="1:33">
      <c r="A189" s="300" t="s">
        <v>334</v>
      </c>
      <c r="C189" s="379">
        <f t="shared" ref="C189:AG189" si="100">C183*0.9</f>
        <v>1.7246381211918411</v>
      </c>
      <c r="D189" s="379">
        <f t="shared" si="100"/>
        <v>1.8484957624450487</v>
      </c>
      <c r="E189" s="379">
        <f t="shared" si="100"/>
        <v>1.8934298185288114</v>
      </c>
      <c r="F189" s="379">
        <f t="shared" si="100"/>
        <v>1.9395944406602839</v>
      </c>
      <c r="G189" s="379">
        <f t="shared" si="100"/>
        <v>1.987264943460761</v>
      </c>
      <c r="H189" s="379">
        <f t="shared" si="100"/>
        <v>2.052857194846593</v>
      </c>
      <c r="I189" s="379">
        <f t="shared" si="100"/>
        <v>2.1038796209851971</v>
      </c>
      <c r="J189" s="379">
        <f t="shared" si="100"/>
        <v>2.1562630837846233</v>
      </c>
      <c r="K189" s="379">
        <f t="shared" si="100"/>
        <v>2.2102902429029943</v>
      </c>
      <c r="L189" s="379">
        <f t="shared" si="100"/>
        <v>2.2657485950715039</v>
      </c>
      <c r="M189" s="379">
        <f t="shared" si="100"/>
        <v>2.3229225687000805</v>
      </c>
      <c r="N189" s="379">
        <f t="shared" si="100"/>
        <v>2.4065884760034075</v>
      </c>
      <c r="O189" s="379">
        <f t="shared" si="100"/>
        <v>2.4680406506993484</v>
      </c>
      <c r="P189" s="379">
        <f t="shared" si="100"/>
        <v>2.5313415755187787</v>
      </c>
      <c r="Q189" s="379">
        <f t="shared" si="100"/>
        <v>2.5965323066074597</v>
      </c>
      <c r="R189" s="379">
        <f t="shared" si="100"/>
        <v>2.6636504608562732</v>
      </c>
      <c r="S189" s="379">
        <f t="shared" si="100"/>
        <v>2.732743794560117</v>
      </c>
      <c r="T189" s="379">
        <f t="shared" si="100"/>
        <v>2.8041047198270586</v>
      </c>
      <c r="U189" s="379">
        <f t="shared" si="100"/>
        <v>2.8775308120883256</v>
      </c>
      <c r="V189" s="379">
        <f t="shared" si="100"/>
        <v>2.9533169170425615</v>
      </c>
      <c r="W189" s="379">
        <f t="shared" si="100"/>
        <v>3.0312631322668104</v>
      </c>
      <c r="X189" s="379">
        <f t="shared" si="100"/>
        <v>3.144924690429757</v>
      </c>
      <c r="Y189" s="379">
        <f t="shared" si="100"/>
        <v>3.2288436276186232</v>
      </c>
      <c r="Z189" s="379">
        <f t="shared" si="100"/>
        <v>3.3153574853784256</v>
      </c>
      <c r="AA189" s="379">
        <f t="shared" si="100"/>
        <v>3.4045255741985825</v>
      </c>
      <c r="AB189" s="379">
        <f t="shared" si="100"/>
        <v>3.4966567566840925</v>
      </c>
      <c r="AC189" s="379">
        <f t="shared" si="100"/>
        <v>3.5915605888123405</v>
      </c>
      <c r="AD189" s="379">
        <f t="shared" si="100"/>
        <v>3.6895491771813309</v>
      </c>
      <c r="AE189" s="379">
        <f t="shared" si="100"/>
        <v>3.7906883246660308</v>
      </c>
      <c r="AF189" s="379">
        <f t="shared" si="100"/>
        <v>3.8950456094704955</v>
      </c>
      <c r="AG189" s="379">
        <f t="shared" si="100"/>
        <v>4.002690450727572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0.93043859847591215</v>
      </c>
      <c r="D192" s="388">
        <f t="shared" si="102"/>
        <v>0.98800313011154417</v>
      </c>
      <c r="E192" s="388">
        <f t="shared" si="102"/>
        <v>1.0039474983662164</v>
      </c>
      <c r="F192" s="388">
        <f t="shared" si="102"/>
        <v>1.0281702838628548</v>
      </c>
      <c r="G192" s="388">
        <f t="shared" si="102"/>
        <v>1.0543577604438272</v>
      </c>
      <c r="H192" s="388">
        <f t="shared" si="102"/>
        <v>1.0784102745290349</v>
      </c>
      <c r="I192" s="388">
        <f t="shared" si="102"/>
        <v>1.13880729151787</v>
      </c>
      <c r="J192" s="388">
        <f t="shared" si="102"/>
        <v>1.1598533588939761</v>
      </c>
      <c r="K192" s="388">
        <f t="shared" si="102"/>
        <v>1.1852892393998724</v>
      </c>
      <c r="L192" s="388">
        <f t="shared" si="102"/>
        <v>1.208652836250147</v>
      </c>
      <c r="M192" s="388">
        <f t="shared" si="102"/>
        <v>1.2297152776534042</v>
      </c>
      <c r="N192" s="388">
        <f t="shared" si="102"/>
        <v>1.2848691185983026</v>
      </c>
      <c r="O192" s="388">
        <f t="shared" si="102"/>
        <v>1.3004133981997021</v>
      </c>
      <c r="P192" s="388">
        <f t="shared" si="102"/>
        <v>1.3162470550661052</v>
      </c>
      <c r="Q192" s="388">
        <f t="shared" si="102"/>
        <v>1.330400707288947</v>
      </c>
      <c r="R192" s="388">
        <f t="shared" si="102"/>
        <v>1.3428331045524711</v>
      </c>
      <c r="S192" s="388">
        <f t="shared" si="102"/>
        <v>1.35669907540993</v>
      </c>
      <c r="T192" s="388">
        <f t="shared" si="102"/>
        <v>1.3627111807070926</v>
      </c>
      <c r="U192" s="388">
        <f t="shared" si="102"/>
        <v>1.369132609988565</v>
      </c>
      <c r="V192" s="388">
        <f t="shared" si="102"/>
        <v>1.3750596331339953</v>
      </c>
      <c r="W192" s="388">
        <f t="shared" si="102"/>
        <v>1.3806251122129414</v>
      </c>
      <c r="X192" s="388">
        <f t="shared" si="102"/>
        <v>1.4288680186512774</v>
      </c>
      <c r="Y192" s="388">
        <f t="shared" si="102"/>
        <v>1.4334830331540633</v>
      </c>
      <c r="Z192" s="388">
        <f t="shared" si="102"/>
        <v>1.437637287268934</v>
      </c>
      <c r="AA192" s="388">
        <f t="shared" si="102"/>
        <v>1.4412052434385936</v>
      </c>
      <c r="AB192" s="388">
        <f t="shared" si="102"/>
        <v>1.444442284400195</v>
      </c>
      <c r="AC192" s="388">
        <f t="shared" si="102"/>
        <v>1.4407621312695023</v>
      </c>
      <c r="AD192" s="388">
        <f t="shared" si="102"/>
        <v>1.4359338392525332</v>
      </c>
      <c r="AE192" s="388">
        <f t="shared" si="102"/>
        <v>1.4310953574715211</v>
      </c>
      <c r="AF192" s="388">
        <f t="shared" si="102"/>
        <v>1.4260297188648525</v>
      </c>
      <c r="AG192" s="388">
        <f t="shared" si="102"/>
        <v>1.4208695106712215</v>
      </c>
    </row>
    <row r="193" spans="1:33">
      <c r="A193" s="300" t="str">
        <f>A169</f>
        <v>H2-ICE</v>
      </c>
      <c r="C193" s="388">
        <f t="shared" ref="C193:AG193" si="103">C169/C168</f>
        <v>1.8006163585365424</v>
      </c>
      <c r="D193" s="388">
        <f t="shared" si="103"/>
        <v>1.7838357512097018</v>
      </c>
      <c r="E193" s="388">
        <f t="shared" si="103"/>
        <v>1.7712692809942185</v>
      </c>
      <c r="F193" s="388">
        <f t="shared" si="103"/>
        <v>1.7742310583336338</v>
      </c>
      <c r="G193" s="388">
        <f t="shared" si="103"/>
        <v>1.7809804947493229</v>
      </c>
      <c r="H193" s="388">
        <f t="shared" si="103"/>
        <v>1.7812233977045255</v>
      </c>
      <c r="I193" s="388">
        <f t="shared" si="103"/>
        <v>1.7775947287087408</v>
      </c>
      <c r="J193" s="388">
        <f t="shared" si="103"/>
        <v>1.7442867152193193</v>
      </c>
      <c r="K193" s="388">
        <f t="shared" si="103"/>
        <v>1.7188646883440666</v>
      </c>
      <c r="L193" s="388">
        <f t="shared" si="103"/>
        <v>1.6916721244486634</v>
      </c>
      <c r="M193" s="388">
        <f t="shared" si="103"/>
        <v>1.6626915077104167</v>
      </c>
      <c r="N193" s="388">
        <f t="shared" si="103"/>
        <v>1.6475329509052417</v>
      </c>
      <c r="O193" s="388">
        <f t="shared" si="103"/>
        <v>1.6133355533600098</v>
      </c>
      <c r="P193" s="388">
        <f t="shared" si="103"/>
        <v>1.5814956625573484</v>
      </c>
      <c r="Q193" s="388">
        <f t="shared" si="103"/>
        <v>1.5496215000912346</v>
      </c>
      <c r="R193" s="388">
        <f t="shared" si="103"/>
        <v>1.5177790687384156</v>
      </c>
      <c r="S193" s="388">
        <f t="shared" si="103"/>
        <v>1.4566582010785945</v>
      </c>
      <c r="T193" s="388">
        <f t="shared" si="103"/>
        <v>1.4283092682723175</v>
      </c>
      <c r="U193" s="388">
        <f t="shared" si="103"/>
        <v>1.4022724806849378</v>
      </c>
      <c r="V193" s="388">
        <f t="shared" si="103"/>
        <v>1.3774869956313467</v>
      </c>
      <c r="W193" s="388">
        <f t="shared" si="103"/>
        <v>1.3540449793795757</v>
      </c>
      <c r="X193" s="388">
        <f t="shared" si="103"/>
        <v>1.3504693579614981</v>
      </c>
      <c r="Y193" s="388">
        <f t="shared" si="103"/>
        <v>1.3286439569063961</v>
      </c>
      <c r="Z193" s="388">
        <f t="shared" si="103"/>
        <v>1.3079416693727428</v>
      </c>
      <c r="AA193" s="388">
        <f t="shared" si="103"/>
        <v>1.288165309785301</v>
      </c>
      <c r="AB193" s="388">
        <f t="shared" si="103"/>
        <v>1.2695338739345703</v>
      </c>
      <c r="AC193" s="388">
        <f t="shared" si="103"/>
        <v>1.2430885105968692</v>
      </c>
      <c r="AD193" s="388">
        <f t="shared" si="103"/>
        <v>1.2332171188307974</v>
      </c>
      <c r="AE193" s="388">
        <f t="shared" si="103"/>
        <v>1.2240936181253292</v>
      </c>
      <c r="AF193" s="388">
        <f t="shared" si="103"/>
        <v>1.2154860281470397</v>
      </c>
      <c r="AG193" s="388">
        <f t="shared" si="103"/>
        <v>1.2074307309064243</v>
      </c>
    </row>
    <row r="194" spans="1:33">
      <c r="A194" s="300" t="str">
        <f>A170</f>
        <v>FCET</v>
      </c>
      <c r="C194" s="388">
        <f t="shared" ref="C194:AG194" si="104">C170/C168</f>
        <v>1.8359505688554878</v>
      </c>
      <c r="D194" s="388">
        <f t="shared" si="104"/>
        <v>1.8099654689713742</v>
      </c>
      <c r="E194" s="388">
        <f t="shared" si="104"/>
        <v>1.7884026699943079</v>
      </c>
      <c r="F194" s="388">
        <f t="shared" si="104"/>
        <v>1.7825683764892206</v>
      </c>
      <c r="G194" s="388">
        <f t="shared" si="104"/>
        <v>1.780578328616355</v>
      </c>
      <c r="H194" s="388">
        <f t="shared" si="104"/>
        <v>1.7672070010947343</v>
      </c>
      <c r="I194" s="388">
        <f t="shared" si="104"/>
        <v>1.772784131214995</v>
      </c>
      <c r="J194" s="388">
        <f t="shared" si="104"/>
        <v>1.740872121376666</v>
      </c>
      <c r="K194" s="388">
        <f t="shared" si="104"/>
        <v>1.7165551442021216</v>
      </c>
      <c r="L194" s="388">
        <f t="shared" si="104"/>
        <v>1.6904413542933143</v>
      </c>
      <c r="M194" s="388">
        <f t="shared" si="104"/>
        <v>1.6623565238106461</v>
      </c>
      <c r="N194" s="388">
        <f t="shared" si="104"/>
        <v>1.6367977460808376</v>
      </c>
      <c r="O194" s="388">
        <f t="shared" si="104"/>
        <v>1.6036854171953794</v>
      </c>
      <c r="P194" s="388">
        <f t="shared" si="104"/>
        <v>1.5727790308979723</v>
      </c>
      <c r="Q194" s="388">
        <f t="shared" si="104"/>
        <v>1.5417822257011562</v>
      </c>
      <c r="R194" s="388">
        <f t="shared" si="104"/>
        <v>1.5106948651670811</v>
      </c>
      <c r="S194" s="388">
        <f t="shared" si="104"/>
        <v>1.4554944107887084</v>
      </c>
      <c r="T194" s="388">
        <f t="shared" si="104"/>
        <v>1.4291612899711412</v>
      </c>
      <c r="U194" s="388">
        <f t="shared" si="104"/>
        <v>1.4049613922660604</v>
      </c>
      <c r="V194" s="388">
        <f t="shared" si="104"/>
        <v>1.3817776293504189</v>
      </c>
      <c r="W194" s="388">
        <f t="shared" si="104"/>
        <v>1.3596954813705562</v>
      </c>
      <c r="X194" s="388">
        <f t="shared" si="104"/>
        <v>1.3371874731417535</v>
      </c>
      <c r="Y194" s="388">
        <f t="shared" si="104"/>
        <v>1.3168337660683131</v>
      </c>
      <c r="Z194" s="388">
        <f t="shared" si="104"/>
        <v>1.2973676923594031</v>
      </c>
      <c r="AA194" s="388">
        <f t="shared" si="104"/>
        <v>1.2787545332344439</v>
      </c>
      <c r="AB194" s="388">
        <f t="shared" si="104"/>
        <v>1.260993541483064</v>
      </c>
      <c r="AC194" s="388">
        <f t="shared" si="104"/>
        <v>1.234738086687547</v>
      </c>
      <c r="AD194" s="388">
        <f t="shared" si="104"/>
        <v>1.224992280732774</v>
      </c>
      <c r="AE194" s="388">
        <f t="shared" si="104"/>
        <v>1.2158367570325825</v>
      </c>
      <c r="AF194" s="388">
        <f t="shared" si="104"/>
        <v>1.2070906475624186</v>
      </c>
      <c r="AG194" s="388">
        <f t="shared" si="104"/>
        <v>1.1987808874821853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6:A37"/>
  </mergeCells>
  <pageMargins left="0.7" right="0.7" top="0.75" bottom="0.75" header="0.3" footer="0.3"/>
  <pageSetup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A492-6BE9-4DE0-9472-43D733BD2E9C}">
  <sheetPr>
    <tabColor rgb="FF0070C0"/>
  </sheetPr>
  <dimension ref="A1:AO200"/>
  <sheetViews>
    <sheetView zoomScaleNormal="100" workbookViewId="0">
      <pane xSplit="2" ySplit="4" topLeftCell="C163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3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year'!B14</f>
        <v>Cement (Bulkers &amp; Bagged)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year'!C14</f>
        <v>55T Tractor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year'!AR14</f>
        <v>55000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year'!$C$89</f>
        <v>5000000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year'!$C$100</f>
        <v>5250000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year'!$C$113</f>
        <v>6156825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year'!$C$125</f>
        <v>6579200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year'!$C$137</f>
        <v>11255000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year'!$C$150</f>
        <v>15366000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year'!$G$14</f>
        <v>300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year'!$J$14</f>
        <v>120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year'!$I$14</f>
        <v>80</v>
      </c>
      <c r="D16" s="347"/>
      <c r="E16" s="347"/>
    </row>
    <row r="17" spans="1:14" ht="15.6">
      <c r="A17" s="348" t="s">
        <v>269</v>
      </c>
      <c r="B17" s="300" t="s">
        <v>255</v>
      </c>
      <c r="C17" s="346">
        <f>'No change with year'!$AX$14</f>
        <v>39500</v>
      </c>
      <c r="D17" s="347" t="s">
        <v>169</v>
      </c>
      <c r="E17" s="347">
        <v>13</v>
      </c>
    </row>
    <row r="18" spans="1:14" ht="15.6">
      <c r="A18" s="328" t="s">
        <v>270</v>
      </c>
      <c r="B18" s="300" t="s">
        <v>255</v>
      </c>
      <c r="C18" s="346">
        <f>'No change with year'!$AY$14</f>
        <v>37100</v>
      </c>
      <c r="D18" s="347" t="s">
        <v>169</v>
      </c>
      <c r="E18" s="347">
        <v>14</v>
      </c>
    </row>
    <row r="19" spans="1:14" ht="15.6">
      <c r="A19" s="328" t="s">
        <v>271</v>
      </c>
      <c r="B19" s="300" t="s">
        <v>255</v>
      </c>
      <c r="C19" s="346">
        <f>'No change with year'!$AZ$14</f>
        <v>38400</v>
      </c>
      <c r="D19" s="347" t="s">
        <v>169</v>
      </c>
      <c r="E19" s="347">
        <v>18</v>
      </c>
    </row>
    <row r="20" spans="1:14" ht="15.6">
      <c r="A20" s="328" t="s">
        <v>272</v>
      </c>
      <c r="B20" s="300" t="s">
        <v>273</v>
      </c>
      <c r="C20" s="391">
        <f>'Changing with year'!$C$273</f>
        <v>9</v>
      </c>
      <c r="D20" s="347" t="s">
        <v>169</v>
      </c>
      <c r="E20" s="347">
        <v>19</v>
      </c>
    </row>
    <row r="21" spans="1:14" ht="15.6">
      <c r="A21" s="328" t="s">
        <v>274</v>
      </c>
      <c r="B21" s="300" t="s">
        <v>195</v>
      </c>
      <c r="C21" s="346">
        <f>'No change with year'!$K$14</f>
        <v>360</v>
      </c>
      <c r="D21" s="347" t="s">
        <v>169</v>
      </c>
      <c r="E21" s="347">
        <v>20</v>
      </c>
    </row>
    <row r="22" spans="1:14" ht="15.6">
      <c r="A22" s="328" t="s">
        <v>172</v>
      </c>
      <c r="B22" s="300" t="s">
        <v>196</v>
      </c>
      <c r="C22" s="346">
        <f>'No change with year'!$L$14</f>
        <v>300</v>
      </c>
      <c r="D22" s="347" t="s">
        <v>169</v>
      </c>
      <c r="E22" s="347">
        <v>21</v>
      </c>
    </row>
    <row r="23" spans="1:14" ht="15.6">
      <c r="A23" s="328" t="s">
        <v>174</v>
      </c>
      <c r="B23" s="300" t="s">
        <v>197</v>
      </c>
      <c r="C23" s="346">
        <f>'No change with year'!$Q$14</f>
        <v>9</v>
      </c>
      <c r="D23" s="347" t="s">
        <v>275</v>
      </c>
      <c r="E23" s="347">
        <v>2</v>
      </c>
    </row>
    <row r="24" spans="1:14" ht="15.6">
      <c r="A24" s="328" t="s">
        <v>276</v>
      </c>
      <c r="B24" s="300" t="s">
        <v>198</v>
      </c>
      <c r="C24" s="390">
        <f>'No change with year'!$O$14</f>
        <v>0.9</v>
      </c>
      <c r="D24" s="347" t="s">
        <v>275</v>
      </c>
      <c r="E24" s="347">
        <v>3</v>
      </c>
    </row>
    <row r="25" spans="1:14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14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14" ht="15.6">
      <c r="A27" s="328" t="s">
        <v>687</v>
      </c>
      <c r="C27" s="345">
        <f>'No change with year'!D30</f>
        <v>7</v>
      </c>
      <c r="D27" s="347"/>
      <c r="E27" s="347"/>
    </row>
    <row r="28" spans="1:14" ht="15.6">
      <c r="A28" s="328" t="s">
        <v>688</v>
      </c>
      <c r="C28" s="325">
        <f>'No change with year'!D29</f>
        <v>0.12</v>
      </c>
      <c r="D28" s="347"/>
      <c r="E28" s="347"/>
    </row>
    <row r="29" spans="1:14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14">
      <c r="A30" s="328" t="s">
        <v>278</v>
      </c>
      <c r="B30" s="300" t="s">
        <v>198</v>
      </c>
      <c r="C30" s="325">
        <f>'No change with year'!D34</f>
        <v>0.5</v>
      </c>
      <c r="D30" s="325">
        <f>'No change with year'!H34</f>
        <v>0.3</v>
      </c>
      <c r="E30" s="325">
        <f>'No change with year'!I34</f>
        <v>0.25</v>
      </c>
    </row>
    <row r="31" spans="1:14">
      <c r="A31" s="328" t="s">
        <v>279</v>
      </c>
      <c r="C31" s="326">
        <f>'No change with year'!D36</f>
        <v>0.4</v>
      </c>
      <c r="D31" s="326"/>
      <c r="E31" s="325">
        <f>'No change with year'!I36</f>
        <v>0.35</v>
      </c>
      <c r="N31" s="368" t="s">
        <v>363</v>
      </c>
    </row>
    <row r="32" spans="1:14">
      <c r="C32" s="300"/>
    </row>
    <row r="33" spans="1:38" s="352" customFormat="1">
      <c r="A33" s="350"/>
      <c r="B33" s="350"/>
      <c r="C33" s="351" t="s">
        <v>178</v>
      </c>
      <c r="D33" s="351" t="s">
        <v>179</v>
      </c>
      <c r="E33" s="351" t="s">
        <v>180</v>
      </c>
      <c r="F33" s="351" t="s">
        <v>181</v>
      </c>
      <c r="G33" s="351" t="s">
        <v>182</v>
      </c>
      <c r="H33" s="351" t="s">
        <v>239</v>
      </c>
    </row>
    <row r="34" spans="1:38">
      <c r="A34" s="328" t="s">
        <v>280</v>
      </c>
      <c r="B34" s="328" t="s">
        <v>281</v>
      </c>
      <c r="C34" s="353"/>
      <c r="D34" s="353"/>
      <c r="E34" s="354">
        <f>'No change with year'!$E$14</f>
        <v>346.5</v>
      </c>
      <c r="F34" s="355">
        <f>'No change with year'!$F$14</f>
        <v>28.2</v>
      </c>
      <c r="G34" s="328"/>
      <c r="H34" s="355">
        <f>'No change with year'!$H$14</f>
        <v>28.2</v>
      </c>
    </row>
    <row r="35" spans="1:38">
      <c r="A35" s="974" t="s">
        <v>345</v>
      </c>
      <c r="B35" s="328" t="s">
        <v>201</v>
      </c>
      <c r="C35" s="356"/>
      <c r="D35" s="356"/>
      <c r="E35" s="356"/>
      <c r="F35" s="356"/>
      <c r="G35" s="356"/>
      <c r="H35" s="356"/>
    </row>
    <row r="36" spans="1:38">
      <c r="A36" s="974"/>
      <c r="B36" s="328" t="s">
        <v>346</v>
      </c>
      <c r="C36" s="358">
        <f>'No change with year'!S14</f>
        <v>2.6</v>
      </c>
      <c r="D36" s="358">
        <f>'No change with year'!T14</f>
        <v>2.8</v>
      </c>
      <c r="E36" s="358">
        <f>'No change with year'!U14</f>
        <v>2.7</v>
      </c>
      <c r="F36" s="358">
        <f>'No change with year'!V14</f>
        <v>7.8000000000000007</v>
      </c>
      <c r="G36" s="357">
        <f>'No change with year'!$W$14</f>
        <v>1.45</v>
      </c>
      <c r="H36" s="358">
        <f>'No change with year'!X14</f>
        <v>10.4</v>
      </c>
    </row>
    <row r="37" spans="1:38" ht="28.8">
      <c r="A37" s="296" t="s">
        <v>283</v>
      </c>
      <c r="B37" s="296" t="s">
        <v>284</v>
      </c>
      <c r="C37" s="297">
        <f>($C$21*$C$22)/C36</f>
        <v>41538.461538461539</v>
      </c>
      <c r="D37" s="297">
        <f>($C$21*$C$22)/D36</f>
        <v>38571.428571428572</v>
      </c>
      <c r="E37" s="297">
        <f>($C$21*$C$22)/E36</f>
        <v>40000</v>
      </c>
      <c r="F37" s="297">
        <f>($C$21*$C$22)/F36</f>
        <v>13846.153846153846</v>
      </c>
      <c r="G37" s="297">
        <f>($C$21*$C$22*G36)</f>
        <v>156600</v>
      </c>
      <c r="H37" s="297">
        <f>($C$21*$C$22)/H36</f>
        <v>10384.615384615385</v>
      </c>
    </row>
    <row r="38" spans="1:38">
      <c r="C38" s="324" t="s">
        <v>347</v>
      </c>
      <c r="D38" s="324" t="s">
        <v>224</v>
      </c>
      <c r="E38" s="324" t="s">
        <v>225</v>
      </c>
      <c r="H38" s="340"/>
      <c r="J38" s="340"/>
      <c r="L38" s="340"/>
      <c r="N38" s="340"/>
      <c r="P38" s="340"/>
      <c r="R38" s="340"/>
      <c r="T38" s="340"/>
      <c r="V38" s="340"/>
      <c r="X38" s="340"/>
      <c r="Z38" s="340"/>
      <c r="AB38" s="340"/>
      <c r="AC38" s="340"/>
      <c r="AD38" s="340"/>
      <c r="AE38" s="340"/>
      <c r="AF38" s="340"/>
      <c r="AG38" s="340"/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year'!C295/($C$21*$C$22)</f>
        <v>5.5555555555555554</v>
      </c>
      <c r="D54" s="393">
        <f>'Changing with year'!D295/($C$21*$C$22)</f>
        <v>5.8055555555555554</v>
      </c>
      <c r="E54" s="393">
        <f>'Changing with year'!E295/($C$21*$C$22)</f>
        <v>6.0648148148148149</v>
      </c>
      <c r="F54" s="393">
        <f>'Changing with year'!F295/($C$21*$C$22)</f>
        <v>6.333333333333333</v>
      </c>
      <c r="G54" s="393">
        <f>'Changing with year'!G295/($C$21*$C$22)</f>
        <v>6.6203703703703702</v>
      </c>
      <c r="H54" s="393">
        <f>'Changing with year'!H295/($C$21*$C$22)</f>
        <v>6.916666666666667</v>
      </c>
      <c r="I54" s="393">
        <f>'Changing with year'!I295/($C$21*$C$22)</f>
        <v>7.2314814814814818</v>
      </c>
      <c r="J54" s="393">
        <f>'Changing with year'!J295/($C$21*$C$22)</f>
        <v>7.5555555555555554</v>
      </c>
      <c r="K54" s="393">
        <f>'Changing with year'!K295/($C$21*$C$22)</f>
        <v>7.8981481481481479</v>
      </c>
      <c r="L54" s="393">
        <f>'Changing with year'!L295/($C$21*$C$22)</f>
        <v>8.25</v>
      </c>
      <c r="M54" s="393">
        <f>'Changing with year'!M295/($C$21*$C$22)</f>
        <v>8.6203703703703702</v>
      </c>
      <c r="N54" s="393">
        <f>'Changing with year'!N295/($C$21*$C$22)</f>
        <v>9.0092592592592595</v>
      </c>
      <c r="O54" s="393">
        <f>'Changing with year'!O295/($C$21*$C$22)</f>
        <v>9.4166666666666661</v>
      </c>
      <c r="P54" s="393">
        <f>'Changing with year'!P295/($C$21*$C$22)</f>
        <v>9.8425925925925934</v>
      </c>
      <c r="Q54" s="393">
        <f>'Changing with year'!Q295/($C$21*$C$22)</f>
        <v>10.287037037037036</v>
      </c>
      <c r="R54" s="393">
        <f>'Changing with year'!R295/($C$21*$C$22)</f>
        <v>10.75</v>
      </c>
      <c r="S54" s="393">
        <f>'Changing with year'!S295/($C$21*$C$22)</f>
        <v>11.231481481481481</v>
      </c>
      <c r="T54" s="393">
        <f>'Changing with year'!T295/($C$21*$C$22)</f>
        <v>11.74074074074074</v>
      </c>
      <c r="U54" s="393">
        <f>'Changing with year'!U295/($C$21*$C$22)</f>
        <v>12.268518518518519</v>
      </c>
      <c r="V54" s="393">
        <f>'Changing with year'!V295/($C$21*$C$22)</f>
        <v>12.824074074074074</v>
      </c>
      <c r="W54" s="393">
        <f>'Changing with year'!W295/($C$21*$C$22)</f>
        <v>13.398148148148149</v>
      </c>
      <c r="X54" s="393">
        <f>'Changing with year'!X295/($C$21*$C$22)</f>
        <v>14</v>
      </c>
      <c r="Y54" s="393">
        <f>'Changing with year'!Y295/($C$21*$C$22)</f>
        <v>14.62962962962963</v>
      </c>
      <c r="Z54" s="393">
        <f>'Changing with year'!Z295/($C$21*$C$22)</f>
        <v>15.287037037037036</v>
      </c>
      <c r="AA54" s="393">
        <f>'Changing with year'!AA295/($C$21*$C$22)</f>
        <v>15.972222222222221</v>
      </c>
      <c r="AB54" s="393">
        <f>'Changing with year'!AB295/($C$21*$C$22)</f>
        <v>16.694444444444443</v>
      </c>
      <c r="AC54" s="393">
        <f>'Changing with year'!AC295/($C$21*$C$22)</f>
        <v>17.444444444444443</v>
      </c>
      <c r="AD54" s="393">
        <f>'Changing with year'!AD295/($C$21*$C$22)</f>
        <v>18.231481481481481</v>
      </c>
      <c r="AE54" s="393">
        <f>'Changing with year'!AE295/($C$21*$C$22)</f>
        <v>19.055555555555557</v>
      </c>
      <c r="AF54" s="393">
        <f>'Changing with year'!AF295/($C$21*$C$22)</f>
        <v>19.916666666666668</v>
      </c>
      <c r="AG54" s="393">
        <f>'Changing with year'!AG295/($C$21*$C$22)</f>
        <v>20.814814814814813</v>
      </c>
      <c r="AH54" s="339"/>
    </row>
    <row r="55" spans="1:41">
      <c r="A55" s="348" t="s">
        <v>357</v>
      </c>
      <c r="B55" s="328" t="s">
        <v>300</v>
      </c>
      <c r="C55" s="393">
        <f>'Changing with year'!C306/($C$21*$C$22)</f>
        <v>6.1111111111111107</v>
      </c>
      <c r="D55" s="393">
        <f>'Changing with year'!D306/($C$21*$C$22)</f>
        <v>6.3888888888888893</v>
      </c>
      <c r="E55" s="393">
        <f>'Changing with year'!E306/($C$21*$C$22)</f>
        <v>6.6759259259259256</v>
      </c>
      <c r="F55" s="393">
        <f>'Changing with year'!F306/($C$21*$C$22)</f>
        <v>6.9722222222222223</v>
      </c>
      <c r="G55" s="393">
        <f>'Changing with year'!G306/($C$21*$C$22)</f>
        <v>7.2870370370370372</v>
      </c>
      <c r="H55" s="393">
        <f>'Changing with year'!H306/($C$21*$C$22)</f>
        <v>7.6111111111111107</v>
      </c>
      <c r="I55" s="393">
        <f>'Changing with year'!I306/($C$21*$C$22)</f>
        <v>7.9537037037037033</v>
      </c>
      <c r="J55" s="393">
        <f>'Changing with year'!J306/($C$21*$C$22)</f>
        <v>8.3148148148148149</v>
      </c>
      <c r="K55" s="393">
        <f>'Changing with year'!K306/($C$21*$C$22)</f>
        <v>8.6851851851851851</v>
      </c>
      <c r="L55" s="393">
        <f>'Changing with year'!L306/($C$21*$C$22)</f>
        <v>9.0740740740740744</v>
      </c>
      <c r="M55" s="393">
        <f>'Changing with year'!M306/($C$21*$C$22)</f>
        <v>9.481481481481481</v>
      </c>
      <c r="N55" s="393">
        <f>'Changing with year'!N306/($C$21*$C$22)</f>
        <v>9.9074074074074066</v>
      </c>
      <c r="O55" s="393">
        <f>'Changing with year'!O306/($C$21*$C$22)</f>
        <v>10.351851851851851</v>
      </c>
      <c r="P55" s="393">
        <f>'Changing with year'!P306/($C$21*$C$22)</f>
        <v>10.814814814814815</v>
      </c>
      <c r="Q55" s="393">
        <f>'Changing with year'!Q306/($C$21*$C$22)</f>
        <v>11.305555555555555</v>
      </c>
      <c r="R55" s="393">
        <f>'Changing with year'!R306/($C$21*$C$22)</f>
        <v>11.814814814814815</v>
      </c>
      <c r="S55" s="393">
        <f>'Changing with year'!S306/($C$21*$C$22)</f>
        <v>12.342592592592593</v>
      </c>
      <c r="T55" s="393">
        <f>'Changing with year'!T306/($C$21*$C$22)</f>
        <v>12.898148148148149</v>
      </c>
      <c r="U55" s="393">
        <f>'Changing with year'!U306/($C$21*$C$22)</f>
        <v>13.481481481481481</v>
      </c>
      <c r="V55" s="393">
        <f>'Changing with year'!V306/($C$21*$C$22)</f>
        <v>14.092592592592593</v>
      </c>
      <c r="W55" s="393">
        <f>'Changing with year'!W306/($C$21*$C$22)</f>
        <v>14.722222222222221</v>
      </c>
      <c r="X55" s="393">
        <f>'Changing with year'!X306/($C$21*$C$22)</f>
        <v>15.388888888888889</v>
      </c>
      <c r="Y55" s="393">
        <f>'Changing with year'!Y306/($C$21*$C$22)</f>
        <v>16.083333333333332</v>
      </c>
      <c r="Z55" s="393">
        <f>'Changing with year'!Z306/($C$21*$C$22)</f>
        <v>16.805555555555557</v>
      </c>
      <c r="AA55" s="393">
        <f>'Changing with year'!AA306/($C$21*$C$22)</f>
        <v>17.564814814814813</v>
      </c>
      <c r="AB55" s="393">
        <f>'Changing with year'!AB306/($C$21*$C$22)</f>
        <v>18.351851851851851</v>
      </c>
      <c r="AC55" s="393">
        <f>'Changing with year'!AC306/($C$21*$C$22)</f>
        <v>19.175925925925927</v>
      </c>
      <c r="AD55" s="393">
        <f>'Changing with year'!AD306/($C$21*$C$22)</f>
        <v>20.037037037037038</v>
      </c>
      <c r="AE55" s="393">
        <f>'Changing with year'!AE306/($C$21*$C$22)</f>
        <v>20.935185185185187</v>
      </c>
      <c r="AF55" s="393">
        <f>'Changing with year'!AF306/($C$21*$C$22)</f>
        <v>21.87962962962963</v>
      </c>
      <c r="AG55" s="393">
        <f>'Changing with year'!AG306/($C$21*$C$22)</f>
        <v>22.861111111111111</v>
      </c>
      <c r="AH55" s="339"/>
    </row>
    <row r="56" spans="1:41">
      <c r="A56" s="328" t="s">
        <v>299</v>
      </c>
      <c r="B56" s="328" t="s">
        <v>300</v>
      </c>
      <c r="C56" s="338">
        <f>'Changing with year'!C162</f>
        <v>6.5</v>
      </c>
      <c r="D56" s="338">
        <f>'Changing with year'!D162</f>
        <v>6.76</v>
      </c>
      <c r="E56" s="338">
        <f>'Changing with year'!E162</f>
        <v>7.0304000000000002</v>
      </c>
      <c r="F56" s="338">
        <f>'Changing with year'!F162</f>
        <v>7.3116160000000008</v>
      </c>
      <c r="G56" s="338">
        <f>'Changing with year'!G162</f>
        <v>7.6040806400000012</v>
      </c>
      <c r="H56" s="338">
        <f>'Changing with year'!H162</f>
        <v>7.9082438656000011</v>
      </c>
      <c r="I56" s="338">
        <f>'Changing with year'!I162</f>
        <v>8.2245736202240014</v>
      </c>
      <c r="J56" s="338">
        <f>'Changing with year'!J162</f>
        <v>8.5535565650329612</v>
      </c>
      <c r="K56" s="338">
        <f>'Changing with year'!K162</f>
        <v>8.8956988276342805</v>
      </c>
      <c r="L56" s="338">
        <f>'Changing with year'!L162</f>
        <v>9.2515267807396526</v>
      </c>
      <c r="M56" s="338">
        <f>'Changing with year'!M162</f>
        <v>9.6215878519692399</v>
      </c>
      <c r="N56" s="338">
        <f>'Changing with year'!N162</f>
        <v>10.00645136604801</v>
      </c>
      <c r="O56" s="338">
        <f>'Changing with year'!O162</f>
        <v>10.40670942068993</v>
      </c>
      <c r="P56" s="338">
        <f>'Changing with year'!P162</f>
        <v>10.822977797517527</v>
      </c>
      <c r="Q56" s="338">
        <f>'Changing with year'!Q162</f>
        <v>11.25589690941823</v>
      </c>
      <c r="R56" s="338">
        <f>'Changing with year'!R162</f>
        <v>11.70613278579496</v>
      </c>
      <c r="S56" s="338">
        <f>'Changing with year'!S162</f>
        <v>12.174378097226759</v>
      </c>
      <c r="T56" s="338">
        <f>'Changing with year'!T162</f>
        <v>12.66135322111583</v>
      </c>
      <c r="U56" s="338">
        <f>'Changing with year'!U162</f>
        <v>13.167807349960464</v>
      </c>
      <c r="V56" s="338">
        <f>'Changing with year'!V162</f>
        <v>13.694519643958882</v>
      </c>
      <c r="W56" s="338">
        <f>'Changing with year'!W162</f>
        <v>14.242300429717238</v>
      </c>
      <c r="X56" s="338">
        <f>'Changing with year'!X162</f>
        <v>14.811992446905927</v>
      </c>
      <c r="Y56" s="338">
        <f>'Changing with year'!Y162</f>
        <v>15.404472144782165</v>
      </c>
      <c r="Z56" s="338">
        <f>'Changing with year'!Z162</f>
        <v>16.020651030573454</v>
      </c>
      <c r="AA56" s="338">
        <f>'Changing with year'!AA162</f>
        <v>16.661477071796394</v>
      </c>
      <c r="AB56" s="338">
        <f>'Changing with year'!AB162</f>
        <v>17.327936154668251</v>
      </c>
      <c r="AC56" s="338">
        <f>'Changing with year'!AC162</f>
        <v>18.02105360085498</v>
      </c>
      <c r="AD56" s="338">
        <f>'Changing with year'!AD162</f>
        <v>18.741895744889181</v>
      </c>
      <c r="AE56" s="338">
        <f>'Changing with year'!AE162</f>
        <v>19.491571574684748</v>
      </c>
      <c r="AF56" s="338">
        <f>'Changing with year'!AF162</f>
        <v>20.271234437672138</v>
      </c>
      <c r="AG56" s="338">
        <f>'Changing with year'!AG162</f>
        <v>21.082083815179026</v>
      </c>
      <c r="AH56" s="339"/>
    </row>
    <row r="57" spans="1:41">
      <c r="A57" s="328" t="s">
        <v>301</v>
      </c>
      <c r="B57" s="328" t="s">
        <v>300</v>
      </c>
      <c r="C57" s="338">
        <f>'Changing with year'!C194</f>
        <v>7</v>
      </c>
      <c r="D57" s="338">
        <f>'Changing with year'!D194</f>
        <v>7.28</v>
      </c>
      <c r="E57" s="338">
        <f>'Changing with year'!E194</f>
        <v>7.5712000000000002</v>
      </c>
      <c r="F57" s="338">
        <f>'Changing with year'!F194</f>
        <v>7.8740480000000002</v>
      </c>
      <c r="G57" s="338">
        <f>'Changing with year'!G194</f>
        <v>8.1890099200000002</v>
      </c>
      <c r="H57" s="338">
        <f>'Changing with year'!H194</f>
        <v>8.5165703168000011</v>
      </c>
      <c r="I57" s="338">
        <f>'Changing with year'!I194</f>
        <v>8.8572331294720019</v>
      </c>
      <c r="J57" s="338">
        <f>'Changing with year'!J194</f>
        <v>9.2115224546508827</v>
      </c>
      <c r="K57" s="338">
        <f>'Changing with year'!K194</f>
        <v>9.5799833528369192</v>
      </c>
      <c r="L57" s="338">
        <f>'Changing with year'!L194</f>
        <v>9.9631826869503968</v>
      </c>
      <c r="M57" s="338">
        <f>'Changing with year'!M194</f>
        <v>10.361709994428413</v>
      </c>
      <c r="N57" s="338">
        <f>'Changing with year'!N194</f>
        <v>10.77617839420555</v>
      </c>
      <c r="O57" s="338">
        <f>'Changing with year'!O194</f>
        <v>11.207225529973773</v>
      </c>
      <c r="P57" s="338">
        <f>'Changing with year'!P194</f>
        <v>11.655514551172724</v>
      </c>
      <c r="Q57" s="338">
        <f>'Changing with year'!Q194</f>
        <v>12.121735133219634</v>
      </c>
      <c r="R57" s="338">
        <f>'Changing with year'!R194</f>
        <v>12.606604538548419</v>
      </c>
      <c r="S57" s="338">
        <f>'Changing with year'!S194</f>
        <v>13.110868720090357</v>
      </c>
      <c r="T57" s="338">
        <f>'Changing with year'!T194</f>
        <v>13.635303468893971</v>
      </c>
      <c r="U57" s="338">
        <f>'Changing with year'!U194</f>
        <v>14.180715607649731</v>
      </c>
      <c r="V57" s="338">
        <f>'Changing with year'!V194</f>
        <v>14.747944231955721</v>
      </c>
      <c r="W57" s="338">
        <f>'Changing with year'!W194</f>
        <v>15.337862001233949</v>
      </c>
      <c r="X57" s="338">
        <f>'Changing with year'!X194</f>
        <v>15.951376481283308</v>
      </c>
      <c r="Y57" s="338">
        <f>'Changing with year'!Y194</f>
        <v>16.58943154053464</v>
      </c>
      <c r="Z57" s="338">
        <f>'Changing with year'!Z194</f>
        <v>17.253008802156028</v>
      </c>
      <c r="AA57" s="338">
        <f>'Changing with year'!AA194</f>
        <v>17.943129154242271</v>
      </c>
      <c r="AB57" s="338">
        <f>'Changing with year'!AB194</f>
        <v>18.660854320411964</v>
      </c>
      <c r="AC57" s="338">
        <f>'Changing with year'!AC194</f>
        <v>19.407288493228442</v>
      </c>
      <c r="AD57" s="338">
        <f>'Changing with year'!AD194</f>
        <v>20.183580032957583</v>
      </c>
      <c r="AE57" s="338">
        <f>'Changing with year'!AE194</f>
        <v>20.990923234275886</v>
      </c>
      <c r="AF57" s="338">
        <f>'Changing with year'!AF194</f>
        <v>21.830560163646922</v>
      </c>
      <c r="AG57" s="338">
        <f>'Changing with year'!AG194</f>
        <v>22.7037825701928</v>
      </c>
      <c r="AH57" s="339"/>
    </row>
    <row r="58" spans="1:41" ht="28.8">
      <c r="A58" s="337" t="s">
        <v>302</v>
      </c>
      <c r="B58" s="328" t="s">
        <v>300</v>
      </c>
      <c r="C58" s="338">
        <f>'Changing with year'!C226</f>
        <v>10.063574744784558</v>
      </c>
      <c r="D58" s="338">
        <f>'Changing with year'!D226</f>
        <v>10.182485376164944</v>
      </c>
      <c r="E58" s="338">
        <f>'Changing with year'!E226</f>
        <v>10.313243241760821</v>
      </c>
      <c r="F58" s="338">
        <f>'Changing with year'!F226</f>
        <v>10.4561449607168</v>
      </c>
      <c r="G58" s="338">
        <f>'Changing with year'!G226</f>
        <v>10.611503448698882</v>
      </c>
      <c r="H58" s="338">
        <f>'Changing with year'!H226</f>
        <v>10.779648458961409</v>
      </c>
      <c r="I58" s="338">
        <f>'Changing with year'!I226</f>
        <v>10.980150782402982</v>
      </c>
      <c r="J58" s="338">
        <f>'Changing with year'!J226</f>
        <v>11.193286871080552</v>
      </c>
      <c r="K58" s="338">
        <f>'Changing with year'!K226</f>
        <v>11.419469802157598</v>
      </c>
      <c r="L58" s="338">
        <f>'Changing with year'!L226</f>
        <v>11.659131021353051</v>
      </c>
      <c r="M58" s="338">
        <f>'Changing with year'!M226</f>
        <v>11.912721040774141</v>
      </c>
      <c r="N58" s="338">
        <f>'Changing with year'!N226</f>
        <v>12.180710165400731</v>
      </c>
      <c r="O58" s="338">
        <f>'Changing with year'!O226</f>
        <v>12.463589249352474</v>
      </c>
      <c r="P58" s="338">
        <f>'Changing with year'!P226</f>
        <v>12.761870483115571</v>
      </c>
      <c r="Q58" s="338">
        <f>'Changing with year'!Q226</f>
        <v>13.076088212953412</v>
      </c>
      <c r="R58" s="338">
        <f>'Changing with year'!R226</f>
        <v>13.406799793774507</v>
      </c>
      <c r="S58" s="338">
        <f>'Changing with year'!S226</f>
        <v>13.786000694906232</v>
      </c>
      <c r="T58" s="338">
        <f>'Changing with year'!T226</f>
        <v>14.181940342989421</v>
      </c>
      <c r="U58" s="338">
        <f>'Changing with year'!U226</f>
        <v>14.595272580793068</v>
      </c>
      <c r="V58" s="338">
        <f>'Changing with year'!V226</f>
        <v>15.026677561868018</v>
      </c>
      <c r="W58" s="338">
        <f>'Changing with year'!W226</f>
        <v>15.476862801407536</v>
      </c>
      <c r="X58" s="338">
        <f>'Changing with year'!X226</f>
        <v>15.946564269157987</v>
      </c>
      <c r="Y58" s="338">
        <f>'Changing with year'!Y226</f>
        <v>16.436547526061513</v>
      </c>
      <c r="Z58" s="338">
        <f>'Changing with year'!Z226</f>
        <v>16.947608906379809</v>
      </c>
      <c r="AA58" s="338">
        <f>'Changing with year'!AA226</f>
        <v>17.480576747118079</v>
      </c>
      <c r="AB58" s="338">
        <f>'Changing with year'!AB226</f>
        <v>18.036312666641052</v>
      </c>
      <c r="AC58" s="338">
        <f>'Changing with year'!AC226</f>
        <v>18.672533805991812</v>
      </c>
      <c r="AD58" s="338">
        <f>'Changing with year'!AD226</f>
        <v>19.33335147724345</v>
      </c>
      <c r="AE58" s="338">
        <f>'Changing with year'!AE226</f>
        <v>20.019741018535278</v>
      </c>
      <c r="AF58" s="338">
        <f>'Changing with year'!AF226</f>
        <v>20.732716696300798</v>
      </c>
      <c r="AG58" s="338">
        <f>'Changing with year'!AG226</f>
        <v>21.473333261547182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year'!C258</f>
        <v>10.947619047619046</v>
      </c>
      <c r="D59" s="338">
        <f>'Changing with year'!D258</f>
        <v>11.04442857142857</v>
      </c>
      <c r="E59" s="338">
        <f>'Changing with year'!E258</f>
        <v>11.153637857142856</v>
      </c>
      <c r="F59" s="338">
        <f>'Changing with year'!F258</f>
        <v>11.275529710714286</v>
      </c>
      <c r="G59" s="338">
        <f>'Changing with year'!G258</f>
        <v>11.410403579946427</v>
      </c>
      <c r="H59" s="338">
        <f>'Changing with year'!H258</f>
        <v>11.558576086927769</v>
      </c>
      <c r="I59" s="338">
        <f>'Changing with year'!I258</f>
        <v>11.743499857810013</v>
      </c>
      <c r="J59" s="338">
        <f>'Changing with year'!J258</f>
        <v>11.941368964979443</v>
      </c>
      <c r="K59" s="338">
        <f>'Changing with year'!K258</f>
        <v>12.152590254178511</v>
      </c>
      <c r="L59" s="338">
        <f>'Changing with year'!L258</f>
        <v>12.377589064333547</v>
      </c>
      <c r="M59" s="338">
        <f>'Changing with year'!M258</f>
        <v>12.616809922895026</v>
      </c>
      <c r="N59" s="338">
        <f>'Changing with year'!N258</f>
        <v>12.870717269879197</v>
      </c>
      <c r="O59" s="338">
        <f>'Changing with year'!O258</f>
        <v>13.139796211741372</v>
      </c>
      <c r="P59" s="338">
        <f>'Changing with year'!P258</f>
        <v>13.424553306256691</v>
      </c>
      <c r="Q59" s="338">
        <f>'Changing with year'!Q258</f>
        <v>13.725517379631711</v>
      </c>
      <c r="R59" s="338">
        <f>'Changing with year'!R258</f>
        <v>14.043240377119236</v>
      </c>
      <c r="S59" s="338">
        <f>'Changing with year'!S258</f>
        <v>14.416076872417515</v>
      </c>
      <c r="T59" s="338">
        <f>'Changing with year'!T258</f>
        <v>14.805715758725592</v>
      </c>
      <c r="U59" s="338">
        <f>'Changing with year'!U258</f>
        <v>15.212810242371877</v>
      </c>
      <c r="V59" s="338">
        <f>'Changing with year'!V258</f>
        <v>15.63803984683104</v>
      </c>
      <c r="W59" s="338">
        <f>'Changing with year'!W258</f>
        <v>16.082111463520928</v>
      </c>
      <c r="X59" s="338">
        <f>'Changing with year'!X258</f>
        <v>16.545760444650242</v>
      </c>
      <c r="Y59" s="338">
        <f>'Changing with year'!Y258</f>
        <v>17.029751739798847</v>
      </c>
      <c r="Z59" s="338">
        <f>'Changing with year'!Z258</f>
        <v>17.534881077979772</v>
      </c>
      <c r="AA59" s="338">
        <f>'Changing with year'!AA258</f>
        <v>18.061976197002039</v>
      </c>
      <c r="AB59" s="338">
        <f>'Changing with year'!AB258</f>
        <v>18.611898122026172</v>
      </c>
      <c r="AC59" s="338">
        <f>'Changing with year'!AC258</f>
        <v>19.253875115930782</v>
      </c>
      <c r="AD59" s="338">
        <f>'Changing with year'!AD258</f>
        <v>19.920506200281814</v>
      </c>
      <c r="AE59" s="338">
        <f>'Changing with year'!AE258</f>
        <v>20.612767288804022</v>
      </c>
      <c r="AF59" s="338">
        <f>'Changing with year'!AF258</f>
        <v>21.33167322927223</v>
      </c>
      <c r="AG59" s="338">
        <f>'Changing with year'!AG258</f>
        <v>22.078279359848331</v>
      </c>
      <c r="AH59" s="339"/>
    </row>
    <row r="60" spans="1:41">
      <c r="A60" s="328" t="s">
        <v>304</v>
      </c>
      <c r="B60" s="374" t="s">
        <v>305</v>
      </c>
      <c r="C60" s="361">
        <f>'Changing with year'!C273*$C$21*$C$22</f>
        <v>972000</v>
      </c>
      <c r="D60" s="361">
        <f>'Changing with year'!D273*$C$21*$C$22</f>
        <v>981720</v>
      </c>
      <c r="E60" s="361">
        <f>'Changing with year'!E273*$C$21*$C$22</f>
        <v>991537.2</v>
      </c>
      <c r="F60" s="361">
        <f>'Changing with year'!F273*$C$21*$C$22</f>
        <v>1001452.5719999999</v>
      </c>
      <c r="G60" s="361">
        <f>'Changing with year'!G273*$C$21*$C$22</f>
        <v>1011467.0977199998</v>
      </c>
      <c r="H60" s="361">
        <f>'Changing with year'!H273*$C$21*$C$22</f>
        <v>1021581.7686972</v>
      </c>
      <c r="I60" s="361">
        <f>'Changing with year'!I273*$C$21*$C$22</f>
        <v>1031797.586384172</v>
      </c>
      <c r="J60" s="361">
        <f>'Changing with year'!J273*$C$21*$C$22</f>
        <v>1042115.5622480137</v>
      </c>
      <c r="K60" s="361">
        <f>'Changing with year'!K273*$C$21*$C$22</f>
        <v>1052536.7178704939</v>
      </c>
      <c r="L60" s="361">
        <f>'Changing with year'!L273*$C$21*$C$22</f>
        <v>1063062.0850491989</v>
      </c>
      <c r="M60" s="361">
        <f>'Changing with year'!M273*$C$21*$C$22</f>
        <v>1073692.705899691</v>
      </c>
      <c r="N60" s="361">
        <f>'Changing with year'!N273*$C$21*$C$22</f>
        <v>1084429.6329586878</v>
      </c>
      <c r="O60" s="361">
        <f>'Changing with year'!O273*$C$21*$C$22</f>
        <v>1095273.9292882748</v>
      </c>
      <c r="P60" s="361">
        <f>'Changing with year'!P273*$C$21*$C$22</f>
        <v>1106226.6685811577</v>
      </c>
      <c r="Q60" s="361">
        <f>'Changing with year'!Q273*$C$21*$C$22</f>
        <v>1117288.9352669693</v>
      </c>
      <c r="R60" s="361">
        <f>'Changing with year'!R273*$C$21*$C$22</f>
        <v>1128461.824619639</v>
      </c>
      <c r="S60" s="361">
        <f>'Changing with year'!S273*$C$21*$C$22</f>
        <v>1139746.4428658355</v>
      </c>
      <c r="T60" s="361">
        <f>'Changing with year'!T273*$C$21*$C$22</f>
        <v>1151143.9072944939</v>
      </c>
      <c r="U60" s="361">
        <f>'Changing with year'!U273*$C$21*$C$22</f>
        <v>1162655.3463674388</v>
      </c>
      <c r="V60" s="361">
        <f>'Changing with year'!V273*$C$21*$C$22</f>
        <v>1174281.8998311132</v>
      </c>
      <c r="W60" s="361">
        <f>'Changing with year'!W273*$C$21*$C$22</f>
        <v>1186024.7188294244</v>
      </c>
      <c r="X60" s="361">
        <f>'Changing with year'!X273*$C$21*$C$22</f>
        <v>1197884.9660177184</v>
      </c>
      <c r="Y60" s="361">
        <f>'Changing with year'!Y273*$C$21*$C$22</f>
        <v>1209863.8156778959</v>
      </c>
      <c r="Z60" s="361">
        <f>'Changing with year'!Z273*$C$21*$C$22</f>
        <v>1221962.4538346748</v>
      </c>
      <c r="AA60" s="361">
        <f>'Changing with year'!AA273*$C$21*$C$22</f>
        <v>1234182.0783730214</v>
      </c>
      <c r="AB60" s="361">
        <f>'Changing with year'!AB273*$C$21*$C$22</f>
        <v>1246523.8991567518</v>
      </c>
      <c r="AC60" s="361">
        <f>'Changing with year'!AC273*$C$21*$C$22</f>
        <v>1258989.1381483194</v>
      </c>
      <c r="AD60" s="361">
        <f>'Changing with year'!AD273*$C$21*$C$22</f>
        <v>1271579.0295298027</v>
      </c>
      <c r="AE60" s="361">
        <f>'Changing with year'!AE273*$C$21*$C$22</f>
        <v>1284294.8198251007</v>
      </c>
      <c r="AF60" s="361">
        <f>'Changing with year'!AF273*$C$21*$C$22</f>
        <v>1297137.7680233517</v>
      </c>
      <c r="AG60" s="361">
        <f>'Changing with year'!AG273*$C$21*$C$22</f>
        <v>1310109.1457035851</v>
      </c>
      <c r="AH60" s="339"/>
      <c r="AI60" s="375"/>
      <c r="AJ60" s="376"/>
    </row>
    <row r="61" spans="1:41">
      <c r="A61" s="328" t="s">
        <v>306</v>
      </c>
      <c r="B61" s="374" t="s">
        <v>305</v>
      </c>
      <c r="C61" s="361">
        <f>'Changing with year'!C284*$C$21*$C$22</f>
        <v>972000</v>
      </c>
      <c r="D61" s="361">
        <f>'Changing with year'!D284*$C$21*$C$22</f>
        <v>981720</v>
      </c>
      <c r="E61" s="361">
        <f>'Changing with year'!E284*$C$21*$C$22</f>
        <v>991537.2</v>
      </c>
      <c r="F61" s="361">
        <f>'Changing with year'!F284*$C$21*$C$22</f>
        <v>1001452.5719999999</v>
      </c>
      <c r="G61" s="361">
        <f>'Changing with year'!G284*$C$21*$C$22</f>
        <v>1011467.0977199998</v>
      </c>
      <c r="H61" s="361">
        <f>'Changing with year'!H284*$C$21*$C$22</f>
        <v>1021581.7686972</v>
      </c>
      <c r="I61" s="361">
        <f>'Changing with year'!I284*$C$21*$C$22</f>
        <v>1031797.586384172</v>
      </c>
      <c r="J61" s="361">
        <f>'Changing with year'!J284*$C$21*$C$22</f>
        <v>1042115.5622480137</v>
      </c>
      <c r="K61" s="361">
        <f>'Changing with year'!K284*$C$21*$C$22</f>
        <v>1052536.7178704939</v>
      </c>
      <c r="L61" s="361">
        <f>'Changing with year'!L284*$C$21*$C$22</f>
        <v>1063062.0850491989</v>
      </c>
      <c r="M61" s="361">
        <f>'Changing with year'!M284*$C$21*$C$22</f>
        <v>1073692.705899691</v>
      </c>
      <c r="N61" s="361">
        <f>'Changing with year'!N284*$C$21*$C$22</f>
        <v>1084429.6329586878</v>
      </c>
      <c r="O61" s="361">
        <f>'Changing with year'!O284*$C$21*$C$22</f>
        <v>1095273.9292882748</v>
      </c>
      <c r="P61" s="361">
        <f>'Changing with year'!P284*$C$21*$C$22</f>
        <v>1106226.6685811577</v>
      </c>
      <c r="Q61" s="361">
        <f>'Changing with year'!Q284*$C$21*$C$22</f>
        <v>1117288.9352669693</v>
      </c>
      <c r="R61" s="361">
        <f>'Changing with year'!R284*$C$21*$C$22</f>
        <v>1128461.824619639</v>
      </c>
      <c r="S61" s="361">
        <f>'Changing with year'!S284*$C$21*$C$22</f>
        <v>1139746.4428658355</v>
      </c>
      <c r="T61" s="361">
        <f>'Changing with year'!T284*$C$21*$C$22</f>
        <v>1151143.9072944939</v>
      </c>
      <c r="U61" s="361">
        <f>'Changing with year'!U284*$C$21*$C$22</f>
        <v>1162655.3463674388</v>
      </c>
      <c r="V61" s="361">
        <f>'Changing with year'!V284*$C$21*$C$22</f>
        <v>1174281.8998311132</v>
      </c>
      <c r="W61" s="361">
        <f>'Changing with year'!W284*$C$21*$C$22</f>
        <v>1186024.7188294244</v>
      </c>
      <c r="X61" s="361">
        <f>'Changing with year'!X284*$C$21*$C$22</f>
        <v>1197884.9660177184</v>
      </c>
      <c r="Y61" s="361">
        <f>'Changing with year'!Y284*$C$21*$C$22</f>
        <v>1209863.8156778959</v>
      </c>
      <c r="Z61" s="361">
        <f>'Changing with year'!Z284*$C$21*$C$22</f>
        <v>1221962.4538346748</v>
      </c>
      <c r="AA61" s="361">
        <f>'Changing with year'!AA284*$C$21*$C$22</f>
        <v>1234182.0783730214</v>
      </c>
      <c r="AB61" s="361">
        <f>'Changing with year'!AB284*$C$21*$C$22</f>
        <v>1246523.8991567518</v>
      </c>
      <c r="AC61" s="361">
        <f>'Changing with year'!AC284*$C$21*$C$22</f>
        <v>1258989.1381483194</v>
      </c>
      <c r="AD61" s="361">
        <f>'Changing with year'!AD284*$C$21*$C$22</f>
        <v>1271579.0295298027</v>
      </c>
      <c r="AE61" s="361">
        <f>'Changing with year'!AE284*$C$21*$C$22</f>
        <v>1284294.8198251007</v>
      </c>
      <c r="AF61" s="361">
        <f>'Changing with year'!AF284*$C$21*$C$22</f>
        <v>1297137.7680233517</v>
      </c>
      <c r="AG61" s="361">
        <f>'Changing with year'!AG284*$C$21*$C$22</f>
        <v>1310109.1457035851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year'!C89</f>
        <v>5000000</v>
      </c>
      <c r="D63" s="376">
        <f>'Changing with year'!D89</f>
        <v>5150000</v>
      </c>
      <c r="E63" s="376">
        <f>'Changing with year'!E89</f>
        <v>5304500</v>
      </c>
      <c r="F63" s="376">
        <f>'Changing with year'!F89</f>
        <v>5463600</v>
      </c>
      <c r="G63" s="376">
        <f>'Changing with year'!G89</f>
        <v>5627500</v>
      </c>
      <c r="H63" s="376">
        <f>'Changing with year'!H89</f>
        <v>6196300</v>
      </c>
      <c r="I63" s="376">
        <f>'Changing with year'!I89</f>
        <v>6382200</v>
      </c>
      <c r="J63" s="376">
        <f>'Changing with year'!J89</f>
        <v>6573700</v>
      </c>
      <c r="K63" s="376">
        <f>'Changing with year'!K89</f>
        <v>6770900</v>
      </c>
      <c r="L63" s="376">
        <f>'Changing with year'!L89</f>
        <v>6974000</v>
      </c>
      <c r="M63" s="376">
        <f>'Changing with year'!M89</f>
        <v>7183200</v>
      </c>
      <c r="N63" s="376">
        <f>'Changing with year'!N89</f>
        <v>7398700</v>
      </c>
      <c r="O63" s="376">
        <f>'Changing with year'!O89</f>
        <v>7620700</v>
      </c>
      <c r="P63" s="376">
        <f>'Changing with year'!P89</f>
        <v>7849300</v>
      </c>
      <c r="Q63" s="376">
        <f>'Changing with year'!Q89</f>
        <v>8084800</v>
      </c>
      <c r="R63" s="376">
        <f>'Changing with year'!R89</f>
        <v>8327300</v>
      </c>
      <c r="S63" s="376">
        <f>'Changing with year'!S89</f>
        <v>8577100</v>
      </c>
      <c r="T63" s="376">
        <f>'Changing with year'!T89</f>
        <v>8834400</v>
      </c>
      <c r="U63" s="376">
        <f>'Changing with year'!U89</f>
        <v>9099400</v>
      </c>
      <c r="V63" s="376">
        <f>'Changing with year'!V89</f>
        <v>9372400</v>
      </c>
      <c r="W63" s="376">
        <f>'Changing with year'!W89</f>
        <v>9653600</v>
      </c>
      <c r="X63" s="376">
        <f>'Changing with year'!X89</f>
        <v>9943200</v>
      </c>
      <c r="Y63" s="376">
        <f>'Changing with year'!Y89</f>
        <v>10241500</v>
      </c>
      <c r="Z63" s="376">
        <f>'Changing with year'!Z89</f>
        <v>10548700</v>
      </c>
      <c r="AA63" s="376">
        <f>'Changing with year'!AA89</f>
        <v>10865200</v>
      </c>
      <c r="AB63" s="376">
        <f>'Changing with year'!AB89</f>
        <v>11191200</v>
      </c>
      <c r="AC63" s="376">
        <f>'Changing with year'!AC89</f>
        <v>11526900</v>
      </c>
      <c r="AD63" s="376">
        <f>'Changing with year'!AD89</f>
        <v>11872700</v>
      </c>
      <c r="AE63" s="376">
        <f>'Changing with year'!AE89</f>
        <v>12228900</v>
      </c>
      <c r="AF63" s="376">
        <f>'Changing with year'!AF89</f>
        <v>12595800</v>
      </c>
      <c r="AG63" s="376">
        <f>'Changing with year'!AG89</f>
        <v>12973700</v>
      </c>
    </row>
    <row r="64" spans="1:41">
      <c r="A64" s="368" t="s">
        <v>310</v>
      </c>
      <c r="B64" s="300" t="s">
        <v>309</v>
      </c>
      <c r="C64" s="376">
        <f>(C63*'No change with year'!$Y$14)</f>
        <v>2500000</v>
      </c>
      <c r="D64" s="376">
        <f>(D63*'No change with year'!$Y$14)</f>
        <v>2575000</v>
      </c>
      <c r="E64" s="376">
        <f>(E63*'No change with year'!$Y$14)</f>
        <v>2652250</v>
      </c>
      <c r="F64" s="376">
        <f>(F63*'No change with year'!$Y$14)</f>
        <v>2731800</v>
      </c>
      <c r="G64" s="376">
        <f>(G63*'No change with year'!$Y$14)</f>
        <v>2813750</v>
      </c>
      <c r="H64" s="376">
        <f>(H63*'No change with year'!$Y$14)</f>
        <v>3098150</v>
      </c>
      <c r="I64" s="376">
        <f>(I63*'No change with year'!$Y$14)</f>
        <v>3191100</v>
      </c>
      <c r="J64" s="376">
        <f>(J63*'No change with year'!$Y$14)</f>
        <v>3286850</v>
      </c>
      <c r="K64" s="376">
        <f>(K63*'No change with year'!$Y$14)</f>
        <v>3385450</v>
      </c>
      <c r="L64" s="376">
        <f>(L63*'No change with year'!$Y$14)</f>
        <v>3487000</v>
      </c>
      <c r="M64" s="376">
        <f>(M63*'No change with year'!$Y$14)</f>
        <v>3591600</v>
      </c>
      <c r="N64" s="376">
        <f>(N63*'No change with year'!$Z$14)</f>
        <v>2959480</v>
      </c>
      <c r="O64" s="376">
        <f>(O63*'No change with year'!$Z$14)</f>
        <v>3048280</v>
      </c>
      <c r="P64" s="376">
        <f>(P63*'No change with year'!$Z$14)</f>
        <v>3139720</v>
      </c>
      <c r="Q64" s="376">
        <f>(Q63*'No change with year'!$Z$14)</f>
        <v>3233920</v>
      </c>
      <c r="R64" s="376">
        <f>(R63*'No change with year'!$Z$14)</f>
        <v>3330920</v>
      </c>
      <c r="S64" s="376">
        <f>(S63*'No change with year'!$Z$14)</f>
        <v>3430840</v>
      </c>
      <c r="T64" s="376">
        <f>(T63*'No change with year'!$Z$14)</f>
        <v>3533760</v>
      </c>
      <c r="U64" s="376">
        <f>(U63*'No change with year'!$Z$14)</f>
        <v>3639760</v>
      </c>
      <c r="V64" s="376">
        <f>(V63*'No change with year'!$Z$14)</f>
        <v>3748960</v>
      </c>
      <c r="W64" s="376">
        <f>(W63*'No change with year'!$Z$14)</f>
        <v>3861440</v>
      </c>
      <c r="X64" s="376">
        <f>(X63*'No change with year'!$AA$14)</f>
        <v>2982960</v>
      </c>
      <c r="Y64" s="376">
        <f>(Y63*'No change with year'!$AA$14)</f>
        <v>3072450</v>
      </c>
      <c r="Z64" s="376">
        <f>(Z63*'No change with year'!$AA$14)</f>
        <v>3164610</v>
      </c>
      <c r="AA64" s="376">
        <f>(AA63*'No change with year'!$AA$14)</f>
        <v>3259560</v>
      </c>
      <c r="AB64" s="376">
        <f>(AB63*'No change with year'!$AA$14)</f>
        <v>3357360</v>
      </c>
      <c r="AC64" s="376">
        <f>(AC63*'No change with year'!$AA$14)</f>
        <v>3458070</v>
      </c>
      <c r="AD64" s="376">
        <f>(AD63*'No change with year'!$AA$14)</f>
        <v>3561810</v>
      </c>
      <c r="AE64" s="376">
        <f>(AE63*'No change with year'!$AA$14)</f>
        <v>3668670</v>
      </c>
      <c r="AF64" s="376">
        <f>(AF63*'No change with year'!$AA$14)</f>
        <v>3778740</v>
      </c>
      <c r="AG64" s="376">
        <f>(AG63*'No change with year'!$AA$14)</f>
        <v>3892110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1095588.6795069545</v>
      </c>
      <c r="D66" s="376">
        <f t="shared" si="4"/>
        <v>1128456.3398921629</v>
      </c>
      <c r="E66" s="376">
        <f t="shared" si="4"/>
        <v>1162310.0300889278</v>
      </c>
      <c r="F66" s="376">
        <f t="shared" si="4"/>
        <v>1197171.6618708391</v>
      </c>
      <c r="G66" s="376">
        <f t="shared" si="4"/>
        <v>1233085.0587850772</v>
      </c>
      <c r="H66" s="376">
        <f t="shared" si="4"/>
        <v>1357719.2269657883</v>
      </c>
      <c r="I66" s="376">
        <f t="shared" si="4"/>
        <v>1398453.2140698568</v>
      </c>
      <c r="J66" s="376">
        <f t="shared" si="4"/>
        <v>1440414.260494973</v>
      </c>
      <c r="K66" s="376">
        <f t="shared" si="4"/>
        <v>1483624.2780147276</v>
      </c>
      <c r="L66" s="376">
        <f t="shared" si="4"/>
        <v>1528127.0901762999</v>
      </c>
      <c r="M66" s="376">
        <f t="shared" si="4"/>
        <v>1573966.5205268709</v>
      </c>
      <c r="N66" s="376">
        <f t="shared" si="4"/>
        <v>1621186.3926136207</v>
      </c>
      <c r="O66" s="376">
        <f t="shared" si="4"/>
        <v>1669830.5299837294</v>
      </c>
      <c r="P66" s="376">
        <f t="shared" si="4"/>
        <v>1719920.8444107873</v>
      </c>
      <c r="Q66" s="376">
        <f t="shared" si="4"/>
        <v>1771523.0712155651</v>
      </c>
      <c r="R66" s="376">
        <f t="shared" si="4"/>
        <v>1824659.1221716523</v>
      </c>
      <c r="S66" s="376">
        <f t="shared" si="4"/>
        <v>1879394.7325998198</v>
      </c>
      <c r="T66" s="376">
        <f t="shared" si="4"/>
        <v>1935773.7260472474</v>
      </c>
      <c r="U66" s="376">
        <f t="shared" si="4"/>
        <v>1993839.9260611162</v>
      </c>
      <c r="V66" s="376">
        <f t="shared" si="4"/>
        <v>2053659.067962196</v>
      </c>
      <c r="W66" s="376">
        <f t="shared" si="4"/>
        <v>2115274.9752976671</v>
      </c>
      <c r="X66" s="376">
        <f t="shared" si="4"/>
        <v>2178731.4716147096</v>
      </c>
      <c r="Y66" s="376">
        <f t="shared" si="4"/>
        <v>2244094.2922340943</v>
      </c>
      <c r="Z66" s="376">
        <f t="shared" si="4"/>
        <v>2311407.2607030016</v>
      </c>
      <c r="AA66" s="376">
        <f t="shared" si="4"/>
        <v>2380758.024115792</v>
      </c>
      <c r="AB66" s="376">
        <f t="shared" si="4"/>
        <v>2452190.4060196453</v>
      </c>
      <c r="AC66" s="376">
        <f t="shared" si="4"/>
        <v>2525748.2299617422</v>
      </c>
      <c r="AD66" s="376">
        <f t="shared" si="4"/>
        <v>2601519.1430364433</v>
      </c>
      <c r="AE66" s="376">
        <f t="shared" si="4"/>
        <v>2679568.8805645187</v>
      </c>
      <c r="AF66" s="376">
        <f t="shared" si="4"/>
        <v>2759963.1778667392</v>
      </c>
      <c r="AG66" s="376">
        <f t="shared" si="4"/>
        <v>2842767.7702638749</v>
      </c>
    </row>
    <row r="67" spans="1:35">
      <c r="A67" s="368" t="s">
        <v>314</v>
      </c>
      <c r="B67" s="368" t="s">
        <v>313</v>
      </c>
      <c r="C67" s="376">
        <f t="shared" ref="C67:AG67" si="5">C41*$C$37</f>
        <v>3693861.5306637352</v>
      </c>
      <c r="D67" s="376">
        <f t="shared" si="5"/>
        <v>4112307.6923076925</v>
      </c>
      <c r="E67" s="376">
        <f t="shared" si="5"/>
        <v>4194553.846153846</v>
      </c>
      <c r="F67" s="376">
        <f t="shared" si="5"/>
        <v>4278444.923076923</v>
      </c>
      <c r="G67" s="376">
        <f t="shared" si="5"/>
        <v>4364013.8215384623</v>
      </c>
      <c r="H67" s="376">
        <f t="shared" si="5"/>
        <v>4451294.0979692312</v>
      </c>
      <c r="I67" s="376">
        <f t="shared" si="5"/>
        <v>4540319.9799286155</v>
      </c>
      <c r="J67" s="376">
        <f t="shared" si="5"/>
        <v>4631126.3795271879</v>
      </c>
      <c r="K67" s="376">
        <f t="shared" si="5"/>
        <v>4723748.9071177319</v>
      </c>
      <c r="L67" s="376">
        <f t="shared" si="5"/>
        <v>4818223.8852600865</v>
      </c>
      <c r="M67" s="376">
        <f t="shared" si="5"/>
        <v>4914588.3629652886</v>
      </c>
      <c r="N67" s="376">
        <f t="shared" si="5"/>
        <v>5012880.1302245939</v>
      </c>
      <c r="O67" s="376">
        <f t="shared" si="5"/>
        <v>5113137.7328290865</v>
      </c>
      <c r="P67" s="376">
        <f t="shared" si="5"/>
        <v>5215400.4874856677</v>
      </c>
      <c r="Q67" s="376">
        <f t="shared" si="5"/>
        <v>5319708.497235381</v>
      </c>
      <c r="R67" s="376">
        <f t="shared" si="5"/>
        <v>5426102.6671800893</v>
      </c>
      <c r="S67" s="376">
        <f t="shared" si="5"/>
        <v>5534624.7205236917</v>
      </c>
      <c r="T67" s="376">
        <f t="shared" si="5"/>
        <v>5645317.2149341656</v>
      </c>
      <c r="U67" s="376">
        <f t="shared" si="5"/>
        <v>5758223.5592328487</v>
      </c>
      <c r="V67" s="376">
        <f t="shared" si="5"/>
        <v>5873388.0304175066</v>
      </c>
      <c r="W67" s="376">
        <f t="shared" si="5"/>
        <v>5990855.7910258565</v>
      </c>
      <c r="X67" s="376">
        <f t="shared" si="5"/>
        <v>6110672.9068463733</v>
      </c>
      <c r="Y67" s="376">
        <f t="shared" si="5"/>
        <v>6232886.3649833007</v>
      </c>
      <c r="Z67" s="376">
        <f t="shared" si="5"/>
        <v>6357544.0922829676</v>
      </c>
      <c r="AA67" s="376">
        <f t="shared" si="5"/>
        <v>6484694.9741286263</v>
      </c>
      <c r="AB67" s="376">
        <f t="shared" si="5"/>
        <v>6614388.8736111997</v>
      </c>
      <c r="AC67" s="376">
        <f t="shared" si="5"/>
        <v>6746676.6510834228</v>
      </c>
      <c r="AD67" s="376">
        <f t="shared" si="5"/>
        <v>6881610.1841050908</v>
      </c>
      <c r="AE67" s="376">
        <f t="shared" si="5"/>
        <v>7019242.3877871931</v>
      </c>
      <c r="AF67" s="376">
        <f t="shared" si="5"/>
        <v>7159627.2355429372</v>
      </c>
      <c r="AG67" s="376">
        <f t="shared" si="5"/>
        <v>7302819.7802537959</v>
      </c>
    </row>
    <row r="68" spans="1:35">
      <c r="A68" s="368" t="s">
        <v>315</v>
      </c>
      <c r="B68" s="368" t="s">
        <v>313</v>
      </c>
      <c r="C68" s="329">
        <f t="shared" ref="C68:AG68" si="6">$C$37*$AH$68*C42</f>
        <v>114230.76923076925</v>
      </c>
      <c r="D68" s="329">
        <f t="shared" si="6"/>
        <v>117086.53846153845</v>
      </c>
      <c r="E68" s="329">
        <f t="shared" si="6"/>
        <v>120013.70192307691</v>
      </c>
      <c r="F68" s="329">
        <f t="shared" si="6"/>
        <v>123014.04447115381</v>
      </c>
      <c r="G68" s="329">
        <f t="shared" si="6"/>
        <v>126089.39558293266</v>
      </c>
      <c r="H68" s="329">
        <f t="shared" si="6"/>
        <v>129241.63047250596</v>
      </c>
      <c r="I68" s="329">
        <f t="shared" si="6"/>
        <v>132472.67123431861</v>
      </c>
      <c r="J68" s="329">
        <f t="shared" si="6"/>
        <v>135784.48801517655</v>
      </c>
      <c r="K68" s="329">
        <f t="shared" si="6"/>
        <v>139179.10021555595</v>
      </c>
      <c r="L68" s="329">
        <f t="shared" si="6"/>
        <v>142658.57772094486</v>
      </c>
      <c r="M68" s="329">
        <f t="shared" si="6"/>
        <v>146225.04216396846</v>
      </c>
      <c r="N68" s="329">
        <f t="shared" si="6"/>
        <v>149880.66821806764</v>
      </c>
      <c r="O68" s="329">
        <f t="shared" si="6"/>
        <v>153627.68492351932</v>
      </c>
      <c r="P68" s="329">
        <f t="shared" si="6"/>
        <v>157468.37704660732</v>
      </c>
      <c r="Q68" s="329">
        <f t="shared" si="6"/>
        <v>161405.08647277247</v>
      </c>
      <c r="R68" s="329">
        <f t="shared" si="6"/>
        <v>165440.21363459178</v>
      </c>
      <c r="S68" s="329">
        <f t="shared" si="6"/>
        <v>169576.21897545658</v>
      </c>
      <c r="T68" s="329">
        <f t="shared" si="6"/>
        <v>173815.62444984299</v>
      </c>
      <c r="U68" s="329">
        <f t="shared" si="6"/>
        <v>178161.01506108904</v>
      </c>
      <c r="V68" s="329">
        <f t="shared" si="6"/>
        <v>182615.04043761626</v>
      </c>
      <c r="W68" s="329">
        <f t="shared" si="6"/>
        <v>187180.41644855664</v>
      </c>
      <c r="X68" s="329">
        <f t="shared" si="6"/>
        <v>191859.92685977055</v>
      </c>
      <c r="Y68" s="329">
        <f t="shared" si="6"/>
        <v>196656.42503126481</v>
      </c>
      <c r="Z68" s="329">
        <f t="shared" si="6"/>
        <v>201572.83565704641</v>
      </c>
      <c r="AA68" s="329">
        <f t="shared" si="6"/>
        <v>206612.15654847253</v>
      </c>
      <c r="AB68" s="329">
        <f t="shared" si="6"/>
        <v>211777.46046218433</v>
      </c>
      <c r="AC68" s="329">
        <f t="shared" si="6"/>
        <v>217071.89697373891</v>
      </c>
      <c r="AD68" s="329">
        <f t="shared" si="6"/>
        <v>222498.69439808239</v>
      </c>
      <c r="AE68" s="329">
        <f t="shared" si="6"/>
        <v>228061.16175803443</v>
      </c>
      <c r="AF68" s="329">
        <f t="shared" si="6"/>
        <v>233762.69080198527</v>
      </c>
      <c r="AG68" s="329">
        <f t="shared" si="6"/>
        <v>239606.75807203486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702000</v>
      </c>
      <c r="D69" s="376">
        <f t="shared" si="7"/>
        <v>730080</v>
      </c>
      <c r="E69" s="376">
        <f t="shared" si="7"/>
        <v>759283.20000000007</v>
      </c>
      <c r="F69" s="376">
        <f t="shared" si="7"/>
        <v>789654.52800000005</v>
      </c>
      <c r="G69" s="376">
        <f t="shared" si="7"/>
        <v>821240.70912000013</v>
      </c>
      <c r="H69" s="376">
        <f t="shared" si="7"/>
        <v>854090.33748480014</v>
      </c>
      <c r="I69" s="376">
        <f t="shared" si="7"/>
        <v>888253.9509841922</v>
      </c>
      <c r="J69" s="376">
        <f t="shared" si="7"/>
        <v>923784.10902355984</v>
      </c>
      <c r="K69" s="376">
        <f t="shared" si="7"/>
        <v>960735.47338450234</v>
      </c>
      <c r="L69" s="376">
        <f t="shared" si="7"/>
        <v>999164.89231988252</v>
      </c>
      <c r="M69" s="376">
        <f t="shared" si="7"/>
        <v>1039131.4880126779</v>
      </c>
      <c r="N69" s="376">
        <f t="shared" si="7"/>
        <v>1080696.7475331852</v>
      </c>
      <c r="O69" s="376">
        <f t="shared" si="7"/>
        <v>1123924.6174345124</v>
      </c>
      <c r="P69" s="376">
        <f t="shared" si="7"/>
        <v>1168881.6021318929</v>
      </c>
      <c r="Q69" s="376">
        <f t="shared" si="7"/>
        <v>1215636.8662171687</v>
      </c>
      <c r="R69" s="376">
        <f t="shared" si="7"/>
        <v>1264262.3408658556</v>
      </c>
      <c r="S69" s="376">
        <f t="shared" si="7"/>
        <v>1314832.83450049</v>
      </c>
      <c r="T69" s="376">
        <f t="shared" si="7"/>
        <v>1367426.1478805095</v>
      </c>
      <c r="U69" s="376">
        <f t="shared" si="7"/>
        <v>1422123.1937957301</v>
      </c>
      <c r="V69" s="376">
        <f t="shared" si="7"/>
        <v>1479008.1215475593</v>
      </c>
      <c r="W69" s="376">
        <f t="shared" si="7"/>
        <v>1538168.4464094618</v>
      </c>
      <c r="X69" s="376">
        <f t="shared" si="7"/>
        <v>1599695.1842658401</v>
      </c>
      <c r="Y69" s="376">
        <f t="shared" si="7"/>
        <v>1663682.9916364739</v>
      </c>
      <c r="Z69" s="376">
        <f t="shared" si="7"/>
        <v>1730230.3113019331</v>
      </c>
      <c r="AA69" s="376">
        <f t="shared" si="7"/>
        <v>1799439.5237540107</v>
      </c>
      <c r="AB69" s="376">
        <f t="shared" si="7"/>
        <v>1871417.1047041712</v>
      </c>
      <c r="AC69" s="376">
        <f t="shared" si="7"/>
        <v>1946273.7888923378</v>
      </c>
      <c r="AD69" s="376">
        <f t="shared" si="7"/>
        <v>2024124.7404480316</v>
      </c>
      <c r="AE69" s="376">
        <f t="shared" si="7"/>
        <v>2105089.730065953</v>
      </c>
      <c r="AF69" s="376">
        <f t="shared" si="7"/>
        <v>2189293.3192685908</v>
      </c>
      <c r="AG69" s="376">
        <f t="shared" si="7"/>
        <v>2276865.0520393346</v>
      </c>
    </row>
    <row r="70" spans="1:35">
      <c r="A70" s="368" t="s">
        <v>318</v>
      </c>
      <c r="B70" s="368" t="s">
        <v>313</v>
      </c>
      <c r="C70" s="376">
        <f>'Changing with year'!C295</f>
        <v>600000</v>
      </c>
      <c r="D70" s="376">
        <f>'Changing with year'!D295</f>
        <v>627000</v>
      </c>
      <c r="E70" s="376">
        <f>'Changing with year'!E295</f>
        <v>655000</v>
      </c>
      <c r="F70" s="376">
        <f>'Changing with year'!F295</f>
        <v>684000</v>
      </c>
      <c r="G70" s="376">
        <f>'Changing with year'!G295</f>
        <v>715000</v>
      </c>
      <c r="H70" s="376">
        <f>'Changing with year'!H295</f>
        <v>747000</v>
      </c>
      <c r="I70" s="376">
        <f>'Changing with year'!I295</f>
        <v>781000</v>
      </c>
      <c r="J70" s="376">
        <f>'Changing with year'!J295</f>
        <v>816000</v>
      </c>
      <c r="K70" s="376">
        <f>'Changing with year'!K295</f>
        <v>853000</v>
      </c>
      <c r="L70" s="376">
        <f>'Changing with year'!L295</f>
        <v>891000</v>
      </c>
      <c r="M70" s="376">
        <f>'Changing with year'!M295</f>
        <v>931000</v>
      </c>
      <c r="N70" s="376">
        <f>'Changing with year'!N295</f>
        <v>973000</v>
      </c>
      <c r="O70" s="376">
        <f>'Changing with year'!O295</f>
        <v>1017000</v>
      </c>
      <c r="P70" s="376">
        <f>'Changing with year'!P295</f>
        <v>1063000</v>
      </c>
      <c r="Q70" s="376">
        <f>'Changing with year'!Q295</f>
        <v>1111000</v>
      </c>
      <c r="R70" s="376">
        <f>'Changing with year'!R295</f>
        <v>1161000</v>
      </c>
      <c r="S70" s="376">
        <f>'Changing with year'!S295</f>
        <v>1213000</v>
      </c>
      <c r="T70" s="376">
        <f>'Changing with year'!T295</f>
        <v>1268000</v>
      </c>
      <c r="U70" s="376">
        <f>'Changing with year'!U295</f>
        <v>1325000</v>
      </c>
      <c r="V70" s="376">
        <f>'Changing with year'!V295</f>
        <v>1385000</v>
      </c>
      <c r="W70" s="376">
        <f>'Changing with year'!W295</f>
        <v>1447000</v>
      </c>
      <c r="X70" s="376">
        <f>'Changing with year'!X295</f>
        <v>1512000</v>
      </c>
      <c r="Y70" s="376">
        <f>'Changing with year'!Y295</f>
        <v>1580000</v>
      </c>
      <c r="Z70" s="376">
        <f>'Changing with year'!Z295</f>
        <v>1651000</v>
      </c>
      <c r="AA70" s="376">
        <f>'Changing with year'!AA295</f>
        <v>1725000</v>
      </c>
      <c r="AB70" s="376">
        <f>'Changing with year'!AB295</f>
        <v>1803000</v>
      </c>
      <c r="AC70" s="376">
        <f>'Changing with year'!AC295</f>
        <v>1884000</v>
      </c>
      <c r="AD70" s="376">
        <f>'Changing with year'!AD295</f>
        <v>1969000</v>
      </c>
      <c r="AE70" s="376">
        <f>'Changing with year'!AE295</f>
        <v>2058000</v>
      </c>
      <c r="AF70" s="376">
        <f>'Changing with year'!AF295</f>
        <v>2151000</v>
      </c>
      <c r="AG70" s="376">
        <f>'Changing with year'!AG295</f>
        <v>2248000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972000</v>
      </c>
      <c r="D71" s="376">
        <f t="shared" si="8"/>
        <v>981720</v>
      </c>
      <c r="E71" s="376">
        <f t="shared" si="8"/>
        <v>991537.2</v>
      </c>
      <c r="F71" s="376">
        <f t="shared" si="8"/>
        <v>1001452.5719999999</v>
      </c>
      <c r="G71" s="376">
        <f t="shared" si="8"/>
        <v>1011467.0977199998</v>
      </c>
      <c r="H71" s="376">
        <f t="shared" si="8"/>
        <v>1021581.7686972</v>
      </c>
      <c r="I71" s="376">
        <f t="shared" si="8"/>
        <v>1031797.586384172</v>
      </c>
      <c r="J71" s="376">
        <f t="shared" si="8"/>
        <v>1042115.5622480137</v>
      </c>
      <c r="K71" s="376">
        <f t="shared" si="8"/>
        <v>1052536.7178704939</v>
      </c>
      <c r="L71" s="376">
        <f t="shared" si="8"/>
        <v>1063062.0850491989</v>
      </c>
      <c r="M71" s="376">
        <f t="shared" si="8"/>
        <v>1073692.705899691</v>
      </c>
      <c r="N71" s="376">
        <f t="shared" si="8"/>
        <v>1084429.6329586878</v>
      </c>
      <c r="O71" s="376">
        <f t="shared" si="8"/>
        <v>1095273.9292882748</v>
      </c>
      <c r="P71" s="376">
        <f t="shared" si="8"/>
        <v>1106226.6685811577</v>
      </c>
      <c r="Q71" s="376">
        <f t="shared" si="8"/>
        <v>1117288.9352669693</v>
      </c>
      <c r="R71" s="376">
        <f t="shared" si="8"/>
        <v>1128461.824619639</v>
      </c>
      <c r="S71" s="376">
        <f t="shared" si="8"/>
        <v>1139746.4428658355</v>
      </c>
      <c r="T71" s="376">
        <f t="shared" si="8"/>
        <v>1151143.9072944939</v>
      </c>
      <c r="U71" s="376">
        <f t="shared" si="8"/>
        <v>1162655.3463674388</v>
      </c>
      <c r="V71" s="376">
        <f t="shared" si="8"/>
        <v>1174281.8998311132</v>
      </c>
      <c r="W71" s="376">
        <f t="shared" si="8"/>
        <v>1186024.7188294244</v>
      </c>
      <c r="X71" s="376">
        <f t="shared" si="8"/>
        <v>1197884.9660177184</v>
      </c>
      <c r="Y71" s="376">
        <f t="shared" si="8"/>
        <v>1209863.8156778959</v>
      </c>
      <c r="Z71" s="376">
        <f t="shared" si="8"/>
        <v>1221962.4538346748</v>
      </c>
      <c r="AA71" s="376">
        <f t="shared" si="8"/>
        <v>1234182.0783730214</v>
      </c>
      <c r="AB71" s="376">
        <f t="shared" si="8"/>
        <v>1246523.8991567518</v>
      </c>
      <c r="AC71" s="376">
        <f t="shared" si="8"/>
        <v>1258989.1381483194</v>
      </c>
      <c r="AD71" s="376">
        <f t="shared" si="8"/>
        <v>1271579.0295298027</v>
      </c>
      <c r="AE71" s="376">
        <f t="shared" si="8"/>
        <v>1284294.8198251007</v>
      </c>
      <c r="AF71" s="376">
        <f t="shared" si="8"/>
        <v>1297137.7680233517</v>
      </c>
      <c r="AG71" s="376">
        <f t="shared" si="8"/>
        <v>1310109.1457035851</v>
      </c>
    </row>
    <row r="72" spans="1:35">
      <c r="A72" s="300" t="s">
        <v>319</v>
      </c>
      <c r="B72" s="368" t="s">
        <v>313</v>
      </c>
      <c r="C72" s="376">
        <f t="shared" ref="C72:AG72" si="9">C63*$C$29</f>
        <v>100000</v>
      </c>
      <c r="D72" s="376">
        <f t="shared" si="9"/>
        <v>103000</v>
      </c>
      <c r="E72" s="376">
        <f t="shared" si="9"/>
        <v>106090</v>
      </c>
      <c r="F72" s="376">
        <f t="shared" si="9"/>
        <v>109272</v>
      </c>
      <c r="G72" s="376">
        <f t="shared" si="9"/>
        <v>112550</v>
      </c>
      <c r="H72" s="376">
        <f t="shared" si="9"/>
        <v>123926</v>
      </c>
      <c r="I72" s="376">
        <f t="shared" si="9"/>
        <v>127644</v>
      </c>
      <c r="J72" s="376">
        <f t="shared" si="9"/>
        <v>131474</v>
      </c>
      <c r="K72" s="376">
        <f t="shared" si="9"/>
        <v>135418</v>
      </c>
      <c r="L72" s="376">
        <f t="shared" si="9"/>
        <v>139480</v>
      </c>
      <c r="M72" s="376">
        <f t="shared" si="9"/>
        <v>143664</v>
      </c>
      <c r="N72" s="376">
        <f t="shared" si="9"/>
        <v>147974</v>
      </c>
      <c r="O72" s="376">
        <f t="shared" si="9"/>
        <v>152414</v>
      </c>
      <c r="P72" s="376">
        <f t="shared" si="9"/>
        <v>156986</v>
      </c>
      <c r="Q72" s="376">
        <f t="shared" si="9"/>
        <v>161696</v>
      </c>
      <c r="R72" s="376">
        <f t="shared" si="9"/>
        <v>166546</v>
      </c>
      <c r="S72" s="376">
        <f t="shared" si="9"/>
        <v>171542</v>
      </c>
      <c r="T72" s="376">
        <f t="shared" si="9"/>
        <v>176688</v>
      </c>
      <c r="U72" s="376">
        <f t="shared" si="9"/>
        <v>181988</v>
      </c>
      <c r="V72" s="376">
        <f t="shared" si="9"/>
        <v>187448</v>
      </c>
      <c r="W72" s="376">
        <f t="shared" si="9"/>
        <v>193072</v>
      </c>
      <c r="X72" s="376">
        <f t="shared" si="9"/>
        <v>198864</v>
      </c>
      <c r="Y72" s="376">
        <f t="shared" si="9"/>
        <v>204830</v>
      </c>
      <c r="Z72" s="376">
        <f t="shared" si="9"/>
        <v>210974</v>
      </c>
      <c r="AA72" s="376">
        <f t="shared" si="9"/>
        <v>217304</v>
      </c>
      <c r="AB72" s="376">
        <f t="shared" si="9"/>
        <v>223824</v>
      </c>
      <c r="AC72" s="376">
        <f t="shared" si="9"/>
        <v>230538</v>
      </c>
      <c r="AD72" s="376">
        <f t="shared" si="9"/>
        <v>237454</v>
      </c>
      <c r="AE72" s="376">
        <f t="shared" si="9"/>
        <v>244578</v>
      </c>
      <c r="AF72" s="376">
        <f t="shared" si="9"/>
        <v>251916</v>
      </c>
      <c r="AG72" s="376">
        <f t="shared" si="9"/>
        <v>259474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10.144339625064394</v>
      </c>
      <c r="D74" s="379">
        <f t="shared" si="10"/>
        <v>10.448669813816323</v>
      </c>
      <c r="E74" s="379">
        <f t="shared" si="10"/>
        <v>10.762129908230813</v>
      </c>
      <c r="F74" s="379">
        <f t="shared" si="10"/>
        <v>11.084922795100361</v>
      </c>
      <c r="G74" s="379">
        <f t="shared" si="10"/>
        <v>11.417454248009975</v>
      </c>
      <c r="H74" s="379">
        <f t="shared" si="10"/>
        <v>12.571474323757299</v>
      </c>
      <c r="I74" s="379">
        <f t="shared" si="10"/>
        <v>12.948640871017192</v>
      </c>
      <c r="J74" s="379">
        <f t="shared" si="10"/>
        <v>13.337169078657158</v>
      </c>
      <c r="K74" s="379">
        <f t="shared" si="10"/>
        <v>13.737261833469701</v>
      </c>
      <c r="L74" s="379">
        <f t="shared" si="10"/>
        <v>14.149324909039814</v>
      </c>
      <c r="M74" s="379">
        <f t="shared" si="10"/>
        <v>14.573764078952507</v>
      </c>
      <c r="N74" s="379">
        <f t="shared" si="10"/>
        <v>15.010985116792785</v>
      </c>
      <c r="O74" s="379">
        <f t="shared" si="10"/>
        <v>15.461393796145643</v>
      </c>
      <c r="P74" s="379">
        <f t="shared" si="10"/>
        <v>15.925193003803587</v>
      </c>
      <c r="Q74" s="379">
        <f t="shared" si="10"/>
        <v>16.402991400144121</v>
      </c>
      <c r="R74" s="379">
        <f t="shared" si="10"/>
        <v>16.894991871959743</v>
      </c>
      <c r="S74" s="379">
        <f t="shared" si="10"/>
        <v>17.40180307962796</v>
      </c>
      <c r="T74" s="379">
        <f t="shared" si="10"/>
        <v>17.923830796733771</v>
      </c>
      <c r="U74" s="379">
        <f t="shared" si="10"/>
        <v>18.461480796862187</v>
      </c>
      <c r="V74" s="379">
        <f t="shared" si="10"/>
        <v>19.015361740390702</v>
      </c>
      <c r="W74" s="379">
        <f t="shared" si="10"/>
        <v>19.585879400904325</v>
      </c>
      <c r="X74" s="379">
        <f t="shared" si="10"/>
        <v>20.17343955198805</v>
      </c>
      <c r="Y74" s="379">
        <f t="shared" si="10"/>
        <v>20.778650854019393</v>
      </c>
      <c r="Z74" s="379">
        <f t="shared" si="10"/>
        <v>21.401919080583347</v>
      </c>
      <c r="AA74" s="379">
        <f t="shared" si="10"/>
        <v>22.044055778849927</v>
      </c>
      <c r="AB74" s="379">
        <f t="shared" si="10"/>
        <v>22.705466722404122</v>
      </c>
      <c r="AC74" s="379">
        <f t="shared" si="10"/>
        <v>23.386557684830947</v>
      </c>
      <c r="AD74" s="379">
        <f t="shared" si="10"/>
        <v>24.088140213300402</v>
      </c>
      <c r="AE74" s="379">
        <f t="shared" si="10"/>
        <v>24.810822968189989</v>
      </c>
      <c r="AF74" s="379">
        <f t="shared" si="10"/>
        <v>25.555214609877215</v>
      </c>
      <c r="AG74" s="379">
        <f t="shared" si="10"/>
        <v>26.321923798739583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35.260113887912077</v>
      </c>
      <c r="D75" s="379">
        <f t="shared" si="11"/>
        <v>39.161057692307693</v>
      </c>
      <c r="E75" s="379">
        <f t="shared" si="11"/>
        <v>39.949699519230769</v>
      </c>
      <c r="F75" s="379">
        <f t="shared" si="11"/>
        <v>40.754249699519228</v>
      </c>
      <c r="G75" s="379">
        <f t="shared" si="11"/>
        <v>41.575029788161068</v>
      </c>
      <c r="H75" s="379">
        <f t="shared" si="11"/>
        <v>42.412367855942016</v>
      </c>
      <c r="I75" s="379">
        <f t="shared" si="11"/>
        <v>43.26659862187902</v>
      </c>
      <c r="J75" s="379">
        <f t="shared" si="11"/>
        <v>44.13806358835523</v>
      </c>
      <c r="K75" s="379">
        <f t="shared" si="11"/>
        <v>45.027111179011925</v>
      </c>
      <c r="L75" s="379">
        <f t="shared" si="11"/>
        <v>45.934096879453996</v>
      </c>
      <c r="M75" s="379">
        <f t="shared" si="11"/>
        <v>46.859383380826451</v>
      </c>
      <c r="N75" s="379">
        <f t="shared" si="11"/>
        <v>47.80334072632094</v>
      </c>
      <c r="O75" s="379">
        <f t="shared" si="11"/>
        <v>48.766346460672274</v>
      </c>
      <c r="P75" s="379">
        <f t="shared" si="11"/>
        <v>49.74878578270625</v>
      </c>
      <c r="Q75" s="379">
        <f t="shared" si="11"/>
        <v>50.751051701001415</v>
      </c>
      <c r="R75" s="379">
        <f t="shared" si="11"/>
        <v>51.773545192728527</v>
      </c>
      <c r="S75" s="379">
        <f t="shared" si="11"/>
        <v>52.816675365732856</v>
      </c>
      <c r="T75" s="379">
        <f t="shared" si="11"/>
        <v>53.880859623926</v>
      </c>
      <c r="U75" s="379">
        <f t="shared" si="11"/>
        <v>54.966523836054975</v>
      </c>
      <c r="V75" s="379">
        <f t="shared" si="11"/>
        <v>56.074102507917807</v>
      </c>
      <c r="W75" s="379">
        <f t="shared" si="11"/>
        <v>57.204038958096419</v>
      </c>
      <c r="X75" s="379">
        <f t="shared" si="11"/>
        <v>58.356785497279112</v>
      </c>
      <c r="Y75" s="379">
        <f t="shared" si="11"/>
        <v>59.532803611245981</v>
      </c>
      <c r="Z75" s="379">
        <f t="shared" si="11"/>
        <v>60.732564147592718</v>
      </c>
      <c r="AA75" s="379">
        <f t="shared" si="11"/>
        <v>61.95654750626943</v>
      </c>
      <c r="AB75" s="379">
        <f t="shared" si="11"/>
        <v>63.205243834012819</v>
      </c>
      <c r="AC75" s="379">
        <f t="shared" si="11"/>
        <v>64.479153222751492</v>
      </c>
      <c r="AD75" s="379">
        <f t="shared" si="11"/>
        <v>65.778785912066425</v>
      </c>
      <c r="AE75" s="379">
        <f t="shared" si="11"/>
        <v>67.104662495789142</v>
      </c>
      <c r="AF75" s="379">
        <f t="shared" si="11"/>
        <v>68.457314132823356</v>
      </c>
      <c r="AG75" s="379">
        <f t="shared" si="11"/>
        <v>69.837282762276203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21.981481481481481</v>
      </c>
      <c r="D76" s="379">
        <f t="shared" si="12"/>
        <v>22.609259259259261</v>
      </c>
      <c r="E76" s="379">
        <f t="shared" si="12"/>
        <v>23.258429629629632</v>
      </c>
      <c r="F76" s="379">
        <f t="shared" si="12"/>
        <v>23.929436111111109</v>
      </c>
      <c r="G76" s="379">
        <f t="shared" si="12"/>
        <v>24.632016730000004</v>
      </c>
      <c r="H76" s="379">
        <f t="shared" si="12"/>
        <v>25.431463946129632</v>
      </c>
      <c r="I76" s="379">
        <f t="shared" si="12"/>
        <v>26.191625346003374</v>
      </c>
      <c r="J76" s="379">
        <f t="shared" si="12"/>
        <v>26.97568214140346</v>
      </c>
      <c r="K76" s="379">
        <f t="shared" si="12"/>
        <v>27.793427696805519</v>
      </c>
      <c r="L76" s="379">
        <f t="shared" si="12"/>
        <v>28.636175716380382</v>
      </c>
      <c r="M76" s="379">
        <f t="shared" si="12"/>
        <v>29.513779573262678</v>
      </c>
      <c r="N76" s="379">
        <f t="shared" si="12"/>
        <v>30.426855374924752</v>
      </c>
      <c r="O76" s="379">
        <f t="shared" si="12"/>
        <v>31.376042099285069</v>
      </c>
      <c r="P76" s="379">
        <f t="shared" si="12"/>
        <v>32.361983988083807</v>
      </c>
      <c r="Q76" s="379">
        <f t="shared" si="12"/>
        <v>33.385387050779059</v>
      </c>
      <c r="R76" s="379">
        <f t="shared" si="12"/>
        <v>34.446945976717544</v>
      </c>
      <c r="S76" s="379">
        <f t="shared" si="12"/>
        <v>35.547419234873381</v>
      </c>
      <c r="T76" s="379">
        <f t="shared" si="12"/>
        <v>36.696833844212996</v>
      </c>
      <c r="U76" s="379">
        <f t="shared" si="12"/>
        <v>37.886727223733047</v>
      </c>
      <c r="V76" s="379">
        <f t="shared" si="12"/>
        <v>39.127203901654376</v>
      </c>
      <c r="W76" s="379">
        <f t="shared" si="12"/>
        <v>40.409862641100794</v>
      </c>
      <c r="X76" s="379">
        <f t="shared" si="12"/>
        <v>41.744853243366279</v>
      </c>
      <c r="Y76" s="379">
        <f t="shared" si="12"/>
        <v>43.133118586244166</v>
      </c>
      <c r="Z76" s="379">
        <f t="shared" si="12"/>
        <v>44.575618195709332</v>
      </c>
      <c r="AA76" s="379">
        <f t="shared" si="12"/>
        <v>46.073385204879926</v>
      </c>
      <c r="AB76" s="379">
        <f t="shared" si="12"/>
        <v>47.636712998712255</v>
      </c>
      <c r="AC76" s="379">
        <f t="shared" si="12"/>
        <v>49.257415991117192</v>
      </c>
      <c r="AD76" s="379">
        <f t="shared" si="12"/>
        <v>50.945905277572535</v>
      </c>
      <c r="AE76" s="379">
        <f t="shared" si="12"/>
        <v>52.703356943435679</v>
      </c>
      <c r="AF76" s="379">
        <f t="shared" si="12"/>
        <v>54.530991548999474</v>
      </c>
      <c r="AG76" s="379">
        <f t="shared" si="12"/>
        <v>56.430075905027032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3.306878306878307</v>
      </c>
      <c r="D77" s="379">
        <f t="shared" si="13"/>
        <v>3.4060846560846563</v>
      </c>
      <c r="E77" s="379">
        <f t="shared" si="13"/>
        <v>3.5082671957671958</v>
      </c>
      <c r="F77" s="379">
        <f t="shared" si="13"/>
        <v>3.6134920634920635</v>
      </c>
      <c r="G77" s="379">
        <f t="shared" si="13"/>
        <v>3.7218915343915344</v>
      </c>
      <c r="H77" s="379">
        <f t="shared" si="13"/>
        <v>4.0980820105820106</v>
      </c>
      <c r="I77" s="379">
        <f t="shared" si="13"/>
        <v>4.2210317460317457</v>
      </c>
      <c r="J77" s="379">
        <f t="shared" si="13"/>
        <v>4.3476851851851848</v>
      </c>
      <c r="K77" s="379">
        <f t="shared" si="13"/>
        <v>4.4781084656084653</v>
      </c>
      <c r="L77" s="379">
        <f t="shared" si="13"/>
        <v>4.6124338624338623</v>
      </c>
      <c r="M77" s="379">
        <f t="shared" si="13"/>
        <v>4.7507936507936508</v>
      </c>
      <c r="N77" s="379">
        <f t="shared" si="13"/>
        <v>3.9146560846560847</v>
      </c>
      <c r="O77" s="379">
        <f t="shared" si="13"/>
        <v>4.0321164021164018</v>
      </c>
      <c r="P77" s="379">
        <f t="shared" si="13"/>
        <v>4.1530687830687834</v>
      </c>
      <c r="Q77" s="379">
        <f t="shared" si="13"/>
        <v>4.2776719576719575</v>
      </c>
      <c r="R77" s="379">
        <f t="shared" si="13"/>
        <v>4.4059788359788357</v>
      </c>
      <c r="S77" s="379">
        <f t="shared" si="13"/>
        <v>4.5381481481481485</v>
      </c>
      <c r="T77" s="379">
        <f t="shared" si="13"/>
        <v>4.6742857142857144</v>
      </c>
      <c r="U77" s="379">
        <f t="shared" si="13"/>
        <v>4.8144973544973544</v>
      </c>
      <c r="V77" s="379">
        <f t="shared" si="13"/>
        <v>4.9589417989417992</v>
      </c>
      <c r="W77" s="379">
        <f t="shared" si="13"/>
        <v>5.1077248677248681</v>
      </c>
      <c r="X77" s="379">
        <f t="shared" si="13"/>
        <v>3.9457142857142857</v>
      </c>
      <c r="Y77" s="379">
        <f t="shared" si="13"/>
        <v>4.0640873015873016</v>
      </c>
      <c r="Z77" s="379">
        <f t="shared" si="13"/>
        <v>4.1859920634920638</v>
      </c>
      <c r="AA77" s="379">
        <f t="shared" si="13"/>
        <v>4.3115873015873012</v>
      </c>
      <c r="AB77" s="379">
        <f t="shared" si="13"/>
        <v>4.440952380952381</v>
      </c>
      <c r="AC77" s="379">
        <f t="shared" si="13"/>
        <v>4.5741666666666667</v>
      </c>
      <c r="AD77" s="379">
        <f t="shared" si="13"/>
        <v>4.7113888888888891</v>
      </c>
      <c r="AE77" s="379">
        <f t="shared" si="13"/>
        <v>4.8527380952380952</v>
      </c>
      <c r="AF77" s="379">
        <f t="shared" si="13"/>
        <v>4.9983333333333331</v>
      </c>
      <c r="AG77" s="379">
        <f t="shared" si="13"/>
        <v>5.1482936507936508</v>
      </c>
    </row>
    <row r="78" spans="1:35" s="352" customFormat="1">
      <c r="A78" s="380" t="s">
        <v>323</v>
      </c>
      <c r="B78" s="352" t="s">
        <v>300</v>
      </c>
      <c r="C78" s="381">
        <f>SUM(C74:C76)-C77</f>
        <v>64.079056687579651</v>
      </c>
      <c r="D78" s="381">
        <f t="shared" ref="D78:AG78" si="14">SUM(D74:D76)-D77</f>
        <v>68.812902109298619</v>
      </c>
      <c r="E78" s="381">
        <f t="shared" si="14"/>
        <v>70.461991861324023</v>
      </c>
      <c r="F78" s="381">
        <f t="shared" si="14"/>
        <v>72.15511654223863</v>
      </c>
      <c r="G78" s="381">
        <f t="shared" si="14"/>
        <v>73.902609231779522</v>
      </c>
      <c r="H78" s="381">
        <f t="shared" si="14"/>
        <v>76.317224115246944</v>
      </c>
      <c r="I78" s="381">
        <f t="shared" si="14"/>
        <v>78.185833092867838</v>
      </c>
      <c r="J78" s="381">
        <f t="shared" si="14"/>
        <v>80.103229623230675</v>
      </c>
      <c r="K78" s="381">
        <f t="shared" si="14"/>
        <v>82.079692243678679</v>
      </c>
      <c r="L78" s="381">
        <f t="shared" si="14"/>
        <v>84.107163642440327</v>
      </c>
      <c r="M78" s="381">
        <f t="shared" si="14"/>
        <v>86.196133382247979</v>
      </c>
      <c r="N78" s="381">
        <f t="shared" si="14"/>
        <v>89.32652513338239</v>
      </c>
      <c r="O78" s="381">
        <f t="shared" si="14"/>
        <v>91.571665953986596</v>
      </c>
      <c r="P78" s="381">
        <f t="shared" si="14"/>
        <v>93.882893991524853</v>
      </c>
      <c r="Q78" s="381">
        <f t="shared" si="14"/>
        <v>96.261758194252636</v>
      </c>
      <c r="R78" s="381">
        <f t="shared" si="14"/>
        <v>98.709504205426981</v>
      </c>
      <c r="S78" s="381">
        <f t="shared" si="14"/>
        <v>101.22774953208604</v>
      </c>
      <c r="T78" s="381">
        <f t="shared" si="14"/>
        <v>103.82723855058704</v>
      </c>
      <c r="U78" s="381">
        <f t="shared" si="14"/>
        <v>106.50023450215286</v>
      </c>
      <c r="V78" s="381">
        <f t="shared" si="14"/>
        <v>109.25772635102109</v>
      </c>
      <c r="W78" s="381">
        <f t="shared" si="14"/>
        <v>112.09205613237668</v>
      </c>
      <c r="X78" s="381">
        <f t="shared" si="14"/>
        <v>116.32936400691915</v>
      </c>
      <c r="Y78" s="381">
        <f t="shared" si="14"/>
        <v>119.38048574992223</v>
      </c>
      <c r="Z78" s="381">
        <f t="shared" si="14"/>
        <v>122.52410936039333</v>
      </c>
      <c r="AA78" s="381">
        <f t="shared" si="14"/>
        <v>125.762401188412</v>
      </c>
      <c r="AB78" s="381">
        <f t="shared" si="14"/>
        <v>129.10647117417682</v>
      </c>
      <c r="AC78" s="381">
        <f t="shared" si="14"/>
        <v>132.54896023203298</v>
      </c>
      <c r="AD78" s="381">
        <f t="shared" si="14"/>
        <v>136.10144251405049</v>
      </c>
      <c r="AE78" s="381">
        <f t="shared" si="14"/>
        <v>139.76610431217674</v>
      </c>
      <c r="AF78" s="381">
        <f t="shared" si="14"/>
        <v>143.54518695836671</v>
      </c>
      <c r="AG78" s="381">
        <f t="shared" si="14"/>
        <v>147.44098881524917</v>
      </c>
    </row>
    <row r="79" spans="1:35" s="344" customFormat="1">
      <c r="A79" s="342" t="s">
        <v>179</v>
      </c>
      <c r="B79" s="342"/>
      <c r="H79" s="382">
        <f>H81/K59</f>
        <v>533728.92152311385</v>
      </c>
      <c r="AB79" s="382">
        <f>AB81/AE59</f>
        <v>568326.34165114618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year'!C100</f>
        <v>5250000</v>
      </c>
      <c r="D81" s="376">
        <f>'Changing with year'!D100</f>
        <v>5407500</v>
      </c>
      <c r="E81" s="376">
        <f>'Changing with year'!E100</f>
        <v>5569725</v>
      </c>
      <c r="F81" s="376">
        <f>'Changing with year'!F100</f>
        <v>5736816.75</v>
      </c>
      <c r="G81" s="376">
        <f>'Changing with year'!G100</f>
        <v>5908921.2525000004</v>
      </c>
      <c r="H81" s="376">
        <f>'Changing with year'!H100</f>
        <v>6486188.8900750009</v>
      </c>
      <c r="I81" s="376">
        <f>'Changing with year'!I100</f>
        <v>6680774.556777251</v>
      </c>
      <c r="J81" s="376">
        <f>'Changing with year'!J100</f>
        <v>6881197.7934805686</v>
      </c>
      <c r="K81" s="376">
        <f>'Changing with year'!K100</f>
        <v>7087633.7272849856</v>
      </c>
      <c r="L81" s="376">
        <f>'Changing with year'!L100</f>
        <v>7300262.7391035352</v>
      </c>
      <c r="M81" s="376">
        <f>'Changing with year'!M100</f>
        <v>7519270.6212766413</v>
      </c>
      <c r="N81" s="376">
        <f>'Changing with year'!N100</f>
        <v>7744848.7399149407</v>
      </c>
      <c r="O81" s="376">
        <f>'Changing with year'!O100</f>
        <v>7977194.2021123888</v>
      </c>
      <c r="P81" s="376">
        <f>'Changing with year'!P100</f>
        <v>8216510.028175761</v>
      </c>
      <c r="Q81" s="376">
        <f>'Changing with year'!Q100</f>
        <v>8463005.3290210348</v>
      </c>
      <c r="R81" s="376">
        <f>'Changing with year'!R100</f>
        <v>8716895.4888916668</v>
      </c>
      <c r="S81" s="376">
        <f>'Changing with year'!S100</f>
        <v>8978402.3535584174</v>
      </c>
      <c r="T81" s="376">
        <f>'Changing with year'!T100</f>
        <v>9247754.4241651706</v>
      </c>
      <c r="U81" s="376">
        <f>'Changing with year'!U100</f>
        <v>9525187.0568901263</v>
      </c>
      <c r="V81" s="376">
        <f>'Changing with year'!V100</f>
        <v>9810942.6685968302</v>
      </c>
      <c r="W81" s="376">
        <f>'Changing with year'!W100</f>
        <v>10105270.948654735</v>
      </c>
      <c r="X81" s="376">
        <f>'Changing with year'!X100</f>
        <v>10408429.077114377</v>
      </c>
      <c r="Y81" s="376">
        <f>'Changing with year'!Y100</f>
        <v>10720681.94942781</v>
      </c>
      <c r="Z81" s="376">
        <f>'Changing with year'!Z100</f>
        <v>11042302.407910645</v>
      </c>
      <c r="AA81" s="376">
        <f>'Changing with year'!AA100</f>
        <v>11373571.480147965</v>
      </c>
      <c r="AB81" s="376">
        <f>'Changing with year'!AB100</f>
        <v>11714778.624552405</v>
      </c>
      <c r="AC81" s="376">
        <f>'Changing with year'!AC100</f>
        <v>12066221.983288977</v>
      </c>
      <c r="AD81" s="376">
        <f>'Changing with year'!AD100</f>
        <v>12428208.642787647</v>
      </c>
      <c r="AE81" s="376">
        <f>'Changing with year'!AE100</f>
        <v>12801054.902071277</v>
      </c>
      <c r="AF81" s="376">
        <f>'Changing with year'!AF100</f>
        <v>13185086.549133414</v>
      </c>
      <c r="AG81" s="376">
        <f>'Changing with year'!AG100</f>
        <v>13580639.145607417</v>
      </c>
      <c r="AH81" s="376"/>
    </row>
    <row r="82" spans="1:34">
      <c r="A82" s="368" t="s">
        <v>310</v>
      </c>
      <c r="B82" s="300" t="s">
        <v>309</v>
      </c>
      <c r="C82" s="376">
        <f>(C81*'No change with year'!$AB$14)</f>
        <v>2362500</v>
      </c>
      <c r="D82" s="376">
        <f>(D81*'No change with year'!$AB$14)</f>
        <v>2433375</v>
      </c>
      <c r="E82" s="376">
        <f>(E81*'No change with year'!$AB$14)</f>
        <v>2506376.25</v>
      </c>
      <c r="F82" s="376">
        <f>(F81*'No change with year'!$AB$14)</f>
        <v>2581567.5375000001</v>
      </c>
      <c r="G82" s="376">
        <f>(G81*'No change with year'!$AB$14)</f>
        <v>2659014.5636250004</v>
      </c>
      <c r="H82" s="376">
        <f>(H81*'No change with year'!$AB$14)</f>
        <v>2918785.0005337503</v>
      </c>
      <c r="I82" s="376">
        <f>(I81*'No change with year'!$AB$14)</f>
        <v>3006348.5505497628</v>
      </c>
      <c r="J82" s="376">
        <f>(J81*'No change with year'!$AB$14)</f>
        <v>3096539.0070662559</v>
      </c>
      <c r="K82" s="376">
        <f>(K81*'No change with year'!$AB$14)</f>
        <v>3189435.1772782435</v>
      </c>
      <c r="L82" s="376">
        <f>(L81*'No change with year'!$AB$14)</f>
        <v>3285118.2325965911</v>
      </c>
      <c r="M82" s="376">
        <f>(M81*'No change with year'!$AB$14)</f>
        <v>3383671.7795744888</v>
      </c>
      <c r="N82" s="376">
        <f>(N81*'No change with year'!$AC$14)</f>
        <v>2710697.0589702297</v>
      </c>
      <c r="O82" s="376">
        <f>(O81*'No change with year'!$AC$14)</f>
        <v>2792017.9707393362</v>
      </c>
      <c r="P82" s="376">
        <f>(P81*'No change with year'!$AC$14)</f>
        <v>2875778.5098615168</v>
      </c>
      <c r="Q82" s="376">
        <f>(Q81*'No change with year'!$AC$14)</f>
        <v>2962051.8651573625</v>
      </c>
      <c r="R82" s="376">
        <f>(R81*'No change with year'!$AC$14)</f>
        <v>3050913.4211120838</v>
      </c>
      <c r="S82" s="376">
        <f>(S81*'No change with year'!$AC$14)</f>
        <v>3142440.8237454463</v>
      </c>
      <c r="T82" s="376">
        <f>(T81*'No change with year'!$AC$14)</f>
        <v>3236714.0484578102</v>
      </c>
      <c r="U82" s="376">
        <f>(U81*'No change with year'!$AC$14)</f>
        <v>3333815.4699115446</v>
      </c>
      <c r="V82" s="376">
        <f>(V81*'No change with year'!$AC$14)</f>
        <v>3433829.9340088908</v>
      </c>
      <c r="W82" s="376">
        <f>(W81*'No change with year'!$AC$14)</f>
        <v>3536844.8320291578</v>
      </c>
      <c r="X82" s="376">
        <f>(X81*'No change with year'!$AD$14)</f>
        <v>2602107.2692785943</v>
      </c>
      <c r="Y82" s="376">
        <f>(Y81*'No change with year'!$AD$14)</f>
        <v>2680170.4873569524</v>
      </c>
      <c r="Z82" s="376">
        <f>(Z81*'No change with year'!$AD$14)</f>
        <v>2760575.6019776613</v>
      </c>
      <c r="AA82" s="376">
        <f>(AA81*'No change with year'!$AD$14)</f>
        <v>2843392.8700369913</v>
      </c>
      <c r="AB82" s="376">
        <f>(AB81*'No change with year'!$AD$14)</f>
        <v>2928694.6561381011</v>
      </c>
      <c r="AC82" s="376">
        <f>(AC81*'No change with year'!$AD$14)</f>
        <v>3016555.4958222443</v>
      </c>
      <c r="AD82" s="376">
        <f>(AD81*'No change with year'!$AD$14)</f>
        <v>3107052.1606969116</v>
      </c>
      <c r="AE82" s="376">
        <f>(AE81*'No change with year'!$AD$14)</f>
        <v>3200263.7255178192</v>
      </c>
      <c r="AF82" s="376">
        <f>(AF81*'No change with year'!$AD$14)</f>
        <v>3296271.6372833536</v>
      </c>
      <c r="AG82" s="376">
        <f>(AG81*'No change with year'!$AD$14)</f>
        <v>3395159.7864018544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1150368.1134823021</v>
      </c>
      <c r="D84" s="376">
        <f t="shared" si="16"/>
        <v>1184879.1568867711</v>
      </c>
      <c r="E84" s="376">
        <f t="shared" si="16"/>
        <v>1220425.5315933742</v>
      </c>
      <c r="F84" s="376">
        <f t="shared" si="16"/>
        <v>1257038.2975411755</v>
      </c>
      <c r="G84" s="376">
        <f t="shared" si="16"/>
        <v>1294749.4464674108</v>
      </c>
      <c r="H84" s="376">
        <f t="shared" si="16"/>
        <v>1421239.0242219896</v>
      </c>
      <c r="I84" s="376">
        <f t="shared" si="16"/>
        <v>1463876.1949486495</v>
      </c>
      <c r="J84" s="376">
        <f t="shared" si="16"/>
        <v>1507792.4807971087</v>
      </c>
      <c r="K84" s="376">
        <f t="shared" si="16"/>
        <v>1553026.2552210221</v>
      </c>
      <c r="L84" s="376">
        <f t="shared" si="16"/>
        <v>1599617.0428776529</v>
      </c>
      <c r="M84" s="376">
        <f t="shared" si="16"/>
        <v>1647605.5541639824</v>
      </c>
      <c r="N84" s="376">
        <f t="shared" si="16"/>
        <v>1697033.7207889019</v>
      </c>
      <c r="O84" s="376">
        <f t="shared" si="16"/>
        <v>1747944.7324125688</v>
      </c>
      <c r="P84" s="376">
        <f t="shared" si="16"/>
        <v>1800383.0743849461</v>
      </c>
      <c r="Q84" s="376">
        <f t="shared" si="16"/>
        <v>1854394.5666164947</v>
      </c>
      <c r="R84" s="376">
        <f t="shared" si="16"/>
        <v>1910026.4036149897</v>
      </c>
      <c r="S84" s="376">
        <f t="shared" si="16"/>
        <v>1967327.1957234396</v>
      </c>
      <c r="T84" s="376">
        <f t="shared" si="16"/>
        <v>2026347.011595143</v>
      </c>
      <c r="U84" s="376">
        <f t="shared" si="16"/>
        <v>2087137.4219429973</v>
      </c>
      <c r="V84" s="376">
        <f t="shared" si="16"/>
        <v>2149751.5446012872</v>
      </c>
      <c r="W84" s="376">
        <f t="shared" si="16"/>
        <v>2214244.0909393257</v>
      </c>
      <c r="X84" s="376">
        <f t="shared" si="16"/>
        <v>2280671.4136675056</v>
      </c>
      <c r="Y84" s="376">
        <f t="shared" si="16"/>
        <v>2349091.5560775311</v>
      </c>
      <c r="Z84" s="376">
        <f t="shared" si="16"/>
        <v>2419564.3027598574</v>
      </c>
      <c r="AA84" s="376">
        <f t="shared" si="16"/>
        <v>2492151.2318426529</v>
      </c>
      <c r="AB84" s="376">
        <f t="shared" si="16"/>
        <v>2566915.7687979327</v>
      </c>
      <c r="AC84" s="376">
        <f t="shared" si="16"/>
        <v>2643923.241861871</v>
      </c>
      <c r="AD84" s="376">
        <f t="shared" si="16"/>
        <v>2723240.9391177269</v>
      </c>
      <c r="AE84" s="376">
        <f t="shared" si="16"/>
        <v>2804938.1672912589</v>
      </c>
      <c r="AF84" s="376">
        <f t="shared" si="16"/>
        <v>2889086.3123099967</v>
      </c>
      <c r="AG84" s="376">
        <f t="shared" si="16"/>
        <v>2975758.901679297</v>
      </c>
    </row>
    <row r="85" spans="1:34">
      <c r="A85" s="300" t="s">
        <v>321</v>
      </c>
      <c r="B85" s="300" t="s">
        <v>309</v>
      </c>
      <c r="C85" s="376">
        <f t="shared" ref="C85:AG85" si="17">C43*$D$37</f>
        <v>3355714.2857142859</v>
      </c>
      <c r="D85" s="376">
        <f t="shared" si="17"/>
        <v>3529285.7142857146</v>
      </c>
      <c r="E85" s="376">
        <f t="shared" si="17"/>
        <v>3635164.2857142859</v>
      </c>
      <c r="F85" s="376">
        <f t="shared" si="17"/>
        <v>3744219.2142857146</v>
      </c>
      <c r="G85" s="376">
        <f t="shared" si="17"/>
        <v>3856545.7907142858</v>
      </c>
      <c r="H85" s="376">
        <f t="shared" si="17"/>
        <v>3972242.1644357145</v>
      </c>
      <c r="I85" s="376">
        <f t="shared" si="17"/>
        <v>4091409.429368786</v>
      </c>
      <c r="J85" s="376">
        <f t="shared" si="17"/>
        <v>4214151.7122498499</v>
      </c>
      <c r="K85" s="376">
        <f t="shared" si="17"/>
        <v>4340576.2636173451</v>
      </c>
      <c r="L85" s="376">
        <f t="shared" si="17"/>
        <v>4470793.5515258657</v>
      </c>
      <c r="M85" s="376">
        <f t="shared" si="17"/>
        <v>4604917.358071642</v>
      </c>
      <c r="N85" s="376">
        <f t="shared" si="17"/>
        <v>4743064.8788137911</v>
      </c>
      <c r="O85" s="376">
        <f t="shared" si="17"/>
        <v>4885356.825178205</v>
      </c>
      <c r="P85" s="376">
        <f t="shared" si="17"/>
        <v>5031917.5299335504</v>
      </c>
      <c r="Q85" s="376">
        <f t="shared" si="17"/>
        <v>5182875.0558315571</v>
      </c>
      <c r="R85" s="376">
        <f t="shared" si="17"/>
        <v>5338361.3075065035</v>
      </c>
      <c r="S85" s="376">
        <f t="shared" si="17"/>
        <v>5498512.1467316989</v>
      </c>
      <c r="T85" s="376">
        <f t="shared" si="17"/>
        <v>5663467.5111336503</v>
      </c>
      <c r="U85" s="376">
        <f t="shared" si="17"/>
        <v>5833371.5364676593</v>
      </c>
      <c r="V85" s="376">
        <f t="shared" si="17"/>
        <v>6008372.6825616891</v>
      </c>
      <c r="W85" s="376">
        <f t="shared" si="17"/>
        <v>6188623.8630385399</v>
      </c>
      <c r="X85" s="376">
        <f t="shared" si="17"/>
        <v>6374282.5789296953</v>
      </c>
      <c r="Y85" s="376">
        <f t="shared" si="17"/>
        <v>6565511.0562975863</v>
      </c>
      <c r="Z85" s="376">
        <f t="shared" si="17"/>
        <v>6762476.3879865138</v>
      </c>
      <c r="AA85" s="376">
        <f t="shared" si="17"/>
        <v>6965350.6796261091</v>
      </c>
      <c r="AB85" s="376">
        <f t="shared" si="17"/>
        <v>7174311.200014892</v>
      </c>
      <c r="AC85" s="376">
        <f t="shared" si="17"/>
        <v>7389540.5360153401</v>
      </c>
      <c r="AD85" s="376">
        <f t="shared" si="17"/>
        <v>7611226.7520958008</v>
      </c>
      <c r="AE85" s="376">
        <f t="shared" si="17"/>
        <v>7839563.5546586746</v>
      </c>
      <c r="AF85" s="376">
        <f t="shared" si="17"/>
        <v>8074750.461298435</v>
      </c>
      <c r="AG85" s="376">
        <f t="shared" si="17"/>
        <v>8316992.9751373883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756000</v>
      </c>
      <c r="D86" s="376">
        <f t="shared" si="18"/>
        <v>786240</v>
      </c>
      <c r="E86" s="376">
        <f t="shared" si="18"/>
        <v>817689.59999999998</v>
      </c>
      <c r="F86" s="376">
        <f t="shared" si="18"/>
        <v>850397.18400000001</v>
      </c>
      <c r="G86" s="376">
        <f t="shared" si="18"/>
        <v>884413.07135999994</v>
      </c>
      <c r="H86" s="376">
        <f t="shared" si="18"/>
        <v>919789.59421440016</v>
      </c>
      <c r="I86" s="376">
        <f t="shared" si="18"/>
        <v>956581.17798297619</v>
      </c>
      <c r="J86" s="376">
        <f t="shared" si="18"/>
        <v>994844.42510229524</v>
      </c>
      <c r="K86" s="376">
        <f t="shared" si="18"/>
        <v>1034638.2021063872</v>
      </c>
      <c r="L86" s="376">
        <f t="shared" si="18"/>
        <v>1076023.7301906429</v>
      </c>
      <c r="M86" s="376">
        <f t="shared" si="18"/>
        <v>1119064.6793982685</v>
      </c>
      <c r="N86" s="376">
        <f t="shared" si="18"/>
        <v>1163827.2665741993</v>
      </c>
      <c r="O86" s="376">
        <f t="shared" si="18"/>
        <v>1210380.3572371674</v>
      </c>
      <c r="P86" s="376">
        <f t="shared" si="18"/>
        <v>1258795.5715266541</v>
      </c>
      <c r="Q86" s="376">
        <f t="shared" si="18"/>
        <v>1309147.3943877204</v>
      </c>
      <c r="R86" s="376">
        <f t="shared" si="18"/>
        <v>1361513.2901632292</v>
      </c>
      <c r="S86" s="376">
        <f t="shared" si="18"/>
        <v>1415973.8217697584</v>
      </c>
      <c r="T86" s="376">
        <f t="shared" si="18"/>
        <v>1472612.774640549</v>
      </c>
      <c r="U86" s="376">
        <f t="shared" si="18"/>
        <v>1531517.2856261709</v>
      </c>
      <c r="V86" s="376">
        <f t="shared" si="18"/>
        <v>1592777.977051218</v>
      </c>
      <c r="W86" s="376">
        <f t="shared" si="18"/>
        <v>1656489.0961332666</v>
      </c>
      <c r="X86" s="376">
        <f t="shared" si="18"/>
        <v>1722748.6599785974</v>
      </c>
      <c r="Y86" s="376">
        <f t="shared" si="18"/>
        <v>1791658.6063777413</v>
      </c>
      <c r="Z86" s="376">
        <f t="shared" si="18"/>
        <v>1863324.9506328511</v>
      </c>
      <c r="AA86" s="376">
        <f t="shared" si="18"/>
        <v>1937857.9486581653</v>
      </c>
      <c r="AB86" s="376">
        <f t="shared" si="18"/>
        <v>2015372.2666044922</v>
      </c>
      <c r="AC86" s="376">
        <f t="shared" si="18"/>
        <v>2095987.1572686718</v>
      </c>
      <c r="AD86" s="376">
        <f t="shared" si="18"/>
        <v>2179826.6435594191</v>
      </c>
      <c r="AE86" s="376">
        <f t="shared" si="18"/>
        <v>2267019.7093017958</v>
      </c>
      <c r="AF86" s="376">
        <f t="shared" si="18"/>
        <v>2357700.4976738677</v>
      </c>
      <c r="AG86" s="376">
        <f t="shared" si="18"/>
        <v>2452008.5175808221</v>
      </c>
    </row>
    <row r="87" spans="1:34">
      <c r="A87" s="368" t="s">
        <v>318</v>
      </c>
      <c r="B87" s="368" t="s">
        <v>313</v>
      </c>
      <c r="C87" s="376">
        <f>'Changing with year'!C295</f>
        <v>600000</v>
      </c>
      <c r="D87" s="376">
        <f>'Changing with year'!D295</f>
        <v>627000</v>
      </c>
      <c r="E87" s="376">
        <f>'Changing with year'!E295</f>
        <v>655000</v>
      </c>
      <c r="F87" s="376">
        <f>'Changing with year'!F295</f>
        <v>684000</v>
      </c>
      <c r="G87" s="376">
        <f>'Changing with year'!G295</f>
        <v>715000</v>
      </c>
      <c r="H87" s="376">
        <f>'Changing with year'!H295</f>
        <v>747000</v>
      </c>
      <c r="I87" s="376">
        <f>'Changing with year'!I295</f>
        <v>781000</v>
      </c>
      <c r="J87" s="376">
        <f>'Changing with year'!J295</f>
        <v>816000</v>
      </c>
      <c r="K87" s="376">
        <f>'Changing with year'!K295</f>
        <v>853000</v>
      </c>
      <c r="L87" s="376">
        <f>'Changing with year'!L295</f>
        <v>891000</v>
      </c>
      <c r="M87" s="376">
        <f>'Changing with year'!M295</f>
        <v>931000</v>
      </c>
      <c r="N87" s="376">
        <f>'Changing with year'!N295</f>
        <v>973000</v>
      </c>
      <c r="O87" s="376">
        <f>'Changing with year'!O295</f>
        <v>1017000</v>
      </c>
      <c r="P87" s="376">
        <f>'Changing with year'!P295</f>
        <v>1063000</v>
      </c>
      <c r="Q87" s="376">
        <f>'Changing with year'!Q295</f>
        <v>1111000</v>
      </c>
      <c r="R87" s="376">
        <f>'Changing with year'!R295</f>
        <v>1161000</v>
      </c>
      <c r="S87" s="376">
        <f>'Changing with year'!S295</f>
        <v>1213000</v>
      </c>
      <c r="T87" s="376">
        <f>'Changing with year'!T295</f>
        <v>1268000</v>
      </c>
      <c r="U87" s="376">
        <f>'Changing with year'!U295</f>
        <v>1325000</v>
      </c>
      <c r="V87" s="376">
        <f>'Changing with year'!V295</f>
        <v>1385000</v>
      </c>
      <c r="W87" s="376">
        <f>'Changing with year'!W295</f>
        <v>1447000</v>
      </c>
      <c r="X87" s="376">
        <f>'Changing with year'!X295</f>
        <v>1512000</v>
      </c>
      <c r="Y87" s="376">
        <f>'Changing with year'!Y295</f>
        <v>1580000</v>
      </c>
      <c r="Z87" s="376">
        <f>'Changing with year'!Z295</f>
        <v>1651000</v>
      </c>
      <c r="AA87" s="376">
        <f>'Changing with year'!AA295</f>
        <v>1725000</v>
      </c>
      <c r="AB87" s="376">
        <f>'Changing with year'!AB295</f>
        <v>1803000</v>
      </c>
      <c r="AC87" s="376">
        <f>'Changing with year'!AC295</f>
        <v>1884000</v>
      </c>
      <c r="AD87" s="376">
        <f>'Changing with year'!AD295</f>
        <v>1969000</v>
      </c>
      <c r="AE87" s="376">
        <f>'Changing with year'!AE295</f>
        <v>2058000</v>
      </c>
      <c r="AF87" s="376">
        <f>'Changing with year'!AF295</f>
        <v>2151000</v>
      </c>
      <c r="AG87" s="376">
        <f>'Changing with year'!AG295</f>
        <v>2248000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972000</v>
      </c>
      <c r="D88" s="376">
        <f t="shared" si="19"/>
        <v>981720</v>
      </c>
      <c r="E88" s="376">
        <f t="shared" si="19"/>
        <v>991537.2</v>
      </c>
      <c r="F88" s="376">
        <f t="shared" si="19"/>
        <v>1001452.5719999999</v>
      </c>
      <c r="G88" s="376">
        <f t="shared" si="19"/>
        <v>1011467.0977199998</v>
      </c>
      <c r="H88" s="376">
        <f t="shared" si="19"/>
        <v>1021581.7686972</v>
      </c>
      <c r="I88" s="376">
        <f t="shared" si="19"/>
        <v>1031797.586384172</v>
      </c>
      <c r="J88" s="376">
        <f t="shared" si="19"/>
        <v>1042115.5622480137</v>
      </c>
      <c r="K88" s="376">
        <f t="shared" si="19"/>
        <v>1052536.7178704939</v>
      </c>
      <c r="L88" s="376">
        <f t="shared" si="19"/>
        <v>1063062.0850491989</v>
      </c>
      <c r="M88" s="376">
        <f t="shared" si="19"/>
        <v>1073692.705899691</v>
      </c>
      <c r="N88" s="376">
        <f t="shared" si="19"/>
        <v>1084429.6329586878</v>
      </c>
      <c r="O88" s="376">
        <f t="shared" si="19"/>
        <v>1095273.9292882748</v>
      </c>
      <c r="P88" s="376">
        <f t="shared" si="19"/>
        <v>1106226.6685811577</v>
      </c>
      <c r="Q88" s="376">
        <f t="shared" si="19"/>
        <v>1117288.9352669693</v>
      </c>
      <c r="R88" s="376">
        <f t="shared" si="19"/>
        <v>1128461.824619639</v>
      </c>
      <c r="S88" s="376">
        <f t="shared" si="19"/>
        <v>1139746.4428658355</v>
      </c>
      <c r="T88" s="376">
        <f t="shared" si="19"/>
        <v>1151143.9072944939</v>
      </c>
      <c r="U88" s="376">
        <f t="shared" si="19"/>
        <v>1162655.3463674388</v>
      </c>
      <c r="V88" s="376">
        <f t="shared" si="19"/>
        <v>1174281.8998311132</v>
      </c>
      <c r="W88" s="376">
        <f t="shared" si="19"/>
        <v>1186024.7188294244</v>
      </c>
      <c r="X88" s="376">
        <f t="shared" si="19"/>
        <v>1197884.9660177184</v>
      </c>
      <c r="Y88" s="376">
        <f t="shared" si="19"/>
        <v>1209863.8156778959</v>
      </c>
      <c r="Z88" s="376">
        <f t="shared" si="19"/>
        <v>1221962.4538346748</v>
      </c>
      <c r="AA88" s="376">
        <f t="shared" si="19"/>
        <v>1234182.0783730214</v>
      </c>
      <c r="AB88" s="376">
        <f t="shared" si="19"/>
        <v>1246523.8991567518</v>
      </c>
      <c r="AC88" s="376">
        <f t="shared" si="19"/>
        <v>1258989.1381483194</v>
      </c>
      <c r="AD88" s="376">
        <f t="shared" si="19"/>
        <v>1271579.0295298027</v>
      </c>
      <c r="AE88" s="376">
        <f t="shared" si="19"/>
        <v>1284294.8198251007</v>
      </c>
      <c r="AF88" s="376">
        <f t="shared" si="19"/>
        <v>1297137.7680233517</v>
      </c>
      <c r="AG88" s="376">
        <f t="shared" si="19"/>
        <v>1310109.1457035851</v>
      </c>
    </row>
    <row r="89" spans="1:34">
      <c r="A89" s="300" t="s">
        <v>319</v>
      </c>
      <c r="B89" s="300" t="s">
        <v>309</v>
      </c>
      <c r="C89" s="376">
        <f t="shared" ref="C89:AG89" si="20">C81*$C$29</f>
        <v>105000</v>
      </c>
      <c r="D89" s="376">
        <f t="shared" si="20"/>
        <v>108150</v>
      </c>
      <c r="E89" s="376">
        <f t="shared" si="20"/>
        <v>111394.5</v>
      </c>
      <c r="F89" s="376">
        <f t="shared" si="20"/>
        <v>114736.33500000001</v>
      </c>
      <c r="G89" s="376">
        <f t="shared" si="20"/>
        <v>118178.42505000001</v>
      </c>
      <c r="H89" s="376">
        <f t="shared" si="20"/>
        <v>129723.77780150002</v>
      </c>
      <c r="I89" s="376">
        <f t="shared" si="20"/>
        <v>133615.49113554502</v>
      </c>
      <c r="J89" s="376">
        <f t="shared" si="20"/>
        <v>137623.95586961138</v>
      </c>
      <c r="K89" s="376">
        <f t="shared" si="20"/>
        <v>141752.6745456997</v>
      </c>
      <c r="L89" s="376">
        <f t="shared" si="20"/>
        <v>146005.2547820707</v>
      </c>
      <c r="M89" s="376">
        <f t="shared" si="20"/>
        <v>150385.41242553282</v>
      </c>
      <c r="N89" s="376">
        <f t="shared" si="20"/>
        <v>154896.97479829882</v>
      </c>
      <c r="O89" s="376">
        <f t="shared" si="20"/>
        <v>159543.88404224778</v>
      </c>
      <c r="P89" s="376">
        <f t="shared" si="20"/>
        <v>164330.20056351522</v>
      </c>
      <c r="Q89" s="376">
        <f t="shared" si="20"/>
        <v>169260.10658042069</v>
      </c>
      <c r="R89" s="376">
        <f t="shared" si="20"/>
        <v>174337.90977783335</v>
      </c>
      <c r="S89" s="376">
        <f t="shared" si="20"/>
        <v>179568.04707116834</v>
      </c>
      <c r="T89" s="376">
        <f t="shared" si="20"/>
        <v>184955.08848330341</v>
      </c>
      <c r="U89" s="376">
        <f t="shared" si="20"/>
        <v>190503.74113780254</v>
      </c>
      <c r="V89" s="376">
        <f t="shared" si="20"/>
        <v>196218.8533719366</v>
      </c>
      <c r="W89" s="376">
        <f t="shared" si="20"/>
        <v>202105.41897309473</v>
      </c>
      <c r="X89" s="376">
        <f t="shared" si="20"/>
        <v>208168.58154228755</v>
      </c>
      <c r="Y89" s="376">
        <f t="shared" si="20"/>
        <v>214413.63898855619</v>
      </c>
      <c r="Z89" s="376">
        <f t="shared" si="20"/>
        <v>220846.04815821291</v>
      </c>
      <c r="AA89" s="376">
        <f t="shared" si="20"/>
        <v>227471.42960295931</v>
      </c>
      <c r="AB89" s="376">
        <f t="shared" si="20"/>
        <v>234295.57249104811</v>
      </c>
      <c r="AC89" s="376">
        <f t="shared" si="20"/>
        <v>241324.43966577956</v>
      </c>
      <c r="AD89" s="376">
        <f t="shared" si="20"/>
        <v>248564.17285575293</v>
      </c>
      <c r="AE89" s="376">
        <f t="shared" si="20"/>
        <v>256021.09804142555</v>
      </c>
      <c r="AF89" s="376">
        <f t="shared" si="20"/>
        <v>263701.73098266829</v>
      </c>
      <c r="AG89" s="376">
        <f t="shared" si="20"/>
        <v>271612.78291214834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10.651556606317612</v>
      </c>
      <c r="D91" s="379">
        <f t="shared" si="21"/>
        <v>10.971103304507139</v>
      </c>
      <c r="E91" s="379">
        <f t="shared" si="21"/>
        <v>11.300236403642353</v>
      </c>
      <c r="F91" s="379">
        <f t="shared" si="21"/>
        <v>11.639243495751625</v>
      </c>
      <c r="G91" s="379">
        <f t="shared" si="21"/>
        <v>11.988420800624175</v>
      </c>
      <c r="H91" s="379">
        <f t="shared" si="21"/>
        <v>13.159620594648052</v>
      </c>
      <c r="I91" s="379">
        <f t="shared" si="21"/>
        <v>13.554409212487496</v>
      </c>
      <c r="J91" s="379">
        <f t="shared" si="21"/>
        <v>13.961041488862119</v>
      </c>
      <c r="K91" s="379">
        <f t="shared" si="21"/>
        <v>14.379872733527982</v>
      </c>
      <c r="L91" s="379">
        <f t="shared" si="21"/>
        <v>14.811268915533823</v>
      </c>
      <c r="M91" s="379">
        <f t="shared" si="21"/>
        <v>15.255606982999836</v>
      </c>
      <c r="N91" s="379">
        <f t="shared" si="21"/>
        <v>15.713275192489833</v>
      </c>
      <c r="O91" s="379">
        <f t="shared" si="21"/>
        <v>16.184673448264526</v>
      </c>
      <c r="P91" s="379">
        <f t="shared" si="21"/>
        <v>16.670213651712466</v>
      </c>
      <c r="Q91" s="379">
        <f t="shared" si="21"/>
        <v>17.17032006126384</v>
      </c>
      <c r="R91" s="379">
        <f t="shared" si="21"/>
        <v>17.685429663101758</v>
      </c>
      <c r="S91" s="379">
        <f t="shared" si="21"/>
        <v>18.215992552994813</v>
      </c>
      <c r="T91" s="379">
        <f t="shared" si="21"/>
        <v>18.762472329584657</v>
      </c>
      <c r="U91" s="379">
        <f t="shared" si="21"/>
        <v>19.325346499472197</v>
      </c>
      <c r="V91" s="379">
        <f t="shared" si="21"/>
        <v>19.905106894456363</v>
      </c>
      <c r="W91" s="379">
        <f t="shared" si="21"/>
        <v>20.502260101290052</v>
      </c>
      <c r="X91" s="379">
        <f t="shared" si="21"/>
        <v>21.117327904328757</v>
      </c>
      <c r="Y91" s="379">
        <f t="shared" si="21"/>
        <v>21.750847741458621</v>
      </c>
      <c r="Z91" s="379">
        <f t="shared" si="21"/>
        <v>22.403373173702384</v>
      </c>
      <c r="AA91" s="379">
        <f t="shared" si="21"/>
        <v>23.075474368913454</v>
      </c>
      <c r="AB91" s="379">
        <f t="shared" si="21"/>
        <v>23.767738599980859</v>
      </c>
      <c r="AC91" s="379">
        <f t="shared" si="21"/>
        <v>24.480770757980288</v>
      </c>
      <c r="AD91" s="379">
        <f t="shared" si="21"/>
        <v>25.215193880719692</v>
      </c>
      <c r="AE91" s="379">
        <f t="shared" si="21"/>
        <v>25.971649697141288</v>
      </c>
      <c r="AF91" s="379">
        <f t="shared" si="21"/>
        <v>26.750799188055524</v>
      </c>
      <c r="AG91" s="379">
        <f t="shared" si="21"/>
        <v>27.553323163697193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31.071428571428573</v>
      </c>
      <c r="D92" s="379">
        <f t="shared" si="22"/>
        <v>32.678571428571431</v>
      </c>
      <c r="E92" s="379">
        <f t="shared" si="22"/>
        <v>33.658928571428575</v>
      </c>
      <c r="F92" s="379">
        <f t="shared" si="22"/>
        <v>34.66869642857143</v>
      </c>
      <c r="G92" s="379">
        <f t="shared" si="22"/>
        <v>35.708757321428571</v>
      </c>
      <c r="H92" s="379">
        <f t="shared" si="22"/>
        <v>36.780020041071431</v>
      </c>
      <c r="I92" s="379">
        <f t="shared" si="22"/>
        <v>37.883420642303577</v>
      </c>
      <c r="J92" s="379">
        <f t="shared" si="22"/>
        <v>39.019923261572686</v>
      </c>
      <c r="K92" s="379">
        <f t="shared" si="22"/>
        <v>40.190520959419864</v>
      </c>
      <c r="L92" s="379">
        <f t="shared" si="22"/>
        <v>41.396236588202463</v>
      </c>
      <c r="M92" s="379">
        <f t="shared" si="22"/>
        <v>42.638123685848534</v>
      </c>
      <c r="N92" s="379">
        <f t="shared" si="22"/>
        <v>43.917267396423995</v>
      </c>
      <c r="O92" s="379">
        <f t="shared" si="22"/>
        <v>45.234785418316712</v>
      </c>
      <c r="P92" s="379">
        <f t="shared" si="22"/>
        <v>46.591828980866204</v>
      </c>
      <c r="Q92" s="379">
        <f t="shared" si="22"/>
        <v>47.989583850292199</v>
      </c>
      <c r="R92" s="379">
        <f t="shared" si="22"/>
        <v>49.429271365800957</v>
      </c>
      <c r="S92" s="379">
        <f t="shared" si="22"/>
        <v>50.912149506774988</v>
      </c>
      <c r="T92" s="379">
        <f t="shared" si="22"/>
        <v>52.439513991978245</v>
      </c>
      <c r="U92" s="379">
        <f t="shared" si="22"/>
        <v>54.012699411737586</v>
      </c>
      <c r="V92" s="379">
        <f t="shared" si="22"/>
        <v>55.633080394089717</v>
      </c>
      <c r="W92" s="379">
        <f t="shared" si="22"/>
        <v>57.30207280591241</v>
      </c>
      <c r="X92" s="379">
        <f t="shared" si="22"/>
        <v>59.02113499008977</v>
      </c>
      <c r="Y92" s="379">
        <f t="shared" si="22"/>
        <v>60.791769039792463</v>
      </c>
      <c r="Z92" s="379">
        <f t="shared" si="22"/>
        <v>62.615522110986241</v>
      </c>
      <c r="AA92" s="379">
        <f t="shared" si="22"/>
        <v>64.493987774315826</v>
      </c>
      <c r="AB92" s="379">
        <f t="shared" si="22"/>
        <v>66.428807407545293</v>
      </c>
      <c r="AC92" s="379">
        <f t="shared" si="22"/>
        <v>68.421671629771666</v>
      </c>
      <c r="AD92" s="379">
        <f t="shared" si="22"/>
        <v>70.474321778664816</v>
      </c>
      <c r="AE92" s="379">
        <f t="shared" si="22"/>
        <v>72.588551432024772</v>
      </c>
      <c r="AF92" s="379">
        <f t="shared" si="22"/>
        <v>74.766207974985505</v>
      </c>
      <c r="AG92" s="379">
        <f t="shared" si="22"/>
        <v>77.00919421423508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22.527777777777779</v>
      </c>
      <c r="D93" s="379">
        <f t="shared" si="23"/>
        <v>23.176944444444445</v>
      </c>
      <c r="E93" s="379">
        <f t="shared" si="23"/>
        <v>23.848345370370367</v>
      </c>
      <c r="F93" s="379">
        <f t="shared" si="23"/>
        <v>24.542463805555556</v>
      </c>
      <c r="G93" s="379">
        <f t="shared" si="23"/>
        <v>25.269061056759259</v>
      </c>
      <c r="H93" s="379">
        <f t="shared" si="23"/>
        <v>26.093473525121301</v>
      </c>
      <c r="I93" s="379">
        <f t="shared" si="23"/>
        <v>26.879576439839752</v>
      </c>
      <c r="J93" s="379">
        <f t="shared" si="23"/>
        <v>27.690592066851117</v>
      </c>
      <c r="K93" s="379">
        <f t="shared" si="23"/>
        <v>28.536366615949824</v>
      </c>
      <c r="L93" s="379">
        <f t="shared" si="23"/>
        <v>29.408250648351046</v>
      </c>
      <c r="M93" s="379">
        <f t="shared" si="23"/>
        <v>30.316137015958265</v>
      </c>
      <c r="N93" s="379">
        <f t="shared" si="23"/>
        <v>31.260684021585057</v>
      </c>
      <c r="O93" s="379">
        <f t="shared" si="23"/>
        <v>32.242575653404536</v>
      </c>
      <c r="P93" s="379">
        <f t="shared" si="23"/>
        <v>33.262522598808587</v>
      </c>
      <c r="Q93" s="379">
        <f t="shared" si="23"/>
        <v>34.321263298473241</v>
      </c>
      <c r="R93" s="379">
        <f t="shared" si="23"/>
        <v>35.419565042228712</v>
      </c>
      <c r="S93" s="379">
        <f t="shared" si="23"/>
        <v>36.558225108395945</v>
      </c>
      <c r="T93" s="379">
        <f t="shared" si="23"/>
        <v>37.747331207577282</v>
      </c>
      <c r="U93" s="379">
        <f t="shared" si="23"/>
        <v>38.978484936401962</v>
      </c>
      <c r="V93" s="379">
        <f t="shared" si="23"/>
        <v>40.261840094946926</v>
      </c>
      <c r="W93" s="379">
        <f t="shared" si="23"/>
        <v>41.589066980886905</v>
      </c>
      <c r="X93" s="379">
        <f t="shared" si="23"/>
        <v>42.970390810542625</v>
      </c>
      <c r="Y93" s="379">
        <f t="shared" si="23"/>
        <v>44.406815380038829</v>
      </c>
      <c r="Z93" s="379">
        <f t="shared" si="23"/>
        <v>45.899383820608691</v>
      </c>
      <c r="AA93" s="379">
        <f t="shared" si="23"/>
        <v>47.449180154019871</v>
      </c>
      <c r="AB93" s="379">
        <f t="shared" si="23"/>
        <v>49.066590169002708</v>
      </c>
      <c r="AC93" s="379">
        <f t="shared" si="23"/>
        <v>50.743525324840469</v>
      </c>
      <c r="AD93" s="379">
        <f t="shared" si="23"/>
        <v>52.49046153652754</v>
      </c>
      <c r="AE93" s="379">
        <f t="shared" si="23"/>
        <v>54.308663214521502</v>
      </c>
      <c r="AF93" s="379">
        <f t="shared" si="23"/>
        <v>56.199444413702658</v>
      </c>
      <c r="AG93" s="379">
        <f t="shared" si="23"/>
        <v>58.164170798116253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3.125</v>
      </c>
      <c r="D94" s="379">
        <f t="shared" si="24"/>
        <v>3.21875</v>
      </c>
      <c r="E94" s="379">
        <f t="shared" si="24"/>
        <v>3.3153125000000001</v>
      </c>
      <c r="F94" s="379">
        <f t="shared" si="24"/>
        <v>3.414771875</v>
      </c>
      <c r="G94" s="379">
        <f t="shared" si="24"/>
        <v>3.5172150312500006</v>
      </c>
      <c r="H94" s="379">
        <f t="shared" si="24"/>
        <v>3.8608267202827387</v>
      </c>
      <c r="I94" s="379">
        <f t="shared" si="24"/>
        <v>3.9766515218912208</v>
      </c>
      <c r="J94" s="379">
        <f t="shared" si="24"/>
        <v>4.0959510675479578</v>
      </c>
      <c r="K94" s="379">
        <f t="shared" si="24"/>
        <v>4.2188295995743958</v>
      </c>
      <c r="L94" s="379">
        <f t="shared" si="24"/>
        <v>4.3453944875616282</v>
      </c>
      <c r="M94" s="379">
        <f t="shared" si="24"/>
        <v>4.4757563221884773</v>
      </c>
      <c r="N94" s="379">
        <f t="shared" si="24"/>
        <v>3.5855781203309918</v>
      </c>
      <c r="O94" s="379">
        <f t="shared" si="24"/>
        <v>3.6931454639409211</v>
      </c>
      <c r="P94" s="379">
        <f t="shared" si="24"/>
        <v>3.803939827859149</v>
      </c>
      <c r="Q94" s="379">
        <f t="shared" si="24"/>
        <v>3.918058022694924</v>
      </c>
      <c r="R94" s="379">
        <f t="shared" si="24"/>
        <v>4.0355997633757719</v>
      </c>
      <c r="S94" s="379">
        <f t="shared" si="24"/>
        <v>4.1566677562770451</v>
      </c>
      <c r="T94" s="379">
        <f t="shared" si="24"/>
        <v>4.2813677889653574</v>
      </c>
      <c r="U94" s="379">
        <f t="shared" si="24"/>
        <v>4.4098088226343179</v>
      </c>
      <c r="V94" s="379">
        <f t="shared" si="24"/>
        <v>4.5421030873133477</v>
      </c>
      <c r="W94" s="379">
        <f t="shared" si="24"/>
        <v>4.6783661799327483</v>
      </c>
      <c r="X94" s="379">
        <f t="shared" si="24"/>
        <v>3.441940832379093</v>
      </c>
      <c r="Y94" s="379">
        <f t="shared" si="24"/>
        <v>3.5451990573504659</v>
      </c>
      <c r="Z94" s="379">
        <f t="shared" si="24"/>
        <v>3.6515550290709804</v>
      </c>
      <c r="AA94" s="379">
        <f t="shared" si="24"/>
        <v>3.7611016799431103</v>
      </c>
      <c r="AB94" s="379">
        <f t="shared" si="24"/>
        <v>3.8739347303414036</v>
      </c>
      <c r="AC94" s="379">
        <f t="shared" si="24"/>
        <v>3.9901527722516459</v>
      </c>
      <c r="AD94" s="379">
        <f t="shared" si="24"/>
        <v>4.1098573554191953</v>
      </c>
      <c r="AE94" s="379">
        <f t="shared" si="24"/>
        <v>4.2331530760817717</v>
      </c>
      <c r="AF94" s="379">
        <f t="shared" si="24"/>
        <v>4.360147668364224</v>
      </c>
      <c r="AG94" s="379">
        <f t="shared" si="24"/>
        <v>4.4909520984151516</v>
      </c>
    </row>
    <row r="95" spans="1:34" s="352" customFormat="1">
      <c r="A95" s="380" t="s">
        <v>323</v>
      </c>
      <c r="B95" s="352" t="s">
        <v>300</v>
      </c>
      <c r="C95" s="381">
        <f>SUM(C91:C93)-C94</f>
        <v>61.125762955523953</v>
      </c>
      <c r="D95" s="381">
        <f t="shared" ref="D95" si="25">SUM(D91:D93)-D94</f>
        <v>63.607869177523014</v>
      </c>
      <c r="E95" s="381">
        <f t="shared" ref="E95" si="26">SUM(E91:E93)-E94</f>
        <v>65.492197845441297</v>
      </c>
      <c r="F95" s="381">
        <f t="shared" ref="F95:AG95" si="27">SUM(F91:F93)-F94</f>
        <v>67.435631854878608</v>
      </c>
      <c r="G95" s="381">
        <f t="shared" si="27"/>
        <v>69.449024147562</v>
      </c>
      <c r="H95" s="381">
        <f t="shared" si="27"/>
        <v>72.172287440558037</v>
      </c>
      <c r="I95" s="381">
        <f t="shared" si="27"/>
        <v>74.340754772739601</v>
      </c>
      <c r="J95" s="381">
        <f t="shared" si="27"/>
        <v>76.575605749737974</v>
      </c>
      <c r="K95" s="381">
        <f t="shared" si="27"/>
        <v>78.887930709323271</v>
      </c>
      <c r="L95" s="381">
        <f t="shared" si="27"/>
        <v>81.270361664525694</v>
      </c>
      <c r="M95" s="381">
        <f t="shared" si="27"/>
        <v>83.734111362618165</v>
      </c>
      <c r="N95" s="381">
        <f t="shared" si="27"/>
        <v>87.305648490167883</v>
      </c>
      <c r="O95" s="381">
        <f t="shared" si="27"/>
        <v>89.968889056044858</v>
      </c>
      <c r="P95" s="381">
        <f t="shared" si="27"/>
        <v>92.720625403528103</v>
      </c>
      <c r="Q95" s="381">
        <f t="shared" si="27"/>
        <v>95.563109187334362</v>
      </c>
      <c r="R95" s="381">
        <f t="shared" si="27"/>
        <v>98.498666307755656</v>
      </c>
      <c r="S95" s="381">
        <f t="shared" si="27"/>
        <v>101.5296994118887</v>
      </c>
      <c r="T95" s="381">
        <f t="shared" si="27"/>
        <v>104.66794974017483</v>
      </c>
      <c r="U95" s="381">
        <f t="shared" si="27"/>
        <v>107.90672202497743</v>
      </c>
      <c r="V95" s="381">
        <f t="shared" si="27"/>
        <v>111.25792429617967</v>
      </c>
      <c r="W95" s="381">
        <f t="shared" si="27"/>
        <v>114.71503370815661</v>
      </c>
      <c r="X95" s="381">
        <f t="shared" si="27"/>
        <v>119.66691287258206</v>
      </c>
      <c r="Y95" s="381">
        <f t="shared" si="27"/>
        <v>123.40423310393945</v>
      </c>
      <c r="Z95" s="381">
        <f t="shared" si="27"/>
        <v>127.26672407622632</v>
      </c>
      <c r="AA95" s="381">
        <f t="shared" si="27"/>
        <v>131.25754061730603</v>
      </c>
      <c r="AB95" s="381">
        <f t="shared" si="27"/>
        <v>135.38920144618746</v>
      </c>
      <c r="AC95" s="381">
        <f t="shared" si="27"/>
        <v>139.6558149403408</v>
      </c>
      <c r="AD95" s="381">
        <f t="shared" si="27"/>
        <v>144.07011984049285</v>
      </c>
      <c r="AE95" s="381">
        <f t="shared" si="27"/>
        <v>148.63571126760579</v>
      </c>
      <c r="AF95" s="381">
        <f t="shared" si="27"/>
        <v>153.35630390837946</v>
      </c>
      <c r="AG95" s="381">
        <f t="shared" si="27"/>
        <v>158.23573607763336</v>
      </c>
    </row>
    <row r="96" spans="1:34" s="344" customFormat="1">
      <c r="A96" s="342" t="s">
        <v>180</v>
      </c>
      <c r="B96" s="342"/>
      <c r="H96" s="382">
        <f>H98/H63</f>
        <v>1.1961977309039264</v>
      </c>
      <c r="AB96" s="382">
        <f>AB98/AB63</f>
        <v>1.1325863178211453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year'!C113)/1000,0)*1000</f>
        <v>6157000</v>
      </c>
      <c r="D98" s="376">
        <f>ROUND(('Changing with year'!D113)/1000,0)*1000</f>
        <v>6318000</v>
      </c>
      <c r="E98" s="376">
        <f>ROUND(('Changing with year'!E113)/1000,0)*1000</f>
        <v>6485000</v>
      </c>
      <c r="F98" s="376">
        <f>ROUND(('Changing with year'!F113)/1000,0)*1000</f>
        <v>6655000</v>
      </c>
      <c r="G98" s="376">
        <f>ROUND(('Changing with year'!G113)/1000,0)*1000</f>
        <v>6831000</v>
      </c>
      <c r="H98" s="376">
        <f>ROUND(('Changing with year'!H113)/1000,0)*1000</f>
        <v>7412000</v>
      </c>
      <c r="I98" s="376">
        <f>ROUND(('Changing with year'!I113)/1000,0)*1000</f>
        <v>7610000</v>
      </c>
      <c r="J98" s="376">
        <f>ROUND(('Changing with year'!J113)/1000,0)*1000</f>
        <v>7814000</v>
      </c>
      <c r="K98" s="376">
        <f>ROUND(('Changing with year'!K113)/1000,0)*1000</f>
        <v>8024000</v>
      </c>
      <c r="L98" s="376">
        <f>ROUND(('Changing with year'!L113)/1000,0)*1000</f>
        <v>8239000</v>
      </c>
      <c r="M98" s="376">
        <f>ROUND(('Changing with year'!M113)/1000,0)*1000</f>
        <v>8461000</v>
      </c>
      <c r="N98" s="376">
        <f>ROUND(('Changing with year'!N113)/1000,0)*1000</f>
        <v>8689000</v>
      </c>
      <c r="O98" s="376">
        <f>ROUND(('Changing with year'!O113)/1000,0)*1000</f>
        <v>8924000</v>
      </c>
      <c r="P98" s="376">
        <f>ROUND(('Changing with year'!P113)/1000,0)*1000</f>
        <v>9166000</v>
      </c>
      <c r="Q98" s="376">
        <f>ROUND(('Changing with year'!Q113)/1000,0)*1000</f>
        <v>9415000</v>
      </c>
      <c r="R98" s="376">
        <f>ROUND(('Changing with year'!R113)/1000,0)*1000</f>
        <v>9670000</v>
      </c>
      <c r="S98" s="376">
        <f>ROUND(('Changing with year'!S113)/1000,0)*1000</f>
        <v>9934000</v>
      </c>
      <c r="T98" s="376">
        <f>ROUND(('Changing with year'!T113)/1000,0)*1000</f>
        <v>10204000</v>
      </c>
      <c r="U98" s="376">
        <f>ROUND(('Changing with year'!U113)/1000,0)*1000</f>
        <v>10483000</v>
      </c>
      <c r="V98" s="376">
        <f>ROUND(('Changing with year'!V113)/1000,0)*1000</f>
        <v>10770000</v>
      </c>
      <c r="W98" s="376">
        <f>ROUND(('Changing with year'!W113)/1000,0)*1000</f>
        <v>11065000</v>
      </c>
      <c r="X98" s="376">
        <f>ROUND(('Changing with year'!X113)/1000,0)*1000</f>
        <v>11369000</v>
      </c>
      <c r="Y98" s="376">
        <f>ROUND(('Changing with year'!Y113)/1000,0)*1000</f>
        <v>11681000</v>
      </c>
      <c r="Z98" s="376">
        <f>ROUND(('Changing with year'!Z113)/1000,0)*1000</f>
        <v>12003000</v>
      </c>
      <c r="AA98" s="376">
        <f>ROUND(('Changing with year'!AA113)/1000,0)*1000</f>
        <v>12334000</v>
      </c>
      <c r="AB98" s="376">
        <f>ROUND(('Changing with year'!AB113)/1000,0)*1000</f>
        <v>12675000</v>
      </c>
      <c r="AC98" s="376">
        <f>ROUND(('Changing with year'!AC113)/1000,0)*1000</f>
        <v>13025000</v>
      </c>
      <c r="AD98" s="376">
        <f>ROUND(('Changing with year'!AD113)/1000,0)*1000</f>
        <v>13386000</v>
      </c>
      <c r="AE98" s="376">
        <f>ROUND(('Changing with year'!AE113)/1000,0)*1000</f>
        <v>13757000</v>
      </c>
      <c r="AF98" s="376">
        <f>ROUND(('Changing with year'!AF113)/1000,0)*1000</f>
        <v>14140000</v>
      </c>
      <c r="AG98" s="376">
        <f>ROUND(('Changing with year'!AG113)/1000,0)*1000</f>
        <v>14533000</v>
      </c>
    </row>
    <row r="99" spans="1:34">
      <c r="A99" s="368" t="s">
        <v>310</v>
      </c>
      <c r="B99" s="300" t="s">
        <v>309</v>
      </c>
      <c r="C99" s="376">
        <f>(C98*'No change with year'!$AE$14)</f>
        <v>2770650</v>
      </c>
      <c r="D99" s="376">
        <f>(D98*'No change with year'!$AE$14)</f>
        <v>2843100</v>
      </c>
      <c r="E99" s="376">
        <f>(E98*'No change with year'!$AE$14)</f>
        <v>2918250</v>
      </c>
      <c r="F99" s="376">
        <f>(F98*'No change with year'!$AE$14)</f>
        <v>2994750</v>
      </c>
      <c r="G99" s="376">
        <f>(G98*'No change with year'!$AE$14)</f>
        <v>3073950</v>
      </c>
      <c r="H99" s="376">
        <f>(H98*'No change with year'!$AE$14)</f>
        <v>3335400</v>
      </c>
      <c r="I99" s="376">
        <f>(I98*'No change with year'!$AE$14)</f>
        <v>3424500</v>
      </c>
      <c r="J99" s="376">
        <f>(J98*'No change with year'!$AE$14)</f>
        <v>3516300</v>
      </c>
      <c r="K99" s="376">
        <f>(K98*'No change with year'!$AE$14)</f>
        <v>3610800</v>
      </c>
      <c r="L99" s="376">
        <f>(L98*'No change with year'!$AE$14)</f>
        <v>3707550</v>
      </c>
      <c r="M99" s="376">
        <f>(M98*'No change with year'!$AE$14)</f>
        <v>3807450</v>
      </c>
      <c r="N99" s="376">
        <f>(N98*'No change with year'!$AF$14)</f>
        <v>3041150.0000000005</v>
      </c>
      <c r="O99" s="376">
        <f>(O98*'No change with year'!$AF$14)</f>
        <v>3123400.0000000005</v>
      </c>
      <c r="P99" s="376">
        <f>(P98*'No change with year'!$AF$14)</f>
        <v>3208100.0000000005</v>
      </c>
      <c r="Q99" s="376">
        <f>(Q98*'No change with year'!$AF$14)</f>
        <v>3295250.0000000005</v>
      </c>
      <c r="R99" s="376">
        <f>(R98*'No change with year'!$AF$14)</f>
        <v>3384500.0000000005</v>
      </c>
      <c r="S99" s="376">
        <f>(S98*'No change with year'!$AF$14)</f>
        <v>3476900.0000000005</v>
      </c>
      <c r="T99" s="376">
        <f>(T98*'No change with year'!$AF$14)</f>
        <v>3571400.0000000005</v>
      </c>
      <c r="U99" s="376">
        <f>(U98*'No change with year'!$AF$14)</f>
        <v>3669050.0000000005</v>
      </c>
      <c r="V99" s="376">
        <f>(V98*'No change with year'!$AF$14)</f>
        <v>3769500.0000000005</v>
      </c>
      <c r="W99" s="376">
        <f>(W98*'No change with year'!$AF$14)</f>
        <v>3872750.0000000005</v>
      </c>
      <c r="X99" s="376">
        <f>(X98*'No change with year'!$AG$14)</f>
        <v>2842250</v>
      </c>
      <c r="Y99" s="376">
        <f>(Y98*'No change with year'!$AG$14)</f>
        <v>2920250</v>
      </c>
      <c r="Z99" s="376">
        <f>(Z98*'No change with year'!$AG$14)</f>
        <v>3000750</v>
      </c>
      <c r="AA99" s="376">
        <f>(AA98*'No change with year'!$AG$14)</f>
        <v>3083500</v>
      </c>
      <c r="AB99" s="376">
        <f>(AB98*'No change with year'!$AG$14)</f>
        <v>3168750</v>
      </c>
      <c r="AC99" s="376">
        <f>(AC98*'No change with year'!$AG$14)</f>
        <v>3256250</v>
      </c>
      <c r="AD99" s="376">
        <f>(AD98*'No change with year'!$AG$14)</f>
        <v>3346500</v>
      </c>
      <c r="AE99" s="376">
        <f>(AE98*'No change with year'!$AG$14)</f>
        <v>3439250</v>
      </c>
      <c r="AF99" s="376">
        <f>(AF98*'No change with year'!$AG$14)</f>
        <v>3535000</v>
      </c>
      <c r="AG99" s="376">
        <f>(AG98*'No change with year'!$AG$14)</f>
        <v>3633250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1349107.8999448637</v>
      </c>
      <c r="D101" s="376">
        <f t="shared" si="29"/>
        <v>1384385.8554249876</v>
      </c>
      <c r="E101" s="376">
        <f t="shared" si="29"/>
        <v>1420978.5173205198</v>
      </c>
      <c r="F101" s="376">
        <f t="shared" si="29"/>
        <v>1458228.5324237563</v>
      </c>
      <c r="G101" s="376">
        <f t="shared" si="29"/>
        <v>1496793.2539424011</v>
      </c>
      <c r="H101" s="376">
        <f t="shared" si="29"/>
        <v>1624100.6585011091</v>
      </c>
      <c r="I101" s="376">
        <f t="shared" si="29"/>
        <v>1667485.9702095846</v>
      </c>
      <c r="J101" s="376">
        <f t="shared" si="29"/>
        <v>1712185.9883334683</v>
      </c>
      <c r="K101" s="376">
        <f t="shared" si="29"/>
        <v>1758200.7128727604</v>
      </c>
      <c r="L101" s="376">
        <f t="shared" si="29"/>
        <v>1805311.0260915596</v>
      </c>
      <c r="M101" s="376">
        <f t="shared" si="29"/>
        <v>1853955.1634616682</v>
      </c>
      <c r="N101" s="376">
        <f t="shared" si="29"/>
        <v>1903914.0072471851</v>
      </c>
      <c r="O101" s="376">
        <f t="shared" si="29"/>
        <v>1955406.6751840122</v>
      </c>
      <c r="P101" s="376">
        <f t="shared" si="29"/>
        <v>2008433.1672721487</v>
      </c>
      <c r="Q101" s="376">
        <f t="shared" si="29"/>
        <v>2062993.4835115953</v>
      </c>
      <c r="R101" s="376">
        <f t="shared" si="29"/>
        <v>2118868.5061664497</v>
      </c>
      <c r="S101" s="376">
        <f t="shared" si="29"/>
        <v>2176715.5884444169</v>
      </c>
      <c r="T101" s="376">
        <f t="shared" si="29"/>
        <v>2235877.3771377923</v>
      </c>
      <c r="U101" s="376">
        <f t="shared" si="29"/>
        <v>2297011.2254542806</v>
      </c>
      <c r="V101" s="376">
        <f t="shared" si="29"/>
        <v>2359898.01565798</v>
      </c>
      <c r="W101" s="376">
        <f t="shared" si="29"/>
        <v>2424537.74774889</v>
      </c>
      <c r="X101" s="376">
        <f t="shared" si="29"/>
        <v>2491149.5394629128</v>
      </c>
      <c r="Y101" s="376">
        <f t="shared" si="29"/>
        <v>2559514.2730641467</v>
      </c>
      <c r="Z101" s="376">
        <f t="shared" si="29"/>
        <v>2630070.184024395</v>
      </c>
      <c r="AA101" s="376">
        <f t="shared" si="29"/>
        <v>2702598.1546077551</v>
      </c>
      <c r="AB101" s="376">
        <f t="shared" si="29"/>
        <v>2777317.3025501291</v>
      </c>
      <c r="AC101" s="376">
        <f t="shared" si="29"/>
        <v>2854008.510115616</v>
      </c>
      <c r="AD101" s="376">
        <f t="shared" si="29"/>
        <v>2933110.0127760186</v>
      </c>
      <c r="AE101" s="376">
        <f t="shared" si="29"/>
        <v>3014402.692795434</v>
      </c>
      <c r="AF101" s="376">
        <f t="shared" si="29"/>
        <v>3098324.785645667</v>
      </c>
      <c r="AG101" s="376">
        <f t="shared" si="29"/>
        <v>3184438.0558549133</v>
      </c>
    </row>
    <row r="102" spans="1:34">
      <c r="A102" s="300" t="s">
        <v>321</v>
      </c>
      <c r="B102" s="300" t="s">
        <v>309</v>
      </c>
      <c r="C102" s="376">
        <f t="shared" ref="C102:AG102" si="30">$E$37*C44</f>
        <v>3320000</v>
      </c>
      <c r="D102" s="376">
        <f t="shared" si="30"/>
        <v>3440000</v>
      </c>
      <c r="E102" s="376">
        <f t="shared" si="30"/>
        <v>3543200</v>
      </c>
      <c r="F102" s="376">
        <f t="shared" si="30"/>
        <v>3649495.9999999995</v>
      </c>
      <c r="G102" s="376">
        <f t="shared" si="30"/>
        <v>3758980.88</v>
      </c>
      <c r="H102" s="376">
        <f t="shared" si="30"/>
        <v>3871750.3064000001</v>
      </c>
      <c r="I102" s="376">
        <f t="shared" si="30"/>
        <v>3987902.8155920003</v>
      </c>
      <c r="J102" s="376">
        <f t="shared" si="30"/>
        <v>4107539.9000597605</v>
      </c>
      <c r="K102" s="376">
        <f t="shared" si="30"/>
        <v>4230766.097061554</v>
      </c>
      <c r="L102" s="376">
        <f t="shared" si="30"/>
        <v>4357689.0799734006</v>
      </c>
      <c r="M102" s="376">
        <f t="shared" si="30"/>
        <v>4488419.752372602</v>
      </c>
      <c r="N102" s="376">
        <f t="shared" si="30"/>
        <v>4623072.3449437805</v>
      </c>
      <c r="O102" s="376">
        <f t="shared" si="30"/>
        <v>4761764.5152920941</v>
      </c>
      <c r="P102" s="376">
        <f t="shared" si="30"/>
        <v>4904617.4507508567</v>
      </c>
      <c r="Q102" s="376">
        <f t="shared" si="30"/>
        <v>5051755.9742733827</v>
      </c>
      <c r="R102" s="376">
        <f t="shared" si="30"/>
        <v>5203308.6535015842</v>
      </c>
      <c r="S102" s="376">
        <f t="shared" si="30"/>
        <v>5359407.9131066315</v>
      </c>
      <c r="T102" s="376">
        <f t="shared" si="30"/>
        <v>5520190.150499831</v>
      </c>
      <c r="U102" s="376">
        <f t="shared" si="30"/>
        <v>5685795.8550148262</v>
      </c>
      <c r="V102" s="376">
        <f t="shared" si="30"/>
        <v>5856369.7306652702</v>
      </c>
      <c r="W102" s="376">
        <f t="shared" si="30"/>
        <v>6032060.8225852288</v>
      </c>
      <c r="X102" s="376">
        <f t="shared" si="30"/>
        <v>6213022.6472627865</v>
      </c>
      <c r="Y102" s="376">
        <f t="shared" si="30"/>
        <v>6399413.3266806705</v>
      </c>
      <c r="Z102" s="376">
        <f t="shared" si="30"/>
        <v>6591395.7264810903</v>
      </c>
      <c r="AA102" s="376">
        <f t="shared" si="30"/>
        <v>6789137.5982755236</v>
      </c>
      <c r="AB102" s="376">
        <f t="shared" si="30"/>
        <v>6992811.7262237892</v>
      </c>
      <c r="AC102" s="376">
        <f t="shared" si="30"/>
        <v>7202596.0780105023</v>
      </c>
      <c r="AD102" s="376">
        <f t="shared" si="30"/>
        <v>7418673.960350818</v>
      </c>
      <c r="AE102" s="376">
        <f t="shared" si="30"/>
        <v>7641234.1791613428</v>
      </c>
      <c r="AF102" s="376">
        <f t="shared" si="30"/>
        <v>7870471.2045361828</v>
      </c>
      <c r="AG102" s="376">
        <f t="shared" si="30"/>
        <v>8106585.3406722685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756000</v>
      </c>
      <c r="D103" s="376">
        <f t="shared" si="31"/>
        <v>786240</v>
      </c>
      <c r="E103" s="376">
        <f t="shared" si="31"/>
        <v>817689.59999999998</v>
      </c>
      <c r="F103" s="376">
        <f t="shared" si="31"/>
        <v>850397.18400000001</v>
      </c>
      <c r="G103" s="376">
        <f t="shared" si="31"/>
        <v>884413.07135999994</v>
      </c>
      <c r="H103" s="376">
        <f t="shared" si="31"/>
        <v>919789.59421440016</v>
      </c>
      <c r="I103" s="376">
        <f t="shared" si="31"/>
        <v>956581.17798297619</v>
      </c>
      <c r="J103" s="376">
        <f t="shared" si="31"/>
        <v>994844.42510229524</v>
      </c>
      <c r="K103" s="376">
        <f t="shared" si="31"/>
        <v>1034638.2021063872</v>
      </c>
      <c r="L103" s="376">
        <f t="shared" si="31"/>
        <v>1076023.7301906429</v>
      </c>
      <c r="M103" s="376">
        <f t="shared" si="31"/>
        <v>1119064.6793982685</v>
      </c>
      <c r="N103" s="376">
        <f t="shared" si="31"/>
        <v>1163827.2665741993</v>
      </c>
      <c r="O103" s="376">
        <f t="shared" si="31"/>
        <v>1210380.3572371674</v>
      </c>
      <c r="P103" s="376">
        <f t="shared" si="31"/>
        <v>1258795.5715266541</v>
      </c>
      <c r="Q103" s="376">
        <f t="shared" si="31"/>
        <v>1309147.3943877204</v>
      </c>
      <c r="R103" s="376">
        <f t="shared" si="31"/>
        <v>1361513.2901632292</v>
      </c>
      <c r="S103" s="376">
        <f t="shared" si="31"/>
        <v>1415973.8217697584</v>
      </c>
      <c r="T103" s="376">
        <f t="shared" si="31"/>
        <v>1472612.774640549</v>
      </c>
      <c r="U103" s="376">
        <f t="shared" si="31"/>
        <v>1531517.2856261709</v>
      </c>
      <c r="V103" s="376">
        <f t="shared" si="31"/>
        <v>1592777.977051218</v>
      </c>
      <c r="W103" s="376">
        <f t="shared" si="31"/>
        <v>1656489.0961332666</v>
      </c>
      <c r="X103" s="376">
        <f t="shared" si="31"/>
        <v>1722748.6599785974</v>
      </c>
      <c r="Y103" s="376">
        <f t="shared" si="31"/>
        <v>1791658.6063777413</v>
      </c>
      <c r="Z103" s="376">
        <f t="shared" si="31"/>
        <v>1863324.9506328511</v>
      </c>
      <c r="AA103" s="376">
        <f t="shared" si="31"/>
        <v>1937857.9486581653</v>
      </c>
      <c r="AB103" s="376">
        <f t="shared" si="31"/>
        <v>2015372.2666044922</v>
      </c>
      <c r="AC103" s="376">
        <f t="shared" si="31"/>
        <v>2095987.1572686718</v>
      </c>
      <c r="AD103" s="376">
        <f t="shared" si="31"/>
        <v>2179826.6435594191</v>
      </c>
      <c r="AE103" s="376">
        <f t="shared" si="31"/>
        <v>2267019.7093017958</v>
      </c>
      <c r="AF103" s="376">
        <f t="shared" si="31"/>
        <v>2357700.4976738677</v>
      </c>
      <c r="AG103" s="376">
        <f t="shared" si="31"/>
        <v>2452008.5175808221</v>
      </c>
    </row>
    <row r="104" spans="1:34">
      <c r="A104" s="368" t="s">
        <v>318</v>
      </c>
      <c r="B104" s="368" t="s">
        <v>313</v>
      </c>
      <c r="C104" s="376">
        <f>'Changing with year'!C295</f>
        <v>600000</v>
      </c>
      <c r="D104" s="376">
        <f>'Changing with year'!D295</f>
        <v>627000</v>
      </c>
      <c r="E104" s="376">
        <f>'Changing with year'!E295</f>
        <v>655000</v>
      </c>
      <c r="F104" s="376">
        <f>'Changing with year'!F295</f>
        <v>684000</v>
      </c>
      <c r="G104" s="376">
        <f>'Changing with year'!G295</f>
        <v>715000</v>
      </c>
      <c r="H104" s="376">
        <f>'Changing with year'!H295</f>
        <v>747000</v>
      </c>
      <c r="I104" s="376">
        <f>'Changing with year'!I295</f>
        <v>781000</v>
      </c>
      <c r="J104" s="376">
        <f>'Changing with year'!J295</f>
        <v>816000</v>
      </c>
      <c r="K104" s="376">
        <f>'Changing with year'!K295</f>
        <v>853000</v>
      </c>
      <c r="L104" s="376">
        <f>'Changing with year'!L295</f>
        <v>891000</v>
      </c>
      <c r="M104" s="376">
        <f>'Changing with year'!M295</f>
        <v>931000</v>
      </c>
      <c r="N104" s="376">
        <f>'Changing with year'!N295</f>
        <v>973000</v>
      </c>
      <c r="O104" s="376">
        <f>'Changing with year'!O295</f>
        <v>1017000</v>
      </c>
      <c r="P104" s="376">
        <f>'Changing with year'!P295</f>
        <v>1063000</v>
      </c>
      <c r="Q104" s="376">
        <f>'Changing with year'!Q295</f>
        <v>1111000</v>
      </c>
      <c r="R104" s="376">
        <f>'Changing with year'!R295</f>
        <v>1161000</v>
      </c>
      <c r="S104" s="376">
        <f>'Changing with year'!S295</f>
        <v>1213000</v>
      </c>
      <c r="T104" s="376">
        <f>'Changing with year'!T295</f>
        <v>1268000</v>
      </c>
      <c r="U104" s="376">
        <f>'Changing with year'!U295</f>
        <v>1325000</v>
      </c>
      <c r="V104" s="376">
        <f>'Changing with year'!V295</f>
        <v>1385000</v>
      </c>
      <c r="W104" s="376">
        <f>'Changing with year'!W295</f>
        <v>1447000</v>
      </c>
      <c r="X104" s="376">
        <f>'Changing with year'!X295</f>
        <v>1512000</v>
      </c>
      <c r="Y104" s="376">
        <f>'Changing with year'!Y295</f>
        <v>1580000</v>
      </c>
      <c r="Z104" s="376">
        <f>'Changing with year'!Z295</f>
        <v>1651000</v>
      </c>
      <c r="AA104" s="376">
        <f>'Changing with year'!AA295</f>
        <v>1725000</v>
      </c>
      <c r="AB104" s="376">
        <f>'Changing with year'!AB295</f>
        <v>1803000</v>
      </c>
      <c r="AC104" s="376">
        <f>'Changing with year'!AC295</f>
        <v>1884000</v>
      </c>
      <c r="AD104" s="376">
        <f>'Changing with year'!AD295</f>
        <v>1969000</v>
      </c>
      <c r="AE104" s="376">
        <f>'Changing with year'!AE295</f>
        <v>2058000</v>
      </c>
      <c r="AF104" s="376">
        <f>'Changing with year'!AF295</f>
        <v>2151000</v>
      </c>
      <c r="AG104" s="376">
        <f>'Changing with year'!AG295</f>
        <v>2248000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972000</v>
      </c>
      <c r="D105" s="376">
        <f t="shared" si="32"/>
        <v>981720</v>
      </c>
      <c r="E105" s="376">
        <f t="shared" si="32"/>
        <v>991537.2</v>
      </c>
      <c r="F105" s="376">
        <f t="shared" si="32"/>
        <v>1001452.5719999999</v>
      </c>
      <c r="G105" s="376">
        <f t="shared" si="32"/>
        <v>1011467.0977199998</v>
      </c>
      <c r="H105" s="376">
        <f t="shared" si="32"/>
        <v>1021581.7686972</v>
      </c>
      <c r="I105" s="376">
        <f t="shared" si="32"/>
        <v>1031797.586384172</v>
      </c>
      <c r="J105" s="376">
        <f t="shared" si="32"/>
        <v>1042115.5622480137</v>
      </c>
      <c r="K105" s="376">
        <f t="shared" si="32"/>
        <v>1052536.7178704939</v>
      </c>
      <c r="L105" s="376">
        <f t="shared" si="32"/>
        <v>1063062.0850491989</v>
      </c>
      <c r="M105" s="376">
        <f t="shared" si="32"/>
        <v>1073692.705899691</v>
      </c>
      <c r="N105" s="376">
        <f t="shared" si="32"/>
        <v>1084429.6329586878</v>
      </c>
      <c r="O105" s="376">
        <f t="shared" si="32"/>
        <v>1095273.9292882748</v>
      </c>
      <c r="P105" s="376">
        <f t="shared" si="32"/>
        <v>1106226.6685811577</v>
      </c>
      <c r="Q105" s="376">
        <f t="shared" si="32"/>
        <v>1117288.9352669693</v>
      </c>
      <c r="R105" s="376">
        <f t="shared" si="32"/>
        <v>1128461.824619639</v>
      </c>
      <c r="S105" s="376">
        <f t="shared" si="32"/>
        <v>1139746.4428658355</v>
      </c>
      <c r="T105" s="376">
        <f t="shared" si="32"/>
        <v>1151143.9072944939</v>
      </c>
      <c r="U105" s="376">
        <f t="shared" si="32"/>
        <v>1162655.3463674388</v>
      </c>
      <c r="V105" s="376">
        <f t="shared" si="32"/>
        <v>1174281.8998311132</v>
      </c>
      <c r="W105" s="376">
        <f t="shared" si="32"/>
        <v>1186024.7188294244</v>
      </c>
      <c r="X105" s="376">
        <f t="shared" si="32"/>
        <v>1197884.9660177184</v>
      </c>
      <c r="Y105" s="376">
        <f t="shared" si="32"/>
        <v>1209863.8156778959</v>
      </c>
      <c r="Z105" s="376">
        <f t="shared" si="32"/>
        <v>1221962.4538346748</v>
      </c>
      <c r="AA105" s="376">
        <f t="shared" si="32"/>
        <v>1234182.0783730214</v>
      </c>
      <c r="AB105" s="376">
        <f t="shared" si="32"/>
        <v>1246523.8991567518</v>
      </c>
      <c r="AC105" s="376">
        <f t="shared" si="32"/>
        <v>1258989.1381483194</v>
      </c>
      <c r="AD105" s="376">
        <f t="shared" si="32"/>
        <v>1271579.0295298027</v>
      </c>
      <c r="AE105" s="376">
        <f t="shared" si="32"/>
        <v>1284294.8198251007</v>
      </c>
      <c r="AF105" s="376">
        <f t="shared" si="32"/>
        <v>1297137.7680233517</v>
      </c>
      <c r="AG105" s="376">
        <f t="shared" si="32"/>
        <v>1310109.1457035851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123140</v>
      </c>
      <c r="D106" s="376">
        <f t="shared" si="33"/>
        <v>126360</v>
      </c>
      <c r="E106" s="376">
        <f t="shared" si="33"/>
        <v>129700</v>
      </c>
      <c r="F106" s="376">
        <f t="shared" si="33"/>
        <v>133100</v>
      </c>
      <c r="G106" s="376">
        <f t="shared" si="33"/>
        <v>136620</v>
      </c>
      <c r="H106" s="376">
        <f t="shared" si="33"/>
        <v>148240</v>
      </c>
      <c r="I106" s="376">
        <f t="shared" si="33"/>
        <v>152200</v>
      </c>
      <c r="J106" s="376">
        <f t="shared" si="33"/>
        <v>156280</v>
      </c>
      <c r="K106" s="376">
        <f t="shared" si="33"/>
        <v>160480</v>
      </c>
      <c r="L106" s="376">
        <f t="shared" si="33"/>
        <v>164780</v>
      </c>
      <c r="M106" s="376">
        <f t="shared" si="33"/>
        <v>169220</v>
      </c>
      <c r="N106" s="376">
        <f t="shared" si="33"/>
        <v>173780</v>
      </c>
      <c r="O106" s="376">
        <f t="shared" si="33"/>
        <v>178480</v>
      </c>
      <c r="P106" s="376">
        <f t="shared" si="33"/>
        <v>183320</v>
      </c>
      <c r="Q106" s="376">
        <f t="shared" si="33"/>
        <v>188300</v>
      </c>
      <c r="R106" s="376">
        <f t="shared" si="33"/>
        <v>193400</v>
      </c>
      <c r="S106" s="376">
        <f t="shared" si="33"/>
        <v>198680</v>
      </c>
      <c r="T106" s="376">
        <f t="shared" si="33"/>
        <v>204080</v>
      </c>
      <c r="U106" s="376">
        <f t="shared" si="33"/>
        <v>209660</v>
      </c>
      <c r="V106" s="376">
        <f t="shared" si="33"/>
        <v>215400</v>
      </c>
      <c r="W106" s="376">
        <f t="shared" si="33"/>
        <v>221300</v>
      </c>
      <c r="X106" s="376">
        <f t="shared" si="33"/>
        <v>227380</v>
      </c>
      <c r="Y106" s="376">
        <f t="shared" si="33"/>
        <v>233620</v>
      </c>
      <c r="Z106" s="376">
        <f t="shared" si="33"/>
        <v>240060</v>
      </c>
      <c r="AA106" s="376">
        <f t="shared" si="33"/>
        <v>246680</v>
      </c>
      <c r="AB106" s="376">
        <f t="shared" si="33"/>
        <v>253500</v>
      </c>
      <c r="AC106" s="376">
        <f t="shared" si="33"/>
        <v>260500</v>
      </c>
      <c r="AD106" s="376">
        <f t="shared" si="33"/>
        <v>267720</v>
      </c>
      <c r="AE106" s="376">
        <f t="shared" si="33"/>
        <v>275140</v>
      </c>
      <c r="AF106" s="376">
        <f t="shared" si="33"/>
        <v>282800</v>
      </c>
      <c r="AG106" s="376">
        <f t="shared" si="33"/>
        <v>290660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12.491739814304294</v>
      </c>
      <c r="D108" s="379">
        <f t="shared" si="34"/>
        <v>12.818387550231368</v>
      </c>
      <c r="E108" s="379">
        <f t="shared" si="34"/>
        <v>13.157208493708517</v>
      </c>
      <c r="F108" s="379">
        <f t="shared" si="34"/>
        <v>13.502116040960706</v>
      </c>
      <c r="G108" s="379">
        <f t="shared" si="34"/>
        <v>13.859196795762974</v>
      </c>
      <c r="H108" s="379">
        <f t="shared" si="34"/>
        <v>15.037969060195454</v>
      </c>
      <c r="I108" s="379">
        <f t="shared" si="34"/>
        <v>15.439684909348005</v>
      </c>
      <c r="J108" s="379">
        <f t="shared" si="34"/>
        <v>15.853573966050632</v>
      </c>
      <c r="K108" s="379">
        <f t="shared" si="34"/>
        <v>16.279636230303336</v>
      </c>
      <c r="L108" s="379">
        <f t="shared" si="34"/>
        <v>16.715842834181107</v>
      </c>
      <c r="M108" s="379">
        <f t="shared" si="34"/>
        <v>17.166251513533965</v>
      </c>
      <c r="N108" s="379">
        <f t="shared" si="34"/>
        <v>17.6288334004369</v>
      </c>
      <c r="O108" s="379">
        <f t="shared" si="34"/>
        <v>18.105617362814929</v>
      </c>
      <c r="P108" s="379">
        <f t="shared" si="34"/>
        <v>18.596603400668045</v>
      </c>
      <c r="Q108" s="379">
        <f t="shared" si="34"/>
        <v>19.101791513996254</v>
      </c>
      <c r="R108" s="379">
        <f t="shared" si="34"/>
        <v>19.619152834874534</v>
      </c>
      <c r="S108" s="379">
        <f t="shared" si="34"/>
        <v>20.154773967077933</v>
      </c>
      <c r="T108" s="379">
        <f t="shared" si="34"/>
        <v>20.702568306831409</v>
      </c>
      <c r="U108" s="379">
        <f t="shared" si="34"/>
        <v>21.268622457910006</v>
      </c>
      <c r="V108" s="379">
        <f t="shared" si="34"/>
        <v>21.850907552388705</v>
      </c>
      <c r="W108" s="379">
        <f t="shared" si="34"/>
        <v>22.4494235902675</v>
      </c>
      <c r="X108" s="379">
        <f t="shared" si="34"/>
        <v>23.066199439471415</v>
      </c>
      <c r="Y108" s="379">
        <f t="shared" si="34"/>
        <v>23.699206232075433</v>
      </c>
      <c r="Z108" s="379">
        <f t="shared" si="34"/>
        <v>24.352501703929583</v>
      </c>
      <c r="AA108" s="379">
        <f t="shared" si="34"/>
        <v>25.024056987108843</v>
      </c>
      <c r="AB108" s="379">
        <f t="shared" si="34"/>
        <v>25.715900949538234</v>
      </c>
      <c r="AC108" s="379">
        <f t="shared" si="34"/>
        <v>26.426004723292742</v>
      </c>
      <c r="AD108" s="379">
        <f t="shared" si="34"/>
        <v>27.158426044222395</v>
      </c>
      <c r="AE108" s="379">
        <f t="shared" si="34"/>
        <v>27.911136044402166</v>
      </c>
      <c r="AF108" s="379">
        <f t="shared" si="34"/>
        <v>28.688192459682103</v>
      </c>
      <c r="AG108" s="379">
        <f t="shared" si="34"/>
        <v>29.485537554212161</v>
      </c>
    </row>
    <row r="109" spans="1:34">
      <c r="A109" s="300" t="s">
        <v>321</v>
      </c>
      <c r="B109" s="300" t="s">
        <v>300</v>
      </c>
      <c r="C109" s="379">
        <f t="shared" si="34"/>
        <v>30.74074074074074</v>
      </c>
      <c r="D109" s="379">
        <f t="shared" si="34"/>
        <v>31.851851851851851</v>
      </c>
      <c r="E109" s="379">
        <f t="shared" si="34"/>
        <v>32.80740740740741</v>
      </c>
      <c r="F109" s="379">
        <f t="shared" si="34"/>
        <v>33.791629629629625</v>
      </c>
      <c r="G109" s="379">
        <f t="shared" si="34"/>
        <v>34.805378518518516</v>
      </c>
      <c r="H109" s="379">
        <f t="shared" si="34"/>
        <v>35.849539874074075</v>
      </c>
      <c r="I109" s="379">
        <f t="shared" si="34"/>
        <v>36.925026070296298</v>
      </c>
      <c r="J109" s="379">
        <f t="shared" si="34"/>
        <v>38.032776852405192</v>
      </c>
      <c r="K109" s="379">
        <f t="shared" si="34"/>
        <v>39.173760157977348</v>
      </c>
      <c r="L109" s="379">
        <f t="shared" si="34"/>
        <v>40.348972962716672</v>
      </c>
      <c r="M109" s="379">
        <f t="shared" si="34"/>
        <v>41.559442151598169</v>
      </c>
      <c r="N109" s="379">
        <f t="shared" si="34"/>
        <v>42.806225416146113</v>
      </c>
      <c r="O109" s="379">
        <f t="shared" si="34"/>
        <v>44.090412178630501</v>
      </c>
      <c r="P109" s="379">
        <f t="shared" si="34"/>
        <v>45.413124543989412</v>
      </c>
      <c r="Q109" s="379">
        <f t="shared" si="34"/>
        <v>46.7755182803091</v>
      </c>
      <c r="R109" s="379">
        <f t="shared" si="34"/>
        <v>48.178783828718373</v>
      </c>
      <c r="S109" s="379">
        <f t="shared" si="34"/>
        <v>49.624147343579921</v>
      </c>
      <c r="T109" s="379">
        <f t="shared" si="34"/>
        <v>51.112871763887327</v>
      </c>
      <c r="U109" s="379">
        <f t="shared" si="34"/>
        <v>52.646257916803947</v>
      </c>
      <c r="V109" s="379">
        <f t="shared" si="34"/>
        <v>54.22564565430806</v>
      </c>
      <c r="W109" s="379">
        <f t="shared" si="34"/>
        <v>55.852415023937304</v>
      </c>
      <c r="X109" s="379">
        <f t="shared" si="34"/>
        <v>57.527987474655433</v>
      </c>
      <c r="Y109" s="379">
        <f t="shared" si="34"/>
        <v>59.253827098895094</v>
      </c>
      <c r="Z109" s="379">
        <f t="shared" si="34"/>
        <v>61.031441911861947</v>
      </c>
      <c r="AA109" s="379">
        <f t="shared" si="34"/>
        <v>62.862385169217809</v>
      </c>
      <c r="AB109" s="379">
        <f t="shared" si="34"/>
        <v>64.74825672429435</v>
      </c>
      <c r="AC109" s="379">
        <f t="shared" si="34"/>
        <v>66.690704426023174</v>
      </c>
      <c r="AD109" s="379">
        <f t="shared" si="34"/>
        <v>68.691425558803871</v>
      </c>
      <c r="AE109" s="379">
        <f t="shared" si="34"/>
        <v>70.752168325567993</v>
      </c>
      <c r="AF109" s="379">
        <f t="shared" si="34"/>
        <v>72.874733375335026</v>
      </c>
      <c r="AG109" s="379">
        <f t="shared" si="34"/>
        <v>75.060975376595081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22.695740740740742</v>
      </c>
      <c r="D110" s="379">
        <f t="shared" si="35"/>
        <v>23.345555555555556</v>
      </c>
      <c r="E110" s="379">
        <f t="shared" si="35"/>
        <v>24.017840740740738</v>
      </c>
      <c r="F110" s="379">
        <f t="shared" si="35"/>
        <v>24.712497740740741</v>
      </c>
      <c r="G110" s="379">
        <f t="shared" si="35"/>
        <v>25.43981638037037</v>
      </c>
      <c r="H110" s="379">
        <f t="shared" si="35"/>
        <v>26.26492002695926</v>
      </c>
      <c r="I110" s="379">
        <f t="shared" si="35"/>
        <v>27.051655225621744</v>
      </c>
      <c r="J110" s="379">
        <f t="shared" si="35"/>
        <v>27.863333216206566</v>
      </c>
      <c r="K110" s="379">
        <f t="shared" si="35"/>
        <v>28.709767777563716</v>
      </c>
      <c r="L110" s="379">
        <f t="shared" si="35"/>
        <v>29.582090881850391</v>
      </c>
      <c r="M110" s="379">
        <f t="shared" si="35"/>
        <v>30.490531345351478</v>
      </c>
      <c r="N110" s="379">
        <f t="shared" si="35"/>
        <v>31.435526847526734</v>
      </c>
      <c r="O110" s="379">
        <f t="shared" si="35"/>
        <v>32.417910060420759</v>
      </c>
      <c r="P110" s="379">
        <f t="shared" si="35"/>
        <v>33.438354075072333</v>
      </c>
      <c r="Q110" s="379">
        <f t="shared" si="35"/>
        <v>34.497558607913788</v>
      </c>
      <c r="R110" s="379">
        <f t="shared" si="35"/>
        <v>35.596065877619147</v>
      </c>
      <c r="S110" s="379">
        <f t="shared" si="35"/>
        <v>36.735187635514755</v>
      </c>
      <c r="T110" s="379">
        <f t="shared" si="35"/>
        <v>37.924413721620766</v>
      </c>
      <c r="U110" s="379">
        <f t="shared" si="35"/>
        <v>39.155857703644543</v>
      </c>
      <c r="V110" s="379">
        <f t="shared" si="35"/>
        <v>40.439443304466032</v>
      </c>
      <c r="W110" s="379">
        <f t="shared" si="35"/>
        <v>41.766794582987878</v>
      </c>
      <c r="X110" s="379">
        <f t="shared" si="35"/>
        <v>43.1482743147807</v>
      </c>
      <c r="Y110" s="379">
        <f t="shared" si="35"/>
        <v>44.584652056070716</v>
      </c>
      <c r="Z110" s="379">
        <f t="shared" si="35"/>
        <v>46.077290782106722</v>
      </c>
      <c r="AA110" s="379">
        <f t="shared" si="35"/>
        <v>47.627037287325805</v>
      </c>
      <c r="AB110" s="379">
        <f t="shared" si="35"/>
        <v>49.244408942233747</v>
      </c>
      <c r="AC110" s="379">
        <f t="shared" si="35"/>
        <v>50.921076809416583</v>
      </c>
      <c r="AD110" s="379">
        <f t="shared" si="35"/>
        <v>52.667830306381688</v>
      </c>
      <c r="AE110" s="379">
        <f t="shared" si="35"/>
        <v>54.485690084508299</v>
      </c>
      <c r="AF110" s="379">
        <f t="shared" si="35"/>
        <v>56.376280237937209</v>
      </c>
      <c r="AG110" s="379">
        <f t="shared" si="35"/>
        <v>58.340533919300064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3.6648809523809525</v>
      </c>
      <c r="D111" s="379">
        <f t="shared" si="36"/>
        <v>3.7607142857142857</v>
      </c>
      <c r="E111" s="379">
        <f t="shared" si="36"/>
        <v>3.8601190476190474</v>
      </c>
      <c r="F111" s="379">
        <f t="shared" si="36"/>
        <v>3.9613095238095237</v>
      </c>
      <c r="G111" s="379">
        <f t="shared" si="36"/>
        <v>4.066071428571429</v>
      </c>
      <c r="H111" s="379">
        <f t="shared" si="36"/>
        <v>4.4119047619047622</v>
      </c>
      <c r="I111" s="379">
        <f t="shared" si="36"/>
        <v>4.5297619047619051</v>
      </c>
      <c r="J111" s="379">
        <f t="shared" si="36"/>
        <v>4.6511904761904761</v>
      </c>
      <c r="K111" s="379">
        <f t="shared" si="36"/>
        <v>4.7761904761904761</v>
      </c>
      <c r="L111" s="379">
        <f t="shared" si="36"/>
        <v>4.9041666666666668</v>
      </c>
      <c r="M111" s="379">
        <f t="shared" si="36"/>
        <v>5.0363095238095239</v>
      </c>
      <c r="N111" s="379">
        <f t="shared" si="36"/>
        <v>4.0226851851851855</v>
      </c>
      <c r="O111" s="379">
        <f t="shared" si="36"/>
        <v>4.1314814814814822</v>
      </c>
      <c r="P111" s="379">
        <f t="shared" si="36"/>
        <v>4.2435185185185196</v>
      </c>
      <c r="Q111" s="379">
        <f t="shared" si="36"/>
        <v>4.3587962962962967</v>
      </c>
      <c r="R111" s="379">
        <f t="shared" si="36"/>
        <v>4.4768518518518521</v>
      </c>
      <c r="S111" s="379">
        <f t="shared" si="36"/>
        <v>4.5990740740740748</v>
      </c>
      <c r="T111" s="379">
        <f t="shared" si="36"/>
        <v>4.7240740740740748</v>
      </c>
      <c r="U111" s="379">
        <f t="shared" si="36"/>
        <v>4.8532407407407412</v>
      </c>
      <c r="V111" s="379">
        <f t="shared" si="36"/>
        <v>4.9861111111111116</v>
      </c>
      <c r="W111" s="379">
        <f t="shared" si="36"/>
        <v>5.122685185185186</v>
      </c>
      <c r="X111" s="379">
        <f t="shared" si="36"/>
        <v>3.759589947089947</v>
      </c>
      <c r="Y111" s="379">
        <f t="shared" si="36"/>
        <v>3.8627645502645502</v>
      </c>
      <c r="Z111" s="379">
        <f t="shared" si="36"/>
        <v>3.9692460317460316</v>
      </c>
      <c r="AA111" s="379">
        <f t="shared" si="36"/>
        <v>4.0787037037037033</v>
      </c>
      <c r="AB111" s="379">
        <f t="shared" si="36"/>
        <v>4.191468253968254</v>
      </c>
      <c r="AC111" s="379">
        <f t="shared" si="36"/>
        <v>4.3072089947089944</v>
      </c>
      <c r="AD111" s="379">
        <f t="shared" si="36"/>
        <v>4.4265873015873014</v>
      </c>
      <c r="AE111" s="379">
        <f t="shared" si="36"/>
        <v>4.5492724867724865</v>
      </c>
      <c r="AF111" s="379">
        <f t="shared" si="36"/>
        <v>4.6759259259259256</v>
      </c>
      <c r="AG111" s="379">
        <f t="shared" si="36"/>
        <v>4.8058862433862437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62.26334034340482</v>
      </c>
      <c r="D112" s="381">
        <f t="shared" ref="D112" si="37">SUM(D108:D110)-D111</f>
        <v>64.255080671924489</v>
      </c>
      <c r="E112" s="381">
        <f t="shared" ref="E112" si="38">SUM(E108:E110)-E111</f>
        <v>66.122337594237607</v>
      </c>
      <c r="F112" s="381">
        <f t="shared" ref="F112:AG112" si="39">SUM(F108:F110)-F111</f>
        <v>68.044933887521552</v>
      </c>
      <c r="G112" s="381">
        <f t="shared" si="39"/>
        <v>70.038320266080433</v>
      </c>
      <c r="H112" s="381">
        <f t="shared" si="39"/>
        <v>72.740524199324028</v>
      </c>
      <c r="I112" s="381">
        <f t="shared" si="39"/>
        <v>74.886604300504132</v>
      </c>
      <c r="J112" s="381">
        <f t="shared" si="39"/>
        <v>77.098493558471915</v>
      </c>
      <c r="K112" s="381">
        <f t="shared" si="39"/>
        <v>79.386973689653914</v>
      </c>
      <c r="L112" s="381">
        <f t="shared" si="39"/>
        <v>81.742740012081498</v>
      </c>
      <c r="M112" s="381">
        <f t="shared" si="39"/>
        <v>84.179915486674091</v>
      </c>
      <c r="N112" s="381">
        <f t="shared" si="39"/>
        <v>87.847900478924558</v>
      </c>
      <c r="O112" s="381">
        <f t="shared" si="39"/>
        <v>90.482458120384692</v>
      </c>
      <c r="P112" s="381">
        <f t="shared" si="39"/>
        <v>93.204563501211268</v>
      </c>
      <c r="Q112" s="381">
        <f t="shared" si="39"/>
        <v>96.016072105922845</v>
      </c>
      <c r="R112" s="381">
        <f t="shared" si="39"/>
        <v>98.917150689360199</v>
      </c>
      <c r="S112" s="381">
        <f t="shared" si="39"/>
        <v>101.91503487209852</v>
      </c>
      <c r="T112" s="381">
        <f t="shared" si="39"/>
        <v>105.01577971826543</v>
      </c>
      <c r="U112" s="381">
        <f t="shared" si="39"/>
        <v>108.21749733761776</v>
      </c>
      <c r="V112" s="381">
        <f t="shared" si="39"/>
        <v>111.52988540005168</v>
      </c>
      <c r="W112" s="381">
        <f t="shared" si="39"/>
        <v>114.94594801200748</v>
      </c>
      <c r="X112" s="381">
        <f t="shared" si="39"/>
        <v>119.98287128181761</v>
      </c>
      <c r="Y112" s="381">
        <f t="shared" si="39"/>
        <v>123.67492083677671</v>
      </c>
      <c r="Z112" s="381">
        <f t="shared" si="39"/>
        <v>127.49198836615224</v>
      </c>
      <c r="AA112" s="381">
        <f t="shared" si="39"/>
        <v>131.43477573994875</v>
      </c>
      <c r="AB112" s="381">
        <f t="shared" si="39"/>
        <v>135.51709836209807</v>
      </c>
      <c r="AC112" s="381">
        <f t="shared" si="39"/>
        <v>139.7305769640235</v>
      </c>
      <c r="AD112" s="381">
        <f t="shared" si="39"/>
        <v>144.09109460782065</v>
      </c>
      <c r="AE112" s="381">
        <f t="shared" si="39"/>
        <v>148.59972196770599</v>
      </c>
      <c r="AF112" s="381">
        <f t="shared" si="39"/>
        <v>153.26328014702841</v>
      </c>
      <c r="AG112" s="381">
        <f t="shared" si="39"/>
        <v>158.08116060672106</v>
      </c>
    </row>
    <row r="113" spans="1:34" s="344" customFormat="1">
      <c r="A113" s="342" t="s">
        <v>327</v>
      </c>
      <c r="B113" s="342"/>
      <c r="H113" s="382">
        <f>H115/H63</f>
        <v>1.1971660507076805</v>
      </c>
      <c r="AB113" s="382">
        <f>AB115/AB63</f>
        <v>1.0802237472299665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year'!C125)/1000,0)*1000</f>
        <v>6579000</v>
      </c>
      <c r="D115" s="376">
        <f>ROUND(('Changing with year'!D125)/1000,0)*1000</f>
        <v>6650000</v>
      </c>
      <c r="E115" s="376">
        <f>ROUND(('Changing with year'!E125)/1000,0)*1000</f>
        <v>6730000</v>
      </c>
      <c r="F115" s="376">
        <f>ROUND(('Changing with year'!F125)/1000,0)*1000</f>
        <v>6818000</v>
      </c>
      <c r="G115" s="376">
        <f>ROUND(('Changing with year'!G125)/1000,0)*1000</f>
        <v>6914000</v>
      </c>
      <c r="H115" s="376">
        <f>ROUND(('Changing with year'!H125)/1000,0)*1000</f>
        <v>7418000</v>
      </c>
      <c r="I115" s="376">
        <f>ROUND(('Changing with year'!I125)/1000,0)*1000</f>
        <v>7555000</v>
      </c>
      <c r="J115" s="376">
        <f>ROUND(('Changing with year'!J125)/1000,0)*1000</f>
        <v>7700000</v>
      </c>
      <c r="K115" s="376">
        <f>ROUND(('Changing with year'!K125)/1000,0)*1000</f>
        <v>7852000</v>
      </c>
      <c r="L115" s="376">
        <f>ROUND(('Changing with year'!L125)/1000,0)*1000</f>
        <v>8012000</v>
      </c>
      <c r="M115" s="376">
        <f>ROUND(('Changing with year'!M125)/1000,0)*1000</f>
        <v>8180000</v>
      </c>
      <c r="N115" s="376">
        <f>ROUND(('Changing with year'!N125)/1000,0)*1000</f>
        <v>8355000</v>
      </c>
      <c r="O115" s="376">
        <f>ROUND(('Changing with year'!O125)/1000,0)*1000</f>
        <v>8539000</v>
      </c>
      <c r="P115" s="376">
        <f>ROUND(('Changing with year'!P125)/1000,0)*1000</f>
        <v>8731000</v>
      </c>
      <c r="Q115" s="376">
        <f>ROUND(('Changing with year'!Q125)/1000,0)*1000</f>
        <v>8931000</v>
      </c>
      <c r="R115" s="376">
        <f>ROUND(('Changing with year'!R125)/1000,0)*1000</f>
        <v>9140000</v>
      </c>
      <c r="S115" s="376">
        <f>ROUND(('Changing with year'!S125)/1000,0)*1000</f>
        <v>9398000</v>
      </c>
      <c r="T115" s="376">
        <f>ROUND(('Changing with year'!T125)/1000,0)*1000</f>
        <v>9663000</v>
      </c>
      <c r="U115" s="376">
        <f>ROUND(('Changing with year'!U125)/1000,0)*1000</f>
        <v>9936000</v>
      </c>
      <c r="V115" s="376">
        <f>ROUND(('Changing with year'!V125)/1000,0)*1000</f>
        <v>10218000</v>
      </c>
      <c r="W115" s="376">
        <f>ROUND(('Changing with year'!W125)/1000,0)*1000</f>
        <v>10507000</v>
      </c>
      <c r="X115" s="376">
        <f>ROUND(('Changing with year'!X125)/1000,0)*1000</f>
        <v>10806000</v>
      </c>
      <c r="Y115" s="376">
        <f>ROUND(('Changing with year'!Y125)/1000,0)*1000</f>
        <v>11112000</v>
      </c>
      <c r="Z115" s="376">
        <f>ROUND(('Changing with year'!Z125)/1000,0)*1000</f>
        <v>11428000</v>
      </c>
      <c r="AA115" s="376">
        <f>ROUND(('Changing with year'!AA125)/1000,0)*1000</f>
        <v>11754000</v>
      </c>
      <c r="AB115" s="376">
        <f>ROUND(('Changing with year'!AB125)/1000,0)*1000</f>
        <v>12089000</v>
      </c>
      <c r="AC115" s="376">
        <f>ROUND(('Changing with year'!AC125)/1000,0)*1000</f>
        <v>12433000</v>
      </c>
      <c r="AD115" s="376">
        <f>ROUND(('Changing with year'!AD125)/1000,0)*1000</f>
        <v>12788000</v>
      </c>
      <c r="AE115" s="376">
        <f>ROUND(('Changing with year'!AE125)/1000,0)*1000</f>
        <v>13153000</v>
      </c>
      <c r="AF115" s="376">
        <f>ROUND(('Changing with year'!AF125)/1000,0)*1000</f>
        <v>13530000</v>
      </c>
      <c r="AG115" s="376">
        <f>ROUND(('Changing with year'!AG125)/1000,0)*1000</f>
        <v>13917000</v>
      </c>
    </row>
    <row r="116" spans="1:34">
      <c r="A116" s="368" t="s">
        <v>310</v>
      </c>
      <c r="B116" s="300" t="s">
        <v>309</v>
      </c>
      <c r="C116" s="376">
        <f>(C115*'No change with year'!$AH$14)</f>
        <v>1315800</v>
      </c>
      <c r="D116" s="376">
        <f>(D115*'No change with year'!$AH$14)</f>
        <v>1330000</v>
      </c>
      <c r="E116" s="376">
        <f>(E115*'No change with year'!$AH$14)</f>
        <v>1346000</v>
      </c>
      <c r="F116" s="376">
        <f>(F115*'No change with year'!$AH$14)</f>
        <v>1363600</v>
      </c>
      <c r="G116" s="376">
        <f>(G115*'No change with year'!$AH$14)</f>
        <v>1382800</v>
      </c>
      <c r="H116" s="376">
        <f>(H115*'No change with year'!$AH$14)</f>
        <v>1483600</v>
      </c>
      <c r="I116" s="376">
        <f>(I115*'No change with year'!$AH$14)</f>
        <v>1511000</v>
      </c>
      <c r="J116" s="376">
        <f>(J115*'No change with year'!$AH$14)</f>
        <v>1540000</v>
      </c>
      <c r="K116" s="376">
        <f>(K115*'No change with year'!$AH$14)</f>
        <v>1570400</v>
      </c>
      <c r="L116" s="376">
        <f>(L115*'No change with year'!$AH$14)</f>
        <v>1602400</v>
      </c>
      <c r="M116" s="376">
        <f>(M115*'No change with year'!$AH$14)</f>
        <v>1636000</v>
      </c>
      <c r="N116" s="376">
        <f>(N115*'No change with year'!$AI$14)</f>
        <v>2506500.0000000005</v>
      </c>
      <c r="O116" s="376">
        <f>(O115*'No change with year'!$AI$14)</f>
        <v>2561700.0000000005</v>
      </c>
      <c r="P116" s="376">
        <f>(P115*'No change with year'!$AI$14)</f>
        <v>2619300.0000000005</v>
      </c>
      <c r="Q116" s="376">
        <f>(Q115*'No change with year'!$AI$14)</f>
        <v>2679300.0000000005</v>
      </c>
      <c r="R116" s="376">
        <f>(R115*'No change with year'!$AI$14)</f>
        <v>2742000.0000000005</v>
      </c>
      <c r="S116" s="376">
        <f>(S115*'No change with year'!$AI$14)</f>
        <v>2819400.0000000005</v>
      </c>
      <c r="T116" s="376">
        <f>(T115*'No change with year'!$AI$14)</f>
        <v>2898900.0000000005</v>
      </c>
      <c r="U116" s="376">
        <f>(U115*'No change with year'!$AI$14)</f>
        <v>2980800.0000000005</v>
      </c>
      <c r="V116" s="376">
        <f>(V115*'No change with year'!$AI$14)</f>
        <v>3065400.0000000005</v>
      </c>
      <c r="W116" s="376">
        <f>(W115*'No change with year'!$AI$14)</f>
        <v>3152100.0000000005</v>
      </c>
      <c r="X116" s="376">
        <f>(X115*'No change with year'!$AJ$14)</f>
        <v>3782099.9999999995</v>
      </c>
      <c r="Y116" s="376">
        <f>(Y115*'No change with year'!$AJ$14)</f>
        <v>3889199.9999999995</v>
      </c>
      <c r="Z116" s="376">
        <f>(Z115*'No change with year'!$AJ$14)</f>
        <v>3999799.9999999995</v>
      </c>
      <c r="AA116" s="376">
        <f>(AA115*'No change with year'!$AJ$14)</f>
        <v>4113899.9999999995</v>
      </c>
      <c r="AB116" s="376">
        <f>(AB115*'No change with year'!$AJ$14)</f>
        <v>4231150</v>
      </c>
      <c r="AC116" s="376">
        <f>(AC115*'No change with year'!$AJ$14)</f>
        <v>4351550</v>
      </c>
      <c r="AD116" s="376">
        <f>(AD115*'No change with year'!$AJ$14)</f>
        <v>4475800</v>
      </c>
      <c r="AE116" s="376">
        <f>(AE115*'No change with year'!$AJ$14)</f>
        <v>4603550</v>
      </c>
      <c r="AF116" s="376">
        <f>(AF115*'No change with year'!$AJ$14)</f>
        <v>4735500</v>
      </c>
      <c r="AG116" s="376">
        <f>(AG115*'No change with year'!$AJ$14)</f>
        <v>4870950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41">-PMT($C$26,$C$25,C115)</f>
        <v>1441575.5844952504</v>
      </c>
      <c r="D118" s="376">
        <f t="shared" si="41"/>
        <v>1457132.9437442492</v>
      </c>
      <c r="E118" s="376">
        <f t="shared" si="41"/>
        <v>1474662.3626163604</v>
      </c>
      <c r="F118" s="376">
        <f t="shared" si="41"/>
        <v>1493944.723375683</v>
      </c>
      <c r="G118" s="376">
        <f t="shared" si="41"/>
        <v>1514980.0260222165</v>
      </c>
      <c r="H118" s="376">
        <f t="shared" si="41"/>
        <v>1625415.3649165174</v>
      </c>
      <c r="I118" s="376">
        <f t="shared" si="41"/>
        <v>1655434.4947350081</v>
      </c>
      <c r="J118" s="376">
        <f t="shared" si="41"/>
        <v>1687206.5664407096</v>
      </c>
      <c r="K118" s="376">
        <f t="shared" si="41"/>
        <v>1720512.4622977211</v>
      </c>
      <c r="L118" s="376">
        <f t="shared" si="41"/>
        <v>1755571.3000419438</v>
      </c>
      <c r="M118" s="376">
        <f t="shared" si="41"/>
        <v>1792383.0796733773</v>
      </c>
      <c r="N118" s="376">
        <f t="shared" si="41"/>
        <v>1830728.6834561205</v>
      </c>
      <c r="O118" s="376">
        <f t="shared" si="41"/>
        <v>1871046.3468619767</v>
      </c>
      <c r="P118" s="376">
        <f t="shared" si="41"/>
        <v>1913116.9521550438</v>
      </c>
      <c r="Q118" s="376">
        <f t="shared" si="41"/>
        <v>1956940.4993353218</v>
      </c>
      <c r="R118" s="376">
        <f t="shared" si="41"/>
        <v>2002736.1061387125</v>
      </c>
      <c r="S118" s="376">
        <f t="shared" si="41"/>
        <v>2059268.4820012713</v>
      </c>
      <c r="T118" s="376">
        <f t="shared" si="41"/>
        <v>2117334.6820151401</v>
      </c>
      <c r="U118" s="376">
        <f t="shared" si="41"/>
        <v>2177153.8239162196</v>
      </c>
      <c r="V118" s="376">
        <f t="shared" si="41"/>
        <v>2238945.0254404116</v>
      </c>
      <c r="W118" s="376">
        <f t="shared" si="41"/>
        <v>2302270.0511159138</v>
      </c>
      <c r="X118" s="376">
        <f t="shared" si="41"/>
        <v>2367786.2541504297</v>
      </c>
      <c r="Y118" s="376">
        <f t="shared" si="41"/>
        <v>2434836.2813362554</v>
      </c>
      <c r="Z118" s="376">
        <f t="shared" si="41"/>
        <v>2504077.4858810948</v>
      </c>
      <c r="AA118" s="376">
        <f t="shared" si="41"/>
        <v>2575509.8677849481</v>
      </c>
      <c r="AB118" s="376">
        <f t="shared" si="41"/>
        <v>2648914.3093119143</v>
      </c>
      <c r="AC118" s="376">
        <f t="shared" si="41"/>
        <v>2724290.8104619929</v>
      </c>
      <c r="AD118" s="376">
        <f t="shared" si="41"/>
        <v>2802077.6067069867</v>
      </c>
      <c r="AE118" s="376">
        <f t="shared" si="41"/>
        <v>2882055.5803109943</v>
      </c>
      <c r="AF118" s="376">
        <f t="shared" si="41"/>
        <v>2964662.9667458185</v>
      </c>
      <c r="AG118" s="376">
        <f t="shared" si="41"/>
        <v>3049461.530539657</v>
      </c>
    </row>
    <row r="119" spans="1:34">
      <c r="A119" s="300" t="s">
        <v>321</v>
      </c>
      <c r="B119" s="368" t="s">
        <v>313</v>
      </c>
      <c r="C119" s="376">
        <f t="shared" ref="C119:AG119" si="42">$F$37*C50</f>
        <v>9990000</v>
      </c>
      <c r="D119" s="376">
        <f t="shared" si="42"/>
        <v>9897230.7692307699</v>
      </c>
      <c r="E119" s="376">
        <f t="shared" si="42"/>
        <v>9813717.692307692</v>
      </c>
      <c r="F119" s="376">
        <f t="shared" si="42"/>
        <v>9739254.3923076931</v>
      </c>
      <c r="G119" s="376">
        <f t="shared" si="42"/>
        <v>9673644.4359230772</v>
      </c>
      <c r="H119" s="376">
        <f t="shared" si="42"/>
        <v>9616701.0171530787</v>
      </c>
      <c r="I119" s="376">
        <f t="shared" si="42"/>
        <v>9043962.5416012611</v>
      </c>
      <c r="J119" s="376">
        <f t="shared" si="42"/>
        <v>8742531.3556781895</v>
      </c>
      <c r="K119" s="376">
        <f t="shared" si="42"/>
        <v>8451125.9521460682</v>
      </c>
      <c r="L119" s="376">
        <f t="shared" si="42"/>
        <v>8169367.9574524695</v>
      </c>
      <c r="M119" s="376">
        <f t="shared" si="42"/>
        <v>7896894.6933964407</v>
      </c>
      <c r="N119" s="376">
        <f t="shared" si="42"/>
        <v>7633358.4839784689</v>
      </c>
      <c r="O119" s="376">
        <f t="shared" si="42"/>
        <v>7378425.9940930251</v>
      </c>
      <c r="P119" s="376">
        <f t="shared" si="42"/>
        <v>7131777.5985640772</v>
      </c>
      <c r="Q119" s="376">
        <f t="shared" si="42"/>
        <v>6893106.7800957123</v>
      </c>
      <c r="R119" s="376">
        <f t="shared" si="42"/>
        <v>6662119.554778317</v>
      </c>
      <c r="S119" s="376">
        <f t="shared" si="42"/>
        <v>6151023.8049757304</v>
      </c>
      <c r="T119" s="376">
        <f t="shared" si="42"/>
        <v>5976369.2356551737</v>
      </c>
      <c r="U119" s="376">
        <f t="shared" si="42"/>
        <v>5807930.0601947187</v>
      </c>
      <c r="V119" s="376">
        <f t="shared" si="42"/>
        <v>5645437.6409916263</v>
      </c>
      <c r="W119" s="376">
        <f t="shared" si="42"/>
        <v>5488635.8422400672</v>
      </c>
      <c r="X119" s="376">
        <f t="shared" si="42"/>
        <v>5337280.4294049721</v>
      </c>
      <c r="Y119" s="376">
        <f t="shared" si="42"/>
        <v>5191138.498018682</v>
      </c>
      <c r="Z119" s="376">
        <f t="shared" si="42"/>
        <v>5049987.9303550003</v>
      </c>
      <c r="AA119" s="376">
        <f t="shared" si="42"/>
        <v>4913616.8786069462</v>
      </c>
      <c r="AB119" s="376">
        <f t="shared" si="42"/>
        <v>4781823.2732625771</v>
      </c>
      <c r="AC119" s="376">
        <f t="shared" si="42"/>
        <v>4621149.8057529423</v>
      </c>
      <c r="AD119" s="376">
        <f t="shared" si="42"/>
        <v>4637076.3081693938</v>
      </c>
      <c r="AE119" s="376">
        <f t="shared" si="42"/>
        <v>4658413.5262486404</v>
      </c>
      <c r="AF119" s="376">
        <f t="shared" si="42"/>
        <v>4685074.5283308905</v>
      </c>
      <c r="AG119" s="376">
        <f t="shared" si="42"/>
        <v>4716980.7508803494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756000</v>
      </c>
      <c r="D120" s="376">
        <f t="shared" si="43"/>
        <v>786240</v>
      </c>
      <c r="E120" s="376">
        <f t="shared" si="43"/>
        <v>817689.59999999998</v>
      </c>
      <c r="F120" s="376">
        <f t="shared" si="43"/>
        <v>850397.18400000001</v>
      </c>
      <c r="G120" s="376">
        <f t="shared" si="43"/>
        <v>884413.07136000006</v>
      </c>
      <c r="H120" s="376">
        <f t="shared" si="43"/>
        <v>919789.59421440016</v>
      </c>
      <c r="I120" s="376">
        <f t="shared" si="43"/>
        <v>956581.17798297619</v>
      </c>
      <c r="J120" s="376">
        <f t="shared" si="43"/>
        <v>994844.42510229535</v>
      </c>
      <c r="K120" s="376">
        <f t="shared" si="43"/>
        <v>1034638.2021063872</v>
      </c>
      <c r="L120" s="376">
        <f t="shared" si="43"/>
        <v>1076023.7301906429</v>
      </c>
      <c r="M120" s="376">
        <f t="shared" si="43"/>
        <v>1119064.6793982687</v>
      </c>
      <c r="N120" s="376">
        <f t="shared" si="43"/>
        <v>1163827.2665741993</v>
      </c>
      <c r="O120" s="376">
        <f t="shared" si="43"/>
        <v>1210380.3572371674</v>
      </c>
      <c r="P120" s="376">
        <f t="shared" si="43"/>
        <v>1258795.5715266541</v>
      </c>
      <c r="Q120" s="376">
        <f t="shared" si="43"/>
        <v>1309147.3943877204</v>
      </c>
      <c r="R120" s="376">
        <f t="shared" si="43"/>
        <v>1361513.2901632292</v>
      </c>
      <c r="S120" s="376">
        <f t="shared" si="43"/>
        <v>1415973.8217697586</v>
      </c>
      <c r="T120" s="376">
        <f t="shared" si="43"/>
        <v>1472612.774640549</v>
      </c>
      <c r="U120" s="376">
        <f t="shared" si="43"/>
        <v>1531517.2856261709</v>
      </c>
      <c r="V120" s="376">
        <f t="shared" si="43"/>
        <v>1592777.9770512178</v>
      </c>
      <c r="W120" s="376">
        <f t="shared" si="43"/>
        <v>1656489.0961332666</v>
      </c>
      <c r="X120" s="376">
        <f t="shared" si="43"/>
        <v>1722748.6599785972</v>
      </c>
      <c r="Y120" s="376">
        <f t="shared" si="43"/>
        <v>1791658.6063777411</v>
      </c>
      <c r="Z120" s="376">
        <f t="shared" si="43"/>
        <v>1863324.9506328511</v>
      </c>
      <c r="AA120" s="376">
        <f t="shared" si="43"/>
        <v>1937857.9486581653</v>
      </c>
      <c r="AB120" s="376">
        <f t="shared" si="43"/>
        <v>2015372.2666044922</v>
      </c>
      <c r="AC120" s="376">
        <f t="shared" si="43"/>
        <v>2095987.1572686718</v>
      </c>
      <c r="AD120" s="376">
        <f t="shared" si="43"/>
        <v>2179826.6435594191</v>
      </c>
      <c r="AE120" s="376">
        <f t="shared" si="43"/>
        <v>2267019.7093017958</v>
      </c>
      <c r="AF120" s="376">
        <f t="shared" si="43"/>
        <v>2357700.4976738677</v>
      </c>
      <c r="AG120" s="376">
        <f t="shared" si="43"/>
        <v>2452008.5175808226</v>
      </c>
    </row>
    <row r="121" spans="1:34">
      <c r="A121" s="368" t="s">
        <v>318</v>
      </c>
      <c r="B121" s="368" t="s">
        <v>313</v>
      </c>
      <c r="C121" s="376">
        <f>'Changing with year'!C295</f>
        <v>600000</v>
      </c>
      <c r="D121" s="376">
        <f>'Changing with year'!D295</f>
        <v>627000</v>
      </c>
      <c r="E121" s="376">
        <f>'Changing with year'!E295</f>
        <v>655000</v>
      </c>
      <c r="F121" s="376">
        <f>'Changing with year'!F295</f>
        <v>684000</v>
      </c>
      <c r="G121" s="376">
        <f>'Changing with year'!G295</f>
        <v>715000</v>
      </c>
      <c r="H121" s="376">
        <f>'Changing with year'!H295</f>
        <v>747000</v>
      </c>
      <c r="I121" s="376">
        <f>'Changing with year'!I295</f>
        <v>781000</v>
      </c>
      <c r="J121" s="376">
        <f>'Changing with year'!J295</f>
        <v>816000</v>
      </c>
      <c r="K121" s="376">
        <f>'Changing with year'!K295</f>
        <v>853000</v>
      </c>
      <c r="L121" s="376">
        <f>'Changing with year'!L295</f>
        <v>891000</v>
      </c>
      <c r="M121" s="376">
        <f>'Changing with year'!M295</f>
        <v>931000</v>
      </c>
      <c r="N121" s="376">
        <f>'Changing with year'!N295</f>
        <v>973000</v>
      </c>
      <c r="O121" s="376">
        <f>'Changing with year'!O295</f>
        <v>1017000</v>
      </c>
      <c r="P121" s="376">
        <f>'Changing with year'!P295</f>
        <v>1063000</v>
      </c>
      <c r="Q121" s="376">
        <f>'Changing with year'!Q295</f>
        <v>1111000</v>
      </c>
      <c r="R121" s="376">
        <f>'Changing with year'!R295</f>
        <v>1161000</v>
      </c>
      <c r="S121" s="376">
        <f>'Changing with year'!S295</f>
        <v>1213000</v>
      </c>
      <c r="T121" s="376">
        <f>'Changing with year'!T295</f>
        <v>1268000</v>
      </c>
      <c r="U121" s="376">
        <f>'Changing with year'!U295</f>
        <v>1325000</v>
      </c>
      <c r="V121" s="376">
        <f>'Changing with year'!V295</f>
        <v>1385000</v>
      </c>
      <c r="W121" s="376">
        <f>'Changing with year'!W295</f>
        <v>1447000</v>
      </c>
      <c r="X121" s="376">
        <f>'Changing with year'!X295</f>
        <v>1512000</v>
      </c>
      <c r="Y121" s="376">
        <f>'Changing with year'!Y295</f>
        <v>1580000</v>
      </c>
      <c r="Z121" s="376">
        <f>'Changing with year'!Z295</f>
        <v>1651000</v>
      </c>
      <c r="AA121" s="376">
        <f>'Changing with year'!AA295</f>
        <v>1725000</v>
      </c>
      <c r="AB121" s="376">
        <f>'Changing with year'!AB295</f>
        <v>1803000</v>
      </c>
      <c r="AC121" s="376">
        <f>'Changing with year'!AC295</f>
        <v>1884000</v>
      </c>
      <c r="AD121" s="376">
        <f>'Changing with year'!AD295</f>
        <v>1969000</v>
      </c>
      <c r="AE121" s="376">
        <f>'Changing with year'!AE295</f>
        <v>2058000</v>
      </c>
      <c r="AF121" s="376">
        <f>'Changing with year'!AF295</f>
        <v>2151000</v>
      </c>
      <c r="AG121" s="376">
        <f>'Changing with year'!AG295</f>
        <v>2248000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4">C61</f>
        <v>972000</v>
      </c>
      <c r="D122" s="376">
        <f t="shared" si="44"/>
        <v>981720</v>
      </c>
      <c r="E122" s="376">
        <f t="shared" si="44"/>
        <v>991537.2</v>
      </c>
      <c r="F122" s="376">
        <f t="shared" si="44"/>
        <v>1001452.5719999999</v>
      </c>
      <c r="G122" s="376">
        <f t="shared" si="44"/>
        <v>1011467.0977199998</v>
      </c>
      <c r="H122" s="376">
        <f t="shared" si="44"/>
        <v>1021581.7686972</v>
      </c>
      <c r="I122" s="376">
        <f t="shared" si="44"/>
        <v>1031797.586384172</v>
      </c>
      <c r="J122" s="376">
        <f t="shared" si="44"/>
        <v>1042115.5622480137</v>
      </c>
      <c r="K122" s="376">
        <f t="shared" si="44"/>
        <v>1052536.7178704939</v>
      </c>
      <c r="L122" s="376">
        <f t="shared" si="44"/>
        <v>1063062.0850491989</v>
      </c>
      <c r="M122" s="376">
        <f t="shared" si="44"/>
        <v>1073692.705899691</v>
      </c>
      <c r="N122" s="376">
        <f t="shared" si="44"/>
        <v>1084429.6329586878</v>
      </c>
      <c r="O122" s="376">
        <f t="shared" si="44"/>
        <v>1095273.9292882748</v>
      </c>
      <c r="P122" s="376">
        <f t="shared" si="44"/>
        <v>1106226.6685811577</v>
      </c>
      <c r="Q122" s="376">
        <f t="shared" si="44"/>
        <v>1117288.9352669693</v>
      </c>
      <c r="R122" s="376">
        <f t="shared" si="44"/>
        <v>1128461.824619639</v>
      </c>
      <c r="S122" s="376">
        <f t="shared" si="44"/>
        <v>1139746.4428658355</v>
      </c>
      <c r="T122" s="376">
        <f t="shared" si="44"/>
        <v>1151143.9072944939</v>
      </c>
      <c r="U122" s="376">
        <f t="shared" si="44"/>
        <v>1162655.3463674388</v>
      </c>
      <c r="V122" s="376">
        <f t="shared" si="44"/>
        <v>1174281.8998311132</v>
      </c>
      <c r="W122" s="376">
        <f t="shared" si="44"/>
        <v>1186024.7188294244</v>
      </c>
      <c r="X122" s="376">
        <f t="shared" si="44"/>
        <v>1197884.9660177184</v>
      </c>
      <c r="Y122" s="376">
        <f t="shared" si="44"/>
        <v>1209863.8156778959</v>
      </c>
      <c r="Z122" s="376">
        <f t="shared" si="44"/>
        <v>1221962.4538346748</v>
      </c>
      <c r="AA122" s="376">
        <f t="shared" si="44"/>
        <v>1234182.0783730214</v>
      </c>
      <c r="AB122" s="376">
        <f t="shared" si="44"/>
        <v>1246523.8991567518</v>
      </c>
      <c r="AC122" s="376">
        <f t="shared" si="44"/>
        <v>1258989.1381483194</v>
      </c>
      <c r="AD122" s="376">
        <f t="shared" si="44"/>
        <v>1271579.0295298027</v>
      </c>
      <c r="AE122" s="376">
        <f t="shared" si="44"/>
        <v>1284294.8198251007</v>
      </c>
      <c r="AF122" s="376">
        <f t="shared" si="44"/>
        <v>1297137.7680233517</v>
      </c>
      <c r="AG122" s="376">
        <f t="shared" si="44"/>
        <v>1310109.1457035851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131580</v>
      </c>
      <c r="D123" s="376">
        <f t="shared" si="45"/>
        <v>133000</v>
      </c>
      <c r="E123" s="376">
        <f t="shared" si="45"/>
        <v>134600</v>
      </c>
      <c r="F123" s="376">
        <f t="shared" si="45"/>
        <v>136360</v>
      </c>
      <c r="G123" s="376">
        <f t="shared" si="45"/>
        <v>138280</v>
      </c>
      <c r="H123" s="376">
        <f t="shared" si="45"/>
        <v>148360</v>
      </c>
      <c r="I123" s="376">
        <f t="shared" si="45"/>
        <v>151100</v>
      </c>
      <c r="J123" s="376">
        <f t="shared" si="45"/>
        <v>154000</v>
      </c>
      <c r="K123" s="376">
        <f t="shared" si="45"/>
        <v>157040</v>
      </c>
      <c r="L123" s="376">
        <f t="shared" si="45"/>
        <v>160240</v>
      </c>
      <c r="M123" s="376">
        <f t="shared" si="45"/>
        <v>163600</v>
      </c>
      <c r="N123" s="376">
        <f t="shared" si="45"/>
        <v>167100</v>
      </c>
      <c r="O123" s="376">
        <f t="shared" si="45"/>
        <v>170780</v>
      </c>
      <c r="P123" s="376">
        <f t="shared" si="45"/>
        <v>174620</v>
      </c>
      <c r="Q123" s="376">
        <f t="shared" si="45"/>
        <v>178620</v>
      </c>
      <c r="R123" s="376">
        <f t="shared" si="45"/>
        <v>182800</v>
      </c>
      <c r="S123" s="376">
        <f t="shared" si="45"/>
        <v>187960</v>
      </c>
      <c r="T123" s="376">
        <f t="shared" si="45"/>
        <v>193260</v>
      </c>
      <c r="U123" s="376">
        <f t="shared" si="45"/>
        <v>198720</v>
      </c>
      <c r="V123" s="376">
        <f t="shared" si="45"/>
        <v>204360</v>
      </c>
      <c r="W123" s="376">
        <f t="shared" si="45"/>
        <v>210140</v>
      </c>
      <c r="X123" s="376">
        <f t="shared" si="45"/>
        <v>216120</v>
      </c>
      <c r="Y123" s="376">
        <f t="shared" si="45"/>
        <v>222240</v>
      </c>
      <c r="Z123" s="376">
        <f t="shared" si="45"/>
        <v>228560</v>
      </c>
      <c r="AA123" s="376">
        <f t="shared" si="45"/>
        <v>235080</v>
      </c>
      <c r="AB123" s="376">
        <f t="shared" si="45"/>
        <v>241780</v>
      </c>
      <c r="AC123" s="376">
        <f t="shared" si="45"/>
        <v>248660</v>
      </c>
      <c r="AD123" s="376">
        <f t="shared" si="45"/>
        <v>255760</v>
      </c>
      <c r="AE123" s="376">
        <f t="shared" si="45"/>
        <v>263060</v>
      </c>
      <c r="AF123" s="376">
        <f t="shared" si="45"/>
        <v>270600</v>
      </c>
      <c r="AG123" s="376">
        <f t="shared" si="45"/>
        <v>278340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13.347922078659726</v>
      </c>
      <c r="D125" s="379">
        <f t="shared" si="46"/>
        <v>13.49197170133564</v>
      </c>
      <c r="E125" s="379">
        <f t="shared" si="46"/>
        <v>13.654281135336671</v>
      </c>
      <c r="F125" s="379">
        <f t="shared" si="46"/>
        <v>13.832821512737805</v>
      </c>
      <c r="G125" s="379">
        <f t="shared" si="46"/>
        <v>14.027592833539043</v>
      </c>
      <c r="H125" s="379">
        <f t="shared" si="46"/>
        <v>15.050142267745532</v>
      </c>
      <c r="I125" s="379">
        <f t="shared" si="46"/>
        <v>15.328097173472297</v>
      </c>
      <c r="J125" s="379">
        <f t="shared" si="46"/>
        <v>15.622283022599163</v>
      </c>
      <c r="K125" s="379">
        <f t="shared" si="46"/>
        <v>15.93067094720112</v>
      </c>
      <c r="L125" s="379">
        <f t="shared" si="46"/>
        <v>16.255289815203184</v>
      </c>
      <c r="M125" s="379">
        <f t="shared" si="46"/>
        <v>16.596139626605346</v>
      </c>
      <c r="N125" s="379">
        <f t="shared" si="46"/>
        <v>16.951191513482598</v>
      </c>
      <c r="O125" s="379">
        <f t="shared" si="46"/>
        <v>17.32450321168497</v>
      </c>
      <c r="P125" s="379">
        <f t="shared" si="46"/>
        <v>17.714045853287441</v>
      </c>
      <c r="Q125" s="379">
        <f t="shared" si="46"/>
        <v>18.119819438290016</v>
      </c>
      <c r="R125" s="379">
        <f t="shared" si="46"/>
        <v>18.543852834617709</v>
      </c>
      <c r="S125" s="379">
        <f t="shared" si="46"/>
        <v>19.067300759271031</v>
      </c>
      <c r="T125" s="379">
        <f t="shared" si="46"/>
        <v>19.604950759399443</v>
      </c>
      <c r="U125" s="379">
        <f t="shared" si="46"/>
        <v>20.158831702927959</v>
      </c>
      <c r="V125" s="379">
        <f t="shared" si="46"/>
        <v>20.73097245778159</v>
      </c>
      <c r="W125" s="379">
        <f t="shared" si="46"/>
        <v>21.317315288110311</v>
      </c>
      <c r="X125" s="379">
        <f t="shared" si="46"/>
        <v>21.923946797689165</v>
      </c>
      <c r="Y125" s="379">
        <f t="shared" si="46"/>
        <v>22.544780382743106</v>
      </c>
      <c r="Z125" s="379">
        <f t="shared" si="46"/>
        <v>23.185902647047175</v>
      </c>
      <c r="AA125" s="379">
        <f t="shared" si="46"/>
        <v>23.84731359060137</v>
      </c>
      <c r="AB125" s="379">
        <f t="shared" si="46"/>
        <v>24.526984345480688</v>
      </c>
      <c r="AC125" s="379">
        <f t="shared" si="46"/>
        <v>25.224914911685119</v>
      </c>
      <c r="AD125" s="379">
        <f t="shared" si="46"/>
        <v>25.945163025064691</v>
      </c>
      <c r="AE125" s="379">
        <f t="shared" si="46"/>
        <v>26.685699817694392</v>
      </c>
      <c r="AF125" s="379">
        <f t="shared" si="46"/>
        <v>27.450583025424244</v>
      </c>
      <c r="AG125" s="379">
        <f t="shared" si="46"/>
        <v>28.235754912404232</v>
      </c>
    </row>
    <row r="126" spans="1:34">
      <c r="A126" s="300" t="s">
        <v>321</v>
      </c>
      <c r="B126" s="300" t="s">
        <v>300</v>
      </c>
      <c r="C126" s="379">
        <f t="shared" si="46"/>
        <v>92.5</v>
      </c>
      <c r="D126" s="379">
        <f t="shared" si="46"/>
        <v>91.641025641025649</v>
      </c>
      <c r="E126" s="379">
        <f t="shared" si="46"/>
        <v>90.867756410256405</v>
      </c>
      <c r="F126" s="379">
        <f t="shared" si="46"/>
        <v>90.178281410256417</v>
      </c>
      <c r="G126" s="379">
        <f t="shared" si="46"/>
        <v>89.57078181410256</v>
      </c>
      <c r="H126" s="379">
        <f t="shared" si="46"/>
        <v>89.043527936602587</v>
      </c>
      <c r="I126" s="379">
        <f t="shared" si="46"/>
        <v>83.740393903715386</v>
      </c>
      <c r="J126" s="379">
        <f t="shared" si="46"/>
        <v>80.949364404427683</v>
      </c>
      <c r="K126" s="379">
        <f t="shared" si="46"/>
        <v>78.2511662235747</v>
      </c>
      <c r="L126" s="379">
        <f t="shared" si="46"/>
        <v>75.642295902337679</v>
      </c>
      <c r="M126" s="379">
        <f t="shared" si="46"/>
        <v>73.119395309226306</v>
      </c>
      <c r="N126" s="379">
        <f t="shared" si="46"/>
        <v>70.679245222022857</v>
      </c>
      <c r="O126" s="379">
        <f t="shared" si="46"/>
        <v>68.31875920456504</v>
      </c>
      <c r="P126" s="379">
        <f t="shared" si="46"/>
        <v>66.034977764482193</v>
      </c>
      <c r="Q126" s="379">
        <f t="shared" si="46"/>
        <v>63.825062778664005</v>
      </c>
      <c r="R126" s="379">
        <f t="shared" si="46"/>
        <v>61.686292173873305</v>
      </c>
      <c r="S126" s="379">
        <f t="shared" si="46"/>
        <v>56.953924120145651</v>
      </c>
      <c r="T126" s="379">
        <f t="shared" si="46"/>
        <v>55.336752181992345</v>
      </c>
      <c r="U126" s="379">
        <f t="shared" si="46"/>
        <v>53.777130186988138</v>
      </c>
      <c r="V126" s="379">
        <f t="shared" si="46"/>
        <v>52.272570749922465</v>
      </c>
      <c r="W126" s="379">
        <f t="shared" si="46"/>
        <v>50.820702242963584</v>
      </c>
      <c r="X126" s="379">
        <f t="shared" si="46"/>
        <v>49.41926323523122</v>
      </c>
      <c r="Y126" s="379">
        <f t="shared" si="46"/>
        <v>48.066097203876687</v>
      </c>
      <c r="Z126" s="379">
        <f t="shared" si="46"/>
        <v>46.759147503287039</v>
      </c>
      <c r="AA126" s="379">
        <f t="shared" si="46"/>
        <v>45.496452579693944</v>
      </c>
      <c r="AB126" s="379">
        <f t="shared" si="46"/>
        <v>44.276141419097939</v>
      </c>
      <c r="AC126" s="379">
        <f t="shared" si="46"/>
        <v>42.788424127342061</v>
      </c>
      <c r="AD126" s="379">
        <f t="shared" si="46"/>
        <v>42.935891742309202</v>
      </c>
      <c r="AE126" s="379">
        <f t="shared" si="46"/>
        <v>43.133458576376299</v>
      </c>
      <c r="AF126" s="379">
        <f t="shared" si="46"/>
        <v>43.380319706767501</v>
      </c>
      <c r="AG126" s="379">
        <f t="shared" si="46"/>
        <v>43.675747693336568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22.773888888888887</v>
      </c>
      <c r="D127" s="379">
        <f t="shared" si="47"/>
        <v>23.407037037037036</v>
      </c>
      <c r="E127" s="379">
        <f t="shared" si="47"/>
        <v>24.063211111111109</v>
      </c>
      <c r="F127" s="379">
        <f t="shared" si="47"/>
        <v>24.742682925925926</v>
      </c>
      <c r="G127" s="379">
        <f t="shared" si="47"/>
        <v>25.45518675074074</v>
      </c>
      <c r="H127" s="379">
        <f t="shared" si="47"/>
        <v>26.266031138070371</v>
      </c>
      <c r="I127" s="379">
        <f t="shared" si="47"/>
        <v>27.041470040436558</v>
      </c>
      <c r="J127" s="379">
        <f t="shared" si="47"/>
        <v>27.842222105095455</v>
      </c>
      <c r="K127" s="379">
        <f t="shared" si="47"/>
        <v>28.677915925711865</v>
      </c>
      <c r="L127" s="379">
        <f t="shared" si="47"/>
        <v>29.540053844813354</v>
      </c>
      <c r="M127" s="379">
        <f t="shared" si="47"/>
        <v>30.438494308314443</v>
      </c>
      <c r="N127" s="379">
        <f t="shared" si="47"/>
        <v>31.373674995674882</v>
      </c>
      <c r="O127" s="379">
        <f t="shared" si="47"/>
        <v>32.346613764124463</v>
      </c>
      <c r="P127" s="379">
        <f t="shared" si="47"/>
        <v>33.357798519516777</v>
      </c>
      <c r="Q127" s="379">
        <f t="shared" si="47"/>
        <v>34.407928978284161</v>
      </c>
      <c r="R127" s="379">
        <f t="shared" si="47"/>
        <v>35.497917729470998</v>
      </c>
      <c r="S127" s="379">
        <f t="shared" si="47"/>
        <v>36.635928376255499</v>
      </c>
      <c r="T127" s="379">
        <f t="shared" si="47"/>
        <v>37.824228536435584</v>
      </c>
      <c r="U127" s="379">
        <f t="shared" si="47"/>
        <v>39.054561407348245</v>
      </c>
      <c r="V127" s="379">
        <f t="shared" si="47"/>
        <v>40.337221082243808</v>
      </c>
      <c r="W127" s="379">
        <f t="shared" si="47"/>
        <v>41.663461249654546</v>
      </c>
      <c r="X127" s="379">
        <f t="shared" si="47"/>
        <v>43.044015055521442</v>
      </c>
      <c r="Y127" s="379">
        <f t="shared" si="47"/>
        <v>44.47928168570035</v>
      </c>
      <c r="Z127" s="379">
        <f t="shared" si="47"/>
        <v>45.970809300625241</v>
      </c>
      <c r="AA127" s="379">
        <f t="shared" si="47"/>
        <v>47.519629879918398</v>
      </c>
      <c r="AB127" s="379">
        <f t="shared" si="47"/>
        <v>49.135890423715225</v>
      </c>
      <c r="AC127" s="379">
        <f t="shared" si="47"/>
        <v>50.811447179786953</v>
      </c>
      <c r="AD127" s="379">
        <f t="shared" si="47"/>
        <v>52.557089565640943</v>
      </c>
      <c r="AE127" s="379">
        <f t="shared" si="47"/>
        <v>54.373838232656446</v>
      </c>
      <c r="AF127" s="379">
        <f t="shared" si="47"/>
        <v>56.263317274974249</v>
      </c>
      <c r="AG127" s="379">
        <f t="shared" si="47"/>
        <v>58.226459845225989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1.7404761904761905</v>
      </c>
      <c r="D128" s="379">
        <f t="shared" si="48"/>
        <v>1.7592592592592593</v>
      </c>
      <c r="E128" s="379">
        <f t="shared" si="48"/>
        <v>1.7804232804232805</v>
      </c>
      <c r="F128" s="379">
        <f t="shared" si="48"/>
        <v>1.8037037037037038</v>
      </c>
      <c r="G128" s="379">
        <f t="shared" si="48"/>
        <v>1.8291005291005291</v>
      </c>
      <c r="H128" s="379">
        <f t="shared" si="48"/>
        <v>1.9624338624338624</v>
      </c>
      <c r="I128" s="379">
        <f t="shared" si="48"/>
        <v>1.9986772486772486</v>
      </c>
      <c r="J128" s="379">
        <f t="shared" si="48"/>
        <v>2.0370370370370372</v>
      </c>
      <c r="K128" s="379">
        <f t="shared" si="48"/>
        <v>2.0772486772486771</v>
      </c>
      <c r="L128" s="379">
        <f t="shared" si="48"/>
        <v>2.1195767195767194</v>
      </c>
      <c r="M128" s="379">
        <f t="shared" si="48"/>
        <v>2.1640211640211642</v>
      </c>
      <c r="N128" s="379">
        <f t="shared" si="48"/>
        <v>3.3154761904761911</v>
      </c>
      <c r="O128" s="379">
        <f t="shared" si="48"/>
        <v>3.3884920634920639</v>
      </c>
      <c r="P128" s="379">
        <f t="shared" si="48"/>
        <v>3.4646825396825403</v>
      </c>
      <c r="Q128" s="379">
        <f t="shared" si="48"/>
        <v>3.5440476190476198</v>
      </c>
      <c r="R128" s="379">
        <f t="shared" si="48"/>
        <v>3.6269841269841274</v>
      </c>
      <c r="S128" s="379">
        <f t="shared" si="48"/>
        <v>3.7293650793650799</v>
      </c>
      <c r="T128" s="379">
        <f t="shared" si="48"/>
        <v>3.8345238095238101</v>
      </c>
      <c r="U128" s="379">
        <f t="shared" si="48"/>
        <v>3.9428571428571435</v>
      </c>
      <c r="V128" s="379">
        <f t="shared" si="48"/>
        <v>4.0547619047619055</v>
      </c>
      <c r="W128" s="379">
        <f t="shared" si="48"/>
        <v>4.1694444444444452</v>
      </c>
      <c r="X128" s="379">
        <f t="shared" si="48"/>
        <v>5.0027777777777773</v>
      </c>
      <c r="Y128" s="379">
        <f t="shared" si="48"/>
        <v>5.1444444444444439</v>
      </c>
      <c r="Z128" s="379">
        <f t="shared" si="48"/>
        <v>5.2907407407407403</v>
      </c>
      <c r="AA128" s="379">
        <f t="shared" si="48"/>
        <v>5.4416666666666664</v>
      </c>
      <c r="AB128" s="379">
        <f t="shared" si="48"/>
        <v>5.596759259259259</v>
      </c>
      <c r="AC128" s="379">
        <f t="shared" si="48"/>
        <v>5.7560185185185189</v>
      </c>
      <c r="AD128" s="379">
        <f t="shared" si="48"/>
        <v>5.9203703703703701</v>
      </c>
      <c r="AE128" s="379">
        <f t="shared" si="48"/>
        <v>6.0893518518518519</v>
      </c>
      <c r="AF128" s="379">
        <f t="shared" si="48"/>
        <v>6.2638888888888893</v>
      </c>
      <c r="AG128" s="379">
        <f t="shared" si="48"/>
        <v>6.4430555555555555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126.88133477707242</v>
      </c>
      <c r="D129" s="384">
        <f t="shared" ref="D129:AG129" si="49">SUM(D125:D127)-D128</f>
        <v>126.78077512013907</v>
      </c>
      <c r="E129" s="384">
        <f t="shared" si="49"/>
        <v>126.8048253762809</v>
      </c>
      <c r="F129" s="384">
        <f t="shared" si="49"/>
        <v>126.95008214521646</v>
      </c>
      <c r="G129" s="384">
        <f t="shared" si="49"/>
        <v>127.22446086928183</v>
      </c>
      <c r="H129" s="384">
        <f t="shared" si="49"/>
        <v>128.39726747998461</v>
      </c>
      <c r="I129" s="384">
        <f t="shared" si="49"/>
        <v>124.11128386894698</v>
      </c>
      <c r="J129" s="384">
        <f t="shared" si="49"/>
        <v>122.37683249508527</v>
      </c>
      <c r="K129" s="384">
        <f t="shared" si="49"/>
        <v>120.782504419239</v>
      </c>
      <c r="L129" s="384">
        <f t="shared" si="49"/>
        <v>119.31806284277751</v>
      </c>
      <c r="M129" s="384">
        <f t="shared" si="49"/>
        <v>117.99000808012494</v>
      </c>
      <c r="N129" s="384">
        <f t="shared" si="49"/>
        <v>115.68863554070414</v>
      </c>
      <c r="O129" s="384">
        <f t="shared" si="49"/>
        <v>114.6013841168824</v>
      </c>
      <c r="P129" s="384">
        <f t="shared" si="49"/>
        <v>113.64213959760387</v>
      </c>
      <c r="Q129" s="384">
        <f t="shared" si="49"/>
        <v>112.80876357619057</v>
      </c>
      <c r="R129" s="384">
        <f t="shared" si="49"/>
        <v>112.10107861097788</v>
      </c>
      <c r="S129" s="384">
        <f t="shared" si="49"/>
        <v>108.92778817630709</v>
      </c>
      <c r="T129" s="384">
        <f t="shared" si="49"/>
        <v>108.93140766830355</v>
      </c>
      <c r="U129" s="384">
        <f t="shared" si="49"/>
        <v>109.0476661544072</v>
      </c>
      <c r="V129" s="384">
        <f t="shared" si="49"/>
        <v>109.28600238518595</v>
      </c>
      <c r="W129" s="384">
        <f t="shared" si="49"/>
        <v>109.63203433628399</v>
      </c>
      <c r="X129" s="384">
        <f t="shared" si="49"/>
        <v>109.38444731066404</v>
      </c>
      <c r="Y129" s="384">
        <f t="shared" si="49"/>
        <v>109.94571482787569</v>
      </c>
      <c r="Z129" s="384">
        <f t="shared" si="49"/>
        <v>110.62511871021871</v>
      </c>
      <c r="AA129" s="384">
        <f t="shared" si="49"/>
        <v>111.42172938354705</v>
      </c>
      <c r="AB129" s="384">
        <f t="shared" si="49"/>
        <v>112.34225692903459</v>
      </c>
      <c r="AC129" s="384">
        <f t="shared" si="49"/>
        <v>113.06876770029562</v>
      </c>
      <c r="AD129" s="384">
        <f t="shared" si="49"/>
        <v>115.51777396264447</v>
      </c>
      <c r="AE129" s="384">
        <f t="shared" si="49"/>
        <v>118.10364477487528</v>
      </c>
      <c r="AF129" s="384">
        <f t="shared" si="49"/>
        <v>120.83033111827712</v>
      </c>
      <c r="AG129" s="384">
        <f t="shared" si="49"/>
        <v>123.69490689541121</v>
      </c>
    </row>
    <row r="130" spans="1:34" s="344" customFormat="1">
      <c r="A130" s="342" t="s">
        <v>182</v>
      </c>
      <c r="B130" s="342"/>
      <c r="H130" s="385">
        <f>H132/H63</f>
        <v>1.7360360214966997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year'!C137)/1000,0)*1000</f>
        <v>11255000</v>
      </c>
      <c r="D132" s="376">
        <f>ROUND(('Changing with year'!D137)/1000,0)*1000</f>
        <v>11221000</v>
      </c>
      <c r="E132" s="376">
        <f>ROUND(('Changing with year'!E137)/1000,0)*1000</f>
        <v>11197000</v>
      </c>
      <c r="F132" s="376">
        <f>ROUND(('Changing with year'!F137)/1000,0)*1000</f>
        <v>10964000</v>
      </c>
      <c r="G132" s="376">
        <f>ROUND(('Changing with year'!G137)/1000,0)*1000</f>
        <v>10751000</v>
      </c>
      <c r="H132" s="376">
        <f>ROUND(('Changing with year'!H137)/1000,0)*1000</f>
        <v>10757000</v>
      </c>
      <c r="I132" s="376">
        <f>ROUND(('Changing with year'!I137)/1000,0)*1000</f>
        <v>10606000</v>
      </c>
      <c r="J132" s="376">
        <f>ROUND(('Changing with year'!J137)/1000,0)*1000</f>
        <v>10676000</v>
      </c>
      <c r="K132" s="376">
        <f>ROUND(('Changing with year'!K137)/1000,0)*1000</f>
        <v>10753000</v>
      </c>
      <c r="L132" s="376">
        <f>ROUND(('Changing with year'!L137)/1000,0)*1000</f>
        <v>10838000</v>
      </c>
      <c r="M132" s="376">
        <f>ROUND(('Changing with year'!M137)/1000,0)*1000</f>
        <v>10931000</v>
      </c>
      <c r="N132" s="376">
        <f>ROUND(('Changing with year'!N137)/1000,0)*1000</f>
        <v>11032000</v>
      </c>
      <c r="O132" s="376">
        <f>ROUND(('Changing with year'!O137)/1000,0)*1000</f>
        <v>11142000</v>
      </c>
      <c r="P132" s="376">
        <f>ROUND(('Changing with year'!P137)/1000,0)*1000</f>
        <v>11259000</v>
      </c>
      <c r="Q132" s="376">
        <f>ROUND(('Changing with year'!Q137)/1000,0)*1000</f>
        <v>11386000</v>
      </c>
      <c r="R132" s="376">
        <f>ROUND(('Changing with year'!R137)/1000,0)*1000</f>
        <v>11521000</v>
      </c>
      <c r="S132" s="376">
        <f>ROUND(('Changing with year'!S137)/1000,0)*1000</f>
        <v>11570000</v>
      </c>
      <c r="T132" s="376">
        <f>ROUND(('Changing with year'!T137)/1000,0)*1000</f>
        <v>11796000</v>
      </c>
      <c r="U132" s="376">
        <f>ROUND(('Changing with year'!U137)/1000,0)*1000</f>
        <v>12030000</v>
      </c>
      <c r="V132" s="376">
        <f>ROUND(('Changing with year'!V137)/1000,0)*1000</f>
        <v>12271000</v>
      </c>
      <c r="W132" s="376">
        <f>ROUND(('Changing with year'!W137)/1000,0)*1000</f>
        <v>12521000</v>
      </c>
      <c r="X132" s="376">
        <f>ROUND(('Changing with year'!X137)/1000,0)*1000</f>
        <v>12780000</v>
      </c>
      <c r="Y132" s="376">
        <f>ROUND(('Changing with year'!Y137)/1000,0)*1000</f>
        <v>13047000</v>
      </c>
      <c r="Z132" s="376">
        <f>ROUND(('Changing with year'!Z137)/1000,0)*1000</f>
        <v>13323000</v>
      </c>
      <c r="AA132" s="376">
        <f>ROUND(('Changing with year'!AA137)/1000,0)*1000</f>
        <v>13608000</v>
      </c>
      <c r="AB132" s="376">
        <f>ROUND(('Changing with year'!AB137)/1000,0)*1000</f>
        <v>13903000</v>
      </c>
      <c r="AC132" s="376">
        <f>ROUND(('Changing with year'!AC137)/1000,0)*1000</f>
        <v>14255000</v>
      </c>
      <c r="AD132" s="376">
        <f>ROUND(('Changing with year'!AD137)/1000,0)*1000</f>
        <v>14618000</v>
      </c>
      <c r="AE132" s="376">
        <f>ROUND(('Changing with year'!AE137)/1000,0)*1000</f>
        <v>14991000</v>
      </c>
      <c r="AF132" s="376">
        <f>ROUND(('Changing with year'!AF137)/1000,0)*1000</f>
        <v>15374000</v>
      </c>
      <c r="AG132" s="376">
        <f>ROUND(('Changing with year'!AG137)/1000,0)*1000</f>
        <v>15769000</v>
      </c>
    </row>
    <row r="133" spans="1:34">
      <c r="A133" s="368" t="s">
        <v>310</v>
      </c>
      <c r="B133" s="300" t="s">
        <v>309</v>
      </c>
      <c r="C133" s="376">
        <f>(C132*'No change with year'!$AK$14)</f>
        <v>1688250.0000000002</v>
      </c>
      <c r="D133" s="376">
        <f>(D132*'No change with year'!$AK$14)</f>
        <v>1683150.0000000002</v>
      </c>
      <c r="E133" s="376">
        <f>(E132*'No change with year'!$AK$14)</f>
        <v>1679550.0000000002</v>
      </c>
      <c r="F133" s="376">
        <f>(F132*'No change with year'!$AK$14)</f>
        <v>1644600.0000000002</v>
      </c>
      <c r="G133" s="376">
        <f>(G132*'No change with year'!$AK$14)</f>
        <v>1612650.0000000002</v>
      </c>
      <c r="H133" s="376">
        <f>(H132*'No change with year'!$AK$14)</f>
        <v>1613550.0000000002</v>
      </c>
      <c r="I133" s="376">
        <f>(I132*'No change with year'!$AK$14)</f>
        <v>1590900.0000000002</v>
      </c>
      <c r="J133" s="376">
        <f>(J132*'No change with year'!$AK$14)</f>
        <v>1601400.0000000002</v>
      </c>
      <c r="K133" s="376">
        <f>(K132*'No change with year'!$AK$14)</f>
        <v>1612950.0000000002</v>
      </c>
      <c r="L133" s="376">
        <f>(L132*'No change with year'!$AK$14)</f>
        <v>1625700.0000000002</v>
      </c>
      <c r="M133" s="376">
        <f>(M132*'No change with year'!$AK$14)</f>
        <v>1639650.0000000002</v>
      </c>
      <c r="N133" s="376">
        <f>(N132*'No change with year'!$AL$14)</f>
        <v>2758000</v>
      </c>
      <c r="O133" s="376">
        <f>(O132*'No change with year'!$AL$14)</f>
        <v>2785500</v>
      </c>
      <c r="P133" s="376">
        <f>(P132*'No change with year'!$AL$14)</f>
        <v>2814750</v>
      </c>
      <c r="Q133" s="376">
        <f>(Q132*'No change with year'!$AL$14)</f>
        <v>2846500</v>
      </c>
      <c r="R133" s="376">
        <f>(R132*'No change with year'!$AL$14)</f>
        <v>2880250</v>
      </c>
      <c r="S133" s="376">
        <f>(S132*'No change with year'!$AL$14)</f>
        <v>2892500</v>
      </c>
      <c r="T133" s="376">
        <f>(T132*'No change with year'!$AL$14)</f>
        <v>2949000</v>
      </c>
      <c r="U133" s="376">
        <f>(U132*'No change with year'!$AL$14)</f>
        <v>3007500</v>
      </c>
      <c r="V133" s="376">
        <f>(V132*'No change with year'!$AL$14)</f>
        <v>3067750</v>
      </c>
      <c r="W133" s="376">
        <f>(W132*'No change with year'!$AL$14)</f>
        <v>3130250</v>
      </c>
      <c r="X133" s="376">
        <f>(X132*'No change with year'!$AM$14)</f>
        <v>4473000</v>
      </c>
      <c r="Y133" s="376">
        <f>(Y132*'No change with year'!$AM$14)</f>
        <v>4566450</v>
      </c>
      <c r="Z133" s="376">
        <f>(Z132*'No change with year'!$AM$14)</f>
        <v>4663050</v>
      </c>
      <c r="AA133" s="376">
        <f>(AA132*'No change with year'!$AM$14)</f>
        <v>4762800</v>
      </c>
      <c r="AB133" s="376">
        <f>(AB132*'No change with year'!$AM$14)</f>
        <v>4866050</v>
      </c>
      <c r="AC133" s="376">
        <f>(AC132*'No change with year'!$AM$14)</f>
        <v>4989250</v>
      </c>
      <c r="AD133" s="376">
        <f>(AD132*'No change with year'!$AM$14)</f>
        <v>5116300</v>
      </c>
      <c r="AE133" s="376">
        <f>(AE132*'No change with year'!$AM$14)</f>
        <v>5246850</v>
      </c>
      <c r="AF133" s="376">
        <f>(AF132*'No change with year'!$AM$14)</f>
        <v>5380900</v>
      </c>
      <c r="AG133" s="376">
        <f>(AG132*'No change with year'!$AM$14)</f>
        <v>5519150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2466170.1175701544</v>
      </c>
      <c r="D135" s="376">
        <f t="shared" ref="D135:AG135" si="51">-PMT($C$28,$C$27,D132)</f>
        <v>2458720.1145495069</v>
      </c>
      <c r="E135" s="376">
        <f t="shared" si="51"/>
        <v>2453461.2888878738</v>
      </c>
      <c r="F135" s="376">
        <f t="shared" si="51"/>
        <v>2402406.8564228495</v>
      </c>
      <c r="G135" s="376">
        <f t="shared" si="51"/>
        <v>2355734.7786758533</v>
      </c>
      <c r="H135" s="376">
        <f t="shared" si="51"/>
        <v>2357049.4850912616</v>
      </c>
      <c r="I135" s="376">
        <f t="shared" si="51"/>
        <v>2323962.7069701515</v>
      </c>
      <c r="J135" s="376">
        <f t="shared" si="51"/>
        <v>2339300.9484832492</v>
      </c>
      <c r="K135" s="376">
        <f t="shared" si="51"/>
        <v>2356173.014147656</v>
      </c>
      <c r="L135" s="376">
        <f t="shared" si="51"/>
        <v>2374798.021699274</v>
      </c>
      <c r="M135" s="376">
        <f t="shared" si="51"/>
        <v>2395175.9711381039</v>
      </c>
      <c r="N135" s="376">
        <f t="shared" si="51"/>
        <v>2417306.8624641444</v>
      </c>
      <c r="O135" s="376">
        <f t="shared" si="51"/>
        <v>2441409.8134132973</v>
      </c>
      <c r="P135" s="376">
        <f t="shared" si="51"/>
        <v>2467046.5885137599</v>
      </c>
      <c r="Q135" s="376">
        <f t="shared" si="51"/>
        <v>2494874.5409732363</v>
      </c>
      <c r="R135" s="376">
        <f t="shared" si="51"/>
        <v>2524455.4353199243</v>
      </c>
      <c r="S135" s="376">
        <f t="shared" si="51"/>
        <v>2535192.2043790924</v>
      </c>
      <c r="T135" s="376">
        <f t="shared" si="51"/>
        <v>2584712.8126928071</v>
      </c>
      <c r="U135" s="376">
        <f t="shared" si="51"/>
        <v>2635986.3628937323</v>
      </c>
      <c r="V135" s="376">
        <f t="shared" si="51"/>
        <v>2688793.7372459676</v>
      </c>
      <c r="W135" s="376">
        <f t="shared" si="51"/>
        <v>2743573.1712213154</v>
      </c>
      <c r="X135" s="376">
        <f t="shared" si="51"/>
        <v>2800324.6648197756</v>
      </c>
      <c r="Y135" s="376">
        <f t="shared" si="51"/>
        <v>2858829.1003054464</v>
      </c>
      <c r="Z135" s="376">
        <f t="shared" si="51"/>
        <v>2919305.5954142306</v>
      </c>
      <c r="AA135" s="376">
        <f t="shared" si="51"/>
        <v>2981754.1501461272</v>
      </c>
      <c r="AB135" s="376">
        <f t="shared" si="51"/>
        <v>3046393.8822370376</v>
      </c>
      <c r="AC135" s="376">
        <f t="shared" si="51"/>
        <v>3123523.3252743268</v>
      </c>
      <c r="AD135" s="376">
        <f t="shared" si="51"/>
        <v>3203063.0634065322</v>
      </c>
      <c r="AE135" s="376">
        <f t="shared" si="51"/>
        <v>3284793.9788977508</v>
      </c>
      <c r="AF135" s="376">
        <f t="shared" si="51"/>
        <v>3368716.0717479833</v>
      </c>
      <c r="AG135" s="376">
        <f t="shared" si="51"/>
        <v>3455267.5774290329</v>
      </c>
    </row>
    <row r="136" spans="1:34">
      <c r="A136" s="300" t="s">
        <v>330</v>
      </c>
      <c r="B136" s="300" t="s">
        <v>313</v>
      </c>
      <c r="C136" s="376">
        <f t="shared" ref="C136:AG136" si="52">$G$37*C51</f>
        <v>1868214.164613015</v>
      </c>
      <c r="D136" s="376">
        <f t="shared" si="52"/>
        <v>1891704.164613015</v>
      </c>
      <c r="E136" s="376">
        <f t="shared" si="52"/>
        <v>1901610.1641817242</v>
      </c>
      <c r="F136" s="376">
        <f t="shared" si="52"/>
        <v>1900858.0650372049</v>
      </c>
      <c r="G136" s="376">
        <f t="shared" si="52"/>
        <v>1883764.2890459825</v>
      </c>
      <c r="H136" s="376">
        <f t="shared" si="52"/>
        <v>1897631.3529343856</v>
      </c>
      <c r="I136" s="376">
        <f t="shared" si="52"/>
        <v>1646310.8718594201</v>
      </c>
      <c r="J136" s="376">
        <f t="shared" si="52"/>
        <v>1605364.4240153851</v>
      </c>
      <c r="K136" s="376">
        <f t="shared" si="52"/>
        <v>1536646.2412882491</v>
      </c>
      <c r="L136" s="376">
        <f t="shared" si="52"/>
        <v>1478695.6602645288</v>
      </c>
      <c r="M136" s="376">
        <f t="shared" si="52"/>
        <v>1433002.3240074508</v>
      </c>
      <c r="N136" s="376">
        <f t="shared" si="52"/>
        <v>1417243.589468064</v>
      </c>
      <c r="O136" s="376">
        <f t="shared" si="52"/>
        <v>1402465.2305016136</v>
      </c>
      <c r="P136" s="376">
        <f t="shared" si="52"/>
        <v>1383598.7269587507</v>
      </c>
      <c r="Q136" s="376">
        <f t="shared" si="52"/>
        <v>1370699.485787123</v>
      </c>
      <c r="R136" s="376">
        <f t="shared" si="52"/>
        <v>1365025.830185882</v>
      </c>
      <c r="S136" s="376">
        <f t="shared" si="52"/>
        <v>1365735.9495142219</v>
      </c>
      <c r="T136" s="376">
        <f t="shared" si="52"/>
        <v>1372735.0178273879</v>
      </c>
      <c r="U136" s="376">
        <f t="shared" si="52"/>
        <v>1375199.2262115604</v>
      </c>
      <c r="V136" s="376">
        <f t="shared" si="52"/>
        <v>1378626.6194620566</v>
      </c>
      <c r="W136" s="376">
        <f t="shared" si="52"/>
        <v>1383181.7949077992</v>
      </c>
      <c r="X136" s="376">
        <f t="shared" si="52"/>
        <v>1388827.0426900927</v>
      </c>
      <c r="Y136" s="376">
        <f t="shared" si="52"/>
        <v>1395516.998268123</v>
      </c>
      <c r="Z136" s="376">
        <f t="shared" si="52"/>
        <v>1403429.6128847338</v>
      </c>
      <c r="AA136" s="376">
        <f t="shared" si="52"/>
        <v>1412761.2070272714</v>
      </c>
      <c r="AB136" s="376">
        <f t="shared" si="52"/>
        <v>1423358.4430611534</v>
      </c>
      <c r="AC136" s="376">
        <f t="shared" si="52"/>
        <v>1461392.4444948363</v>
      </c>
      <c r="AD136" s="376">
        <f t="shared" si="52"/>
        <v>1508067.1697634947</v>
      </c>
      <c r="AE136" s="376">
        <f t="shared" si="52"/>
        <v>1556452.6298055782</v>
      </c>
      <c r="AF136" s="376">
        <f t="shared" si="52"/>
        <v>1607188.3343758921</v>
      </c>
      <c r="AG136" s="376">
        <f t="shared" si="52"/>
        <v>1660558.5245487322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1086866.0724367322</v>
      </c>
      <c r="D137" s="376">
        <f t="shared" si="53"/>
        <v>1099708.420625814</v>
      </c>
      <c r="E137" s="376">
        <f t="shared" si="53"/>
        <v>1113830.2701101687</v>
      </c>
      <c r="F137" s="376">
        <f t="shared" si="53"/>
        <v>1129263.6557574144</v>
      </c>
      <c r="G137" s="376">
        <f t="shared" si="53"/>
        <v>1146042.3724594791</v>
      </c>
      <c r="H137" s="376">
        <f t="shared" si="53"/>
        <v>1164202.0335678321</v>
      </c>
      <c r="I137" s="376">
        <f t="shared" si="53"/>
        <v>1185856.2844995221</v>
      </c>
      <c r="J137" s="376">
        <f t="shared" si="53"/>
        <v>1208874.9820766996</v>
      </c>
      <c r="K137" s="376">
        <f t="shared" si="53"/>
        <v>1233302.7386330205</v>
      </c>
      <c r="L137" s="376">
        <f t="shared" si="53"/>
        <v>1259186.1503061296</v>
      </c>
      <c r="M137" s="376">
        <f t="shared" si="53"/>
        <v>1286573.8724036072</v>
      </c>
      <c r="N137" s="376">
        <f t="shared" si="53"/>
        <v>1315516.6978632789</v>
      </c>
      <c r="O137" s="376">
        <f t="shared" si="53"/>
        <v>1346067.6389300672</v>
      </c>
      <c r="P137" s="376">
        <f t="shared" si="53"/>
        <v>1378282.0121764815</v>
      </c>
      <c r="Q137" s="376">
        <f t="shared" si="53"/>
        <v>1412217.5269989686</v>
      </c>
      <c r="R137" s="376">
        <f t="shared" si="53"/>
        <v>1447934.3777276468</v>
      </c>
      <c r="S137" s="376">
        <f t="shared" si="53"/>
        <v>1488888.075049873</v>
      </c>
      <c r="T137" s="376">
        <f t="shared" si="53"/>
        <v>1531649.5570428574</v>
      </c>
      <c r="U137" s="376">
        <f t="shared" si="53"/>
        <v>1576289.4387256515</v>
      </c>
      <c r="V137" s="376">
        <f t="shared" si="53"/>
        <v>1622881.176681746</v>
      </c>
      <c r="W137" s="376">
        <f t="shared" si="53"/>
        <v>1671501.182552014</v>
      </c>
      <c r="X137" s="376">
        <f t="shared" si="53"/>
        <v>1722228.9410690626</v>
      </c>
      <c r="Y137" s="376">
        <f t="shared" si="53"/>
        <v>1775147.1328146434</v>
      </c>
      <c r="Z137" s="376">
        <f t="shared" si="53"/>
        <v>1830341.7618890193</v>
      </c>
      <c r="AA137" s="376">
        <f t="shared" si="53"/>
        <v>1887902.2886887526</v>
      </c>
      <c r="AB137" s="376">
        <f t="shared" si="53"/>
        <v>1947921.7679972337</v>
      </c>
      <c r="AC137" s="376">
        <f t="shared" si="53"/>
        <v>2016633.6510471157</v>
      </c>
      <c r="AD137" s="376">
        <f t="shared" si="53"/>
        <v>2088001.9595422926</v>
      </c>
      <c r="AE137" s="376">
        <f t="shared" si="53"/>
        <v>2162132.0300018098</v>
      </c>
      <c r="AF137" s="376">
        <f t="shared" si="53"/>
        <v>2239133.4032004862</v>
      </c>
      <c r="AG137" s="376">
        <f t="shared" si="53"/>
        <v>2319119.9922470958</v>
      </c>
    </row>
    <row r="138" spans="1:34">
      <c r="A138" s="368" t="s">
        <v>318</v>
      </c>
      <c r="B138" s="300" t="s">
        <v>313</v>
      </c>
      <c r="C138" s="376">
        <f>'Changing with year'!C306</f>
        <v>660000</v>
      </c>
      <c r="D138" s="376">
        <f>'Changing with year'!D306</f>
        <v>690000</v>
      </c>
      <c r="E138" s="376">
        <f>'Changing with year'!E306</f>
        <v>721000</v>
      </c>
      <c r="F138" s="376">
        <f>'Changing with year'!F306</f>
        <v>753000</v>
      </c>
      <c r="G138" s="376">
        <f>'Changing with year'!G306</f>
        <v>787000</v>
      </c>
      <c r="H138" s="376">
        <f>'Changing with year'!H306</f>
        <v>822000</v>
      </c>
      <c r="I138" s="376">
        <f>'Changing with year'!I306</f>
        <v>859000</v>
      </c>
      <c r="J138" s="376">
        <f>'Changing with year'!J306</f>
        <v>898000</v>
      </c>
      <c r="K138" s="376">
        <f>'Changing with year'!K306</f>
        <v>938000</v>
      </c>
      <c r="L138" s="376">
        <f>'Changing with year'!L306</f>
        <v>980000</v>
      </c>
      <c r="M138" s="376">
        <f>'Changing with year'!M306</f>
        <v>1024000</v>
      </c>
      <c r="N138" s="376">
        <f>'Changing with year'!N306</f>
        <v>1070000</v>
      </c>
      <c r="O138" s="376">
        <f>'Changing with year'!O306</f>
        <v>1118000</v>
      </c>
      <c r="P138" s="376">
        <f>'Changing with year'!P306</f>
        <v>1168000</v>
      </c>
      <c r="Q138" s="376">
        <f>'Changing with year'!Q306</f>
        <v>1221000</v>
      </c>
      <c r="R138" s="376">
        <f>'Changing with year'!R306</f>
        <v>1276000</v>
      </c>
      <c r="S138" s="376">
        <f>'Changing with year'!S306</f>
        <v>1333000</v>
      </c>
      <c r="T138" s="376">
        <f>'Changing with year'!T306</f>
        <v>1393000</v>
      </c>
      <c r="U138" s="376">
        <f>'Changing with year'!U306</f>
        <v>1456000</v>
      </c>
      <c r="V138" s="376">
        <f>'Changing with year'!V306</f>
        <v>1522000</v>
      </c>
      <c r="W138" s="376">
        <f>'Changing with year'!W306</f>
        <v>1590000</v>
      </c>
      <c r="X138" s="376">
        <f>'Changing with year'!X306</f>
        <v>1662000</v>
      </c>
      <c r="Y138" s="376">
        <f>'Changing with year'!Y306</f>
        <v>1737000</v>
      </c>
      <c r="Z138" s="376">
        <f>'Changing with year'!Z306</f>
        <v>1815000</v>
      </c>
      <c r="AA138" s="376">
        <f>'Changing with year'!AA306</f>
        <v>1897000</v>
      </c>
      <c r="AB138" s="376">
        <f>'Changing with year'!AB306</f>
        <v>1982000</v>
      </c>
      <c r="AC138" s="376">
        <f>'Changing with year'!AC306</f>
        <v>2071000</v>
      </c>
      <c r="AD138" s="376">
        <f>'Changing with year'!AD306</f>
        <v>2164000</v>
      </c>
      <c r="AE138" s="376">
        <f>'Changing with year'!AE306</f>
        <v>2261000</v>
      </c>
      <c r="AF138" s="376">
        <f>'Changing with year'!AF306</f>
        <v>2363000</v>
      </c>
      <c r="AG138" s="376">
        <f>'Changing with year'!AG306</f>
        <v>2469000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C61</f>
        <v>972000</v>
      </c>
      <c r="D139" s="376">
        <f t="shared" si="54"/>
        <v>981720</v>
      </c>
      <c r="E139" s="376">
        <f t="shared" si="54"/>
        <v>991537.2</v>
      </c>
      <c r="F139" s="376">
        <f t="shared" si="54"/>
        <v>1001452.5719999999</v>
      </c>
      <c r="G139" s="376">
        <f t="shared" si="54"/>
        <v>1011467.0977199998</v>
      </c>
      <c r="H139" s="376">
        <f t="shared" si="54"/>
        <v>1021581.7686972</v>
      </c>
      <c r="I139" s="376">
        <f t="shared" si="54"/>
        <v>1031797.586384172</v>
      </c>
      <c r="J139" s="376">
        <f t="shared" si="54"/>
        <v>1042115.5622480137</v>
      </c>
      <c r="K139" s="376">
        <f t="shared" si="54"/>
        <v>1052536.7178704939</v>
      </c>
      <c r="L139" s="376">
        <f t="shared" si="54"/>
        <v>1063062.0850491989</v>
      </c>
      <c r="M139" s="376">
        <f t="shared" si="54"/>
        <v>1073692.705899691</v>
      </c>
      <c r="N139" s="376">
        <f t="shared" si="54"/>
        <v>1084429.6329586878</v>
      </c>
      <c r="O139" s="376">
        <f t="shared" si="54"/>
        <v>1095273.9292882748</v>
      </c>
      <c r="P139" s="376">
        <f t="shared" si="54"/>
        <v>1106226.6685811577</v>
      </c>
      <c r="Q139" s="376">
        <f t="shared" si="54"/>
        <v>1117288.9352669693</v>
      </c>
      <c r="R139" s="376">
        <f t="shared" si="54"/>
        <v>1128461.824619639</v>
      </c>
      <c r="S139" s="376">
        <f t="shared" si="54"/>
        <v>1139746.4428658355</v>
      </c>
      <c r="T139" s="376">
        <f t="shared" si="54"/>
        <v>1151143.9072944939</v>
      </c>
      <c r="U139" s="376">
        <f t="shared" si="54"/>
        <v>1162655.3463674388</v>
      </c>
      <c r="V139" s="376">
        <f t="shared" si="54"/>
        <v>1174281.8998311132</v>
      </c>
      <c r="W139" s="376">
        <f t="shared" si="54"/>
        <v>1186024.7188294244</v>
      </c>
      <c r="X139" s="376">
        <f t="shared" si="54"/>
        <v>1197884.9660177184</v>
      </c>
      <c r="Y139" s="376">
        <f t="shared" si="54"/>
        <v>1209863.8156778959</v>
      </c>
      <c r="Z139" s="376">
        <f t="shared" si="54"/>
        <v>1221962.4538346748</v>
      </c>
      <c r="AA139" s="376">
        <f t="shared" si="54"/>
        <v>1234182.0783730214</v>
      </c>
      <c r="AB139" s="376">
        <f t="shared" si="54"/>
        <v>1246523.8991567518</v>
      </c>
      <c r="AC139" s="376">
        <f t="shared" si="54"/>
        <v>1258989.1381483194</v>
      </c>
      <c r="AD139" s="376">
        <f t="shared" si="54"/>
        <v>1271579.0295298027</v>
      </c>
      <c r="AE139" s="376">
        <f t="shared" si="54"/>
        <v>1284294.8198251007</v>
      </c>
      <c r="AF139" s="376">
        <f t="shared" si="54"/>
        <v>1297137.7680233517</v>
      </c>
      <c r="AG139" s="376">
        <f t="shared" si="54"/>
        <v>1310109.1457035851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225100</v>
      </c>
      <c r="D140" s="386">
        <f t="shared" si="55"/>
        <v>224420</v>
      </c>
      <c r="E140" s="386">
        <f t="shared" si="55"/>
        <v>223940</v>
      </c>
      <c r="F140" s="386">
        <f t="shared" si="55"/>
        <v>219280</v>
      </c>
      <c r="G140" s="386">
        <f t="shared" si="55"/>
        <v>215020</v>
      </c>
      <c r="H140" s="386">
        <f t="shared" si="55"/>
        <v>215140</v>
      </c>
      <c r="I140" s="386">
        <f t="shared" si="55"/>
        <v>212120</v>
      </c>
      <c r="J140" s="386">
        <f t="shared" si="55"/>
        <v>213520</v>
      </c>
      <c r="K140" s="386">
        <f t="shared" si="55"/>
        <v>215060</v>
      </c>
      <c r="L140" s="386">
        <f t="shared" si="55"/>
        <v>216760</v>
      </c>
      <c r="M140" s="386">
        <f t="shared" si="55"/>
        <v>218620</v>
      </c>
      <c r="N140" s="386">
        <f t="shared" si="55"/>
        <v>220640</v>
      </c>
      <c r="O140" s="386">
        <f t="shared" si="55"/>
        <v>222840</v>
      </c>
      <c r="P140" s="386">
        <f t="shared" si="55"/>
        <v>225180</v>
      </c>
      <c r="Q140" s="386">
        <f t="shared" si="55"/>
        <v>227720</v>
      </c>
      <c r="R140" s="386">
        <f t="shared" si="55"/>
        <v>230420</v>
      </c>
      <c r="S140" s="386">
        <f t="shared" si="55"/>
        <v>231400</v>
      </c>
      <c r="T140" s="386">
        <f t="shared" si="55"/>
        <v>235920</v>
      </c>
      <c r="U140" s="386">
        <f t="shared" si="55"/>
        <v>240600</v>
      </c>
      <c r="V140" s="386">
        <f t="shared" si="55"/>
        <v>245420</v>
      </c>
      <c r="W140" s="386">
        <f t="shared" si="55"/>
        <v>250420</v>
      </c>
      <c r="X140" s="386">
        <f t="shared" si="55"/>
        <v>255600</v>
      </c>
      <c r="Y140" s="386">
        <f t="shared" si="55"/>
        <v>260940</v>
      </c>
      <c r="Z140" s="386">
        <f t="shared" si="55"/>
        <v>266460</v>
      </c>
      <c r="AA140" s="386">
        <f t="shared" si="55"/>
        <v>272160</v>
      </c>
      <c r="AB140" s="386">
        <f t="shared" si="55"/>
        <v>278060</v>
      </c>
      <c r="AC140" s="386">
        <f t="shared" si="55"/>
        <v>285100</v>
      </c>
      <c r="AD140" s="386">
        <f t="shared" si="55"/>
        <v>292360</v>
      </c>
      <c r="AE140" s="386">
        <f t="shared" si="55"/>
        <v>299820</v>
      </c>
      <c r="AF140" s="386">
        <f t="shared" si="55"/>
        <v>307480</v>
      </c>
      <c r="AG140" s="386">
        <f t="shared" si="55"/>
        <v>315380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22.834908496019949</v>
      </c>
      <c r="D142" s="379">
        <f t="shared" si="56"/>
        <v>22.765926986569507</v>
      </c>
      <c r="E142" s="379">
        <f t="shared" si="56"/>
        <v>22.717234156369202</v>
      </c>
      <c r="F142" s="379">
        <f t="shared" si="56"/>
        <v>22.244507929841198</v>
      </c>
      <c r="G142" s="379">
        <f t="shared" si="56"/>
        <v>21.812359061813456</v>
      </c>
      <c r="H142" s="379">
        <f t="shared" si="56"/>
        <v>21.824532269363534</v>
      </c>
      <c r="I142" s="379">
        <f t="shared" si="56"/>
        <v>21.518173212686587</v>
      </c>
      <c r="J142" s="379">
        <f t="shared" si="56"/>
        <v>21.660193967437493</v>
      </c>
      <c r="K142" s="379">
        <f t="shared" si="56"/>
        <v>21.816416797663482</v>
      </c>
      <c r="L142" s="379">
        <f t="shared" si="56"/>
        <v>21.988870571289574</v>
      </c>
      <c r="M142" s="379">
        <f t="shared" si="56"/>
        <v>22.177555288315776</v>
      </c>
      <c r="N142" s="379">
        <f t="shared" si="56"/>
        <v>22.382470948742078</v>
      </c>
      <c r="O142" s="379">
        <f t="shared" si="56"/>
        <v>22.605646420493493</v>
      </c>
      <c r="P142" s="379">
        <f t="shared" si="56"/>
        <v>22.843023967720001</v>
      </c>
      <c r="Q142" s="379">
        <f t="shared" si="56"/>
        <v>23.100690194196634</v>
      </c>
      <c r="R142" s="379">
        <f t="shared" si="56"/>
        <v>23.374587364073374</v>
      </c>
      <c r="S142" s="379">
        <f t="shared" si="56"/>
        <v>23.474001892399006</v>
      </c>
      <c r="T142" s="379">
        <f t="shared" si="56"/>
        <v>23.932526043451919</v>
      </c>
      <c r="U142" s="379">
        <f t="shared" si="56"/>
        <v>24.407281137904928</v>
      </c>
      <c r="V142" s="379">
        <f t="shared" si="56"/>
        <v>24.896238307833034</v>
      </c>
      <c r="W142" s="379">
        <f t="shared" si="56"/>
        <v>25.403455289086253</v>
      </c>
      <c r="X142" s="379">
        <f t="shared" si="56"/>
        <v>25.928932081664588</v>
      </c>
      <c r="Y142" s="379">
        <f t="shared" si="56"/>
        <v>26.470639817643022</v>
      </c>
      <c r="Z142" s="379">
        <f t="shared" si="56"/>
        <v>27.030607364946579</v>
      </c>
      <c r="AA142" s="379">
        <f t="shared" si="56"/>
        <v>27.608834723575253</v>
      </c>
      <c r="AB142" s="379">
        <f t="shared" si="56"/>
        <v>28.207350761454052</v>
      </c>
      <c r="AC142" s="379">
        <f t="shared" si="56"/>
        <v>28.921512271058582</v>
      </c>
      <c r="AD142" s="379">
        <f t="shared" si="56"/>
        <v>29.657991327838261</v>
      </c>
      <c r="AE142" s="379">
        <f t="shared" si="56"/>
        <v>30.414759063868065</v>
      </c>
      <c r="AF142" s="379">
        <f t="shared" si="56"/>
        <v>31.191815479147994</v>
      </c>
      <c r="AG142" s="379">
        <f t="shared" si="56"/>
        <v>31.993218309528082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17.298279301972361</v>
      </c>
      <c r="D143" s="379">
        <f t="shared" si="57"/>
        <v>17.515779301972362</v>
      </c>
      <c r="E143" s="379">
        <f t="shared" si="57"/>
        <v>17.607501520201151</v>
      </c>
      <c r="F143" s="379">
        <f t="shared" si="57"/>
        <v>17.60053763923338</v>
      </c>
      <c r="G143" s="379">
        <f t="shared" si="57"/>
        <v>17.442261935610951</v>
      </c>
      <c r="H143" s="379">
        <f t="shared" si="57"/>
        <v>17.570660675318386</v>
      </c>
      <c r="I143" s="379">
        <f t="shared" si="57"/>
        <v>15.243619183883519</v>
      </c>
      <c r="J143" s="379">
        <f t="shared" si="57"/>
        <v>14.864485407549862</v>
      </c>
      <c r="K143" s="379">
        <f t="shared" si="57"/>
        <v>14.22820593785416</v>
      </c>
      <c r="L143" s="379">
        <f t="shared" si="57"/>
        <v>13.691626483930822</v>
      </c>
      <c r="M143" s="379">
        <f t="shared" si="57"/>
        <v>13.268540037106026</v>
      </c>
      <c r="N143" s="379">
        <f t="shared" si="57"/>
        <v>13.122625828407999</v>
      </c>
      <c r="O143" s="379">
        <f t="shared" si="57"/>
        <v>12.985789171311238</v>
      </c>
      <c r="P143" s="379">
        <f t="shared" si="57"/>
        <v>12.811099323692137</v>
      </c>
      <c r="Q143" s="379">
        <f t="shared" si="57"/>
        <v>12.691661905436323</v>
      </c>
      <c r="R143" s="379">
        <f t="shared" si="57"/>
        <v>12.639128057276686</v>
      </c>
      <c r="S143" s="379">
        <f t="shared" si="57"/>
        <v>12.645703236242795</v>
      </c>
      <c r="T143" s="379">
        <f t="shared" si="57"/>
        <v>12.710509424327666</v>
      </c>
      <c r="U143" s="379">
        <f t="shared" si="57"/>
        <v>12.73332616862556</v>
      </c>
      <c r="V143" s="379">
        <f t="shared" si="57"/>
        <v>12.765061291315339</v>
      </c>
      <c r="W143" s="379">
        <f t="shared" si="57"/>
        <v>12.807238841738881</v>
      </c>
      <c r="X143" s="379">
        <f t="shared" si="57"/>
        <v>12.859509654537895</v>
      </c>
      <c r="Y143" s="379">
        <f t="shared" si="57"/>
        <v>12.921453687667805</v>
      </c>
      <c r="Z143" s="379">
        <f t="shared" si="57"/>
        <v>12.99471863782161</v>
      </c>
      <c r="AA143" s="379">
        <f t="shared" si="57"/>
        <v>13.081122287289549</v>
      </c>
      <c r="AB143" s="379">
        <f t="shared" si="57"/>
        <v>13.179244843158827</v>
      </c>
      <c r="AC143" s="379">
        <f t="shared" si="57"/>
        <v>13.531411523100335</v>
      </c>
      <c r="AD143" s="379">
        <f t="shared" si="57"/>
        <v>13.963584905217544</v>
      </c>
      <c r="AE143" s="379">
        <f t="shared" si="57"/>
        <v>14.411598424125724</v>
      </c>
      <c r="AF143" s="379">
        <f t="shared" si="57"/>
        <v>14.881373466443446</v>
      </c>
      <c r="AG143" s="379">
        <f t="shared" si="57"/>
        <v>15.375541893969743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27.25894511515493</v>
      </c>
      <c r="D144" s="379">
        <f t="shared" si="58"/>
        <v>27.739337228016797</v>
      </c>
      <c r="E144" s="379">
        <f t="shared" si="58"/>
        <v>28.243587686205267</v>
      </c>
      <c r="F144" s="379">
        <f t="shared" si="58"/>
        <v>28.731446553309393</v>
      </c>
      <c r="G144" s="379">
        <f t="shared" si="58"/>
        <v>29.254902501661842</v>
      </c>
      <c r="H144" s="379">
        <f t="shared" si="58"/>
        <v>29.841887058009558</v>
      </c>
      <c r="I144" s="379">
        <f t="shared" si="58"/>
        <v>30.45160991558976</v>
      </c>
      <c r="J144" s="379">
        <f t="shared" si="58"/>
        <v>31.134356891895496</v>
      </c>
      <c r="K144" s="379">
        <f t="shared" si="58"/>
        <v>31.841661634291803</v>
      </c>
      <c r="L144" s="379">
        <f t="shared" si="58"/>
        <v>32.583409586623418</v>
      </c>
      <c r="M144" s="379">
        <f t="shared" si="58"/>
        <v>33.360060910215722</v>
      </c>
      <c r="N144" s="379">
        <f t="shared" si="58"/>
        <v>34.172095655758952</v>
      </c>
      <c r="O144" s="379">
        <f t="shared" si="58"/>
        <v>35.020199705725389</v>
      </c>
      <c r="P144" s="379">
        <f t="shared" si="58"/>
        <v>35.904524821829988</v>
      </c>
      <c r="Q144" s="379">
        <f t="shared" si="58"/>
        <v>36.835430206166095</v>
      </c>
      <c r="R144" s="379">
        <f t="shared" si="58"/>
        <v>37.803853725437833</v>
      </c>
      <c r="S144" s="379">
        <f t="shared" si="58"/>
        <v>38.824393684404711</v>
      </c>
      <c r="T144" s="379">
        <f t="shared" si="58"/>
        <v>39.92327281793844</v>
      </c>
      <c r="U144" s="379">
        <f t="shared" si="58"/>
        <v>41.069859121232312</v>
      </c>
      <c r="V144" s="379">
        <f t="shared" si="58"/>
        <v>42.26465811585981</v>
      </c>
      <c r="W144" s="379">
        <f t="shared" si="58"/>
        <v>43.499499086865171</v>
      </c>
      <c r="X144" s="379">
        <f t="shared" si="58"/>
        <v>44.793647287840564</v>
      </c>
      <c r="Y144" s="379">
        <f t="shared" si="58"/>
        <v>46.138434708264249</v>
      </c>
      <c r="Z144" s="379">
        <f t="shared" si="58"/>
        <v>47.534853849293455</v>
      </c>
      <c r="AA144" s="379">
        <f t="shared" si="58"/>
        <v>48.993003398720134</v>
      </c>
      <c r="AB144" s="379">
        <f t="shared" si="58"/>
        <v>50.504682103277638</v>
      </c>
      <c r="AC144" s="379">
        <f t="shared" si="58"/>
        <v>52.145581381439214</v>
      </c>
      <c r="AD144" s="379">
        <f t="shared" si="58"/>
        <v>53.851305454371257</v>
      </c>
      <c r="AE144" s="379">
        <f t="shared" si="58"/>
        <v>55.62265601691584</v>
      </c>
      <c r="AF144" s="379">
        <f t="shared" si="58"/>
        <v>57.469918252072574</v>
      </c>
      <c r="AG144" s="379">
        <f t="shared" si="58"/>
        <v>59.385269795839633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2.2331349206349209</v>
      </c>
      <c r="D145" s="379">
        <f t="shared" si="59"/>
        <v>2.2263888888888892</v>
      </c>
      <c r="E145" s="379">
        <f t="shared" si="59"/>
        <v>2.2216269841269844</v>
      </c>
      <c r="F145" s="379">
        <f t="shared" si="59"/>
        <v>2.1753968253968257</v>
      </c>
      <c r="G145" s="379">
        <f t="shared" si="59"/>
        <v>2.1331349206349208</v>
      </c>
      <c r="H145" s="379">
        <f t="shared" si="59"/>
        <v>2.134325396825397</v>
      </c>
      <c r="I145" s="379">
        <f t="shared" si="59"/>
        <v>2.1043650793650799</v>
      </c>
      <c r="J145" s="379">
        <f t="shared" si="59"/>
        <v>2.1182539682539687</v>
      </c>
      <c r="K145" s="379">
        <f t="shared" si="59"/>
        <v>2.1335317460317462</v>
      </c>
      <c r="L145" s="379">
        <f t="shared" si="59"/>
        <v>2.1503968253968258</v>
      </c>
      <c r="M145" s="379">
        <f t="shared" si="59"/>
        <v>2.1688492063492069</v>
      </c>
      <c r="N145" s="379">
        <f t="shared" si="59"/>
        <v>3.6481481481481484</v>
      </c>
      <c r="O145" s="379">
        <f t="shared" si="59"/>
        <v>3.6845238095238093</v>
      </c>
      <c r="P145" s="379">
        <f t="shared" si="59"/>
        <v>3.7232142857142856</v>
      </c>
      <c r="Q145" s="379">
        <f t="shared" si="59"/>
        <v>3.76521164021164</v>
      </c>
      <c r="R145" s="379">
        <f t="shared" si="59"/>
        <v>3.8098544973544972</v>
      </c>
      <c r="S145" s="379">
        <f t="shared" si="59"/>
        <v>3.8260582010582009</v>
      </c>
      <c r="T145" s="379">
        <f t="shared" si="59"/>
        <v>3.9007936507936507</v>
      </c>
      <c r="U145" s="379">
        <f t="shared" si="59"/>
        <v>3.9781746031746033</v>
      </c>
      <c r="V145" s="379">
        <f t="shared" si="59"/>
        <v>4.0578703703703702</v>
      </c>
      <c r="W145" s="379">
        <f t="shared" si="59"/>
        <v>4.1405423280423284</v>
      </c>
      <c r="X145" s="379">
        <f t="shared" si="59"/>
        <v>5.916666666666667</v>
      </c>
      <c r="Y145" s="379">
        <f t="shared" si="59"/>
        <v>6.0402777777777779</v>
      </c>
      <c r="Z145" s="379">
        <f t="shared" si="59"/>
        <v>6.1680555555555552</v>
      </c>
      <c r="AA145" s="379">
        <f t="shared" si="59"/>
        <v>6.3</v>
      </c>
      <c r="AB145" s="379">
        <f t="shared" si="59"/>
        <v>6.4365740740740742</v>
      </c>
      <c r="AC145" s="379">
        <f t="shared" si="59"/>
        <v>6.5995370370370372</v>
      </c>
      <c r="AD145" s="379">
        <f t="shared" si="59"/>
        <v>6.7675925925925924</v>
      </c>
      <c r="AE145" s="379">
        <f t="shared" si="59"/>
        <v>6.9402777777777782</v>
      </c>
      <c r="AF145" s="379">
        <f t="shared" si="59"/>
        <v>7.1175925925925929</v>
      </c>
      <c r="AG145" s="379">
        <f t="shared" si="59"/>
        <v>7.3004629629629632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65.158997992512312</v>
      </c>
      <c r="D146" s="381">
        <f t="shared" ref="D146:AG146" si="60">SUM(D142:D144)-D145</f>
        <v>65.794654627669772</v>
      </c>
      <c r="E146" s="381">
        <f t="shared" si="60"/>
        <v>66.346696378648645</v>
      </c>
      <c r="F146" s="381">
        <f t="shared" si="60"/>
        <v>66.401095296987137</v>
      </c>
      <c r="G146" s="381">
        <f t="shared" si="60"/>
        <v>66.376388578451341</v>
      </c>
      <c r="H146" s="381">
        <f t="shared" si="60"/>
        <v>67.102754605866082</v>
      </c>
      <c r="I146" s="381">
        <f t="shared" si="60"/>
        <v>65.10903723279479</v>
      </c>
      <c r="J146" s="381">
        <f t="shared" si="60"/>
        <v>65.540782298628883</v>
      </c>
      <c r="K146" s="381">
        <f t="shared" si="60"/>
        <v>65.752752623777695</v>
      </c>
      <c r="L146" s="381">
        <f t="shared" si="60"/>
        <v>66.113509816446992</v>
      </c>
      <c r="M146" s="381">
        <f t="shared" si="60"/>
        <v>66.637307029288323</v>
      </c>
      <c r="N146" s="381">
        <f t="shared" si="60"/>
        <v>66.029044284760886</v>
      </c>
      <c r="O146" s="381">
        <f t="shared" si="60"/>
        <v>66.927111488006304</v>
      </c>
      <c r="P146" s="381">
        <f t="shared" si="60"/>
        <v>67.835433827527837</v>
      </c>
      <c r="Q146" s="381">
        <f t="shared" si="60"/>
        <v>68.862570665587413</v>
      </c>
      <c r="R146" s="381">
        <f t="shared" si="60"/>
        <v>70.007714649433396</v>
      </c>
      <c r="S146" s="381">
        <f t="shared" si="60"/>
        <v>71.118040611988306</v>
      </c>
      <c r="T146" s="381">
        <f t="shared" si="60"/>
        <v>72.665514634924378</v>
      </c>
      <c r="U146" s="381">
        <f t="shared" si="60"/>
        <v>74.232291824588188</v>
      </c>
      <c r="V146" s="381">
        <f t="shared" si="60"/>
        <v>75.868087344637814</v>
      </c>
      <c r="W146" s="381">
        <f t="shared" si="60"/>
        <v>77.569650889647974</v>
      </c>
      <c r="X146" s="381">
        <f t="shared" si="60"/>
        <v>77.665422357376386</v>
      </c>
      <c r="Y146" s="381">
        <f t="shared" si="60"/>
        <v>79.490250435797307</v>
      </c>
      <c r="Z146" s="381">
        <f t="shared" si="60"/>
        <v>81.392124296506097</v>
      </c>
      <c r="AA146" s="381">
        <f t="shared" si="60"/>
        <v>83.382960409584939</v>
      </c>
      <c r="AB146" s="381">
        <f t="shared" si="60"/>
        <v>85.454703633816436</v>
      </c>
      <c r="AC146" s="381">
        <f t="shared" si="60"/>
        <v>87.998968138561096</v>
      </c>
      <c r="AD146" s="381">
        <f t="shared" si="60"/>
        <v>90.70528909483447</v>
      </c>
      <c r="AE146" s="381">
        <f t="shared" si="60"/>
        <v>93.50873572713185</v>
      </c>
      <c r="AF146" s="381">
        <f t="shared" si="60"/>
        <v>96.425514605071427</v>
      </c>
      <c r="AG146" s="381">
        <f t="shared" si="60"/>
        <v>99.453567036374494</v>
      </c>
    </row>
    <row r="147" spans="1:34" s="344" customFormat="1">
      <c r="A147" s="342" t="s">
        <v>331</v>
      </c>
      <c r="B147" s="342"/>
      <c r="H147" s="385">
        <f>H149/H63</f>
        <v>2.3486596840049705</v>
      </c>
      <c r="AB147" s="385">
        <f>AB149/AB63</f>
        <v>1.4321967259989992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year'!C150)/1000,0)*1000</f>
        <v>15366000</v>
      </c>
      <c r="D149" s="376">
        <f>ROUND(('Changing with year'!D150)/1000,0)*1000</f>
        <v>15129000</v>
      </c>
      <c r="E149" s="376">
        <f>ROUND(('Changing with year'!E150)/1000,0)*1000</f>
        <v>14909000</v>
      </c>
      <c r="F149" s="376">
        <f>ROUND(('Changing with year'!F150)/1000,0)*1000</f>
        <v>14707000</v>
      </c>
      <c r="G149" s="376">
        <f>ROUND(('Changing with year'!G150)/1000,0)*1000</f>
        <v>14521000</v>
      </c>
      <c r="H149" s="376">
        <f>ROUND(('Changing with year'!H150)/1000,0)*1000</f>
        <v>14553000</v>
      </c>
      <c r="I149" s="376">
        <f>ROUND(('Changing with year'!I150)/1000,0)*1000</f>
        <v>14466000</v>
      </c>
      <c r="J149" s="376">
        <f>ROUND(('Changing with year'!J150)/1000,0)*1000</f>
        <v>14398000</v>
      </c>
      <c r="K149" s="376">
        <f>ROUND(('Changing with year'!K150)/1000,0)*1000</f>
        <v>14343000</v>
      </c>
      <c r="L149" s="376">
        <f>ROUND(('Changing with year'!L150)/1000,0)*1000</f>
        <v>14301000</v>
      </c>
      <c r="M149" s="376">
        <f>ROUND(('Changing with year'!M150)/1000,0)*1000</f>
        <v>14271000</v>
      </c>
      <c r="N149" s="376">
        <f>ROUND(('Changing with year'!N150)/1000,0)*1000</f>
        <v>14253000</v>
      </c>
      <c r="O149" s="376">
        <f>ROUND(('Changing with year'!O150)/1000,0)*1000</f>
        <v>14248000</v>
      </c>
      <c r="P149" s="376">
        <f>ROUND(('Changing with year'!P150)/1000,0)*1000</f>
        <v>14255000</v>
      </c>
      <c r="Q149" s="376">
        <f>ROUND(('Changing with year'!Q150)/1000,0)*1000</f>
        <v>14275000</v>
      </c>
      <c r="R149" s="376">
        <f>ROUND(('Changing with year'!R150)/1000,0)*1000</f>
        <v>14307000</v>
      </c>
      <c r="S149" s="376">
        <f>ROUND(('Changing with year'!S150)/1000,0)*1000</f>
        <v>14253000</v>
      </c>
      <c r="T149" s="376">
        <f>ROUND(('Changing with year'!T150)/1000,0)*1000</f>
        <v>14435000</v>
      </c>
      <c r="U149" s="376">
        <f>ROUND(('Changing with year'!U150)/1000,0)*1000</f>
        <v>14626000</v>
      </c>
      <c r="V149" s="376">
        <f>ROUND(('Changing with year'!V150)/1000,0)*1000</f>
        <v>14826000</v>
      </c>
      <c r="W149" s="376">
        <f>ROUND(('Changing with year'!W150)/1000,0)*1000</f>
        <v>15036000</v>
      </c>
      <c r="X149" s="376">
        <f>ROUND(('Changing with year'!X150)/1000,0)*1000</f>
        <v>15041000</v>
      </c>
      <c r="Y149" s="376">
        <f>ROUND(('Changing with year'!Y150)/1000,0)*1000</f>
        <v>15272000</v>
      </c>
      <c r="Z149" s="376">
        <f>ROUND(('Changing with year'!Z150)/1000,0)*1000</f>
        <v>15514000</v>
      </c>
      <c r="AA149" s="376">
        <f>ROUND(('Changing with year'!AA150)/1000,0)*1000</f>
        <v>15766000</v>
      </c>
      <c r="AB149" s="376">
        <f>ROUND(('Changing with year'!AB150)/1000,0)*1000</f>
        <v>16028000</v>
      </c>
      <c r="AC149" s="376">
        <f>ROUND(('Changing with year'!AC150)/1000,0)*1000</f>
        <v>16193000</v>
      </c>
      <c r="AD149" s="376">
        <f>ROUND(('Changing with year'!AD150)/1000,0)*1000</f>
        <v>16575000</v>
      </c>
      <c r="AE149" s="376">
        <f>ROUND(('Changing with year'!AE150)/1000,0)*1000</f>
        <v>16968000</v>
      </c>
      <c r="AF149" s="376">
        <f>ROUND(('Changing with year'!AF150)/1000,0)*1000</f>
        <v>17371000</v>
      </c>
      <c r="AG149" s="376">
        <f>ROUND(('Changing with year'!AG150)/1000,0)*1000</f>
        <v>17785000</v>
      </c>
    </row>
    <row r="150" spans="1:34">
      <c r="A150" s="368" t="s">
        <v>310</v>
      </c>
      <c r="B150" s="300" t="s">
        <v>309</v>
      </c>
      <c r="C150" s="376">
        <f>(C149*'No change with year'!$AN$14)</f>
        <v>768299.99999999988</v>
      </c>
      <c r="D150" s="376">
        <f>(D149*'No change with year'!$AN$14)</f>
        <v>756449.99999999988</v>
      </c>
      <c r="E150" s="376">
        <f>(E149*'No change with year'!$AN$14)</f>
        <v>745449.99999999988</v>
      </c>
      <c r="F150" s="376">
        <f>(F149*'No change with year'!$AN$14)</f>
        <v>735349.99999999988</v>
      </c>
      <c r="G150" s="376">
        <f>(G149*'No change with year'!$AN$14)</f>
        <v>726049.99999999988</v>
      </c>
      <c r="H150" s="376">
        <f>(H149*'No change with year'!$AN$14)</f>
        <v>727649.99999999988</v>
      </c>
      <c r="I150" s="376">
        <f>(I149*'No change with year'!$AN$14)</f>
        <v>723299.99999999988</v>
      </c>
      <c r="J150" s="376">
        <f>(J149*'No change with year'!$AN$14)</f>
        <v>719899.99999999988</v>
      </c>
      <c r="K150" s="376">
        <f>(K149*'No change with year'!$AN$14)</f>
        <v>717149.99999999988</v>
      </c>
      <c r="L150" s="376">
        <f>(L149*'No change with year'!$AN$14)</f>
        <v>715049.99999999988</v>
      </c>
      <c r="M150" s="376">
        <f>(M149*'No change with year'!$AN$14)</f>
        <v>713549.99999999988</v>
      </c>
      <c r="N150" s="376">
        <f>(N149*'No change with year'!$AO$14)</f>
        <v>2137950.0000000005</v>
      </c>
      <c r="O150" s="376">
        <f>(O149*'No change with year'!$AO$14)</f>
        <v>2137200.0000000005</v>
      </c>
      <c r="P150" s="376">
        <f>(P149*'No change with year'!$AO$14)</f>
        <v>2138250.0000000005</v>
      </c>
      <c r="Q150" s="376">
        <f>(Q149*'No change with year'!$AO$14)</f>
        <v>2141250.0000000005</v>
      </c>
      <c r="R150" s="376">
        <f>(R149*'No change with year'!$AO$14)</f>
        <v>2146050.0000000005</v>
      </c>
      <c r="S150" s="376">
        <f>(S149*'No change with year'!$AO$14)</f>
        <v>2137950.0000000005</v>
      </c>
      <c r="T150" s="376">
        <f>(T149*'No change with year'!$AO$14)</f>
        <v>2165250.0000000005</v>
      </c>
      <c r="U150" s="376">
        <f>(U149*'No change with year'!$AO$14)</f>
        <v>2193900.0000000005</v>
      </c>
      <c r="V150" s="376">
        <f>(V149*'No change with year'!$AO$14)</f>
        <v>2223900.0000000005</v>
      </c>
      <c r="W150" s="376">
        <f>(W149*'No change with year'!$AO$14)</f>
        <v>2255400.0000000005</v>
      </c>
      <c r="X150" s="376">
        <f>(X149*'No change with year'!$AP$14)</f>
        <v>3760250</v>
      </c>
      <c r="Y150" s="376">
        <f>(Y149*'No change with year'!$AP$14)</f>
        <v>3818000</v>
      </c>
      <c r="Z150" s="376">
        <f>(Z149*'No change with year'!$AP$14)</f>
        <v>3878500</v>
      </c>
      <c r="AA150" s="376">
        <f>(AA149*'No change with year'!$AP$14)</f>
        <v>3941500</v>
      </c>
      <c r="AB150" s="376">
        <f>(AB149*'No change with year'!$AP$14)</f>
        <v>4007000</v>
      </c>
      <c r="AC150" s="376">
        <f>(AC149*'No change with year'!$AP$14)</f>
        <v>4048250</v>
      </c>
      <c r="AD150" s="376">
        <f>(AD149*'No change with year'!$AP$14)</f>
        <v>4143750</v>
      </c>
      <c r="AE150" s="376">
        <f>(AE149*'No change with year'!$AP$14)</f>
        <v>4242000</v>
      </c>
      <c r="AF150" s="376">
        <f>(AF149*'No change with year'!$AP$14)</f>
        <v>4342750</v>
      </c>
      <c r="AG150" s="376">
        <f>(AG149*'No change with year'!$AP$14)</f>
        <v>4446250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3366963.1298607723</v>
      </c>
      <c r="D152" s="376">
        <f t="shared" ref="D152:AG152" si="62">-PMT($C$28,$C$27,D149)</f>
        <v>3315032.2264521425</v>
      </c>
      <c r="E152" s="376">
        <f t="shared" si="62"/>
        <v>3266826.3245538366</v>
      </c>
      <c r="F152" s="376">
        <f t="shared" si="62"/>
        <v>3222564.5419017551</v>
      </c>
      <c r="G152" s="376">
        <f t="shared" si="62"/>
        <v>3181808.6430240967</v>
      </c>
      <c r="H152" s="376">
        <f t="shared" si="62"/>
        <v>3188820.4105729414</v>
      </c>
      <c r="I152" s="376">
        <f t="shared" si="62"/>
        <v>3169757.1675495203</v>
      </c>
      <c r="J152" s="376">
        <f t="shared" si="62"/>
        <v>3154857.1615082258</v>
      </c>
      <c r="K152" s="376">
        <f t="shared" si="62"/>
        <v>3142805.6860336494</v>
      </c>
      <c r="L152" s="376">
        <f t="shared" si="62"/>
        <v>3133602.7411257909</v>
      </c>
      <c r="M152" s="376">
        <f t="shared" si="62"/>
        <v>3127029.2090487489</v>
      </c>
      <c r="N152" s="376">
        <f t="shared" si="62"/>
        <v>3123085.0898025241</v>
      </c>
      <c r="O152" s="376">
        <f t="shared" si="62"/>
        <v>3121989.5011230172</v>
      </c>
      <c r="P152" s="376">
        <f t="shared" si="62"/>
        <v>3123523.3252743268</v>
      </c>
      <c r="Q152" s="376">
        <f t="shared" si="62"/>
        <v>3127905.6799923549</v>
      </c>
      <c r="R152" s="376">
        <f t="shared" si="62"/>
        <v>3134917.4475411992</v>
      </c>
      <c r="S152" s="376">
        <f t="shared" si="62"/>
        <v>3123085.0898025241</v>
      </c>
      <c r="T152" s="376">
        <f t="shared" si="62"/>
        <v>3162964.5177365774</v>
      </c>
      <c r="U152" s="376">
        <f t="shared" si="62"/>
        <v>3204816.0052937432</v>
      </c>
      <c r="V152" s="376">
        <f t="shared" si="62"/>
        <v>3248639.552474021</v>
      </c>
      <c r="W152" s="376">
        <f t="shared" si="62"/>
        <v>3294654.277013313</v>
      </c>
      <c r="X152" s="376">
        <f t="shared" si="62"/>
        <v>3295749.8656928199</v>
      </c>
      <c r="Y152" s="376">
        <f t="shared" si="62"/>
        <v>3346366.0626860415</v>
      </c>
      <c r="Z152" s="376">
        <f t="shared" si="62"/>
        <v>3399392.5547741782</v>
      </c>
      <c r="AA152" s="376">
        <f t="shared" si="62"/>
        <v>3454610.2242213283</v>
      </c>
      <c r="AB152" s="376">
        <f t="shared" si="62"/>
        <v>3512019.0710274926</v>
      </c>
      <c r="AC152" s="376">
        <f t="shared" si="62"/>
        <v>3548173.497451222</v>
      </c>
      <c r="AD152" s="376">
        <f t="shared" si="62"/>
        <v>3631876.4725655536</v>
      </c>
      <c r="AE152" s="376">
        <f t="shared" si="62"/>
        <v>3717989.7427748004</v>
      </c>
      <c r="AF152" s="376">
        <f t="shared" si="62"/>
        <v>3806294.1903430605</v>
      </c>
      <c r="AG152" s="376">
        <f t="shared" si="62"/>
        <v>3897008.9330062368</v>
      </c>
    </row>
    <row r="153" spans="1:34">
      <c r="A153" s="300" t="s">
        <v>333</v>
      </c>
      <c r="B153" s="300" t="s">
        <v>313</v>
      </c>
      <c r="C153" s="376">
        <f t="shared" ref="C153:AG153" si="63">$H$37*C50</f>
        <v>7492500</v>
      </c>
      <c r="D153" s="376">
        <f t="shared" si="63"/>
        <v>7422923.0769230779</v>
      </c>
      <c r="E153" s="376">
        <f t="shared" si="63"/>
        <v>7360288.2692307699</v>
      </c>
      <c r="F153" s="376">
        <f t="shared" si="63"/>
        <v>7304440.7942307703</v>
      </c>
      <c r="G153" s="376">
        <f t="shared" si="63"/>
        <v>7255233.3269423079</v>
      </c>
      <c r="H153" s="376">
        <f t="shared" si="63"/>
        <v>7212525.7628648095</v>
      </c>
      <c r="I153" s="376">
        <f t="shared" si="63"/>
        <v>6782971.9062009463</v>
      </c>
      <c r="J153" s="376">
        <f t="shared" si="63"/>
        <v>6556898.5167586422</v>
      </c>
      <c r="K153" s="376">
        <f t="shared" si="63"/>
        <v>6338344.4641095521</v>
      </c>
      <c r="L153" s="376">
        <f t="shared" si="63"/>
        <v>6127025.9680893524</v>
      </c>
      <c r="M153" s="376">
        <f t="shared" si="63"/>
        <v>5922671.0200473303</v>
      </c>
      <c r="N153" s="376">
        <f t="shared" si="63"/>
        <v>5725018.8629838526</v>
      </c>
      <c r="O153" s="376">
        <f t="shared" si="63"/>
        <v>5533819.4955697693</v>
      </c>
      <c r="P153" s="376">
        <f t="shared" si="63"/>
        <v>5348833.1989230579</v>
      </c>
      <c r="Q153" s="376">
        <f t="shared" si="63"/>
        <v>5169830.0850717844</v>
      </c>
      <c r="R153" s="376">
        <f t="shared" si="63"/>
        <v>4996589.6660837382</v>
      </c>
      <c r="S153" s="376">
        <f t="shared" si="63"/>
        <v>4613267.853731798</v>
      </c>
      <c r="T153" s="376">
        <f t="shared" si="63"/>
        <v>4482276.9267413802</v>
      </c>
      <c r="U153" s="376">
        <f t="shared" si="63"/>
        <v>4355947.5451460397</v>
      </c>
      <c r="V153" s="376">
        <f t="shared" si="63"/>
        <v>4234078.2307437202</v>
      </c>
      <c r="W153" s="376">
        <f t="shared" si="63"/>
        <v>4116476.8816800504</v>
      </c>
      <c r="X153" s="376">
        <f t="shared" si="63"/>
        <v>4002960.3220537291</v>
      </c>
      <c r="Y153" s="376">
        <f t="shared" si="63"/>
        <v>3893353.8735140115</v>
      </c>
      <c r="Z153" s="376">
        <f t="shared" si="63"/>
        <v>3787490.9477662505</v>
      </c>
      <c r="AA153" s="376">
        <f t="shared" si="63"/>
        <v>3685212.6589552094</v>
      </c>
      <c r="AB153" s="376">
        <f t="shared" si="63"/>
        <v>3586367.4549469328</v>
      </c>
      <c r="AC153" s="376">
        <f t="shared" si="63"/>
        <v>3465862.3543147072</v>
      </c>
      <c r="AD153" s="376">
        <f t="shared" si="63"/>
        <v>3477807.2311270456</v>
      </c>
      <c r="AE153" s="376">
        <f t="shared" si="63"/>
        <v>3493810.1446864805</v>
      </c>
      <c r="AF153" s="376">
        <f t="shared" si="63"/>
        <v>3513805.8962481683</v>
      </c>
      <c r="AG153" s="376">
        <f t="shared" si="63"/>
        <v>3537735.5631602621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1182342.857142857</v>
      </c>
      <c r="D154" s="376">
        <f t="shared" si="64"/>
        <v>1192798.2857142857</v>
      </c>
      <c r="E154" s="376">
        <f t="shared" si="64"/>
        <v>1204592.8885714284</v>
      </c>
      <c r="F154" s="376">
        <f t="shared" si="64"/>
        <v>1217757.208757143</v>
      </c>
      <c r="G154" s="376">
        <f t="shared" si="64"/>
        <v>1232323.5866342143</v>
      </c>
      <c r="H154" s="376">
        <f t="shared" si="64"/>
        <v>1248326.2173881989</v>
      </c>
      <c r="I154" s="376">
        <f t="shared" si="64"/>
        <v>1268297.9846434814</v>
      </c>
      <c r="J154" s="376">
        <f t="shared" si="64"/>
        <v>1289667.8482177798</v>
      </c>
      <c r="K154" s="376">
        <f t="shared" si="64"/>
        <v>1312479.7474512793</v>
      </c>
      <c r="L154" s="376">
        <f t="shared" si="64"/>
        <v>1336779.6189480231</v>
      </c>
      <c r="M154" s="376">
        <f t="shared" si="64"/>
        <v>1362615.4716726628</v>
      </c>
      <c r="N154" s="376">
        <f t="shared" si="64"/>
        <v>1390037.4651469532</v>
      </c>
      <c r="O154" s="376">
        <f t="shared" si="64"/>
        <v>1419097.9908680681</v>
      </c>
      <c r="P154" s="376">
        <f t="shared" si="64"/>
        <v>1449851.7570757226</v>
      </c>
      <c r="Q154" s="376">
        <f t="shared" si="64"/>
        <v>1482355.8770002248</v>
      </c>
      <c r="R154" s="376">
        <f t="shared" si="64"/>
        <v>1516669.9607288775</v>
      </c>
      <c r="S154" s="376">
        <f t="shared" si="64"/>
        <v>1556936.3022210915</v>
      </c>
      <c r="T154" s="376">
        <f t="shared" si="64"/>
        <v>1599017.3019423638</v>
      </c>
      <c r="U154" s="376">
        <f t="shared" si="64"/>
        <v>1642983.5061761627</v>
      </c>
      <c r="V154" s="376">
        <f t="shared" si="64"/>
        <v>1688908.3034577523</v>
      </c>
      <c r="W154" s="376">
        <f t="shared" si="64"/>
        <v>1736868.0380602602</v>
      </c>
      <c r="X154" s="376">
        <f t="shared" si="64"/>
        <v>1786942.128022226</v>
      </c>
      <c r="Y154" s="376">
        <f t="shared" si="64"/>
        <v>1839213.1878982754</v>
      </c>
      <c r="Z154" s="376">
        <f t="shared" si="64"/>
        <v>1893767.1564218155</v>
      </c>
      <c r="AA154" s="376">
        <f t="shared" si="64"/>
        <v>1950693.4292762203</v>
      </c>
      <c r="AB154" s="376">
        <f t="shared" si="64"/>
        <v>2010084.9971788267</v>
      </c>
      <c r="AC154" s="376">
        <f t="shared" si="64"/>
        <v>2079418.5125205244</v>
      </c>
      <c r="AD154" s="376">
        <f t="shared" si="64"/>
        <v>2151414.6696304358</v>
      </c>
      <c r="AE154" s="376">
        <f t="shared" si="64"/>
        <v>2226178.8671908346</v>
      </c>
      <c r="AF154" s="376">
        <f t="shared" si="64"/>
        <v>2303820.708761401</v>
      </c>
      <c r="AG154" s="376">
        <f t="shared" si="64"/>
        <v>2384454.1708636195</v>
      </c>
    </row>
    <row r="155" spans="1:34">
      <c r="A155" s="368" t="s">
        <v>318</v>
      </c>
      <c r="B155" s="300" t="s">
        <v>313</v>
      </c>
      <c r="C155" s="376">
        <f>'Changing with year'!C302</f>
        <v>660000</v>
      </c>
      <c r="D155" s="376">
        <f>'Changing with year'!D302</f>
        <v>690000</v>
      </c>
      <c r="E155" s="376">
        <f>'Changing with year'!E302</f>
        <v>721000</v>
      </c>
      <c r="F155" s="376">
        <f>'Changing with year'!F302</f>
        <v>753000</v>
      </c>
      <c r="G155" s="376">
        <f>'Changing with year'!G302</f>
        <v>787000</v>
      </c>
      <c r="H155" s="376">
        <f>'Changing with year'!H302</f>
        <v>822000</v>
      </c>
      <c r="I155" s="376">
        <f>'Changing with year'!I302</f>
        <v>859000</v>
      </c>
      <c r="J155" s="376">
        <f>'Changing with year'!J302</f>
        <v>898000</v>
      </c>
      <c r="K155" s="376">
        <f>'Changing with year'!K302</f>
        <v>938000</v>
      </c>
      <c r="L155" s="376">
        <f>'Changing with year'!L302</f>
        <v>980000</v>
      </c>
      <c r="M155" s="376">
        <f>'Changing with year'!M302</f>
        <v>1024000</v>
      </c>
      <c r="N155" s="376">
        <f>'Changing with year'!N302</f>
        <v>1070000</v>
      </c>
      <c r="O155" s="376">
        <f>'Changing with year'!O302</f>
        <v>1118000</v>
      </c>
      <c r="P155" s="376">
        <f>'Changing with year'!P302</f>
        <v>1168000</v>
      </c>
      <c r="Q155" s="376">
        <f>'Changing with year'!Q302</f>
        <v>1221000</v>
      </c>
      <c r="R155" s="376">
        <f>'Changing with year'!R302</f>
        <v>1276000</v>
      </c>
      <c r="S155" s="376">
        <f>'Changing with year'!S302</f>
        <v>1333000</v>
      </c>
      <c r="T155" s="376">
        <f>'Changing with year'!T302</f>
        <v>1393000</v>
      </c>
      <c r="U155" s="376">
        <f>'Changing with year'!U302</f>
        <v>1456000</v>
      </c>
      <c r="V155" s="376">
        <f>'Changing with year'!V302</f>
        <v>1522000</v>
      </c>
      <c r="W155" s="376">
        <f>'Changing with year'!W302</f>
        <v>1590000</v>
      </c>
      <c r="X155" s="376">
        <f>'Changing with year'!X302</f>
        <v>1662000</v>
      </c>
      <c r="Y155" s="376">
        <f>'Changing with year'!Y302</f>
        <v>1737000</v>
      </c>
      <c r="Z155" s="376">
        <f>'Changing with year'!Z302</f>
        <v>1815000</v>
      </c>
      <c r="AA155" s="376">
        <f>'Changing with year'!AA302</f>
        <v>1897000</v>
      </c>
      <c r="AB155" s="376">
        <f>'Changing with year'!AB302</f>
        <v>1982000</v>
      </c>
      <c r="AC155" s="376">
        <f>'Changing with year'!AC302</f>
        <v>2071000</v>
      </c>
      <c r="AD155" s="376">
        <f>'Changing with year'!AD302</f>
        <v>2164000</v>
      </c>
      <c r="AE155" s="376">
        <f>'Changing with year'!AE302</f>
        <v>2261000</v>
      </c>
      <c r="AF155" s="376">
        <f>'Changing with year'!AF302</f>
        <v>2363000</v>
      </c>
      <c r="AG155" s="376">
        <f>'Changing with year'!AG302</f>
        <v>2469000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C61</f>
        <v>972000</v>
      </c>
      <c r="D156" s="376">
        <f t="shared" si="65"/>
        <v>981720</v>
      </c>
      <c r="E156" s="376">
        <f t="shared" si="65"/>
        <v>991537.2</v>
      </c>
      <c r="F156" s="376">
        <f t="shared" si="65"/>
        <v>1001452.5719999999</v>
      </c>
      <c r="G156" s="376">
        <f t="shared" si="65"/>
        <v>1011467.0977199998</v>
      </c>
      <c r="H156" s="376">
        <f t="shared" si="65"/>
        <v>1021581.7686972</v>
      </c>
      <c r="I156" s="376">
        <f t="shared" si="65"/>
        <v>1031797.586384172</v>
      </c>
      <c r="J156" s="376">
        <f t="shared" si="65"/>
        <v>1042115.5622480137</v>
      </c>
      <c r="K156" s="376">
        <f t="shared" si="65"/>
        <v>1052536.7178704939</v>
      </c>
      <c r="L156" s="376">
        <f t="shared" si="65"/>
        <v>1063062.0850491989</v>
      </c>
      <c r="M156" s="376">
        <f t="shared" si="65"/>
        <v>1073692.705899691</v>
      </c>
      <c r="N156" s="376">
        <f t="shared" si="65"/>
        <v>1084429.6329586878</v>
      </c>
      <c r="O156" s="376">
        <f t="shared" si="65"/>
        <v>1095273.9292882748</v>
      </c>
      <c r="P156" s="376">
        <f t="shared" si="65"/>
        <v>1106226.6685811577</v>
      </c>
      <c r="Q156" s="376">
        <f t="shared" si="65"/>
        <v>1117288.9352669693</v>
      </c>
      <c r="R156" s="376">
        <f t="shared" si="65"/>
        <v>1128461.824619639</v>
      </c>
      <c r="S156" s="376">
        <f t="shared" si="65"/>
        <v>1139746.4428658355</v>
      </c>
      <c r="T156" s="376">
        <f t="shared" si="65"/>
        <v>1151143.9072944939</v>
      </c>
      <c r="U156" s="376">
        <f t="shared" si="65"/>
        <v>1162655.3463674388</v>
      </c>
      <c r="V156" s="376">
        <f t="shared" si="65"/>
        <v>1174281.8998311132</v>
      </c>
      <c r="W156" s="376">
        <f t="shared" si="65"/>
        <v>1186024.7188294244</v>
      </c>
      <c r="X156" s="376">
        <f t="shared" si="65"/>
        <v>1197884.9660177184</v>
      </c>
      <c r="Y156" s="376">
        <f t="shared" si="65"/>
        <v>1209863.8156778959</v>
      </c>
      <c r="Z156" s="376">
        <f t="shared" si="65"/>
        <v>1221962.4538346748</v>
      </c>
      <c r="AA156" s="376">
        <f t="shared" si="65"/>
        <v>1234182.0783730214</v>
      </c>
      <c r="AB156" s="376">
        <f t="shared" si="65"/>
        <v>1246523.8991567518</v>
      </c>
      <c r="AC156" s="376">
        <f t="shared" si="65"/>
        <v>1258989.1381483194</v>
      </c>
      <c r="AD156" s="376">
        <f t="shared" si="65"/>
        <v>1271579.0295298027</v>
      </c>
      <c r="AE156" s="376">
        <f t="shared" si="65"/>
        <v>1284294.8198251007</v>
      </c>
      <c r="AF156" s="376">
        <f t="shared" si="65"/>
        <v>1297137.7680233517</v>
      </c>
      <c r="AG156" s="376">
        <f t="shared" si="65"/>
        <v>1310109.1457035851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307320</v>
      </c>
      <c r="D157" s="376">
        <f t="shared" si="66"/>
        <v>302580</v>
      </c>
      <c r="E157" s="376">
        <f t="shared" si="66"/>
        <v>298180</v>
      </c>
      <c r="F157" s="376">
        <f t="shared" si="66"/>
        <v>294140</v>
      </c>
      <c r="G157" s="376">
        <f t="shared" si="66"/>
        <v>290420</v>
      </c>
      <c r="H157" s="376">
        <f t="shared" si="66"/>
        <v>291060</v>
      </c>
      <c r="I157" s="376">
        <f t="shared" si="66"/>
        <v>289320</v>
      </c>
      <c r="J157" s="376">
        <f t="shared" si="66"/>
        <v>287960</v>
      </c>
      <c r="K157" s="376">
        <f t="shared" si="66"/>
        <v>286860</v>
      </c>
      <c r="L157" s="376">
        <f t="shared" si="66"/>
        <v>286020</v>
      </c>
      <c r="M157" s="376">
        <f t="shared" si="66"/>
        <v>285420</v>
      </c>
      <c r="N157" s="376">
        <f t="shared" si="66"/>
        <v>285060</v>
      </c>
      <c r="O157" s="376">
        <f t="shared" si="66"/>
        <v>284960</v>
      </c>
      <c r="P157" s="376">
        <f t="shared" si="66"/>
        <v>285100</v>
      </c>
      <c r="Q157" s="376">
        <f t="shared" si="66"/>
        <v>285500</v>
      </c>
      <c r="R157" s="376">
        <f t="shared" si="66"/>
        <v>286140</v>
      </c>
      <c r="S157" s="376">
        <f t="shared" si="66"/>
        <v>285060</v>
      </c>
      <c r="T157" s="376">
        <f t="shared" si="66"/>
        <v>288700</v>
      </c>
      <c r="U157" s="376">
        <f t="shared" si="66"/>
        <v>292520</v>
      </c>
      <c r="V157" s="376">
        <f t="shared" si="66"/>
        <v>296520</v>
      </c>
      <c r="W157" s="376">
        <f t="shared" si="66"/>
        <v>300720</v>
      </c>
      <c r="X157" s="376">
        <f t="shared" si="66"/>
        <v>300820</v>
      </c>
      <c r="Y157" s="376">
        <f t="shared" si="66"/>
        <v>305440</v>
      </c>
      <c r="Z157" s="376">
        <f t="shared" si="66"/>
        <v>310280</v>
      </c>
      <c r="AA157" s="376">
        <f t="shared" si="66"/>
        <v>315320</v>
      </c>
      <c r="AB157" s="376">
        <f t="shared" si="66"/>
        <v>320560</v>
      </c>
      <c r="AC157" s="376">
        <f t="shared" si="66"/>
        <v>323860</v>
      </c>
      <c r="AD157" s="376">
        <f t="shared" si="66"/>
        <v>331500</v>
      </c>
      <c r="AE157" s="376">
        <f t="shared" si="66"/>
        <v>339360</v>
      </c>
      <c r="AF157" s="376">
        <f t="shared" si="66"/>
        <v>347420</v>
      </c>
      <c r="AG157" s="376">
        <f t="shared" si="66"/>
        <v>355700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31.175584535747891</v>
      </c>
      <c r="D159" s="379">
        <f t="shared" si="67"/>
        <v>30.694742837519836</v>
      </c>
      <c r="E159" s="379">
        <f t="shared" si="67"/>
        <v>30.248391894017004</v>
      </c>
      <c r="F159" s="379">
        <f t="shared" si="67"/>
        <v>29.838560573164401</v>
      </c>
      <c r="G159" s="379">
        <f t="shared" si="67"/>
        <v>29.461191139112007</v>
      </c>
      <c r="H159" s="379">
        <f t="shared" si="67"/>
        <v>29.526114912712419</v>
      </c>
      <c r="I159" s="379">
        <f t="shared" si="67"/>
        <v>29.349603403236298</v>
      </c>
      <c r="J159" s="379">
        <f t="shared" si="67"/>
        <v>29.211640384335425</v>
      </c>
      <c r="K159" s="379">
        <f t="shared" si="67"/>
        <v>29.100052648459716</v>
      </c>
      <c r="L159" s="379">
        <f t="shared" si="67"/>
        <v>29.014840195609175</v>
      </c>
      <c r="M159" s="379">
        <f t="shared" si="67"/>
        <v>28.953974157858788</v>
      </c>
      <c r="N159" s="379">
        <f t="shared" si="67"/>
        <v>28.917454535208556</v>
      </c>
      <c r="O159" s="379">
        <f t="shared" si="67"/>
        <v>28.907310195583491</v>
      </c>
      <c r="P159" s="379">
        <f t="shared" si="67"/>
        <v>28.921512271058582</v>
      </c>
      <c r="Q159" s="379">
        <f t="shared" si="67"/>
        <v>28.962089629558843</v>
      </c>
      <c r="R159" s="379">
        <f t="shared" si="67"/>
        <v>29.027013403159252</v>
      </c>
      <c r="S159" s="379">
        <f t="shared" si="67"/>
        <v>28.917454535208556</v>
      </c>
      <c r="T159" s="379">
        <f t="shared" si="67"/>
        <v>29.286708497560902</v>
      </c>
      <c r="U159" s="379">
        <f t="shared" si="67"/>
        <v>29.674222271238364</v>
      </c>
      <c r="V159" s="379">
        <f t="shared" si="67"/>
        <v>30.079995856240934</v>
      </c>
      <c r="W159" s="379">
        <f t="shared" si="67"/>
        <v>30.506058120493638</v>
      </c>
      <c r="X159" s="379">
        <f t="shared" si="67"/>
        <v>30.516202460118702</v>
      </c>
      <c r="Y159" s="379">
        <f t="shared" si="67"/>
        <v>30.98487095079668</v>
      </c>
      <c r="Z159" s="379">
        <f t="shared" si="67"/>
        <v>31.475856988649799</v>
      </c>
      <c r="AA159" s="379">
        <f t="shared" si="67"/>
        <v>31.98713170575304</v>
      </c>
      <c r="AB159" s="379">
        <f t="shared" si="67"/>
        <v>32.518695102106413</v>
      </c>
      <c r="AC159" s="379">
        <f t="shared" si="67"/>
        <v>32.85345830973354</v>
      </c>
      <c r="AD159" s="379">
        <f t="shared" si="67"/>
        <v>33.628485857088457</v>
      </c>
      <c r="AE159" s="379">
        <f t="shared" si="67"/>
        <v>34.425830951618522</v>
      </c>
      <c r="AF159" s="379">
        <f t="shared" si="67"/>
        <v>35.243464725398709</v>
      </c>
      <c r="AG159" s="379">
        <f t="shared" si="67"/>
        <v>36.083416046354046</v>
      </c>
    </row>
    <row r="160" spans="1:34">
      <c r="A160" s="300" t="s">
        <v>321</v>
      </c>
      <c r="B160" s="300" t="s">
        <v>300</v>
      </c>
      <c r="C160" s="379">
        <f t="shared" si="67"/>
        <v>69.375</v>
      </c>
      <c r="D160" s="379">
        <f t="shared" si="67"/>
        <v>68.730769230769241</v>
      </c>
      <c r="E160" s="379">
        <f t="shared" si="67"/>
        <v>68.150817307692321</v>
      </c>
      <c r="F160" s="379">
        <f t="shared" si="67"/>
        <v>67.633711057692324</v>
      </c>
      <c r="G160" s="379">
        <f t="shared" si="67"/>
        <v>67.178086360576927</v>
      </c>
      <c r="H160" s="379">
        <f t="shared" si="67"/>
        <v>66.782645952451944</v>
      </c>
      <c r="I160" s="379">
        <f t="shared" si="67"/>
        <v>62.80529542778654</v>
      </c>
      <c r="J160" s="379">
        <f t="shared" si="67"/>
        <v>60.712023303320763</v>
      </c>
      <c r="K160" s="379">
        <f t="shared" si="67"/>
        <v>58.688374667681039</v>
      </c>
      <c r="L160" s="379">
        <f t="shared" si="67"/>
        <v>56.731721926753259</v>
      </c>
      <c r="M160" s="379">
        <f t="shared" si="67"/>
        <v>54.839546481919726</v>
      </c>
      <c r="N160" s="379">
        <f t="shared" si="67"/>
        <v>53.009433916517153</v>
      </c>
      <c r="O160" s="379">
        <f t="shared" si="67"/>
        <v>51.239069403423791</v>
      </c>
      <c r="P160" s="379">
        <f t="shared" si="67"/>
        <v>49.526233323361645</v>
      </c>
      <c r="Q160" s="379">
        <f t="shared" si="67"/>
        <v>47.868797083998004</v>
      </c>
      <c r="R160" s="379">
        <f t="shared" si="67"/>
        <v>46.264719130404984</v>
      </c>
      <c r="S160" s="379">
        <f t="shared" si="67"/>
        <v>42.71544309010924</v>
      </c>
      <c r="T160" s="379">
        <f t="shared" si="67"/>
        <v>41.502564136494264</v>
      </c>
      <c r="U160" s="379">
        <f t="shared" si="67"/>
        <v>40.332847640241106</v>
      </c>
      <c r="V160" s="379">
        <f t="shared" si="67"/>
        <v>39.204428062441856</v>
      </c>
      <c r="W160" s="379">
        <f t="shared" si="67"/>
        <v>38.115526682222686</v>
      </c>
      <c r="X160" s="379">
        <f t="shared" si="67"/>
        <v>37.06444742642342</v>
      </c>
      <c r="Y160" s="379">
        <f t="shared" si="67"/>
        <v>36.049572902907514</v>
      </c>
      <c r="Z160" s="379">
        <f t="shared" si="67"/>
        <v>35.069360627465279</v>
      </c>
      <c r="AA160" s="379">
        <f t="shared" si="67"/>
        <v>34.12233943477046</v>
      </c>
      <c r="AB160" s="379">
        <f t="shared" si="67"/>
        <v>33.207106064323455</v>
      </c>
      <c r="AC160" s="379">
        <f t="shared" si="67"/>
        <v>32.091318095506551</v>
      </c>
      <c r="AD160" s="379">
        <f t="shared" si="67"/>
        <v>32.201918806731904</v>
      </c>
      <c r="AE160" s="379">
        <f t="shared" si="67"/>
        <v>32.350093932282228</v>
      </c>
      <c r="AF160" s="379">
        <f t="shared" si="67"/>
        <v>32.535239780075635</v>
      </c>
      <c r="AG160" s="379">
        <f t="shared" si="67"/>
        <v>32.756810770002424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28.904285714285717</v>
      </c>
      <c r="D161" s="379">
        <f t="shared" si="68"/>
        <v>29.324984126984123</v>
      </c>
      <c r="E161" s="379">
        <f t="shared" si="68"/>
        <v>29.771389708994707</v>
      </c>
      <c r="F161" s="379">
        <f t="shared" si="68"/>
        <v>30.243979451455029</v>
      </c>
      <c r="G161" s="379">
        <f t="shared" si="68"/>
        <v>30.751950781057538</v>
      </c>
      <c r="H161" s="379">
        <f t="shared" si="68"/>
        <v>31.323777648938879</v>
      </c>
      <c r="I161" s="379">
        <f t="shared" si="68"/>
        <v>31.92977380581161</v>
      </c>
      <c r="J161" s="379">
        <f t="shared" si="68"/>
        <v>32.571698245053646</v>
      </c>
      <c r="K161" s="379">
        <f t="shared" si="68"/>
        <v>33.239596901127527</v>
      </c>
      <c r="L161" s="379">
        <f t="shared" si="68"/>
        <v>33.943163925900201</v>
      </c>
      <c r="M161" s="379">
        <f t="shared" si="68"/>
        <v>34.682668310855128</v>
      </c>
      <c r="N161" s="379">
        <f t="shared" si="68"/>
        <v>35.458584241718896</v>
      </c>
      <c r="O161" s="379">
        <f t="shared" si="68"/>
        <v>36.271591853299469</v>
      </c>
      <c r="P161" s="379">
        <f t="shared" si="68"/>
        <v>37.122022459785931</v>
      </c>
      <c r="Q161" s="379">
        <f t="shared" si="68"/>
        <v>38.019859372844387</v>
      </c>
      <c r="R161" s="379">
        <f t="shared" si="68"/>
        <v>38.956220234708482</v>
      </c>
      <c r="S161" s="379">
        <f t="shared" si="68"/>
        <v>39.95132171376784</v>
      </c>
      <c r="T161" s="379">
        <f t="shared" si="68"/>
        <v>41.035751937378308</v>
      </c>
      <c r="U161" s="379">
        <f t="shared" si="68"/>
        <v>42.16813752355187</v>
      </c>
      <c r="V161" s="379">
        <f t="shared" si="68"/>
        <v>43.349168548970972</v>
      </c>
      <c r="W161" s="379">
        <f t="shared" si="68"/>
        <v>44.570488489719295</v>
      </c>
      <c r="X161" s="379">
        <f t="shared" si="68"/>
        <v>45.81154716703653</v>
      </c>
      <c r="Y161" s="379">
        <f t="shared" si="68"/>
        <v>47.143675959038625</v>
      </c>
      <c r="Z161" s="379">
        <f t="shared" si="68"/>
        <v>48.527866761634172</v>
      </c>
      <c r="AA161" s="379">
        <f t="shared" si="68"/>
        <v>49.974032478233724</v>
      </c>
      <c r="AB161" s="379">
        <f t="shared" si="68"/>
        <v>51.473786077181281</v>
      </c>
      <c r="AC161" s="379">
        <f t="shared" si="68"/>
        <v>53.085811580267077</v>
      </c>
      <c r="AD161" s="379">
        <f t="shared" si="68"/>
        <v>54.800867584817027</v>
      </c>
      <c r="AE161" s="379">
        <f t="shared" si="68"/>
        <v>56.581793398295694</v>
      </c>
      <c r="AF161" s="379">
        <f t="shared" si="68"/>
        <v>58.438689599858819</v>
      </c>
      <c r="AG161" s="379">
        <f t="shared" si="68"/>
        <v>60.36354922747411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1.0162698412698412</v>
      </c>
      <c r="D162" s="379">
        <f t="shared" si="69"/>
        <v>1.0005952380952379</v>
      </c>
      <c r="E162" s="379">
        <f t="shared" si="69"/>
        <v>0.98604497354497345</v>
      </c>
      <c r="F162" s="379">
        <f t="shared" si="69"/>
        <v>0.97268518518518499</v>
      </c>
      <c r="G162" s="379">
        <f t="shared" si="69"/>
        <v>0.96038359788359773</v>
      </c>
      <c r="H162" s="379">
        <f t="shared" si="69"/>
        <v>0.9624999999999998</v>
      </c>
      <c r="I162" s="379">
        <f t="shared" si="69"/>
        <v>0.95674603174603157</v>
      </c>
      <c r="J162" s="379">
        <f t="shared" si="69"/>
        <v>0.95224867724867712</v>
      </c>
      <c r="K162" s="379">
        <f t="shared" si="69"/>
        <v>0.94861111111111096</v>
      </c>
      <c r="L162" s="379">
        <f t="shared" si="69"/>
        <v>0.94583333333333319</v>
      </c>
      <c r="M162" s="379">
        <f t="shared" si="69"/>
        <v>0.94384920634920622</v>
      </c>
      <c r="N162" s="379">
        <f t="shared" si="69"/>
        <v>2.8279761904761913</v>
      </c>
      <c r="O162" s="379">
        <f t="shared" si="69"/>
        <v>2.8269841269841276</v>
      </c>
      <c r="P162" s="379">
        <f t="shared" si="69"/>
        <v>2.8283730158730167</v>
      </c>
      <c r="Q162" s="379">
        <f t="shared" si="69"/>
        <v>2.8323412698412707</v>
      </c>
      <c r="R162" s="379">
        <f t="shared" si="69"/>
        <v>2.838690476190477</v>
      </c>
      <c r="S162" s="379">
        <f t="shared" si="69"/>
        <v>2.8279761904761913</v>
      </c>
      <c r="T162" s="379">
        <f t="shared" si="69"/>
        <v>2.8640873015873023</v>
      </c>
      <c r="U162" s="379">
        <f t="shared" si="69"/>
        <v>2.9019841269841278</v>
      </c>
      <c r="V162" s="379">
        <f t="shared" si="69"/>
        <v>2.9416666666666673</v>
      </c>
      <c r="W162" s="379">
        <f t="shared" si="69"/>
        <v>2.9833333333333338</v>
      </c>
      <c r="X162" s="379">
        <f t="shared" si="69"/>
        <v>4.9738756613756614</v>
      </c>
      <c r="Y162" s="379">
        <f t="shared" si="69"/>
        <v>5.0502645502645507</v>
      </c>
      <c r="Z162" s="379">
        <f t="shared" si="69"/>
        <v>5.1302910052910056</v>
      </c>
      <c r="AA162" s="379">
        <f t="shared" si="69"/>
        <v>5.2136243386243386</v>
      </c>
      <c r="AB162" s="379">
        <f t="shared" si="69"/>
        <v>5.3002645502645507</v>
      </c>
      <c r="AC162" s="379">
        <f t="shared" si="69"/>
        <v>5.3548280423280428</v>
      </c>
      <c r="AD162" s="379">
        <f t="shared" si="69"/>
        <v>5.4811507936507935</v>
      </c>
      <c r="AE162" s="379">
        <f t="shared" si="69"/>
        <v>5.6111111111111107</v>
      </c>
      <c r="AF162" s="379">
        <f t="shared" si="69"/>
        <v>5.744378306878307</v>
      </c>
      <c r="AG162" s="379">
        <f t="shared" si="69"/>
        <v>5.8812830687830688</v>
      </c>
    </row>
    <row r="163" spans="1:33" s="352" customFormat="1">
      <c r="A163" s="380" t="s">
        <v>323</v>
      </c>
      <c r="B163" s="352" t="s">
        <v>300</v>
      </c>
      <c r="C163" s="381">
        <f>SUM(C159:C161)-C162</f>
        <v>128.43860040876376</v>
      </c>
      <c r="D163" s="381">
        <f t="shared" ref="D163:AG163" si="70">SUM(D159:D161)-D162</f>
        <v>127.74990095717796</v>
      </c>
      <c r="E163" s="381">
        <f t="shared" si="70"/>
        <v>127.18455393715905</v>
      </c>
      <c r="F163" s="381">
        <f t="shared" si="70"/>
        <v>126.74356589712657</v>
      </c>
      <c r="G163" s="381">
        <f t="shared" si="70"/>
        <v>126.43084468286288</v>
      </c>
      <c r="H163" s="381">
        <f t="shared" si="70"/>
        <v>126.67003851410323</v>
      </c>
      <c r="I163" s="381">
        <f t="shared" si="70"/>
        <v>123.1279266050884</v>
      </c>
      <c r="J163" s="381">
        <f t="shared" si="70"/>
        <v>121.54311325546117</v>
      </c>
      <c r="K163" s="381">
        <f t="shared" si="70"/>
        <v>120.07941310615718</v>
      </c>
      <c r="L163" s="381">
        <f t="shared" si="70"/>
        <v>118.74389271492929</v>
      </c>
      <c r="M163" s="381">
        <f t="shared" si="70"/>
        <v>117.53233974428443</v>
      </c>
      <c r="N163" s="381">
        <f t="shared" si="70"/>
        <v>114.55749650296842</v>
      </c>
      <c r="O163" s="381">
        <f t="shared" si="70"/>
        <v>113.59098732532262</v>
      </c>
      <c r="P163" s="381">
        <f t="shared" si="70"/>
        <v>112.74139503833314</v>
      </c>
      <c r="Q163" s="381">
        <f t="shared" si="70"/>
        <v>112.01840481655998</v>
      </c>
      <c r="R163" s="381">
        <f t="shared" si="70"/>
        <v>111.40926229208225</v>
      </c>
      <c r="S163" s="381">
        <f t="shared" si="70"/>
        <v>108.75624314860944</v>
      </c>
      <c r="T163" s="381">
        <f t="shared" si="70"/>
        <v>108.96093726984617</v>
      </c>
      <c r="U163" s="381">
        <f t="shared" si="70"/>
        <v>109.27322330804722</v>
      </c>
      <c r="V163" s="381">
        <f t="shared" si="70"/>
        <v>109.69192580098709</v>
      </c>
      <c r="W163" s="381">
        <f t="shared" si="70"/>
        <v>110.20873995910229</v>
      </c>
      <c r="X163" s="381">
        <f t="shared" si="70"/>
        <v>108.418321392203</v>
      </c>
      <c r="Y163" s="381">
        <f t="shared" si="70"/>
        <v>109.12785526247825</v>
      </c>
      <c r="Z163" s="381">
        <f t="shared" si="70"/>
        <v>109.94279337245825</v>
      </c>
      <c r="AA163" s="381">
        <f t="shared" si="70"/>
        <v>110.86987928013288</v>
      </c>
      <c r="AB163" s="381">
        <f t="shared" si="70"/>
        <v>111.89932269334659</v>
      </c>
      <c r="AC163" s="381">
        <f t="shared" si="70"/>
        <v>112.67575994317913</v>
      </c>
      <c r="AD163" s="381">
        <f t="shared" si="70"/>
        <v>115.15012145498659</v>
      </c>
      <c r="AE163" s="381">
        <f t="shared" si="70"/>
        <v>117.74660717108534</v>
      </c>
      <c r="AF163" s="381">
        <f t="shared" si="70"/>
        <v>120.47301579845485</v>
      </c>
      <c r="AG163" s="381">
        <f t="shared" si="70"/>
        <v>123.32249297504754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64.079056687579651</v>
      </c>
      <c r="D165" s="379">
        <f t="shared" si="72"/>
        <v>68.812902109298619</v>
      </c>
      <c r="E165" s="379">
        <f t="shared" si="72"/>
        <v>70.461991861324023</v>
      </c>
      <c r="F165" s="379">
        <f t="shared" si="72"/>
        <v>72.15511654223863</v>
      </c>
      <c r="G165" s="379">
        <f t="shared" si="72"/>
        <v>73.902609231779522</v>
      </c>
      <c r="H165" s="379">
        <f t="shared" si="72"/>
        <v>76.317224115246944</v>
      </c>
      <c r="I165" s="379">
        <f t="shared" si="72"/>
        <v>78.185833092867838</v>
      </c>
      <c r="J165" s="379">
        <f t="shared" si="72"/>
        <v>80.103229623230675</v>
      </c>
      <c r="K165" s="379">
        <f t="shared" si="72"/>
        <v>82.079692243678679</v>
      </c>
      <c r="L165" s="379">
        <f t="shared" si="72"/>
        <v>84.107163642440327</v>
      </c>
      <c r="M165" s="379">
        <f t="shared" si="72"/>
        <v>86.196133382247979</v>
      </c>
      <c r="N165" s="379">
        <f t="shared" si="72"/>
        <v>89.32652513338239</v>
      </c>
      <c r="O165" s="379">
        <f t="shared" si="72"/>
        <v>91.571665953986596</v>
      </c>
      <c r="P165" s="379">
        <f t="shared" si="72"/>
        <v>93.882893991524853</v>
      </c>
      <c r="Q165" s="379">
        <f t="shared" si="72"/>
        <v>96.261758194252636</v>
      </c>
      <c r="R165" s="379">
        <f t="shared" si="72"/>
        <v>98.709504205426981</v>
      </c>
      <c r="S165" s="379">
        <f t="shared" si="72"/>
        <v>101.22774953208604</v>
      </c>
      <c r="T165" s="379">
        <f t="shared" si="72"/>
        <v>103.82723855058704</v>
      </c>
      <c r="U165" s="379">
        <f t="shared" si="72"/>
        <v>106.50023450215286</v>
      </c>
      <c r="V165" s="379">
        <f t="shared" si="72"/>
        <v>109.25772635102109</v>
      </c>
      <c r="W165" s="379">
        <f t="shared" si="72"/>
        <v>112.09205613237668</v>
      </c>
      <c r="X165" s="379">
        <f t="shared" si="72"/>
        <v>116.32936400691915</v>
      </c>
      <c r="Y165" s="379">
        <f t="shared" si="72"/>
        <v>119.38048574992223</v>
      </c>
      <c r="Z165" s="379">
        <f t="shared" si="72"/>
        <v>122.52410936039333</v>
      </c>
      <c r="AA165" s="379">
        <f t="shared" si="72"/>
        <v>125.762401188412</v>
      </c>
      <c r="AB165" s="379">
        <f t="shared" si="72"/>
        <v>129.10647117417682</v>
      </c>
      <c r="AC165" s="379">
        <f t="shared" si="72"/>
        <v>132.54896023203298</v>
      </c>
      <c r="AD165" s="379">
        <f t="shared" si="72"/>
        <v>136.10144251405049</v>
      </c>
      <c r="AE165" s="379">
        <f t="shared" si="72"/>
        <v>139.76610431217674</v>
      </c>
      <c r="AF165" s="379">
        <f t="shared" si="72"/>
        <v>143.54518695836671</v>
      </c>
      <c r="AG165" s="379">
        <f t="shared" si="72"/>
        <v>147.44098881524917</v>
      </c>
    </row>
    <row r="166" spans="1:33">
      <c r="A166" s="368" t="s">
        <v>179</v>
      </c>
      <c r="B166" s="368" t="s">
        <v>179</v>
      </c>
      <c r="C166" s="379">
        <f t="shared" ref="C166:AG166" si="73">C95</f>
        <v>61.125762955523953</v>
      </c>
      <c r="D166" s="379">
        <f t="shared" si="73"/>
        <v>63.607869177523014</v>
      </c>
      <c r="E166" s="379">
        <f t="shared" si="73"/>
        <v>65.492197845441297</v>
      </c>
      <c r="F166" s="379">
        <f t="shared" si="73"/>
        <v>67.435631854878608</v>
      </c>
      <c r="G166" s="379">
        <f t="shared" si="73"/>
        <v>69.449024147562</v>
      </c>
      <c r="H166" s="379">
        <f t="shared" si="73"/>
        <v>72.172287440558037</v>
      </c>
      <c r="I166" s="379">
        <f t="shared" si="73"/>
        <v>74.340754772739601</v>
      </c>
      <c r="J166" s="379">
        <f t="shared" si="73"/>
        <v>76.575605749737974</v>
      </c>
      <c r="K166" s="379">
        <f t="shared" si="73"/>
        <v>78.887930709323271</v>
      </c>
      <c r="L166" s="379">
        <f t="shared" si="73"/>
        <v>81.270361664525694</v>
      </c>
      <c r="M166" s="379">
        <f t="shared" si="73"/>
        <v>83.734111362618165</v>
      </c>
      <c r="N166" s="379">
        <f t="shared" si="73"/>
        <v>87.305648490167883</v>
      </c>
      <c r="O166" s="379">
        <f t="shared" si="73"/>
        <v>89.968889056044858</v>
      </c>
      <c r="P166" s="379">
        <f t="shared" si="73"/>
        <v>92.720625403528103</v>
      </c>
      <c r="Q166" s="379">
        <f t="shared" si="73"/>
        <v>95.563109187334362</v>
      </c>
      <c r="R166" s="379">
        <f t="shared" si="73"/>
        <v>98.498666307755656</v>
      </c>
      <c r="S166" s="379">
        <f t="shared" si="73"/>
        <v>101.5296994118887</v>
      </c>
      <c r="T166" s="379">
        <f t="shared" si="73"/>
        <v>104.66794974017483</v>
      </c>
      <c r="U166" s="379">
        <f t="shared" si="73"/>
        <v>107.90672202497743</v>
      </c>
      <c r="V166" s="379">
        <f t="shared" si="73"/>
        <v>111.25792429617967</v>
      </c>
      <c r="W166" s="379">
        <f t="shared" si="73"/>
        <v>114.71503370815661</v>
      </c>
      <c r="X166" s="379">
        <f t="shared" si="73"/>
        <v>119.66691287258206</v>
      </c>
      <c r="Y166" s="379">
        <f t="shared" si="73"/>
        <v>123.40423310393945</v>
      </c>
      <c r="Z166" s="379">
        <f t="shared" si="73"/>
        <v>127.26672407622632</v>
      </c>
      <c r="AA166" s="379">
        <f t="shared" si="73"/>
        <v>131.25754061730603</v>
      </c>
      <c r="AB166" s="379">
        <f t="shared" si="73"/>
        <v>135.38920144618746</v>
      </c>
      <c r="AC166" s="379">
        <f t="shared" si="73"/>
        <v>139.6558149403408</v>
      </c>
      <c r="AD166" s="379">
        <f t="shared" si="73"/>
        <v>144.07011984049285</v>
      </c>
      <c r="AE166" s="379">
        <f t="shared" si="73"/>
        <v>148.63571126760579</v>
      </c>
      <c r="AF166" s="379">
        <f t="shared" si="73"/>
        <v>153.35630390837946</v>
      </c>
      <c r="AG166" s="379">
        <f t="shared" si="73"/>
        <v>158.23573607763336</v>
      </c>
    </row>
    <row r="167" spans="1:33">
      <c r="A167" s="300" t="s">
        <v>180</v>
      </c>
      <c r="B167" s="300" t="s">
        <v>180</v>
      </c>
      <c r="C167" s="379">
        <f t="shared" ref="C167:AG167" si="74">C112</f>
        <v>62.26334034340482</v>
      </c>
      <c r="D167" s="379">
        <f t="shared" si="74"/>
        <v>64.255080671924489</v>
      </c>
      <c r="E167" s="379">
        <f t="shared" si="74"/>
        <v>66.122337594237607</v>
      </c>
      <c r="F167" s="379">
        <f t="shared" si="74"/>
        <v>68.044933887521552</v>
      </c>
      <c r="G167" s="379">
        <f t="shared" si="74"/>
        <v>70.038320266080433</v>
      </c>
      <c r="H167" s="379">
        <f t="shared" si="74"/>
        <v>72.740524199324028</v>
      </c>
      <c r="I167" s="379">
        <f t="shared" si="74"/>
        <v>74.886604300504132</v>
      </c>
      <c r="J167" s="379">
        <f t="shared" si="74"/>
        <v>77.098493558471915</v>
      </c>
      <c r="K167" s="379">
        <f t="shared" si="74"/>
        <v>79.386973689653914</v>
      </c>
      <c r="L167" s="379">
        <f t="shared" si="74"/>
        <v>81.742740012081498</v>
      </c>
      <c r="M167" s="379">
        <f t="shared" si="74"/>
        <v>84.179915486674091</v>
      </c>
      <c r="N167" s="379">
        <f t="shared" si="74"/>
        <v>87.847900478924558</v>
      </c>
      <c r="O167" s="379">
        <f t="shared" si="74"/>
        <v>90.482458120384692</v>
      </c>
      <c r="P167" s="379">
        <f t="shared" si="74"/>
        <v>93.204563501211268</v>
      </c>
      <c r="Q167" s="379">
        <f t="shared" si="74"/>
        <v>96.016072105922845</v>
      </c>
      <c r="R167" s="379">
        <f t="shared" si="74"/>
        <v>98.917150689360199</v>
      </c>
      <c r="S167" s="379">
        <f t="shared" si="74"/>
        <v>101.91503487209852</v>
      </c>
      <c r="T167" s="379">
        <f t="shared" si="74"/>
        <v>105.01577971826543</v>
      </c>
      <c r="U167" s="379">
        <f t="shared" si="74"/>
        <v>108.21749733761776</v>
      </c>
      <c r="V167" s="379">
        <f t="shared" si="74"/>
        <v>111.52988540005168</v>
      </c>
      <c r="W167" s="379">
        <f t="shared" si="74"/>
        <v>114.94594801200748</v>
      </c>
      <c r="X167" s="379">
        <f t="shared" si="74"/>
        <v>119.98287128181761</v>
      </c>
      <c r="Y167" s="379">
        <f t="shared" si="74"/>
        <v>123.67492083677671</v>
      </c>
      <c r="Z167" s="379">
        <f t="shared" si="74"/>
        <v>127.49198836615224</v>
      </c>
      <c r="AA167" s="379">
        <f t="shared" si="74"/>
        <v>131.43477573994875</v>
      </c>
      <c r="AB167" s="379">
        <f t="shared" si="74"/>
        <v>135.51709836209807</v>
      </c>
      <c r="AC167" s="379">
        <f t="shared" si="74"/>
        <v>139.7305769640235</v>
      </c>
      <c r="AD167" s="379">
        <f t="shared" si="74"/>
        <v>144.09109460782065</v>
      </c>
      <c r="AE167" s="379">
        <f t="shared" si="74"/>
        <v>148.59972196770599</v>
      </c>
      <c r="AF167" s="379">
        <f t="shared" si="74"/>
        <v>153.26328014702841</v>
      </c>
      <c r="AG167" s="379">
        <f t="shared" si="74"/>
        <v>158.08116060672106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65.158997992512312</v>
      </c>
      <c r="D168" s="379">
        <f t="shared" si="75"/>
        <v>65.794654627669772</v>
      </c>
      <c r="E168" s="379">
        <f t="shared" si="75"/>
        <v>66.346696378648645</v>
      </c>
      <c r="F168" s="379">
        <f t="shared" si="75"/>
        <v>66.401095296987137</v>
      </c>
      <c r="G168" s="379">
        <f t="shared" si="75"/>
        <v>66.376388578451341</v>
      </c>
      <c r="H168" s="379">
        <f t="shared" si="75"/>
        <v>67.102754605866082</v>
      </c>
      <c r="I168" s="379">
        <f t="shared" si="75"/>
        <v>65.10903723279479</v>
      </c>
      <c r="J168" s="379">
        <f t="shared" si="75"/>
        <v>65.540782298628883</v>
      </c>
      <c r="K168" s="379">
        <f t="shared" si="75"/>
        <v>65.752752623777695</v>
      </c>
      <c r="L168" s="379">
        <f t="shared" si="75"/>
        <v>66.113509816446992</v>
      </c>
      <c r="M168" s="379">
        <f t="shared" si="75"/>
        <v>66.637307029288323</v>
      </c>
      <c r="N168" s="379">
        <f t="shared" si="75"/>
        <v>66.029044284760886</v>
      </c>
      <c r="O168" s="379">
        <f t="shared" si="75"/>
        <v>66.927111488006304</v>
      </c>
      <c r="P168" s="379">
        <f t="shared" si="75"/>
        <v>67.835433827527837</v>
      </c>
      <c r="Q168" s="379">
        <f t="shared" si="75"/>
        <v>68.862570665587413</v>
      </c>
      <c r="R168" s="379">
        <f t="shared" si="75"/>
        <v>70.007714649433396</v>
      </c>
      <c r="S168" s="379">
        <f t="shared" si="75"/>
        <v>71.118040611988306</v>
      </c>
      <c r="T168" s="379">
        <f t="shared" si="75"/>
        <v>72.665514634924378</v>
      </c>
      <c r="U168" s="379">
        <f t="shared" si="75"/>
        <v>74.232291824588188</v>
      </c>
      <c r="V168" s="379">
        <f t="shared" si="75"/>
        <v>75.868087344637814</v>
      </c>
      <c r="W168" s="379">
        <f t="shared" si="75"/>
        <v>77.569650889647974</v>
      </c>
      <c r="X168" s="379">
        <f t="shared" si="75"/>
        <v>77.665422357376386</v>
      </c>
      <c r="Y168" s="379">
        <f t="shared" si="75"/>
        <v>79.490250435797307</v>
      </c>
      <c r="Z168" s="379">
        <f t="shared" si="75"/>
        <v>81.392124296506097</v>
      </c>
      <c r="AA168" s="379">
        <f t="shared" si="75"/>
        <v>83.382960409584939</v>
      </c>
      <c r="AB168" s="379">
        <f t="shared" si="75"/>
        <v>85.454703633816436</v>
      </c>
      <c r="AC168" s="379">
        <f t="shared" si="75"/>
        <v>87.998968138561096</v>
      </c>
      <c r="AD168" s="379">
        <f t="shared" si="75"/>
        <v>90.70528909483447</v>
      </c>
      <c r="AE168" s="379">
        <f t="shared" si="75"/>
        <v>93.50873572713185</v>
      </c>
      <c r="AF168" s="379">
        <f t="shared" si="75"/>
        <v>96.425514605071427</v>
      </c>
      <c r="AG168" s="379">
        <f t="shared" si="75"/>
        <v>99.453567036374494</v>
      </c>
    </row>
    <row r="169" spans="1:33">
      <c r="A169" s="300" t="str">
        <f>A113</f>
        <v>H2-ICE</v>
      </c>
      <c r="B169" s="300" t="str">
        <f t="shared" ref="B169:B170" si="76">A169</f>
        <v>H2-ICE</v>
      </c>
      <c r="C169" s="379">
        <f t="shared" ref="C169:AG169" si="77">C129</f>
        <v>126.88133477707242</v>
      </c>
      <c r="D169" s="379">
        <f t="shared" si="77"/>
        <v>126.78077512013907</v>
      </c>
      <c r="E169" s="379">
        <f t="shared" si="77"/>
        <v>126.8048253762809</v>
      </c>
      <c r="F169" s="379">
        <f t="shared" si="77"/>
        <v>126.95008214521646</v>
      </c>
      <c r="G169" s="379">
        <f t="shared" si="77"/>
        <v>127.22446086928183</v>
      </c>
      <c r="H169" s="379">
        <f t="shared" si="77"/>
        <v>128.39726747998461</v>
      </c>
      <c r="I169" s="379">
        <f t="shared" si="77"/>
        <v>124.11128386894698</v>
      </c>
      <c r="J169" s="379">
        <f t="shared" si="77"/>
        <v>122.37683249508527</v>
      </c>
      <c r="K169" s="379">
        <f t="shared" si="77"/>
        <v>120.782504419239</v>
      </c>
      <c r="L169" s="379">
        <f t="shared" si="77"/>
        <v>119.31806284277751</v>
      </c>
      <c r="M169" s="379">
        <f t="shared" si="77"/>
        <v>117.99000808012494</v>
      </c>
      <c r="N169" s="379">
        <f t="shared" si="77"/>
        <v>115.68863554070414</v>
      </c>
      <c r="O169" s="379">
        <f t="shared" si="77"/>
        <v>114.6013841168824</v>
      </c>
      <c r="P169" s="379">
        <f t="shared" si="77"/>
        <v>113.64213959760387</v>
      </c>
      <c r="Q169" s="379">
        <f t="shared" si="77"/>
        <v>112.80876357619057</v>
      </c>
      <c r="R169" s="379">
        <f t="shared" si="77"/>
        <v>112.10107861097788</v>
      </c>
      <c r="S169" s="379">
        <f t="shared" si="77"/>
        <v>108.92778817630709</v>
      </c>
      <c r="T169" s="379">
        <f t="shared" si="77"/>
        <v>108.93140766830355</v>
      </c>
      <c r="U169" s="379">
        <f t="shared" si="77"/>
        <v>109.0476661544072</v>
      </c>
      <c r="V169" s="379">
        <f t="shared" si="77"/>
        <v>109.28600238518595</v>
      </c>
      <c r="W169" s="379">
        <f t="shared" si="77"/>
        <v>109.63203433628399</v>
      </c>
      <c r="X169" s="379">
        <f t="shared" si="77"/>
        <v>109.38444731066404</v>
      </c>
      <c r="Y169" s="379">
        <f t="shared" si="77"/>
        <v>109.94571482787569</v>
      </c>
      <c r="Z169" s="379">
        <f t="shared" si="77"/>
        <v>110.62511871021871</v>
      </c>
      <c r="AA169" s="379">
        <f t="shared" si="77"/>
        <v>111.42172938354705</v>
      </c>
      <c r="AB169" s="379">
        <f t="shared" si="77"/>
        <v>112.34225692903459</v>
      </c>
      <c r="AC169" s="379">
        <f t="shared" si="77"/>
        <v>113.06876770029562</v>
      </c>
      <c r="AD169" s="379">
        <f t="shared" si="77"/>
        <v>115.51777396264447</v>
      </c>
      <c r="AE169" s="379">
        <f t="shared" si="77"/>
        <v>118.10364477487528</v>
      </c>
      <c r="AF169" s="379">
        <f t="shared" si="77"/>
        <v>120.83033111827712</v>
      </c>
      <c r="AG169" s="379">
        <f t="shared" si="77"/>
        <v>123.69490689541121</v>
      </c>
    </row>
    <row r="170" spans="1:33">
      <c r="A170" s="300" t="str">
        <f>A147</f>
        <v>FCET</v>
      </c>
      <c r="B170" s="300" t="str">
        <f t="shared" si="76"/>
        <v>FCET</v>
      </c>
      <c r="C170" s="379">
        <f t="shared" ref="C170:AG170" si="78">C163</f>
        <v>128.43860040876376</v>
      </c>
      <c r="D170" s="379">
        <f t="shared" si="78"/>
        <v>127.74990095717796</v>
      </c>
      <c r="E170" s="379">
        <f t="shared" si="78"/>
        <v>127.18455393715905</v>
      </c>
      <c r="F170" s="379">
        <f t="shared" si="78"/>
        <v>126.74356589712657</v>
      </c>
      <c r="G170" s="379">
        <f t="shared" si="78"/>
        <v>126.43084468286288</v>
      </c>
      <c r="H170" s="379">
        <f t="shared" si="78"/>
        <v>126.67003851410323</v>
      </c>
      <c r="I170" s="379">
        <f t="shared" si="78"/>
        <v>123.1279266050884</v>
      </c>
      <c r="J170" s="379">
        <f t="shared" si="78"/>
        <v>121.54311325546117</v>
      </c>
      <c r="K170" s="379">
        <f t="shared" si="78"/>
        <v>120.07941310615718</v>
      </c>
      <c r="L170" s="379">
        <f t="shared" si="78"/>
        <v>118.74389271492929</v>
      </c>
      <c r="M170" s="379">
        <f t="shared" si="78"/>
        <v>117.53233974428443</v>
      </c>
      <c r="N170" s="379">
        <f t="shared" si="78"/>
        <v>114.55749650296842</v>
      </c>
      <c r="O170" s="379">
        <f t="shared" si="78"/>
        <v>113.59098732532262</v>
      </c>
      <c r="P170" s="379">
        <f t="shared" si="78"/>
        <v>112.74139503833314</v>
      </c>
      <c r="Q170" s="379">
        <f t="shared" si="78"/>
        <v>112.01840481655998</v>
      </c>
      <c r="R170" s="379">
        <f t="shared" si="78"/>
        <v>111.40926229208225</v>
      </c>
      <c r="S170" s="379">
        <f t="shared" si="78"/>
        <v>108.75624314860944</v>
      </c>
      <c r="T170" s="379">
        <f t="shared" si="78"/>
        <v>108.96093726984617</v>
      </c>
      <c r="U170" s="379">
        <f t="shared" si="78"/>
        <v>109.27322330804722</v>
      </c>
      <c r="V170" s="379">
        <f t="shared" si="78"/>
        <v>109.69192580098709</v>
      </c>
      <c r="W170" s="379">
        <f t="shared" si="78"/>
        <v>110.20873995910229</v>
      </c>
      <c r="X170" s="379">
        <f t="shared" si="78"/>
        <v>108.418321392203</v>
      </c>
      <c r="Y170" s="379">
        <f t="shared" si="78"/>
        <v>109.12785526247825</v>
      </c>
      <c r="Z170" s="379">
        <f t="shared" si="78"/>
        <v>109.94279337245825</v>
      </c>
      <c r="AA170" s="379">
        <f t="shared" si="78"/>
        <v>110.86987928013288</v>
      </c>
      <c r="AB170" s="379">
        <f t="shared" si="78"/>
        <v>111.89932269334659</v>
      </c>
      <c r="AC170" s="379">
        <f t="shared" si="78"/>
        <v>112.67575994317913</v>
      </c>
      <c r="AD170" s="379">
        <f t="shared" si="78"/>
        <v>115.15012145498659</v>
      </c>
      <c r="AE170" s="379">
        <f t="shared" si="78"/>
        <v>117.74660717108534</v>
      </c>
      <c r="AF170" s="379">
        <f t="shared" si="78"/>
        <v>120.47301579845485</v>
      </c>
      <c r="AG170" s="379">
        <f t="shared" si="78"/>
        <v>123.32249297504754</v>
      </c>
    </row>
    <row r="171" spans="1:33">
      <c r="A171" s="300" t="s">
        <v>334</v>
      </c>
      <c r="C171" s="379">
        <f t="shared" ref="C171:AG171" si="79">C165*0.9</f>
        <v>57.671151018821689</v>
      </c>
      <c r="D171" s="379">
        <f t="shared" si="79"/>
        <v>61.931611898368757</v>
      </c>
      <c r="E171" s="379">
        <f t="shared" si="79"/>
        <v>63.415792675191625</v>
      </c>
      <c r="F171" s="379">
        <f t="shared" si="79"/>
        <v>64.93960488801477</v>
      </c>
      <c r="G171" s="379">
        <f t="shared" si="79"/>
        <v>66.512348308601574</v>
      </c>
      <c r="H171" s="379">
        <f t="shared" si="79"/>
        <v>68.685501703722252</v>
      </c>
      <c r="I171" s="379">
        <f t="shared" si="79"/>
        <v>70.367249783581059</v>
      </c>
      <c r="J171" s="379">
        <f t="shared" si="79"/>
        <v>72.092906660907616</v>
      </c>
      <c r="K171" s="379">
        <f t="shared" si="79"/>
        <v>73.871723019310807</v>
      </c>
      <c r="L171" s="379">
        <f t="shared" si="79"/>
        <v>75.696447278196302</v>
      </c>
      <c r="M171" s="379">
        <f t="shared" si="79"/>
        <v>77.576520044023184</v>
      </c>
      <c r="N171" s="379">
        <f t="shared" si="79"/>
        <v>80.393872620044149</v>
      </c>
      <c r="O171" s="379">
        <f t="shared" si="79"/>
        <v>82.414499358587932</v>
      </c>
      <c r="P171" s="379">
        <f t="shared" si="79"/>
        <v>84.494604592372369</v>
      </c>
      <c r="Q171" s="379">
        <f t="shared" si="79"/>
        <v>86.635582374827379</v>
      </c>
      <c r="R171" s="379">
        <f t="shared" si="79"/>
        <v>88.838553784884283</v>
      </c>
      <c r="S171" s="379">
        <f t="shared" si="79"/>
        <v>91.104974578877432</v>
      </c>
      <c r="T171" s="379">
        <f t="shared" si="79"/>
        <v>93.444514695528341</v>
      </c>
      <c r="U171" s="379">
        <f t="shared" si="79"/>
        <v>95.850211051937578</v>
      </c>
      <c r="V171" s="379">
        <f t="shared" si="79"/>
        <v>98.331953715918985</v>
      </c>
      <c r="W171" s="379">
        <f t="shared" si="79"/>
        <v>100.88285051913901</v>
      </c>
      <c r="X171" s="379">
        <f t="shared" si="79"/>
        <v>104.69642760622723</v>
      </c>
      <c r="Y171" s="379">
        <f t="shared" si="79"/>
        <v>107.44243717493001</v>
      </c>
      <c r="Z171" s="379">
        <f t="shared" si="79"/>
        <v>110.271698424354</v>
      </c>
      <c r="AA171" s="379">
        <f t="shared" si="79"/>
        <v>113.1861610695708</v>
      </c>
      <c r="AB171" s="379">
        <f t="shared" si="79"/>
        <v>116.19582405675914</v>
      </c>
      <c r="AC171" s="379">
        <f t="shared" si="79"/>
        <v>119.29406420882968</v>
      </c>
      <c r="AD171" s="379">
        <f t="shared" si="79"/>
        <v>122.49129826264544</v>
      </c>
      <c r="AE171" s="379">
        <f t="shared" si="79"/>
        <v>125.78949388095907</v>
      </c>
      <c r="AF171" s="379">
        <f t="shared" si="79"/>
        <v>129.19066826253004</v>
      </c>
      <c r="AG171" s="379">
        <f t="shared" si="79"/>
        <v>132.69688993372426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1.6222545996855608</v>
      </c>
      <c r="D174" s="379">
        <f t="shared" si="81"/>
        <v>1.7420987875771803</v>
      </c>
      <c r="E174" s="379">
        <f t="shared" si="81"/>
        <v>1.7838478952233929</v>
      </c>
      <c r="F174" s="379">
        <f t="shared" si="81"/>
        <v>1.8267118111959146</v>
      </c>
      <c r="G174" s="379">
        <f t="shared" si="81"/>
        <v>1.8709521324501144</v>
      </c>
      <c r="H174" s="379">
        <f t="shared" si="81"/>
        <v>1.9320816231708089</v>
      </c>
      <c r="I174" s="379">
        <f t="shared" si="81"/>
        <v>1.9793881795662744</v>
      </c>
      <c r="J174" s="379">
        <f t="shared" si="81"/>
        <v>2.0279298638792573</v>
      </c>
      <c r="K174" s="379">
        <f t="shared" si="81"/>
        <v>2.0779668922450298</v>
      </c>
      <c r="L174" s="379">
        <f t="shared" si="81"/>
        <v>2.1292952820870972</v>
      </c>
      <c r="M174" s="379">
        <f t="shared" si="81"/>
        <v>2.1821805919556452</v>
      </c>
      <c r="N174" s="379">
        <f t="shared" si="81"/>
        <v>2.2614310160349969</v>
      </c>
      <c r="O174" s="379">
        <f t="shared" si="81"/>
        <v>2.3182700241515595</v>
      </c>
      <c r="P174" s="379">
        <f t="shared" si="81"/>
        <v>2.376782126367718</v>
      </c>
      <c r="Q174" s="379">
        <f t="shared" si="81"/>
        <v>2.437006536563358</v>
      </c>
      <c r="R174" s="379">
        <f t="shared" si="81"/>
        <v>2.4989747900108097</v>
      </c>
      <c r="S174" s="379">
        <f t="shared" si="81"/>
        <v>2.5627278362553425</v>
      </c>
      <c r="T174" s="379">
        <f t="shared" si="81"/>
        <v>2.6285376848249884</v>
      </c>
      <c r="U174" s="379">
        <f t="shared" si="81"/>
        <v>2.6962084684089334</v>
      </c>
      <c r="V174" s="379">
        <f t="shared" si="81"/>
        <v>2.7660183886334453</v>
      </c>
      <c r="W174" s="379">
        <f t="shared" si="81"/>
        <v>2.8377735729715616</v>
      </c>
      <c r="X174" s="379">
        <f t="shared" si="81"/>
        <v>2.9450471900485859</v>
      </c>
      <c r="Y174" s="379">
        <f t="shared" si="81"/>
        <v>3.0222907784790438</v>
      </c>
      <c r="Z174" s="379">
        <f t="shared" si="81"/>
        <v>3.1018761863390716</v>
      </c>
      <c r="AA174" s="379">
        <f t="shared" si="81"/>
        <v>3.1838582579344812</v>
      </c>
      <c r="AB174" s="379">
        <f t="shared" si="81"/>
        <v>3.268518257574097</v>
      </c>
      <c r="AC174" s="379">
        <f t="shared" si="81"/>
        <v>3.3556698792919741</v>
      </c>
      <c r="AD174" s="379">
        <f t="shared" si="81"/>
        <v>3.4456061395962148</v>
      </c>
      <c r="AE174" s="379">
        <f t="shared" si="81"/>
        <v>3.538382387650044</v>
      </c>
      <c r="AF174" s="379">
        <f t="shared" si="81"/>
        <v>3.6340553660346004</v>
      </c>
      <c r="AG174" s="379">
        <f t="shared" si="81"/>
        <v>3.7326832611455485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3.2121856905587958</v>
      </c>
      <c r="D175" s="379">
        <f t="shared" si="83"/>
        <v>3.2096398764592169</v>
      </c>
      <c r="E175" s="379">
        <f t="shared" si="83"/>
        <v>3.210248743703314</v>
      </c>
      <c r="F175" s="379">
        <f t="shared" si="83"/>
        <v>3.2139261302586442</v>
      </c>
      <c r="G175" s="379">
        <f t="shared" si="83"/>
        <v>3.2208724270704261</v>
      </c>
      <c r="H175" s="379">
        <f t="shared" si="83"/>
        <v>3.2505637336704964</v>
      </c>
      <c r="I175" s="379">
        <f t="shared" si="83"/>
        <v>3.1420578194670123</v>
      </c>
      <c r="J175" s="379">
        <f t="shared" si="83"/>
        <v>3.0981476581034246</v>
      </c>
      <c r="K175" s="379">
        <f t="shared" si="83"/>
        <v>3.0577849220060505</v>
      </c>
      <c r="L175" s="379">
        <f t="shared" si="83"/>
        <v>3.0207104517158863</v>
      </c>
      <c r="M175" s="379">
        <f t="shared" si="83"/>
        <v>2.9870888121550618</v>
      </c>
      <c r="N175" s="379">
        <f t="shared" si="83"/>
        <v>2.928826216220358</v>
      </c>
      <c r="O175" s="379">
        <f t="shared" si="83"/>
        <v>2.901300863718542</v>
      </c>
      <c r="P175" s="379">
        <f t="shared" si="83"/>
        <v>2.8770161923444015</v>
      </c>
      <c r="Q175" s="379">
        <f t="shared" si="83"/>
        <v>2.8559180652200147</v>
      </c>
      <c r="R175" s="379">
        <f t="shared" si="83"/>
        <v>2.8380019901513385</v>
      </c>
      <c r="S175" s="379">
        <f t="shared" si="83"/>
        <v>2.7576655234508123</v>
      </c>
      <c r="T175" s="379">
        <f t="shared" si="83"/>
        <v>2.7577571561595837</v>
      </c>
      <c r="U175" s="379">
        <f t="shared" si="83"/>
        <v>2.7607004089723337</v>
      </c>
      <c r="V175" s="379">
        <f t="shared" si="83"/>
        <v>2.7667342375996444</v>
      </c>
      <c r="W175" s="379">
        <f t="shared" si="83"/>
        <v>2.7754945401590883</v>
      </c>
      <c r="X175" s="379">
        <f t="shared" si="83"/>
        <v>2.7692265141940262</v>
      </c>
      <c r="Y175" s="379">
        <f t="shared" si="83"/>
        <v>2.7834358184272325</v>
      </c>
      <c r="Z175" s="379">
        <f t="shared" si="83"/>
        <v>2.8006359167143975</v>
      </c>
      <c r="AA175" s="379">
        <f t="shared" si="83"/>
        <v>2.8208032755328367</v>
      </c>
      <c r="AB175" s="379">
        <f t="shared" si="83"/>
        <v>2.8441077703553064</v>
      </c>
      <c r="AC175" s="379">
        <f t="shared" si="83"/>
        <v>2.8625004481087499</v>
      </c>
      <c r="AD175" s="379">
        <f t="shared" si="83"/>
        <v>2.924500606649227</v>
      </c>
      <c r="AE175" s="379">
        <f t="shared" si="83"/>
        <v>2.9899656905031713</v>
      </c>
      <c r="AF175" s="379">
        <f t="shared" si="83"/>
        <v>3.0589957245133448</v>
      </c>
      <c r="AG175" s="379">
        <f t="shared" si="83"/>
        <v>3.1315166302635746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1.5762870973013878</v>
      </c>
      <c r="D176" s="379">
        <f t="shared" si="84"/>
        <v>1.626710903086696</v>
      </c>
      <c r="E176" s="379">
        <f t="shared" si="84"/>
        <v>1.6739832302338635</v>
      </c>
      <c r="F176" s="379">
        <f t="shared" si="84"/>
        <v>1.7226565541144698</v>
      </c>
      <c r="G176" s="379">
        <f t="shared" si="84"/>
        <v>1.7731220320526691</v>
      </c>
      <c r="H176" s="379">
        <f t="shared" si="84"/>
        <v>1.8415322582107347</v>
      </c>
      <c r="I176" s="379">
        <f t="shared" si="84"/>
        <v>1.8958634000127628</v>
      </c>
      <c r="J176" s="379">
        <f t="shared" si="84"/>
        <v>1.9518605964170106</v>
      </c>
      <c r="K176" s="379">
        <f t="shared" si="84"/>
        <v>2.0097968022697192</v>
      </c>
      <c r="L176" s="379">
        <f t="shared" si="84"/>
        <v>2.0694364560020633</v>
      </c>
      <c r="M176" s="379">
        <f t="shared" si="84"/>
        <v>2.1311371009284579</v>
      </c>
      <c r="N176" s="379">
        <f t="shared" si="84"/>
        <v>2.223997480479103</v>
      </c>
      <c r="O176" s="379">
        <f t="shared" si="84"/>
        <v>2.2906951422882198</v>
      </c>
      <c r="P176" s="379">
        <f t="shared" si="84"/>
        <v>2.3596092025623108</v>
      </c>
      <c r="Q176" s="379">
        <f t="shared" si="84"/>
        <v>2.4307866355929835</v>
      </c>
      <c r="R176" s="379">
        <f t="shared" si="84"/>
        <v>2.5042316630217774</v>
      </c>
      <c r="S176" s="379">
        <f t="shared" si="84"/>
        <v>2.5801274651164183</v>
      </c>
      <c r="T176" s="379">
        <f t="shared" si="84"/>
        <v>2.6586273346396312</v>
      </c>
      <c r="U176" s="379">
        <f t="shared" si="84"/>
        <v>2.7396834769017153</v>
      </c>
      <c r="V176" s="379">
        <f t="shared" si="84"/>
        <v>2.8235414025329542</v>
      </c>
      <c r="W176" s="379">
        <f t="shared" si="84"/>
        <v>2.9100240003039866</v>
      </c>
      <c r="X176" s="379">
        <f t="shared" si="84"/>
        <v>3.0375410451093066</v>
      </c>
      <c r="Y176" s="379">
        <f t="shared" si="84"/>
        <v>3.1310106540956126</v>
      </c>
      <c r="Z176" s="379">
        <f t="shared" si="84"/>
        <v>3.2276452750924616</v>
      </c>
      <c r="AA176" s="379">
        <f t="shared" si="84"/>
        <v>3.3274626769607276</v>
      </c>
      <c r="AB176" s="379">
        <f t="shared" si="84"/>
        <v>3.4308126167619761</v>
      </c>
      <c r="AC176" s="379">
        <f t="shared" si="84"/>
        <v>3.5374829611145189</v>
      </c>
      <c r="AD176" s="379">
        <f t="shared" si="84"/>
        <v>3.6478758128562192</v>
      </c>
      <c r="AE176" s="379">
        <f t="shared" si="84"/>
        <v>3.7620182776634428</v>
      </c>
      <c r="AF176" s="379">
        <f t="shared" si="84"/>
        <v>3.8800830416969219</v>
      </c>
      <c r="AG176" s="379">
        <f t="shared" si="84"/>
        <v>4.0020546989043311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1.7563072235178521</v>
      </c>
      <c r="D177" s="379">
        <f t="shared" si="85"/>
        <v>1.7734408255436596</v>
      </c>
      <c r="E177" s="379">
        <f t="shared" si="85"/>
        <v>1.7883206571064325</v>
      </c>
      <c r="F177" s="379">
        <f t="shared" si="85"/>
        <v>1.7897869352287639</v>
      </c>
      <c r="G177" s="379">
        <f t="shared" si="85"/>
        <v>1.7891209859420847</v>
      </c>
      <c r="H177" s="379">
        <f t="shared" si="85"/>
        <v>1.8086995850637759</v>
      </c>
      <c r="I177" s="379">
        <f t="shared" si="85"/>
        <v>1.7549605723125279</v>
      </c>
      <c r="J177" s="379">
        <f t="shared" si="85"/>
        <v>1.76659790562342</v>
      </c>
      <c r="K177" s="379">
        <f t="shared" si="85"/>
        <v>1.7723113914764876</v>
      </c>
      <c r="L177" s="379">
        <f t="shared" si="85"/>
        <v>1.7820353050255253</v>
      </c>
      <c r="M177" s="379">
        <f t="shared" si="85"/>
        <v>1.7961538282827041</v>
      </c>
      <c r="N177" s="379">
        <f t="shared" si="85"/>
        <v>1.7797586060582449</v>
      </c>
      <c r="O177" s="379">
        <f t="shared" si="85"/>
        <v>1.8039652692184986</v>
      </c>
      <c r="P177" s="379">
        <f t="shared" si="85"/>
        <v>1.828448351146303</v>
      </c>
      <c r="Q177" s="379">
        <f t="shared" si="85"/>
        <v>1.8561339802045125</v>
      </c>
      <c r="R177" s="379">
        <f t="shared" si="85"/>
        <v>1.8870003948634337</v>
      </c>
      <c r="S177" s="379">
        <f t="shared" si="85"/>
        <v>1.9169283183824342</v>
      </c>
      <c r="T177" s="379">
        <f t="shared" si="85"/>
        <v>1.9586392084885276</v>
      </c>
      <c r="U177" s="379">
        <f t="shared" si="85"/>
        <v>2.0008703995845871</v>
      </c>
      <c r="V177" s="379">
        <f t="shared" si="85"/>
        <v>2.0449619230360594</v>
      </c>
      <c r="W177" s="379">
        <f t="shared" si="85"/>
        <v>2.0908261695322907</v>
      </c>
      <c r="X177" s="379">
        <f t="shared" si="85"/>
        <v>2.0934076107109538</v>
      </c>
      <c r="Y177" s="379">
        <f t="shared" si="85"/>
        <v>2.1425943513691998</v>
      </c>
      <c r="Z177" s="379">
        <f t="shared" si="85"/>
        <v>2.1938577977494904</v>
      </c>
      <c r="AA177" s="379">
        <f t="shared" si="85"/>
        <v>2.2475191485063326</v>
      </c>
      <c r="AB177" s="379">
        <f t="shared" si="85"/>
        <v>2.3033612839303621</v>
      </c>
      <c r="AC177" s="379">
        <f t="shared" si="85"/>
        <v>2.3719398420097333</v>
      </c>
      <c r="AD177" s="379">
        <f t="shared" si="85"/>
        <v>2.4448864985130583</v>
      </c>
      <c r="AE177" s="379">
        <f t="shared" si="85"/>
        <v>2.5204510977663572</v>
      </c>
      <c r="AF177" s="379">
        <f t="shared" si="85"/>
        <v>2.5990704745302269</v>
      </c>
      <c r="AG177" s="379">
        <f t="shared" si="85"/>
        <v>2.6806891384467519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3.2516101369307284</v>
      </c>
      <c r="D178" s="379">
        <f t="shared" si="87"/>
        <v>3.2341747077766572</v>
      </c>
      <c r="E178" s="379">
        <f t="shared" si="87"/>
        <v>3.2198621249913684</v>
      </c>
      <c r="F178" s="379">
        <f t="shared" si="87"/>
        <v>3.2086978708133311</v>
      </c>
      <c r="G178" s="379">
        <f t="shared" si="87"/>
        <v>3.2007808780471616</v>
      </c>
      <c r="H178" s="379">
        <f t="shared" si="87"/>
        <v>3.2068364180785629</v>
      </c>
      <c r="I178" s="379">
        <f t="shared" si="87"/>
        <v>3.1171626988629977</v>
      </c>
      <c r="J178" s="379">
        <f t="shared" si="87"/>
        <v>3.0770408419104092</v>
      </c>
      <c r="K178" s="379">
        <f t="shared" si="87"/>
        <v>3.0399851419280299</v>
      </c>
      <c r="L178" s="379">
        <f t="shared" si="87"/>
        <v>3.006174499112134</v>
      </c>
      <c r="M178" s="379">
        <f t="shared" si="87"/>
        <v>2.9755022720072009</v>
      </c>
      <c r="N178" s="379">
        <f t="shared" si="87"/>
        <v>2.9001897848852765</v>
      </c>
      <c r="O178" s="379">
        <f t="shared" si="87"/>
        <v>2.8757211981094333</v>
      </c>
      <c r="P178" s="379">
        <f t="shared" si="87"/>
        <v>2.8542125326160286</v>
      </c>
      <c r="Q178" s="379">
        <f t="shared" si="87"/>
        <v>2.8359089826977208</v>
      </c>
      <c r="R178" s="379">
        <f t="shared" si="87"/>
        <v>2.8204876529641076</v>
      </c>
      <c r="S178" s="379">
        <f t="shared" si="87"/>
        <v>2.7533226113572007</v>
      </c>
      <c r="T178" s="379">
        <f t="shared" si="87"/>
        <v>2.7585047410087635</v>
      </c>
      <c r="U178" s="379">
        <f t="shared" si="87"/>
        <v>2.766410716659423</v>
      </c>
      <c r="V178" s="379">
        <f t="shared" si="87"/>
        <v>2.7770107797718251</v>
      </c>
      <c r="W178" s="379">
        <f t="shared" si="87"/>
        <v>2.7900946825089186</v>
      </c>
      <c r="X178" s="379">
        <f t="shared" si="87"/>
        <v>2.7447676301823543</v>
      </c>
      <c r="Y178" s="379">
        <f t="shared" si="87"/>
        <v>2.7627305129741329</v>
      </c>
      <c r="Z178" s="379">
        <f t="shared" si="87"/>
        <v>2.783361857530589</v>
      </c>
      <c r="AA178" s="379">
        <f t="shared" si="87"/>
        <v>2.8068323868388072</v>
      </c>
      <c r="AB178" s="379">
        <f t="shared" si="87"/>
        <v>2.8328942454011798</v>
      </c>
      <c r="AC178" s="379">
        <f t="shared" si="87"/>
        <v>2.8525508846374463</v>
      </c>
      <c r="AD178" s="379">
        <f t="shared" si="87"/>
        <v>2.9151929482275087</v>
      </c>
      <c r="AE178" s="379">
        <f t="shared" si="87"/>
        <v>2.9809267638249457</v>
      </c>
      <c r="AF178" s="379">
        <f t="shared" si="87"/>
        <v>3.0499497670494899</v>
      </c>
      <c r="AG178" s="379">
        <f t="shared" si="87"/>
        <v>3.1220884297480391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3.3447552189782228</v>
      </c>
      <c r="D179" s="379">
        <f t="shared" si="88"/>
        <v>3.3268203374265095</v>
      </c>
      <c r="E179" s="379">
        <f t="shared" si="88"/>
        <v>3.3120977587801836</v>
      </c>
      <c r="F179" s="379">
        <f t="shared" si="88"/>
        <v>3.3006136952376712</v>
      </c>
      <c r="G179" s="379">
        <f t="shared" si="88"/>
        <v>3.292469913616221</v>
      </c>
      <c r="H179" s="379">
        <f t="shared" si="88"/>
        <v>3.2986989196381047</v>
      </c>
      <c r="I179" s="379">
        <f t="shared" si="88"/>
        <v>3.2064564220075105</v>
      </c>
      <c r="J179" s="379">
        <f t="shared" si="88"/>
        <v>3.1651852410276344</v>
      </c>
      <c r="K179" s="379">
        <f t="shared" si="88"/>
        <v>3.1270680496395098</v>
      </c>
      <c r="L179" s="379">
        <f t="shared" si="88"/>
        <v>3.0922888727846169</v>
      </c>
      <c r="M179" s="379">
        <f t="shared" si="88"/>
        <v>3.0607380141740737</v>
      </c>
      <c r="N179" s="379">
        <f t="shared" si="88"/>
        <v>2.9832681380981363</v>
      </c>
      <c r="O179" s="379">
        <f t="shared" si="88"/>
        <v>2.9580986282636097</v>
      </c>
      <c r="P179" s="379">
        <f t="shared" si="88"/>
        <v>2.9359738291232591</v>
      </c>
      <c r="Q179" s="379">
        <f t="shared" si="88"/>
        <v>2.9171459587645829</v>
      </c>
      <c r="R179" s="379">
        <f t="shared" si="88"/>
        <v>2.901282872189642</v>
      </c>
      <c r="S179" s="379">
        <f t="shared" si="88"/>
        <v>2.8321938319950379</v>
      </c>
      <c r="T179" s="379">
        <f t="shared" si="88"/>
        <v>2.8375244080689108</v>
      </c>
      <c r="U179" s="379">
        <f t="shared" si="88"/>
        <v>2.8456568569803964</v>
      </c>
      <c r="V179" s="379">
        <f t="shared" si="88"/>
        <v>2.8565605677340389</v>
      </c>
      <c r="W179" s="379">
        <f t="shared" si="88"/>
        <v>2.8700192697682887</v>
      </c>
      <c r="X179" s="379">
        <f t="shared" si="88"/>
        <v>2.8233937862552865</v>
      </c>
      <c r="Y179" s="379">
        <f t="shared" si="88"/>
        <v>2.8418712307937044</v>
      </c>
      <c r="Z179" s="379">
        <f t="shared" si="88"/>
        <v>2.863093577407767</v>
      </c>
      <c r="AA179" s="379">
        <f t="shared" si="88"/>
        <v>2.8872364395867938</v>
      </c>
      <c r="AB179" s="379">
        <f t="shared" si="88"/>
        <v>2.9140448618059005</v>
      </c>
      <c r="AC179" s="379">
        <f t="shared" si="88"/>
        <v>2.9342645818536233</v>
      </c>
      <c r="AD179" s="379">
        <f t="shared" si="88"/>
        <v>2.9987010795569424</v>
      </c>
      <c r="AE179" s="379">
        <f t="shared" si="88"/>
        <v>3.0663178950803474</v>
      </c>
      <c r="AF179" s="379">
        <f t="shared" si="88"/>
        <v>3.1373181197514284</v>
      </c>
      <c r="AG179" s="379">
        <f t="shared" si="88"/>
        <v>3.2115232545585295</v>
      </c>
    </row>
    <row r="180" spans="1:33">
      <c r="A180" s="300" t="s">
        <v>334</v>
      </c>
      <c r="C180" s="379">
        <f t="shared" ref="C180:AG180" si="89">C174*0.9</f>
        <v>1.4600291397170049</v>
      </c>
      <c r="D180" s="379">
        <f t="shared" si="89"/>
        <v>1.5678889088194623</v>
      </c>
      <c r="E180" s="379">
        <f t="shared" si="89"/>
        <v>1.6054631057010538</v>
      </c>
      <c r="F180" s="379">
        <f t="shared" si="89"/>
        <v>1.6440406300763233</v>
      </c>
      <c r="G180" s="379">
        <f t="shared" si="89"/>
        <v>1.6838569192051029</v>
      </c>
      <c r="H180" s="379">
        <f t="shared" si="89"/>
        <v>1.738873460853728</v>
      </c>
      <c r="I180" s="379">
        <f t="shared" si="89"/>
        <v>1.781449361609647</v>
      </c>
      <c r="J180" s="379">
        <f t="shared" si="89"/>
        <v>1.8251368774913317</v>
      </c>
      <c r="K180" s="379">
        <f t="shared" si="89"/>
        <v>1.8701702030205269</v>
      </c>
      <c r="L180" s="379">
        <f t="shared" si="89"/>
        <v>1.9163657538783876</v>
      </c>
      <c r="M180" s="379">
        <f t="shared" si="89"/>
        <v>1.9639625327600807</v>
      </c>
      <c r="N180" s="379">
        <f t="shared" si="89"/>
        <v>2.035287914431497</v>
      </c>
      <c r="O180" s="379">
        <f t="shared" si="89"/>
        <v>2.0864430217364034</v>
      </c>
      <c r="P180" s="379">
        <f t="shared" si="89"/>
        <v>2.1391039137309464</v>
      </c>
      <c r="Q180" s="379">
        <f t="shared" si="89"/>
        <v>2.1933058829070222</v>
      </c>
      <c r="R180" s="379">
        <f t="shared" si="89"/>
        <v>2.2490773110097289</v>
      </c>
      <c r="S180" s="379">
        <f t="shared" si="89"/>
        <v>2.3064550526298082</v>
      </c>
      <c r="T180" s="379">
        <f t="shared" si="89"/>
        <v>2.3656839163424896</v>
      </c>
      <c r="U180" s="379">
        <f t="shared" si="89"/>
        <v>2.4265876215680402</v>
      </c>
      <c r="V180" s="379">
        <f t="shared" si="89"/>
        <v>2.4894165497701009</v>
      </c>
      <c r="W180" s="379">
        <f t="shared" si="89"/>
        <v>2.5539962156744056</v>
      </c>
      <c r="X180" s="379">
        <f t="shared" si="89"/>
        <v>2.6505424710437273</v>
      </c>
      <c r="Y180" s="379">
        <f t="shared" si="89"/>
        <v>2.7200617006311396</v>
      </c>
      <c r="Z180" s="379">
        <f t="shared" si="89"/>
        <v>2.7916885677051644</v>
      </c>
      <c r="AA180" s="379">
        <f t="shared" si="89"/>
        <v>2.8654724321410332</v>
      </c>
      <c r="AB180" s="379">
        <f t="shared" si="89"/>
        <v>2.9416664318166874</v>
      </c>
      <c r="AC180" s="379">
        <f t="shared" si="89"/>
        <v>3.020102891362777</v>
      </c>
      <c r="AD180" s="379">
        <f t="shared" si="89"/>
        <v>3.1010455256365934</v>
      </c>
      <c r="AE180" s="379">
        <f t="shared" si="89"/>
        <v>3.1845441488850397</v>
      </c>
      <c r="AF180" s="379">
        <f t="shared" si="89"/>
        <v>3.2706498294311404</v>
      </c>
      <c r="AG180" s="379">
        <f t="shared" si="89"/>
        <v>3.3594149350309936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1.8025051107617343</v>
      </c>
      <c r="D183" s="379">
        <f t="shared" si="91"/>
        <v>1.9356653195302003</v>
      </c>
      <c r="E183" s="379">
        <f t="shared" si="91"/>
        <v>1.9820532169148812</v>
      </c>
      <c r="F183" s="379">
        <f t="shared" si="91"/>
        <v>2.0296797902176831</v>
      </c>
      <c r="G183" s="379">
        <f t="shared" si="91"/>
        <v>2.0788357027223494</v>
      </c>
      <c r="H183" s="379">
        <f t="shared" si="91"/>
        <v>2.1467573590786766</v>
      </c>
      <c r="I183" s="379">
        <f t="shared" si="91"/>
        <v>2.1993201995180827</v>
      </c>
      <c r="J183" s="379">
        <f t="shared" si="91"/>
        <v>2.2532554043102864</v>
      </c>
      <c r="K183" s="379">
        <f t="shared" si="91"/>
        <v>2.3088521024944773</v>
      </c>
      <c r="L183" s="379">
        <f t="shared" si="91"/>
        <v>2.3658836467634412</v>
      </c>
      <c r="M183" s="379">
        <f t="shared" si="91"/>
        <v>2.4246451021729389</v>
      </c>
      <c r="N183" s="379">
        <f t="shared" si="91"/>
        <v>2.5127011289277745</v>
      </c>
      <c r="O183" s="379">
        <f t="shared" si="91"/>
        <v>2.5758555823906217</v>
      </c>
      <c r="P183" s="379">
        <f t="shared" si="91"/>
        <v>2.6408690292974644</v>
      </c>
      <c r="Q183" s="379">
        <f t="shared" si="91"/>
        <v>2.7077850406259532</v>
      </c>
      <c r="R183" s="379">
        <f t="shared" si="91"/>
        <v>2.7766386555675666</v>
      </c>
      <c r="S183" s="379">
        <f t="shared" si="91"/>
        <v>2.8474753736170473</v>
      </c>
      <c r="T183" s="379">
        <f t="shared" si="91"/>
        <v>2.9205974275833202</v>
      </c>
      <c r="U183" s="379">
        <f t="shared" si="91"/>
        <v>2.9957871871210373</v>
      </c>
      <c r="V183" s="379">
        <f t="shared" si="91"/>
        <v>3.0733537651482723</v>
      </c>
      <c r="W183" s="379">
        <f t="shared" si="91"/>
        <v>3.1530817477461794</v>
      </c>
      <c r="X183" s="379">
        <f t="shared" si="91"/>
        <v>3.2722746556095399</v>
      </c>
      <c r="Y183" s="379">
        <f t="shared" si="91"/>
        <v>3.3581008649767154</v>
      </c>
      <c r="Z183" s="379">
        <f t="shared" si="91"/>
        <v>3.4465290959323021</v>
      </c>
      <c r="AA183" s="379">
        <f t="shared" si="91"/>
        <v>3.5376202865938677</v>
      </c>
      <c r="AB183" s="379">
        <f t="shared" si="91"/>
        <v>3.6316869528601075</v>
      </c>
      <c r="AC183" s="379">
        <f t="shared" si="91"/>
        <v>3.7285220881021939</v>
      </c>
      <c r="AD183" s="379">
        <f t="shared" si="91"/>
        <v>3.8284512662180163</v>
      </c>
      <c r="AE183" s="379">
        <f t="shared" si="91"/>
        <v>3.9315359862778267</v>
      </c>
      <c r="AF183" s="379">
        <f t="shared" si="91"/>
        <v>4.0378392955939999</v>
      </c>
      <c r="AG183" s="379">
        <f t="shared" si="91"/>
        <v>4.1474258457172759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3.5690952117319954</v>
      </c>
      <c r="D184" s="379">
        <f t="shared" si="93"/>
        <v>3.5662665293991296</v>
      </c>
      <c r="E184" s="379">
        <f t="shared" si="93"/>
        <v>3.5669430485592377</v>
      </c>
      <c r="F184" s="379">
        <f t="shared" si="93"/>
        <v>3.5710290336207158</v>
      </c>
      <c r="G184" s="379">
        <f t="shared" si="93"/>
        <v>3.5787471411893619</v>
      </c>
      <c r="H184" s="379">
        <f t="shared" si="93"/>
        <v>3.6117374818561068</v>
      </c>
      <c r="I184" s="379">
        <f t="shared" si="93"/>
        <v>3.4911753549633469</v>
      </c>
      <c r="J184" s="379">
        <f t="shared" si="93"/>
        <v>3.4423862867815829</v>
      </c>
      <c r="K184" s="379">
        <f t="shared" si="93"/>
        <v>3.3975388022289454</v>
      </c>
      <c r="L184" s="379">
        <f t="shared" si="93"/>
        <v>3.3563449463509847</v>
      </c>
      <c r="M184" s="379">
        <f t="shared" si="93"/>
        <v>3.3189875690611794</v>
      </c>
      <c r="N184" s="379">
        <f t="shared" si="93"/>
        <v>3.2542513513559532</v>
      </c>
      <c r="O184" s="379">
        <f t="shared" si="93"/>
        <v>3.2236676263539352</v>
      </c>
      <c r="P184" s="379">
        <f t="shared" si="93"/>
        <v>3.1966846581604464</v>
      </c>
      <c r="Q184" s="379">
        <f t="shared" si="93"/>
        <v>3.173242294688905</v>
      </c>
      <c r="R184" s="379">
        <f t="shared" si="93"/>
        <v>3.1533355446125988</v>
      </c>
      <c r="S184" s="379">
        <f t="shared" si="93"/>
        <v>3.064072803834236</v>
      </c>
      <c r="T184" s="379">
        <f t="shared" si="93"/>
        <v>3.0641746179550928</v>
      </c>
      <c r="U184" s="379">
        <f t="shared" si="93"/>
        <v>3.0674448988581489</v>
      </c>
      <c r="V184" s="379">
        <f t="shared" si="93"/>
        <v>3.0741491528884941</v>
      </c>
      <c r="W184" s="379">
        <f t="shared" si="93"/>
        <v>3.0838828223989871</v>
      </c>
      <c r="X184" s="379">
        <f t="shared" si="93"/>
        <v>3.0769183491044738</v>
      </c>
      <c r="Y184" s="379">
        <f t="shared" si="93"/>
        <v>3.0927064649191474</v>
      </c>
      <c r="Z184" s="379">
        <f t="shared" si="93"/>
        <v>3.1118176852382198</v>
      </c>
      <c r="AA184" s="379">
        <f t="shared" si="93"/>
        <v>3.1342258617031518</v>
      </c>
      <c r="AB184" s="379">
        <f t="shared" si="93"/>
        <v>3.1601197448392289</v>
      </c>
      <c r="AC184" s="379">
        <f t="shared" si="93"/>
        <v>3.1805560534541666</v>
      </c>
      <c r="AD184" s="379">
        <f t="shared" si="93"/>
        <v>3.2494451184991413</v>
      </c>
      <c r="AE184" s="379">
        <f t="shared" si="93"/>
        <v>3.3221841005590793</v>
      </c>
      <c r="AF184" s="379">
        <f t="shared" si="93"/>
        <v>3.3988841383481607</v>
      </c>
      <c r="AG184" s="379">
        <f t="shared" si="93"/>
        <v>3.4794629225150828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1.7514301081126531</v>
      </c>
      <c r="D185" s="379">
        <f t="shared" si="94"/>
        <v>1.8074565589852178</v>
      </c>
      <c r="E185" s="379">
        <f t="shared" si="94"/>
        <v>1.8599813669265148</v>
      </c>
      <c r="F185" s="379">
        <f t="shared" si="94"/>
        <v>1.9140628379049665</v>
      </c>
      <c r="G185" s="379">
        <f t="shared" si="94"/>
        <v>1.9701355911696323</v>
      </c>
      <c r="H185" s="379">
        <f t="shared" si="94"/>
        <v>2.046146953567483</v>
      </c>
      <c r="I185" s="379">
        <f t="shared" si="94"/>
        <v>2.10651488890307</v>
      </c>
      <c r="J185" s="379">
        <f t="shared" si="94"/>
        <v>2.1687339960189007</v>
      </c>
      <c r="K185" s="379">
        <f t="shared" si="94"/>
        <v>2.233107558077466</v>
      </c>
      <c r="L185" s="379">
        <f t="shared" si="94"/>
        <v>2.2993738400022927</v>
      </c>
      <c r="M185" s="379">
        <f t="shared" si="94"/>
        <v>2.367930112142731</v>
      </c>
      <c r="N185" s="379">
        <f t="shared" si="94"/>
        <v>2.4711083116434476</v>
      </c>
      <c r="O185" s="379">
        <f t="shared" si="94"/>
        <v>2.5452168247646894</v>
      </c>
      <c r="P185" s="379">
        <f t="shared" si="94"/>
        <v>2.6217880028470115</v>
      </c>
      <c r="Q185" s="379">
        <f t="shared" si="94"/>
        <v>2.7008740395477595</v>
      </c>
      <c r="R185" s="379">
        <f t="shared" si="94"/>
        <v>2.7824796255797524</v>
      </c>
      <c r="S185" s="379">
        <f t="shared" si="94"/>
        <v>2.866808294573798</v>
      </c>
      <c r="T185" s="379">
        <f t="shared" si="94"/>
        <v>2.9540303718218124</v>
      </c>
      <c r="U185" s="379">
        <f t="shared" si="94"/>
        <v>3.0440927521130172</v>
      </c>
      <c r="V185" s="379">
        <f t="shared" si="94"/>
        <v>3.1372682250366157</v>
      </c>
      <c r="W185" s="379">
        <f t="shared" si="94"/>
        <v>3.2333600003377629</v>
      </c>
      <c r="X185" s="379">
        <f t="shared" si="94"/>
        <v>3.3750456056770073</v>
      </c>
      <c r="Y185" s="379">
        <f t="shared" si="94"/>
        <v>3.4789007267729031</v>
      </c>
      <c r="Z185" s="379">
        <f t="shared" si="94"/>
        <v>3.5862725278805132</v>
      </c>
      <c r="AA185" s="379">
        <f t="shared" si="94"/>
        <v>3.6971807521785864</v>
      </c>
      <c r="AB185" s="379">
        <f t="shared" si="94"/>
        <v>3.8120140186244185</v>
      </c>
      <c r="AC185" s="379">
        <f t="shared" si="94"/>
        <v>3.9305366234605765</v>
      </c>
      <c r="AD185" s="379">
        <f t="shared" si="94"/>
        <v>4.0531953476180211</v>
      </c>
      <c r="AE185" s="379">
        <f t="shared" si="94"/>
        <v>4.1800203085149361</v>
      </c>
      <c r="AF185" s="379">
        <f t="shared" si="94"/>
        <v>4.3112033796632465</v>
      </c>
      <c r="AG185" s="379">
        <f t="shared" si="94"/>
        <v>4.4467274432270338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3.6129001521452535</v>
      </c>
      <c r="D186" s="379">
        <f t="shared" si="96"/>
        <v>3.5935274530851746</v>
      </c>
      <c r="E186" s="379">
        <f t="shared" si="96"/>
        <v>3.5776245833237428</v>
      </c>
      <c r="F186" s="379">
        <f t="shared" si="96"/>
        <v>3.5652198564592563</v>
      </c>
      <c r="G186" s="379">
        <f t="shared" si="96"/>
        <v>3.5564231978301799</v>
      </c>
      <c r="H186" s="379">
        <f t="shared" si="96"/>
        <v>3.5631515756428471</v>
      </c>
      <c r="I186" s="379">
        <f t="shared" si="96"/>
        <v>3.4635141098477749</v>
      </c>
      <c r="J186" s="379">
        <f t="shared" si="96"/>
        <v>3.4189342687893434</v>
      </c>
      <c r="K186" s="379">
        <f t="shared" si="96"/>
        <v>3.3777612688089222</v>
      </c>
      <c r="L186" s="379">
        <f t="shared" si="96"/>
        <v>3.3401938879023709</v>
      </c>
      <c r="M186" s="379">
        <f t="shared" si="96"/>
        <v>3.3061136355635563</v>
      </c>
      <c r="N186" s="379">
        <f t="shared" si="96"/>
        <v>3.2224330943169739</v>
      </c>
      <c r="O186" s="379">
        <f t="shared" si="96"/>
        <v>3.1952457756771482</v>
      </c>
      <c r="P186" s="379">
        <f t="shared" si="96"/>
        <v>3.1713472584622542</v>
      </c>
      <c r="Q186" s="379">
        <f t="shared" si="96"/>
        <v>3.1510099807752456</v>
      </c>
      <c r="R186" s="379">
        <f t="shared" si="96"/>
        <v>3.1338751699601191</v>
      </c>
      <c r="S186" s="379">
        <f t="shared" si="96"/>
        <v>3.0592473459524459</v>
      </c>
      <c r="T186" s="379">
        <f t="shared" si="96"/>
        <v>3.065005267787515</v>
      </c>
      <c r="U186" s="379">
        <f t="shared" si="96"/>
        <v>3.0737896851771374</v>
      </c>
      <c r="V186" s="379">
        <f t="shared" si="96"/>
        <v>3.0855675330798054</v>
      </c>
      <c r="W186" s="379">
        <f t="shared" si="96"/>
        <v>3.1001052027876872</v>
      </c>
      <c r="X186" s="379">
        <f t="shared" si="96"/>
        <v>3.0497418113137269</v>
      </c>
      <c r="Y186" s="379">
        <f t="shared" si="96"/>
        <v>3.0697005699712587</v>
      </c>
      <c r="Z186" s="379">
        <f t="shared" si="96"/>
        <v>3.0926242861450985</v>
      </c>
      <c r="AA186" s="379">
        <f t="shared" si="96"/>
        <v>3.1187026520431189</v>
      </c>
      <c r="AB186" s="379">
        <f t="shared" si="96"/>
        <v>3.1476602726679772</v>
      </c>
      <c r="AC186" s="379">
        <f t="shared" si="96"/>
        <v>3.1695009829304963</v>
      </c>
      <c r="AD186" s="379">
        <f t="shared" si="96"/>
        <v>3.2391032758083429</v>
      </c>
      <c r="AE186" s="379">
        <f t="shared" si="96"/>
        <v>3.3121408486943835</v>
      </c>
      <c r="AF186" s="379">
        <f t="shared" si="96"/>
        <v>3.3888330744994333</v>
      </c>
      <c r="AG186" s="379">
        <f t="shared" si="96"/>
        <v>3.4689871441644877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1.9514524705753911</v>
      </c>
      <c r="D187" s="379">
        <f t="shared" si="97"/>
        <v>1.9704898061596219</v>
      </c>
      <c r="E187" s="379">
        <f t="shared" si="97"/>
        <v>1.9870229523404805</v>
      </c>
      <c r="F187" s="379">
        <f t="shared" si="97"/>
        <v>1.9886521502541821</v>
      </c>
      <c r="G187" s="379">
        <f t="shared" si="97"/>
        <v>1.987912206602316</v>
      </c>
      <c r="H187" s="379">
        <f t="shared" si="97"/>
        <v>2.0096662056264174</v>
      </c>
      <c r="I187" s="379">
        <f t="shared" si="97"/>
        <v>1.9499561914583645</v>
      </c>
      <c r="J187" s="379">
        <f t="shared" si="97"/>
        <v>1.9628865618038001</v>
      </c>
      <c r="K187" s="379">
        <f t="shared" si="97"/>
        <v>1.9692348794183197</v>
      </c>
      <c r="L187" s="379">
        <f t="shared" si="97"/>
        <v>1.9800392278061392</v>
      </c>
      <c r="M187" s="379">
        <f t="shared" si="97"/>
        <v>1.9957264758696711</v>
      </c>
      <c r="N187" s="379">
        <f t="shared" si="97"/>
        <v>1.977509562286939</v>
      </c>
      <c r="O187" s="379">
        <f t="shared" si="97"/>
        <v>2.0044058546872208</v>
      </c>
      <c r="P187" s="379">
        <f t="shared" si="97"/>
        <v>2.0316092790514477</v>
      </c>
      <c r="Q187" s="379">
        <f t="shared" si="97"/>
        <v>2.0623710891161249</v>
      </c>
      <c r="R187" s="379">
        <f t="shared" si="97"/>
        <v>2.0966671054038155</v>
      </c>
      <c r="S187" s="379">
        <f t="shared" si="97"/>
        <v>2.1299203537582603</v>
      </c>
      <c r="T187" s="379">
        <f t="shared" si="97"/>
        <v>2.1762657872094753</v>
      </c>
      <c r="U187" s="379">
        <f t="shared" si="97"/>
        <v>2.2231893328717636</v>
      </c>
      <c r="V187" s="379">
        <f t="shared" si="97"/>
        <v>2.2721799144845107</v>
      </c>
      <c r="W187" s="379">
        <f t="shared" si="97"/>
        <v>2.3231401883692118</v>
      </c>
      <c r="X187" s="379">
        <f t="shared" si="97"/>
        <v>2.3260084563455043</v>
      </c>
      <c r="Y187" s="379">
        <f t="shared" si="97"/>
        <v>2.3806603904102217</v>
      </c>
      <c r="Z187" s="379">
        <f t="shared" si="97"/>
        <v>2.4376197752772115</v>
      </c>
      <c r="AA187" s="379">
        <f t="shared" si="97"/>
        <v>2.4972434983403695</v>
      </c>
      <c r="AB187" s="379">
        <f t="shared" si="97"/>
        <v>2.5592903154781803</v>
      </c>
      <c r="AC187" s="379">
        <f t="shared" si="97"/>
        <v>2.6354887133441478</v>
      </c>
      <c r="AD187" s="379">
        <f t="shared" si="97"/>
        <v>2.7165405539033984</v>
      </c>
      <c r="AE187" s="379">
        <f t="shared" si="97"/>
        <v>2.8005012197403967</v>
      </c>
      <c r="AF187" s="379">
        <f t="shared" si="97"/>
        <v>2.8878560828113633</v>
      </c>
      <c r="AG187" s="379">
        <f t="shared" si="97"/>
        <v>2.9785434871630576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3.7163946877535809</v>
      </c>
      <c r="D188" s="379">
        <f t="shared" si="99"/>
        <v>3.6964670415850103</v>
      </c>
      <c r="E188" s="379">
        <f t="shared" si="99"/>
        <v>3.6801086208668705</v>
      </c>
      <c r="F188" s="379">
        <f t="shared" si="99"/>
        <v>3.6673485502640792</v>
      </c>
      <c r="G188" s="379">
        <f t="shared" si="99"/>
        <v>3.6582999040180231</v>
      </c>
      <c r="H188" s="379">
        <f t="shared" si="99"/>
        <v>3.6652210218201167</v>
      </c>
      <c r="I188" s="379">
        <f t="shared" si="99"/>
        <v>3.562729357786123</v>
      </c>
      <c r="J188" s="379">
        <f t="shared" si="99"/>
        <v>3.5168724900307051</v>
      </c>
      <c r="K188" s="379">
        <f t="shared" si="99"/>
        <v>3.4745200551550108</v>
      </c>
      <c r="L188" s="379">
        <f t="shared" si="99"/>
        <v>3.4358765253162411</v>
      </c>
      <c r="M188" s="379">
        <f t="shared" si="99"/>
        <v>3.400820015748971</v>
      </c>
      <c r="N188" s="379">
        <f t="shared" si="99"/>
        <v>3.3147423756645957</v>
      </c>
      <c r="O188" s="379">
        <f t="shared" si="99"/>
        <v>3.286776253626233</v>
      </c>
      <c r="P188" s="379">
        <f t="shared" si="99"/>
        <v>3.262193143470288</v>
      </c>
      <c r="Q188" s="379">
        <f t="shared" si="99"/>
        <v>3.2412732875162029</v>
      </c>
      <c r="R188" s="379">
        <f t="shared" si="99"/>
        <v>3.2236476357662687</v>
      </c>
      <c r="S188" s="379">
        <f t="shared" si="99"/>
        <v>3.1468820355500418</v>
      </c>
      <c r="T188" s="379">
        <f t="shared" si="99"/>
        <v>3.1528048978543453</v>
      </c>
      <c r="U188" s="379">
        <f t="shared" si="99"/>
        <v>3.1618409522004405</v>
      </c>
      <c r="V188" s="379">
        <f t="shared" si="99"/>
        <v>3.1739561863711541</v>
      </c>
      <c r="W188" s="379">
        <f t="shared" si="99"/>
        <v>3.1889102997425431</v>
      </c>
      <c r="X188" s="379">
        <f t="shared" si="99"/>
        <v>3.1371042069503186</v>
      </c>
      <c r="Y188" s="379">
        <f t="shared" si="99"/>
        <v>3.1576347008818937</v>
      </c>
      <c r="Z188" s="379">
        <f t="shared" si="99"/>
        <v>3.1812150860086303</v>
      </c>
      <c r="AA188" s="379">
        <f t="shared" si="99"/>
        <v>3.2080404884297709</v>
      </c>
      <c r="AB188" s="379">
        <f t="shared" si="99"/>
        <v>3.2378276242287782</v>
      </c>
      <c r="AC188" s="379">
        <f t="shared" si="99"/>
        <v>3.2602939798373591</v>
      </c>
      <c r="AD188" s="379">
        <f t="shared" si="99"/>
        <v>3.3318900883966025</v>
      </c>
      <c r="AE188" s="379">
        <f t="shared" si="99"/>
        <v>3.4070198834226084</v>
      </c>
      <c r="AF188" s="379">
        <f t="shared" si="99"/>
        <v>3.4859090219460316</v>
      </c>
      <c r="AG188" s="379">
        <f t="shared" si="99"/>
        <v>3.5683591717316996</v>
      </c>
    </row>
    <row r="189" spans="1:33">
      <c r="A189" s="300" t="s">
        <v>334</v>
      </c>
      <c r="C189" s="379">
        <f t="shared" ref="C189:AG189" si="100">C183*0.9</f>
        <v>1.6222545996855608</v>
      </c>
      <c r="D189" s="379">
        <f t="shared" si="100"/>
        <v>1.7420987875771803</v>
      </c>
      <c r="E189" s="379">
        <f t="shared" si="100"/>
        <v>1.7838478952233932</v>
      </c>
      <c r="F189" s="379">
        <f t="shared" si="100"/>
        <v>1.8267118111959149</v>
      </c>
      <c r="G189" s="379">
        <f t="shared" si="100"/>
        <v>1.8709521324501146</v>
      </c>
      <c r="H189" s="379">
        <f t="shared" si="100"/>
        <v>1.9320816231708089</v>
      </c>
      <c r="I189" s="379">
        <f t="shared" si="100"/>
        <v>1.9793881795662744</v>
      </c>
      <c r="J189" s="379">
        <f t="shared" si="100"/>
        <v>2.0279298638792578</v>
      </c>
      <c r="K189" s="379">
        <f t="shared" si="100"/>
        <v>2.0779668922450294</v>
      </c>
      <c r="L189" s="379">
        <f t="shared" si="100"/>
        <v>2.1292952820870972</v>
      </c>
      <c r="M189" s="379">
        <f t="shared" si="100"/>
        <v>2.1821805919556452</v>
      </c>
      <c r="N189" s="379">
        <f t="shared" si="100"/>
        <v>2.2614310160349973</v>
      </c>
      <c r="O189" s="379">
        <f t="shared" si="100"/>
        <v>2.3182700241515595</v>
      </c>
      <c r="P189" s="379">
        <f t="shared" si="100"/>
        <v>2.376782126367718</v>
      </c>
      <c r="Q189" s="379">
        <f t="shared" si="100"/>
        <v>2.437006536563358</v>
      </c>
      <c r="R189" s="379">
        <f t="shared" si="100"/>
        <v>2.4989747900108101</v>
      </c>
      <c r="S189" s="379">
        <f t="shared" si="100"/>
        <v>2.5627278362553425</v>
      </c>
      <c r="T189" s="379">
        <f t="shared" si="100"/>
        <v>2.6285376848249884</v>
      </c>
      <c r="U189" s="379">
        <f t="shared" si="100"/>
        <v>2.6962084684089338</v>
      </c>
      <c r="V189" s="379">
        <f t="shared" si="100"/>
        <v>2.7660183886334453</v>
      </c>
      <c r="W189" s="379">
        <f t="shared" si="100"/>
        <v>2.8377735729715616</v>
      </c>
      <c r="X189" s="379">
        <f t="shared" si="100"/>
        <v>2.9450471900485859</v>
      </c>
      <c r="Y189" s="379">
        <f t="shared" si="100"/>
        <v>3.0222907784790438</v>
      </c>
      <c r="Z189" s="379">
        <f t="shared" si="100"/>
        <v>3.101876186339072</v>
      </c>
      <c r="AA189" s="379">
        <f t="shared" si="100"/>
        <v>3.1838582579344812</v>
      </c>
      <c r="AB189" s="379">
        <f t="shared" si="100"/>
        <v>3.268518257574097</v>
      </c>
      <c r="AC189" s="379">
        <f t="shared" si="100"/>
        <v>3.3556698792919746</v>
      </c>
      <c r="AD189" s="379">
        <f t="shared" si="100"/>
        <v>3.4456061395962148</v>
      </c>
      <c r="AE189" s="379">
        <f t="shared" si="100"/>
        <v>3.538382387650044</v>
      </c>
      <c r="AF189" s="379">
        <f t="shared" si="100"/>
        <v>3.6340553660346</v>
      </c>
      <c r="AG189" s="379">
        <f t="shared" si="100"/>
        <v>3.7326832611455485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0.98342606028016633</v>
      </c>
      <c r="D192" s="388">
        <f t="shared" si="102"/>
        <v>1.0458737491473895</v>
      </c>
      <c r="E192" s="388">
        <f t="shared" si="102"/>
        <v>1.0620271348431412</v>
      </c>
      <c r="F192" s="388">
        <f t="shared" si="102"/>
        <v>1.0866555170440475</v>
      </c>
      <c r="G192" s="388">
        <f t="shared" si="102"/>
        <v>1.1133870162946997</v>
      </c>
      <c r="H192" s="388">
        <f t="shared" si="102"/>
        <v>1.1373187965755334</v>
      </c>
      <c r="I192" s="388">
        <f t="shared" si="102"/>
        <v>1.2008445588485279</v>
      </c>
      <c r="J192" s="388">
        <f t="shared" si="102"/>
        <v>1.2221890983578698</v>
      </c>
      <c r="K192" s="388">
        <f t="shared" si="102"/>
        <v>1.2483080778886935</v>
      </c>
      <c r="L192" s="388">
        <f t="shared" si="102"/>
        <v>1.2721630401403536</v>
      </c>
      <c r="M192" s="388">
        <f t="shared" si="102"/>
        <v>1.2935116562312938</v>
      </c>
      <c r="N192" s="388">
        <f t="shared" si="102"/>
        <v>1.3528368629439398</v>
      </c>
      <c r="O192" s="388">
        <f t="shared" si="102"/>
        <v>1.3682297639633936</v>
      </c>
      <c r="P192" s="388">
        <f t="shared" si="102"/>
        <v>1.383980151586012</v>
      </c>
      <c r="Q192" s="388">
        <f t="shared" si="102"/>
        <v>1.3978821479337742</v>
      </c>
      <c r="R192" s="388">
        <f t="shared" si="102"/>
        <v>1.4099803814439453</v>
      </c>
      <c r="S192" s="388">
        <f t="shared" si="102"/>
        <v>1.4233765252950763</v>
      </c>
      <c r="T192" s="388">
        <f t="shared" si="102"/>
        <v>1.4288378617040134</v>
      </c>
      <c r="U192" s="388">
        <f t="shared" si="102"/>
        <v>1.4346887572030542</v>
      </c>
      <c r="V192" s="388">
        <f t="shared" si="102"/>
        <v>1.4401012359084229</v>
      </c>
      <c r="W192" s="388">
        <f t="shared" si="102"/>
        <v>1.4450504140058711</v>
      </c>
      <c r="X192" s="388">
        <f t="shared" si="102"/>
        <v>1.4978269669561721</v>
      </c>
      <c r="Y192" s="388">
        <f t="shared" si="102"/>
        <v>1.5018255081023235</v>
      </c>
      <c r="Z192" s="388">
        <f t="shared" si="102"/>
        <v>1.5053558365677513</v>
      </c>
      <c r="AA192" s="388">
        <f t="shared" si="102"/>
        <v>1.508250613442546</v>
      </c>
      <c r="AB192" s="388">
        <f t="shared" si="102"/>
        <v>1.5108176107825895</v>
      </c>
      <c r="AC192" s="388">
        <f t="shared" si="102"/>
        <v>1.5062558463563405</v>
      </c>
      <c r="AD192" s="388">
        <f t="shared" si="102"/>
        <v>1.5004796729301342</v>
      </c>
      <c r="AE192" s="388">
        <f t="shared" si="102"/>
        <v>1.4946849962770181</v>
      </c>
      <c r="AF192" s="388">
        <f t="shared" si="102"/>
        <v>1.4886639448727097</v>
      </c>
      <c r="AG192" s="388">
        <f t="shared" si="102"/>
        <v>1.4825108159401019</v>
      </c>
    </row>
    <row r="193" spans="1:33">
      <c r="A193" s="300" t="str">
        <f>A169</f>
        <v>H2-ICE</v>
      </c>
      <c r="C193" s="388">
        <f t="shared" ref="C193:AG193" si="103">C169/C168</f>
        <v>1.94725730422762</v>
      </c>
      <c r="D193" s="388">
        <f t="shared" si="103"/>
        <v>1.9269160365319669</v>
      </c>
      <c r="E193" s="388">
        <f t="shared" si="103"/>
        <v>1.9112455072757562</v>
      </c>
      <c r="F193" s="388">
        <f t="shared" si="103"/>
        <v>1.9118672904026126</v>
      </c>
      <c r="G193" s="388">
        <f t="shared" si="103"/>
        <v>1.9167126081123433</v>
      </c>
      <c r="H193" s="388">
        <f t="shared" si="103"/>
        <v>1.9134425737682041</v>
      </c>
      <c r="I193" s="388">
        <f t="shared" si="103"/>
        <v>1.9062067132891551</v>
      </c>
      <c r="J193" s="388">
        <f t="shared" si="103"/>
        <v>1.8671860207204971</v>
      </c>
      <c r="K193" s="388">
        <f t="shared" si="103"/>
        <v>1.8369193623015152</v>
      </c>
      <c r="L193" s="388">
        <f t="shared" si="103"/>
        <v>1.8047455531258889</v>
      </c>
      <c r="M193" s="388">
        <f t="shared" si="103"/>
        <v>1.7706298969774719</v>
      </c>
      <c r="N193" s="388">
        <f t="shared" si="103"/>
        <v>1.7520870821903505</v>
      </c>
      <c r="O193" s="388">
        <f t="shared" si="103"/>
        <v>1.712331244676824</v>
      </c>
      <c r="P193" s="388">
        <f t="shared" si="103"/>
        <v>1.6752622219021989</v>
      </c>
      <c r="Q193" s="388">
        <f t="shared" si="103"/>
        <v>1.6381724133421629</v>
      </c>
      <c r="R193" s="388">
        <f t="shared" si="103"/>
        <v>1.601267505621756</v>
      </c>
      <c r="S193" s="388">
        <f t="shared" si="103"/>
        <v>1.5316477681184206</v>
      </c>
      <c r="T193" s="388">
        <f t="shared" si="103"/>
        <v>1.4990798347136334</v>
      </c>
      <c r="U193" s="388">
        <f t="shared" si="103"/>
        <v>1.4690057854078944</v>
      </c>
      <c r="V193" s="388">
        <f t="shared" si="103"/>
        <v>1.4404739358822132</v>
      </c>
      <c r="W193" s="388">
        <f t="shared" si="103"/>
        <v>1.4133366990686675</v>
      </c>
      <c r="X193" s="388">
        <f t="shared" si="103"/>
        <v>1.4084060060516119</v>
      </c>
      <c r="Y193" s="388">
        <f t="shared" si="103"/>
        <v>1.3831345885200934</v>
      </c>
      <c r="Z193" s="388">
        <f t="shared" si="103"/>
        <v>1.3591624455852604</v>
      </c>
      <c r="AA193" s="388">
        <f t="shared" si="103"/>
        <v>1.3362649735177672</v>
      </c>
      <c r="AB193" s="388">
        <f t="shared" si="103"/>
        <v>1.3146409987030616</v>
      </c>
      <c r="AC193" s="388">
        <f t="shared" si="103"/>
        <v>1.2848874264327761</v>
      </c>
      <c r="AD193" s="388">
        <f t="shared" si="103"/>
        <v>1.2735505847059037</v>
      </c>
      <c r="AE193" s="388">
        <f t="shared" si="103"/>
        <v>1.2630225813288067</v>
      </c>
      <c r="AF193" s="388">
        <f t="shared" si="103"/>
        <v>1.2530950092738435</v>
      </c>
      <c r="AG193" s="388">
        <f t="shared" si="103"/>
        <v>1.2437453032747494</v>
      </c>
    </row>
    <row r="194" spans="1:33">
      <c r="A194" s="300" t="str">
        <f>A170</f>
        <v>FCET</v>
      </c>
      <c r="C194" s="388">
        <f t="shared" ref="C194:AG194" si="104">C170/C168</f>
        <v>1.9711567759762538</v>
      </c>
      <c r="D194" s="388">
        <f t="shared" si="104"/>
        <v>1.9416455892976612</v>
      </c>
      <c r="E194" s="388">
        <f t="shared" si="104"/>
        <v>1.9169689054493591</v>
      </c>
      <c r="F194" s="388">
        <f t="shared" si="104"/>
        <v>1.9087571572464317</v>
      </c>
      <c r="G194" s="388">
        <f t="shared" si="104"/>
        <v>1.9047563055262067</v>
      </c>
      <c r="H194" s="388">
        <f t="shared" si="104"/>
        <v>1.8877025132293124</v>
      </c>
      <c r="I194" s="388">
        <f t="shared" si="104"/>
        <v>1.8911034756181291</v>
      </c>
      <c r="J194" s="388">
        <f t="shared" si="104"/>
        <v>1.8544654029557388</v>
      </c>
      <c r="K194" s="388">
        <f t="shared" si="104"/>
        <v>1.8262264059608924</v>
      </c>
      <c r="L194" s="388">
        <f t="shared" si="104"/>
        <v>1.7960609419255107</v>
      </c>
      <c r="M194" s="388">
        <f t="shared" si="104"/>
        <v>1.7637618472881385</v>
      </c>
      <c r="N194" s="388">
        <f t="shared" si="104"/>
        <v>1.7349561506436586</v>
      </c>
      <c r="O194" s="388">
        <f t="shared" si="104"/>
        <v>1.6972342717297568</v>
      </c>
      <c r="P194" s="388">
        <f t="shared" si="104"/>
        <v>1.6619838435024841</v>
      </c>
      <c r="Q194" s="388">
        <f t="shared" si="104"/>
        <v>1.6266950788193384</v>
      </c>
      <c r="R194" s="388">
        <f t="shared" si="104"/>
        <v>1.59138550444003</v>
      </c>
      <c r="S194" s="388">
        <f t="shared" si="104"/>
        <v>1.529235651217822</v>
      </c>
      <c r="T194" s="388">
        <f t="shared" si="104"/>
        <v>1.4994862118196235</v>
      </c>
      <c r="U194" s="388">
        <f t="shared" si="104"/>
        <v>1.4720443168622785</v>
      </c>
      <c r="V194" s="388">
        <f t="shared" si="104"/>
        <v>1.4458243200820571</v>
      </c>
      <c r="W194" s="388">
        <f t="shared" si="104"/>
        <v>1.4207713802384814</v>
      </c>
      <c r="X194" s="388">
        <f t="shared" si="104"/>
        <v>1.3959664172470159</v>
      </c>
      <c r="Y194" s="388">
        <f t="shared" si="104"/>
        <v>1.3728457850389924</v>
      </c>
      <c r="Z194" s="388">
        <f t="shared" si="104"/>
        <v>1.350779259329121</v>
      </c>
      <c r="AA194" s="388">
        <f t="shared" si="104"/>
        <v>1.329646713615463</v>
      </c>
      <c r="AB194" s="388">
        <f t="shared" si="104"/>
        <v>1.3094577353266414</v>
      </c>
      <c r="AC194" s="388">
        <f t="shared" si="104"/>
        <v>1.2804213768252661</v>
      </c>
      <c r="AD194" s="388">
        <f t="shared" si="104"/>
        <v>1.2694973204329296</v>
      </c>
      <c r="AE194" s="388">
        <f t="shared" si="104"/>
        <v>1.2592043540689302</v>
      </c>
      <c r="AF194" s="388">
        <f t="shared" si="104"/>
        <v>1.2493893995990006</v>
      </c>
      <c r="AG194" s="388">
        <f t="shared" si="104"/>
        <v>1.2400007023372339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5:A36"/>
  </mergeCells>
  <pageMargins left="0.7" right="0.7" top="0.75" bottom="0.75" header="0.3" footer="0.3"/>
  <pageSetup orientation="portrait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620A-CE4B-45DF-9F36-C563135089A9}">
  <sheetPr>
    <tabColor rgb="FF0070C0"/>
  </sheetPr>
  <dimension ref="A1:AO200"/>
  <sheetViews>
    <sheetView zoomScaleNormal="100" workbookViewId="0">
      <pane xSplit="2" ySplit="4" topLeftCell="C166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3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year'!B15</f>
        <v>Steel &amp; metal products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year'!C15</f>
        <v>55T Tractor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year'!AR15</f>
        <v>55000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year'!$C$89</f>
        <v>5000000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year'!$C$100</f>
        <v>5250000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year'!$C$113</f>
        <v>6156825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year'!$C$125</f>
        <v>6579200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year'!$C$137</f>
        <v>11255000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year'!$C$150</f>
        <v>15366000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year'!$G$15</f>
        <v>300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year'!$J$15</f>
        <v>120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year'!$I$15</f>
        <v>80</v>
      </c>
      <c r="D16" s="347"/>
      <c r="E16" s="347"/>
    </row>
    <row r="17" spans="1:14" ht="15.6">
      <c r="A17" s="348" t="s">
        <v>269</v>
      </c>
      <c r="B17" s="300" t="s">
        <v>255</v>
      </c>
      <c r="C17" s="346">
        <f>'No change with year'!$AX$15</f>
        <v>40000</v>
      </c>
      <c r="D17" s="347" t="s">
        <v>169</v>
      </c>
      <c r="E17" s="347">
        <v>13</v>
      </c>
    </row>
    <row r="18" spans="1:14" ht="15.6">
      <c r="A18" s="328" t="s">
        <v>270</v>
      </c>
      <c r="B18" s="300" t="s">
        <v>255</v>
      </c>
      <c r="C18" s="346">
        <f>'No change with year'!$AY$15</f>
        <v>37600</v>
      </c>
      <c r="D18" s="347" t="s">
        <v>169</v>
      </c>
      <c r="E18" s="347">
        <v>14</v>
      </c>
    </row>
    <row r="19" spans="1:14" ht="15.6">
      <c r="A19" s="328" t="s">
        <v>271</v>
      </c>
      <c r="B19" s="300" t="s">
        <v>255</v>
      </c>
      <c r="C19" s="346">
        <f>'No change with year'!$AZ$15</f>
        <v>38900</v>
      </c>
      <c r="D19" s="347" t="s">
        <v>169</v>
      </c>
      <c r="E19" s="347">
        <v>18</v>
      </c>
    </row>
    <row r="20" spans="1:14" ht="15.6">
      <c r="A20" s="328" t="s">
        <v>272</v>
      </c>
      <c r="B20" s="300" t="s">
        <v>273</v>
      </c>
      <c r="C20" s="391">
        <f>'Changing with year'!$C$273</f>
        <v>9</v>
      </c>
      <c r="D20" s="347" t="s">
        <v>169</v>
      </c>
      <c r="E20" s="347">
        <v>19</v>
      </c>
    </row>
    <row r="21" spans="1:14" ht="15.6">
      <c r="A21" s="328" t="s">
        <v>274</v>
      </c>
      <c r="B21" s="300" t="s">
        <v>195</v>
      </c>
      <c r="C21" s="346">
        <f>'No change with year'!$K$15</f>
        <v>300</v>
      </c>
      <c r="D21" s="347" t="s">
        <v>169</v>
      </c>
      <c r="E21" s="347">
        <v>20</v>
      </c>
    </row>
    <row r="22" spans="1:14" ht="15.6">
      <c r="A22" s="328" t="s">
        <v>172</v>
      </c>
      <c r="B22" s="300" t="s">
        <v>196</v>
      </c>
      <c r="C22" s="346">
        <f>'No change with year'!$L$15</f>
        <v>320</v>
      </c>
      <c r="D22" s="347" t="s">
        <v>169</v>
      </c>
      <c r="E22" s="347">
        <v>21</v>
      </c>
    </row>
    <row r="23" spans="1:14" ht="15.6">
      <c r="A23" s="328" t="s">
        <v>174</v>
      </c>
      <c r="B23" s="300" t="s">
        <v>197</v>
      </c>
      <c r="C23" s="346">
        <f>'No change with year'!$Q$15</f>
        <v>7.5</v>
      </c>
      <c r="D23" s="347" t="s">
        <v>275</v>
      </c>
      <c r="E23" s="347">
        <v>2</v>
      </c>
    </row>
    <row r="24" spans="1:14" ht="15.6">
      <c r="A24" s="328" t="s">
        <v>276</v>
      </c>
      <c r="B24" s="300" t="s">
        <v>198</v>
      </c>
      <c r="C24" s="390">
        <f>'No change with year'!$O$15</f>
        <v>1</v>
      </c>
      <c r="D24" s="347" t="s">
        <v>275</v>
      </c>
      <c r="E24" s="347">
        <v>3</v>
      </c>
    </row>
    <row r="25" spans="1:14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14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14" ht="15.6">
      <c r="A27" s="328" t="s">
        <v>687</v>
      </c>
      <c r="C27" s="345">
        <f>'No change with year'!D30</f>
        <v>7</v>
      </c>
      <c r="D27" s="347"/>
      <c r="E27" s="347"/>
    </row>
    <row r="28" spans="1:14" ht="15.6">
      <c r="A28" s="328" t="s">
        <v>688</v>
      </c>
      <c r="C28" s="325">
        <f>'No change with year'!D29</f>
        <v>0.12</v>
      </c>
      <c r="D28" s="347"/>
      <c r="E28" s="347"/>
    </row>
    <row r="29" spans="1:14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14">
      <c r="A30" s="328" t="s">
        <v>278</v>
      </c>
      <c r="B30" s="300" t="s">
        <v>198</v>
      </c>
      <c r="C30" s="325">
        <f>'No change with year'!D34</f>
        <v>0.5</v>
      </c>
      <c r="D30" s="325">
        <f>'No change with year'!H34</f>
        <v>0.3</v>
      </c>
      <c r="E30" s="325">
        <f>'No change with year'!I34</f>
        <v>0.25</v>
      </c>
    </row>
    <row r="31" spans="1:14">
      <c r="A31" s="328" t="s">
        <v>279</v>
      </c>
      <c r="C31" s="326">
        <f>'No change with year'!D36</f>
        <v>0.4</v>
      </c>
      <c r="D31" s="326"/>
      <c r="E31" s="325">
        <f>'No change with year'!I36</f>
        <v>0.35</v>
      </c>
      <c r="N31" s="368" t="s">
        <v>363</v>
      </c>
    </row>
    <row r="32" spans="1:14" s="352" customFormat="1">
      <c r="A32" s="350"/>
      <c r="B32" s="350"/>
      <c r="C32" s="351" t="s">
        <v>178</v>
      </c>
      <c r="D32" s="351" t="s">
        <v>179</v>
      </c>
      <c r="E32" s="351" t="s">
        <v>180</v>
      </c>
      <c r="F32" s="351" t="s">
        <v>181</v>
      </c>
      <c r="G32" s="351" t="s">
        <v>182</v>
      </c>
      <c r="H32" s="351" t="s">
        <v>239</v>
      </c>
    </row>
    <row r="33" spans="1:38">
      <c r="A33" s="328" t="s">
        <v>280</v>
      </c>
      <c r="B33" s="328" t="s">
        <v>281</v>
      </c>
      <c r="C33" s="353"/>
      <c r="D33" s="353"/>
      <c r="E33" s="354">
        <f>'No change with year'!$E$15</f>
        <v>346.5</v>
      </c>
      <c r="F33" s="355">
        <f>'No change with year'!$F$15</f>
        <v>28.2</v>
      </c>
      <c r="G33" s="328"/>
      <c r="H33" s="355">
        <f>'No change with year'!$H$15</f>
        <v>28.2</v>
      </c>
    </row>
    <row r="34" spans="1:38">
      <c r="A34" s="974" t="s">
        <v>345</v>
      </c>
      <c r="B34" s="328" t="s">
        <v>201</v>
      </c>
      <c r="C34" s="356"/>
      <c r="D34" s="356"/>
      <c r="E34" s="356"/>
      <c r="F34" s="356"/>
      <c r="G34" s="356"/>
      <c r="H34" s="356"/>
    </row>
    <row r="35" spans="1:38">
      <c r="A35" s="974"/>
      <c r="B35" s="328" t="s">
        <v>346</v>
      </c>
      <c r="C35" s="358">
        <f>'No change with year'!S15</f>
        <v>2.6</v>
      </c>
      <c r="D35" s="358">
        <f>'No change with year'!T15</f>
        <v>2.7</v>
      </c>
      <c r="E35" s="358">
        <f>'No change with year'!U15</f>
        <v>2.6500000000000004</v>
      </c>
      <c r="F35" s="358">
        <f>'No change with year'!V15</f>
        <v>7.8000000000000007</v>
      </c>
      <c r="G35" s="358">
        <f>'No change with year'!W15</f>
        <v>1.4</v>
      </c>
      <c r="H35" s="358">
        <f>'No change with year'!X15</f>
        <v>10.4</v>
      </c>
    </row>
    <row r="36" spans="1:38" ht="28.8">
      <c r="A36" s="296" t="s">
        <v>283</v>
      </c>
      <c r="B36" s="296" t="s">
        <v>284</v>
      </c>
      <c r="C36" s="297">
        <f>($C$21*$C$22)/C35</f>
        <v>36923.076923076922</v>
      </c>
      <c r="D36" s="297">
        <f>($C$21*$C$22)/D35</f>
        <v>35555.555555555555</v>
      </c>
      <c r="E36" s="297">
        <f>($C$21*$C$22)/E35</f>
        <v>36226.415094339616</v>
      </c>
      <c r="F36" s="297">
        <f>($C$21*$C$22)/F35</f>
        <v>12307.692307692307</v>
      </c>
      <c r="G36" s="297">
        <f>($C$21*$C$22*G35)</f>
        <v>134400</v>
      </c>
      <c r="H36" s="297">
        <f>($C$21*$C$22)/H35</f>
        <v>9230.7692307692305</v>
      </c>
    </row>
    <row r="37" spans="1:38">
      <c r="L37" s="300" t="s">
        <v>285</v>
      </c>
      <c r="M37" s="300" t="s">
        <v>281</v>
      </c>
    </row>
    <row r="38" spans="1:38">
      <c r="C38" s="324" t="s">
        <v>347</v>
      </c>
      <c r="D38" s="324" t="s">
        <v>224</v>
      </c>
      <c r="E38" s="324" t="s">
        <v>225</v>
      </c>
      <c r="H38" s="340"/>
      <c r="J38" s="340"/>
      <c r="L38" s="340"/>
      <c r="N38" s="340"/>
      <c r="P38" s="340"/>
      <c r="R38" s="340"/>
      <c r="T38" s="340"/>
      <c r="V38" s="340"/>
      <c r="X38" s="340"/>
      <c r="Z38" s="340"/>
      <c r="AB38" s="340"/>
      <c r="AC38" s="340"/>
      <c r="AD38" s="340"/>
      <c r="AE38" s="340"/>
      <c r="AF38" s="340"/>
      <c r="AG38" s="340"/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year'!C295/($C$21*$C$22)</f>
        <v>6.25</v>
      </c>
      <c r="D54" s="393">
        <f>'Changing with year'!D295/($C$21*$C$22)</f>
        <v>6.53125</v>
      </c>
      <c r="E54" s="393">
        <f>'Changing with year'!E295/($C$21*$C$22)</f>
        <v>6.822916666666667</v>
      </c>
      <c r="F54" s="393">
        <f>'Changing with year'!F295/($C$21*$C$22)</f>
        <v>7.125</v>
      </c>
      <c r="G54" s="393">
        <f>'Changing with year'!G295/($C$21*$C$22)</f>
        <v>7.447916666666667</v>
      </c>
      <c r="H54" s="393">
        <f>'Changing with year'!H295/($C$21*$C$22)</f>
        <v>7.78125</v>
      </c>
      <c r="I54" s="393">
        <f>'Changing with year'!I295/($C$21*$C$22)</f>
        <v>8.1354166666666661</v>
      </c>
      <c r="J54" s="393">
        <f>'Changing with year'!J295/($C$21*$C$22)</f>
        <v>8.5</v>
      </c>
      <c r="K54" s="393">
        <f>'Changing with year'!K295/($C$21*$C$22)</f>
        <v>8.8854166666666661</v>
      </c>
      <c r="L54" s="393">
        <f>'Changing with year'!L295/($C$21*$C$22)</f>
        <v>9.28125</v>
      </c>
      <c r="M54" s="393">
        <f>'Changing with year'!M295/($C$21*$C$22)</f>
        <v>9.6979166666666661</v>
      </c>
      <c r="N54" s="393">
        <f>'Changing with year'!N295/($C$21*$C$22)</f>
        <v>10.135416666666666</v>
      </c>
      <c r="O54" s="393">
        <f>'Changing with year'!O295/($C$21*$C$22)</f>
        <v>10.59375</v>
      </c>
      <c r="P54" s="393">
        <f>'Changing with year'!P295/($C$21*$C$22)</f>
        <v>11.072916666666666</v>
      </c>
      <c r="Q54" s="393">
        <f>'Changing with year'!Q295/($C$21*$C$22)</f>
        <v>11.572916666666666</v>
      </c>
      <c r="R54" s="393">
        <f>'Changing with year'!R295/($C$21*$C$22)</f>
        <v>12.09375</v>
      </c>
      <c r="S54" s="393">
        <f>'Changing with year'!S295/($C$21*$C$22)</f>
        <v>12.635416666666666</v>
      </c>
      <c r="T54" s="393">
        <f>'Changing with year'!T295/($C$21*$C$22)</f>
        <v>13.208333333333334</v>
      </c>
      <c r="U54" s="393">
        <f>'Changing with year'!U295/($C$21*$C$22)</f>
        <v>13.802083333333334</v>
      </c>
      <c r="V54" s="393">
        <f>'Changing with year'!V295/($C$21*$C$22)</f>
        <v>14.427083333333334</v>
      </c>
      <c r="W54" s="393">
        <f>'Changing with year'!W295/($C$21*$C$22)</f>
        <v>15.072916666666666</v>
      </c>
      <c r="X54" s="393">
        <f>'Changing with year'!X295/($C$21*$C$22)</f>
        <v>15.75</v>
      </c>
      <c r="Y54" s="393">
        <f>'Changing with year'!Y295/($C$21*$C$22)</f>
        <v>16.458333333333332</v>
      </c>
      <c r="Z54" s="393">
        <f>'Changing with year'!Z295/($C$21*$C$22)</f>
        <v>17.197916666666668</v>
      </c>
      <c r="AA54" s="393">
        <f>'Changing with year'!AA295/($C$21*$C$22)</f>
        <v>17.96875</v>
      </c>
      <c r="AB54" s="393">
        <f>'Changing with year'!AB295/($C$21*$C$22)</f>
        <v>18.78125</v>
      </c>
      <c r="AC54" s="393">
        <f>'Changing with year'!AC295/($C$21*$C$22)</f>
        <v>19.625</v>
      </c>
      <c r="AD54" s="393">
        <f>'Changing with year'!AD295/($C$21*$C$22)</f>
        <v>20.510416666666668</v>
      </c>
      <c r="AE54" s="393">
        <f>'Changing with year'!AE295/($C$21*$C$22)</f>
        <v>21.4375</v>
      </c>
      <c r="AF54" s="393">
        <f>'Changing with year'!AF295/($C$21*$C$22)</f>
        <v>22.40625</v>
      </c>
      <c r="AG54" s="393">
        <f>'Changing with year'!AG295/($C$21*$C$22)</f>
        <v>23.416666666666668</v>
      </c>
      <c r="AH54" s="339"/>
    </row>
    <row r="55" spans="1:41">
      <c r="A55" s="348" t="s">
        <v>357</v>
      </c>
      <c r="B55" s="328" t="s">
        <v>300</v>
      </c>
      <c r="C55" s="393">
        <f>'Changing with year'!C306/($C$21*$C$22)</f>
        <v>6.875</v>
      </c>
      <c r="D55" s="393">
        <f>'Changing with year'!D306/($C$21*$C$22)</f>
        <v>7.1875</v>
      </c>
      <c r="E55" s="393">
        <f>'Changing with year'!E306/($C$21*$C$22)</f>
        <v>7.510416666666667</v>
      </c>
      <c r="F55" s="393">
        <f>'Changing with year'!F306/($C$21*$C$22)</f>
        <v>7.84375</v>
      </c>
      <c r="G55" s="393">
        <f>'Changing with year'!G306/($C$21*$C$22)</f>
        <v>8.1979166666666661</v>
      </c>
      <c r="H55" s="393">
        <f>'Changing with year'!H306/($C$21*$C$22)</f>
        <v>8.5625</v>
      </c>
      <c r="I55" s="393">
        <f>'Changing with year'!I306/($C$21*$C$22)</f>
        <v>8.9479166666666661</v>
      </c>
      <c r="J55" s="393">
        <f>'Changing with year'!J306/($C$21*$C$22)</f>
        <v>9.3541666666666661</v>
      </c>
      <c r="K55" s="393">
        <f>'Changing with year'!K306/($C$21*$C$22)</f>
        <v>9.7708333333333339</v>
      </c>
      <c r="L55" s="393">
        <f>'Changing with year'!L306/($C$21*$C$22)</f>
        <v>10.208333333333334</v>
      </c>
      <c r="M55" s="393">
        <f>'Changing with year'!M306/($C$21*$C$22)</f>
        <v>10.666666666666666</v>
      </c>
      <c r="N55" s="393">
        <f>'Changing with year'!N306/($C$21*$C$22)</f>
        <v>11.145833333333334</v>
      </c>
      <c r="O55" s="393">
        <f>'Changing with year'!O306/($C$21*$C$22)</f>
        <v>11.645833333333334</v>
      </c>
      <c r="P55" s="393">
        <f>'Changing with year'!P306/($C$21*$C$22)</f>
        <v>12.166666666666666</v>
      </c>
      <c r="Q55" s="393">
        <f>'Changing with year'!Q306/($C$21*$C$22)</f>
        <v>12.71875</v>
      </c>
      <c r="R55" s="393">
        <f>'Changing with year'!R306/($C$21*$C$22)</f>
        <v>13.291666666666666</v>
      </c>
      <c r="S55" s="393">
        <f>'Changing with year'!S306/($C$21*$C$22)</f>
        <v>13.885416666666666</v>
      </c>
      <c r="T55" s="393">
        <f>'Changing with year'!T306/($C$21*$C$22)</f>
        <v>14.510416666666666</v>
      </c>
      <c r="U55" s="393">
        <f>'Changing with year'!U306/($C$21*$C$22)</f>
        <v>15.166666666666666</v>
      </c>
      <c r="V55" s="393">
        <f>'Changing with year'!V306/($C$21*$C$22)</f>
        <v>15.854166666666666</v>
      </c>
      <c r="W55" s="393">
        <f>'Changing with year'!W306/($C$21*$C$22)</f>
        <v>16.5625</v>
      </c>
      <c r="X55" s="393">
        <f>'Changing with year'!X306/($C$21*$C$22)</f>
        <v>17.3125</v>
      </c>
      <c r="Y55" s="393">
        <f>'Changing with year'!Y306/($C$21*$C$22)</f>
        <v>18.09375</v>
      </c>
      <c r="Z55" s="393">
        <f>'Changing with year'!Z306/($C$21*$C$22)</f>
        <v>18.90625</v>
      </c>
      <c r="AA55" s="393">
        <f>'Changing with year'!AA306/($C$21*$C$22)</f>
        <v>19.760416666666668</v>
      </c>
      <c r="AB55" s="393">
        <f>'Changing with year'!AB306/($C$21*$C$22)</f>
        <v>20.645833333333332</v>
      </c>
      <c r="AC55" s="393">
        <f>'Changing with year'!AC306/($C$21*$C$22)</f>
        <v>21.572916666666668</v>
      </c>
      <c r="AD55" s="393">
        <f>'Changing with year'!AD306/($C$21*$C$22)</f>
        <v>22.541666666666668</v>
      </c>
      <c r="AE55" s="393">
        <f>'Changing with year'!AE306/($C$21*$C$22)</f>
        <v>23.552083333333332</v>
      </c>
      <c r="AF55" s="393">
        <f>'Changing with year'!AF306/($C$21*$C$22)</f>
        <v>24.614583333333332</v>
      </c>
      <c r="AG55" s="393">
        <f>'Changing with year'!AG306/($C$21*$C$22)</f>
        <v>25.71875</v>
      </c>
      <c r="AH55" s="339"/>
    </row>
    <row r="56" spans="1:41">
      <c r="A56" s="328" t="s">
        <v>299</v>
      </c>
      <c r="B56" s="328" t="s">
        <v>300</v>
      </c>
      <c r="C56" s="338">
        <f>'Changing with year'!C163</f>
        <v>8.3000000000000007</v>
      </c>
      <c r="D56" s="338">
        <f>'Changing with year'!D163</f>
        <v>8.6320000000000014</v>
      </c>
      <c r="E56" s="338">
        <f>'Changing with year'!E163</f>
        <v>8.9772800000000021</v>
      </c>
      <c r="F56" s="338">
        <f>'Changing with year'!F163</f>
        <v>9.3363712000000021</v>
      </c>
      <c r="G56" s="338">
        <f>'Changing with year'!G163</f>
        <v>9.7098260480000018</v>
      </c>
      <c r="H56" s="338">
        <f>'Changing with year'!H163</f>
        <v>10.098219089920002</v>
      </c>
      <c r="I56" s="338">
        <f>'Changing with year'!I163</f>
        <v>10.502147853516803</v>
      </c>
      <c r="J56" s="338">
        <f>'Changing with year'!J163</f>
        <v>10.922233767657476</v>
      </c>
      <c r="K56" s="338">
        <f>'Changing with year'!K163</f>
        <v>11.359123118363774</v>
      </c>
      <c r="L56" s="338">
        <f>'Changing with year'!L163</f>
        <v>11.813488043098326</v>
      </c>
      <c r="M56" s="338">
        <f>'Changing with year'!M163</f>
        <v>12.286027564822259</v>
      </c>
      <c r="N56" s="338">
        <f>'Changing with year'!N163</f>
        <v>12.77746866741515</v>
      </c>
      <c r="O56" s="338">
        <f>'Changing with year'!O163</f>
        <v>13.288567414111757</v>
      </c>
      <c r="P56" s="338">
        <f>'Changing with year'!P163</f>
        <v>13.820110110676227</v>
      </c>
      <c r="Q56" s="338">
        <f>'Changing with year'!Q163</f>
        <v>14.372914515103277</v>
      </c>
      <c r="R56" s="338">
        <f>'Changing with year'!R163</f>
        <v>14.947831095707409</v>
      </c>
      <c r="S56" s="338">
        <f>'Changing with year'!S163</f>
        <v>15.545744339535705</v>
      </c>
      <c r="T56" s="338">
        <f>'Changing with year'!T163</f>
        <v>16.167574113117134</v>
      </c>
      <c r="U56" s="338">
        <f>'Changing with year'!U163</f>
        <v>16.814277077641819</v>
      </c>
      <c r="V56" s="338">
        <f>'Changing with year'!V163</f>
        <v>17.486848160747492</v>
      </c>
      <c r="W56" s="338">
        <f>'Changing with year'!W163</f>
        <v>18.186322087177391</v>
      </c>
      <c r="X56" s="338">
        <f>'Changing with year'!X163</f>
        <v>18.913774970664488</v>
      </c>
      <c r="Y56" s="338">
        <f>'Changing with year'!Y163</f>
        <v>19.670325969491067</v>
      </c>
      <c r="Z56" s="338">
        <f>'Changing with year'!Z163</f>
        <v>20.457139008270712</v>
      </c>
      <c r="AA56" s="338">
        <f>'Changing with year'!AA163</f>
        <v>21.27542456860154</v>
      </c>
      <c r="AB56" s="338">
        <f>'Changing with year'!AB163</f>
        <v>22.126441551345604</v>
      </c>
      <c r="AC56" s="338">
        <f>'Changing with year'!AC163</f>
        <v>23.011499213399428</v>
      </c>
      <c r="AD56" s="338">
        <f>'Changing with year'!AD163</f>
        <v>23.931959181935408</v>
      </c>
      <c r="AE56" s="338">
        <f>'Changing with year'!AE163</f>
        <v>24.889237549212826</v>
      </c>
      <c r="AF56" s="338">
        <f>'Changing with year'!AF163</f>
        <v>25.88480705118134</v>
      </c>
      <c r="AG56" s="338">
        <f>'Changing with year'!AG163</f>
        <v>26.920199333228595</v>
      </c>
      <c r="AH56" s="339"/>
    </row>
    <row r="57" spans="1:41">
      <c r="A57" s="328" t="s">
        <v>301</v>
      </c>
      <c r="B57" s="328" t="s">
        <v>300</v>
      </c>
      <c r="C57" s="338">
        <f>'Changing with year'!C195</f>
        <v>8.8000000000000007</v>
      </c>
      <c r="D57" s="338">
        <f>'Changing with year'!D195</f>
        <v>9.152000000000001</v>
      </c>
      <c r="E57" s="338">
        <f>'Changing with year'!E195</f>
        <v>9.5180800000000012</v>
      </c>
      <c r="F57" s="338">
        <f>'Changing with year'!F195</f>
        <v>9.8988032000000015</v>
      </c>
      <c r="G57" s="338">
        <f>'Changing with year'!G195</f>
        <v>10.294755328000003</v>
      </c>
      <c r="H57" s="338">
        <f>'Changing with year'!H195</f>
        <v>10.706545541120002</v>
      </c>
      <c r="I57" s="338">
        <f>'Changing with year'!I195</f>
        <v>11.134807362764803</v>
      </c>
      <c r="J57" s="338">
        <f>'Changing with year'!J195</f>
        <v>11.580199657275395</v>
      </c>
      <c r="K57" s="338">
        <f>'Changing with year'!K195</f>
        <v>12.043407643566411</v>
      </c>
      <c r="L57" s="338">
        <f>'Changing with year'!L195</f>
        <v>12.525143949309069</v>
      </c>
      <c r="M57" s="338">
        <f>'Changing with year'!M195</f>
        <v>13.026149707281432</v>
      </c>
      <c r="N57" s="338">
        <f>'Changing with year'!N195</f>
        <v>13.54719569557269</v>
      </c>
      <c r="O57" s="338">
        <f>'Changing with year'!O195</f>
        <v>14.089083523395598</v>
      </c>
      <c r="P57" s="338">
        <f>'Changing with year'!P195</f>
        <v>14.652646864331421</v>
      </c>
      <c r="Q57" s="338">
        <f>'Changing with year'!Q195</f>
        <v>15.23875273890468</v>
      </c>
      <c r="R57" s="338">
        <f>'Changing with year'!R195</f>
        <v>15.848302848460868</v>
      </c>
      <c r="S57" s="338">
        <f>'Changing with year'!S195</f>
        <v>16.482234962399303</v>
      </c>
      <c r="T57" s="338">
        <f>'Changing with year'!T195</f>
        <v>17.141524360895275</v>
      </c>
      <c r="U57" s="338">
        <f>'Changing with year'!U195</f>
        <v>17.827185335331087</v>
      </c>
      <c r="V57" s="338">
        <f>'Changing with year'!V195</f>
        <v>18.540272748744332</v>
      </c>
      <c r="W57" s="338">
        <f>'Changing with year'!W195</f>
        <v>19.281883658694106</v>
      </c>
      <c r="X57" s="338">
        <f>'Changing with year'!X195</f>
        <v>20.05315900504187</v>
      </c>
      <c r="Y57" s="338">
        <f>'Changing with year'!Y195</f>
        <v>20.855285365243546</v>
      </c>
      <c r="Z57" s="338">
        <f>'Changing with year'!Z195</f>
        <v>21.68949677985329</v>
      </c>
      <c r="AA57" s="338">
        <f>'Changing with year'!AA195</f>
        <v>22.557076651047421</v>
      </c>
      <c r="AB57" s="338">
        <f>'Changing with year'!AB195</f>
        <v>23.459359717089317</v>
      </c>
      <c r="AC57" s="338">
        <f>'Changing with year'!AC195</f>
        <v>24.397734105772891</v>
      </c>
      <c r="AD57" s="338">
        <f>'Changing with year'!AD195</f>
        <v>25.373643470003806</v>
      </c>
      <c r="AE57" s="338">
        <f>'Changing with year'!AE195</f>
        <v>26.38858920880396</v>
      </c>
      <c r="AF57" s="338">
        <f>'Changing with year'!AF195</f>
        <v>27.444132777156121</v>
      </c>
      <c r="AG57" s="338">
        <f>'Changing with year'!AG195</f>
        <v>28.541898088242366</v>
      </c>
      <c r="AH57" s="339"/>
    </row>
    <row r="58" spans="1:41" ht="28.8">
      <c r="A58" s="337" t="s">
        <v>302</v>
      </c>
      <c r="B58" s="328" t="s">
        <v>300</v>
      </c>
      <c r="C58" s="338">
        <f>'Changing with year'!C227</f>
        <v>12.284021587882627</v>
      </c>
      <c r="D58" s="338">
        <f>'Changing with year'!D227</f>
        <v>12.464421048185564</v>
      </c>
      <c r="E58" s="338">
        <f>'Changing with year'!E227</f>
        <v>12.659810521980924</v>
      </c>
      <c r="F58" s="338">
        <f>'Changing with year'!F227</f>
        <v>12.870595258931401</v>
      </c>
      <c r="G58" s="338">
        <f>'Changing with year'!G227</f>
        <v>13.097201577458115</v>
      </c>
      <c r="H58" s="338">
        <f>'Changing with year'!H227</f>
        <v>13.340077586021664</v>
      </c>
      <c r="I58" s="338">
        <f>'Changing with year'!I227</f>
        <v>13.620769840381231</v>
      </c>
      <c r="J58" s="338">
        <f>'Changing with year'!J227</f>
        <v>13.917748001896808</v>
      </c>
      <c r="K58" s="338">
        <f>'Changing with year'!K227</f>
        <v>14.231562342514998</v>
      </c>
      <c r="L58" s="338">
        <f>'Changing with year'!L227</f>
        <v>14.562787168347072</v>
      </c>
      <c r="M58" s="338">
        <f>'Changing with year'!M227</f>
        <v>14.912021740569799</v>
      </c>
      <c r="N58" s="338">
        <f>'Changing with year'!N227</f>
        <v>15.279891233971655</v>
      </c>
      <c r="O58" s="338">
        <f>'Changing with year'!O227</f>
        <v>15.667047734634012</v>
      </c>
      <c r="P58" s="338">
        <f>'Changing with year'!P227</f>
        <v>16.074171278296784</v>
      </c>
      <c r="Q58" s="338">
        <f>'Changing with year'!Q227</f>
        <v>16.501970931020526</v>
      </c>
      <c r="R58" s="338">
        <f>'Changing with year'!R227</f>
        <v>16.95118591382138</v>
      </c>
      <c r="S58" s="338">
        <f>'Changing with year'!S227</f>
        <v>17.457027869248257</v>
      </c>
      <c r="T58" s="338">
        <f>'Changing with year'!T227</f>
        <v>17.984825557703473</v>
      </c>
      <c r="U58" s="338">
        <f>'Changing with year'!U227</f>
        <v>18.535439987960043</v>
      </c>
      <c r="V58" s="338">
        <f>'Changing with year'!V227</f>
        <v>19.109766781347396</v>
      </c>
      <c r="W58" s="338">
        <f>'Changing with year'!W227</f>
        <v>19.708737554531549</v>
      </c>
      <c r="X58" s="338">
        <f>'Changing with year'!X227</f>
        <v>20.333321357623763</v>
      </c>
      <c r="Y58" s="338">
        <f>'Changing with year'!Y227</f>
        <v>20.984526169830563</v>
      </c>
      <c r="Z58" s="338">
        <f>'Changing with year'!Z227</f>
        <v>21.663400454946615</v>
      </c>
      <c r="AA58" s="338">
        <f>'Changing with year'!AA227</f>
        <v>22.371034779084077</v>
      </c>
      <c r="AB58" s="338">
        <f>'Changing with year'!AB227</f>
        <v>23.108563493127647</v>
      </c>
      <c r="AC58" s="338">
        <f>'Changing with year'!AC227</f>
        <v>23.939462302643594</v>
      </c>
      <c r="AD58" s="338">
        <f>'Changing with year'!AD227</f>
        <v>24.802662627238085</v>
      </c>
      <c r="AE58" s="338">
        <f>'Changing with year'!AE227</f>
        <v>25.699447183141249</v>
      </c>
      <c r="AF58" s="338">
        <f>'Changing with year'!AF227</f>
        <v>26.631149901788671</v>
      </c>
      <c r="AG58" s="338">
        <f>'Changing with year'!AG227</f>
        <v>27.59915797749521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year'!C259</f>
        <v>12.978571428571428</v>
      </c>
      <c r="D59" s="338">
        <f>'Changing with year'!D259</f>
        <v>13.141607142857143</v>
      </c>
      <c r="E59" s="338">
        <f>'Changing with year'!E259</f>
        <v>13.320066964285717</v>
      </c>
      <c r="F59" s="338">
        <f>'Changing with year'!F259</f>
        <v>13.514345290178573</v>
      </c>
      <c r="G59" s="338">
        <f>'Changing with year'!G259</f>
        <v>13.724857857924109</v>
      </c>
      <c r="H59" s="338">
        <f>'Changing with year'!H259</f>
        <v>13.952042459476006</v>
      </c>
      <c r="I59" s="338">
        <f>'Changing with year'!I259</f>
        <v>14.220495416366488</v>
      </c>
      <c r="J59" s="338">
        <f>'Changing with year'!J259</f>
        <v>14.505479066362359</v>
      </c>
      <c r="K59" s="338">
        <f>'Changing with year'!K259</f>
        <v>14.807538785691237</v>
      </c>
      <c r="L59" s="338">
        <f>'Changing with year'!L259</f>
        <v>15.127244082659788</v>
      </c>
      <c r="M59" s="338">
        <f>'Changing with year'!M259</f>
        <v>15.465189516596261</v>
      </c>
      <c r="N59" s="338">
        <f>'Changing with year'!N259</f>
        <v>15.821995654477588</v>
      </c>
      <c r="O59" s="338">
        <f>'Changing with year'!O259</f>
        <v>16.198310066729825</v>
      </c>
      <c r="P59" s="338">
        <f>'Changing with year'!P259</f>
        <v>16.594808363750683</v>
      </c>
      <c r="Q59" s="338">
        <f>'Changing with year'!Q259</f>
        <v>17.012195274765343</v>
      </c>
      <c r="R59" s="338">
        <f>'Changing with year'!R259</f>
        <v>17.451205770691303</v>
      </c>
      <c r="S59" s="338">
        <f>'Changing with year'!S259</f>
        <v>17.952047527549482</v>
      </c>
      <c r="T59" s="338">
        <f>'Changing with year'!T259</f>
        <v>18.474895019421684</v>
      </c>
      <c r="U59" s="338">
        <f>'Changing with year'!U259</f>
        <v>19.020608755061073</v>
      </c>
      <c r="V59" s="338">
        <f>'Changing with year'!V259</f>
        <v>19.590083860777415</v>
      </c>
      <c r="W59" s="338">
        <f>'Changing with year'!W259</f>
        <v>20.184251463167268</v>
      </c>
      <c r="X59" s="338">
        <f>'Changing with year'!X259</f>
        <v>20.804080127173126</v>
      </c>
      <c r="Y59" s="338">
        <f>'Changing with year'!Y259</f>
        <v>21.45057735168443</v>
      </c>
      <c r="Z59" s="338">
        <f>'Changing with year'!Z259</f>
        <v>22.124791124981943</v>
      </c>
      <c r="AA59" s="338">
        <f>'Changing with year'!AA259</f>
        <v>22.827811542419052</v>
      </c>
      <c r="AB59" s="338">
        <f>'Changing with year'!AB259</f>
        <v>23.560772488829272</v>
      </c>
      <c r="AC59" s="338">
        <f>'Changing with year'!AC259</f>
        <v>24.396193388302233</v>
      </c>
      <c r="AD59" s="338">
        <f>'Changing with year'!AD259</f>
        <v>25.263961023753314</v>
      </c>
      <c r="AE59" s="338">
        <f>'Changing with year'!AE259</f>
        <v>26.165358563621627</v>
      </c>
      <c r="AF59" s="338">
        <f>'Changing with year'!AF259</f>
        <v>27.101720396073855</v>
      </c>
      <c r="AG59" s="338">
        <f>'Changing with year'!AG259</f>
        <v>28.074434176723248</v>
      </c>
      <c r="AH59" s="339"/>
    </row>
    <row r="60" spans="1:41">
      <c r="A60" s="328" t="s">
        <v>304</v>
      </c>
      <c r="B60" s="374" t="s">
        <v>305</v>
      </c>
      <c r="C60" s="361">
        <f>'Changing with year'!C273*$C$21*$C$22</f>
        <v>864000</v>
      </c>
      <c r="D60" s="361">
        <f>'Changing with year'!D273*$C$21*$C$22</f>
        <v>872640</v>
      </c>
      <c r="E60" s="361">
        <f>'Changing with year'!E273*$C$21*$C$22</f>
        <v>881366.4</v>
      </c>
      <c r="F60" s="361">
        <f>'Changing with year'!F273*$C$21*$C$22</f>
        <v>890180.06399999978</v>
      </c>
      <c r="G60" s="361">
        <f>'Changing with year'!G273*$C$21*$C$22</f>
        <v>899081.86464000004</v>
      </c>
      <c r="H60" s="361">
        <f>'Changing with year'!H273*$C$21*$C$22</f>
        <v>908072.68328640005</v>
      </c>
      <c r="I60" s="361">
        <f>'Changing with year'!I273*$C$21*$C$22</f>
        <v>917153.41011926392</v>
      </c>
      <c r="J60" s="361">
        <f>'Changing with year'!J273*$C$21*$C$22</f>
        <v>926324.94422045664</v>
      </c>
      <c r="K60" s="361">
        <f>'Changing with year'!K273*$C$21*$C$22</f>
        <v>935588.19366266136</v>
      </c>
      <c r="L60" s="361">
        <f>'Changing with year'!L273*$C$21*$C$22</f>
        <v>944944.0755992881</v>
      </c>
      <c r="M60" s="361">
        <f>'Changing with year'!M273*$C$21*$C$22</f>
        <v>954393.51635528088</v>
      </c>
      <c r="N60" s="361">
        <f>'Changing with year'!N273*$C$21*$C$22</f>
        <v>963937.45151883364</v>
      </c>
      <c r="O60" s="361">
        <f>'Changing with year'!O273*$C$21*$C$22</f>
        <v>973576.82603402203</v>
      </c>
      <c r="P60" s="361">
        <f>'Changing with year'!P273*$C$21*$C$22</f>
        <v>983312.59429436235</v>
      </c>
      <c r="Q60" s="361">
        <f>'Changing with year'!Q273*$C$21*$C$22</f>
        <v>993145.72023730609</v>
      </c>
      <c r="R60" s="361">
        <f>'Changing with year'!R273*$C$21*$C$22</f>
        <v>1003077.1774396792</v>
      </c>
      <c r="S60" s="361">
        <f>'Changing with year'!S273*$C$21*$C$22</f>
        <v>1013107.949214076</v>
      </c>
      <c r="T60" s="361">
        <f>'Changing with year'!T273*$C$21*$C$22</f>
        <v>1023239.0287062167</v>
      </c>
      <c r="U60" s="361">
        <f>'Changing with year'!U273*$C$21*$C$22</f>
        <v>1033471.4189932789</v>
      </c>
      <c r="V60" s="361">
        <f>'Changing with year'!V273*$C$21*$C$22</f>
        <v>1043806.1331832118</v>
      </c>
      <c r="W60" s="361">
        <f>'Changing with year'!W273*$C$21*$C$22</f>
        <v>1054244.1945150439</v>
      </c>
      <c r="X60" s="361">
        <f>'Changing with year'!X273*$C$21*$C$22</f>
        <v>1064786.6364601944</v>
      </c>
      <c r="Y60" s="361">
        <f>'Changing with year'!Y273*$C$21*$C$22</f>
        <v>1075434.5028247964</v>
      </c>
      <c r="Z60" s="361">
        <f>'Changing with year'!Z273*$C$21*$C$22</f>
        <v>1086188.8478530445</v>
      </c>
      <c r="AA60" s="361">
        <f>'Changing with year'!AA273*$C$21*$C$22</f>
        <v>1097050.7363315746</v>
      </c>
      <c r="AB60" s="361">
        <f>'Changing with year'!AB273*$C$21*$C$22</f>
        <v>1108021.2436948905</v>
      </c>
      <c r="AC60" s="361">
        <f>'Changing with year'!AC273*$C$21*$C$22</f>
        <v>1119101.4561318394</v>
      </c>
      <c r="AD60" s="361">
        <f>'Changing with year'!AD273*$C$21*$C$22</f>
        <v>1130292.470693158</v>
      </c>
      <c r="AE60" s="361">
        <f>'Changing with year'!AE273*$C$21*$C$22</f>
        <v>1141595.3954000894</v>
      </c>
      <c r="AF60" s="361">
        <f>'Changing with year'!AF273*$C$21*$C$22</f>
        <v>1153011.3493540904</v>
      </c>
      <c r="AG60" s="361">
        <f>'Changing with year'!AG273*$C$21*$C$22</f>
        <v>1164541.4628476314</v>
      </c>
      <c r="AH60" s="339"/>
      <c r="AI60" s="375"/>
      <c r="AJ60" s="376"/>
    </row>
    <row r="61" spans="1:41">
      <c r="A61" s="328" t="s">
        <v>306</v>
      </c>
      <c r="B61" s="374" t="s">
        <v>305</v>
      </c>
      <c r="C61" s="361">
        <f>'Changing with year'!C284*$C$21*$C$22</f>
        <v>864000</v>
      </c>
      <c r="D61" s="361">
        <f>'Changing with year'!D284*$C$21*$C$22</f>
        <v>872640</v>
      </c>
      <c r="E61" s="361">
        <f>'Changing with year'!E284*$C$21*$C$22</f>
        <v>881366.4</v>
      </c>
      <c r="F61" s="361">
        <f>'Changing with year'!F284*$C$21*$C$22</f>
        <v>890180.06399999978</v>
      </c>
      <c r="G61" s="361">
        <f>'Changing with year'!G284*$C$21*$C$22</f>
        <v>899081.86464000004</v>
      </c>
      <c r="H61" s="361">
        <f>'Changing with year'!H284*$C$21*$C$22</f>
        <v>908072.68328640005</v>
      </c>
      <c r="I61" s="361">
        <f>'Changing with year'!I284*$C$21*$C$22</f>
        <v>917153.41011926392</v>
      </c>
      <c r="J61" s="361">
        <f>'Changing with year'!J284*$C$21*$C$22</f>
        <v>926324.94422045664</v>
      </c>
      <c r="K61" s="361">
        <f>'Changing with year'!K284*$C$21*$C$22</f>
        <v>935588.19366266136</v>
      </c>
      <c r="L61" s="361">
        <f>'Changing with year'!L284*$C$21*$C$22</f>
        <v>944944.0755992881</v>
      </c>
      <c r="M61" s="361">
        <f>'Changing with year'!M284*$C$21*$C$22</f>
        <v>954393.51635528088</v>
      </c>
      <c r="N61" s="361">
        <f>'Changing with year'!N284*$C$21*$C$22</f>
        <v>963937.45151883364</v>
      </c>
      <c r="O61" s="361">
        <f>'Changing with year'!O284*$C$21*$C$22</f>
        <v>973576.82603402203</v>
      </c>
      <c r="P61" s="361">
        <f>'Changing with year'!P284*$C$21*$C$22</f>
        <v>983312.59429436235</v>
      </c>
      <c r="Q61" s="361">
        <f>'Changing with year'!Q284*$C$21*$C$22</f>
        <v>993145.72023730609</v>
      </c>
      <c r="R61" s="361">
        <f>'Changing with year'!R284*$C$21*$C$22</f>
        <v>1003077.1774396792</v>
      </c>
      <c r="S61" s="361">
        <f>'Changing with year'!S284*$C$21*$C$22</f>
        <v>1013107.949214076</v>
      </c>
      <c r="T61" s="361">
        <f>'Changing with year'!T284*$C$21*$C$22</f>
        <v>1023239.0287062167</v>
      </c>
      <c r="U61" s="361">
        <f>'Changing with year'!U284*$C$21*$C$22</f>
        <v>1033471.4189932789</v>
      </c>
      <c r="V61" s="361">
        <f>'Changing with year'!V284*$C$21*$C$22</f>
        <v>1043806.1331832118</v>
      </c>
      <c r="W61" s="361">
        <f>'Changing with year'!W284*$C$21*$C$22</f>
        <v>1054244.1945150439</v>
      </c>
      <c r="X61" s="361">
        <f>'Changing with year'!X284*$C$21*$C$22</f>
        <v>1064786.6364601944</v>
      </c>
      <c r="Y61" s="361">
        <f>'Changing with year'!Y284*$C$21*$C$22</f>
        <v>1075434.5028247964</v>
      </c>
      <c r="Z61" s="361">
        <f>'Changing with year'!Z284*$C$21*$C$22</f>
        <v>1086188.8478530445</v>
      </c>
      <c r="AA61" s="361">
        <f>'Changing with year'!AA284*$C$21*$C$22</f>
        <v>1097050.7363315746</v>
      </c>
      <c r="AB61" s="361">
        <f>'Changing with year'!AB284*$C$21*$C$22</f>
        <v>1108021.2436948905</v>
      </c>
      <c r="AC61" s="361">
        <f>'Changing with year'!AC284*$C$21*$C$22</f>
        <v>1119101.4561318394</v>
      </c>
      <c r="AD61" s="361">
        <f>'Changing with year'!AD284*$C$21*$C$22</f>
        <v>1130292.470693158</v>
      </c>
      <c r="AE61" s="361">
        <f>'Changing with year'!AE284*$C$21*$C$22</f>
        <v>1141595.3954000894</v>
      </c>
      <c r="AF61" s="361">
        <f>'Changing with year'!AF284*$C$21*$C$22</f>
        <v>1153011.3493540904</v>
      </c>
      <c r="AG61" s="361">
        <f>'Changing with year'!AG284*$C$21*$C$22</f>
        <v>1164541.4628476314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year'!C89</f>
        <v>5000000</v>
      </c>
      <c r="D63" s="376">
        <f>'Changing with year'!D89</f>
        <v>5150000</v>
      </c>
      <c r="E63" s="376">
        <f>'Changing with year'!E89</f>
        <v>5304500</v>
      </c>
      <c r="F63" s="376">
        <f>'Changing with year'!F89</f>
        <v>5463600</v>
      </c>
      <c r="G63" s="376">
        <f>'Changing with year'!G89</f>
        <v>5627500</v>
      </c>
      <c r="H63" s="376">
        <f>'Changing with year'!H89</f>
        <v>6196300</v>
      </c>
      <c r="I63" s="376">
        <f>'Changing with year'!I89</f>
        <v>6382200</v>
      </c>
      <c r="J63" s="376">
        <f>'Changing with year'!J89</f>
        <v>6573700</v>
      </c>
      <c r="K63" s="376">
        <f>'Changing with year'!K89</f>
        <v>6770900</v>
      </c>
      <c r="L63" s="376">
        <f>'Changing with year'!L89</f>
        <v>6974000</v>
      </c>
      <c r="M63" s="376">
        <f>'Changing with year'!M89</f>
        <v>7183200</v>
      </c>
      <c r="N63" s="376">
        <f>'Changing with year'!N89</f>
        <v>7398700</v>
      </c>
      <c r="O63" s="376">
        <f>'Changing with year'!O89</f>
        <v>7620700</v>
      </c>
      <c r="P63" s="376">
        <f>'Changing with year'!P89</f>
        <v>7849300</v>
      </c>
      <c r="Q63" s="376">
        <f>'Changing with year'!Q89</f>
        <v>8084800</v>
      </c>
      <c r="R63" s="376">
        <f>'Changing with year'!R89</f>
        <v>8327300</v>
      </c>
      <c r="S63" s="376">
        <f>'Changing with year'!S89</f>
        <v>8577100</v>
      </c>
      <c r="T63" s="376">
        <f>'Changing with year'!T89</f>
        <v>8834400</v>
      </c>
      <c r="U63" s="376">
        <f>'Changing with year'!U89</f>
        <v>9099400</v>
      </c>
      <c r="V63" s="376">
        <f>'Changing with year'!V89</f>
        <v>9372400</v>
      </c>
      <c r="W63" s="376">
        <f>'Changing with year'!W89</f>
        <v>9653600</v>
      </c>
      <c r="X63" s="376">
        <f>'Changing with year'!X89</f>
        <v>9943200</v>
      </c>
      <c r="Y63" s="376">
        <f>'Changing with year'!Y89</f>
        <v>10241500</v>
      </c>
      <c r="Z63" s="376">
        <f>'Changing with year'!Z89</f>
        <v>10548700</v>
      </c>
      <c r="AA63" s="376">
        <f>'Changing with year'!AA89</f>
        <v>10865200</v>
      </c>
      <c r="AB63" s="376">
        <f>'Changing with year'!AB89</f>
        <v>11191200</v>
      </c>
      <c r="AC63" s="376">
        <f>'Changing with year'!AC89</f>
        <v>11526900</v>
      </c>
      <c r="AD63" s="376">
        <f>'Changing with year'!AD89</f>
        <v>11872700</v>
      </c>
      <c r="AE63" s="376">
        <f>'Changing with year'!AE89</f>
        <v>12228900</v>
      </c>
      <c r="AF63" s="376">
        <f>'Changing with year'!AF89</f>
        <v>12595800</v>
      </c>
      <c r="AG63" s="376">
        <f>'Changing with year'!AG89</f>
        <v>12973700</v>
      </c>
    </row>
    <row r="64" spans="1:41">
      <c r="A64" s="368" t="s">
        <v>310</v>
      </c>
      <c r="B64" s="300" t="s">
        <v>309</v>
      </c>
      <c r="C64" s="376">
        <f>(C63*'No change with year'!$Y$14)</f>
        <v>2500000</v>
      </c>
      <c r="D64" s="376">
        <f>(D63*'No change with year'!$Y$14)</f>
        <v>2575000</v>
      </c>
      <c r="E64" s="376">
        <f>(E63*'No change with year'!$Y$14)</f>
        <v>2652250</v>
      </c>
      <c r="F64" s="376">
        <f>(F63*'No change with year'!$Y$14)</f>
        <v>2731800</v>
      </c>
      <c r="G64" s="376">
        <f>(G63*'No change with year'!$Y$14)</f>
        <v>2813750</v>
      </c>
      <c r="H64" s="376">
        <f>(H63*'No change with year'!$Y$14)</f>
        <v>3098150</v>
      </c>
      <c r="I64" s="376">
        <f>(I63*'No change with year'!$Y$14)</f>
        <v>3191100</v>
      </c>
      <c r="J64" s="376">
        <f>(J63*'No change with year'!$Y$14)</f>
        <v>3286850</v>
      </c>
      <c r="K64" s="376">
        <f>(K63*'No change with year'!$Y$14)</f>
        <v>3385450</v>
      </c>
      <c r="L64" s="376">
        <f>(L63*'No change with year'!$Y$14)</f>
        <v>3487000</v>
      </c>
      <c r="M64" s="376">
        <f>(M63*'No change with year'!$Y$14)</f>
        <v>3591600</v>
      </c>
      <c r="N64" s="376">
        <f>(N63*'No change with year'!$Z$14)</f>
        <v>2959480</v>
      </c>
      <c r="O64" s="376">
        <f>(O63*'No change with year'!$Z$14)</f>
        <v>3048280</v>
      </c>
      <c r="P64" s="376">
        <f>(P63*'No change with year'!$Z$14)</f>
        <v>3139720</v>
      </c>
      <c r="Q64" s="376">
        <f>(Q63*'No change with year'!$Z$14)</f>
        <v>3233920</v>
      </c>
      <c r="R64" s="376">
        <f>(R63*'No change with year'!$Z$14)</f>
        <v>3330920</v>
      </c>
      <c r="S64" s="376">
        <f>(S63*'No change with year'!$Z$14)</f>
        <v>3430840</v>
      </c>
      <c r="T64" s="376">
        <f>(T63*'No change with year'!$Z$14)</f>
        <v>3533760</v>
      </c>
      <c r="U64" s="376">
        <f>(U63*'No change with year'!$Z$14)</f>
        <v>3639760</v>
      </c>
      <c r="V64" s="376">
        <f>(V63*'No change with year'!$Z$14)</f>
        <v>3748960</v>
      </c>
      <c r="W64" s="376">
        <f>(W63*'No change with year'!$Z$14)</f>
        <v>3861440</v>
      </c>
      <c r="X64" s="376">
        <f>(X63*'No change with year'!$AA$14)</f>
        <v>2982960</v>
      </c>
      <c r="Y64" s="376">
        <f>(Y63*'No change with year'!$AA$14)</f>
        <v>3072450</v>
      </c>
      <c r="Z64" s="376">
        <f>(Z63*'No change with year'!$AA$14)</f>
        <v>3164610</v>
      </c>
      <c r="AA64" s="376">
        <f>(AA63*'No change with year'!$AA$14)</f>
        <v>3259560</v>
      </c>
      <c r="AB64" s="376">
        <f>(AB63*'No change with year'!$AA$14)</f>
        <v>3357360</v>
      </c>
      <c r="AC64" s="376">
        <f>(AC63*'No change with year'!$AA$14)</f>
        <v>3458070</v>
      </c>
      <c r="AD64" s="376">
        <f>(AD63*'No change with year'!$AA$14)</f>
        <v>3561810</v>
      </c>
      <c r="AE64" s="376">
        <f>(AE63*'No change with year'!$AA$14)</f>
        <v>3668670</v>
      </c>
      <c r="AF64" s="376">
        <f>(AF63*'No change with year'!$AA$14)</f>
        <v>3778740</v>
      </c>
      <c r="AG64" s="376">
        <f>(AG63*'No change with year'!$AA$14)</f>
        <v>3892110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1095588.6795069545</v>
      </c>
      <c r="D66" s="376">
        <f t="shared" si="4"/>
        <v>1128456.3398921629</v>
      </c>
      <c r="E66" s="376">
        <f t="shared" si="4"/>
        <v>1162310.0300889278</v>
      </c>
      <c r="F66" s="376">
        <f t="shared" si="4"/>
        <v>1197171.6618708391</v>
      </c>
      <c r="G66" s="376">
        <f t="shared" si="4"/>
        <v>1233085.0587850772</v>
      </c>
      <c r="H66" s="376">
        <f t="shared" si="4"/>
        <v>1357719.2269657883</v>
      </c>
      <c r="I66" s="376">
        <f t="shared" si="4"/>
        <v>1398453.2140698568</v>
      </c>
      <c r="J66" s="376">
        <f t="shared" si="4"/>
        <v>1440414.260494973</v>
      </c>
      <c r="K66" s="376">
        <f t="shared" si="4"/>
        <v>1483624.2780147276</v>
      </c>
      <c r="L66" s="376">
        <f t="shared" si="4"/>
        <v>1528127.0901762999</v>
      </c>
      <c r="M66" s="376">
        <f t="shared" si="4"/>
        <v>1573966.5205268709</v>
      </c>
      <c r="N66" s="376">
        <f t="shared" si="4"/>
        <v>1621186.3926136207</v>
      </c>
      <c r="O66" s="376">
        <f t="shared" si="4"/>
        <v>1669830.5299837294</v>
      </c>
      <c r="P66" s="376">
        <f t="shared" si="4"/>
        <v>1719920.8444107873</v>
      </c>
      <c r="Q66" s="376">
        <f t="shared" si="4"/>
        <v>1771523.0712155651</v>
      </c>
      <c r="R66" s="376">
        <f t="shared" si="4"/>
        <v>1824659.1221716523</v>
      </c>
      <c r="S66" s="376">
        <f t="shared" si="4"/>
        <v>1879394.7325998198</v>
      </c>
      <c r="T66" s="376">
        <f t="shared" si="4"/>
        <v>1935773.7260472474</v>
      </c>
      <c r="U66" s="376">
        <f t="shared" si="4"/>
        <v>1993839.9260611162</v>
      </c>
      <c r="V66" s="376">
        <f t="shared" si="4"/>
        <v>2053659.067962196</v>
      </c>
      <c r="W66" s="376">
        <f t="shared" si="4"/>
        <v>2115274.9752976671</v>
      </c>
      <c r="X66" s="376">
        <f t="shared" si="4"/>
        <v>2178731.4716147096</v>
      </c>
      <c r="Y66" s="376">
        <f t="shared" si="4"/>
        <v>2244094.2922340943</v>
      </c>
      <c r="Z66" s="376">
        <f t="shared" si="4"/>
        <v>2311407.2607030016</v>
      </c>
      <c r="AA66" s="376">
        <f t="shared" si="4"/>
        <v>2380758.024115792</v>
      </c>
      <c r="AB66" s="376">
        <f t="shared" si="4"/>
        <v>2452190.4060196453</v>
      </c>
      <c r="AC66" s="376">
        <f t="shared" si="4"/>
        <v>2525748.2299617422</v>
      </c>
      <c r="AD66" s="376">
        <f t="shared" si="4"/>
        <v>2601519.1430364433</v>
      </c>
      <c r="AE66" s="376">
        <f t="shared" si="4"/>
        <v>2679568.8805645187</v>
      </c>
      <c r="AF66" s="376">
        <f t="shared" si="4"/>
        <v>2759963.1778667392</v>
      </c>
      <c r="AG66" s="376">
        <f t="shared" si="4"/>
        <v>2842767.7702638749</v>
      </c>
    </row>
    <row r="67" spans="1:35">
      <c r="A67" s="368" t="s">
        <v>314</v>
      </c>
      <c r="B67" s="368" t="s">
        <v>313</v>
      </c>
      <c r="C67" s="376">
        <f t="shared" ref="C67:AG67" si="5">C41*$C$36</f>
        <v>3283432.4717010981</v>
      </c>
      <c r="D67" s="376">
        <f t="shared" si="5"/>
        <v>3655384.6153846155</v>
      </c>
      <c r="E67" s="376">
        <f t="shared" si="5"/>
        <v>3728492.3076923075</v>
      </c>
      <c r="F67" s="376">
        <f t="shared" si="5"/>
        <v>3803062.153846154</v>
      </c>
      <c r="G67" s="376">
        <f t="shared" si="5"/>
        <v>3879123.3969230773</v>
      </c>
      <c r="H67" s="376">
        <f t="shared" si="5"/>
        <v>3956705.8648615386</v>
      </c>
      <c r="I67" s="376">
        <f t="shared" si="5"/>
        <v>4035839.9821587694</v>
      </c>
      <c r="J67" s="376">
        <f t="shared" si="5"/>
        <v>4116556.7818019446</v>
      </c>
      <c r="K67" s="376">
        <f t="shared" si="5"/>
        <v>4198887.9174379837</v>
      </c>
      <c r="L67" s="376">
        <f t="shared" si="5"/>
        <v>4282865.6757867439</v>
      </c>
      <c r="M67" s="376">
        <f t="shared" si="5"/>
        <v>4368522.9893024787</v>
      </c>
      <c r="N67" s="376">
        <f t="shared" si="5"/>
        <v>4455893.4490885278</v>
      </c>
      <c r="O67" s="376">
        <f t="shared" si="5"/>
        <v>4545011.318070299</v>
      </c>
      <c r="P67" s="376">
        <f t="shared" si="5"/>
        <v>4635911.5444317041</v>
      </c>
      <c r="Q67" s="376">
        <f t="shared" si="5"/>
        <v>4728629.775320339</v>
      </c>
      <c r="R67" s="376">
        <f t="shared" si="5"/>
        <v>4823202.3708267454</v>
      </c>
      <c r="S67" s="376">
        <f t="shared" si="5"/>
        <v>4919666.4182432815</v>
      </c>
      <c r="T67" s="376">
        <f t="shared" si="5"/>
        <v>5018059.7466081465</v>
      </c>
      <c r="U67" s="376">
        <f t="shared" si="5"/>
        <v>5118420.9415403102</v>
      </c>
      <c r="V67" s="376">
        <f t="shared" si="5"/>
        <v>5220789.3603711165</v>
      </c>
      <c r="W67" s="376">
        <f t="shared" si="5"/>
        <v>5325205.1475785384</v>
      </c>
      <c r="X67" s="376">
        <f t="shared" si="5"/>
        <v>5431709.2505301097</v>
      </c>
      <c r="Y67" s="376">
        <f t="shared" si="5"/>
        <v>5540343.4355407115</v>
      </c>
      <c r="Z67" s="376">
        <f t="shared" si="5"/>
        <v>5651150.3042515265</v>
      </c>
      <c r="AA67" s="376">
        <f t="shared" si="5"/>
        <v>5764173.3103365563</v>
      </c>
      <c r="AB67" s="376">
        <f t="shared" si="5"/>
        <v>5879456.7765432876</v>
      </c>
      <c r="AC67" s="376">
        <f t="shared" si="5"/>
        <v>5997045.9120741533</v>
      </c>
      <c r="AD67" s="376">
        <f t="shared" si="5"/>
        <v>6116986.8303156365</v>
      </c>
      <c r="AE67" s="376">
        <f t="shared" si="5"/>
        <v>6239326.5669219494</v>
      </c>
      <c r="AF67" s="376">
        <f t="shared" si="5"/>
        <v>6364113.0982603887</v>
      </c>
      <c r="AG67" s="376">
        <f t="shared" si="5"/>
        <v>6491395.3602255965</v>
      </c>
    </row>
    <row r="68" spans="1:35">
      <c r="A68" s="368" t="s">
        <v>315</v>
      </c>
      <c r="B68" s="368" t="s">
        <v>313</v>
      </c>
      <c r="C68" s="329">
        <f t="shared" ref="C68:AG68" si="6">$C$36*$AH$68*C42</f>
        <v>101538.46153846155</v>
      </c>
      <c r="D68" s="329">
        <f t="shared" si="6"/>
        <v>104076.92307692306</v>
      </c>
      <c r="E68" s="329">
        <f t="shared" si="6"/>
        <v>106678.84615384614</v>
      </c>
      <c r="F68" s="329">
        <f t="shared" si="6"/>
        <v>109345.81730769228</v>
      </c>
      <c r="G68" s="329">
        <f t="shared" si="6"/>
        <v>112079.46274038458</v>
      </c>
      <c r="H68" s="329">
        <f t="shared" si="6"/>
        <v>114881.44930889418</v>
      </c>
      <c r="I68" s="329">
        <f t="shared" si="6"/>
        <v>117753.48554161652</v>
      </c>
      <c r="J68" s="329">
        <f t="shared" si="6"/>
        <v>120697.32268015693</v>
      </c>
      <c r="K68" s="329">
        <f t="shared" si="6"/>
        <v>123714.75574716085</v>
      </c>
      <c r="L68" s="329">
        <f t="shared" si="6"/>
        <v>126807.62464083987</v>
      </c>
      <c r="M68" s="329">
        <f t="shared" si="6"/>
        <v>129977.81525686083</v>
      </c>
      <c r="N68" s="329">
        <f t="shared" si="6"/>
        <v>133227.26063828234</v>
      </c>
      <c r="O68" s="329">
        <f t="shared" si="6"/>
        <v>136557.9421542394</v>
      </c>
      <c r="P68" s="329">
        <f t="shared" si="6"/>
        <v>139971.89070809539</v>
      </c>
      <c r="Q68" s="329">
        <f t="shared" si="6"/>
        <v>143471.18797579774</v>
      </c>
      <c r="R68" s="329">
        <f t="shared" si="6"/>
        <v>147057.96767519269</v>
      </c>
      <c r="S68" s="329">
        <f t="shared" si="6"/>
        <v>150734.41686707249</v>
      </c>
      <c r="T68" s="329">
        <f t="shared" si="6"/>
        <v>154502.77728874929</v>
      </c>
      <c r="U68" s="329">
        <f t="shared" si="6"/>
        <v>158365.34672096802</v>
      </c>
      <c r="V68" s="329">
        <f t="shared" si="6"/>
        <v>162324.4803889922</v>
      </c>
      <c r="W68" s="329">
        <f t="shared" si="6"/>
        <v>166382.59239871701</v>
      </c>
      <c r="X68" s="329">
        <f t="shared" si="6"/>
        <v>170542.15720868492</v>
      </c>
      <c r="Y68" s="329">
        <f t="shared" si="6"/>
        <v>174805.71113890203</v>
      </c>
      <c r="Z68" s="329">
        <f t="shared" si="6"/>
        <v>179175.85391737457</v>
      </c>
      <c r="AA68" s="329">
        <f t="shared" si="6"/>
        <v>183655.25026530892</v>
      </c>
      <c r="AB68" s="329">
        <f t="shared" si="6"/>
        <v>188246.63152194163</v>
      </c>
      <c r="AC68" s="329">
        <f t="shared" si="6"/>
        <v>192952.79730999013</v>
      </c>
      <c r="AD68" s="329">
        <f t="shared" si="6"/>
        <v>197776.61724273989</v>
      </c>
      <c r="AE68" s="329">
        <f t="shared" si="6"/>
        <v>202721.03267380837</v>
      </c>
      <c r="AF68" s="329">
        <f t="shared" si="6"/>
        <v>207789.05849065355</v>
      </c>
      <c r="AG68" s="329">
        <f t="shared" si="6"/>
        <v>212983.78495291987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796800.00000000012</v>
      </c>
      <c r="D69" s="376">
        <f t="shared" si="7"/>
        <v>828672.00000000012</v>
      </c>
      <c r="E69" s="376">
        <f t="shared" si="7"/>
        <v>861818.88000000024</v>
      </c>
      <c r="F69" s="376">
        <f t="shared" si="7"/>
        <v>896291.63520000025</v>
      </c>
      <c r="G69" s="376">
        <f t="shared" si="7"/>
        <v>932143.30060800014</v>
      </c>
      <c r="H69" s="376">
        <f t="shared" si="7"/>
        <v>969429.03263232019</v>
      </c>
      <c r="I69" s="376">
        <f t="shared" si="7"/>
        <v>1008206.193937613</v>
      </c>
      <c r="J69" s="376">
        <f t="shared" si="7"/>
        <v>1048534.4416951176</v>
      </c>
      <c r="K69" s="376">
        <f t="shared" si="7"/>
        <v>1090475.8193629223</v>
      </c>
      <c r="L69" s="376">
        <f t="shared" si="7"/>
        <v>1134094.8521374394</v>
      </c>
      <c r="M69" s="376">
        <f t="shared" si="7"/>
        <v>1179458.6462229369</v>
      </c>
      <c r="N69" s="376">
        <f t="shared" si="7"/>
        <v>1226636.9920718544</v>
      </c>
      <c r="O69" s="376">
        <f t="shared" si="7"/>
        <v>1275702.4717547286</v>
      </c>
      <c r="P69" s="376">
        <f t="shared" si="7"/>
        <v>1326730.5706249177</v>
      </c>
      <c r="Q69" s="376">
        <f t="shared" si="7"/>
        <v>1379799.7934499145</v>
      </c>
      <c r="R69" s="376">
        <f t="shared" si="7"/>
        <v>1434991.7851879112</v>
      </c>
      <c r="S69" s="376">
        <f t="shared" si="7"/>
        <v>1492391.4565954278</v>
      </c>
      <c r="T69" s="376">
        <f t="shared" si="7"/>
        <v>1552087.1148592448</v>
      </c>
      <c r="U69" s="376">
        <f t="shared" si="7"/>
        <v>1614170.5994536146</v>
      </c>
      <c r="V69" s="376">
        <f t="shared" si="7"/>
        <v>1678737.4234317592</v>
      </c>
      <c r="W69" s="376">
        <f t="shared" si="7"/>
        <v>1745886.9203690295</v>
      </c>
      <c r="X69" s="376">
        <f t="shared" si="7"/>
        <v>1815722.3971837908</v>
      </c>
      <c r="Y69" s="376">
        <f t="shared" si="7"/>
        <v>1888351.2930711424</v>
      </c>
      <c r="Z69" s="376">
        <f t="shared" si="7"/>
        <v>1963885.3447939884</v>
      </c>
      <c r="AA69" s="376">
        <f t="shared" si="7"/>
        <v>2042440.7585857478</v>
      </c>
      <c r="AB69" s="376">
        <f t="shared" si="7"/>
        <v>2124138.388929178</v>
      </c>
      <c r="AC69" s="376">
        <f t="shared" si="7"/>
        <v>2209103.9244863451</v>
      </c>
      <c r="AD69" s="376">
        <f t="shared" si="7"/>
        <v>2297468.0814657994</v>
      </c>
      <c r="AE69" s="376">
        <f t="shared" si="7"/>
        <v>2389366.8047244311</v>
      </c>
      <c r="AF69" s="376">
        <f t="shared" si="7"/>
        <v>2484941.4769134088</v>
      </c>
      <c r="AG69" s="376">
        <f t="shared" si="7"/>
        <v>2584339.1359899449</v>
      </c>
    </row>
    <row r="70" spans="1:35">
      <c r="A70" s="368" t="s">
        <v>318</v>
      </c>
      <c r="B70" s="368" t="s">
        <v>313</v>
      </c>
      <c r="C70" s="376">
        <f>'Changing with year'!C295</f>
        <v>600000</v>
      </c>
      <c r="D70" s="376">
        <f>'Changing with year'!D295</f>
        <v>627000</v>
      </c>
      <c r="E70" s="376">
        <f>'Changing with year'!E295</f>
        <v>655000</v>
      </c>
      <c r="F70" s="376">
        <f>'Changing with year'!F295</f>
        <v>684000</v>
      </c>
      <c r="G70" s="376">
        <f>'Changing with year'!G295</f>
        <v>715000</v>
      </c>
      <c r="H70" s="376">
        <f>'Changing with year'!H295</f>
        <v>747000</v>
      </c>
      <c r="I70" s="376">
        <f>'Changing with year'!I295</f>
        <v>781000</v>
      </c>
      <c r="J70" s="376">
        <f>'Changing with year'!J295</f>
        <v>816000</v>
      </c>
      <c r="K70" s="376">
        <f>'Changing with year'!K295</f>
        <v>853000</v>
      </c>
      <c r="L70" s="376">
        <f>'Changing with year'!L295</f>
        <v>891000</v>
      </c>
      <c r="M70" s="376">
        <f>'Changing with year'!M295</f>
        <v>931000</v>
      </c>
      <c r="N70" s="376">
        <f>'Changing with year'!N295</f>
        <v>973000</v>
      </c>
      <c r="O70" s="376">
        <f>'Changing with year'!O295</f>
        <v>1017000</v>
      </c>
      <c r="P70" s="376">
        <f>'Changing with year'!P295</f>
        <v>1063000</v>
      </c>
      <c r="Q70" s="376">
        <f>'Changing with year'!Q295</f>
        <v>1111000</v>
      </c>
      <c r="R70" s="376">
        <f>'Changing with year'!R295</f>
        <v>1161000</v>
      </c>
      <c r="S70" s="376">
        <f>'Changing with year'!S295</f>
        <v>1213000</v>
      </c>
      <c r="T70" s="376">
        <f>'Changing with year'!T295</f>
        <v>1268000</v>
      </c>
      <c r="U70" s="376">
        <f>'Changing with year'!U295</f>
        <v>1325000</v>
      </c>
      <c r="V70" s="376">
        <f>'Changing with year'!V295</f>
        <v>1385000</v>
      </c>
      <c r="W70" s="376">
        <f>'Changing with year'!W295</f>
        <v>1447000</v>
      </c>
      <c r="X70" s="376">
        <f>'Changing with year'!X295</f>
        <v>1512000</v>
      </c>
      <c r="Y70" s="376">
        <f>'Changing with year'!Y295</f>
        <v>1580000</v>
      </c>
      <c r="Z70" s="376">
        <f>'Changing with year'!Z295</f>
        <v>1651000</v>
      </c>
      <c r="AA70" s="376">
        <f>'Changing with year'!AA295</f>
        <v>1725000</v>
      </c>
      <c r="AB70" s="376">
        <f>'Changing with year'!AB295</f>
        <v>1803000</v>
      </c>
      <c r="AC70" s="376">
        <f>'Changing with year'!AC295</f>
        <v>1884000</v>
      </c>
      <c r="AD70" s="376">
        <f>'Changing with year'!AD295</f>
        <v>1969000</v>
      </c>
      <c r="AE70" s="376">
        <f>'Changing with year'!AE295</f>
        <v>2058000</v>
      </c>
      <c r="AF70" s="376">
        <f>'Changing with year'!AF295</f>
        <v>2151000</v>
      </c>
      <c r="AG70" s="376">
        <f>'Changing with year'!AG295</f>
        <v>2248000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864000</v>
      </c>
      <c r="D71" s="376">
        <f t="shared" si="8"/>
        <v>872640</v>
      </c>
      <c r="E71" s="376">
        <f t="shared" si="8"/>
        <v>881366.4</v>
      </c>
      <c r="F71" s="376">
        <f t="shared" si="8"/>
        <v>890180.06399999978</v>
      </c>
      <c r="G71" s="376">
        <f t="shared" si="8"/>
        <v>899081.86464000004</v>
      </c>
      <c r="H71" s="376">
        <f t="shared" si="8"/>
        <v>908072.68328640005</v>
      </c>
      <c r="I71" s="376">
        <f t="shared" si="8"/>
        <v>917153.41011926392</v>
      </c>
      <c r="J71" s="376">
        <f t="shared" si="8"/>
        <v>926324.94422045664</v>
      </c>
      <c r="K71" s="376">
        <f t="shared" si="8"/>
        <v>935588.19366266136</v>
      </c>
      <c r="L71" s="376">
        <f t="shared" si="8"/>
        <v>944944.0755992881</v>
      </c>
      <c r="M71" s="376">
        <f t="shared" si="8"/>
        <v>954393.51635528088</v>
      </c>
      <c r="N71" s="376">
        <f t="shared" si="8"/>
        <v>963937.45151883364</v>
      </c>
      <c r="O71" s="376">
        <f t="shared" si="8"/>
        <v>973576.82603402203</v>
      </c>
      <c r="P71" s="376">
        <f t="shared" si="8"/>
        <v>983312.59429436235</v>
      </c>
      <c r="Q71" s="376">
        <f t="shared" si="8"/>
        <v>993145.72023730609</v>
      </c>
      <c r="R71" s="376">
        <f t="shared" si="8"/>
        <v>1003077.1774396792</v>
      </c>
      <c r="S71" s="376">
        <f t="shared" si="8"/>
        <v>1013107.949214076</v>
      </c>
      <c r="T71" s="376">
        <f t="shared" si="8"/>
        <v>1023239.0287062167</v>
      </c>
      <c r="U71" s="376">
        <f t="shared" si="8"/>
        <v>1033471.4189932789</v>
      </c>
      <c r="V71" s="376">
        <f t="shared" si="8"/>
        <v>1043806.1331832118</v>
      </c>
      <c r="W71" s="376">
        <f t="shared" si="8"/>
        <v>1054244.1945150439</v>
      </c>
      <c r="X71" s="376">
        <f t="shared" si="8"/>
        <v>1064786.6364601944</v>
      </c>
      <c r="Y71" s="376">
        <f t="shared" si="8"/>
        <v>1075434.5028247964</v>
      </c>
      <c r="Z71" s="376">
        <f t="shared" si="8"/>
        <v>1086188.8478530445</v>
      </c>
      <c r="AA71" s="376">
        <f t="shared" si="8"/>
        <v>1097050.7363315746</v>
      </c>
      <c r="AB71" s="376">
        <f t="shared" si="8"/>
        <v>1108021.2436948905</v>
      </c>
      <c r="AC71" s="376">
        <f t="shared" si="8"/>
        <v>1119101.4561318394</v>
      </c>
      <c r="AD71" s="376">
        <f t="shared" si="8"/>
        <v>1130292.470693158</v>
      </c>
      <c r="AE71" s="376">
        <f t="shared" si="8"/>
        <v>1141595.3954000894</v>
      </c>
      <c r="AF71" s="376">
        <f t="shared" si="8"/>
        <v>1153011.3493540904</v>
      </c>
      <c r="AG71" s="376">
        <f t="shared" si="8"/>
        <v>1164541.4628476314</v>
      </c>
    </row>
    <row r="72" spans="1:35">
      <c r="A72" s="300" t="s">
        <v>319</v>
      </c>
      <c r="B72" s="368" t="s">
        <v>313</v>
      </c>
      <c r="C72" s="376">
        <f t="shared" ref="C72:AG72" si="9">C63*$C$29</f>
        <v>100000</v>
      </c>
      <c r="D72" s="376">
        <f t="shared" si="9"/>
        <v>103000</v>
      </c>
      <c r="E72" s="376">
        <f t="shared" si="9"/>
        <v>106090</v>
      </c>
      <c r="F72" s="376">
        <f t="shared" si="9"/>
        <v>109272</v>
      </c>
      <c r="G72" s="376">
        <f t="shared" si="9"/>
        <v>112550</v>
      </c>
      <c r="H72" s="376">
        <f t="shared" si="9"/>
        <v>123926</v>
      </c>
      <c r="I72" s="376">
        <f t="shared" si="9"/>
        <v>127644</v>
      </c>
      <c r="J72" s="376">
        <f t="shared" si="9"/>
        <v>131474</v>
      </c>
      <c r="K72" s="376">
        <f t="shared" si="9"/>
        <v>135418</v>
      </c>
      <c r="L72" s="376">
        <f t="shared" si="9"/>
        <v>139480</v>
      </c>
      <c r="M72" s="376">
        <f t="shared" si="9"/>
        <v>143664</v>
      </c>
      <c r="N72" s="376">
        <f t="shared" si="9"/>
        <v>147974</v>
      </c>
      <c r="O72" s="376">
        <f t="shared" si="9"/>
        <v>152414</v>
      </c>
      <c r="P72" s="376">
        <f t="shared" si="9"/>
        <v>156986</v>
      </c>
      <c r="Q72" s="376">
        <f t="shared" si="9"/>
        <v>161696</v>
      </c>
      <c r="R72" s="376">
        <f t="shared" si="9"/>
        <v>166546</v>
      </c>
      <c r="S72" s="376">
        <f t="shared" si="9"/>
        <v>171542</v>
      </c>
      <c r="T72" s="376">
        <f t="shared" si="9"/>
        <v>176688</v>
      </c>
      <c r="U72" s="376">
        <f t="shared" si="9"/>
        <v>181988</v>
      </c>
      <c r="V72" s="376">
        <f t="shared" si="9"/>
        <v>187448</v>
      </c>
      <c r="W72" s="376">
        <f t="shared" si="9"/>
        <v>193072</v>
      </c>
      <c r="X72" s="376">
        <f t="shared" si="9"/>
        <v>198864</v>
      </c>
      <c r="Y72" s="376">
        <f t="shared" si="9"/>
        <v>204830</v>
      </c>
      <c r="Z72" s="376">
        <f t="shared" si="9"/>
        <v>210974</v>
      </c>
      <c r="AA72" s="376">
        <f t="shared" si="9"/>
        <v>217304</v>
      </c>
      <c r="AB72" s="376">
        <f t="shared" si="9"/>
        <v>223824</v>
      </c>
      <c r="AC72" s="376">
        <f t="shared" si="9"/>
        <v>230538</v>
      </c>
      <c r="AD72" s="376">
        <f t="shared" si="9"/>
        <v>237454</v>
      </c>
      <c r="AE72" s="376">
        <f t="shared" si="9"/>
        <v>244578</v>
      </c>
      <c r="AF72" s="376">
        <f t="shared" si="9"/>
        <v>251916</v>
      </c>
      <c r="AG72" s="376">
        <f t="shared" si="9"/>
        <v>259474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11.412382078197442</v>
      </c>
      <c r="D74" s="379">
        <f t="shared" si="10"/>
        <v>11.754753540543364</v>
      </c>
      <c r="E74" s="379">
        <f t="shared" si="10"/>
        <v>12.107396146759665</v>
      </c>
      <c r="F74" s="379">
        <f t="shared" si="10"/>
        <v>12.470538144487907</v>
      </c>
      <c r="G74" s="379">
        <f t="shared" si="10"/>
        <v>12.844636029011221</v>
      </c>
      <c r="H74" s="379">
        <f t="shared" si="10"/>
        <v>14.142908614226961</v>
      </c>
      <c r="I74" s="379">
        <f t="shared" si="10"/>
        <v>14.567220979894342</v>
      </c>
      <c r="J74" s="379">
        <f t="shared" si="10"/>
        <v>15.004315213489303</v>
      </c>
      <c r="K74" s="379">
        <f t="shared" si="10"/>
        <v>15.454419562653413</v>
      </c>
      <c r="L74" s="379">
        <f t="shared" si="10"/>
        <v>15.917990522669792</v>
      </c>
      <c r="M74" s="379">
        <f t="shared" si="10"/>
        <v>16.395484588821571</v>
      </c>
      <c r="N74" s="379">
        <f t="shared" si="10"/>
        <v>16.887358256391881</v>
      </c>
      <c r="O74" s="379">
        <f t="shared" si="10"/>
        <v>17.394068020663848</v>
      </c>
      <c r="P74" s="379">
        <f t="shared" si="10"/>
        <v>17.915842129279035</v>
      </c>
      <c r="Q74" s="379">
        <f t="shared" si="10"/>
        <v>18.453365325162135</v>
      </c>
      <c r="R74" s="379">
        <f t="shared" si="10"/>
        <v>19.006865855954711</v>
      </c>
      <c r="S74" s="379">
        <f t="shared" si="10"/>
        <v>19.577028464581456</v>
      </c>
      <c r="T74" s="379">
        <f t="shared" si="10"/>
        <v>20.164309646325496</v>
      </c>
      <c r="U74" s="379">
        <f t="shared" si="10"/>
        <v>20.769165896469961</v>
      </c>
      <c r="V74" s="379">
        <f t="shared" si="10"/>
        <v>21.392281957939542</v>
      </c>
      <c r="W74" s="379">
        <f t="shared" si="10"/>
        <v>22.034114326017367</v>
      </c>
      <c r="X74" s="379">
        <f t="shared" si="10"/>
        <v>22.695119495986557</v>
      </c>
      <c r="Y74" s="379">
        <f t="shared" si="10"/>
        <v>23.375982210771816</v>
      </c>
      <c r="Z74" s="379">
        <f t="shared" si="10"/>
        <v>24.077158965656267</v>
      </c>
      <c r="AA74" s="379">
        <f t="shared" si="10"/>
        <v>24.799562751206167</v>
      </c>
      <c r="AB74" s="379">
        <f t="shared" si="10"/>
        <v>25.543650062704639</v>
      </c>
      <c r="AC74" s="379">
        <f t="shared" si="10"/>
        <v>26.309877395434814</v>
      </c>
      <c r="AD74" s="379">
        <f t="shared" si="10"/>
        <v>27.099157739962951</v>
      </c>
      <c r="AE74" s="379">
        <f t="shared" si="10"/>
        <v>27.912175839213738</v>
      </c>
      <c r="AF74" s="379">
        <f t="shared" si="10"/>
        <v>28.749616436111868</v>
      </c>
      <c r="AG74" s="379">
        <f t="shared" si="10"/>
        <v>29.612164273582032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35.260113887912077</v>
      </c>
      <c r="D75" s="379">
        <f t="shared" si="11"/>
        <v>39.161057692307693</v>
      </c>
      <c r="E75" s="379">
        <f t="shared" si="11"/>
        <v>39.949699519230769</v>
      </c>
      <c r="F75" s="379">
        <f t="shared" si="11"/>
        <v>40.754249699519235</v>
      </c>
      <c r="G75" s="379">
        <f t="shared" si="11"/>
        <v>41.575029788161061</v>
      </c>
      <c r="H75" s="379">
        <f t="shared" si="11"/>
        <v>42.412367855942009</v>
      </c>
      <c r="I75" s="379">
        <f t="shared" si="11"/>
        <v>43.26659862187902</v>
      </c>
      <c r="J75" s="379">
        <f t="shared" si="11"/>
        <v>44.138063588355223</v>
      </c>
      <c r="K75" s="379">
        <f t="shared" si="11"/>
        <v>45.027111179011925</v>
      </c>
      <c r="L75" s="379">
        <f t="shared" si="11"/>
        <v>45.934096879454003</v>
      </c>
      <c r="M75" s="379">
        <f t="shared" si="11"/>
        <v>46.859383380826458</v>
      </c>
      <c r="N75" s="379">
        <f t="shared" si="11"/>
        <v>47.80334072632094</v>
      </c>
      <c r="O75" s="379">
        <f t="shared" si="11"/>
        <v>48.766346460672267</v>
      </c>
      <c r="P75" s="379">
        <f t="shared" si="11"/>
        <v>49.748785782706243</v>
      </c>
      <c r="Q75" s="379">
        <f t="shared" si="11"/>
        <v>50.751051701001423</v>
      </c>
      <c r="R75" s="379">
        <f t="shared" si="11"/>
        <v>51.77354519272852</v>
      </c>
      <c r="S75" s="379">
        <f t="shared" si="11"/>
        <v>52.816675365732856</v>
      </c>
      <c r="T75" s="379">
        <f t="shared" si="11"/>
        <v>53.880859623925993</v>
      </c>
      <c r="U75" s="379">
        <f t="shared" si="11"/>
        <v>54.966523836054982</v>
      </c>
      <c r="V75" s="379">
        <f t="shared" si="11"/>
        <v>56.0741025079178</v>
      </c>
      <c r="W75" s="379">
        <f t="shared" si="11"/>
        <v>57.204038958096412</v>
      </c>
      <c r="X75" s="379">
        <f t="shared" si="11"/>
        <v>58.356785497279112</v>
      </c>
      <c r="Y75" s="379">
        <f t="shared" si="11"/>
        <v>59.532803611245974</v>
      </c>
      <c r="Z75" s="379">
        <f t="shared" si="11"/>
        <v>60.732564147592718</v>
      </c>
      <c r="AA75" s="379">
        <f t="shared" si="11"/>
        <v>61.956547506269423</v>
      </c>
      <c r="AB75" s="379">
        <f t="shared" si="11"/>
        <v>63.205243834012812</v>
      </c>
      <c r="AC75" s="379">
        <f t="shared" si="11"/>
        <v>64.479153222751492</v>
      </c>
      <c r="AD75" s="379">
        <f t="shared" si="11"/>
        <v>65.778785912066411</v>
      </c>
      <c r="AE75" s="379">
        <f t="shared" si="11"/>
        <v>67.104662495789142</v>
      </c>
      <c r="AF75" s="379">
        <f t="shared" si="11"/>
        <v>68.457314132823356</v>
      </c>
      <c r="AG75" s="379">
        <f t="shared" si="11"/>
        <v>69.837282762276217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24.591666666666665</v>
      </c>
      <c r="D76" s="379">
        <f t="shared" si="12"/>
        <v>25.326166666666666</v>
      </c>
      <c r="E76" s="379">
        <f t="shared" si="12"/>
        <v>26.086200833333336</v>
      </c>
      <c r="F76" s="379">
        <f t="shared" si="12"/>
        <v>26.8723302</v>
      </c>
      <c r="G76" s="379">
        <f t="shared" si="12"/>
        <v>27.695574638</v>
      </c>
      <c r="H76" s="379">
        <f t="shared" si="12"/>
        <v>28.629455374153334</v>
      </c>
      <c r="I76" s="379">
        <f t="shared" si="12"/>
        <v>29.520870875592468</v>
      </c>
      <c r="J76" s="379">
        <f t="shared" si="12"/>
        <v>30.440972769953898</v>
      </c>
      <c r="K76" s="379">
        <f t="shared" si="12"/>
        <v>31.400854302349831</v>
      </c>
      <c r="L76" s="379">
        <f t="shared" si="12"/>
        <v>32.390822163924248</v>
      </c>
      <c r="M76" s="379">
        <f t="shared" si="12"/>
        <v>33.422043360189768</v>
      </c>
      <c r="N76" s="379">
        <f t="shared" si="12"/>
        <v>34.495296287403001</v>
      </c>
      <c r="O76" s="379">
        <f t="shared" si="12"/>
        <v>35.611388518632822</v>
      </c>
      <c r="P76" s="379">
        <f t="shared" si="12"/>
        <v>36.771137134575831</v>
      </c>
      <c r="Q76" s="379">
        <f t="shared" si="12"/>
        <v>37.975432434241881</v>
      </c>
      <c r="R76" s="379">
        <f t="shared" si="12"/>
        <v>39.225155860704071</v>
      </c>
      <c r="S76" s="379">
        <f t="shared" si="12"/>
        <v>40.521264643849001</v>
      </c>
      <c r="T76" s="379">
        <f t="shared" si="12"/>
        <v>41.875147328806889</v>
      </c>
      <c r="U76" s="379">
        <f t="shared" si="12"/>
        <v>43.277396025488471</v>
      </c>
      <c r="V76" s="379">
        <f t="shared" si="12"/>
        <v>44.739495381405945</v>
      </c>
      <c r="W76" s="379">
        <f t="shared" si="12"/>
        <v>46.252115780042423</v>
      </c>
      <c r="X76" s="379">
        <f t="shared" si="12"/>
        <v>47.826802433791514</v>
      </c>
      <c r="Y76" s="379">
        <f t="shared" si="12"/>
        <v>49.464747873916032</v>
      </c>
      <c r="Z76" s="379">
        <f t="shared" si="12"/>
        <v>51.167168673406586</v>
      </c>
      <c r="AA76" s="379">
        <f t="shared" si="12"/>
        <v>52.935369738722102</v>
      </c>
      <c r="AB76" s="379">
        <f t="shared" si="12"/>
        <v>54.78107950650071</v>
      </c>
      <c r="AC76" s="379">
        <f t="shared" si="12"/>
        <v>56.695243548106092</v>
      </c>
      <c r="AD76" s="379">
        <f t="shared" si="12"/>
        <v>58.689734918322472</v>
      </c>
      <c r="AE76" s="379">
        <f t="shared" si="12"/>
        <v>60.766043751297083</v>
      </c>
      <c r="AF76" s="379">
        <f t="shared" si="12"/>
        <v>62.925716940286456</v>
      </c>
      <c r="AG76" s="379">
        <f t="shared" si="12"/>
        <v>65.170360404558096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3.7202380952380953</v>
      </c>
      <c r="D77" s="379">
        <f t="shared" si="13"/>
        <v>3.8318452380952381</v>
      </c>
      <c r="E77" s="379">
        <f t="shared" si="13"/>
        <v>3.9468005952380953</v>
      </c>
      <c r="F77" s="379">
        <f t="shared" si="13"/>
        <v>4.0651785714285715</v>
      </c>
      <c r="G77" s="379">
        <f t="shared" si="13"/>
        <v>4.1871279761904763</v>
      </c>
      <c r="H77" s="379">
        <f t="shared" si="13"/>
        <v>4.610342261904762</v>
      </c>
      <c r="I77" s="379">
        <f t="shared" si="13"/>
        <v>4.7486607142857142</v>
      </c>
      <c r="J77" s="379">
        <f t="shared" si="13"/>
        <v>4.8911458333333337</v>
      </c>
      <c r="K77" s="379">
        <f t="shared" si="13"/>
        <v>5.0378720238095234</v>
      </c>
      <c r="L77" s="379">
        <f t="shared" si="13"/>
        <v>5.1889880952380949</v>
      </c>
      <c r="M77" s="379">
        <f t="shared" si="13"/>
        <v>5.3446428571428575</v>
      </c>
      <c r="N77" s="379">
        <f t="shared" si="13"/>
        <v>4.4039880952380956</v>
      </c>
      <c r="O77" s="379">
        <f t="shared" si="13"/>
        <v>4.5361309523809528</v>
      </c>
      <c r="P77" s="379">
        <f t="shared" si="13"/>
        <v>4.6722023809523812</v>
      </c>
      <c r="Q77" s="379">
        <f t="shared" si="13"/>
        <v>4.812380952380952</v>
      </c>
      <c r="R77" s="379">
        <f t="shared" si="13"/>
        <v>4.9567261904761901</v>
      </c>
      <c r="S77" s="379">
        <f t="shared" si="13"/>
        <v>5.1054166666666667</v>
      </c>
      <c r="T77" s="379">
        <f t="shared" si="13"/>
        <v>5.2585714285714289</v>
      </c>
      <c r="U77" s="379">
        <f t="shared" si="13"/>
        <v>5.4163095238095238</v>
      </c>
      <c r="V77" s="379">
        <f t="shared" si="13"/>
        <v>5.5788095238095234</v>
      </c>
      <c r="W77" s="379">
        <f t="shared" si="13"/>
        <v>5.7461904761904758</v>
      </c>
      <c r="X77" s="379">
        <f t="shared" si="13"/>
        <v>4.4389285714285718</v>
      </c>
      <c r="Y77" s="379">
        <f t="shared" si="13"/>
        <v>4.5720982142857141</v>
      </c>
      <c r="Z77" s="379">
        <f t="shared" si="13"/>
        <v>4.7092410714285711</v>
      </c>
      <c r="AA77" s="379">
        <f t="shared" si="13"/>
        <v>4.850535714285714</v>
      </c>
      <c r="AB77" s="379">
        <f t="shared" si="13"/>
        <v>4.9960714285714287</v>
      </c>
      <c r="AC77" s="379">
        <f t="shared" si="13"/>
        <v>5.1459374999999996</v>
      </c>
      <c r="AD77" s="379">
        <f t="shared" si="13"/>
        <v>5.3003125000000004</v>
      </c>
      <c r="AE77" s="379">
        <f t="shared" si="13"/>
        <v>5.4593303571428571</v>
      </c>
      <c r="AF77" s="379">
        <f t="shared" si="13"/>
        <v>5.6231249999999999</v>
      </c>
      <c r="AG77" s="379">
        <f t="shared" si="13"/>
        <v>5.7918303571428575</v>
      </c>
    </row>
    <row r="78" spans="1:35" s="352" customFormat="1">
      <c r="A78" s="380" t="s">
        <v>323</v>
      </c>
      <c r="B78" s="352" t="s">
        <v>300</v>
      </c>
      <c r="C78" s="381">
        <f>SUM(C74:C76)-C77</f>
        <v>67.543924537538089</v>
      </c>
      <c r="D78" s="381">
        <f t="shared" ref="D78:AG78" si="14">SUM(D74:D76)-D77</f>
        <v>72.41013266142248</v>
      </c>
      <c r="E78" s="381">
        <f t="shared" si="14"/>
        <v>74.196495904085666</v>
      </c>
      <c r="F78" s="381">
        <f t="shared" si="14"/>
        <v>76.031939472578571</v>
      </c>
      <c r="G78" s="381">
        <f t="shared" si="14"/>
        <v>77.928112478981802</v>
      </c>
      <c r="H78" s="381">
        <f t="shared" si="14"/>
        <v>80.574389582417538</v>
      </c>
      <c r="I78" s="381">
        <f t="shared" si="14"/>
        <v>82.606029763080116</v>
      </c>
      <c r="J78" s="381">
        <f t="shared" si="14"/>
        <v>84.692205738465091</v>
      </c>
      <c r="K78" s="381">
        <f t="shared" si="14"/>
        <v>86.844513020205639</v>
      </c>
      <c r="L78" s="381">
        <f t="shared" si="14"/>
        <v>89.053921470809939</v>
      </c>
      <c r="M78" s="381">
        <f t="shared" si="14"/>
        <v>91.332268472694935</v>
      </c>
      <c r="N78" s="381">
        <f t="shared" si="14"/>
        <v>94.782007174877734</v>
      </c>
      <c r="O78" s="381">
        <f t="shared" si="14"/>
        <v>97.235672047587983</v>
      </c>
      <c r="P78" s="381">
        <f t="shared" si="14"/>
        <v>99.763562665608717</v>
      </c>
      <c r="Q78" s="381">
        <f t="shared" si="14"/>
        <v>102.36746850802449</v>
      </c>
      <c r="R78" s="381">
        <f t="shared" si="14"/>
        <v>105.04884071891112</v>
      </c>
      <c r="S78" s="381">
        <f t="shared" si="14"/>
        <v>107.80955180749665</v>
      </c>
      <c r="T78" s="381">
        <f t="shared" si="14"/>
        <v>110.66174517048695</v>
      </c>
      <c r="U78" s="381">
        <f t="shared" si="14"/>
        <v>113.5967762342039</v>
      </c>
      <c r="V78" s="381">
        <f t="shared" si="14"/>
        <v>116.62707032345376</v>
      </c>
      <c r="W78" s="381">
        <f t="shared" si="14"/>
        <v>119.74407858796572</v>
      </c>
      <c r="X78" s="381">
        <f t="shared" si="14"/>
        <v>124.4397788556286</v>
      </c>
      <c r="Y78" s="381">
        <f t="shared" si="14"/>
        <v>127.8014354816481</v>
      </c>
      <c r="Z78" s="381">
        <f t="shared" si="14"/>
        <v>131.26765071522701</v>
      </c>
      <c r="AA78" s="381">
        <f t="shared" si="14"/>
        <v>134.84094428191199</v>
      </c>
      <c r="AB78" s="381">
        <f t="shared" si="14"/>
        <v>138.53390197464671</v>
      </c>
      <c r="AC78" s="381">
        <f t="shared" si="14"/>
        <v>142.33833666629238</v>
      </c>
      <c r="AD78" s="381">
        <f t="shared" si="14"/>
        <v>146.26736607035184</v>
      </c>
      <c r="AE78" s="381">
        <f t="shared" si="14"/>
        <v>150.32355172915712</v>
      </c>
      <c r="AF78" s="381">
        <f t="shared" si="14"/>
        <v>154.50952250922168</v>
      </c>
      <c r="AG78" s="381">
        <f t="shared" si="14"/>
        <v>158.82797708327348</v>
      </c>
    </row>
    <row r="79" spans="1:35" s="344" customFormat="1">
      <c r="A79" s="342" t="s">
        <v>179</v>
      </c>
      <c r="B79" s="342"/>
      <c r="H79" s="382">
        <f>H81/K59</f>
        <v>438032.88203051739</v>
      </c>
      <c r="AB79" s="382">
        <f>AB81/AE59</f>
        <v>447720.92826733756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year'!C100</f>
        <v>5250000</v>
      </c>
      <c r="D81" s="376">
        <f>'Changing with year'!D100</f>
        <v>5407500</v>
      </c>
      <c r="E81" s="376">
        <f>'Changing with year'!E100</f>
        <v>5569725</v>
      </c>
      <c r="F81" s="376">
        <f>'Changing with year'!F100</f>
        <v>5736816.75</v>
      </c>
      <c r="G81" s="376">
        <f>'Changing with year'!G100</f>
        <v>5908921.2525000004</v>
      </c>
      <c r="H81" s="376">
        <f>'Changing with year'!H100</f>
        <v>6486188.8900750009</v>
      </c>
      <c r="I81" s="376">
        <f>'Changing with year'!I100</f>
        <v>6680774.556777251</v>
      </c>
      <c r="J81" s="376">
        <f>'Changing with year'!J100</f>
        <v>6881197.7934805686</v>
      </c>
      <c r="K81" s="376">
        <f>'Changing with year'!K100</f>
        <v>7087633.7272849856</v>
      </c>
      <c r="L81" s="376">
        <f>'Changing with year'!L100</f>
        <v>7300262.7391035352</v>
      </c>
      <c r="M81" s="376">
        <f>'Changing with year'!M100</f>
        <v>7519270.6212766413</v>
      </c>
      <c r="N81" s="376">
        <f>'Changing with year'!N100</f>
        <v>7744848.7399149407</v>
      </c>
      <c r="O81" s="376">
        <f>'Changing with year'!O100</f>
        <v>7977194.2021123888</v>
      </c>
      <c r="P81" s="376">
        <f>'Changing with year'!P100</f>
        <v>8216510.028175761</v>
      </c>
      <c r="Q81" s="376">
        <f>'Changing with year'!Q100</f>
        <v>8463005.3290210348</v>
      </c>
      <c r="R81" s="376">
        <f>'Changing with year'!R100</f>
        <v>8716895.4888916668</v>
      </c>
      <c r="S81" s="376">
        <f>'Changing with year'!S100</f>
        <v>8978402.3535584174</v>
      </c>
      <c r="T81" s="376">
        <f>'Changing with year'!T100</f>
        <v>9247754.4241651706</v>
      </c>
      <c r="U81" s="376">
        <f>'Changing with year'!U100</f>
        <v>9525187.0568901263</v>
      </c>
      <c r="V81" s="376">
        <f>'Changing with year'!V100</f>
        <v>9810942.6685968302</v>
      </c>
      <c r="W81" s="376">
        <f>'Changing with year'!W100</f>
        <v>10105270.948654735</v>
      </c>
      <c r="X81" s="376">
        <f>'Changing with year'!X100</f>
        <v>10408429.077114377</v>
      </c>
      <c r="Y81" s="376">
        <f>'Changing with year'!Y100</f>
        <v>10720681.94942781</v>
      </c>
      <c r="Z81" s="376">
        <f>'Changing with year'!Z100</f>
        <v>11042302.407910645</v>
      </c>
      <c r="AA81" s="376">
        <f>'Changing with year'!AA100</f>
        <v>11373571.480147965</v>
      </c>
      <c r="AB81" s="376">
        <f>'Changing with year'!AB100</f>
        <v>11714778.624552405</v>
      </c>
      <c r="AC81" s="376">
        <f>'Changing with year'!AC100</f>
        <v>12066221.983288977</v>
      </c>
      <c r="AD81" s="376">
        <f>'Changing with year'!AD100</f>
        <v>12428208.642787647</v>
      </c>
      <c r="AE81" s="376">
        <f>'Changing with year'!AE100</f>
        <v>12801054.902071277</v>
      </c>
      <c r="AF81" s="376">
        <f>'Changing with year'!AF100</f>
        <v>13185086.549133414</v>
      </c>
      <c r="AG81" s="376">
        <f>'Changing with year'!AG100</f>
        <v>13580639.145607417</v>
      </c>
      <c r="AH81" s="376"/>
    </row>
    <row r="82" spans="1:34">
      <c r="A82" s="368" t="s">
        <v>310</v>
      </c>
      <c r="B82" s="300" t="s">
        <v>309</v>
      </c>
      <c r="C82" s="376">
        <f>(C81*'No change with year'!$AB$14)</f>
        <v>2362500</v>
      </c>
      <c r="D82" s="376">
        <f>(D81*'No change with year'!$AB$14)</f>
        <v>2433375</v>
      </c>
      <c r="E82" s="376">
        <f>(E81*'No change with year'!$AB$14)</f>
        <v>2506376.25</v>
      </c>
      <c r="F82" s="376">
        <f>(F81*'No change with year'!$AB$14)</f>
        <v>2581567.5375000001</v>
      </c>
      <c r="G82" s="376">
        <f>(G81*'No change with year'!$AB$14)</f>
        <v>2659014.5636250004</v>
      </c>
      <c r="H82" s="376">
        <f>(H81*'No change with year'!$AB$14)</f>
        <v>2918785.0005337503</v>
      </c>
      <c r="I82" s="376">
        <f>(I81*'No change with year'!$AB$14)</f>
        <v>3006348.5505497628</v>
      </c>
      <c r="J82" s="376">
        <f>(J81*'No change with year'!$AB$14)</f>
        <v>3096539.0070662559</v>
      </c>
      <c r="K82" s="376">
        <f>(K81*'No change with year'!$AB$14)</f>
        <v>3189435.1772782435</v>
      </c>
      <c r="L82" s="376">
        <f>(L81*'No change with year'!$AB$14)</f>
        <v>3285118.2325965911</v>
      </c>
      <c r="M82" s="376">
        <f>(M81*'No change with year'!$AB$14)</f>
        <v>3383671.7795744888</v>
      </c>
      <c r="N82" s="376">
        <f>(N81*'No change with year'!$AC$14)</f>
        <v>2710697.0589702297</v>
      </c>
      <c r="O82" s="376">
        <f>(O81*'No change with year'!$AC$14)</f>
        <v>2792017.9707393362</v>
      </c>
      <c r="P82" s="376">
        <f>(P81*'No change with year'!$AC$14)</f>
        <v>2875778.5098615168</v>
      </c>
      <c r="Q82" s="376">
        <f>(Q81*'No change with year'!$AC$14)</f>
        <v>2962051.8651573625</v>
      </c>
      <c r="R82" s="376">
        <f>(R81*'No change with year'!$AC$14)</f>
        <v>3050913.4211120838</v>
      </c>
      <c r="S82" s="376">
        <f>(S81*'No change with year'!$AC$14)</f>
        <v>3142440.8237454463</v>
      </c>
      <c r="T82" s="376">
        <f>(T81*'No change with year'!$AC$14)</f>
        <v>3236714.0484578102</v>
      </c>
      <c r="U82" s="376">
        <f>(U81*'No change with year'!$AC$14)</f>
        <v>3333815.4699115446</v>
      </c>
      <c r="V82" s="376">
        <f>(V81*'No change with year'!$AC$14)</f>
        <v>3433829.9340088908</v>
      </c>
      <c r="W82" s="376">
        <f>(W81*'No change with year'!$AC$14)</f>
        <v>3536844.8320291578</v>
      </c>
      <c r="X82" s="376">
        <f>(X81*'No change with year'!$AD$14)</f>
        <v>2602107.2692785943</v>
      </c>
      <c r="Y82" s="376">
        <f>(Y81*'No change with year'!$AD$14)</f>
        <v>2680170.4873569524</v>
      </c>
      <c r="Z82" s="376">
        <f>(Z81*'No change with year'!$AD$14)</f>
        <v>2760575.6019776613</v>
      </c>
      <c r="AA82" s="376">
        <f>(AA81*'No change with year'!$AD$14)</f>
        <v>2843392.8700369913</v>
      </c>
      <c r="AB82" s="376">
        <f>(AB81*'No change with year'!$AD$14)</f>
        <v>2928694.6561381011</v>
      </c>
      <c r="AC82" s="376">
        <f>(AC81*'No change with year'!$AD$14)</f>
        <v>3016555.4958222443</v>
      </c>
      <c r="AD82" s="376">
        <f>(AD81*'No change with year'!$AD$14)</f>
        <v>3107052.1606969116</v>
      </c>
      <c r="AE82" s="376">
        <f>(AE81*'No change with year'!$AD$14)</f>
        <v>3200263.7255178192</v>
      </c>
      <c r="AF82" s="376">
        <f>(AF81*'No change with year'!$AD$14)</f>
        <v>3296271.6372833536</v>
      </c>
      <c r="AG82" s="376">
        <f>(AG81*'No change with year'!$AD$14)</f>
        <v>3395159.7864018544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1150368.1134823021</v>
      </c>
      <c r="D84" s="376">
        <f t="shared" si="16"/>
        <v>1184879.1568867711</v>
      </c>
      <c r="E84" s="376">
        <f t="shared" si="16"/>
        <v>1220425.5315933742</v>
      </c>
      <c r="F84" s="376">
        <f t="shared" si="16"/>
        <v>1257038.2975411755</v>
      </c>
      <c r="G84" s="376">
        <f t="shared" si="16"/>
        <v>1294749.4464674108</v>
      </c>
      <c r="H84" s="376">
        <f t="shared" si="16"/>
        <v>1421239.0242219896</v>
      </c>
      <c r="I84" s="376">
        <f t="shared" si="16"/>
        <v>1463876.1949486495</v>
      </c>
      <c r="J84" s="376">
        <f t="shared" si="16"/>
        <v>1507792.4807971087</v>
      </c>
      <c r="K84" s="376">
        <f t="shared" si="16"/>
        <v>1553026.2552210221</v>
      </c>
      <c r="L84" s="376">
        <f t="shared" si="16"/>
        <v>1599617.0428776529</v>
      </c>
      <c r="M84" s="376">
        <f t="shared" si="16"/>
        <v>1647605.5541639824</v>
      </c>
      <c r="N84" s="376">
        <f t="shared" si="16"/>
        <v>1697033.7207889019</v>
      </c>
      <c r="O84" s="376">
        <f t="shared" si="16"/>
        <v>1747944.7324125688</v>
      </c>
      <c r="P84" s="376">
        <f t="shared" si="16"/>
        <v>1800383.0743849461</v>
      </c>
      <c r="Q84" s="376">
        <f t="shared" si="16"/>
        <v>1854394.5666164947</v>
      </c>
      <c r="R84" s="376">
        <f t="shared" si="16"/>
        <v>1910026.4036149897</v>
      </c>
      <c r="S84" s="376">
        <f t="shared" si="16"/>
        <v>1967327.1957234396</v>
      </c>
      <c r="T84" s="376">
        <f t="shared" si="16"/>
        <v>2026347.011595143</v>
      </c>
      <c r="U84" s="376">
        <f t="shared" si="16"/>
        <v>2087137.4219429973</v>
      </c>
      <c r="V84" s="376">
        <f t="shared" si="16"/>
        <v>2149751.5446012872</v>
      </c>
      <c r="W84" s="376">
        <f t="shared" si="16"/>
        <v>2214244.0909393257</v>
      </c>
      <c r="X84" s="376">
        <f t="shared" si="16"/>
        <v>2280671.4136675056</v>
      </c>
      <c r="Y84" s="376">
        <f t="shared" si="16"/>
        <v>2349091.5560775311</v>
      </c>
      <c r="Z84" s="376">
        <f t="shared" si="16"/>
        <v>2419564.3027598574</v>
      </c>
      <c r="AA84" s="376">
        <f t="shared" si="16"/>
        <v>2492151.2318426529</v>
      </c>
      <c r="AB84" s="376">
        <f t="shared" si="16"/>
        <v>2566915.7687979327</v>
      </c>
      <c r="AC84" s="376">
        <f t="shared" si="16"/>
        <v>2643923.241861871</v>
      </c>
      <c r="AD84" s="376">
        <f t="shared" si="16"/>
        <v>2723240.9391177269</v>
      </c>
      <c r="AE84" s="376">
        <f t="shared" si="16"/>
        <v>2804938.1672912589</v>
      </c>
      <c r="AF84" s="376">
        <f t="shared" si="16"/>
        <v>2889086.3123099967</v>
      </c>
      <c r="AG84" s="376">
        <f t="shared" si="16"/>
        <v>2975758.901679297</v>
      </c>
    </row>
    <row r="85" spans="1:34">
      <c r="A85" s="300" t="s">
        <v>321</v>
      </c>
      <c r="B85" s="300" t="s">
        <v>309</v>
      </c>
      <c r="C85" s="376">
        <f t="shared" ref="C85:AG85" si="17">C43*$D$36</f>
        <v>3093333.3333333335</v>
      </c>
      <c r="D85" s="376">
        <f t="shared" si="17"/>
        <v>3253333.3333333335</v>
      </c>
      <c r="E85" s="376">
        <f t="shared" si="17"/>
        <v>3350933.3333333335</v>
      </c>
      <c r="F85" s="376">
        <f t="shared" si="17"/>
        <v>3451461.3333333335</v>
      </c>
      <c r="G85" s="376">
        <f t="shared" si="17"/>
        <v>3555005.1733333333</v>
      </c>
      <c r="H85" s="376">
        <f t="shared" si="17"/>
        <v>3661655.3285333333</v>
      </c>
      <c r="I85" s="376">
        <f t="shared" si="17"/>
        <v>3771504.9883893332</v>
      </c>
      <c r="J85" s="376">
        <f t="shared" si="17"/>
        <v>3884650.1380410134</v>
      </c>
      <c r="K85" s="376">
        <f t="shared" si="17"/>
        <v>4001189.642182244</v>
      </c>
      <c r="L85" s="376">
        <f t="shared" si="17"/>
        <v>4121225.3314477112</v>
      </c>
      <c r="M85" s="376">
        <f t="shared" si="17"/>
        <v>4244862.0913911425</v>
      </c>
      <c r="N85" s="376">
        <f t="shared" si="17"/>
        <v>4372207.9541328773</v>
      </c>
      <c r="O85" s="376">
        <f t="shared" si="17"/>
        <v>4503374.1927568633</v>
      </c>
      <c r="P85" s="376">
        <f t="shared" si="17"/>
        <v>4638475.4185395688</v>
      </c>
      <c r="Q85" s="376">
        <f t="shared" si="17"/>
        <v>4777629.6810957557</v>
      </c>
      <c r="R85" s="376">
        <f t="shared" si="17"/>
        <v>4920958.5715286285</v>
      </c>
      <c r="S85" s="376">
        <f t="shared" si="17"/>
        <v>5068587.3286744878</v>
      </c>
      <c r="T85" s="376">
        <f t="shared" si="17"/>
        <v>5220644.9485347224</v>
      </c>
      <c r="U85" s="376">
        <f t="shared" si="17"/>
        <v>5377264.2969907643</v>
      </c>
      <c r="V85" s="376">
        <f t="shared" si="17"/>
        <v>5538582.225900487</v>
      </c>
      <c r="W85" s="376">
        <f t="shared" si="17"/>
        <v>5704739.6926775016</v>
      </c>
      <c r="X85" s="376">
        <f t="shared" si="17"/>
        <v>5875881.8834578265</v>
      </c>
      <c r="Y85" s="376">
        <f t="shared" si="17"/>
        <v>6052158.3399615614</v>
      </c>
      <c r="Z85" s="376">
        <f t="shared" si="17"/>
        <v>6233723.0901604071</v>
      </c>
      <c r="AA85" s="376">
        <f t="shared" si="17"/>
        <v>6420734.7828652197</v>
      </c>
      <c r="AB85" s="376">
        <f t="shared" si="17"/>
        <v>6613356.826351176</v>
      </c>
      <c r="AC85" s="376">
        <f t="shared" si="17"/>
        <v>6811757.5311417123</v>
      </c>
      <c r="AD85" s="376">
        <f t="shared" si="17"/>
        <v>7016110.2570759645</v>
      </c>
      <c r="AE85" s="376">
        <f t="shared" si="17"/>
        <v>7226593.5647882428</v>
      </c>
      <c r="AF85" s="376">
        <f t="shared" si="17"/>
        <v>7443391.3717318904</v>
      </c>
      <c r="AG85" s="376">
        <f t="shared" si="17"/>
        <v>7666693.1128838472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844800</v>
      </c>
      <c r="D86" s="376">
        <f t="shared" si="18"/>
        <v>878592.00000000012</v>
      </c>
      <c r="E86" s="376">
        <f t="shared" si="18"/>
        <v>913735.68000000017</v>
      </c>
      <c r="F86" s="376">
        <f t="shared" si="18"/>
        <v>950285.1072000002</v>
      </c>
      <c r="G86" s="376">
        <f t="shared" si="18"/>
        <v>988296.51148800028</v>
      </c>
      <c r="H86" s="376">
        <f t="shared" si="18"/>
        <v>1027828.3719475202</v>
      </c>
      <c r="I86" s="376">
        <f t="shared" si="18"/>
        <v>1068941.506825421</v>
      </c>
      <c r="J86" s="376">
        <f t="shared" si="18"/>
        <v>1111699.1670984379</v>
      </c>
      <c r="K86" s="376">
        <f t="shared" si="18"/>
        <v>1156167.1337823754</v>
      </c>
      <c r="L86" s="376">
        <f t="shared" si="18"/>
        <v>1202413.8191336705</v>
      </c>
      <c r="M86" s="376">
        <f t="shared" si="18"/>
        <v>1250510.3718990176</v>
      </c>
      <c r="N86" s="376">
        <f t="shared" si="18"/>
        <v>1300530.7867749783</v>
      </c>
      <c r="O86" s="376">
        <f t="shared" si="18"/>
        <v>1352552.0182459773</v>
      </c>
      <c r="P86" s="376">
        <f t="shared" si="18"/>
        <v>1406654.0989758165</v>
      </c>
      <c r="Q86" s="376">
        <f t="shared" si="18"/>
        <v>1462920.2629348494</v>
      </c>
      <c r="R86" s="376">
        <f t="shared" si="18"/>
        <v>1521437.0734522433</v>
      </c>
      <c r="S86" s="376">
        <f t="shared" si="18"/>
        <v>1582294.5563903332</v>
      </c>
      <c r="T86" s="376">
        <f t="shared" si="18"/>
        <v>1645586.3386459465</v>
      </c>
      <c r="U86" s="376">
        <f t="shared" si="18"/>
        <v>1711409.7921917844</v>
      </c>
      <c r="V86" s="376">
        <f t="shared" si="18"/>
        <v>1779866.1838794558</v>
      </c>
      <c r="W86" s="376">
        <f t="shared" si="18"/>
        <v>1851060.8312346342</v>
      </c>
      <c r="X86" s="376">
        <f t="shared" si="18"/>
        <v>1925103.2644840195</v>
      </c>
      <c r="Y86" s="376">
        <f t="shared" si="18"/>
        <v>2002107.3950633805</v>
      </c>
      <c r="Z86" s="376">
        <f t="shared" si="18"/>
        <v>2082191.6908659157</v>
      </c>
      <c r="AA86" s="376">
        <f t="shared" si="18"/>
        <v>2165479.3585005524</v>
      </c>
      <c r="AB86" s="376">
        <f t="shared" si="18"/>
        <v>2252098.5328405742</v>
      </c>
      <c r="AC86" s="376">
        <f t="shared" si="18"/>
        <v>2342182.4741541976</v>
      </c>
      <c r="AD86" s="376">
        <f t="shared" si="18"/>
        <v>2435869.7731203651</v>
      </c>
      <c r="AE86" s="376">
        <f t="shared" si="18"/>
        <v>2533304.5640451801</v>
      </c>
      <c r="AF86" s="376">
        <f t="shared" si="18"/>
        <v>2634636.7466069874</v>
      </c>
      <c r="AG86" s="376">
        <f t="shared" si="18"/>
        <v>2740022.2164712669</v>
      </c>
    </row>
    <row r="87" spans="1:34">
      <c r="A87" s="368" t="s">
        <v>318</v>
      </c>
      <c r="B87" s="368" t="s">
        <v>313</v>
      </c>
      <c r="C87" s="376">
        <f>'Changing with year'!C295</f>
        <v>600000</v>
      </c>
      <c r="D87" s="376">
        <f>'Changing with year'!D295</f>
        <v>627000</v>
      </c>
      <c r="E87" s="376">
        <f>'Changing with year'!E295</f>
        <v>655000</v>
      </c>
      <c r="F87" s="376">
        <f>'Changing with year'!F295</f>
        <v>684000</v>
      </c>
      <c r="G87" s="376">
        <f>'Changing with year'!G295</f>
        <v>715000</v>
      </c>
      <c r="H87" s="376">
        <f>'Changing with year'!H295</f>
        <v>747000</v>
      </c>
      <c r="I87" s="376">
        <f>'Changing with year'!I295</f>
        <v>781000</v>
      </c>
      <c r="J87" s="376">
        <f>'Changing with year'!J295</f>
        <v>816000</v>
      </c>
      <c r="K87" s="376">
        <f>'Changing with year'!K295</f>
        <v>853000</v>
      </c>
      <c r="L87" s="376">
        <f>'Changing with year'!L295</f>
        <v>891000</v>
      </c>
      <c r="M87" s="376">
        <f>'Changing with year'!M295</f>
        <v>931000</v>
      </c>
      <c r="N87" s="376">
        <f>'Changing with year'!N295</f>
        <v>973000</v>
      </c>
      <c r="O87" s="376">
        <f>'Changing with year'!O295</f>
        <v>1017000</v>
      </c>
      <c r="P87" s="376">
        <f>'Changing with year'!P295</f>
        <v>1063000</v>
      </c>
      <c r="Q87" s="376">
        <f>'Changing with year'!Q295</f>
        <v>1111000</v>
      </c>
      <c r="R87" s="376">
        <f>'Changing with year'!R295</f>
        <v>1161000</v>
      </c>
      <c r="S87" s="376">
        <f>'Changing with year'!S295</f>
        <v>1213000</v>
      </c>
      <c r="T87" s="376">
        <f>'Changing with year'!T295</f>
        <v>1268000</v>
      </c>
      <c r="U87" s="376">
        <f>'Changing with year'!U295</f>
        <v>1325000</v>
      </c>
      <c r="V87" s="376">
        <f>'Changing with year'!V295</f>
        <v>1385000</v>
      </c>
      <c r="W87" s="376">
        <f>'Changing with year'!W295</f>
        <v>1447000</v>
      </c>
      <c r="X87" s="376">
        <f>'Changing with year'!X295</f>
        <v>1512000</v>
      </c>
      <c r="Y87" s="376">
        <f>'Changing with year'!Y295</f>
        <v>1580000</v>
      </c>
      <c r="Z87" s="376">
        <f>'Changing with year'!Z295</f>
        <v>1651000</v>
      </c>
      <c r="AA87" s="376">
        <f>'Changing with year'!AA295</f>
        <v>1725000</v>
      </c>
      <c r="AB87" s="376">
        <f>'Changing with year'!AB295</f>
        <v>1803000</v>
      </c>
      <c r="AC87" s="376">
        <f>'Changing with year'!AC295</f>
        <v>1884000</v>
      </c>
      <c r="AD87" s="376">
        <f>'Changing with year'!AD295</f>
        <v>1969000</v>
      </c>
      <c r="AE87" s="376">
        <f>'Changing with year'!AE295</f>
        <v>2058000</v>
      </c>
      <c r="AF87" s="376">
        <f>'Changing with year'!AF295</f>
        <v>2151000</v>
      </c>
      <c r="AG87" s="376">
        <f>'Changing with year'!AG295</f>
        <v>2248000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864000</v>
      </c>
      <c r="D88" s="376">
        <f t="shared" si="19"/>
        <v>872640</v>
      </c>
      <c r="E88" s="376">
        <f t="shared" si="19"/>
        <v>881366.4</v>
      </c>
      <c r="F88" s="376">
        <f t="shared" si="19"/>
        <v>890180.06399999978</v>
      </c>
      <c r="G88" s="376">
        <f t="shared" si="19"/>
        <v>899081.86464000004</v>
      </c>
      <c r="H88" s="376">
        <f t="shared" si="19"/>
        <v>908072.68328640005</v>
      </c>
      <c r="I88" s="376">
        <f t="shared" si="19"/>
        <v>917153.41011926392</v>
      </c>
      <c r="J88" s="376">
        <f t="shared" si="19"/>
        <v>926324.94422045664</v>
      </c>
      <c r="K88" s="376">
        <f t="shared" si="19"/>
        <v>935588.19366266136</v>
      </c>
      <c r="L88" s="376">
        <f t="shared" si="19"/>
        <v>944944.0755992881</v>
      </c>
      <c r="M88" s="376">
        <f t="shared" si="19"/>
        <v>954393.51635528088</v>
      </c>
      <c r="N88" s="376">
        <f t="shared" si="19"/>
        <v>963937.45151883364</v>
      </c>
      <c r="O88" s="376">
        <f t="shared" si="19"/>
        <v>973576.82603402203</v>
      </c>
      <c r="P88" s="376">
        <f t="shared" si="19"/>
        <v>983312.59429436235</v>
      </c>
      <c r="Q88" s="376">
        <f t="shared" si="19"/>
        <v>993145.72023730609</v>
      </c>
      <c r="R88" s="376">
        <f t="shared" si="19"/>
        <v>1003077.1774396792</v>
      </c>
      <c r="S88" s="376">
        <f t="shared" si="19"/>
        <v>1013107.949214076</v>
      </c>
      <c r="T88" s="376">
        <f t="shared" si="19"/>
        <v>1023239.0287062167</v>
      </c>
      <c r="U88" s="376">
        <f t="shared" si="19"/>
        <v>1033471.4189932789</v>
      </c>
      <c r="V88" s="376">
        <f t="shared" si="19"/>
        <v>1043806.1331832118</v>
      </c>
      <c r="W88" s="376">
        <f t="shared" si="19"/>
        <v>1054244.1945150439</v>
      </c>
      <c r="X88" s="376">
        <f t="shared" si="19"/>
        <v>1064786.6364601944</v>
      </c>
      <c r="Y88" s="376">
        <f t="shared" si="19"/>
        <v>1075434.5028247964</v>
      </c>
      <c r="Z88" s="376">
        <f t="shared" si="19"/>
        <v>1086188.8478530445</v>
      </c>
      <c r="AA88" s="376">
        <f t="shared" si="19"/>
        <v>1097050.7363315746</v>
      </c>
      <c r="AB88" s="376">
        <f t="shared" si="19"/>
        <v>1108021.2436948905</v>
      </c>
      <c r="AC88" s="376">
        <f t="shared" si="19"/>
        <v>1119101.4561318394</v>
      </c>
      <c r="AD88" s="376">
        <f t="shared" si="19"/>
        <v>1130292.470693158</v>
      </c>
      <c r="AE88" s="376">
        <f t="shared" si="19"/>
        <v>1141595.3954000894</v>
      </c>
      <c r="AF88" s="376">
        <f t="shared" si="19"/>
        <v>1153011.3493540904</v>
      </c>
      <c r="AG88" s="376">
        <f t="shared" si="19"/>
        <v>1164541.4628476314</v>
      </c>
    </row>
    <row r="89" spans="1:34">
      <c r="A89" s="300" t="s">
        <v>319</v>
      </c>
      <c r="B89" s="300" t="s">
        <v>309</v>
      </c>
      <c r="C89" s="376">
        <f t="shared" ref="C89:AG89" si="20">C81*$C$29</f>
        <v>105000</v>
      </c>
      <c r="D89" s="376">
        <f t="shared" si="20"/>
        <v>108150</v>
      </c>
      <c r="E89" s="376">
        <f t="shared" si="20"/>
        <v>111394.5</v>
      </c>
      <c r="F89" s="376">
        <f t="shared" si="20"/>
        <v>114736.33500000001</v>
      </c>
      <c r="G89" s="376">
        <f t="shared" si="20"/>
        <v>118178.42505000001</v>
      </c>
      <c r="H89" s="376">
        <f t="shared" si="20"/>
        <v>129723.77780150002</v>
      </c>
      <c r="I89" s="376">
        <f t="shared" si="20"/>
        <v>133615.49113554502</v>
      </c>
      <c r="J89" s="376">
        <f t="shared" si="20"/>
        <v>137623.95586961138</v>
      </c>
      <c r="K89" s="376">
        <f t="shared" si="20"/>
        <v>141752.6745456997</v>
      </c>
      <c r="L89" s="376">
        <f t="shared" si="20"/>
        <v>146005.2547820707</v>
      </c>
      <c r="M89" s="376">
        <f t="shared" si="20"/>
        <v>150385.41242553282</v>
      </c>
      <c r="N89" s="376">
        <f t="shared" si="20"/>
        <v>154896.97479829882</v>
      </c>
      <c r="O89" s="376">
        <f t="shared" si="20"/>
        <v>159543.88404224778</v>
      </c>
      <c r="P89" s="376">
        <f t="shared" si="20"/>
        <v>164330.20056351522</v>
      </c>
      <c r="Q89" s="376">
        <f t="shared" si="20"/>
        <v>169260.10658042069</v>
      </c>
      <c r="R89" s="376">
        <f t="shared" si="20"/>
        <v>174337.90977783335</v>
      </c>
      <c r="S89" s="376">
        <f t="shared" si="20"/>
        <v>179568.04707116834</v>
      </c>
      <c r="T89" s="376">
        <f t="shared" si="20"/>
        <v>184955.08848330341</v>
      </c>
      <c r="U89" s="376">
        <f t="shared" si="20"/>
        <v>190503.74113780254</v>
      </c>
      <c r="V89" s="376">
        <f t="shared" si="20"/>
        <v>196218.8533719366</v>
      </c>
      <c r="W89" s="376">
        <f t="shared" si="20"/>
        <v>202105.41897309473</v>
      </c>
      <c r="X89" s="376">
        <f t="shared" si="20"/>
        <v>208168.58154228755</v>
      </c>
      <c r="Y89" s="376">
        <f t="shared" si="20"/>
        <v>214413.63898855619</v>
      </c>
      <c r="Z89" s="376">
        <f t="shared" si="20"/>
        <v>220846.04815821291</v>
      </c>
      <c r="AA89" s="376">
        <f t="shared" si="20"/>
        <v>227471.42960295931</v>
      </c>
      <c r="AB89" s="376">
        <f t="shared" si="20"/>
        <v>234295.57249104811</v>
      </c>
      <c r="AC89" s="376">
        <f t="shared" si="20"/>
        <v>241324.43966577956</v>
      </c>
      <c r="AD89" s="376">
        <f t="shared" si="20"/>
        <v>248564.17285575293</v>
      </c>
      <c r="AE89" s="376">
        <f t="shared" si="20"/>
        <v>256021.09804142555</v>
      </c>
      <c r="AF89" s="376">
        <f t="shared" si="20"/>
        <v>263701.73098266829</v>
      </c>
      <c r="AG89" s="376">
        <f t="shared" si="20"/>
        <v>271612.78291214834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11.983001182107314</v>
      </c>
      <c r="D91" s="379">
        <f t="shared" si="21"/>
        <v>12.342491217570533</v>
      </c>
      <c r="E91" s="379">
        <f t="shared" si="21"/>
        <v>12.712765954097648</v>
      </c>
      <c r="F91" s="379">
        <f t="shared" si="21"/>
        <v>13.094148932720579</v>
      </c>
      <c r="G91" s="379">
        <f t="shared" si="21"/>
        <v>13.486973400702196</v>
      </c>
      <c r="H91" s="379">
        <f t="shared" si="21"/>
        <v>14.804573168979058</v>
      </c>
      <c r="I91" s="379">
        <f t="shared" si="21"/>
        <v>15.248710364048433</v>
      </c>
      <c r="J91" s="379">
        <f t="shared" si="21"/>
        <v>15.706171674969882</v>
      </c>
      <c r="K91" s="379">
        <f t="shared" si="21"/>
        <v>16.177356825218979</v>
      </c>
      <c r="L91" s="379">
        <f t="shared" si="21"/>
        <v>16.66267752997555</v>
      </c>
      <c r="M91" s="379">
        <f t="shared" si="21"/>
        <v>17.162557855874816</v>
      </c>
      <c r="N91" s="379">
        <f t="shared" si="21"/>
        <v>17.677434591551062</v>
      </c>
      <c r="O91" s="379">
        <f t="shared" si="21"/>
        <v>18.207757629297593</v>
      </c>
      <c r="P91" s="379">
        <f t="shared" si="21"/>
        <v>18.753990358176523</v>
      </c>
      <c r="Q91" s="379">
        <f t="shared" si="21"/>
        <v>19.316610068921818</v>
      </c>
      <c r="R91" s="379">
        <f t="shared" si="21"/>
        <v>19.896108370989477</v>
      </c>
      <c r="S91" s="379">
        <f t="shared" si="21"/>
        <v>20.492991622119163</v>
      </c>
      <c r="T91" s="379">
        <f t="shared" si="21"/>
        <v>21.107781370782739</v>
      </c>
      <c r="U91" s="379">
        <f t="shared" si="21"/>
        <v>21.741014811906222</v>
      </c>
      <c r="V91" s="379">
        <f t="shared" si="21"/>
        <v>22.393245256263409</v>
      </c>
      <c r="W91" s="379">
        <f t="shared" si="21"/>
        <v>23.065042613951309</v>
      </c>
      <c r="X91" s="379">
        <f t="shared" si="21"/>
        <v>23.756993892369849</v>
      </c>
      <c r="Y91" s="379">
        <f t="shared" si="21"/>
        <v>24.469703709140948</v>
      </c>
      <c r="Z91" s="379">
        <f t="shared" si="21"/>
        <v>25.20379482041518</v>
      </c>
      <c r="AA91" s="379">
        <f t="shared" si="21"/>
        <v>25.959908665027633</v>
      </c>
      <c r="AB91" s="379">
        <f t="shared" si="21"/>
        <v>26.738705924978465</v>
      </c>
      <c r="AC91" s="379">
        <f t="shared" si="21"/>
        <v>27.540867102727823</v>
      </c>
      <c r="AD91" s="379">
        <f t="shared" si="21"/>
        <v>28.367093115809656</v>
      </c>
      <c r="AE91" s="379">
        <f t="shared" si="21"/>
        <v>29.218105909283945</v>
      </c>
      <c r="AF91" s="379">
        <f t="shared" si="21"/>
        <v>30.094649086562466</v>
      </c>
      <c r="AG91" s="379">
        <f t="shared" si="21"/>
        <v>30.997488559159343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32.222222222222221</v>
      </c>
      <c r="D92" s="379">
        <f t="shared" si="22"/>
        <v>33.888888888888893</v>
      </c>
      <c r="E92" s="379">
        <f t="shared" si="22"/>
        <v>34.905555555555559</v>
      </c>
      <c r="F92" s="379">
        <f t="shared" si="22"/>
        <v>35.952722222222221</v>
      </c>
      <c r="G92" s="379">
        <f t="shared" si="22"/>
        <v>37.031303888888885</v>
      </c>
      <c r="H92" s="379">
        <f t="shared" si="22"/>
        <v>38.142243005555557</v>
      </c>
      <c r="I92" s="379">
        <f t="shared" si="22"/>
        <v>39.286510295722223</v>
      </c>
      <c r="J92" s="379">
        <f t="shared" si="22"/>
        <v>40.465105604593887</v>
      </c>
      <c r="K92" s="379">
        <f t="shared" si="22"/>
        <v>41.679058772731707</v>
      </c>
      <c r="L92" s="379">
        <f t="shared" si="22"/>
        <v>42.92943053591366</v>
      </c>
      <c r="M92" s="379">
        <f t="shared" si="22"/>
        <v>44.217313451991068</v>
      </c>
      <c r="N92" s="379">
        <f t="shared" si="22"/>
        <v>45.543832855550804</v>
      </c>
      <c r="O92" s="379">
        <f t="shared" si="22"/>
        <v>46.910147841217324</v>
      </c>
      <c r="P92" s="379">
        <f t="shared" si="22"/>
        <v>48.317452276453842</v>
      </c>
      <c r="Q92" s="379">
        <f t="shared" si="22"/>
        <v>49.766975844747456</v>
      </c>
      <c r="R92" s="379">
        <f t="shared" si="22"/>
        <v>51.25998512008988</v>
      </c>
      <c r="S92" s="379">
        <f t="shared" si="22"/>
        <v>52.797784673692583</v>
      </c>
      <c r="T92" s="379">
        <f t="shared" si="22"/>
        <v>54.381718213903362</v>
      </c>
      <c r="U92" s="379">
        <f t="shared" si="22"/>
        <v>56.013169760320459</v>
      </c>
      <c r="V92" s="379">
        <f t="shared" si="22"/>
        <v>57.69356485313007</v>
      </c>
      <c r="W92" s="379">
        <f t="shared" si="22"/>
        <v>59.424371798723975</v>
      </c>
      <c r="X92" s="379">
        <f t="shared" si="22"/>
        <v>61.207102952685695</v>
      </c>
      <c r="Y92" s="379">
        <f t="shared" si="22"/>
        <v>63.043316041266266</v>
      </c>
      <c r="Z92" s="379">
        <f t="shared" si="22"/>
        <v>64.934615522504245</v>
      </c>
      <c r="AA92" s="379">
        <f t="shared" si="22"/>
        <v>66.882653988179371</v>
      </c>
      <c r="AB92" s="379">
        <f t="shared" si="22"/>
        <v>68.889133607824746</v>
      </c>
      <c r="AC92" s="379">
        <f t="shared" si="22"/>
        <v>70.955807616059502</v>
      </c>
      <c r="AD92" s="379">
        <f t="shared" si="22"/>
        <v>73.084481844541301</v>
      </c>
      <c r="AE92" s="379">
        <f t="shared" si="22"/>
        <v>75.277016299877531</v>
      </c>
      <c r="AF92" s="379">
        <f t="shared" si="22"/>
        <v>77.53532678887386</v>
      </c>
      <c r="AG92" s="379">
        <f t="shared" si="22"/>
        <v>79.861386592540072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25.143750000000001</v>
      </c>
      <c r="D93" s="379">
        <f t="shared" si="23"/>
        <v>25.899812499999999</v>
      </c>
      <c r="E93" s="379">
        <f t="shared" si="23"/>
        <v>26.682256041666669</v>
      </c>
      <c r="F93" s="379">
        <f t="shared" si="23"/>
        <v>27.491682356249996</v>
      </c>
      <c r="G93" s="379">
        <f t="shared" si="23"/>
        <v>28.339133345604171</v>
      </c>
      <c r="H93" s="379">
        <f t="shared" si="23"/>
        <v>29.29817534411896</v>
      </c>
      <c r="I93" s="379">
        <f t="shared" si="23"/>
        <v>30.215733417502395</v>
      </c>
      <c r="J93" s="379">
        <f t="shared" si="23"/>
        <v>31.163000699880271</v>
      </c>
      <c r="K93" s="379">
        <f t="shared" si="23"/>
        <v>32.151125020736835</v>
      </c>
      <c r="L93" s="379">
        <f t="shared" si="23"/>
        <v>33.170449474114889</v>
      </c>
      <c r="M93" s="379">
        <f t="shared" si="23"/>
        <v>34.232180215414907</v>
      </c>
      <c r="N93" s="379">
        <f t="shared" si="23"/>
        <v>35.337137636376148</v>
      </c>
      <c r="O93" s="379">
        <f t="shared" si="23"/>
        <v>36.486174253356737</v>
      </c>
      <c r="P93" s="379">
        <f t="shared" si="23"/>
        <v>37.68017597743431</v>
      </c>
      <c r="Q93" s="379">
        <f t="shared" si="23"/>
        <v>38.920063434922675</v>
      </c>
      <c r="R93" s="379">
        <f t="shared" si="23"/>
        <v>40.206793340309957</v>
      </c>
      <c r="S93" s="379">
        <f t="shared" si="23"/>
        <v>41.541359923703929</v>
      </c>
      <c r="T93" s="379">
        <f t="shared" si="23"/>
        <v>42.935213081619438</v>
      </c>
      <c r="U93" s="379">
        <f t="shared" si="23"/>
        <v>44.379009920029851</v>
      </c>
      <c r="V93" s="379">
        <f t="shared" si="23"/>
        <v>45.88428302536046</v>
      </c>
      <c r="W93" s="379">
        <f t="shared" si="23"/>
        <v>47.441775465862214</v>
      </c>
      <c r="X93" s="379">
        <f t="shared" si="23"/>
        <v>49.06310919256773</v>
      </c>
      <c r="Y93" s="379">
        <f t="shared" si="23"/>
        <v>50.749536842465972</v>
      </c>
      <c r="Z93" s="379">
        <f t="shared" si="23"/>
        <v>52.502360279970553</v>
      </c>
      <c r="AA93" s="379">
        <f t="shared" si="23"/>
        <v>54.322932546198814</v>
      </c>
      <c r="AB93" s="379">
        <f t="shared" si="23"/>
        <v>56.223076552359501</v>
      </c>
      <c r="AC93" s="379">
        <f t="shared" si="23"/>
        <v>58.193837186998088</v>
      </c>
      <c r="AD93" s="379">
        <f t="shared" si="23"/>
        <v>60.247150173638289</v>
      </c>
      <c r="AE93" s="379">
        <f t="shared" si="23"/>
        <v>62.384594348819732</v>
      </c>
      <c r="AF93" s="379">
        <f t="shared" si="23"/>
        <v>64.607810697330692</v>
      </c>
      <c r="AG93" s="379">
        <f t="shared" si="23"/>
        <v>66.91850481490674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3.515625</v>
      </c>
      <c r="D94" s="379">
        <f t="shared" si="24"/>
        <v>3.62109375</v>
      </c>
      <c r="E94" s="379">
        <f t="shared" si="24"/>
        <v>3.7297265624999998</v>
      </c>
      <c r="F94" s="379">
        <f t="shared" si="24"/>
        <v>3.841618359375</v>
      </c>
      <c r="G94" s="379">
        <f t="shared" si="24"/>
        <v>3.9568669101562506</v>
      </c>
      <c r="H94" s="379">
        <f t="shared" si="24"/>
        <v>4.3434300603180809</v>
      </c>
      <c r="I94" s="379">
        <f t="shared" si="24"/>
        <v>4.4737329621276229</v>
      </c>
      <c r="J94" s="379">
        <f t="shared" si="24"/>
        <v>4.6079449509914525</v>
      </c>
      <c r="K94" s="379">
        <f t="shared" si="24"/>
        <v>4.7461832995211957</v>
      </c>
      <c r="L94" s="379">
        <f t="shared" si="24"/>
        <v>4.8885687985068325</v>
      </c>
      <c r="M94" s="379">
        <f t="shared" si="24"/>
        <v>5.0352258624620365</v>
      </c>
      <c r="N94" s="379">
        <f t="shared" si="24"/>
        <v>4.0337753853723655</v>
      </c>
      <c r="O94" s="379">
        <f t="shared" si="24"/>
        <v>4.154788646933536</v>
      </c>
      <c r="P94" s="379">
        <f t="shared" si="24"/>
        <v>4.2794323063415431</v>
      </c>
      <c r="Q94" s="379">
        <f t="shared" si="24"/>
        <v>4.4078152755317896</v>
      </c>
      <c r="R94" s="379">
        <f t="shared" si="24"/>
        <v>4.5400497337977441</v>
      </c>
      <c r="S94" s="379">
        <f t="shared" si="24"/>
        <v>4.6762512258116757</v>
      </c>
      <c r="T94" s="379">
        <f t="shared" si="24"/>
        <v>4.8165387625860268</v>
      </c>
      <c r="U94" s="379">
        <f t="shared" si="24"/>
        <v>4.9610349254636077</v>
      </c>
      <c r="V94" s="379">
        <f t="shared" si="24"/>
        <v>5.1098659732275165</v>
      </c>
      <c r="W94" s="379">
        <f t="shared" si="24"/>
        <v>5.2631619524243423</v>
      </c>
      <c r="X94" s="379">
        <f t="shared" si="24"/>
        <v>3.8721834364264796</v>
      </c>
      <c r="Y94" s="379">
        <f t="shared" si="24"/>
        <v>3.9883489395192746</v>
      </c>
      <c r="Z94" s="379">
        <f t="shared" si="24"/>
        <v>4.1079994077048534</v>
      </c>
      <c r="AA94" s="379">
        <f t="shared" si="24"/>
        <v>4.2312393899359986</v>
      </c>
      <c r="AB94" s="379">
        <f t="shared" si="24"/>
        <v>4.358176571634079</v>
      </c>
      <c r="AC94" s="379">
        <f t="shared" si="24"/>
        <v>4.4889218687831018</v>
      </c>
      <c r="AD94" s="379">
        <f t="shared" si="24"/>
        <v>4.6235895248465946</v>
      </c>
      <c r="AE94" s="379">
        <f t="shared" si="24"/>
        <v>4.762297210591993</v>
      </c>
      <c r="AF94" s="379">
        <f t="shared" si="24"/>
        <v>4.9051661269097524</v>
      </c>
      <c r="AG94" s="379">
        <f t="shared" si="24"/>
        <v>5.0523211107170454</v>
      </c>
    </row>
    <row r="95" spans="1:34" s="352" customFormat="1">
      <c r="A95" s="380" t="s">
        <v>323</v>
      </c>
      <c r="B95" s="352" t="s">
        <v>300</v>
      </c>
      <c r="C95" s="381">
        <f>SUM(C91:C93)-C94</f>
        <v>65.833348404329541</v>
      </c>
      <c r="D95" s="381">
        <f t="shared" ref="D95" si="25">SUM(D91:D93)-D94</f>
        <v>68.510098856459422</v>
      </c>
      <c r="E95" s="381">
        <f t="shared" ref="E95" si="26">SUM(E91:E93)-E94</f>
        <v>70.570850988819871</v>
      </c>
      <c r="F95" s="381">
        <f t="shared" ref="F95:AG95" si="27">SUM(F91:F93)-F94</f>
        <v>72.696935151817783</v>
      </c>
      <c r="G95" s="381">
        <f t="shared" si="27"/>
        <v>74.900543725039</v>
      </c>
      <c r="H95" s="381">
        <f t="shared" si="27"/>
        <v>77.901561458335493</v>
      </c>
      <c r="I95" s="381">
        <f t="shared" si="27"/>
        <v>80.277221115145423</v>
      </c>
      <c r="J95" s="381">
        <f t="shared" si="27"/>
        <v>82.726333028452586</v>
      </c>
      <c r="K95" s="381">
        <f t="shared" si="27"/>
        <v>85.261357319166336</v>
      </c>
      <c r="L95" s="381">
        <f t="shared" si="27"/>
        <v>87.873988741497257</v>
      </c>
      <c r="M95" s="381">
        <f t="shared" si="27"/>
        <v>90.576825660818756</v>
      </c>
      <c r="N95" s="381">
        <f t="shared" si="27"/>
        <v>94.524629698105656</v>
      </c>
      <c r="O95" s="381">
        <f t="shared" si="27"/>
        <v>97.44929107693811</v>
      </c>
      <c r="P95" s="381">
        <f t="shared" si="27"/>
        <v>100.47218630572313</v>
      </c>
      <c r="Q95" s="381">
        <f t="shared" si="27"/>
        <v>103.59583407306016</v>
      </c>
      <c r="R95" s="381">
        <f t="shared" si="27"/>
        <v>106.82283709759157</v>
      </c>
      <c r="S95" s="381">
        <f t="shared" si="27"/>
        <v>110.15588499370401</v>
      </c>
      <c r="T95" s="381">
        <f t="shared" si="27"/>
        <v>113.60817390371952</v>
      </c>
      <c r="U95" s="381">
        <f t="shared" si="27"/>
        <v>117.17215956679293</v>
      </c>
      <c r="V95" s="381">
        <f t="shared" si="27"/>
        <v>120.86122716152643</v>
      </c>
      <c r="W95" s="381">
        <f t="shared" si="27"/>
        <v>124.66802792611317</v>
      </c>
      <c r="X95" s="381">
        <f t="shared" si="27"/>
        <v>130.1550226011968</v>
      </c>
      <c r="Y95" s="381">
        <f t="shared" si="27"/>
        <v>134.2742076533539</v>
      </c>
      <c r="Z95" s="381">
        <f t="shared" si="27"/>
        <v>138.53277121518514</v>
      </c>
      <c r="AA95" s="381">
        <f t="shared" si="27"/>
        <v>142.93425580946982</v>
      </c>
      <c r="AB95" s="381">
        <f t="shared" si="27"/>
        <v>147.49273951352862</v>
      </c>
      <c r="AC95" s="381">
        <f t="shared" si="27"/>
        <v>152.20159003700229</v>
      </c>
      <c r="AD95" s="381">
        <f t="shared" si="27"/>
        <v>157.07513560914262</v>
      </c>
      <c r="AE95" s="381">
        <f t="shared" si="27"/>
        <v>162.11741934738924</v>
      </c>
      <c r="AF95" s="381">
        <f t="shared" si="27"/>
        <v>167.33262044585726</v>
      </c>
      <c r="AG95" s="381">
        <f t="shared" si="27"/>
        <v>172.72505885588907</v>
      </c>
    </row>
    <row r="96" spans="1:34" s="344" customFormat="1">
      <c r="A96" s="342" t="s">
        <v>180</v>
      </c>
      <c r="B96" s="342"/>
      <c r="H96" s="382">
        <f>H98/H63</f>
        <v>1.1961977309039264</v>
      </c>
      <c r="AB96" s="382">
        <f>AB98/AB63</f>
        <v>1.1325863178211453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year'!C113)/1000,0)*1000</f>
        <v>6157000</v>
      </c>
      <c r="D98" s="376">
        <f>ROUND(('Changing with year'!D113)/1000,0)*1000</f>
        <v>6318000</v>
      </c>
      <c r="E98" s="376">
        <f>ROUND(('Changing with year'!E113)/1000,0)*1000</f>
        <v>6485000</v>
      </c>
      <c r="F98" s="376">
        <f>ROUND(('Changing with year'!F113)/1000,0)*1000</f>
        <v>6655000</v>
      </c>
      <c r="G98" s="376">
        <f>ROUND(('Changing with year'!G113)/1000,0)*1000</f>
        <v>6831000</v>
      </c>
      <c r="H98" s="376">
        <f>ROUND(('Changing with year'!H113)/1000,0)*1000</f>
        <v>7412000</v>
      </c>
      <c r="I98" s="376">
        <f>ROUND(('Changing with year'!I113)/1000,0)*1000</f>
        <v>7610000</v>
      </c>
      <c r="J98" s="376">
        <f>ROUND(('Changing with year'!J113)/1000,0)*1000</f>
        <v>7814000</v>
      </c>
      <c r="K98" s="376">
        <f>ROUND(('Changing with year'!K113)/1000,0)*1000</f>
        <v>8024000</v>
      </c>
      <c r="L98" s="376">
        <f>ROUND(('Changing with year'!L113)/1000,0)*1000</f>
        <v>8239000</v>
      </c>
      <c r="M98" s="376">
        <f>ROUND(('Changing with year'!M113)/1000,0)*1000</f>
        <v>8461000</v>
      </c>
      <c r="N98" s="376">
        <f>ROUND(('Changing with year'!N113)/1000,0)*1000</f>
        <v>8689000</v>
      </c>
      <c r="O98" s="376">
        <f>ROUND(('Changing with year'!O113)/1000,0)*1000</f>
        <v>8924000</v>
      </c>
      <c r="P98" s="376">
        <f>ROUND(('Changing with year'!P113)/1000,0)*1000</f>
        <v>9166000</v>
      </c>
      <c r="Q98" s="376">
        <f>ROUND(('Changing with year'!Q113)/1000,0)*1000</f>
        <v>9415000</v>
      </c>
      <c r="R98" s="376">
        <f>ROUND(('Changing with year'!R113)/1000,0)*1000</f>
        <v>9670000</v>
      </c>
      <c r="S98" s="376">
        <f>ROUND(('Changing with year'!S113)/1000,0)*1000</f>
        <v>9934000</v>
      </c>
      <c r="T98" s="376">
        <f>ROUND(('Changing with year'!T113)/1000,0)*1000</f>
        <v>10204000</v>
      </c>
      <c r="U98" s="376">
        <f>ROUND(('Changing with year'!U113)/1000,0)*1000</f>
        <v>10483000</v>
      </c>
      <c r="V98" s="376">
        <f>ROUND(('Changing with year'!V113)/1000,0)*1000</f>
        <v>10770000</v>
      </c>
      <c r="W98" s="376">
        <f>ROUND(('Changing with year'!W113)/1000,0)*1000</f>
        <v>11065000</v>
      </c>
      <c r="X98" s="376">
        <f>ROUND(('Changing with year'!X113)/1000,0)*1000</f>
        <v>11369000</v>
      </c>
      <c r="Y98" s="376">
        <f>ROUND(('Changing with year'!Y113)/1000,0)*1000</f>
        <v>11681000</v>
      </c>
      <c r="Z98" s="376">
        <f>ROUND(('Changing with year'!Z113)/1000,0)*1000</f>
        <v>12003000</v>
      </c>
      <c r="AA98" s="376">
        <f>ROUND(('Changing with year'!AA113)/1000,0)*1000</f>
        <v>12334000</v>
      </c>
      <c r="AB98" s="376">
        <f>ROUND(('Changing with year'!AB113)/1000,0)*1000</f>
        <v>12675000</v>
      </c>
      <c r="AC98" s="376">
        <f>ROUND(('Changing with year'!AC113)/1000,0)*1000</f>
        <v>13025000</v>
      </c>
      <c r="AD98" s="376">
        <f>ROUND(('Changing with year'!AD113)/1000,0)*1000</f>
        <v>13386000</v>
      </c>
      <c r="AE98" s="376">
        <f>ROUND(('Changing with year'!AE113)/1000,0)*1000</f>
        <v>13757000</v>
      </c>
      <c r="AF98" s="376">
        <f>ROUND(('Changing with year'!AF113)/1000,0)*1000</f>
        <v>14140000</v>
      </c>
      <c r="AG98" s="376">
        <f>ROUND(('Changing with year'!AG113)/1000,0)*1000</f>
        <v>14533000</v>
      </c>
    </row>
    <row r="99" spans="1:34">
      <c r="A99" s="368" t="s">
        <v>310</v>
      </c>
      <c r="B99" s="300" t="s">
        <v>309</v>
      </c>
      <c r="C99" s="376">
        <f>(C98*'No change with year'!$AE$14)</f>
        <v>2770650</v>
      </c>
      <c r="D99" s="376">
        <f>(D98*'No change with year'!$AE$14)</f>
        <v>2843100</v>
      </c>
      <c r="E99" s="376">
        <f>(E98*'No change with year'!$AE$14)</f>
        <v>2918250</v>
      </c>
      <c r="F99" s="376">
        <f>(F98*'No change with year'!$AE$14)</f>
        <v>2994750</v>
      </c>
      <c r="G99" s="376">
        <f>(G98*'No change with year'!$AE$14)</f>
        <v>3073950</v>
      </c>
      <c r="H99" s="376">
        <f>(H98*'No change with year'!$AE$14)</f>
        <v>3335400</v>
      </c>
      <c r="I99" s="376">
        <f>(I98*'No change with year'!$AE$14)</f>
        <v>3424500</v>
      </c>
      <c r="J99" s="376">
        <f>(J98*'No change with year'!$AE$14)</f>
        <v>3516300</v>
      </c>
      <c r="K99" s="376">
        <f>(K98*'No change with year'!$AE$14)</f>
        <v>3610800</v>
      </c>
      <c r="L99" s="376">
        <f>(L98*'No change with year'!$AE$14)</f>
        <v>3707550</v>
      </c>
      <c r="M99" s="376">
        <f>(M98*'No change with year'!$AE$14)</f>
        <v>3807450</v>
      </c>
      <c r="N99" s="376">
        <f>(N98*'No change with year'!$AF$14)</f>
        <v>3041150.0000000005</v>
      </c>
      <c r="O99" s="376">
        <f>(O98*'No change with year'!$AF$14)</f>
        <v>3123400.0000000005</v>
      </c>
      <c r="P99" s="376">
        <f>(P98*'No change with year'!$AF$14)</f>
        <v>3208100.0000000005</v>
      </c>
      <c r="Q99" s="376">
        <f>(Q98*'No change with year'!$AF$14)</f>
        <v>3295250.0000000005</v>
      </c>
      <c r="R99" s="376">
        <f>(R98*'No change with year'!$AF$14)</f>
        <v>3384500.0000000005</v>
      </c>
      <c r="S99" s="376">
        <f>(S98*'No change with year'!$AF$14)</f>
        <v>3476900.0000000005</v>
      </c>
      <c r="T99" s="376">
        <f>(T98*'No change with year'!$AF$14)</f>
        <v>3571400.0000000005</v>
      </c>
      <c r="U99" s="376">
        <f>(U98*'No change with year'!$AF$14)</f>
        <v>3669050.0000000005</v>
      </c>
      <c r="V99" s="376">
        <f>(V98*'No change with year'!$AF$14)</f>
        <v>3769500.0000000005</v>
      </c>
      <c r="W99" s="376">
        <f>(W98*'No change with year'!$AF$14)</f>
        <v>3872750.0000000005</v>
      </c>
      <c r="X99" s="376">
        <f>(X98*'No change with year'!$AG$14)</f>
        <v>2842250</v>
      </c>
      <c r="Y99" s="376">
        <f>(Y98*'No change with year'!$AG$14)</f>
        <v>2920250</v>
      </c>
      <c r="Z99" s="376">
        <f>(Z98*'No change with year'!$AG$14)</f>
        <v>3000750</v>
      </c>
      <c r="AA99" s="376">
        <f>(AA98*'No change with year'!$AG$14)</f>
        <v>3083500</v>
      </c>
      <c r="AB99" s="376">
        <f>(AB98*'No change with year'!$AG$14)</f>
        <v>3168750</v>
      </c>
      <c r="AC99" s="376">
        <f>(AC98*'No change with year'!$AG$14)</f>
        <v>3256250</v>
      </c>
      <c r="AD99" s="376">
        <f>(AD98*'No change with year'!$AG$14)</f>
        <v>3346500</v>
      </c>
      <c r="AE99" s="376">
        <f>(AE98*'No change with year'!$AG$14)</f>
        <v>3439250</v>
      </c>
      <c r="AF99" s="376">
        <f>(AF98*'No change with year'!$AG$14)</f>
        <v>3535000</v>
      </c>
      <c r="AG99" s="376">
        <f>(AG98*'No change with year'!$AG$14)</f>
        <v>3633250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1349107.8999448637</v>
      </c>
      <c r="D101" s="376">
        <f t="shared" si="29"/>
        <v>1384385.8554249876</v>
      </c>
      <c r="E101" s="376">
        <f t="shared" si="29"/>
        <v>1420978.5173205198</v>
      </c>
      <c r="F101" s="376">
        <f t="shared" si="29"/>
        <v>1458228.5324237563</v>
      </c>
      <c r="G101" s="376">
        <f t="shared" si="29"/>
        <v>1496793.2539424011</v>
      </c>
      <c r="H101" s="376">
        <f t="shared" si="29"/>
        <v>1624100.6585011091</v>
      </c>
      <c r="I101" s="376">
        <f t="shared" si="29"/>
        <v>1667485.9702095846</v>
      </c>
      <c r="J101" s="376">
        <f t="shared" si="29"/>
        <v>1712185.9883334683</v>
      </c>
      <c r="K101" s="376">
        <f t="shared" si="29"/>
        <v>1758200.7128727604</v>
      </c>
      <c r="L101" s="376">
        <f t="shared" si="29"/>
        <v>1805311.0260915596</v>
      </c>
      <c r="M101" s="376">
        <f t="shared" si="29"/>
        <v>1853955.1634616682</v>
      </c>
      <c r="N101" s="376">
        <f t="shared" si="29"/>
        <v>1903914.0072471851</v>
      </c>
      <c r="O101" s="376">
        <f t="shared" si="29"/>
        <v>1955406.6751840122</v>
      </c>
      <c r="P101" s="376">
        <f t="shared" si="29"/>
        <v>2008433.1672721487</v>
      </c>
      <c r="Q101" s="376">
        <f t="shared" si="29"/>
        <v>2062993.4835115953</v>
      </c>
      <c r="R101" s="376">
        <f t="shared" si="29"/>
        <v>2118868.5061664497</v>
      </c>
      <c r="S101" s="376">
        <f t="shared" si="29"/>
        <v>2176715.5884444169</v>
      </c>
      <c r="T101" s="376">
        <f t="shared" si="29"/>
        <v>2235877.3771377923</v>
      </c>
      <c r="U101" s="376">
        <f t="shared" si="29"/>
        <v>2297011.2254542806</v>
      </c>
      <c r="V101" s="376">
        <f t="shared" si="29"/>
        <v>2359898.01565798</v>
      </c>
      <c r="W101" s="376">
        <f t="shared" si="29"/>
        <v>2424537.74774889</v>
      </c>
      <c r="X101" s="376">
        <f t="shared" si="29"/>
        <v>2491149.5394629128</v>
      </c>
      <c r="Y101" s="376">
        <f t="shared" si="29"/>
        <v>2559514.2730641467</v>
      </c>
      <c r="Z101" s="376">
        <f t="shared" si="29"/>
        <v>2630070.184024395</v>
      </c>
      <c r="AA101" s="376">
        <f t="shared" si="29"/>
        <v>2702598.1546077551</v>
      </c>
      <c r="AB101" s="376">
        <f t="shared" si="29"/>
        <v>2777317.3025501291</v>
      </c>
      <c r="AC101" s="376">
        <f t="shared" si="29"/>
        <v>2854008.510115616</v>
      </c>
      <c r="AD101" s="376">
        <f t="shared" si="29"/>
        <v>2933110.0127760186</v>
      </c>
      <c r="AE101" s="376">
        <f t="shared" si="29"/>
        <v>3014402.692795434</v>
      </c>
      <c r="AF101" s="376">
        <f t="shared" si="29"/>
        <v>3098324.785645667</v>
      </c>
      <c r="AG101" s="376">
        <f t="shared" si="29"/>
        <v>3184438.0558549133</v>
      </c>
    </row>
    <row r="102" spans="1:34">
      <c r="A102" s="300" t="s">
        <v>321</v>
      </c>
      <c r="B102" s="300" t="s">
        <v>309</v>
      </c>
      <c r="C102" s="376">
        <f t="shared" ref="C102:AG102" si="30">$E$36*C44</f>
        <v>3006792.452830188</v>
      </c>
      <c r="D102" s="376">
        <f t="shared" si="30"/>
        <v>3115471.6981132068</v>
      </c>
      <c r="E102" s="376">
        <f t="shared" si="30"/>
        <v>3208935.8490566029</v>
      </c>
      <c r="F102" s="376">
        <f t="shared" si="30"/>
        <v>3305203.9245283012</v>
      </c>
      <c r="G102" s="376">
        <f t="shared" si="30"/>
        <v>3404360.04226415</v>
      </c>
      <c r="H102" s="376">
        <f t="shared" si="30"/>
        <v>3506490.8435320747</v>
      </c>
      <c r="I102" s="376">
        <f t="shared" si="30"/>
        <v>3611685.5688380376</v>
      </c>
      <c r="J102" s="376">
        <f t="shared" si="30"/>
        <v>3720036.1359031787</v>
      </c>
      <c r="K102" s="376">
        <f t="shared" si="30"/>
        <v>3831637.2199802743</v>
      </c>
      <c r="L102" s="376">
        <f t="shared" si="30"/>
        <v>3946586.3365796823</v>
      </c>
      <c r="M102" s="376">
        <f t="shared" si="30"/>
        <v>4064983.9266770729</v>
      </c>
      <c r="N102" s="376">
        <f t="shared" si="30"/>
        <v>4186933.4444773849</v>
      </c>
      <c r="O102" s="376">
        <f t="shared" si="30"/>
        <v>4312541.4478117069</v>
      </c>
      <c r="P102" s="376">
        <f t="shared" si="30"/>
        <v>4441917.6912460579</v>
      </c>
      <c r="Q102" s="376">
        <f t="shared" si="30"/>
        <v>4575175.2219834402</v>
      </c>
      <c r="R102" s="376">
        <f t="shared" si="30"/>
        <v>4712430.4786429433</v>
      </c>
      <c r="S102" s="376">
        <f t="shared" si="30"/>
        <v>4853803.3930022316</v>
      </c>
      <c r="T102" s="376">
        <f t="shared" si="30"/>
        <v>4999417.4947922984</v>
      </c>
      <c r="U102" s="376">
        <f t="shared" si="30"/>
        <v>5149400.0196360676</v>
      </c>
      <c r="V102" s="376">
        <f t="shared" si="30"/>
        <v>5303882.0202251496</v>
      </c>
      <c r="W102" s="376">
        <f t="shared" si="30"/>
        <v>5462998.4808319043</v>
      </c>
      <c r="X102" s="376">
        <f t="shared" si="30"/>
        <v>5626888.4352568621</v>
      </c>
      <c r="Y102" s="376">
        <f t="shared" si="30"/>
        <v>5795695.0883145686</v>
      </c>
      <c r="Z102" s="376">
        <f t="shared" si="30"/>
        <v>5969565.940964005</v>
      </c>
      <c r="AA102" s="376">
        <f t="shared" si="30"/>
        <v>6148652.919192926</v>
      </c>
      <c r="AB102" s="376">
        <f t="shared" si="30"/>
        <v>6333112.5067687137</v>
      </c>
      <c r="AC102" s="376">
        <f t="shared" si="30"/>
        <v>6523105.8819717746</v>
      </c>
      <c r="AD102" s="376">
        <f t="shared" si="30"/>
        <v>6718799.0584309287</v>
      </c>
      <c r="AE102" s="376">
        <f t="shared" si="30"/>
        <v>6920363.0301838564</v>
      </c>
      <c r="AF102" s="376">
        <f t="shared" si="30"/>
        <v>7127973.9210893717</v>
      </c>
      <c r="AG102" s="376">
        <f t="shared" si="30"/>
        <v>7341813.1387220528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844800</v>
      </c>
      <c r="D103" s="376">
        <f t="shared" si="31"/>
        <v>878592.00000000012</v>
      </c>
      <c r="E103" s="376">
        <f t="shared" si="31"/>
        <v>913735.68000000017</v>
      </c>
      <c r="F103" s="376">
        <f t="shared" si="31"/>
        <v>950285.1072000002</v>
      </c>
      <c r="G103" s="376">
        <f t="shared" si="31"/>
        <v>988296.51148800028</v>
      </c>
      <c r="H103" s="376">
        <f t="shared" si="31"/>
        <v>1027828.3719475202</v>
      </c>
      <c r="I103" s="376">
        <f t="shared" si="31"/>
        <v>1068941.506825421</v>
      </c>
      <c r="J103" s="376">
        <f t="shared" si="31"/>
        <v>1111699.1670984379</v>
      </c>
      <c r="K103" s="376">
        <f t="shared" si="31"/>
        <v>1156167.1337823754</v>
      </c>
      <c r="L103" s="376">
        <f t="shared" si="31"/>
        <v>1202413.8191336705</v>
      </c>
      <c r="M103" s="376">
        <f t="shared" si="31"/>
        <v>1250510.3718990176</v>
      </c>
      <c r="N103" s="376">
        <f t="shared" si="31"/>
        <v>1300530.7867749783</v>
      </c>
      <c r="O103" s="376">
        <f t="shared" si="31"/>
        <v>1352552.0182459773</v>
      </c>
      <c r="P103" s="376">
        <f t="shared" si="31"/>
        <v>1406654.0989758165</v>
      </c>
      <c r="Q103" s="376">
        <f t="shared" si="31"/>
        <v>1462920.2629348494</v>
      </c>
      <c r="R103" s="376">
        <f t="shared" si="31"/>
        <v>1521437.0734522433</v>
      </c>
      <c r="S103" s="376">
        <f t="shared" si="31"/>
        <v>1582294.5563903332</v>
      </c>
      <c r="T103" s="376">
        <f t="shared" si="31"/>
        <v>1645586.3386459465</v>
      </c>
      <c r="U103" s="376">
        <f t="shared" si="31"/>
        <v>1711409.7921917844</v>
      </c>
      <c r="V103" s="376">
        <f t="shared" si="31"/>
        <v>1779866.1838794558</v>
      </c>
      <c r="W103" s="376">
        <f t="shared" si="31"/>
        <v>1851060.8312346342</v>
      </c>
      <c r="X103" s="376">
        <f t="shared" si="31"/>
        <v>1925103.2644840195</v>
      </c>
      <c r="Y103" s="376">
        <f t="shared" si="31"/>
        <v>2002107.3950633805</v>
      </c>
      <c r="Z103" s="376">
        <f t="shared" si="31"/>
        <v>2082191.6908659157</v>
      </c>
      <c r="AA103" s="376">
        <f t="shared" si="31"/>
        <v>2165479.3585005524</v>
      </c>
      <c r="AB103" s="376">
        <f t="shared" si="31"/>
        <v>2252098.5328405742</v>
      </c>
      <c r="AC103" s="376">
        <f t="shared" si="31"/>
        <v>2342182.4741541976</v>
      </c>
      <c r="AD103" s="376">
        <f t="shared" si="31"/>
        <v>2435869.7731203651</v>
      </c>
      <c r="AE103" s="376">
        <f t="shared" si="31"/>
        <v>2533304.5640451801</v>
      </c>
      <c r="AF103" s="376">
        <f t="shared" si="31"/>
        <v>2634636.7466069874</v>
      </c>
      <c r="AG103" s="376">
        <f t="shared" si="31"/>
        <v>2740022.2164712669</v>
      </c>
    </row>
    <row r="104" spans="1:34">
      <c r="A104" s="368" t="s">
        <v>318</v>
      </c>
      <c r="B104" s="368" t="s">
        <v>313</v>
      </c>
      <c r="C104" s="376">
        <f>'Changing with year'!C295</f>
        <v>600000</v>
      </c>
      <c r="D104" s="376">
        <f>'Changing with year'!D295</f>
        <v>627000</v>
      </c>
      <c r="E104" s="376">
        <f>'Changing with year'!E295</f>
        <v>655000</v>
      </c>
      <c r="F104" s="376">
        <f>'Changing with year'!F295</f>
        <v>684000</v>
      </c>
      <c r="G104" s="376">
        <f>'Changing with year'!G295</f>
        <v>715000</v>
      </c>
      <c r="H104" s="376">
        <f>'Changing with year'!H295</f>
        <v>747000</v>
      </c>
      <c r="I104" s="376">
        <f>'Changing with year'!I295</f>
        <v>781000</v>
      </c>
      <c r="J104" s="376">
        <f>'Changing with year'!J295</f>
        <v>816000</v>
      </c>
      <c r="K104" s="376">
        <f>'Changing with year'!K295</f>
        <v>853000</v>
      </c>
      <c r="L104" s="376">
        <f>'Changing with year'!L295</f>
        <v>891000</v>
      </c>
      <c r="M104" s="376">
        <f>'Changing with year'!M295</f>
        <v>931000</v>
      </c>
      <c r="N104" s="376">
        <f>'Changing with year'!N295</f>
        <v>973000</v>
      </c>
      <c r="O104" s="376">
        <f>'Changing with year'!O295</f>
        <v>1017000</v>
      </c>
      <c r="P104" s="376">
        <f>'Changing with year'!P295</f>
        <v>1063000</v>
      </c>
      <c r="Q104" s="376">
        <f>'Changing with year'!Q295</f>
        <v>1111000</v>
      </c>
      <c r="R104" s="376">
        <f>'Changing with year'!R295</f>
        <v>1161000</v>
      </c>
      <c r="S104" s="376">
        <f>'Changing with year'!S295</f>
        <v>1213000</v>
      </c>
      <c r="T104" s="376">
        <f>'Changing with year'!T295</f>
        <v>1268000</v>
      </c>
      <c r="U104" s="376">
        <f>'Changing with year'!U295</f>
        <v>1325000</v>
      </c>
      <c r="V104" s="376">
        <f>'Changing with year'!V295</f>
        <v>1385000</v>
      </c>
      <c r="W104" s="376">
        <f>'Changing with year'!W295</f>
        <v>1447000</v>
      </c>
      <c r="X104" s="376">
        <f>'Changing with year'!X295</f>
        <v>1512000</v>
      </c>
      <c r="Y104" s="376">
        <f>'Changing with year'!Y295</f>
        <v>1580000</v>
      </c>
      <c r="Z104" s="376">
        <f>'Changing with year'!Z295</f>
        <v>1651000</v>
      </c>
      <c r="AA104" s="376">
        <f>'Changing with year'!AA295</f>
        <v>1725000</v>
      </c>
      <c r="AB104" s="376">
        <f>'Changing with year'!AB295</f>
        <v>1803000</v>
      </c>
      <c r="AC104" s="376">
        <f>'Changing with year'!AC295</f>
        <v>1884000</v>
      </c>
      <c r="AD104" s="376">
        <f>'Changing with year'!AD295</f>
        <v>1969000</v>
      </c>
      <c r="AE104" s="376">
        <f>'Changing with year'!AE295</f>
        <v>2058000</v>
      </c>
      <c r="AF104" s="376">
        <f>'Changing with year'!AF295</f>
        <v>2151000</v>
      </c>
      <c r="AG104" s="376">
        <f>'Changing with year'!AG295</f>
        <v>2248000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864000</v>
      </c>
      <c r="D105" s="376">
        <f t="shared" si="32"/>
        <v>872640</v>
      </c>
      <c r="E105" s="376">
        <f t="shared" si="32"/>
        <v>881366.4</v>
      </c>
      <c r="F105" s="376">
        <f t="shared" si="32"/>
        <v>890180.06399999978</v>
      </c>
      <c r="G105" s="376">
        <f t="shared" si="32"/>
        <v>899081.86464000004</v>
      </c>
      <c r="H105" s="376">
        <f t="shared" si="32"/>
        <v>908072.68328640005</v>
      </c>
      <c r="I105" s="376">
        <f t="shared" si="32"/>
        <v>917153.41011926392</v>
      </c>
      <c r="J105" s="376">
        <f t="shared" si="32"/>
        <v>926324.94422045664</v>
      </c>
      <c r="K105" s="376">
        <f t="shared" si="32"/>
        <v>935588.19366266136</v>
      </c>
      <c r="L105" s="376">
        <f t="shared" si="32"/>
        <v>944944.0755992881</v>
      </c>
      <c r="M105" s="376">
        <f t="shared" si="32"/>
        <v>954393.51635528088</v>
      </c>
      <c r="N105" s="376">
        <f t="shared" si="32"/>
        <v>963937.45151883364</v>
      </c>
      <c r="O105" s="376">
        <f t="shared" si="32"/>
        <v>973576.82603402203</v>
      </c>
      <c r="P105" s="376">
        <f t="shared" si="32"/>
        <v>983312.59429436235</v>
      </c>
      <c r="Q105" s="376">
        <f t="shared" si="32"/>
        <v>993145.72023730609</v>
      </c>
      <c r="R105" s="376">
        <f t="shared" si="32"/>
        <v>1003077.1774396792</v>
      </c>
      <c r="S105" s="376">
        <f t="shared" si="32"/>
        <v>1013107.949214076</v>
      </c>
      <c r="T105" s="376">
        <f t="shared" si="32"/>
        <v>1023239.0287062167</v>
      </c>
      <c r="U105" s="376">
        <f t="shared" si="32"/>
        <v>1033471.4189932789</v>
      </c>
      <c r="V105" s="376">
        <f t="shared" si="32"/>
        <v>1043806.1331832118</v>
      </c>
      <c r="W105" s="376">
        <f t="shared" si="32"/>
        <v>1054244.1945150439</v>
      </c>
      <c r="X105" s="376">
        <f t="shared" si="32"/>
        <v>1064786.6364601944</v>
      </c>
      <c r="Y105" s="376">
        <f t="shared" si="32"/>
        <v>1075434.5028247964</v>
      </c>
      <c r="Z105" s="376">
        <f t="shared" si="32"/>
        <v>1086188.8478530445</v>
      </c>
      <c r="AA105" s="376">
        <f t="shared" si="32"/>
        <v>1097050.7363315746</v>
      </c>
      <c r="AB105" s="376">
        <f t="shared" si="32"/>
        <v>1108021.2436948905</v>
      </c>
      <c r="AC105" s="376">
        <f t="shared" si="32"/>
        <v>1119101.4561318394</v>
      </c>
      <c r="AD105" s="376">
        <f t="shared" si="32"/>
        <v>1130292.470693158</v>
      </c>
      <c r="AE105" s="376">
        <f t="shared" si="32"/>
        <v>1141595.3954000894</v>
      </c>
      <c r="AF105" s="376">
        <f t="shared" si="32"/>
        <v>1153011.3493540904</v>
      </c>
      <c r="AG105" s="376">
        <f t="shared" si="32"/>
        <v>1164541.4628476314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123140</v>
      </c>
      <c r="D106" s="376">
        <f t="shared" si="33"/>
        <v>126360</v>
      </c>
      <c r="E106" s="376">
        <f t="shared" si="33"/>
        <v>129700</v>
      </c>
      <c r="F106" s="376">
        <f t="shared" si="33"/>
        <v>133100</v>
      </c>
      <c r="G106" s="376">
        <f t="shared" si="33"/>
        <v>136620</v>
      </c>
      <c r="H106" s="376">
        <f t="shared" si="33"/>
        <v>148240</v>
      </c>
      <c r="I106" s="376">
        <f t="shared" si="33"/>
        <v>152200</v>
      </c>
      <c r="J106" s="376">
        <f t="shared" si="33"/>
        <v>156280</v>
      </c>
      <c r="K106" s="376">
        <f t="shared" si="33"/>
        <v>160480</v>
      </c>
      <c r="L106" s="376">
        <f t="shared" si="33"/>
        <v>164780</v>
      </c>
      <c r="M106" s="376">
        <f t="shared" si="33"/>
        <v>169220</v>
      </c>
      <c r="N106" s="376">
        <f t="shared" si="33"/>
        <v>173780</v>
      </c>
      <c r="O106" s="376">
        <f t="shared" si="33"/>
        <v>178480</v>
      </c>
      <c r="P106" s="376">
        <f t="shared" si="33"/>
        <v>183320</v>
      </c>
      <c r="Q106" s="376">
        <f t="shared" si="33"/>
        <v>188300</v>
      </c>
      <c r="R106" s="376">
        <f t="shared" si="33"/>
        <v>193400</v>
      </c>
      <c r="S106" s="376">
        <f t="shared" si="33"/>
        <v>198680</v>
      </c>
      <c r="T106" s="376">
        <f t="shared" si="33"/>
        <v>204080</v>
      </c>
      <c r="U106" s="376">
        <f t="shared" si="33"/>
        <v>209660</v>
      </c>
      <c r="V106" s="376">
        <f t="shared" si="33"/>
        <v>215400</v>
      </c>
      <c r="W106" s="376">
        <f t="shared" si="33"/>
        <v>221300</v>
      </c>
      <c r="X106" s="376">
        <f t="shared" si="33"/>
        <v>227380</v>
      </c>
      <c r="Y106" s="376">
        <f t="shared" si="33"/>
        <v>233620</v>
      </c>
      <c r="Z106" s="376">
        <f t="shared" si="33"/>
        <v>240060</v>
      </c>
      <c r="AA106" s="376">
        <f t="shared" si="33"/>
        <v>246680</v>
      </c>
      <c r="AB106" s="376">
        <f t="shared" si="33"/>
        <v>253500</v>
      </c>
      <c r="AC106" s="376">
        <f t="shared" si="33"/>
        <v>260500</v>
      </c>
      <c r="AD106" s="376">
        <f t="shared" si="33"/>
        <v>267720</v>
      </c>
      <c r="AE106" s="376">
        <f t="shared" si="33"/>
        <v>275140</v>
      </c>
      <c r="AF106" s="376">
        <f t="shared" si="33"/>
        <v>282800</v>
      </c>
      <c r="AG106" s="376">
        <f t="shared" si="33"/>
        <v>290660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14.053207291092331</v>
      </c>
      <c r="D108" s="379">
        <f t="shared" si="34"/>
        <v>14.420685994010288</v>
      </c>
      <c r="E108" s="379">
        <f t="shared" si="34"/>
        <v>14.80185955542208</v>
      </c>
      <c r="F108" s="379">
        <f t="shared" si="34"/>
        <v>15.189880546080795</v>
      </c>
      <c r="G108" s="379">
        <f t="shared" si="34"/>
        <v>15.591596395233346</v>
      </c>
      <c r="H108" s="379">
        <f t="shared" si="34"/>
        <v>16.917715192719886</v>
      </c>
      <c r="I108" s="379">
        <f t="shared" si="34"/>
        <v>17.369645523016505</v>
      </c>
      <c r="J108" s="379">
        <f t="shared" si="34"/>
        <v>17.835270711806963</v>
      </c>
      <c r="K108" s="379">
        <f t="shared" si="34"/>
        <v>18.314590759091253</v>
      </c>
      <c r="L108" s="379">
        <f t="shared" si="34"/>
        <v>18.805323188453745</v>
      </c>
      <c r="M108" s="379">
        <f t="shared" si="34"/>
        <v>19.312032952725712</v>
      </c>
      <c r="N108" s="379">
        <f t="shared" si="34"/>
        <v>19.832437575491511</v>
      </c>
      <c r="O108" s="379">
        <f t="shared" si="34"/>
        <v>20.368819533166793</v>
      </c>
      <c r="P108" s="379">
        <f t="shared" si="34"/>
        <v>20.92117882575155</v>
      </c>
      <c r="Q108" s="379">
        <f t="shared" si="34"/>
        <v>21.489515453245783</v>
      </c>
      <c r="R108" s="379">
        <f t="shared" si="34"/>
        <v>22.071546939233851</v>
      </c>
      <c r="S108" s="379">
        <f t="shared" si="34"/>
        <v>22.674120712962676</v>
      </c>
      <c r="T108" s="379">
        <f t="shared" si="34"/>
        <v>23.290389345185336</v>
      </c>
      <c r="U108" s="379">
        <f t="shared" si="34"/>
        <v>23.927200265148755</v>
      </c>
      <c r="V108" s="379">
        <f t="shared" si="34"/>
        <v>24.582270996437291</v>
      </c>
      <c r="W108" s="379">
        <f t="shared" si="34"/>
        <v>25.255601539050936</v>
      </c>
      <c r="X108" s="379">
        <f t="shared" si="34"/>
        <v>25.94947436940534</v>
      </c>
      <c r="Y108" s="379">
        <f t="shared" si="34"/>
        <v>26.661607011084861</v>
      </c>
      <c r="Z108" s="379">
        <f t="shared" si="34"/>
        <v>27.396564416920782</v>
      </c>
      <c r="AA108" s="379">
        <f t="shared" si="34"/>
        <v>28.152064110497449</v>
      </c>
      <c r="AB108" s="379">
        <f t="shared" si="34"/>
        <v>28.930388568230512</v>
      </c>
      <c r="AC108" s="379">
        <f t="shared" si="34"/>
        <v>29.729255313704332</v>
      </c>
      <c r="AD108" s="379">
        <f t="shared" si="34"/>
        <v>30.553229299750193</v>
      </c>
      <c r="AE108" s="379">
        <f t="shared" si="34"/>
        <v>31.400028049952439</v>
      </c>
      <c r="AF108" s="379">
        <f t="shared" si="34"/>
        <v>32.274216517142364</v>
      </c>
      <c r="AG108" s="379">
        <f t="shared" si="34"/>
        <v>33.171229748488678</v>
      </c>
    </row>
    <row r="109" spans="1:34">
      <c r="A109" s="300" t="s">
        <v>321</v>
      </c>
      <c r="B109" s="300" t="s">
        <v>300</v>
      </c>
      <c r="C109" s="379">
        <f t="shared" si="34"/>
        <v>31.320754716981124</v>
      </c>
      <c r="D109" s="379">
        <f t="shared" si="34"/>
        <v>32.452830188679236</v>
      </c>
      <c r="E109" s="379">
        <f t="shared" si="34"/>
        <v>33.42641509433961</v>
      </c>
      <c r="F109" s="379">
        <f t="shared" si="34"/>
        <v>34.429207547169803</v>
      </c>
      <c r="G109" s="379">
        <f t="shared" si="34"/>
        <v>35.462083773584894</v>
      </c>
      <c r="H109" s="379">
        <f t="shared" si="34"/>
        <v>36.525946286792447</v>
      </c>
      <c r="I109" s="379">
        <f t="shared" si="34"/>
        <v>37.621724675396223</v>
      </c>
      <c r="J109" s="379">
        <f t="shared" si="34"/>
        <v>38.75037641565811</v>
      </c>
      <c r="K109" s="379">
        <f t="shared" si="34"/>
        <v>39.912887708127855</v>
      </c>
      <c r="L109" s="379">
        <f t="shared" si="34"/>
        <v>41.110274339371692</v>
      </c>
      <c r="M109" s="379">
        <f t="shared" si="34"/>
        <v>42.343582569552844</v>
      </c>
      <c r="N109" s="379">
        <f t="shared" si="34"/>
        <v>43.613890046639426</v>
      </c>
      <c r="O109" s="379">
        <f t="shared" si="34"/>
        <v>44.922306748038615</v>
      </c>
      <c r="P109" s="379">
        <f t="shared" si="34"/>
        <v>46.269975950479768</v>
      </c>
      <c r="Q109" s="379">
        <f t="shared" si="34"/>
        <v>47.658075228994171</v>
      </c>
      <c r="R109" s="379">
        <f t="shared" si="34"/>
        <v>49.087817485863994</v>
      </c>
      <c r="S109" s="379">
        <f t="shared" si="34"/>
        <v>50.56045201043991</v>
      </c>
      <c r="T109" s="379">
        <f t="shared" si="34"/>
        <v>52.077265570753106</v>
      </c>
      <c r="U109" s="379">
        <f t="shared" si="34"/>
        <v>53.639583537875701</v>
      </c>
      <c r="V109" s="379">
        <f t="shared" si="34"/>
        <v>55.248771044011974</v>
      </c>
      <c r="W109" s="379">
        <f t="shared" si="34"/>
        <v>56.906234175332337</v>
      </c>
      <c r="X109" s="379">
        <f t="shared" si="34"/>
        <v>58.613421200592313</v>
      </c>
      <c r="Y109" s="379">
        <f t="shared" si="34"/>
        <v>60.371823836610091</v>
      </c>
      <c r="Z109" s="379">
        <f t="shared" si="34"/>
        <v>62.182978551708388</v>
      </c>
      <c r="AA109" s="379">
        <f t="shared" si="34"/>
        <v>64.048467908259653</v>
      </c>
      <c r="AB109" s="379">
        <f t="shared" si="34"/>
        <v>65.969921945507437</v>
      </c>
      <c r="AC109" s="379">
        <f t="shared" si="34"/>
        <v>67.949019603872657</v>
      </c>
      <c r="AD109" s="379">
        <f t="shared" si="34"/>
        <v>69.98749019198884</v>
      </c>
      <c r="AE109" s="379">
        <f t="shared" si="34"/>
        <v>72.087114897748506</v>
      </c>
      <c r="AF109" s="379">
        <f t="shared" si="34"/>
        <v>74.24972834468096</v>
      </c>
      <c r="AG109" s="379">
        <f t="shared" si="34"/>
        <v>76.477220195021388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25.332708333333333</v>
      </c>
      <c r="D110" s="379">
        <f t="shared" si="35"/>
        <v>26.089500000000001</v>
      </c>
      <c r="E110" s="379">
        <f t="shared" si="35"/>
        <v>26.872938333333334</v>
      </c>
      <c r="F110" s="379">
        <f t="shared" si="35"/>
        <v>27.682970533333332</v>
      </c>
      <c r="G110" s="379">
        <f t="shared" si="35"/>
        <v>28.53123308466667</v>
      </c>
      <c r="H110" s="379">
        <f t="shared" si="35"/>
        <v>29.491052658686666</v>
      </c>
      <c r="I110" s="379">
        <f t="shared" si="35"/>
        <v>30.409322051507136</v>
      </c>
      <c r="J110" s="379">
        <f t="shared" si="35"/>
        <v>31.357334492905153</v>
      </c>
      <c r="K110" s="379">
        <f t="shared" si="35"/>
        <v>32.346201327552464</v>
      </c>
      <c r="L110" s="379">
        <f t="shared" si="35"/>
        <v>33.366019736801654</v>
      </c>
      <c r="M110" s="379">
        <f t="shared" si="35"/>
        <v>34.428373835982278</v>
      </c>
      <c r="N110" s="379">
        <f t="shared" si="35"/>
        <v>35.533835815560536</v>
      </c>
      <c r="O110" s="379">
        <f t="shared" si="35"/>
        <v>36.683425461249996</v>
      </c>
      <c r="P110" s="379">
        <f t="shared" si="35"/>
        <v>37.877986388231029</v>
      </c>
      <c r="Q110" s="379">
        <f t="shared" si="35"/>
        <v>39.118395658043291</v>
      </c>
      <c r="R110" s="379">
        <f t="shared" si="35"/>
        <v>40.405356780124201</v>
      </c>
      <c r="S110" s="379">
        <f t="shared" si="35"/>
        <v>41.740442766712597</v>
      </c>
      <c r="T110" s="379">
        <f t="shared" si="35"/>
        <v>43.134430909918365</v>
      </c>
      <c r="U110" s="379">
        <f t="shared" si="35"/>
        <v>44.578554283177745</v>
      </c>
      <c r="V110" s="379">
        <f t="shared" si="35"/>
        <v>46.084086636069451</v>
      </c>
      <c r="W110" s="379">
        <f t="shared" si="35"/>
        <v>47.641719018225807</v>
      </c>
      <c r="X110" s="379">
        <f t="shared" si="35"/>
        <v>49.263228134835565</v>
      </c>
      <c r="Y110" s="379">
        <f t="shared" si="35"/>
        <v>50.949603103001841</v>
      </c>
      <c r="Z110" s="379">
        <f t="shared" si="35"/>
        <v>52.702505611655837</v>
      </c>
      <c r="AA110" s="379">
        <f t="shared" si="35"/>
        <v>54.523021821167987</v>
      </c>
      <c r="AB110" s="379">
        <f t="shared" si="35"/>
        <v>56.423122672244425</v>
      </c>
      <c r="AC110" s="379">
        <f t="shared" si="35"/>
        <v>58.393582607146215</v>
      </c>
      <c r="AD110" s="379">
        <f t="shared" si="35"/>
        <v>60.446690039724196</v>
      </c>
      <c r="AE110" s="379">
        <f t="shared" si="35"/>
        <v>62.583749577554883</v>
      </c>
      <c r="AF110" s="379">
        <f t="shared" si="35"/>
        <v>64.806750999594556</v>
      </c>
      <c r="AG110" s="379">
        <f t="shared" si="35"/>
        <v>67.116913326238532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4.1229910714285714</v>
      </c>
      <c r="D111" s="379">
        <f t="shared" si="36"/>
        <v>4.230803571428571</v>
      </c>
      <c r="E111" s="379">
        <f t="shared" si="36"/>
        <v>4.3426339285714288</v>
      </c>
      <c r="F111" s="379">
        <f t="shared" si="36"/>
        <v>4.4564732142857144</v>
      </c>
      <c r="G111" s="379">
        <f t="shared" si="36"/>
        <v>4.5743303571428573</v>
      </c>
      <c r="H111" s="379">
        <f t="shared" si="36"/>
        <v>4.9633928571428569</v>
      </c>
      <c r="I111" s="379">
        <f t="shared" si="36"/>
        <v>5.0959821428571432</v>
      </c>
      <c r="J111" s="379">
        <f t="shared" si="36"/>
        <v>5.2325892857142859</v>
      </c>
      <c r="K111" s="379">
        <f t="shared" si="36"/>
        <v>5.3732142857142859</v>
      </c>
      <c r="L111" s="379">
        <f t="shared" si="36"/>
        <v>5.5171875000000004</v>
      </c>
      <c r="M111" s="379">
        <f t="shared" si="36"/>
        <v>5.6658482142857141</v>
      </c>
      <c r="N111" s="379">
        <f t="shared" si="36"/>
        <v>4.5255208333333341</v>
      </c>
      <c r="O111" s="379">
        <f t="shared" si="36"/>
        <v>4.6479166666666671</v>
      </c>
      <c r="P111" s="379">
        <f t="shared" si="36"/>
        <v>4.7739583333333337</v>
      </c>
      <c r="Q111" s="379">
        <f t="shared" si="36"/>
        <v>4.9036458333333339</v>
      </c>
      <c r="R111" s="379">
        <f t="shared" si="36"/>
        <v>5.0364583333333339</v>
      </c>
      <c r="S111" s="379">
        <f t="shared" si="36"/>
        <v>5.1739583333333341</v>
      </c>
      <c r="T111" s="379">
        <f t="shared" si="36"/>
        <v>5.3145833333333341</v>
      </c>
      <c r="U111" s="379">
        <f t="shared" si="36"/>
        <v>5.4598958333333343</v>
      </c>
      <c r="V111" s="379">
        <f t="shared" si="36"/>
        <v>5.6093750000000009</v>
      </c>
      <c r="W111" s="379">
        <f t="shared" si="36"/>
        <v>5.7630208333333339</v>
      </c>
      <c r="X111" s="379">
        <f t="shared" si="36"/>
        <v>4.2295386904761907</v>
      </c>
      <c r="Y111" s="379">
        <f t="shared" si="36"/>
        <v>4.3456101190476186</v>
      </c>
      <c r="Z111" s="379">
        <f t="shared" si="36"/>
        <v>4.4654017857142856</v>
      </c>
      <c r="AA111" s="379">
        <f t="shared" si="36"/>
        <v>4.588541666666667</v>
      </c>
      <c r="AB111" s="379">
        <f t="shared" si="36"/>
        <v>4.7154017857142856</v>
      </c>
      <c r="AC111" s="379">
        <f t="shared" si="36"/>
        <v>4.8456101190476186</v>
      </c>
      <c r="AD111" s="379">
        <f t="shared" si="36"/>
        <v>4.9799107142857144</v>
      </c>
      <c r="AE111" s="379">
        <f t="shared" si="36"/>
        <v>5.1179315476190474</v>
      </c>
      <c r="AF111" s="379">
        <f t="shared" si="36"/>
        <v>5.260416666666667</v>
      </c>
      <c r="AG111" s="379">
        <f t="shared" si="36"/>
        <v>5.4066220238095237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66.583679269978219</v>
      </c>
      <c r="D112" s="381">
        <f t="shared" ref="D112" si="37">SUM(D108:D110)-D111</f>
        <v>68.732212611260962</v>
      </c>
      <c r="E112" s="381">
        <f t="shared" ref="E112" si="38">SUM(E108:E110)-E111</f>
        <v>70.758579054523594</v>
      </c>
      <c r="F112" s="381">
        <f t="shared" ref="F112:AG112" si="39">SUM(F108:F110)-F111</f>
        <v>72.84558541229822</v>
      </c>
      <c r="G112" s="381">
        <f t="shared" si="39"/>
        <v>75.010582896342058</v>
      </c>
      <c r="H112" s="381">
        <f t="shared" si="39"/>
        <v>77.971321281056134</v>
      </c>
      <c r="I112" s="381">
        <f t="shared" si="39"/>
        <v>80.304710107062718</v>
      </c>
      <c r="J112" s="381">
        <f t="shared" si="39"/>
        <v>82.71039233465595</v>
      </c>
      <c r="K112" s="381">
        <f t="shared" si="39"/>
        <v>85.200465509057295</v>
      </c>
      <c r="L112" s="381">
        <f t="shared" si="39"/>
        <v>87.764429764627096</v>
      </c>
      <c r="M112" s="381">
        <f t="shared" si="39"/>
        <v>90.418141143975106</v>
      </c>
      <c r="N112" s="381">
        <f t="shared" si="39"/>
        <v>94.454642604358142</v>
      </c>
      <c r="O112" s="381">
        <f t="shared" si="39"/>
        <v>97.326635075788744</v>
      </c>
      <c r="P112" s="381">
        <f t="shared" si="39"/>
        <v>100.295182831129</v>
      </c>
      <c r="Q112" s="381">
        <f t="shared" si="39"/>
        <v>103.36234050694991</v>
      </c>
      <c r="R112" s="381">
        <f t="shared" si="39"/>
        <v>106.52826287188871</v>
      </c>
      <c r="S112" s="381">
        <f t="shared" si="39"/>
        <v>109.80105715678184</v>
      </c>
      <c r="T112" s="381">
        <f t="shared" si="39"/>
        <v>113.18750249252348</v>
      </c>
      <c r="U112" s="381">
        <f t="shared" si="39"/>
        <v>116.68544225286887</v>
      </c>
      <c r="V112" s="381">
        <f t="shared" si="39"/>
        <v>120.30575367651872</v>
      </c>
      <c r="W112" s="381">
        <f t="shared" si="39"/>
        <v>124.04053389927576</v>
      </c>
      <c r="X112" s="381">
        <f t="shared" si="39"/>
        <v>129.596585014357</v>
      </c>
      <c r="Y112" s="381">
        <f t="shared" si="39"/>
        <v>133.63742383164916</v>
      </c>
      <c r="Z112" s="381">
        <f t="shared" si="39"/>
        <v>137.81664679457072</v>
      </c>
      <c r="AA112" s="381">
        <f t="shared" si="39"/>
        <v>142.13501217325845</v>
      </c>
      <c r="AB112" s="381">
        <f t="shared" si="39"/>
        <v>146.60803140026809</v>
      </c>
      <c r="AC112" s="381">
        <f t="shared" si="39"/>
        <v>151.22624740567559</v>
      </c>
      <c r="AD112" s="381">
        <f t="shared" si="39"/>
        <v>156.00749881717749</v>
      </c>
      <c r="AE112" s="381">
        <f t="shared" si="39"/>
        <v>160.95296097763679</v>
      </c>
      <c r="AF112" s="381">
        <f t="shared" si="39"/>
        <v>166.07027919475124</v>
      </c>
      <c r="AG112" s="381">
        <f t="shared" si="39"/>
        <v>171.35874124593909</v>
      </c>
    </row>
    <row r="113" spans="1:34" s="344" customFormat="1">
      <c r="A113" s="342" t="s">
        <v>327</v>
      </c>
      <c r="B113" s="342"/>
      <c r="H113" s="382">
        <f>H115/H63</f>
        <v>1.1971660507076805</v>
      </c>
      <c r="AB113" s="382">
        <f>AB115/AB63</f>
        <v>1.0802237472299665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year'!C125)/1000,0)*1000</f>
        <v>6579000</v>
      </c>
      <c r="D115" s="376">
        <f>ROUND(('Changing with year'!D125)/1000,0)*1000</f>
        <v>6650000</v>
      </c>
      <c r="E115" s="376">
        <f>ROUND(('Changing with year'!E125)/1000,0)*1000</f>
        <v>6730000</v>
      </c>
      <c r="F115" s="376">
        <f>ROUND(('Changing with year'!F125)/1000,0)*1000</f>
        <v>6818000</v>
      </c>
      <c r="G115" s="376">
        <f>ROUND(('Changing with year'!G125)/1000,0)*1000</f>
        <v>6914000</v>
      </c>
      <c r="H115" s="376">
        <f>ROUND(('Changing with year'!H125)/1000,0)*1000</f>
        <v>7418000</v>
      </c>
      <c r="I115" s="376">
        <f>ROUND(('Changing with year'!I125)/1000,0)*1000</f>
        <v>7555000</v>
      </c>
      <c r="J115" s="376">
        <f>ROUND(('Changing with year'!J125)/1000,0)*1000</f>
        <v>7700000</v>
      </c>
      <c r="K115" s="376">
        <f>ROUND(('Changing with year'!K125)/1000,0)*1000</f>
        <v>7852000</v>
      </c>
      <c r="L115" s="376">
        <f>ROUND(('Changing with year'!L125)/1000,0)*1000</f>
        <v>8012000</v>
      </c>
      <c r="M115" s="376">
        <f>ROUND(('Changing with year'!M125)/1000,0)*1000</f>
        <v>8180000</v>
      </c>
      <c r="N115" s="376">
        <f>ROUND(('Changing with year'!N125)/1000,0)*1000</f>
        <v>8355000</v>
      </c>
      <c r="O115" s="376">
        <f>ROUND(('Changing with year'!O125)/1000,0)*1000</f>
        <v>8539000</v>
      </c>
      <c r="P115" s="376">
        <f>ROUND(('Changing with year'!P125)/1000,0)*1000</f>
        <v>8731000</v>
      </c>
      <c r="Q115" s="376">
        <f>ROUND(('Changing with year'!Q125)/1000,0)*1000</f>
        <v>8931000</v>
      </c>
      <c r="R115" s="376">
        <f>ROUND(('Changing with year'!R125)/1000,0)*1000</f>
        <v>9140000</v>
      </c>
      <c r="S115" s="376">
        <f>ROUND(('Changing with year'!S125)/1000,0)*1000</f>
        <v>9398000</v>
      </c>
      <c r="T115" s="376">
        <f>ROUND(('Changing with year'!T125)/1000,0)*1000</f>
        <v>9663000</v>
      </c>
      <c r="U115" s="376">
        <f>ROUND(('Changing with year'!U125)/1000,0)*1000</f>
        <v>9936000</v>
      </c>
      <c r="V115" s="376">
        <f>ROUND(('Changing with year'!V125)/1000,0)*1000</f>
        <v>10218000</v>
      </c>
      <c r="W115" s="376">
        <f>ROUND(('Changing with year'!W125)/1000,0)*1000</f>
        <v>10507000</v>
      </c>
      <c r="X115" s="376">
        <f>ROUND(('Changing with year'!X125)/1000,0)*1000</f>
        <v>10806000</v>
      </c>
      <c r="Y115" s="376">
        <f>ROUND(('Changing with year'!Y125)/1000,0)*1000</f>
        <v>11112000</v>
      </c>
      <c r="Z115" s="376">
        <f>ROUND(('Changing with year'!Z125)/1000,0)*1000</f>
        <v>11428000</v>
      </c>
      <c r="AA115" s="376">
        <f>ROUND(('Changing with year'!AA125)/1000,0)*1000</f>
        <v>11754000</v>
      </c>
      <c r="AB115" s="376">
        <f>ROUND(('Changing with year'!AB125)/1000,0)*1000</f>
        <v>12089000</v>
      </c>
      <c r="AC115" s="376">
        <f>ROUND(('Changing with year'!AC125)/1000,0)*1000</f>
        <v>12433000</v>
      </c>
      <c r="AD115" s="376">
        <f>ROUND(('Changing with year'!AD125)/1000,0)*1000</f>
        <v>12788000</v>
      </c>
      <c r="AE115" s="376">
        <f>ROUND(('Changing with year'!AE125)/1000,0)*1000</f>
        <v>13153000</v>
      </c>
      <c r="AF115" s="376">
        <f>ROUND(('Changing with year'!AF125)/1000,0)*1000</f>
        <v>13530000</v>
      </c>
      <c r="AG115" s="376">
        <f>ROUND(('Changing with year'!AG125)/1000,0)*1000</f>
        <v>13917000</v>
      </c>
    </row>
    <row r="116" spans="1:34">
      <c r="A116" s="368" t="s">
        <v>310</v>
      </c>
      <c r="B116" s="300" t="s">
        <v>309</v>
      </c>
      <c r="C116" s="376">
        <f>(C115*'No change with year'!$AH$14)</f>
        <v>1315800</v>
      </c>
      <c r="D116" s="376">
        <f>(D115*'No change with year'!$AH$14)</f>
        <v>1330000</v>
      </c>
      <c r="E116" s="376">
        <f>(E115*'No change with year'!$AH$14)</f>
        <v>1346000</v>
      </c>
      <c r="F116" s="376">
        <f>(F115*'No change with year'!$AH$14)</f>
        <v>1363600</v>
      </c>
      <c r="G116" s="376">
        <f>(G115*'No change with year'!$AH$14)</f>
        <v>1382800</v>
      </c>
      <c r="H116" s="376">
        <f>(H115*'No change with year'!$AH$14)</f>
        <v>1483600</v>
      </c>
      <c r="I116" s="376">
        <f>(I115*'No change with year'!$AH$14)</f>
        <v>1511000</v>
      </c>
      <c r="J116" s="376">
        <f>(J115*'No change with year'!$AH$14)</f>
        <v>1540000</v>
      </c>
      <c r="K116" s="376">
        <f>(K115*'No change with year'!$AH$14)</f>
        <v>1570400</v>
      </c>
      <c r="L116" s="376">
        <f>(L115*'No change with year'!$AH$14)</f>
        <v>1602400</v>
      </c>
      <c r="M116" s="376">
        <f>(M115*'No change with year'!$AH$14)</f>
        <v>1636000</v>
      </c>
      <c r="N116" s="376">
        <f>(N115*'No change with year'!$AI$14)</f>
        <v>2506500.0000000005</v>
      </c>
      <c r="O116" s="376">
        <f>(O115*'No change with year'!$AI$14)</f>
        <v>2561700.0000000005</v>
      </c>
      <c r="P116" s="376">
        <f>(P115*'No change with year'!$AI$14)</f>
        <v>2619300.0000000005</v>
      </c>
      <c r="Q116" s="376">
        <f>(Q115*'No change with year'!$AI$14)</f>
        <v>2679300.0000000005</v>
      </c>
      <c r="R116" s="376">
        <f>(R115*'No change with year'!$AI$14)</f>
        <v>2742000.0000000005</v>
      </c>
      <c r="S116" s="376">
        <f>(S115*'No change with year'!$AI$14)</f>
        <v>2819400.0000000005</v>
      </c>
      <c r="T116" s="376">
        <f>(T115*'No change with year'!$AI$14)</f>
        <v>2898900.0000000005</v>
      </c>
      <c r="U116" s="376">
        <f>(U115*'No change with year'!$AI$14)</f>
        <v>2980800.0000000005</v>
      </c>
      <c r="V116" s="376">
        <f>(V115*'No change with year'!$AI$14)</f>
        <v>3065400.0000000005</v>
      </c>
      <c r="W116" s="376">
        <f>(W115*'No change with year'!$AI$14)</f>
        <v>3152100.0000000005</v>
      </c>
      <c r="X116" s="376">
        <f>(X115*'No change with year'!$AJ$14)</f>
        <v>3782099.9999999995</v>
      </c>
      <c r="Y116" s="376">
        <f>(Y115*'No change with year'!$AJ$14)</f>
        <v>3889199.9999999995</v>
      </c>
      <c r="Z116" s="376">
        <f>(Z115*'No change with year'!$AJ$14)</f>
        <v>3999799.9999999995</v>
      </c>
      <c r="AA116" s="376">
        <f>(AA115*'No change with year'!$AJ$14)</f>
        <v>4113899.9999999995</v>
      </c>
      <c r="AB116" s="376">
        <f>(AB115*'No change with year'!$AJ$14)</f>
        <v>4231150</v>
      </c>
      <c r="AC116" s="376">
        <f>(AC115*'No change with year'!$AJ$14)</f>
        <v>4351550</v>
      </c>
      <c r="AD116" s="376">
        <f>(AD115*'No change with year'!$AJ$14)</f>
        <v>4475800</v>
      </c>
      <c r="AE116" s="376">
        <f>(AE115*'No change with year'!$AJ$14)</f>
        <v>4603550</v>
      </c>
      <c r="AF116" s="376">
        <f>(AF115*'No change with year'!$AJ$14)</f>
        <v>4735500</v>
      </c>
      <c r="AG116" s="376">
        <f>(AG115*'No change with year'!$AJ$14)</f>
        <v>4870950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41">-PMT($C$26,$C$25,C115)</f>
        <v>1441575.5844952504</v>
      </c>
      <c r="D118" s="376">
        <f t="shared" si="41"/>
        <v>1457132.9437442492</v>
      </c>
      <c r="E118" s="376">
        <f t="shared" si="41"/>
        <v>1474662.3626163604</v>
      </c>
      <c r="F118" s="376">
        <f t="shared" si="41"/>
        <v>1493944.723375683</v>
      </c>
      <c r="G118" s="376">
        <f t="shared" si="41"/>
        <v>1514980.0260222165</v>
      </c>
      <c r="H118" s="376">
        <f t="shared" si="41"/>
        <v>1625415.3649165174</v>
      </c>
      <c r="I118" s="376">
        <f t="shared" si="41"/>
        <v>1655434.4947350081</v>
      </c>
      <c r="J118" s="376">
        <f t="shared" si="41"/>
        <v>1687206.5664407096</v>
      </c>
      <c r="K118" s="376">
        <f t="shared" si="41"/>
        <v>1720512.4622977211</v>
      </c>
      <c r="L118" s="376">
        <f t="shared" si="41"/>
        <v>1755571.3000419438</v>
      </c>
      <c r="M118" s="376">
        <f t="shared" si="41"/>
        <v>1792383.0796733773</v>
      </c>
      <c r="N118" s="376">
        <f t="shared" si="41"/>
        <v>1830728.6834561205</v>
      </c>
      <c r="O118" s="376">
        <f t="shared" si="41"/>
        <v>1871046.3468619767</v>
      </c>
      <c r="P118" s="376">
        <f t="shared" si="41"/>
        <v>1913116.9521550438</v>
      </c>
      <c r="Q118" s="376">
        <f t="shared" si="41"/>
        <v>1956940.4993353218</v>
      </c>
      <c r="R118" s="376">
        <f t="shared" si="41"/>
        <v>2002736.1061387125</v>
      </c>
      <c r="S118" s="376">
        <f t="shared" si="41"/>
        <v>2059268.4820012713</v>
      </c>
      <c r="T118" s="376">
        <f t="shared" si="41"/>
        <v>2117334.6820151401</v>
      </c>
      <c r="U118" s="376">
        <f t="shared" si="41"/>
        <v>2177153.8239162196</v>
      </c>
      <c r="V118" s="376">
        <f t="shared" si="41"/>
        <v>2238945.0254404116</v>
      </c>
      <c r="W118" s="376">
        <f t="shared" si="41"/>
        <v>2302270.0511159138</v>
      </c>
      <c r="X118" s="376">
        <f t="shared" si="41"/>
        <v>2367786.2541504297</v>
      </c>
      <c r="Y118" s="376">
        <f t="shared" si="41"/>
        <v>2434836.2813362554</v>
      </c>
      <c r="Z118" s="376">
        <f t="shared" si="41"/>
        <v>2504077.4858810948</v>
      </c>
      <c r="AA118" s="376">
        <f t="shared" si="41"/>
        <v>2575509.8677849481</v>
      </c>
      <c r="AB118" s="376">
        <f t="shared" si="41"/>
        <v>2648914.3093119143</v>
      </c>
      <c r="AC118" s="376">
        <f t="shared" si="41"/>
        <v>2724290.8104619929</v>
      </c>
      <c r="AD118" s="376">
        <f t="shared" si="41"/>
        <v>2802077.6067069867</v>
      </c>
      <c r="AE118" s="376">
        <f t="shared" si="41"/>
        <v>2882055.5803109943</v>
      </c>
      <c r="AF118" s="376">
        <f t="shared" si="41"/>
        <v>2964662.9667458185</v>
      </c>
      <c r="AG118" s="376">
        <f t="shared" si="41"/>
        <v>3049461.530539657</v>
      </c>
    </row>
    <row r="119" spans="1:34">
      <c r="A119" s="300" t="s">
        <v>321</v>
      </c>
      <c r="B119" s="368" t="s">
        <v>313</v>
      </c>
      <c r="C119" s="376">
        <f t="shared" ref="C119:AG119" si="42">$F$36*C50</f>
        <v>8880000</v>
      </c>
      <c r="D119" s="376">
        <f t="shared" si="42"/>
        <v>8797538.461538462</v>
      </c>
      <c r="E119" s="376">
        <f t="shared" si="42"/>
        <v>8723304.6153846141</v>
      </c>
      <c r="F119" s="376">
        <f t="shared" si="42"/>
        <v>8657115.0153846163</v>
      </c>
      <c r="G119" s="376">
        <f t="shared" si="42"/>
        <v>8598795.0541538466</v>
      </c>
      <c r="H119" s="376">
        <f t="shared" si="42"/>
        <v>8548178.6819138471</v>
      </c>
      <c r="I119" s="376">
        <f t="shared" si="42"/>
        <v>8039077.8147566766</v>
      </c>
      <c r="J119" s="376">
        <f t="shared" si="42"/>
        <v>7771138.9828250566</v>
      </c>
      <c r="K119" s="376">
        <f t="shared" si="42"/>
        <v>7512111.9574631713</v>
      </c>
      <c r="L119" s="376">
        <f t="shared" si="42"/>
        <v>7261660.4066244168</v>
      </c>
      <c r="M119" s="376">
        <f t="shared" si="42"/>
        <v>7019461.9496857245</v>
      </c>
      <c r="N119" s="376">
        <f t="shared" si="42"/>
        <v>6785207.5413141949</v>
      </c>
      <c r="O119" s="376">
        <f t="shared" si="42"/>
        <v>6558600.8836382441</v>
      </c>
      <c r="P119" s="376">
        <f t="shared" si="42"/>
        <v>6339357.8653902905</v>
      </c>
      <c r="Q119" s="376">
        <f t="shared" si="42"/>
        <v>6127206.0267517436</v>
      </c>
      <c r="R119" s="376">
        <f t="shared" si="42"/>
        <v>5921884.0486918371</v>
      </c>
      <c r="S119" s="376">
        <f t="shared" si="42"/>
        <v>5467576.715533983</v>
      </c>
      <c r="T119" s="376">
        <f t="shared" si="42"/>
        <v>5312328.2094712649</v>
      </c>
      <c r="U119" s="376">
        <f t="shared" si="42"/>
        <v>5162604.4979508612</v>
      </c>
      <c r="V119" s="376">
        <f t="shared" si="42"/>
        <v>5018166.7919925572</v>
      </c>
      <c r="W119" s="376">
        <f t="shared" si="42"/>
        <v>4878787.4153245036</v>
      </c>
      <c r="X119" s="376">
        <f t="shared" si="42"/>
        <v>4744249.2705821972</v>
      </c>
      <c r="Y119" s="376">
        <f t="shared" si="42"/>
        <v>4614345.3315721611</v>
      </c>
      <c r="Z119" s="376">
        <f t="shared" si="42"/>
        <v>4488878.1603155555</v>
      </c>
      <c r="AA119" s="376">
        <f t="shared" si="42"/>
        <v>4367659.4476506189</v>
      </c>
      <c r="AB119" s="376">
        <f t="shared" si="42"/>
        <v>4250509.5762334019</v>
      </c>
      <c r="AC119" s="376">
        <f t="shared" si="42"/>
        <v>4107688.7162248376</v>
      </c>
      <c r="AD119" s="376">
        <f t="shared" si="42"/>
        <v>4121845.6072616833</v>
      </c>
      <c r="AE119" s="376">
        <f t="shared" si="42"/>
        <v>4140812.0233321246</v>
      </c>
      <c r="AF119" s="376">
        <f t="shared" si="42"/>
        <v>4164510.6918496806</v>
      </c>
      <c r="AG119" s="376">
        <f t="shared" si="42"/>
        <v>4192871.7785603101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844800.00000000012</v>
      </c>
      <c r="D120" s="376">
        <f t="shared" si="43"/>
        <v>878592.00000000012</v>
      </c>
      <c r="E120" s="376">
        <f t="shared" si="43"/>
        <v>913735.68000000017</v>
      </c>
      <c r="F120" s="376">
        <f t="shared" si="43"/>
        <v>950285.10720000009</v>
      </c>
      <c r="G120" s="376">
        <f t="shared" si="43"/>
        <v>988296.51148800028</v>
      </c>
      <c r="H120" s="376">
        <f t="shared" si="43"/>
        <v>1027828.3719475202</v>
      </c>
      <c r="I120" s="376">
        <f t="shared" si="43"/>
        <v>1068941.5068254212</v>
      </c>
      <c r="J120" s="376">
        <f t="shared" si="43"/>
        <v>1111699.1670984379</v>
      </c>
      <c r="K120" s="376">
        <f t="shared" si="43"/>
        <v>1156167.1337823754</v>
      </c>
      <c r="L120" s="376">
        <f t="shared" si="43"/>
        <v>1202413.8191336705</v>
      </c>
      <c r="M120" s="376">
        <f t="shared" si="43"/>
        <v>1250510.3718990174</v>
      </c>
      <c r="N120" s="376">
        <f t="shared" si="43"/>
        <v>1300530.7867749783</v>
      </c>
      <c r="O120" s="376">
        <f t="shared" si="43"/>
        <v>1352552.0182459773</v>
      </c>
      <c r="P120" s="376">
        <f t="shared" si="43"/>
        <v>1406654.0989758165</v>
      </c>
      <c r="Q120" s="376">
        <f t="shared" si="43"/>
        <v>1462920.2629348491</v>
      </c>
      <c r="R120" s="376">
        <f t="shared" si="43"/>
        <v>1521437.0734522433</v>
      </c>
      <c r="S120" s="376">
        <f t="shared" si="43"/>
        <v>1582294.5563903332</v>
      </c>
      <c r="T120" s="376">
        <f t="shared" si="43"/>
        <v>1645586.3386459465</v>
      </c>
      <c r="U120" s="376">
        <f t="shared" si="43"/>
        <v>1711409.7921917844</v>
      </c>
      <c r="V120" s="376">
        <f t="shared" si="43"/>
        <v>1779866.1838794558</v>
      </c>
      <c r="W120" s="376">
        <f t="shared" si="43"/>
        <v>1851060.8312346342</v>
      </c>
      <c r="X120" s="376">
        <f t="shared" si="43"/>
        <v>1925103.2644840195</v>
      </c>
      <c r="Y120" s="376">
        <f t="shared" si="43"/>
        <v>2002107.3950633805</v>
      </c>
      <c r="Z120" s="376">
        <f t="shared" si="43"/>
        <v>2082191.6908659157</v>
      </c>
      <c r="AA120" s="376">
        <f t="shared" si="43"/>
        <v>2165479.3585005524</v>
      </c>
      <c r="AB120" s="376">
        <f t="shared" si="43"/>
        <v>2252098.5328405746</v>
      </c>
      <c r="AC120" s="376">
        <f t="shared" si="43"/>
        <v>2342182.4741541976</v>
      </c>
      <c r="AD120" s="376">
        <f t="shared" si="43"/>
        <v>2435869.7731203656</v>
      </c>
      <c r="AE120" s="376">
        <f t="shared" si="43"/>
        <v>2533304.5640451801</v>
      </c>
      <c r="AF120" s="376">
        <f t="shared" si="43"/>
        <v>2634636.7466069874</v>
      </c>
      <c r="AG120" s="376">
        <f t="shared" si="43"/>
        <v>2740022.2164712669</v>
      </c>
    </row>
    <row r="121" spans="1:34">
      <c r="A121" s="368" t="s">
        <v>318</v>
      </c>
      <c r="B121" s="368" t="s">
        <v>313</v>
      </c>
      <c r="C121" s="376">
        <f>'Changing with year'!C295</f>
        <v>600000</v>
      </c>
      <c r="D121" s="376">
        <f>'Changing with year'!D295</f>
        <v>627000</v>
      </c>
      <c r="E121" s="376">
        <f>'Changing with year'!E295</f>
        <v>655000</v>
      </c>
      <c r="F121" s="376">
        <f>'Changing with year'!F295</f>
        <v>684000</v>
      </c>
      <c r="G121" s="376">
        <f>'Changing with year'!G295</f>
        <v>715000</v>
      </c>
      <c r="H121" s="376">
        <f>'Changing with year'!H295</f>
        <v>747000</v>
      </c>
      <c r="I121" s="376">
        <f>'Changing with year'!I295</f>
        <v>781000</v>
      </c>
      <c r="J121" s="376">
        <f>'Changing with year'!J295</f>
        <v>816000</v>
      </c>
      <c r="K121" s="376">
        <f>'Changing with year'!K295</f>
        <v>853000</v>
      </c>
      <c r="L121" s="376">
        <f>'Changing with year'!L295</f>
        <v>891000</v>
      </c>
      <c r="M121" s="376">
        <f>'Changing with year'!M295</f>
        <v>931000</v>
      </c>
      <c r="N121" s="376">
        <f>'Changing with year'!N295</f>
        <v>973000</v>
      </c>
      <c r="O121" s="376">
        <f>'Changing with year'!O295</f>
        <v>1017000</v>
      </c>
      <c r="P121" s="376">
        <f>'Changing with year'!P295</f>
        <v>1063000</v>
      </c>
      <c r="Q121" s="376">
        <f>'Changing with year'!Q295</f>
        <v>1111000</v>
      </c>
      <c r="R121" s="376">
        <f>'Changing with year'!R295</f>
        <v>1161000</v>
      </c>
      <c r="S121" s="376">
        <f>'Changing with year'!S295</f>
        <v>1213000</v>
      </c>
      <c r="T121" s="376">
        <f>'Changing with year'!T295</f>
        <v>1268000</v>
      </c>
      <c r="U121" s="376">
        <f>'Changing with year'!U295</f>
        <v>1325000</v>
      </c>
      <c r="V121" s="376">
        <f>'Changing with year'!V295</f>
        <v>1385000</v>
      </c>
      <c r="W121" s="376">
        <f>'Changing with year'!W295</f>
        <v>1447000</v>
      </c>
      <c r="X121" s="376">
        <f>'Changing with year'!X295</f>
        <v>1512000</v>
      </c>
      <c r="Y121" s="376">
        <f>'Changing with year'!Y295</f>
        <v>1580000</v>
      </c>
      <c r="Z121" s="376">
        <f>'Changing with year'!Z295</f>
        <v>1651000</v>
      </c>
      <c r="AA121" s="376">
        <f>'Changing with year'!AA295</f>
        <v>1725000</v>
      </c>
      <c r="AB121" s="376">
        <f>'Changing with year'!AB295</f>
        <v>1803000</v>
      </c>
      <c r="AC121" s="376">
        <f>'Changing with year'!AC295</f>
        <v>1884000</v>
      </c>
      <c r="AD121" s="376">
        <f>'Changing with year'!AD295</f>
        <v>1969000</v>
      </c>
      <c r="AE121" s="376">
        <f>'Changing with year'!AE295</f>
        <v>2058000</v>
      </c>
      <c r="AF121" s="376">
        <f>'Changing with year'!AF295</f>
        <v>2151000</v>
      </c>
      <c r="AG121" s="376">
        <f>'Changing with year'!AG295</f>
        <v>2248000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4">C61</f>
        <v>864000</v>
      </c>
      <c r="D122" s="376">
        <f t="shared" si="44"/>
        <v>872640</v>
      </c>
      <c r="E122" s="376">
        <f t="shared" si="44"/>
        <v>881366.4</v>
      </c>
      <c r="F122" s="376">
        <f t="shared" si="44"/>
        <v>890180.06399999978</v>
      </c>
      <c r="G122" s="376">
        <f t="shared" si="44"/>
        <v>899081.86464000004</v>
      </c>
      <c r="H122" s="376">
        <f t="shared" si="44"/>
        <v>908072.68328640005</v>
      </c>
      <c r="I122" s="376">
        <f t="shared" si="44"/>
        <v>917153.41011926392</v>
      </c>
      <c r="J122" s="376">
        <f t="shared" si="44"/>
        <v>926324.94422045664</v>
      </c>
      <c r="K122" s="376">
        <f t="shared" si="44"/>
        <v>935588.19366266136</v>
      </c>
      <c r="L122" s="376">
        <f t="shared" si="44"/>
        <v>944944.0755992881</v>
      </c>
      <c r="M122" s="376">
        <f t="shared" si="44"/>
        <v>954393.51635528088</v>
      </c>
      <c r="N122" s="376">
        <f t="shared" si="44"/>
        <v>963937.45151883364</v>
      </c>
      <c r="O122" s="376">
        <f t="shared" si="44"/>
        <v>973576.82603402203</v>
      </c>
      <c r="P122" s="376">
        <f t="shared" si="44"/>
        <v>983312.59429436235</v>
      </c>
      <c r="Q122" s="376">
        <f t="shared" si="44"/>
        <v>993145.72023730609</v>
      </c>
      <c r="R122" s="376">
        <f t="shared" si="44"/>
        <v>1003077.1774396792</v>
      </c>
      <c r="S122" s="376">
        <f t="shared" si="44"/>
        <v>1013107.949214076</v>
      </c>
      <c r="T122" s="376">
        <f t="shared" si="44"/>
        <v>1023239.0287062167</v>
      </c>
      <c r="U122" s="376">
        <f t="shared" si="44"/>
        <v>1033471.4189932789</v>
      </c>
      <c r="V122" s="376">
        <f t="shared" si="44"/>
        <v>1043806.1331832118</v>
      </c>
      <c r="W122" s="376">
        <f t="shared" si="44"/>
        <v>1054244.1945150439</v>
      </c>
      <c r="X122" s="376">
        <f t="shared" si="44"/>
        <v>1064786.6364601944</v>
      </c>
      <c r="Y122" s="376">
        <f t="shared" si="44"/>
        <v>1075434.5028247964</v>
      </c>
      <c r="Z122" s="376">
        <f t="shared" si="44"/>
        <v>1086188.8478530445</v>
      </c>
      <c r="AA122" s="376">
        <f t="shared" si="44"/>
        <v>1097050.7363315746</v>
      </c>
      <c r="AB122" s="376">
        <f t="shared" si="44"/>
        <v>1108021.2436948905</v>
      </c>
      <c r="AC122" s="376">
        <f t="shared" si="44"/>
        <v>1119101.4561318394</v>
      </c>
      <c r="AD122" s="376">
        <f t="shared" si="44"/>
        <v>1130292.470693158</v>
      </c>
      <c r="AE122" s="376">
        <f t="shared" si="44"/>
        <v>1141595.3954000894</v>
      </c>
      <c r="AF122" s="376">
        <f t="shared" si="44"/>
        <v>1153011.3493540904</v>
      </c>
      <c r="AG122" s="376">
        <f t="shared" si="44"/>
        <v>1164541.4628476314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131580</v>
      </c>
      <c r="D123" s="376">
        <f t="shared" si="45"/>
        <v>133000</v>
      </c>
      <c r="E123" s="376">
        <f t="shared" si="45"/>
        <v>134600</v>
      </c>
      <c r="F123" s="376">
        <f t="shared" si="45"/>
        <v>136360</v>
      </c>
      <c r="G123" s="376">
        <f t="shared" si="45"/>
        <v>138280</v>
      </c>
      <c r="H123" s="376">
        <f t="shared" si="45"/>
        <v>148360</v>
      </c>
      <c r="I123" s="376">
        <f t="shared" si="45"/>
        <v>151100</v>
      </c>
      <c r="J123" s="376">
        <f t="shared" si="45"/>
        <v>154000</v>
      </c>
      <c r="K123" s="376">
        <f t="shared" si="45"/>
        <v>157040</v>
      </c>
      <c r="L123" s="376">
        <f t="shared" si="45"/>
        <v>160240</v>
      </c>
      <c r="M123" s="376">
        <f t="shared" si="45"/>
        <v>163600</v>
      </c>
      <c r="N123" s="376">
        <f t="shared" si="45"/>
        <v>167100</v>
      </c>
      <c r="O123" s="376">
        <f t="shared" si="45"/>
        <v>170780</v>
      </c>
      <c r="P123" s="376">
        <f t="shared" si="45"/>
        <v>174620</v>
      </c>
      <c r="Q123" s="376">
        <f t="shared" si="45"/>
        <v>178620</v>
      </c>
      <c r="R123" s="376">
        <f t="shared" si="45"/>
        <v>182800</v>
      </c>
      <c r="S123" s="376">
        <f t="shared" si="45"/>
        <v>187960</v>
      </c>
      <c r="T123" s="376">
        <f t="shared" si="45"/>
        <v>193260</v>
      </c>
      <c r="U123" s="376">
        <f t="shared" si="45"/>
        <v>198720</v>
      </c>
      <c r="V123" s="376">
        <f t="shared" si="45"/>
        <v>204360</v>
      </c>
      <c r="W123" s="376">
        <f t="shared" si="45"/>
        <v>210140</v>
      </c>
      <c r="X123" s="376">
        <f t="shared" si="45"/>
        <v>216120</v>
      </c>
      <c r="Y123" s="376">
        <f t="shared" si="45"/>
        <v>222240</v>
      </c>
      <c r="Z123" s="376">
        <f t="shared" si="45"/>
        <v>228560</v>
      </c>
      <c r="AA123" s="376">
        <f t="shared" si="45"/>
        <v>235080</v>
      </c>
      <c r="AB123" s="376">
        <f t="shared" si="45"/>
        <v>241780</v>
      </c>
      <c r="AC123" s="376">
        <f t="shared" si="45"/>
        <v>248660</v>
      </c>
      <c r="AD123" s="376">
        <f t="shared" si="45"/>
        <v>255760</v>
      </c>
      <c r="AE123" s="376">
        <f t="shared" si="45"/>
        <v>263060</v>
      </c>
      <c r="AF123" s="376">
        <f t="shared" si="45"/>
        <v>270600</v>
      </c>
      <c r="AG123" s="376">
        <f t="shared" si="45"/>
        <v>278340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15.016412338492191</v>
      </c>
      <c r="D125" s="379">
        <f t="shared" si="46"/>
        <v>15.178468164002595</v>
      </c>
      <c r="E125" s="379">
        <f t="shared" si="46"/>
        <v>15.361066277253755</v>
      </c>
      <c r="F125" s="379">
        <f t="shared" si="46"/>
        <v>15.561924201830031</v>
      </c>
      <c r="G125" s="379">
        <f t="shared" si="46"/>
        <v>15.781041937731421</v>
      </c>
      <c r="H125" s="379">
        <f t="shared" si="46"/>
        <v>16.931410051213724</v>
      </c>
      <c r="I125" s="379">
        <f t="shared" si="46"/>
        <v>17.244109320156333</v>
      </c>
      <c r="J125" s="379">
        <f t="shared" si="46"/>
        <v>17.575068400424058</v>
      </c>
      <c r="K125" s="379">
        <f t="shared" si="46"/>
        <v>17.922004815601262</v>
      </c>
      <c r="L125" s="379">
        <f t="shared" si="46"/>
        <v>18.287201042103582</v>
      </c>
      <c r="M125" s="379">
        <f t="shared" si="46"/>
        <v>18.670657079931015</v>
      </c>
      <c r="N125" s="379">
        <f t="shared" si="46"/>
        <v>19.070090452667923</v>
      </c>
      <c r="O125" s="379">
        <f t="shared" si="46"/>
        <v>19.490066113145591</v>
      </c>
      <c r="P125" s="379">
        <f t="shared" si="46"/>
        <v>19.928301584948372</v>
      </c>
      <c r="Q125" s="379">
        <f t="shared" si="46"/>
        <v>20.384796868076268</v>
      </c>
      <c r="R125" s="379">
        <f t="shared" si="46"/>
        <v>20.861834438944921</v>
      </c>
      <c r="S125" s="379">
        <f t="shared" si="46"/>
        <v>21.450713354179911</v>
      </c>
      <c r="T125" s="379">
        <f t="shared" si="46"/>
        <v>22.055569604324376</v>
      </c>
      <c r="U125" s="379">
        <f t="shared" si="46"/>
        <v>22.678685665793953</v>
      </c>
      <c r="V125" s="379">
        <f t="shared" si="46"/>
        <v>23.322344015004287</v>
      </c>
      <c r="W125" s="379">
        <f t="shared" si="46"/>
        <v>23.981979699124103</v>
      </c>
      <c r="X125" s="379">
        <f t="shared" si="46"/>
        <v>24.66444014740031</v>
      </c>
      <c r="Y125" s="379">
        <f t="shared" si="46"/>
        <v>25.362877930585995</v>
      </c>
      <c r="Z125" s="379">
        <f t="shared" si="46"/>
        <v>26.08414047792807</v>
      </c>
      <c r="AA125" s="379">
        <f t="shared" si="46"/>
        <v>26.828227789426542</v>
      </c>
      <c r="AB125" s="379">
        <f t="shared" si="46"/>
        <v>27.592857388665774</v>
      </c>
      <c r="AC125" s="379">
        <f t="shared" si="46"/>
        <v>28.378029275645758</v>
      </c>
      <c r="AD125" s="379">
        <f t="shared" si="46"/>
        <v>29.188308403197777</v>
      </c>
      <c r="AE125" s="379">
        <f t="shared" si="46"/>
        <v>30.021412294906192</v>
      </c>
      <c r="AF125" s="379">
        <f t="shared" si="46"/>
        <v>30.881905903602277</v>
      </c>
      <c r="AG125" s="379">
        <f t="shared" si="46"/>
        <v>31.765224276454759</v>
      </c>
    </row>
    <row r="126" spans="1:34">
      <c r="A126" s="300" t="s">
        <v>321</v>
      </c>
      <c r="B126" s="300" t="s">
        <v>300</v>
      </c>
      <c r="C126" s="379">
        <f t="shared" si="46"/>
        <v>92.5</v>
      </c>
      <c r="D126" s="379">
        <f t="shared" si="46"/>
        <v>91.641025641025649</v>
      </c>
      <c r="E126" s="379">
        <f t="shared" si="46"/>
        <v>90.867756410256391</v>
      </c>
      <c r="F126" s="379">
        <f t="shared" si="46"/>
        <v>90.178281410256417</v>
      </c>
      <c r="G126" s="379">
        <f t="shared" si="46"/>
        <v>89.570781814102574</v>
      </c>
      <c r="H126" s="379">
        <f t="shared" si="46"/>
        <v>89.043527936602572</v>
      </c>
      <c r="I126" s="379">
        <f t="shared" si="46"/>
        <v>83.740393903715386</v>
      </c>
      <c r="J126" s="379">
        <f t="shared" si="46"/>
        <v>80.949364404427669</v>
      </c>
      <c r="K126" s="379">
        <f t="shared" si="46"/>
        <v>78.2511662235747</v>
      </c>
      <c r="L126" s="379">
        <f t="shared" si="46"/>
        <v>75.642295902337679</v>
      </c>
      <c r="M126" s="379">
        <f t="shared" si="46"/>
        <v>73.119395309226292</v>
      </c>
      <c r="N126" s="379">
        <f t="shared" si="46"/>
        <v>70.679245222022857</v>
      </c>
      <c r="O126" s="379">
        <f t="shared" si="46"/>
        <v>68.31875920456504</v>
      </c>
      <c r="P126" s="379">
        <f t="shared" si="46"/>
        <v>66.034977764482193</v>
      </c>
      <c r="Q126" s="379">
        <f t="shared" si="46"/>
        <v>63.825062778663998</v>
      </c>
      <c r="R126" s="379">
        <f t="shared" si="46"/>
        <v>61.686292173873305</v>
      </c>
      <c r="S126" s="379">
        <f t="shared" si="46"/>
        <v>56.953924120145658</v>
      </c>
      <c r="T126" s="379">
        <f t="shared" si="46"/>
        <v>55.336752181992345</v>
      </c>
      <c r="U126" s="379">
        <f t="shared" si="46"/>
        <v>53.777130186988138</v>
      </c>
      <c r="V126" s="379">
        <f t="shared" si="46"/>
        <v>52.272570749922473</v>
      </c>
      <c r="W126" s="379">
        <f t="shared" si="46"/>
        <v>50.820702242963577</v>
      </c>
      <c r="X126" s="379">
        <f t="shared" si="46"/>
        <v>49.41926323523122</v>
      </c>
      <c r="Y126" s="379">
        <f t="shared" si="46"/>
        <v>48.06609720387668</v>
      </c>
      <c r="Z126" s="379">
        <f t="shared" si="46"/>
        <v>46.759147503287039</v>
      </c>
      <c r="AA126" s="379">
        <f t="shared" si="46"/>
        <v>45.496452579693944</v>
      </c>
      <c r="AB126" s="379">
        <f t="shared" si="46"/>
        <v>44.276141419097939</v>
      </c>
      <c r="AC126" s="379">
        <f t="shared" si="46"/>
        <v>42.788424127342061</v>
      </c>
      <c r="AD126" s="379">
        <f t="shared" si="46"/>
        <v>42.935891742309202</v>
      </c>
      <c r="AE126" s="379">
        <f t="shared" si="46"/>
        <v>43.133458576376299</v>
      </c>
      <c r="AF126" s="379">
        <f t="shared" si="46"/>
        <v>43.380319706767509</v>
      </c>
      <c r="AG126" s="379">
        <f t="shared" si="46"/>
        <v>43.675747693336561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25.420625000000001</v>
      </c>
      <c r="D127" s="379">
        <f t="shared" si="47"/>
        <v>26.158666666666665</v>
      </c>
      <c r="E127" s="379">
        <f t="shared" si="47"/>
        <v>26.92398</v>
      </c>
      <c r="F127" s="379">
        <f t="shared" si="47"/>
        <v>27.716928866666663</v>
      </c>
      <c r="G127" s="379">
        <f t="shared" si="47"/>
        <v>28.548524751333336</v>
      </c>
      <c r="H127" s="379">
        <f t="shared" si="47"/>
        <v>29.492302658686668</v>
      </c>
      <c r="I127" s="379">
        <f t="shared" si="47"/>
        <v>30.397863718173806</v>
      </c>
      <c r="J127" s="379">
        <f t="shared" si="47"/>
        <v>31.333584492905153</v>
      </c>
      <c r="K127" s="379">
        <f t="shared" si="47"/>
        <v>32.310367994219135</v>
      </c>
      <c r="L127" s="379">
        <f t="shared" si="47"/>
        <v>33.318728070134988</v>
      </c>
      <c r="M127" s="379">
        <f t="shared" si="47"/>
        <v>34.3698321693156</v>
      </c>
      <c r="N127" s="379">
        <f t="shared" si="47"/>
        <v>35.464252482227202</v>
      </c>
      <c r="O127" s="379">
        <f t="shared" si="47"/>
        <v>36.603217127916658</v>
      </c>
      <c r="P127" s="379">
        <f t="shared" si="47"/>
        <v>37.787361388231034</v>
      </c>
      <c r="Q127" s="379">
        <f t="shared" si="47"/>
        <v>39.017562324709949</v>
      </c>
      <c r="R127" s="379">
        <f t="shared" si="47"/>
        <v>40.294940113457528</v>
      </c>
      <c r="S127" s="379">
        <f t="shared" si="47"/>
        <v>41.628776100045926</v>
      </c>
      <c r="T127" s="379">
        <f t="shared" si="47"/>
        <v>43.021722576585027</v>
      </c>
      <c r="U127" s="379">
        <f t="shared" si="47"/>
        <v>44.464595949844409</v>
      </c>
      <c r="V127" s="379">
        <f t="shared" si="47"/>
        <v>45.969086636069456</v>
      </c>
      <c r="W127" s="379">
        <f t="shared" si="47"/>
        <v>47.525469018225813</v>
      </c>
      <c r="X127" s="379">
        <f t="shared" si="47"/>
        <v>49.145936468168898</v>
      </c>
      <c r="Y127" s="379">
        <f t="shared" si="47"/>
        <v>50.831061436335176</v>
      </c>
      <c r="Z127" s="379">
        <f t="shared" si="47"/>
        <v>52.582713944989166</v>
      </c>
      <c r="AA127" s="379">
        <f t="shared" si="47"/>
        <v>54.402188487834657</v>
      </c>
      <c r="AB127" s="379">
        <f t="shared" si="47"/>
        <v>56.301039338911096</v>
      </c>
      <c r="AC127" s="379">
        <f t="shared" si="47"/>
        <v>58.270249273812887</v>
      </c>
      <c r="AD127" s="379">
        <f t="shared" si="47"/>
        <v>60.322106706390876</v>
      </c>
      <c r="AE127" s="379">
        <f t="shared" si="47"/>
        <v>62.457916244221551</v>
      </c>
      <c r="AF127" s="379">
        <f t="shared" si="47"/>
        <v>64.679667666261224</v>
      </c>
      <c r="AG127" s="379">
        <f t="shared" si="47"/>
        <v>66.988579992905187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1.9580357142857143</v>
      </c>
      <c r="D128" s="379">
        <f t="shared" si="48"/>
        <v>1.9791666666666667</v>
      </c>
      <c r="E128" s="379">
        <f t="shared" si="48"/>
        <v>2.0029761904761907</v>
      </c>
      <c r="F128" s="379">
        <f t="shared" si="48"/>
        <v>2.0291666666666668</v>
      </c>
      <c r="G128" s="379">
        <f t="shared" si="48"/>
        <v>2.0577380952380953</v>
      </c>
      <c r="H128" s="379">
        <f t="shared" si="48"/>
        <v>2.2077380952380952</v>
      </c>
      <c r="I128" s="379">
        <f t="shared" si="48"/>
        <v>2.2485119047619047</v>
      </c>
      <c r="J128" s="379">
        <f t="shared" si="48"/>
        <v>2.2916666666666665</v>
      </c>
      <c r="K128" s="379">
        <f t="shared" si="48"/>
        <v>2.336904761904762</v>
      </c>
      <c r="L128" s="379">
        <f t="shared" si="48"/>
        <v>2.3845238095238095</v>
      </c>
      <c r="M128" s="379">
        <f t="shared" si="48"/>
        <v>2.4345238095238093</v>
      </c>
      <c r="N128" s="379">
        <f t="shared" si="48"/>
        <v>3.7299107142857149</v>
      </c>
      <c r="O128" s="379">
        <f t="shared" si="48"/>
        <v>3.8120535714285722</v>
      </c>
      <c r="P128" s="379">
        <f t="shared" si="48"/>
        <v>3.897767857142858</v>
      </c>
      <c r="Q128" s="379">
        <f t="shared" si="48"/>
        <v>3.987053571428572</v>
      </c>
      <c r="R128" s="379">
        <f t="shared" si="48"/>
        <v>4.0803571428571432</v>
      </c>
      <c r="S128" s="379">
        <f t="shared" si="48"/>
        <v>4.1955357142857146</v>
      </c>
      <c r="T128" s="379">
        <f t="shared" si="48"/>
        <v>4.3138392857142867</v>
      </c>
      <c r="U128" s="379">
        <f t="shared" si="48"/>
        <v>4.4357142857142868</v>
      </c>
      <c r="V128" s="379">
        <f t="shared" si="48"/>
        <v>4.5616071428571434</v>
      </c>
      <c r="W128" s="379">
        <f t="shared" si="48"/>
        <v>4.6906250000000007</v>
      </c>
      <c r="X128" s="379">
        <f t="shared" si="48"/>
        <v>5.6281249999999989</v>
      </c>
      <c r="Y128" s="379">
        <f t="shared" si="48"/>
        <v>5.7874999999999996</v>
      </c>
      <c r="Z128" s="379">
        <f t="shared" si="48"/>
        <v>5.9520833333333325</v>
      </c>
      <c r="AA128" s="379">
        <f t="shared" si="48"/>
        <v>6.1218749999999993</v>
      </c>
      <c r="AB128" s="379">
        <f t="shared" si="48"/>
        <v>6.2963541666666663</v>
      </c>
      <c r="AC128" s="379">
        <f t="shared" si="48"/>
        <v>6.4755208333333334</v>
      </c>
      <c r="AD128" s="379">
        <f t="shared" si="48"/>
        <v>6.6604166666666664</v>
      </c>
      <c r="AE128" s="379">
        <f t="shared" si="48"/>
        <v>6.8505208333333334</v>
      </c>
      <c r="AF128" s="379">
        <f t="shared" si="48"/>
        <v>7.046875</v>
      </c>
      <c r="AG128" s="379">
        <f t="shared" si="48"/>
        <v>7.2484374999999996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130.97900162420646</v>
      </c>
      <c r="D129" s="384">
        <f t="shared" ref="D129:AG129" si="49">SUM(D125:D127)-D128</f>
        <v>130.99899380502825</v>
      </c>
      <c r="E129" s="384">
        <f t="shared" si="49"/>
        <v>131.14982649703393</v>
      </c>
      <c r="F129" s="384">
        <f t="shared" si="49"/>
        <v>131.42796781208645</v>
      </c>
      <c r="G129" s="384">
        <f t="shared" si="49"/>
        <v>131.84261040792921</v>
      </c>
      <c r="H129" s="384">
        <f t="shared" si="49"/>
        <v>133.25950255126489</v>
      </c>
      <c r="I129" s="384">
        <f t="shared" si="49"/>
        <v>129.13385503728361</v>
      </c>
      <c r="J129" s="384">
        <f t="shared" si="49"/>
        <v>127.5663506310902</v>
      </c>
      <c r="K129" s="384">
        <f t="shared" si="49"/>
        <v>126.14663427149036</v>
      </c>
      <c r="L129" s="384">
        <f t="shared" si="49"/>
        <v>124.86370120505245</v>
      </c>
      <c r="M129" s="384">
        <f t="shared" si="49"/>
        <v>123.7253607489491</v>
      </c>
      <c r="N129" s="384">
        <f t="shared" si="49"/>
        <v>121.48367744263227</v>
      </c>
      <c r="O129" s="384">
        <f t="shared" si="49"/>
        <v>120.59998887419871</v>
      </c>
      <c r="P129" s="384">
        <f t="shared" si="49"/>
        <v>119.85287288051875</v>
      </c>
      <c r="Q129" s="384">
        <f t="shared" si="49"/>
        <v>119.24036840002164</v>
      </c>
      <c r="R129" s="384">
        <f t="shared" si="49"/>
        <v>118.76270958341861</v>
      </c>
      <c r="S129" s="384">
        <f t="shared" si="49"/>
        <v>115.83787786008578</v>
      </c>
      <c r="T129" s="384">
        <f t="shared" si="49"/>
        <v>116.10020507718748</v>
      </c>
      <c r="U129" s="384">
        <f t="shared" si="49"/>
        <v>116.48469751691222</v>
      </c>
      <c r="V129" s="384">
        <f t="shared" si="49"/>
        <v>117.00239425813906</v>
      </c>
      <c r="W129" s="384">
        <f t="shared" si="49"/>
        <v>117.63752596031348</v>
      </c>
      <c r="X129" s="384">
        <f t="shared" si="49"/>
        <v>117.60151485080043</v>
      </c>
      <c r="Y129" s="384">
        <f t="shared" si="49"/>
        <v>118.47253657079786</v>
      </c>
      <c r="Z129" s="384">
        <f t="shared" si="49"/>
        <v>119.47391859287094</v>
      </c>
      <c r="AA129" s="384">
        <f t="shared" si="49"/>
        <v>120.60499385695515</v>
      </c>
      <c r="AB129" s="384">
        <f t="shared" si="49"/>
        <v>121.87368398000815</v>
      </c>
      <c r="AC129" s="384">
        <f t="shared" si="49"/>
        <v>122.96118184346737</v>
      </c>
      <c r="AD129" s="384">
        <f t="shared" si="49"/>
        <v>125.78589018523118</v>
      </c>
      <c r="AE129" s="384">
        <f t="shared" si="49"/>
        <v>128.76226628217071</v>
      </c>
      <c r="AF129" s="384">
        <f t="shared" si="49"/>
        <v>131.89501827663099</v>
      </c>
      <c r="AG129" s="384">
        <f t="shared" si="49"/>
        <v>135.18111446269651</v>
      </c>
    </row>
    <row r="130" spans="1:34" s="344" customFormat="1">
      <c r="A130" s="342" t="s">
        <v>182</v>
      </c>
      <c r="B130" s="342"/>
      <c r="H130" s="385">
        <f>H132/H63</f>
        <v>1.7360360214966997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year'!C137)/1000,0)*1000</f>
        <v>11255000</v>
      </c>
      <c r="D132" s="376">
        <f>ROUND(('Changing with year'!D137)/1000,0)*1000</f>
        <v>11221000</v>
      </c>
      <c r="E132" s="376">
        <f>ROUND(('Changing with year'!E137)/1000,0)*1000</f>
        <v>11197000</v>
      </c>
      <c r="F132" s="376">
        <f>ROUND(('Changing with year'!F137)/1000,0)*1000</f>
        <v>10964000</v>
      </c>
      <c r="G132" s="376">
        <f>ROUND(('Changing with year'!G137)/1000,0)*1000</f>
        <v>10751000</v>
      </c>
      <c r="H132" s="376">
        <f>ROUND(('Changing with year'!H137)/1000,0)*1000</f>
        <v>10757000</v>
      </c>
      <c r="I132" s="376">
        <f>ROUND(('Changing with year'!I137)/1000,0)*1000</f>
        <v>10606000</v>
      </c>
      <c r="J132" s="376">
        <f>ROUND(('Changing with year'!J137)/1000,0)*1000</f>
        <v>10676000</v>
      </c>
      <c r="K132" s="376">
        <f>ROUND(('Changing with year'!K137)/1000,0)*1000</f>
        <v>10753000</v>
      </c>
      <c r="L132" s="376">
        <f>ROUND(('Changing with year'!L137)/1000,0)*1000</f>
        <v>10838000</v>
      </c>
      <c r="M132" s="376">
        <f>ROUND(('Changing with year'!M137)/1000,0)*1000</f>
        <v>10931000</v>
      </c>
      <c r="N132" s="376">
        <f>ROUND(('Changing with year'!N137)/1000,0)*1000</f>
        <v>11032000</v>
      </c>
      <c r="O132" s="376">
        <f>ROUND(('Changing with year'!O137)/1000,0)*1000</f>
        <v>11142000</v>
      </c>
      <c r="P132" s="376">
        <f>ROUND(('Changing with year'!P137)/1000,0)*1000</f>
        <v>11259000</v>
      </c>
      <c r="Q132" s="376">
        <f>ROUND(('Changing with year'!Q137)/1000,0)*1000</f>
        <v>11386000</v>
      </c>
      <c r="R132" s="376">
        <f>ROUND(('Changing with year'!R137)/1000,0)*1000</f>
        <v>11521000</v>
      </c>
      <c r="S132" s="376">
        <f>ROUND(('Changing with year'!S137)/1000,0)*1000</f>
        <v>11570000</v>
      </c>
      <c r="T132" s="376">
        <f>ROUND(('Changing with year'!T137)/1000,0)*1000</f>
        <v>11796000</v>
      </c>
      <c r="U132" s="376">
        <f>ROUND(('Changing with year'!U137)/1000,0)*1000</f>
        <v>12030000</v>
      </c>
      <c r="V132" s="376">
        <f>ROUND(('Changing with year'!V137)/1000,0)*1000</f>
        <v>12271000</v>
      </c>
      <c r="W132" s="376">
        <f>ROUND(('Changing with year'!W137)/1000,0)*1000</f>
        <v>12521000</v>
      </c>
      <c r="X132" s="376">
        <f>ROUND(('Changing with year'!X137)/1000,0)*1000</f>
        <v>12780000</v>
      </c>
      <c r="Y132" s="376">
        <f>ROUND(('Changing with year'!Y137)/1000,0)*1000</f>
        <v>13047000</v>
      </c>
      <c r="Z132" s="376">
        <f>ROUND(('Changing with year'!Z137)/1000,0)*1000</f>
        <v>13323000</v>
      </c>
      <c r="AA132" s="376">
        <f>ROUND(('Changing with year'!AA137)/1000,0)*1000</f>
        <v>13608000</v>
      </c>
      <c r="AB132" s="376">
        <f>ROUND(('Changing with year'!AB137)/1000,0)*1000</f>
        <v>13903000</v>
      </c>
      <c r="AC132" s="376">
        <f>ROUND(('Changing with year'!AC137)/1000,0)*1000</f>
        <v>14255000</v>
      </c>
      <c r="AD132" s="376">
        <f>ROUND(('Changing with year'!AD137)/1000,0)*1000</f>
        <v>14618000</v>
      </c>
      <c r="AE132" s="376">
        <f>ROUND(('Changing with year'!AE137)/1000,0)*1000</f>
        <v>14991000</v>
      </c>
      <c r="AF132" s="376">
        <f>ROUND(('Changing with year'!AF137)/1000,0)*1000</f>
        <v>15374000</v>
      </c>
      <c r="AG132" s="376">
        <f>ROUND(('Changing with year'!AG137)/1000,0)*1000</f>
        <v>15769000</v>
      </c>
    </row>
    <row r="133" spans="1:34">
      <c r="A133" s="368" t="s">
        <v>310</v>
      </c>
      <c r="B133" s="300" t="s">
        <v>309</v>
      </c>
      <c r="C133" s="376">
        <f>(C132*'No change with year'!$AK$15)</f>
        <v>1688250.0000000002</v>
      </c>
      <c r="D133" s="376">
        <f>(D132*'No change with year'!$AK$15)</f>
        <v>1683150.0000000002</v>
      </c>
      <c r="E133" s="376">
        <f>(E132*'No change with year'!$AK$15)</f>
        <v>1679550.0000000002</v>
      </c>
      <c r="F133" s="376">
        <f>(F132*'No change with year'!$AK$15)</f>
        <v>1644600.0000000002</v>
      </c>
      <c r="G133" s="376">
        <f>(G132*'No change with year'!$AK$15)</f>
        <v>1612650.0000000002</v>
      </c>
      <c r="H133" s="376">
        <f>(H132*'No change with year'!$AK$15)</f>
        <v>1613550.0000000002</v>
      </c>
      <c r="I133" s="376">
        <f>(I132*'No change with year'!$AK$15)</f>
        <v>1590900.0000000002</v>
      </c>
      <c r="J133" s="376">
        <f>(J132*'No change with year'!$AK$15)</f>
        <v>1601400.0000000002</v>
      </c>
      <c r="K133" s="376">
        <f>(K132*'No change with year'!$AK$15)</f>
        <v>1612950.0000000002</v>
      </c>
      <c r="L133" s="376">
        <f>(L132*'No change with year'!$AK$15)</f>
        <v>1625700.0000000002</v>
      </c>
      <c r="M133" s="376">
        <f>(M132*'No change with year'!$AK$15)</f>
        <v>1639650.0000000002</v>
      </c>
      <c r="N133" s="376">
        <f>(N132*'No change with year'!$AL$15)</f>
        <v>2758000</v>
      </c>
      <c r="O133" s="376">
        <f>(O132*'No change with year'!$AL$15)</f>
        <v>2785500</v>
      </c>
      <c r="P133" s="376">
        <f>(P132*'No change with year'!$AL$15)</f>
        <v>2814750</v>
      </c>
      <c r="Q133" s="376">
        <f>(Q132*'No change with year'!$AL$15)</f>
        <v>2846500</v>
      </c>
      <c r="R133" s="376">
        <f>(R132*'No change with year'!$AL$15)</f>
        <v>2880250</v>
      </c>
      <c r="S133" s="376">
        <f>(S132*'No change with year'!$AL$15)</f>
        <v>2892500</v>
      </c>
      <c r="T133" s="376">
        <f>(T132*'No change with year'!$AL$15)</f>
        <v>2949000</v>
      </c>
      <c r="U133" s="376">
        <f>(U132*'No change with year'!$AL$15)</f>
        <v>3007500</v>
      </c>
      <c r="V133" s="376">
        <f>(V132*'No change with year'!$AL$15)</f>
        <v>3067750</v>
      </c>
      <c r="W133" s="376">
        <f>(W132*'No change with year'!$AL$15)</f>
        <v>3130250</v>
      </c>
      <c r="X133" s="376">
        <f>(X132*'No change with year'!$AM$15)</f>
        <v>4473000</v>
      </c>
      <c r="Y133" s="376">
        <f>(Y132*'No change with year'!$AM$15)</f>
        <v>4566450</v>
      </c>
      <c r="Z133" s="376">
        <f>(Z132*'No change with year'!$AM$15)</f>
        <v>4663050</v>
      </c>
      <c r="AA133" s="376">
        <f>(AA132*'No change with year'!$AM$15)</f>
        <v>4762800</v>
      </c>
      <c r="AB133" s="376">
        <f>(AB132*'No change with year'!$AM$15)</f>
        <v>4866050</v>
      </c>
      <c r="AC133" s="376">
        <f>(AC132*'No change with year'!$AM$15)</f>
        <v>4989250</v>
      </c>
      <c r="AD133" s="376">
        <f>(AD132*'No change with year'!$AM$15)</f>
        <v>5116300</v>
      </c>
      <c r="AE133" s="376">
        <f>(AE132*'No change with year'!$AM$15)</f>
        <v>5246850</v>
      </c>
      <c r="AF133" s="376">
        <f>(AF132*'No change with year'!$AM$15)</f>
        <v>5380900</v>
      </c>
      <c r="AG133" s="376">
        <f>(AG132*'No change with year'!$AM$15)</f>
        <v>5519150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2466170.1175701544</v>
      </c>
      <c r="D135" s="376">
        <f t="shared" ref="D135:AG135" si="51">-PMT($C$28,$C$27,D132)</f>
        <v>2458720.1145495069</v>
      </c>
      <c r="E135" s="376">
        <f t="shared" si="51"/>
        <v>2453461.2888878738</v>
      </c>
      <c r="F135" s="376">
        <f t="shared" si="51"/>
        <v>2402406.8564228495</v>
      </c>
      <c r="G135" s="376">
        <f t="shared" si="51"/>
        <v>2355734.7786758533</v>
      </c>
      <c r="H135" s="376">
        <f t="shared" si="51"/>
        <v>2357049.4850912616</v>
      </c>
      <c r="I135" s="376">
        <f t="shared" si="51"/>
        <v>2323962.7069701515</v>
      </c>
      <c r="J135" s="376">
        <f t="shared" si="51"/>
        <v>2339300.9484832492</v>
      </c>
      <c r="K135" s="376">
        <f t="shared" si="51"/>
        <v>2356173.014147656</v>
      </c>
      <c r="L135" s="376">
        <f t="shared" si="51"/>
        <v>2374798.021699274</v>
      </c>
      <c r="M135" s="376">
        <f t="shared" si="51"/>
        <v>2395175.9711381039</v>
      </c>
      <c r="N135" s="376">
        <f t="shared" si="51"/>
        <v>2417306.8624641444</v>
      </c>
      <c r="O135" s="376">
        <f t="shared" si="51"/>
        <v>2441409.8134132973</v>
      </c>
      <c r="P135" s="376">
        <f t="shared" si="51"/>
        <v>2467046.5885137599</v>
      </c>
      <c r="Q135" s="376">
        <f t="shared" si="51"/>
        <v>2494874.5409732363</v>
      </c>
      <c r="R135" s="376">
        <f t="shared" si="51"/>
        <v>2524455.4353199243</v>
      </c>
      <c r="S135" s="376">
        <f t="shared" si="51"/>
        <v>2535192.2043790924</v>
      </c>
      <c r="T135" s="376">
        <f t="shared" si="51"/>
        <v>2584712.8126928071</v>
      </c>
      <c r="U135" s="376">
        <f t="shared" si="51"/>
        <v>2635986.3628937323</v>
      </c>
      <c r="V135" s="376">
        <f t="shared" si="51"/>
        <v>2688793.7372459676</v>
      </c>
      <c r="W135" s="376">
        <f t="shared" si="51"/>
        <v>2743573.1712213154</v>
      </c>
      <c r="X135" s="376">
        <f t="shared" si="51"/>
        <v>2800324.6648197756</v>
      </c>
      <c r="Y135" s="376">
        <f t="shared" si="51"/>
        <v>2858829.1003054464</v>
      </c>
      <c r="Z135" s="376">
        <f t="shared" si="51"/>
        <v>2919305.5954142306</v>
      </c>
      <c r="AA135" s="376">
        <f t="shared" si="51"/>
        <v>2981754.1501461272</v>
      </c>
      <c r="AB135" s="376">
        <f t="shared" si="51"/>
        <v>3046393.8822370376</v>
      </c>
      <c r="AC135" s="376">
        <f t="shared" si="51"/>
        <v>3123523.3252743268</v>
      </c>
      <c r="AD135" s="376">
        <f t="shared" si="51"/>
        <v>3203063.0634065322</v>
      </c>
      <c r="AE135" s="376">
        <f t="shared" si="51"/>
        <v>3284793.9788977508</v>
      </c>
      <c r="AF135" s="376">
        <f t="shared" si="51"/>
        <v>3368716.0717479833</v>
      </c>
      <c r="AG135" s="376">
        <f t="shared" si="51"/>
        <v>3455267.5774290329</v>
      </c>
    </row>
    <row r="136" spans="1:34">
      <c r="A136" s="300" t="s">
        <v>330</v>
      </c>
      <c r="B136" s="300" t="s">
        <v>313</v>
      </c>
      <c r="C136" s="376">
        <f t="shared" ref="C136:AG136" si="52">$G$36*C51</f>
        <v>1603371.5435759209</v>
      </c>
      <c r="D136" s="376">
        <f t="shared" si="52"/>
        <v>1623531.5435759209</v>
      </c>
      <c r="E136" s="376">
        <f t="shared" si="52"/>
        <v>1632033.2443551961</v>
      </c>
      <c r="F136" s="376">
        <f t="shared" si="52"/>
        <v>1631387.7646296318</v>
      </c>
      <c r="G136" s="376">
        <f t="shared" si="52"/>
        <v>1616717.2442386977</v>
      </c>
      <c r="H136" s="376">
        <f t="shared" si="52"/>
        <v>1628618.4791467523</v>
      </c>
      <c r="I136" s="376">
        <f t="shared" si="52"/>
        <v>1412925.8057337552</v>
      </c>
      <c r="J136" s="376">
        <f t="shared" si="52"/>
        <v>1377784.0267411734</v>
      </c>
      <c r="K136" s="376">
        <f t="shared" si="52"/>
        <v>1318807.5021017923</v>
      </c>
      <c r="L136" s="376">
        <f t="shared" si="52"/>
        <v>1269072.1375450362</v>
      </c>
      <c r="M136" s="376">
        <f t="shared" si="52"/>
        <v>1229856.4006807241</v>
      </c>
      <c r="N136" s="376">
        <f t="shared" si="52"/>
        <v>1216331.6629917484</v>
      </c>
      <c r="O136" s="376">
        <f t="shared" si="52"/>
        <v>1203648.3204305037</v>
      </c>
      <c r="P136" s="376">
        <f t="shared" si="52"/>
        <v>1187456.3786925676</v>
      </c>
      <c r="Q136" s="376">
        <f t="shared" si="52"/>
        <v>1176385.7655797531</v>
      </c>
      <c r="R136" s="376">
        <f t="shared" si="52"/>
        <v>1171516.4213089563</v>
      </c>
      <c r="S136" s="376">
        <f t="shared" si="52"/>
        <v>1172125.8723800217</v>
      </c>
      <c r="T136" s="376">
        <f t="shared" si="52"/>
        <v>1178132.7356066471</v>
      </c>
      <c r="U136" s="376">
        <f t="shared" si="52"/>
        <v>1180247.6117677761</v>
      </c>
      <c r="V136" s="376">
        <f t="shared" si="52"/>
        <v>1183189.1293467458</v>
      </c>
      <c r="W136" s="376">
        <f t="shared" si="52"/>
        <v>1187098.5519515213</v>
      </c>
      <c r="X136" s="376">
        <f t="shared" si="52"/>
        <v>1191943.5155654436</v>
      </c>
      <c r="Y136" s="376">
        <f t="shared" si="52"/>
        <v>1197685.0866362436</v>
      </c>
      <c r="Z136" s="376">
        <f t="shared" si="52"/>
        <v>1204475.9896022237</v>
      </c>
      <c r="AA136" s="376">
        <f t="shared" si="52"/>
        <v>1212484.7140770452</v>
      </c>
      <c r="AB136" s="376">
        <f t="shared" si="52"/>
        <v>1221579.6599452044</v>
      </c>
      <c r="AC136" s="376">
        <f t="shared" si="52"/>
        <v>1254221.8680721966</v>
      </c>
      <c r="AD136" s="376">
        <f t="shared" si="52"/>
        <v>1294279.8698353365</v>
      </c>
      <c r="AE136" s="376">
        <f t="shared" si="52"/>
        <v>1335806.0884155154</v>
      </c>
      <c r="AF136" s="376">
        <f t="shared" si="52"/>
        <v>1379349.3750965511</v>
      </c>
      <c r="AG136" s="376">
        <f t="shared" si="52"/>
        <v>1425153.6762410575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1179266.0724367322</v>
      </c>
      <c r="D137" s="376">
        <f t="shared" si="53"/>
        <v>1196584.420625814</v>
      </c>
      <c r="E137" s="376">
        <f t="shared" si="53"/>
        <v>1215341.8101101688</v>
      </c>
      <c r="F137" s="376">
        <f t="shared" si="53"/>
        <v>1235577.1448574145</v>
      </c>
      <c r="G137" s="376">
        <f t="shared" si="53"/>
        <v>1257331.3514359791</v>
      </c>
      <c r="H137" s="376">
        <f t="shared" si="53"/>
        <v>1280647.4482580798</v>
      </c>
      <c r="I137" s="376">
        <f t="shared" si="53"/>
        <v>1307593.904676598</v>
      </c>
      <c r="J137" s="376">
        <f t="shared" si="53"/>
        <v>1336103.8081820935</v>
      </c>
      <c r="K137" s="376">
        <f t="shared" si="53"/>
        <v>1366229.9848814397</v>
      </c>
      <c r="L137" s="376">
        <f t="shared" si="53"/>
        <v>1398027.5681613188</v>
      </c>
      <c r="M137" s="376">
        <f t="shared" si="53"/>
        <v>1431554.0870947007</v>
      </c>
      <c r="N137" s="376">
        <f t="shared" si="53"/>
        <v>1466869.5584612789</v>
      </c>
      <c r="O137" s="376">
        <f t="shared" si="53"/>
        <v>1504036.5825248652</v>
      </c>
      <c r="P137" s="376">
        <f t="shared" si="53"/>
        <v>1543120.4427164914</v>
      </c>
      <c r="Q137" s="376">
        <f t="shared" si="53"/>
        <v>1584189.2093779705</v>
      </c>
      <c r="R137" s="376">
        <f t="shared" si="53"/>
        <v>1627313.8477268524</v>
      </c>
      <c r="S137" s="376">
        <f t="shared" si="53"/>
        <v>1675874.6754478328</v>
      </c>
      <c r="T137" s="376">
        <f t="shared" si="53"/>
        <v>1726543.2535395334</v>
      </c>
      <c r="U137" s="376">
        <f t="shared" si="53"/>
        <v>1779402.2388441642</v>
      </c>
      <c r="V137" s="376">
        <f t="shared" si="53"/>
        <v>1834537.61100935</v>
      </c>
      <c r="W137" s="376">
        <f t="shared" si="53"/>
        <v>1892038.8052350287</v>
      </c>
      <c r="X137" s="376">
        <f t="shared" si="53"/>
        <v>1951998.8503318813</v>
      </c>
      <c r="Y137" s="376">
        <f t="shared" si="53"/>
        <v>2014514.512303734</v>
      </c>
      <c r="Z137" s="376">
        <f t="shared" si="53"/>
        <v>2079686.443674875</v>
      </c>
      <c r="AA137" s="376">
        <f t="shared" si="53"/>
        <v>2147619.3387920712</v>
      </c>
      <c r="AB137" s="376">
        <f t="shared" si="53"/>
        <v>2218422.0953402543</v>
      </c>
      <c r="AC137" s="376">
        <f t="shared" si="53"/>
        <v>2298188.3810537849</v>
      </c>
      <c r="AD137" s="376">
        <f t="shared" si="53"/>
        <v>2381055.6122148563</v>
      </c>
      <c r="AE137" s="376">
        <f t="shared" si="53"/>
        <v>2467146.9295815597</v>
      </c>
      <c r="AF137" s="376">
        <f t="shared" si="53"/>
        <v>2556590.3905717125</v>
      </c>
      <c r="AG137" s="376">
        <f t="shared" si="53"/>
        <v>2649519.1658395403</v>
      </c>
    </row>
    <row r="138" spans="1:34">
      <c r="A138" s="368" t="s">
        <v>318</v>
      </c>
      <c r="B138" s="300" t="s">
        <v>313</v>
      </c>
      <c r="C138" s="376">
        <f>'Changing with year'!C306</f>
        <v>660000</v>
      </c>
      <c r="D138" s="376">
        <f>'Changing with year'!D306</f>
        <v>690000</v>
      </c>
      <c r="E138" s="376">
        <f>'Changing with year'!E306</f>
        <v>721000</v>
      </c>
      <c r="F138" s="376">
        <f>'Changing with year'!F306</f>
        <v>753000</v>
      </c>
      <c r="G138" s="376">
        <f>'Changing with year'!G306</f>
        <v>787000</v>
      </c>
      <c r="H138" s="376">
        <f>'Changing with year'!H306</f>
        <v>822000</v>
      </c>
      <c r="I138" s="376">
        <f>'Changing with year'!I306</f>
        <v>859000</v>
      </c>
      <c r="J138" s="376">
        <f>'Changing with year'!J306</f>
        <v>898000</v>
      </c>
      <c r="K138" s="376">
        <f>'Changing with year'!K306</f>
        <v>938000</v>
      </c>
      <c r="L138" s="376">
        <f>'Changing with year'!L306</f>
        <v>980000</v>
      </c>
      <c r="M138" s="376">
        <f>'Changing with year'!M306</f>
        <v>1024000</v>
      </c>
      <c r="N138" s="376">
        <f>'Changing with year'!N306</f>
        <v>1070000</v>
      </c>
      <c r="O138" s="376">
        <f>'Changing with year'!O306</f>
        <v>1118000</v>
      </c>
      <c r="P138" s="376">
        <f>'Changing with year'!P306</f>
        <v>1168000</v>
      </c>
      <c r="Q138" s="376">
        <f>'Changing with year'!Q306</f>
        <v>1221000</v>
      </c>
      <c r="R138" s="376">
        <f>'Changing with year'!R306</f>
        <v>1276000</v>
      </c>
      <c r="S138" s="376">
        <f>'Changing with year'!S306</f>
        <v>1333000</v>
      </c>
      <c r="T138" s="376">
        <f>'Changing with year'!T306</f>
        <v>1393000</v>
      </c>
      <c r="U138" s="376">
        <f>'Changing with year'!U306</f>
        <v>1456000</v>
      </c>
      <c r="V138" s="376">
        <f>'Changing with year'!V306</f>
        <v>1522000</v>
      </c>
      <c r="W138" s="376">
        <f>'Changing with year'!W306</f>
        <v>1590000</v>
      </c>
      <c r="X138" s="376">
        <f>'Changing with year'!X306</f>
        <v>1662000</v>
      </c>
      <c r="Y138" s="376">
        <f>'Changing with year'!Y306</f>
        <v>1737000</v>
      </c>
      <c r="Z138" s="376">
        <f>'Changing with year'!Z306</f>
        <v>1815000</v>
      </c>
      <c r="AA138" s="376">
        <f>'Changing with year'!AA306</f>
        <v>1897000</v>
      </c>
      <c r="AB138" s="376">
        <f>'Changing with year'!AB306</f>
        <v>1982000</v>
      </c>
      <c r="AC138" s="376">
        <f>'Changing with year'!AC306</f>
        <v>2071000</v>
      </c>
      <c r="AD138" s="376">
        <f>'Changing with year'!AD306</f>
        <v>2164000</v>
      </c>
      <c r="AE138" s="376">
        <f>'Changing with year'!AE306</f>
        <v>2261000</v>
      </c>
      <c r="AF138" s="376">
        <f>'Changing with year'!AF306</f>
        <v>2363000</v>
      </c>
      <c r="AG138" s="376">
        <f>'Changing with year'!AG306</f>
        <v>2469000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C61</f>
        <v>864000</v>
      </c>
      <c r="D139" s="376">
        <f t="shared" si="54"/>
        <v>872640</v>
      </c>
      <c r="E139" s="376">
        <f t="shared" si="54"/>
        <v>881366.4</v>
      </c>
      <c r="F139" s="376">
        <f t="shared" si="54"/>
        <v>890180.06399999978</v>
      </c>
      <c r="G139" s="376">
        <f t="shared" si="54"/>
        <v>899081.86464000004</v>
      </c>
      <c r="H139" s="376">
        <f t="shared" si="54"/>
        <v>908072.68328640005</v>
      </c>
      <c r="I139" s="376">
        <f t="shared" si="54"/>
        <v>917153.41011926392</v>
      </c>
      <c r="J139" s="376">
        <f t="shared" si="54"/>
        <v>926324.94422045664</v>
      </c>
      <c r="K139" s="376">
        <f t="shared" si="54"/>
        <v>935588.19366266136</v>
      </c>
      <c r="L139" s="376">
        <f t="shared" si="54"/>
        <v>944944.0755992881</v>
      </c>
      <c r="M139" s="376">
        <f t="shared" si="54"/>
        <v>954393.51635528088</v>
      </c>
      <c r="N139" s="376">
        <f t="shared" si="54"/>
        <v>963937.45151883364</v>
      </c>
      <c r="O139" s="376">
        <f t="shared" si="54"/>
        <v>973576.82603402203</v>
      </c>
      <c r="P139" s="376">
        <f t="shared" si="54"/>
        <v>983312.59429436235</v>
      </c>
      <c r="Q139" s="376">
        <f t="shared" si="54"/>
        <v>993145.72023730609</v>
      </c>
      <c r="R139" s="376">
        <f t="shared" si="54"/>
        <v>1003077.1774396792</v>
      </c>
      <c r="S139" s="376">
        <f t="shared" si="54"/>
        <v>1013107.949214076</v>
      </c>
      <c r="T139" s="376">
        <f t="shared" si="54"/>
        <v>1023239.0287062167</v>
      </c>
      <c r="U139" s="376">
        <f t="shared" si="54"/>
        <v>1033471.4189932789</v>
      </c>
      <c r="V139" s="376">
        <f t="shared" si="54"/>
        <v>1043806.1331832118</v>
      </c>
      <c r="W139" s="376">
        <f t="shared" si="54"/>
        <v>1054244.1945150439</v>
      </c>
      <c r="X139" s="376">
        <f t="shared" si="54"/>
        <v>1064786.6364601944</v>
      </c>
      <c r="Y139" s="376">
        <f t="shared" si="54"/>
        <v>1075434.5028247964</v>
      </c>
      <c r="Z139" s="376">
        <f t="shared" si="54"/>
        <v>1086188.8478530445</v>
      </c>
      <c r="AA139" s="376">
        <f t="shared" si="54"/>
        <v>1097050.7363315746</v>
      </c>
      <c r="AB139" s="376">
        <f t="shared" si="54"/>
        <v>1108021.2436948905</v>
      </c>
      <c r="AC139" s="376">
        <f t="shared" si="54"/>
        <v>1119101.4561318394</v>
      </c>
      <c r="AD139" s="376">
        <f t="shared" si="54"/>
        <v>1130292.470693158</v>
      </c>
      <c r="AE139" s="376">
        <f t="shared" si="54"/>
        <v>1141595.3954000894</v>
      </c>
      <c r="AF139" s="376">
        <f t="shared" si="54"/>
        <v>1153011.3493540904</v>
      </c>
      <c r="AG139" s="376">
        <f t="shared" si="54"/>
        <v>1164541.4628476314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225100</v>
      </c>
      <c r="D140" s="386">
        <f t="shared" si="55"/>
        <v>224420</v>
      </c>
      <c r="E140" s="386">
        <f t="shared" si="55"/>
        <v>223940</v>
      </c>
      <c r="F140" s="386">
        <f t="shared" si="55"/>
        <v>219280</v>
      </c>
      <c r="G140" s="386">
        <f t="shared" si="55"/>
        <v>215020</v>
      </c>
      <c r="H140" s="386">
        <f t="shared" si="55"/>
        <v>215140</v>
      </c>
      <c r="I140" s="386">
        <f t="shared" si="55"/>
        <v>212120</v>
      </c>
      <c r="J140" s="386">
        <f t="shared" si="55"/>
        <v>213520</v>
      </c>
      <c r="K140" s="386">
        <f t="shared" si="55"/>
        <v>215060</v>
      </c>
      <c r="L140" s="386">
        <f t="shared" si="55"/>
        <v>216760</v>
      </c>
      <c r="M140" s="386">
        <f t="shared" si="55"/>
        <v>218620</v>
      </c>
      <c r="N140" s="386">
        <f t="shared" si="55"/>
        <v>220640</v>
      </c>
      <c r="O140" s="386">
        <f t="shared" si="55"/>
        <v>222840</v>
      </c>
      <c r="P140" s="386">
        <f t="shared" si="55"/>
        <v>225180</v>
      </c>
      <c r="Q140" s="386">
        <f t="shared" si="55"/>
        <v>227720</v>
      </c>
      <c r="R140" s="386">
        <f t="shared" si="55"/>
        <v>230420</v>
      </c>
      <c r="S140" s="386">
        <f t="shared" si="55"/>
        <v>231400</v>
      </c>
      <c r="T140" s="386">
        <f t="shared" si="55"/>
        <v>235920</v>
      </c>
      <c r="U140" s="386">
        <f t="shared" si="55"/>
        <v>240600</v>
      </c>
      <c r="V140" s="386">
        <f t="shared" si="55"/>
        <v>245420</v>
      </c>
      <c r="W140" s="386">
        <f t="shared" si="55"/>
        <v>250420</v>
      </c>
      <c r="X140" s="386">
        <f t="shared" si="55"/>
        <v>255600</v>
      </c>
      <c r="Y140" s="386">
        <f t="shared" si="55"/>
        <v>260940</v>
      </c>
      <c r="Z140" s="386">
        <f t="shared" si="55"/>
        <v>266460</v>
      </c>
      <c r="AA140" s="386">
        <f t="shared" si="55"/>
        <v>272160</v>
      </c>
      <c r="AB140" s="386">
        <f t="shared" si="55"/>
        <v>278060</v>
      </c>
      <c r="AC140" s="386">
        <f t="shared" si="55"/>
        <v>285100</v>
      </c>
      <c r="AD140" s="386">
        <f t="shared" si="55"/>
        <v>292360</v>
      </c>
      <c r="AE140" s="386">
        <f t="shared" si="55"/>
        <v>299820</v>
      </c>
      <c r="AF140" s="386">
        <f t="shared" si="55"/>
        <v>307480</v>
      </c>
      <c r="AG140" s="386">
        <f t="shared" si="55"/>
        <v>315380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25.689272058022443</v>
      </c>
      <c r="D142" s="379">
        <f t="shared" si="56"/>
        <v>25.611667859890698</v>
      </c>
      <c r="E142" s="379">
        <f t="shared" si="56"/>
        <v>25.55688842591535</v>
      </c>
      <c r="F142" s="379">
        <f t="shared" si="56"/>
        <v>25.025071421071349</v>
      </c>
      <c r="G142" s="379">
        <f t="shared" si="56"/>
        <v>24.538903944540138</v>
      </c>
      <c r="H142" s="379">
        <f t="shared" si="56"/>
        <v>24.552598803033973</v>
      </c>
      <c r="I142" s="379">
        <f t="shared" si="56"/>
        <v>24.207944864272413</v>
      </c>
      <c r="J142" s="379">
        <f t="shared" si="56"/>
        <v>24.36771821336718</v>
      </c>
      <c r="K142" s="379">
        <f t="shared" si="56"/>
        <v>24.543468897371419</v>
      </c>
      <c r="L142" s="379">
        <f t="shared" si="56"/>
        <v>24.73747939270077</v>
      </c>
      <c r="M142" s="379">
        <f t="shared" si="56"/>
        <v>24.949749699355248</v>
      </c>
      <c r="N142" s="379">
        <f t="shared" si="56"/>
        <v>25.180279817334839</v>
      </c>
      <c r="O142" s="379">
        <f t="shared" si="56"/>
        <v>25.431352223055182</v>
      </c>
      <c r="P142" s="379">
        <f t="shared" si="56"/>
        <v>25.698401963684997</v>
      </c>
      <c r="Q142" s="379">
        <f t="shared" si="56"/>
        <v>25.988276468471213</v>
      </c>
      <c r="R142" s="379">
        <f t="shared" si="56"/>
        <v>26.296410784582545</v>
      </c>
      <c r="S142" s="379">
        <f t="shared" si="56"/>
        <v>26.408252128948881</v>
      </c>
      <c r="T142" s="379">
        <f t="shared" si="56"/>
        <v>26.924091798883406</v>
      </c>
      <c r="U142" s="379">
        <f t="shared" si="56"/>
        <v>27.458191280143044</v>
      </c>
      <c r="V142" s="379">
        <f t="shared" si="56"/>
        <v>28.008268096312161</v>
      </c>
      <c r="W142" s="379">
        <f t="shared" si="56"/>
        <v>28.578887200222034</v>
      </c>
      <c r="X142" s="379">
        <f t="shared" si="56"/>
        <v>29.170048591872664</v>
      </c>
      <c r="Y142" s="379">
        <f t="shared" si="56"/>
        <v>29.779469794848399</v>
      </c>
      <c r="Z142" s="379">
        <f t="shared" si="56"/>
        <v>30.409433285564901</v>
      </c>
      <c r="AA142" s="379">
        <f t="shared" si="56"/>
        <v>31.05993906402216</v>
      </c>
      <c r="AB142" s="379">
        <f t="shared" si="56"/>
        <v>31.733269606635808</v>
      </c>
      <c r="AC142" s="379">
        <f t="shared" si="56"/>
        <v>32.536701304940905</v>
      </c>
      <c r="AD142" s="379">
        <f t="shared" si="56"/>
        <v>33.365240243818043</v>
      </c>
      <c r="AE142" s="379">
        <f t="shared" si="56"/>
        <v>34.216603946851571</v>
      </c>
      <c r="AF142" s="379">
        <f t="shared" si="56"/>
        <v>35.090792414041495</v>
      </c>
      <c r="AG142" s="379">
        <f t="shared" si="56"/>
        <v>35.99237059821909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16.701786912249176</v>
      </c>
      <c r="D143" s="379">
        <f t="shared" si="57"/>
        <v>16.911786912249177</v>
      </c>
      <c r="E143" s="379">
        <f t="shared" si="57"/>
        <v>17.000346295366626</v>
      </c>
      <c r="F143" s="379">
        <f t="shared" si="57"/>
        <v>16.993622548225332</v>
      </c>
      <c r="G143" s="379">
        <f t="shared" si="57"/>
        <v>16.840804627486435</v>
      </c>
      <c r="H143" s="379">
        <f t="shared" si="57"/>
        <v>16.964775824445336</v>
      </c>
      <c r="I143" s="379">
        <f t="shared" si="57"/>
        <v>14.717977143059951</v>
      </c>
      <c r="J143" s="379">
        <f t="shared" si="57"/>
        <v>14.351916945220555</v>
      </c>
      <c r="K143" s="379">
        <f t="shared" si="57"/>
        <v>13.73757814689367</v>
      </c>
      <c r="L143" s="379">
        <f t="shared" si="57"/>
        <v>13.219501432760794</v>
      </c>
      <c r="M143" s="379">
        <f t="shared" si="57"/>
        <v>12.811004173757542</v>
      </c>
      <c r="N143" s="379">
        <f t="shared" si="57"/>
        <v>12.670121489497379</v>
      </c>
      <c r="O143" s="379">
        <f t="shared" si="57"/>
        <v>12.538003337817747</v>
      </c>
      <c r="P143" s="379">
        <f t="shared" si="57"/>
        <v>12.369337278047579</v>
      </c>
      <c r="Q143" s="379">
        <f t="shared" si="57"/>
        <v>12.254018391455761</v>
      </c>
      <c r="R143" s="379">
        <f t="shared" si="57"/>
        <v>12.203296055301628</v>
      </c>
      <c r="S143" s="379">
        <f t="shared" si="57"/>
        <v>12.209644503958559</v>
      </c>
      <c r="T143" s="379">
        <f t="shared" si="57"/>
        <v>12.272215995902574</v>
      </c>
      <c r="U143" s="379">
        <f t="shared" si="57"/>
        <v>12.294245955914334</v>
      </c>
      <c r="V143" s="379">
        <f t="shared" si="57"/>
        <v>12.324886764028602</v>
      </c>
      <c r="W143" s="379">
        <f t="shared" si="57"/>
        <v>12.365609916161681</v>
      </c>
      <c r="X143" s="379">
        <f t="shared" si="57"/>
        <v>12.416078287140037</v>
      </c>
      <c r="Y143" s="379">
        <f t="shared" si="57"/>
        <v>12.475886319127538</v>
      </c>
      <c r="Z143" s="379">
        <f t="shared" si="57"/>
        <v>12.546624891689831</v>
      </c>
      <c r="AA143" s="379">
        <f t="shared" si="57"/>
        <v>12.630049104969221</v>
      </c>
      <c r="AB143" s="379">
        <f t="shared" si="57"/>
        <v>12.724788124429212</v>
      </c>
      <c r="AC143" s="379">
        <f t="shared" si="57"/>
        <v>13.064811125752048</v>
      </c>
      <c r="AD143" s="379">
        <f t="shared" si="57"/>
        <v>13.482081977451422</v>
      </c>
      <c r="AE143" s="379">
        <f t="shared" si="57"/>
        <v>13.914646754328285</v>
      </c>
      <c r="AF143" s="379">
        <f t="shared" si="57"/>
        <v>14.368222657255741</v>
      </c>
      <c r="AG143" s="379">
        <f t="shared" si="57"/>
        <v>14.845350794177682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30.503813254549293</v>
      </c>
      <c r="D144" s="379">
        <f t="shared" si="58"/>
        <v>31.079629381518899</v>
      </c>
      <c r="E144" s="379">
        <f t="shared" si="58"/>
        <v>31.683835521980924</v>
      </c>
      <c r="F144" s="379">
        <f t="shared" si="58"/>
        <v>32.271220925598065</v>
      </c>
      <c r="G144" s="379">
        <f t="shared" si="58"/>
        <v>32.900346000791451</v>
      </c>
      <c r="H144" s="379">
        <f t="shared" si="58"/>
        <v>33.602709703588332</v>
      </c>
      <c r="I144" s="379">
        <f t="shared" si="58"/>
        <v>34.331951195790232</v>
      </c>
      <c r="J144" s="379">
        <f t="shared" si="58"/>
        <v>35.145299504193233</v>
      </c>
      <c r="K144" s="379">
        <f t="shared" si="58"/>
        <v>35.988314359834391</v>
      </c>
      <c r="L144" s="379">
        <f t="shared" si="58"/>
        <v>36.872204622506324</v>
      </c>
      <c r="M144" s="379">
        <f t="shared" si="58"/>
        <v>37.797579202603977</v>
      </c>
      <c r="N144" s="379">
        <f t="shared" si="58"/>
        <v>38.765073020626168</v>
      </c>
      <c r="O144" s="379">
        <f t="shared" si="58"/>
        <v>39.775556339155074</v>
      </c>
      <c r="P144" s="379">
        <f t="shared" si="58"/>
        <v>40.829302468863055</v>
      </c>
      <c r="Q144" s="379">
        <f t="shared" si="58"/>
        <v>41.938072183492466</v>
      </c>
      <c r="R144" s="379">
        <f t="shared" si="58"/>
        <v>43.091781512151378</v>
      </c>
      <c r="S144" s="379">
        <f t="shared" si="58"/>
        <v>44.306069006894887</v>
      </c>
      <c r="T144" s="379">
        <f t="shared" si="58"/>
        <v>45.611482106726555</v>
      </c>
      <c r="U144" s="379">
        <f t="shared" si="58"/>
        <v>46.973683935806697</v>
      </c>
      <c r="V144" s="379">
        <f t="shared" si="58"/>
        <v>48.393372335339187</v>
      </c>
      <c r="W144" s="379">
        <f t="shared" si="58"/>
        <v>49.861489580729916</v>
      </c>
      <c r="X144" s="379">
        <f t="shared" si="58"/>
        <v>51.399848820750783</v>
      </c>
      <c r="Y144" s="379">
        <f t="shared" si="58"/>
        <v>52.998843907588864</v>
      </c>
      <c r="Z144" s="379">
        <f t="shared" si="58"/>
        <v>54.659742620082497</v>
      </c>
      <c r="AA144" s="379">
        <f t="shared" si="58"/>
        <v>56.394063282537971</v>
      </c>
      <c r="AB144" s="379">
        <f t="shared" si="58"/>
        <v>58.192743114949415</v>
      </c>
      <c r="AC144" s="379">
        <f t="shared" si="58"/>
        <v>60.13947747068358</v>
      </c>
      <c r="AD144" s="379">
        <f t="shared" si="58"/>
        <v>62.163625863625143</v>
      </c>
      <c r="AE144" s="379">
        <f t="shared" si="58"/>
        <v>64.266274218558848</v>
      </c>
      <c r="AF144" s="379">
        <f t="shared" si="58"/>
        <v>66.459184790893772</v>
      </c>
      <c r="AG144" s="379">
        <f t="shared" si="58"/>
        <v>68.733756548824701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2.512276785714286</v>
      </c>
      <c r="D145" s="379">
        <f t="shared" si="59"/>
        <v>2.5046875000000002</v>
      </c>
      <c r="E145" s="379">
        <f t="shared" si="59"/>
        <v>2.4993303571428576</v>
      </c>
      <c r="F145" s="379">
        <f t="shared" si="59"/>
        <v>2.4473214285714291</v>
      </c>
      <c r="G145" s="379">
        <f t="shared" si="59"/>
        <v>2.3997767857142862</v>
      </c>
      <c r="H145" s="379">
        <f t="shared" si="59"/>
        <v>2.401116071428572</v>
      </c>
      <c r="I145" s="379">
        <f t="shared" si="59"/>
        <v>2.3674107142857146</v>
      </c>
      <c r="J145" s="379">
        <f t="shared" si="59"/>
        <v>2.3830357142857146</v>
      </c>
      <c r="K145" s="379">
        <f t="shared" si="59"/>
        <v>2.4002232142857145</v>
      </c>
      <c r="L145" s="379">
        <f t="shared" si="59"/>
        <v>2.4191964285714289</v>
      </c>
      <c r="M145" s="379">
        <f t="shared" si="59"/>
        <v>2.4399553571428574</v>
      </c>
      <c r="N145" s="379">
        <f t="shared" si="59"/>
        <v>4.104166666666667</v>
      </c>
      <c r="O145" s="379">
        <f t="shared" si="59"/>
        <v>4.1450892857142856</v>
      </c>
      <c r="P145" s="379">
        <f t="shared" si="59"/>
        <v>4.1886160714285712</v>
      </c>
      <c r="Q145" s="379">
        <f t="shared" si="59"/>
        <v>4.2358630952380949</v>
      </c>
      <c r="R145" s="379">
        <f t="shared" si="59"/>
        <v>4.2860863095238093</v>
      </c>
      <c r="S145" s="379">
        <f t="shared" si="59"/>
        <v>4.3043154761904763</v>
      </c>
      <c r="T145" s="379">
        <f t="shared" si="59"/>
        <v>4.3883928571428568</v>
      </c>
      <c r="U145" s="379">
        <f t="shared" si="59"/>
        <v>4.4754464285714288</v>
      </c>
      <c r="V145" s="379">
        <f t="shared" si="59"/>
        <v>4.565104166666667</v>
      </c>
      <c r="W145" s="379">
        <f t="shared" si="59"/>
        <v>4.6581101190476186</v>
      </c>
      <c r="X145" s="379">
        <f t="shared" si="59"/>
        <v>6.65625</v>
      </c>
      <c r="Y145" s="379">
        <f t="shared" si="59"/>
        <v>6.7953124999999996</v>
      </c>
      <c r="Z145" s="379">
        <f t="shared" si="59"/>
        <v>6.9390625000000004</v>
      </c>
      <c r="AA145" s="379">
        <f t="shared" si="59"/>
        <v>7.0875000000000004</v>
      </c>
      <c r="AB145" s="379">
        <f t="shared" si="59"/>
        <v>7.2411458333333334</v>
      </c>
      <c r="AC145" s="379">
        <f t="shared" si="59"/>
        <v>7.424479166666667</v>
      </c>
      <c r="AD145" s="379">
        <f t="shared" si="59"/>
        <v>7.6135416666666664</v>
      </c>
      <c r="AE145" s="379">
        <f t="shared" si="59"/>
        <v>7.8078124999999998</v>
      </c>
      <c r="AF145" s="379">
        <f t="shared" si="59"/>
        <v>8.0072916666666671</v>
      </c>
      <c r="AG145" s="379">
        <f t="shared" si="59"/>
        <v>8.2130208333333332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70.382595439106623</v>
      </c>
      <c r="D146" s="381">
        <f t="shared" ref="D146:AG146" si="60">SUM(D142:D144)-D145</f>
        <v>71.098396653658767</v>
      </c>
      <c r="E146" s="381">
        <f t="shared" si="60"/>
        <v>71.741739886120044</v>
      </c>
      <c r="F146" s="381">
        <f t="shared" si="60"/>
        <v>71.842593466323308</v>
      </c>
      <c r="G146" s="381">
        <f t="shared" si="60"/>
        <v>71.880277787103736</v>
      </c>
      <c r="H146" s="381">
        <f t="shared" si="60"/>
        <v>72.71896825963907</v>
      </c>
      <c r="I146" s="381">
        <f t="shared" si="60"/>
        <v>70.890462488836874</v>
      </c>
      <c r="J146" s="381">
        <f t="shared" si="60"/>
        <v>71.481898948495257</v>
      </c>
      <c r="K146" s="381">
        <f t="shared" si="60"/>
        <v>71.869138189813754</v>
      </c>
      <c r="L146" s="381">
        <f t="shared" si="60"/>
        <v>72.409989019396463</v>
      </c>
      <c r="M146" s="381">
        <f t="shared" si="60"/>
        <v>73.11837771857391</v>
      </c>
      <c r="N146" s="381">
        <f t="shared" si="60"/>
        <v>72.511307660791715</v>
      </c>
      <c r="O146" s="381">
        <f t="shared" si="60"/>
        <v>73.599822614313709</v>
      </c>
      <c r="P146" s="381">
        <f t="shared" si="60"/>
        <v>74.708425639167061</v>
      </c>
      <c r="Q146" s="381">
        <f t="shared" si="60"/>
        <v>75.944503948181335</v>
      </c>
      <c r="R146" s="381">
        <f t="shared" si="60"/>
        <v>77.305402042511744</v>
      </c>
      <c r="S146" s="381">
        <f t="shared" si="60"/>
        <v>78.619650163611851</v>
      </c>
      <c r="T146" s="381">
        <f t="shared" si="60"/>
        <v>80.419397044369674</v>
      </c>
      <c r="U146" s="381">
        <f t="shared" si="60"/>
        <v>82.250674743292635</v>
      </c>
      <c r="V146" s="381">
        <f t="shared" si="60"/>
        <v>84.161423029013278</v>
      </c>
      <c r="W146" s="381">
        <f t="shared" si="60"/>
        <v>86.147876578066018</v>
      </c>
      <c r="X146" s="381">
        <f t="shared" si="60"/>
        <v>86.329725699763486</v>
      </c>
      <c r="Y146" s="381">
        <f t="shared" si="60"/>
        <v>88.458887521564805</v>
      </c>
      <c r="Z146" s="381">
        <f t="shared" si="60"/>
        <v>90.676738297337224</v>
      </c>
      <c r="AA146" s="381">
        <f t="shared" si="60"/>
        <v>92.996551451529342</v>
      </c>
      <c r="AB146" s="381">
        <f t="shared" si="60"/>
        <v>95.4096550126811</v>
      </c>
      <c r="AC146" s="381">
        <f t="shared" si="60"/>
        <v>98.316510734709865</v>
      </c>
      <c r="AD146" s="381">
        <f t="shared" si="60"/>
        <v>101.39740641822794</v>
      </c>
      <c r="AE146" s="381">
        <f t="shared" si="60"/>
        <v>104.5897124197387</v>
      </c>
      <c r="AF146" s="381">
        <f t="shared" si="60"/>
        <v>107.91090819552434</v>
      </c>
      <c r="AG146" s="381">
        <f t="shared" si="60"/>
        <v>111.35845710788814</v>
      </c>
    </row>
    <row r="147" spans="1:34" s="344" customFormat="1">
      <c r="A147" s="342" t="s">
        <v>331</v>
      </c>
      <c r="B147" s="342"/>
      <c r="H147" s="385">
        <f>H149/H63</f>
        <v>2.3486596840049705</v>
      </c>
      <c r="AB147" s="385">
        <f>AB149/AB63</f>
        <v>1.4321967259989992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year'!C150)/1000,0)*1000</f>
        <v>15366000</v>
      </c>
      <c r="D149" s="376">
        <f>ROUND(('Changing with year'!D150)/1000,0)*1000</f>
        <v>15129000</v>
      </c>
      <c r="E149" s="376">
        <f>ROUND(('Changing with year'!E150)/1000,0)*1000</f>
        <v>14909000</v>
      </c>
      <c r="F149" s="376">
        <f>ROUND(('Changing with year'!F150)/1000,0)*1000</f>
        <v>14707000</v>
      </c>
      <c r="G149" s="376">
        <f>ROUND(('Changing with year'!G150)/1000,0)*1000</f>
        <v>14521000</v>
      </c>
      <c r="H149" s="376">
        <f>ROUND(('Changing with year'!H150)/1000,0)*1000</f>
        <v>14553000</v>
      </c>
      <c r="I149" s="376">
        <f>ROUND(('Changing with year'!I150)/1000,0)*1000</f>
        <v>14466000</v>
      </c>
      <c r="J149" s="376">
        <f>ROUND(('Changing with year'!J150)/1000,0)*1000</f>
        <v>14398000</v>
      </c>
      <c r="K149" s="376">
        <f>ROUND(('Changing with year'!K150)/1000,0)*1000</f>
        <v>14343000</v>
      </c>
      <c r="L149" s="376">
        <f>ROUND(('Changing with year'!L150)/1000,0)*1000</f>
        <v>14301000</v>
      </c>
      <c r="M149" s="376">
        <f>ROUND(('Changing with year'!M150)/1000,0)*1000</f>
        <v>14271000</v>
      </c>
      <c r="N149" s="376">
        <f>ROUND(('Changing with year'!N150)/1000,0)*1000</f>
        <v>14253000</v>
      </c>
      <c r="O149" s="376">
        <f>ROUND(('Changing with year'!O150)/1000,0)*1000</f>
        <v>14248000</v>
      </c>
      <c r="P149" s="376">
        <f>ROUND(('Changing with year'!P150)/1000,0)*1000</f>
        <v>14255000</v>
      </c>
      <c r="Q149" s="376">
        <f>ROUND(('Changing with year'!Q150)/1000,0)*1000</f>
        <v>14275000</v>
      </c>
      <c r="R149" s="376">
        <f>ROUND(('Changing with year'!R150)/1000,0)*1000</f>
        <v>14307000</v>
      </c>
      <c r="S149" s="376">
        <f>ROUND(('Changing with year'!S150)/1000,0)*1000</f>
        <v>14253000</v>
      </c>
      <c r="T149" s="376">
        <f>ROUND(('Changing with year'!T150)/1000,0)*1000</f>
        <v>14435000</v>
      </c>
      <c r="U149" s="376">
        <f>ROUND(('Changing with year'!U150)/1000,0)*1000</f>
        <v>14626000</v>
      </c>
      <c r="V149" s="376">
        <f>ROUND(('Changing with year'!V150)/1000,0)*1000</f>
        <v>14826000</v>
      </c>
      <c r="W149" s="376">
        <f>ROUND(('Changing with year'!W150)/1000,0)*1000</f>
        <v>15036000</v>
      </c>
      <c r="X149" s="376">
        <f>ROUND(('Changing with year'!X150)/1000,0)*1000</f>
        <v>15041000</v>
      </c>
      <c r="Y149" s="376">
        <f>ROUND(('Changing with year'!Y150)/1000,0)*1000</f>
        <v>15272000</v>
      </c>
      <c r="Z149" s="376">
        <f>ROUND(('Changing with year'!Z150)/1000,0)*1000</f>
        <v>15514000</v>
      </c>
      <c r="AA149" s="376">
        <f>ROUND(('Changing with year'!AA150)/1000,0)*1000</f>
        <v>15766000</v>
      </c>
      <c r="AB149" s="376">
        <f>ROUND(('Changing with year'!AB150)/1000,0)*1000</f>
        <v>16028000</v>
      </c>
      <c r="AC149" s="376">
        <f>ROUND(('Changing with year'!AC150)/1000,0)*1000</f>
        <v>16193000</v>
      </c>
      <c r="AD149" s="376">
        <f>ROUND(('Changing with year'!AD150)/1000,0)*1000</f>
        <v>16575000</v>
      </c>
      <c r="AE149" s="376">
        <f>ROUND(('Changing with year'!AE150)/1000,0)*1000</f>
        <v>16968000</v>
      </c>
      <c r="AF149" s="376">
        <f>ROUND(('Changing with year'!AF150)/1000,0)*1000</f>
        <v>17371000</v>
      </c>
      <c r="AG149" s="376">
        <f>ROUND(('Changing with year'!AG150)/1000,0)*1000</f>
        <v>17785000</v>
      </c>
    </row>
    <row r="150" spans="1:34">
      <c r="A150" s="368" t="s">
        <v>310</v>
      </c>
      <c r="B150" s="300" t="s">
        <v>309</v>
      </c>
      <c r="C150" s="376">
        <f>(C149*'No change with year'!$AN$15)</f>
        <v>768299.99999999988</v>
      </c>
      <c r="D150" s="376">
        <f>(D149*'No change with year'!$AN$15)</f>
        <v>756449.99999999988</v>
      </c>
      <c r="E150" s="376">
        <f>(E149*'No change with year'!$AN$15)</f>
        <v>745449.99999999988</v>
      </c>
      <c r="F150" s="376">
        <f>(F149*'No change with year'!$AN$15)</f>
        <v>735349.99999999988</v>
      </c>
      <c r="G150" s="376">
        <f>(G149*'No change with year'!$AN$15)</f>
        <v>726049.99999999988</v>
      </c>
      <c r="H150" s="376">
        <f>(H149*'No change with year'!$AN$15)</f>
        <v>727649.99999999988</v>
      </c>
      <c r="I150" s="376">
        <f>(I149*'No change with year'!$AN$15)</f>
        <v>723299.99999999988</v>
      </c>
      <c r="J150" s="376">
        <f>(J149*'No change with year'!$AN$15)</f>
        <v>719899.99999999988</v>
      </c>
      <c r="K150" s="376">
        <f>(K149*'No change with year'!$AN$15)</f>
        <v>717149.99999999988</v>
      </c>
      <c r="L150" s="376">
        <f>(L149*'No change with year'!$AN$15)</f>
        <v>715049.99999999988</v>
      </c>
      <c r="M150" s="376">
        <f>(M149*'No change with year'!$AN$15)</f>
        <v>713549.99999999988</v>
      </c>
      <c r="N150" s="376">
        <f>(N149*'No change with year'!$AO$15)</f>
        <v>2137950.0000000005</v>
      </c>
      <c r="O150" s="376">
        <f>(O149*'No change with year'!$AO$15)</f>
        <v>2137200.0000000005</v>
      </c>
      <c r="P150" s="376">
        <f>(P149*'No change with year'!$AO$15)</f>
        <v>2138250.0000000005</v>
      </c>
      <c r="Q150" s="376">
        <f>(Q149*'No change with year'!$AO$15)</f>
        <v>2141250.0000000005</v>
      </c>
      <c r="R150" s="376">
        <f>(R149*'No change with year'!$AO$15)</f>
        <v>2146050.0000000005</v>
      </c>
      <c r="S150" s="376">
        <f>(S149*'No change with year'!$AO$15)</f>
        <v>2137950.0000000005</v>
      </c>
      <c r="T150" s="376">
        <f>(T149*'No change with year'!$AO$15)</f>
        <v>2165250.0000000005</v>
      </c>
      <c r="U150" s="376">
        <f>(U149*'No change with year'!$AO$15)</f>
        <v>2193900.0000000005</v>
      </c>
      <c r="V150" s="376">
        <f>(V149*'No change with year'!$AO$15)</f>
        <v>2223900.0000000005</v>
      </c>
      <c r="W150" s="376">
        <f>(W149*'No change with year'!$AO$15)</f>
        <v>2255400.0000000005</v>
      </c>
      <c r="X150" s="376">
        <f>(X149*'No change with year'!$AP$15)</f>
        <v>3760250</v>
      </c>
      <c r="Y150" s="376">
        <f>(Y149*'No change with year'!$AP$15)</f>
        <v>3818000</v>
      </c>
      <c r="Z150" s="376">
        <f>(Z149*'No change with year'!$AP$15)</f>
        <v>3878500</v>
      </c>
      <c r="AA150" s="376">
        <f>(AA149*'No change with year'!$AP$15)</f>
        <v>3941500</v>
      </c>
      <c r="AB150" s="376">
        <f>(AB149*'No change with year'!$AP$15)</f>
        <v>4007000</v>
      </c>
      <c r="AC150" s="376">
        <f>(AC149*'No change with year'!$AP$15)</f>
        <v>4048250</v>
      </c>
      <c r="AD150" s="376">
        <f>(AD149*'No change with year'!$AP$15)</f>
        <v>4143750</v>
      </c>
      <c r="AE150" s="376">
        <f>(AE149*'No change with year'!$AP$15)</f>
        <v>4242000</v>
      </c>
      <c r="AF150" s="376">
        <f>(AF149*'No change with year'!$AP$15)</f>
        <v>4342750</v>
      </c>
      <c r="AG150" s="376">
        <f>(AG149*'No change with year'!$AP$15)</f>
        <v>4446250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3366963.1298607723</v>
      </c>
      <c r="D152" s="376">
        <f t="shared" ref="D152:AG152" si="62">-PMT($C$28,$C$27,D149)</f>
        <v>3315032.2264521425</v>
      </c>
      <c r="E152" s="376">
        <f t="shared" si="62"/>
        <v>3266826.3245538366</v>
      </c>
      <c r="F152" s="376">
        <f t="shared" si="62"/>
        <v>3222564.5419017551</v>
      </c>
      <c r="G152" s="376">
        <f t="shared" si="62"/>
        <v>3181808.6430240967</v>
      </c>
      <c r="H152" s="376">
        <f t="shared" si="62"/>
        <v>3188820.4105729414</v>
      </c>
      <c r="I152" s="376">
        <f t="shared" si="62"/>
        <v>3169757.1675495203</v>
      </c>
      <c r="J152" s="376">
        <f t="shared" si="62"/>
        <v>3154857.1615082258</v>
      </c>
      <c r="K152" s="376">
        <f t="shared" si="62"/>
        <v>3142805.6860336494</v>
      </c>
      <c r="L152" s="376">
        <f t="shared" si="62"/>
        <v>3133602.7411257909</v>
      </c>
      <c r="M152" s="376">
        <f t="shared" si="62"/>
        <v>3127029.2090487489</v>
      </c>
      <c r="N152" s="376">
        <f t="shared" si="62"/>
        <v>3123085.0898025241</v>
      </c>
      <c r="O152" s="376">
        <f t="shared" si="62"/>
        <v>3121989.5011230172</v>
      </c>
      <c r="P152" s="376">
        <f t="shared" si="62"/>
        <v>3123523.3252743268</v>
      </c>
      <c r="Q152" s="376">
        <f t="shared" si="62"/>
        <v>3127905.6799923549</v>
      </c>
      <c r="R152" s="376">
        <f t="shared" si="62"/>
        <v>3134917.4475411992</v>
      </c>
      <c r="S152" s="376">
        <f t="shared" si="62"/>
        <v>3123085.0898025241</v>
      </c>
      <c r="T152" s="376">
        <f t="shared" si="62"/>
        <v>3162964.5177365774</v>
      </c>
      <c r="U152" s="376">
        <f t="shared" si="62"/>
        <v>3204816.0052937432</v>
      </c>
      <c r="V152" s="376">
        <f t="shared" si="62"/>
        <v>3248639.552474021</v>
      </c>
      <c r="W152" s="376">
        <f t="shared" si="62"/>
        <v>3294654.277013313</v>
      </c>
      <c r="X152" s="376">
        <f t="shared" si="62"/>
        <v>3295749.8656928199</v>
      </c>
      <c r="Y152" s="376">
        <f t="shared" si="62"/>
        <v>3346366.0626860415</v>
      </c>
      <c r="Z152" s="376">
        <f t="shared" si="62"/>
        <v>3399392.5547741782</v>
      </c>
      <c r="AA152" s="376">
        <f t="shared" si="62"/>
        <v>3454610.2242213283</v>
      </c>
      <c r="AB152" s="376">
        <f t="shared" si="62"/>
        <v>3512019.0710274926</v>
      </c>
      <c r="AC152" s="376">
        <f t="shared" si="62"/>
        <v>3548173.497451222</v>
      </c>
      <c r="AD152" s="376">
        <f t="shared" si="62"/>
        <v>3631876.4725655536</v>
      </c>
      <c r="AE152" s="376">
        <f t="shared" si="62"/>
        <v>3717989.7427748004</v>
      </c>
      <c r="AF152" s="376">
        <f t="shared" si="62"/>
        <v>3806294.1903430605</v>
      </c>
      <c r="AG152" s="376">
        <f t="shared" si="62"/>
        <v>3897008.9330062368</v>
      </c>
    </row>
    <row r="153" spans="1:34">
      <c r="A153" s="300" t="s">
        <v>333</v>
      </c>
      <c r="B153" s="300" t="s">
        <v>313</v>
      </c>
      <c r="C153" s="376">
        <f t="shared" ref="C153:AG153" si="63">$H$36*C50</f>
        <v>6660000</v>
      </c>
      <c r="D153" s="376">
        <f t="shared" si="63"/>
        <v>6598153.8461538469</v>
      </c>
      <c r="E153" s="376">
        <f t="shared" si="63"/>
        <v>6542478.461538461</v>
      </c>
      <c r="F153" s="376">
        <f t="shared" si="63"/>
        <v>6492836.2615384618</v>
      </c>
      <c r="G153" s="376">
        <f t="shared" si="63"/>
        <v>6449096.2906153845</v>
      </c>
      <c r="H153" s="376">
        <f t="shared" si="63"/>
        <v>6411134.0114353858</v>
      </c>
      <c r="I153" s="376">
        <f t="shared" si="63"/>
        <v>6029308.3610675074</v>
      </c>
      <c r="J153" s="376">
        <f t="shared" si="63"/>
        <v>5828354.2371187927</v>
      </c>
      <c r="K153" s="376">
        <f t="shared" si="63"/>
        <v>5634083.9680973794</v>
      </c>
      <c r="L153" s="376">
        <f t="shared" si="63"/>
        <v>5446245.3049683124</v>
      </c>
      <c r="M153" s="376">
        <f t="shared" si="63"/>
        <v>5264596.4622642938</v>
      </c>
      <c r="N153" s="376">
        <f t="shared" si="63"/>
        <v>5088905.6559856459</v>
      </c>
      <c r="O153" s="376">
        <f t="shared" si="63"/>
        <v>4918950.6627286831</v>
      </c>
      <c r="P153" s="376">
        <f t="shared" si="63"/>
        <v>4754518.3990427181</v>
      </c>
      <c r="Q153" s="376">
        <f t="shared" si="63"/>
        <v>4595404.5200638082</v>
      </c>
      <c r="R153" s="376">
        <f t="shared" si="63"/>
        <v>4441413.0365188783</v>
      </c>
      <c r="S153" s="376">
        <f t="shared" si="63"/>
        <v>4100682.5366504872</v>
      </c>
      <c r="T153" s="376">
        <f t="shared" si="63"/>
        <v>3984246.1571034491</v>
      </c>
      <c r="U153" s="376">
        <f t="shared" si="63"/>
        <v>3871953.3734631459</v>
      </c>
      <c r="V153" s="376">
        <f t="shared" si="63"/>
        <v>3763625.0939944177</v>
      </c>
      <c r="W153" s="376">
        <f t="shared" si="63"/>
        <v>3659090.5614933781</v>
      </c>
      <c r="X153" s="376">
        <f t="shared" si="63"/>
        <v>3558186.9529366479</v>
      </c>
      <c r="Y153" s="376">
        <f t="shared" si="63"/>
        <v>3460758.998679121</v>
      </c>
      <c r="Z153" s="376">
        <f t="shared" si="63"/>
        <v>3366658.6202366669</v>
      </c>
      <c r="AA153" s="376">
        <f t="shared" si="63"/>
        <v>3275744.5857379641</v>
      </c>
      <c r="AB153" s="376">
        <f t="shared" si="63"/>
        <v>3187882.1821750514</v>
      </c>
      <c r="AC153" s="376">
        <f t="shared" si="63"/>
        <v>3080766.5371686285</v>
      </c>
      <c r="AD153" s="376">
        <f t="shared" si="63"/>
        <v>3091384.2054462628</v>
      </c>
      <c r="AE153" s="376">
        <f t="shared" si="63"/>
        <v>3105609.0174990939</v>
      </c>
      <c r="AF153" s="376">
        <f t="shared" si="63"/>
        <v>3123383.0188872605</v>
      </c>
      <c r="AG153" s="376">
        <f t="shared" si="63"/>
        <v>3144653.833920233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1245942.857142857</v>
      </c>
      <c r="D154" s="376">
        <f t="shared" si="64"/>
        <v>1261594.2857142857</v>
      </c>
      <c r="E154" s="376">
        <f t="shared" si="64"/>
        <v>1278726.4285714289</v>
      </c>
      <c r="F154" s="376">
        <f t="shared" si="64"/>
        <v>1297377.1478571431</v>
      </c>
      <c r="G154" s="376">
        <f t="shared" si="64"/>
        <v>1317586.3543607143</v>
      </c>
      <c r="H154" s="376">
        <f t="shared" si="64"/>
        <v>1339396.0761096966</v>
      </c>
      <c r="I154" s="376">
        <f t="shared" si="64"/>
        <v>1365167.5599711828</v>
      </c>
      <c r="J154" s="376">
        <f t="shared" si="64"/>
        <v>1392525.9903707865</v>
      </c>
      <c r="K154" s="376">
        <f t="shared" si="64"/>
        <v>1421523.7234263588</v>
      </c>
      <c r="L154" s="376">
        <f t="shared" si="64"/>
        <v>1452215.4319353397</v>
      </c>
      <c r="M154" s="376">
        <f t="shared" si="64"/>
        <v>1484658.193593241</v>
      </c>
      <c r="N154" s="376">
        <f t="shared" si="64"/>
        <v>1518911.5828298484</v>
      </c>
      <c r="O154" s="376">
        <f t="shared" si="64"/>
        <v>1555037.7664060632</v>
      </c>
      <c r="P154" s="376">
        <f t="shared" si="64"/>
        <v>1593101.6029200656</v>
      </c>
      <c r="Q154" s="376">
        <f t="shared" si="64"/>
        <v>1633170.746377473</v>
      </c>
      <c r="R154" s="376">
        <f t="shared" si="64"/>
        <v>1675315.7539863652</v>
      </c>
      <c r="S154" s="376">
        <f t="shared" si="64"/>
        <v>1723396.5626447503</v>
      </c>
      <c r="T154" s="376">
        <f t="shared" si="64"/>
        <v>1773589.9218644816</v>
      </c>
      <c r="U154" s="376">
        <f t="shared" si="64"/>
        <v>1825978.440485863</v>
      </c>
      <c r="V154" s="376">
        <f t="shared" si="64"/>
        <v>1880648.0506346319</v>
      </c>
      <c r="W154" s="376">
        <f t="shared" si="64"/>
        <v>1937688.1404640577</v>
      </c>
      <c r="X154" s="376">
        <f t="shared" si="64"/>
        <v>1997191.69220862</v>
      </c>
      <c r="Y154" s="376">
        <f t="shared" si="64"/>
        <v>2059255.4257617053</v>
      </c>
      <c r="Z154" s="376">
        <f t="shared" si="64"/>
        <v>2123979.9479982667</v>
      </c>
      <c r="AA154" s="376">
        <f t="shared" si="64"/>
        <v>2191469.908072229</v>
      </c>
      <c r="AB154" s="376">
        <f t="shared" si="64"/>
        <v>2261834.1589276101</v>
      </c>
      <c r="AC154" s="376">
        <f t="shared" si="64"/>
        <v>2342034.5652770144</v>
      </c>
      <c r="AD154" s="376">
        <f t="shared" si="64"/>
        <v>2425340.2582803182</v>
      </c>
      <c r="AE154" s="376">
        <f t="shared" si="64"/>
        <v>2511874.422107676</v>
      </c>
      <c r="AF154" s="376">
        <f t="shared" si="64"/>
        <v>2601765.1580230901</v>
      </c>
      <c r="AG154" s="376">
        <f t="shared" si="64"/>
        <v>2695145.680965432</v>
      </c>
    </row>
    <row r="155" spans="1:34">
      <c r="A155" s="368" t="s">
        <v>318</v>
      </c>
      <c r="B155" s="300" t="s">
        <v>313</v>
      </c>
      <c r="C155" s="376">
        <f>'Changing with year'!C302</f>
        <v>660000</v>
      </c>
      <c r="D155" s="376">
        <f>'Changing with year'!D302</f>
        <v>690000</v>
      </c>
      <c r="E155" s="376">
        <f>'Changing with year'!E302</f>
        <v>721000</v>
      </c>
      <c r="F155" s="376">
        <f>'Changing with year'!F302</f>
        <v>753000</v>
      </c>
      <c r="G155" s="376">
        <f>'Changing with year'!G302</f>
        <v>787000</v>
      </c>
      <c r="H155" s="376">
        <f>'Changing with year'!H302</f>
        <v>822000</v>
      </c>
      <c r="I155" s="376">
        <f>'Changing with year'!I302</f>
        <v>859000</v>
      </c>
      <c r="J155" s="376">
        <f>'Changing with year'!J302</f>
        <v>898000</v>
      </c>
      <c r="K155" s="376">
        <f>'Changing with year'!K302</f>
        <v>938000</v>
      </c>
      <c r="L155" s="376">
        <f>'Changing with year'!L302</f>
        <v>980000</v>
      </c>
      <c r="M155" s="376">
        <f>'Changing with year'!M302</f>
        <v>1024000</v>
      </c>
      <c r="N155" s="376">
        <f>'Changing with year'!N302</f>
        <v>1070000</v>
      </c>
      <c r="O155" s="376">
        <f>'Changing with year'!O302</f>
        <v>1118000</v>
      </c>
      <c r="P155" s="376">
        <f>'Changing with year'!P302</f>
        <v>1168000</v>
      </c>
      <c r="Q155" s="376">
        <f>'Changing with year'!Q302</f>
        <v>1221000</v>
      </c>
      <c r="R155" s="376">
        <f>'Changing with year'!R302</f>
        <v>1276000</v>
      </c>
      <c r="S155" s="376">
        <f>'Changing with year'!S302</f>
        <v>1333000</v>
      </c>
      <c r="T155" s="376">
        <f>'Changing with year'!T302</f>
        <v>1393000</v>
      </c>
      <c r="U155" s="376">
        <f>'Changing with year'!U302</f>
        <v>1456000</v>
      </c>
      <c r="V155" s="376">
        <f>'Changing with year'!V302</f>
        <v>1522000</v>
      </c>
      <c r="W155" s="376">
        <f>'Changing with year'!W302</f>
        <v>1590000</v>
      </c>
      <c r="X155" s="376">
        <f>'Changing with year'!X302</f>
        <v>1662000</v>
      </c>
      <c r="Y155" s="376">
        <f>'Changing with year'!Y302</f>
        <v>1737000</v>
      </c>
      <c r="Z155" s="376">
        <f>'Changing with year'!Z302</f>
        <v>1815000</v>
      </c>
      <c r="AA155" s="376">
        <f>'Changing with year'!AA302</f>
        <v>1897000</v>
      </c>
      <c r="AB155" s="376">
        <f>'Changing with year'!AB302</f>
        <v>1982000</v>
      </c>
      <c r="AC155" s="376">
        <f>'Changing with year'!AC302</f>
        <v>2071000</v>
      </c>
      <c r="AD155" s="376">
        <f>'Changing with year'!AD302</f>
        <v>2164000</v>
      </c>
      <c r="AE155" s="376">
        <f>'Changing with year'!AE302</f>
        <v>2261000</v>
      </c>
      <c r="AF155" s="376">
        <f>'Changing with year'!AF302</f>
        <v>2363000</v>
      </c>
      <c r="AG155" s="376">
        <f>'Changing with year'!AG302</f>
        <v>2469000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C61</f>
        <v>864000</v>
      </c>
      <c r="D156" s="376">
        <f t="shared" si="65"/>
        <v>872640</v>
      </c>
      <c r="E156" s="376">
        <f t="shared" si="65"/>
        <v>881366.4</v>
      </c>
      <c r="F156" s="376">
        <f t="shared" si="65"/>
        <v>890180.06399999978</v>
      </c>
      <c r="G156" s="376">
        <f t="shared" si="65"/>
        <v>899081.86464000004</v>
      </c>
      <c r="H156" s="376">
        <f t="shared" si="65"/>
        <v>908072.68328640005</v>
      </c>
      <c r="I156" s="376">
        <f t="shared" si="65"/>
        <v>917153.41011926392</v>
      </c>
      <c r="J156" s="376">
        <f t="shared" si="65"/>
        <v>926324.94422045664</v>
      </c>
      <c r="K156" s="376">
        <f t="shared" si="65"/>
        <v>935588.19366266136</v>
      </c>
      <c r="L156" s="376">
        <f t="shared" si="65"/>
        <v>944944.0755992881</v>
      </c>
      <c r="M156" s="376">
        <f t="shared" si="65"/>
        <v>954393.51635528088</v>
      </c>
      <c r="N156" s="376">
        <f t="shared" si="65"/>
        <v>963937.45151883364</v>
      </c>
      <c r="O156" s="376">
        <f t="shared" si="65"/>
        <v>973576.82603402203</v>
      </c>
      <c r="P156" s="376">
        <f t="shared" si="65"/>
        <v>983312.59429436235</v>
      </c>
      <c r="Q156" s="376">
        <f t="shared" si="65"/>
        <v>993145.72023730609</v>
      </c>
      <c r="R156" s="376">
        <f t="shared" si="65"/>
        <v>1003077.1774396792</v>
      </c>
      <c r="S156" s="376">
        <f t="shared" si="65"/>
        <v>1013107.949214076</v>
      </c>
      <c r="T156" s="376">
        <f t="shared" si="65"/>
        <v>1023239.0287062167</v>
      </c>
      <c r="U156" s="376">
        <f t="shared" si="65"/>
        <v>1033471.4189932789</v>
      </c>
      <c r="V156" s="376">
        <f t="shared" si="65"/>
        <v>1043806.1331832118</v>
      </c>
      <c r="W156" s="376">
        <f t="shared" si="65"/>
        <v>1054244.1945150439</v>
      </c>
      <c r="X156" s="376">
        <f t="shared" si="65"/>
        <v>1064786.6364601944</v>
      </c>
      <c r="Y156" s="376">
        <f t="shared" si="65"/>
        <v>1075434.5028247964</v>
      </c>
      <c r="Z156" s="376">
        <f t="shared" si="65"/>
        <v>1086188.8478530445</v>
      </c>
      <c r="AA156" s="376">
        <f t="shared" si="65"/>
        <v>1097050.7363315746</v>
      </c>
      <c r="AB156" s="376">
        <f t="shared" si="65"/>
        <v>1108021.2436948905</v>
      </c>
      <c r="AC156" s="376">
        <f t="shared" si="65"/>
        <v>1119101.4561318394</v>
      </c>
      <c r="AD156" s="376">
        <f t="shared" si="65"/>
        <v>1130292.470693158</v>
      </c>
      <c r="AE156" s="376">
        <f t="shared" si="65"/>
        <v>1141595.3954000894</v>
      </c>
      <c r="AF156" s="376">
        <f t="shared" si="65"/>
        <v>1153011.3493540904</v>
      </c>
      <c r="AG156" s="376">
        <f t="shared" si="65"/>
        <v>1164541.4628476314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307320</v>
      </c>
      <c r="D157" s="376">
        <f t="shared" si="66"/>
        <v>302580</v>
      </c>
      <c r="E157" s="376">
        <f t="shared" si="66"/>
        <v>298180</v>
      </c>
      <c r="F157" s="376">
        <f t="shared" si="66"/>
        <v>294140</v>
      </c>
      <c r="G157" s="376">
        <f t="shared" si="66"/>
        <v>290420</v>
      </c>
      <c r="H157" s="376">
        <f t="shared" si="66"/>
        <v>291060</v>
      </c>
      <c r="I157" s="376">
        <f t="shared" si="66"/>
        <v>289320</v>
      </c>
      <c r="J157" s="376">
        <f t="shared" si="66"/>
        <v>287960</v>
      </c>
      <c r="K157" s="376">
        <f t="shared" si="66"/>
        <v>286860</v>
      </c>
      <c r="L157" s="376">
        <f t="shared" si="66"/>
        <v>286020</v>
      </c>
      <c r="M157" s="376">
        <f t="shared" si="66"/>
        <v>285420</v>
      </c>
      <c r="N157" s="376">
        <f t="shared" si="66"/>
        <v>285060</v>
      </c>
      <c r="O157" s="376">
        <f t="shared" si="66"/>
        <v>284960</v>
      </c>
      <c r="P157" s="376">
        <f t="shared" si="66"/>
        <v>285100</v>
      </c>
      <c r="Q157" s="376">
        <f t="shared" si="66"/>
        <v>285500</v>
      </c>
      <c r="R157" s="376">
        <f t="shared" si="66"/>
        <v>286140</v>
      </c>
      <c r="S157" s="376">
        <f t="shared" si="66"/>
        <v>285060</v>
      </c>
      <c r="T157" s="376">
        <f t="shared" si="66"/>
        <v>288700</v>
      </c>
      <c r="U157" s="376">
        <f t="shared" si="66"/>
        <v>292520</v>
      </c>
      <c r="V157" s="376">
        <f t="shared" si="66"/>
        <v>296520</v>
      </c>
      <c r="W157" s="376">
        <f t="shared" si="66"/>
        <v>300720</v>
      </c>
      <c r="X157" s="376">
        <f t="shared" si="66"/>
        <v>300820</v>
      </c>
      <c r="Y157" s="376">
        <f t="shared" si="66"/>
        <v>305440</v>
      </c>
      <c r="Z157" s="376">
        <f t="shared" si="66"/>
        <v>310280</v>
      </c>
      <c r="AA157" s="376">
        <f t="shared" si="66"/>
        <v>315320</v>
      </c>
      <c r="AB157" s="376">
        <f t="shared" si="66"/>
        <v>320560</v>
      </c>
      <c r="AC157" s="376">
        <f t="shared" si="66"/>
        <v>323860</v>
      </c>
      <c r="AD157" s="376">
        <f t="shared" si="66"/>
        <v>331500</v>
      </c>
      <c r="AE157" s="376">
        <f t="shared" si="66"/>
        <v>339360</v>
      </c>
      <c r="AF157" s="376">
        <f t="shared" si="66"/>
        <v>347420</v>
      </c>
      <c r="AG157" s="376">
        <f t="shared" si="66"/>
        <v>355700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35.072532602716379</v>
      </c>
      <c r="D159" s="379">
        <f t="shared" si="67"/>
        <v>34.531585692209816</v>
      </c>
      <c r="E159" s="379">
        <f t="shared" si="67"/>
        <v>34.02944088076913</v>
      </c>
      <c r="F159" s="379">
        <f t="shared" si="67"/>
        <v>33.568380644809949</v>
      </c>
      <c r="G159" s="379">
        <f t="shared" si="67"/>
        <v>33.143840031501007</v>
      </c>
      <c r="H159" s="379">
        <f t="shared" si="67"/>
        <v>33.216879276801471</v>
      </c>
      <c r="I159" s="379">
        <f t="shared" si="67"/>
        <v>33.018303828640839</v>
      </c>
      <c r="J159" s="379">
        <f t="shared" si="67"/>
        <v>32.863095432377349</v>
      </c>
      <c r="K159" s="379">
        <f t="shared" si="67"/>
        <v>32.737559229517181</v>
      </c>
      <c r="L159" s="379">
        <f t="shared" si="67"/>
        <v>32.641695220060321</v>
      </c>
      <c r="M159" s="379">
        <f t="shared" si="67"/>
        <v>32.573220927591137</v>
      </c>
      <c r="N159" s="379">
        <f t="shared" si="67"/>
        <v>32.532136352109625</v>
      </c>
      <c r="O159" s="379">
        <f t="shared" si="67"/>
        <v>32.520723970031426</v>
      </c>
      <c r="P159" s="379">
        <f t="shared" si="67"/>
        <v>32.536701304940905</v>
      </c>
      <c r="Q159" s="379">
        <f t="shared" si="67"/>
        <v>32.582350833253699</v>
      </c>
      <c r="R159" s="379">
        <f t="shared" si="67"/>
        <v>32.655390078554156</v>
      </c>
      <c r="S159" s="379">
        <f t="shared" si="67"/>
        <v>32.532136352109625</v>
      </c>
      <c r="T159" s="379">
        <f t="shared" si="67"/>
        <v>32.947547059756012</v>
      </c>
      <c r="U159" s="379">
        <f t="shared" si="67"/>
        <v>33.383500055143159</v>
      </c>
      <c r="V159" s="379">
        <f t="shared" si="67"/>
        <v>33.839995338271052</v>
      </c>
      <c r="W159" s="379">
        <f t="shared" si="67"/>
        <v>34.319315385555342</v>
      </c>
      <c r="X159" s="379">
        <f t="shared" si="67"/>
        <v>34.33072776763354</v>
      </c>
      <c r="Y159" s="379">
        <f t="shared" si="67"/>
        <v>34.857979819646268</v>
      </c>
      <c r="Z159" s="379">
        <f t="shared" si="67"/>
        <v>35.410339112231021</v>
      </c>
      <c r="AA159" s="379">
        <f t="shared" si="67"/>
        <v>35.985523168972172</v>
      </c>
      <c r="AB159" s="379">
        <f t="shared" si="67"/>
        <v>36.583531989869712</v>
      </c>
      <c r="AC159" s="379">
        <f t="shared" si="67"/>
        <v>36.960140598450231</v>
      </c>
      <c r="AD159" s="379">
        <f t="shared" si="67"/>
        <v>37.832046589224518</v>
      </c>
      <c r="AE159" s="379">
        <f t="shared" si="67"/>
        <v>38.729059820570839</v>
      </c>
      <c r="AF159" s="379">
        <f t="shared" si="67"/>
        <v>39.64889781607355</v>
      </c>
      <c r="AG159" s="379">
        <f t="shared" si="67"/>
        <v>40.593843052148301</v>
      </c>
    </row>
    <row r="160" spans="1:34">
      <c r="A160" s="300" t="s">
        <v>321</v>
      </c>
      <c r="B160" s="300" t="s">
        <v>300</v>
      </c>
      <c r="C160" s="379">
        <f t="shared" si="67"/>
        <v>69.375</v>
      </c>
      <c r="D160" s="379">
        <f t="shared" si="67"/>
        <v>68.730769230769241</v>
      </c>
      <c r="E160" s="379">
        <f t="shared" si="67"/>
        <v>68.150817307692307</v>
      </c>
      <c r="F160" s="379">
        <f t="shared" si="67"/>
        <v>67.63371105769231</v>
      </c>
      <c r="G160" s="379">
        <f t="shared" si="67"/>
        <v>67.178086360576927</v>
      </c>
      <c r="H160" s="379">
        <f t="shared" si="67"/>
        <v>66.782645952451929</v>
      </c>
      <c r="I160" s="379">
        <f t="shared" si="67"/>
        <v>62.805295427786533</v>
      </c>
      <c r="J160" s="379">
        <f t="shared" si="67"/>
        <v>60.712023303320755</v>
      </c>
      <c r="K160" s="379">
        <f t="shared" si="67"/>
        <v>58.688374667681039</v>
      </c>
      <c r="L160" s="379">
        <f t="shared" si="67"/>
        <v>56.731721926753252</v>
      </c>
      <c r="M160" s="379">
        <f t="shared" si="67"/>
        <v>54.839546481919726</v>
      </c>
      <c r="N160" s="379">
        <f t="shared" si="67"/>
        <v>53.009433916517146</v>
      </c>
      <c r="O160" s="379">
        <f t="shared" si="67"/>
        <v>51.239069403423784</v>
      </c>
      <c r="P160" s="379">
        <f t="shared" si="67"/>
        <v>49.526233323361645</v>
      </c>
      <c r="Q160" s="379">
        <f t="shared" si="67"/>
        <v>47.868797083998004</v>
      </c>
      <c r="R160" s="379">
        <f t="shared" si="67"/>
        <v>46.264719130404984</v>
      </c>
      <c r="S160" s="379">
        <f t="shared" si="67"/>
        <v>42.71544309010924</v>
      </c>
      <c r="T160" s="379">
        <f t="shared" si="67"/>
        <v>41.502564136494264</v>
      </c>
      <c r="U160" s="379">
        <f t="shared" si="67"/>
        <v>40.332847640241106</v>
      </c>
      <c r="V160" s="379">
        <f t="shared" si="67"/>
        <v>39.204428062441849</v>
      </c>
      <c r="W160" s="379">
        <f t="shared" si="67"/>
        <v>38.115526682222686</v>
      </c>
      <c r="X160" s="379">
        <f t="shared" si="67"/>
        <v>37.064447426423413</v>
      </c>
      <c r="Y160" s="379">
        <f t="shared" si="67"/>
        <v>36.049572902907514</v>
      </c>
      <c r="Z160" s="379">
        <f t="shared" si="67"/>
        <v>35.069360627465279</v>
      </c>
      <c r="AA160" s="379">
        <f t="shared" si="67"/>
        <v>34.12233943477046</v>
      </c>
      <c r="AB160" s="379">
        <f t="shared" si="67"/>
        <v>33.207106064323455</v>
      </c>
      <c r="AC160" s="379">
        <f t="shared" si="67"/>
        <v>32.091318095506544</v>
      </c>
      <c r="AD160" s="379">
        <f t="shared" si="67"/>
        <v>32.201918806731904</v>
      </c>
      <c r="AE160" s="379">
        <f t="shared" si="67"/>
        <v>32.350093932282228</v>
      </c>
      <c r="AF160" s="379">
        <f t="shared" si="67"/>
        <v>32.535239780075628</v>
      </c>
      <c r="AG160" s="379">
        <f t="shared" si="67"/>
        <v>32.756810770002424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32.054821428571429</v>
      </c>
      <c r="D161" s="379">
        <f t="shared" si="68"/>
        <v>32.57098214285714</v>
      </c>
      <c r="E161" s="379">
        <f t="shared" si="68"/>
        <v>33.11742529761905</v>
      </c>
      <c r="F161" s="379">
        <f t="shared" si="68"/>
        <v>33.694762623511906</v>
      </c>
      <c r="G161" s="379">
        <f t="shared" si="68"/>
        <v>34.313418947924113</v>
      </c>
      <c r="H161" s="379">
        <f t="shared" si="68"/>
        <v>35.005507910376011</v>
      </c>
      <c r="I161" s="379">
        <f t="shared" si="68"/>
        <v>35.735843438442153</v>
      </c>
      <c r="J161" s="379">
        <f t="shared" si="68"/>
        <v>36.508447235325455</v>
      </c>
      <c r="K161" s="379">
        <f t="shared" si="68"/>
        <v>37.31220746967729</v>
      </c>
      <c r="L161" s="379">
        <f t="shared" si="68"/>
        <v>38.158119870152376</v>
      </c>
      <c r="M161" s="379">
        <f t="shared" si="68"/>
        <v>39.046580311963773</v>
      </c>
      <c r="N161" s="379">
        <f t="shared" si="68"/>
        <v>39.978219107798772</v>
      </c>
      <c r="O161" s="379">
        <f t="shared" si="68"/>
        <v>40.953902004584222</v>
      </c>
      <c r="P161" s="379">
        <f t="shared" si="68"/>
        <v>41.974106220983622</v>
      </c>
      <c r="Q161" s="379">
        <f t="shared" si="68"/>
        <v>43.050171527237282</v>
      </c>
      <c r="R161" s="379">
        <f t="shared" si="68"/>
        <v>44.172218035687962</v>
      </c>
      <c r="S161" s="379">
        <f t="shared" si="68"/>
        <v>45.360046998529441</v>
      </c>
      <c r="T161" s="379">
        <f t="shared" si="68"/>
        <v>46.651343235111447</v>
      </c>
      <c r="U161" s="379">
        <f t="shared" si="68"/>
        <v>47.999686036241066</v>
      </c>
      <c r="V161" s="379">
        <f t="shared" si="68"/>
        <v>49.405981081435876</v>
      </c>
      <c r="W161" s="379">
        <f t="shared" si="68"/>
        <v>50.860961822698982</v>
      </c>
      <c r="X161" s="379">
        <f t="shared" si="68"/>
        <v>52.341649256966811</v>
      </c>
      <c r="Y161" s="379">
        <f t="shared" si="68"/>
        <v>53.928436756109392</v>
      </c>
      <c r="Z161" s="379">
        <f t="shared" si="68"/>
        <v>55.577591623451156</v>
      </c>
      <c r="AA161" s="379">
        <f t="shared" si="68"/>
        <v>57.300423379206293</v>
      </c>
      <c r="AB161" s="379">
        <f t="shared" si="68"/>
        <v>59.087660443984376</v>
      </c>
      <c r="AC161" s="379">
        <f t="shared" si="68"/>
        <v>60.999958556342222</v>
      </c>
      <c r="AD161" s="379">
        <f t="shared" si="68"/>
        <v>63.032632593473707</v>
      </c>
      <c r="AE161" s="379">
        <f t="shared" si="68"/>
        <v>65.144060599039221</v>
      </c>
      <c r="AF161" s="379">
        <f t="shared" si="68"/>
        <v>67.345796951845628</v>
      </c>
      <c r="AG161" s="379">
        <f t="shared" si="68"/>
        <v>69.629032748052737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1.1433035714285713</v>
      </c>
      <c r="D162" s="379">
        <f t="shared" si="69"/>
        <v>1.1256696428571427</v>
      </c>
      <c r="E162" s="379">
        <f t="shared" si="69"/>
        <v>1.109300595238095</v>
      </c>
      <c r="F162" s="379">
        <f t="shared" si="69"/>
        <v>1.0942708333333331</v>
      </c>
      <c r="G162" s="379">
        <f t="shared" si="69"/>
        <v>1.0804315476190474</v>
      </c>
      <c r="H162" s="379">
        <f t="shared" si="69"/>
        <v>1.0828124999999997</v>
      </c>
      <c r="I162" s="379">
        <f t="shared" si="69"/>
        <v>1.0763392857142855</v>
      </c>
      <c r="J162" s="379">
        <f t="shared" si="69"/>
        <v>1.0712797619047618</v>
      </c>
      <c r="K162" s="379">
        <f t="shared" si="69"/>
        <v>1.0671874999999997</v>
      </c>
      <c r="L162" s="379">
        <f t="shared" si="69"/>
        <v>1.0640624999999999</v>
      </c>
      <c r="M162" s="379">
        <f t="shared" si="69"/>
        <v>1.0618303571428569</v>
      </c>
      <c r="N162" s="379">
        <f t="shared" si="69"/>
        <v>3.1814732142857149</v>
      </c>
      <c r="O162" s="379">
        <f t="shared" si="69"/>
        <v>3.1803571428571438</v>
      </c>
      <c r="P162" s="379">
        <f t="shared" si="69"/>
        <v>3.1819196428571437</v>
      </c>
      <c r="Q162" s="379">
        <f t="shared" si="69"/>
        <v>3.1863839285714293</v>
      </c>
      <c r="R162" s="379">
        <f t="shared" si="69"/>
        <v>3.1935267857142864</v>
      </c>
      <c r="S162" s="379">
        <f t="shared" si="69"/>
        <v>3.1814732142857149</v>
      </c>
      <c r="T162" s="379">
        <f t="shared" si="69"/>
        <v>3.2220982142857149</v>
      </c>
      <c r="U162" s="379">
        <f t="shared" si="69"/>
        <v>3.2647321428571434</v>
      </c>
      <c r="V162" s="379">
        <f t="shared" si="69"/>
        <v>3.3093750000000006</v>
      </c>
      <c r="W162" s="379">
        <f t="shared" si="69"/>
        <v>3.3562500000000006</v>
      </c>
      <c r="X162" s="379">
        <f t="shared" si="69"/>
        <v>5.5956101190476186</v>
      </c>
      <c r="Y162" s="379">
        <f t="shared" si="69"/>
        <v>5.6815476190476186</v>
      </c>
      <c r="Z162" s="379">
        <f t="shared" si="69"/>
        <v>5.7715773809523814</v>
      </c>
      <c r="AA162" s="379">
        <f t="shared" si="69"/>
        <v>5.8653273809523814</v>
      </c>
      <c r="AB162" s="379">
        <f t="shared" si="69"/>
        <v>5.9627976190476186</v>
      </c>
      <c r="AC162" s="379">
        <f t="shared" si="69"/>
        <v>6.0241815476190474</v>
      </c>
      <c r="AD162" s="379">
        <f t="shared" si="69"/>
        <v>6.1662946428571432</v>
      </c>
      <c r="AE162" s="379">
        <f t="shared" si="69"/>
        <v>6.3125</v>
      </c>
      <c r="AF162" s="379">
        <f t="shared" si="69"/>
        <v>6.4624255952380949</v>
      </c>
      <c r="AG162" s="379">
        <f t="shared" si="69"/>
        <v>6.6164434523809526</v>
      </c>
    </row>
    <row r="163" spans="1:33" s="352" customFormat="1">
      <c r="A163" s="380" t="s">
        <v>323</v>
      </c>
      <c r="B163" s="352" t="s">
        <v>300</v>
      </c>
      <c r="C163" s="381">
        <f>SUM(C159:C161)-C162</f>
        <v>135.35905045985925</v>
      </c>
      <c r="D163" s="381">
        <f t="shared" ref="D163:AG163" si="70">SUM(D159:D161)-D162</f>
        <v>134.70766742297906</v>
      </c>
      <c r="E163" s="381">
        <f t="shared" si="70"/>
        <v>134.18838289084238</v>
      </c>
      <c r="F163" s="381">
        <f t="shared" si="70"/>
        <v>133.80258349268084</v>
      </c>
      <c r="G163" s="381">
        <f t="shared" si="70"/>
        <v>133.55491379238299</v>
      </c>
      <c r="H163" s="381">
        <f t="shared" si="70"/>
        <v>133.92222063962942</v>
      </c>
      <c r="I163" s="381">
        <f t="shared" si="70"/>
        <v>130.48310340915523</v>
      </c>
      <c r="J163" s="381">
        <f t="shared" si="70"/>
        <v>129.01228620911883</v>
      </c>
      <c r="K163" s="381">
        <f t="shared" si="70"/>
        <v>127.67095386687551</v>
      </c>
      <c r="L163" s="381">
        <f t="shared" si="70"/>
        <v>126.46747451696595</v>
      </c>
      <c r="M163" s="381">
        <f t="shared" si="70"/>
        <v>125.39751736433179</v>
      </c>
      <c r="N163" s="381">
        <f t="shared" si="70"/>
        <v>122.33831616213982</v>
      </c>
      <c r="O163" s="381">
        <f t="shared" si="70"/>
        <v>121.53333823518228</v>
      </c>
      <c r="P163" s="381">
        <f t="shared" si="70"/>
        <v>120.85512120642903</v>
      </c>
      <c r="Q163" s="381">
        <f t="shared" si="70"/>
        <v>120.31493551591755</v>
      </c>
      <c r="R163" s="381">
        <f t="shared" si="70"/>
        <v>119.89880045893281</v>
      </c>
      <c r="S163" s="381">
        <f t="shared" si="70"/>
        <v>117.42615322646259</v>
      </c>
      <c r="T163" s="381">
        <f t="shared" si="70"/>
        <v>117.87935621707602</v>
      </c>
      <c r="U163" s="381">
        <f t="shared" si="70"/>
        <v>118.45130158876817</v>
      </c>
      <c r="V163" s="381">
        <f t="shared" si="70"/>
        <v>119.14102948214877</v>
      </c>
      <c r="W163" s="381">
        <f t="shared" si="70"/>
        <v>119.939553890477</v>
      </c>
      <c r="X163" s="381">
        <f t="shared" si="70"/>
        <v>118.14121433197613</v>
      </c>
      <c r="Y163" s="381">
        <f t="shared" si="70"/>
        <v>119.15444185961556</v>
      </c>
      <c r="Z163" s="381">
        <f t="shared" si="70"/>
        <v>120.28571398219508</v>
      </c>
      <c r="AA163" s="381">
        <f t="shared" si="70"/>
        <v>121.54295860199655</v>
      </c>
      <c r="AB163" s="381">
        <f t="shared" si="70"/>
        <v>122.91550087912992</v>
      </c>
      <c r="AC163" s="381">
        <f t="shared" si="70"/>
        <v>124.02723570267993</v>
      </c>
      <c r="AD163" s="381">
        <f t="shared" si="70"/>
        <v>126.900303346573</v>
      </c>
      <c r="AE163" s="381">
        <f t="shared" si="70"/>
        <v>129.9107143518923</v>
      </c>
      <c r="AF163" s="381">
        <f t="shared" si="70"/>
        <v>133.0675089527567</v>
      </c>
      <c r="AG163" s="381">
        <f t="shared" si="70"/>
        <v>136.36324311782249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67.543924537538089</v>
      </c>
      <c r="D165" s="379">
        <f t="shared" si="72"/>
        <v>72.41013266142248</v>
      </c>
      <c r="E165" s="379">
        <f t="shared" si="72"/>
        <v>74.196495904085666</v>
      </c>
      <c r="F165" s="379">
        <f t="shared" si="72"/>
        <v>76.031939472578571</v>
      </c>
      <c r="G165" s="379">
        <f t="shared" si="72"/>
        <v>77.928112478981802</v>
      </c>
      <c r="H165" s="379">
        <f t="shared" si="72"/>
        <v>80.574389582417538</v>
      </c>
      <c r="I165" s="379">
        <f t="shared" si="72"/>
        <v>82.606029763080116</v>
      </c>
      <c r="J165" s="379">
        <f t="shared" si="72"/>
        <v>84.692205738465091</v>
      </c>
      <c r="K165" s="379">
        <f t="shared" si="72"/>
        <v>86.844513020205639</v>
      </c>
      <c r="L165" s="379">
        <f t="shared" si="72"/>
        <v>89.053921470809939</v>
      </c>
      <c r="M165" s="379">
        <f t="shared" si="72"/>
        <v>91.332268472694935</v>
      </c>
      <c r="N165" s="379">
        <f t="shared" si="72"/>
        <v>94.782007174877734</v>
      </c>
      <c r="O165" s="379">
        <f t="shared" si="72"/>
        <v>97.235672047587983</v>
      </c>
      <c r="P165" s="379">
        <f t="shared" si="72"/>
        <v>99.763562665608717</v>
      </c>
      <c r="Q165" s="379">
        <f t="shared" si="72"/>
        <v>102.36746850802449</v>
      </c>
      <c r="R165" s="379">
        <f t="shared" si="72"/>
        <v>105.04884071891112</v>
      </c>
      <c r="S165" s="379">
        <f t="shared" si="72"/>
        <v>107.80955180749665</v>
      </c>
      <c r="T165" s="379">
        <f t="shared" si="72"/>
        <v>110.66174517048695</v>
      </c>
      <c r="U165" s="379">
        <f t="shared" si="72"/>
        <v>113.5967762342039</v>
      </c>
      <c r="V165" s="379">
        <f t="shared" si="72"/>
        <v>116.62707032345376</v>
      </c>
      <c r="W165" s="379">
        <f t="shared" si="72"/>
        <v>119.74407858796572</v>
      </c>
      <c r="X165" s="379">
        <f t="shared" si="72"/>
        <v>124.4397788556286</v>
      </c>
      <c r="Y165" s="379">
        <f t="shared" si="72"/>
        <v>127.8014354816481</v>
      </c>
      <c r="Z165" s="379">
        <f t="shared" si="72"/>
        <v>131.26765071522701</v>
      </c>
      <c r="AA165" s="379">
        <f t="shared" si="72"/>
        <v>134.84094428191199</v>
      </c>
      <c r="AB165" s="379">
        <f t="shared" si="72"/>
        <v>138.53390197464671</v>
      </c>
      <c r="AC165" s="379">
        <f t="shared" si="72"/>
        <v>142.33833666629238</v>
      </c>
      <c r="AD165" s="379">
        <f t="shared" si="72"/>
        <v>146.26736607035184</v>
      </c>
      <c r="AE165" s="379">
        <f t="shared" si="72"/>
        <v>150.32355172915712</v>
      </c>
      <c r="AF165" s="379">
        <f t="shared" si="72"/>
        <v>154.50952250922168</v>
      </c>
      <c r="AG165" s="379">
        <f t="shared" si="72"/>
        <v>158.82797708327348</v>
      </c>
    </row>
    <row r="166" spans="1:33">
      <c r="A166" s="368" t="s">
        <v>179</v>
      </c>
      <c r="B166" s="368" t="s">
        <v>179</v>
      </c>
      <c r="C166" s="379">
        <f t="shared" ref="C166:AG166" si="73">C95</f>
        <v>65.833348404329541</v>
      </c>
      <c r="D166" s="379">
        <f t="shared" si="73"/>
        <v>68.510098856459422</v>
      </c>
      <c r="E166" s="379">
        <f t="shared" si="73"/>
        <v>70.570850988819871</v>
      </c>
      <c r="F166" s="379">
        <f t="shared" si="73"/>
        <v>72.696935151817783</v>
      </c>
      <c r="G166" s="379">
        <f t="shared" si="73"/>
        <v>74.900543725039</v>
      </c>
      <c r="H166" s="379">
        <f t="shared" si="73"/>
        <v>77.901561458335493</v>
      </c>
      <c r="I166" s="379">
        <f t="shared" si="73"/>
        <v>80.277221115145423</v>
      </c>
      <c r="J166" s="379">
        <f t="shared" si="73"/>
        <v>82.726333028452586</v>
      </c>
      <c r="K166" s="379">
        <f t="shared" si="73"/>
        <v>85.261357319166336</v>
      </c>
      <c r="L166" s="379">
        <f t="shared" si="73"/>
        <v>87.873988741497257</v>
      </c>
      <c r="M166" s="379">
        <f t="shared" si="73"/>
        <v>90.576825660818756</v>
      </c>
      <c r="N166" s="379">
        <f t="shared" si="73"/>
        <v>94.524629698105656</v>
      </c>
      <c r="O166" s="379">
        <f t="shared" si="73"/>
        <v>97.44929107693811</v>
      </c>
      <c r="P166" s="379">
        <f t="shared" si="73"/>
        <v>100.47218630572313</v>
      </c>
      <c r="Q166" s="379">
        <f t="shared" si="73"/>
        <v>103.59583407306016</v>
      </c>
      <c r="R166" s="379">
        <f t="shared" si="73"/>
        <v>106.82283709759157</v>
      </c>
      <c r="S166" s="379">
        <f t="shared" si="73"/>
        <v>110.15588499370401</v>
      </c>
      <c r="T166" s="379">
        <f t="shared" si="73"/>
        <v>113.60817390371952</v>
      </c>
      <c r="U166" s="379">
        <f t="shared" si="73"/>
        <v>117.17215956679293</v>
      </c>
      <c r="V166" s="379">
        <f t="shared" si="73"/>
        <v>120.86122716152643</v>
      </c>
      <c r="W166" s="379">
        <f t="shared" si="73"/>
        <v>124.66802792611317</v>
      </c>
      <c r="X166" s="379">
        <f t="shared" si="73"/>
        <v>130.1550226011968</v>
      </c>
      <c r="Y166" s="379">
        <f t="shared" si="73"/>
        <v>134.2742076533539</v>
      </c>
      <c r="Z166" s="379">
        <f t="shared" si="73"/>
        <v>138.53277121518514</v>
      </c>
      <c r="AA166" s="379">
        <f t="shared" si="73"/>
        <v>142.93425580946982</v>
      </c>
      <c r="AB166" s="379">
        <f t="shared" si="73"/>
        <v>147.49273951352862</v>
      </c>
      <c r="AC166" s="379">
        <f t="shared" si="73"/>
        <v>152.20159003700229</v>
      </c>
      <c r="AD166" s="379">
        <f t="shared" si="73"/>
        <v>157.07513560914262</v>
      </c>
      <c r="AE166" s="379">
        <f t="shared" si="73"/>
        <v>162.11741934738924</v>
      </c>
      <c r="AF166" s="379">
        <f t="shared" si="73"/>
        <v>167.33262044585726</v>
      </c>
      <c r="AG166" s="379">
        <f t="shared" si="73"/>
        <v>172.72505885588907</v>
      </c>
    </row>
    <row r="167" spans="1:33">
      <c r="A167" s="300" t="s">
        <v>180</v>
      </c>
      <c r="B167" s="300" t="s">
        <v>180</v>
      </c>
      <c r="C167" s="379">
        <f t="shared" ref="C167:AG167" si="74">C112</f>
        <v>66.583679269978219</v>
      </c>
      <c r="D167" s="379">
        <f t="shared" si="74"/>
        <v>68.732212611260962</v>
      </c>
      <c r="E167" s="379">
        <f t="shared" si="74"/>
        <v>70.758579054523594</v>
      </c>
      <c r="F167" s="379">
        <f t="shared" si="74"/>
        <v>72.84558541229822</v>
      </c>
      <c r="G167" s="379">
        <f t="shared" si="74"/>
        <v>75.010582896342058</v>
      </c>
      <c r="H167" s="379">
        <f t="shared" si="74"/>
        <v>77.971321281056134</v>
      </c>
      <c r="I167" s="379">
        <f t="shared" si="74"/>
        <v>80.304710107062718</v>
      </c>
      <c r="J167" s="379">
        <f t="shared" si="74"/>
        <v>82.71039233465595</v>
      </c>
      <c r="K167" s="379">
        <f t="shared" si="74"/>
        <v>85.200465509057295</v>
      </c>
      <c r="L167" s="379">
        <f t="shared" si="74"/>
        <v>87.764429764627096</v>
      </c>
      <c r="M167" s="379">
        <f t="shared" si="74"/>
        <v>90.418141143975106</v>
      </c>
      <c r="N167" s="379">
        <f t="shared" si="74"/>
        <v>94.454642604358142</v>
      </c>
      <c r="O167" s="379">
        <f t="shared" si="74"/>
        <v>97.326635075788744</v>
      </c>
      <c r="P167" s="379">
        <f t="shared" si="74"/>
        <v>100.295182831129</v>
      </c>
      <c r="Q167" s="379">
        <f t="shared" si="74"/>
        <v>103.36234050694991</v>
      </c>
      <c r="R167" s="379">
        <f t="shared" si="74"/>
        <v>106.52826287188871</v>
      </c>
      <c r="S167" s="379">
        <f t="shared" si="74"/>
        <v>109.80105715678184</v>
      </c>
      <c r="T167" s="379">
        <f t="shared" si="74"/>
        <v>113.18750249252348</v>
      </c>
      <c r="U167" s="379">
        <f t="shared" si="74"/>
        <v>116.68544225286887</v>
      </c>
      <c r="V167" s="379">
        <f t="shared" si="74"/>
        <v>120.30575367651872</v>
      </c>
      <c r="W167" s="379">
        <f t="shared" si="74"/>
        <v>124.04053389927576</v>
      </c>
      <c r="X167" s="379">
        <f t="shared" si="74"/>
        <v>129.596585014357</v>
      </c>
      <c r="Y167" s="379">
        <f t="shared" si="74"/>
        <v>133.63742383164916</v>
      </c>
      <c r="Z167" s="379">
        <f t="shared" si="74"/>
        <v>137.81664679457072</v>
      </c>
      <c r="AA167" s="379">
        <f t="shared" si="74"/>
        <v>142.13501217325845</v>
      </c>
      <c r="AB167" s="379">
        <f t="shared" si="74"/>
        <v>146.60803140026809</v>
      </c>
      <c r="AC167" s="379">
        <f t="shared" si="74"/>
        <v>151.22624740567559</v>
      </c>
      <c r="AD167" s="379">
        <f t="shared" si="74"/>
        <v>156.00749881717749</v>
      </c>
      <c r="AE167" s="379">
        <f t="shared" si="74"/>
        <v>160.95296097763679</v>
      </c>
      <c r="AF167" s="379">
        <f t="shared" si="74"/>
        <v>166.07027919475124</v>
      </c>
      <c r="AG167" s="379">
        <f t="shared" si="74"/>
        <v>171.35874124593909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70.382595439106623</v>
      </c>
      <c r="D168" s="379">
        <f t="shared" si="75"/>
        <v>71.098396653658767</v>
      </c>
      <c r="E168" s="379">
        <f t="shared" si="75"/>
        <v>71.741739886120044</v>
      </c>
      <c r="F168" s="379">
        <f t="shared" si="75"/>
        <v>71.842593466323308</v>
      </c>
      <c r="G168" s="379">
        <f t="shared" si="75"/>
        <v>71.880277787103736</v>
      </c>
      <c r="H168" s="379">
        <f t="shared" si="75"/>
        <v>72.71896825963907</v>
      </c>
      <c r="I168" s="379">
        <f t="shared" si="75"/>
        <v>70.890462488836874</v>
      </c>
      <c r="J168" s="379">
        <f t="shared" si="75"/>
        <v>71.481898948495257</v>
      </c>
      <c r="K168" s="379">
        <f t="shared" si="75"/>
        <v>71.869138189813754</v>
      </c>
      <c r="L168" s="379">
        <f t="shared" si="75"/>
        <v>72.409989019396463</v>
      </c>
      <c r="M168" s="379">
        <f t="shared" si="75"/>
        <v>73.11837771857391</v>
      </c>
      <c r="N168" s="379">
        <f t="shared" si="75"/>
        <v>72.511307660791715</v>
      </c>
      <c r="O168" s="379">
        <f t="shared" si="75"/>
        <v>73.599822614313709</v>
      </c>
      <c r="P168" s="379">
        <f t="shared" si="75"/>
        <v>74.708425639167061</v>
      </c>
      <c r="Q168" s="379">
        <f t="shared" si="75"/>
        <v>75.944503948181335</v>
      </c>
      <c r="R168" s="379">
        <f t="shared" si="75"/>
        <v>77.305402042511744</v>
      </c>
      <c r="S168" s="379">
        <f t="shared" si="75"/>
        <v>78.619650163611851</v>
      </c>
      <c r="T168" s="379">
        <f t="shared" si="75"/>
        <v>80.419397044369674</v>
      </c>
      <c r="U168" s="379">
        <f t="shared" si="75"/>
        <v>82.250674743292635</v>
      </c>
      <c r="V168" s="379">
        <f t="shared" si="75"/>
        <v>84.161423029013278</v>
      </c>
      <c r="W168" s="379">
        <f t="shared" si="75"/>
        <v>86.147876578066018</v>
      </c>
      <c r="X168" s="379">
        <f t="shared" si="75"/>
        <v>86.329725699763486</v>
      </c>
      <c r="Y168" s="379">
        <f t="shared" si="75"/>
        <v>88.458887521564805</v>
      </c>
      <c r="Z168" s="379">
        <f t="shared" si="75"/>
        <v>90.676738297337224</v>
      </c>
      <c r="AA168" s="379">
        <f t="shared" si="75"/>
        <v>92.996551451529342</v>
      </c>
      <c r="AB168" s="379">
        <f t="shared" si="75"/>
        <v>95.4096550126811</v>
      </c>
      <c r="AC168" s="379">
        <f t="shared" si="75"/>
        <v>98.316510734709865</v>
      </c>
      <c r="AD168" s="379">
        <f t="shared" si="75"/>
        <v>101.39740641822794</v>
      </c>
      <c r="AE168" s="379">
        <f t="shared" si="75"/>
        <v>104.5897124197387</v>
      </c>
      <c r="AF168" s="379">
        <f t="shared" si="75"/>
        <v>107.91090819552434</v>
      </c>
      <c r="AG168" s="379">
        <f t="shared" si="75"/>
        <v>111.35845710788814</v>
      </c>
    </row>
    <row r="169" spans="1:33">
      <c r="A169" s="300" t="str">
        <f>A113</f>
        <v>H2-ICE</v>
      </c>
      <c r="B169" s="300" t="str">
        <f t="shared" ref="B169:B170" si="76">A169</f>
        <v>H2-ICE</v>
      </c>
      <c r="C169" s="379">
        <f t="shared" ref="C169:AG169" si="77">C129</f>
        <v>130.97900162420646</v>
      </c>
      <c r="D169" s="379">
        <f t="shared" si="77"/>
        <v>130.99899380502825</v>
      </c>
      <c r="E169" s="379">
        <f t="shared" si="77"/>
        <v>131.14982649703393</v>
      </c>
      <c r="F169" s="379">
        <f t="shared" si="77"/>
        <v>131.42796781208645</v>
      </c>
      <c r="G169" s="379">
        <f t="shared" si="77"/>
        <v>131.84261040792921</v>
      </c>
      <c r="H169" s="379">
        <f t="shared" si="77"/>
        <v>133.25950255126489</v>
      </c>
      <c r="I169" s="379">
        <f t="shared" si="77"/>
        <v>129.13385503728361</v>
      </c>
      <c r="J169" s="379">
        <f t="shared" si="77"/>
        <v>127.5663506310902</v>
      </c>
      <c r="K169" s="379">
        <f t="shared" si="77"/>
        <v>126.14663427149036</v>
      </c>
      <c r="L169" s="379">
        <f t="shared" si="77"/>
        <v>124.86370120505245</v>
      </c>
      <c r="M169" s="379">
        <f t="shared" si="77"/>
        <v>123.7253607489491</v>
      </c>
      <c r="N169" s="379">
        <f t="shared" si="77"/>
        <v>121.48367744263227</v>
      </c>
      <c r="O169" s="379">
        <f t="shared" si="77"/>
        <v>120.59998887419871</v>
      </c>
      <c r="P169" s="379">
        <f t="shared" si="77"/>
        <v>119.85287288051875</v>
      </c>
      <c r="Q169" s="379">
        <f t="shared" si="77"/>
        <v>119.24036840002164</v>
      </c>
      <c r="R169" s="379">
        <f t="shared" si="77"/>
        <v>118.76270958341861</v>
      </c>
      <c r="S169" s="379">
        <f t="shared" si="77"/>
        <v>115.83787786008578</v>
      </c>
      <c r="T169" s="379">
        <f t="shared" si="77"/>
        <v>116.10020507718748</v>
      </c>
      <c r="U169" s="379">
        <f t="shared" si="77"/>
        <v>116.48469751691222</v>
      </c>
      <c r="V169" s="379">
        <f t="shared" si="77"/>
        <v>117.00239425813906</v>
      </c>
      <c r="W169" s="379">
        <f t="shared" si="77"/>
        <v>117.63752596031348</v>
      </c>
      <c r="X169" s="379">
        <f t="shared" si="77"/>
        <v>117.60151485080043</v>
      </c>
      <c r="Y169" s="379">
        <f t="shared" si="77"/>
        <v>118.47253657079786</v>
      </c>
      <c r="Z169" s="379">
        <f t="shared" si="77"/>
        <v>119.47391859287094</v>
      </c>
      <c r="AA169" s="379">
        <f t="shared" si="77"/>
        <v>120.60499385695515</v>
      </c>
      <c r="AB169" s="379">
        <f t="shared" si="77"/>
        <v>121.87368398000815</v>
      </c>
      <c r="AC169" s="379">
        <f t="shared" si="77"/>
        <v>122.96118184346737</v>
      </c>
      <c r="AD169" s="379">
        <f t="shared" si="77"/>
        <v>125.78589018523118</v>
      </c>
      <c r="AE169" s="379">
        <f t="shared" si="77"/>
        <v>128.76226628217071</v>
      </c>
      <c r="AF169" s="379">
        <f t="shared" si="77"/>
        <v>131.89501827663099</v>
      </c>
      <c r="AG169" s="379">
        <f t="shared" si="77"/>
        <v>135.18111446269651</v>
      </c>
    </row>
    <row r="170" spans="1:33">
      <c r="A170" s="300" t="str">
        <f>A147</f>
        <v>FCET</v>
      </c>
      <c r="B170" s="300" t="str">
        <f t="shared" si="76"/>
        <v>FCET</v>
      </c>
      <c r="C170" s="379">
        <f t="shared" ref="C170:AG170" si="78">C163</f>
        <v>135.35905045985925</v>
      </c>
      <c r="D170" s="379">
        <f t="shared" si="78"/>
        <v>134.70766742297906</v>
      </c>
      <c r="E170" s="379">
        <f t="shared" si="78"/>
        <v>134.18838289084238</v>
      </c>
      <c r="F170" s="379">
        <f t="shared" si="78"/>
        <v>133.80258349268084</v>
      </c>
      <c r="G170" s="379">
        <f t="shared" si="78"/>
        <v>133.55491379238299</v>
      </c>
      <c r="H170" s="379">
        <f t="shared" si="78"/>
        <v>133.92222063962942</v>
      </c>
      <c r="I170" s="379">
        <f t="shared" si="78"/>
        <v>130.48310340915523</v>
      </c>
      <c r="J170" s="379">
        <f t="shared" si="78"/>
        <v>129.01228620911883</v>
      </c>
      <c r="K170" s="379">
        <f t="shared" si="78"/>
        <v>127.67095386687551</v>
      </c>
      <c r="L170" s="379">
        <f t="shared" si="78"/>
        <v>126.46747451696595</v>
      </c>
      <c r="M170" s="379">
        <f t="shared" si="78"/>
        <v>125.39751736433179</v>
      </c>
      <c r="N170" s="379">
        <f t="shared" si="78"/>
        <v>122.33831616213982</v>
      </c>
      <c r="O170" s="379">
        <f t="shared" si="78"/>
        <v>121.53333823518228</v>
      </c>
      <c r="P170" s="379">
        <f t="shared" si="78"/>
        <v>120.85512120642903</v>
      </c>
      <c r="Q170" s="379">
        <f t="shared" si="78"/>
        <v>120.31493551591755</v>
      </c>
      <c r="R170" s="379">
        <f t="shared" si="78"/>
        <v>119.89880045893281</v>
      </c>
      <c r="S170" s="379">
        <f t="shared" si="78"/>
        <v>117.42615322646259</v>
      </c>
      <c r="T170" s="379">
        <f t="shared" si="78"/>
        <v>117.87935621707602</v>
      </c>
      <c r="U170" s="379">
        <f t="shared" si="78"/>
        <v>118.45130158876817</v>
      </c>
      <c r="V170" s="379">
        <f t="shared" si="78"/>
        <v>119.14102948214877</v>
      </c>
      <c r="W170" s="379">
        <f t="shared" si="78"/>
        <v>119.939553890477</v>
      </c>
      <c r="X170" s="379">
        <f t="shared" si="78"/>
        <v>118.14121433197613</v>
      </c>
      <c r="Y170" s="379">
        <f t="shared" si="78"/>
        <v>119.15444185961556</v>
      </c>
      <c r="Z170" s="379">
        <f t="shared" si="78"/>
        <v>120.28571398219508</v>
      </c>
      <c r="AA170" s="379">
        <f t="shared" si="78"/>
        <v>121.54295860199655</v>
      </c>
      <c r="AB170" s="379">
        <f t="shared" si="78"/>
        <v>122.91550087912992</v>
      </c>
      <c r="AC170" s="379">
        <f t="shared" si="78"/>
        <v>124.02723570267993</v>
      </c>
      <c r="AD170" s="379">
        <f t="shared" si="78"/>
        <v>126.900303346573</v>
      </c>
      <c r="AE170" s="379">
        <f t="shared" si="78"/>
        <v>129.9107143518923</v>
      </c>
      <c r="AF170" s="379">
        <f t="shared" si="78"/>
        <v>133.0675089527567</v>
      </c>
      <c r="AG170" s="379">
        <f t="shared" si="78"/>
        <v>136.36324311782249</v>
      </c>
    </row>
    <row r="171" spans="1:33">
      <c r="A171" s="300" t="s">
        <v>334</v>
      </c>
      <c r="C171" s="379">
        <f t="shared" ref="C171:AG171" si="79">C165*0.9</f>
        <v>60.78953208378428</v>
      </c>
      <c r="D171" s="379">
        <f t="shared" si="79"/>
        <v>65.169119395280234</v>
      </c>
      <c r="E171" s="379">
        <f t="shared" si="79"/>
        <v>66.776846313677098</v>
      </c>
      <c r="F171" s="379">
        <f t="shared" si="79"/>
        <v>68.428745525320721</v>
      </c>
      <c r="G171" s="379">
        <f t="shared" si="79"/>
        <v>70.135301231083631</v>
      </c>
      <c r="H171" s="379">
        <f t="shared" si="79"/>
        <v>72.516950624175792</v>
      </c>
      <c r="I171" s="379">
        <f t="shared" si="79"/>
        <v>74.345426786772109</v>
      </c>
      <c r="J171" s="379">
        <f t="shared" si="79"/>
        <v>76.222985164618578</v>
      </c>
      <c r="K171" s="379">
        <f t="shared" si="79"/>
        <v>78.160061718185077</v>
      </c>
      <c r="L171" s="379">
        <f t="shared" si="79"/>
        <v>80.148529323728951</v>
      </c>
      <c r="M171" s="379">
        <f t="shared" si="79"/>
        <v>82.199041625425437</v>
      </c>
      <c r="N171" s="379">
        <f t="shared" si="79"/>
        <v>85.303806457389967</v>
      </c>
      <c r="O171" s="379">
        <f t="shared" si="79"/>
        <v>87.512104842829189</v>
      </c>
      <c r="P171" s="379">
        <f t="shared" si="79"/>
        <v>89.787206399047847</v>
      </c>
      <c r="Q171" s="379">
        <f t="shared" si="79"/>
        <v>92.13072165722204</v>
      </c>
      <c r="R171" s="379">
        <f t="shared" si="79"/>
        <v>94.543956647020011</v>
      </c>
      <c r="S171" s="379">
        <f t="shared" si="79"/>
        <v>97.028596626746989</v>
      </c>
      <c r="T171" s="379">
        <f t="shared" si="79"/>
        <v>99.595570653438259</v>
      </c>
      <c r="U171" s="379">
        <f t="shared" si="79"/>
        <v>102.23709861078352</v>
      </c>
      <c r="V171" s="379">
        <f t="shared" si="79"/>
        <v>104.96436329110838</v>
      </c>
      <c r="W171" s="379">
        <f t="shared" si="79"/>
        <v>107.76967072916915</v>
      </c>
      <c r="X171" s="379">
        <f t="shared" si="79"/>
        <v>111.99580097006574</v>
      </c>
      <c r="Y171" s="379">
        <f t="shared" si="79"/>
        <v>115.0212919334833</v>
      </c>
      <c r="Z171" s="379">
        <f t="shared" si="79"/>
        <v>118.14088564370431</v>
      </c>
      <c r="AA171" s="379">
        <f t="shared" si="79"/>
        <v>121.35684985372079</v>
      </c>
      <c r="AB171" s="379">
        <f t="shared" si="79"/>
        <v>124.68051177718205</v>
      </c>
      <c r="AC171" s="379">
        <f t="shared" si="79"/>
        <v>128.10450299966314</v>
      </c>
      <c r="AD171" s="379">
        <f t="shared" si="79"/>
        <v>131.64062946331666</v>
      </c>
      <c r="AE171" s="379">
        <f t="shared" si="79"/>
        <v>135.2911965562414</v>
      </c>
      <c r="AF171" s="379">
        <f t="shared" si="79"/>
        <v>139.05857025829951</v>
      </c>
      <c r="AG171" s="379">
        <f t="shared" si="79"/>
        <v>142.94517937494615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1.6885981134384522</v>
      </c>
      <c r="D174" s="379">
        <f t="shared" si="81"/>
        <v>1.8102533165355621</v>
      </c>
      <c r="E174" s="379">
        <f t="shared" si="81"/>
        <v>1.8549123976021415</v>
      </c>
      <c r="F174" s="379">
        <f t="shared" si="81"/>
        <v>1.9007984868144643</v>
      </c>
      <c r="G174" s="379">
        <f t="shared" si="81"/>
        <v>1.9482028119745451</v>
      </c>
      <c r="H174" s="379">
        <f t="shared" si="81"/>
        <v>2.0143597395604385</v>
      </c>
      <c r="I174" s="379">
        <f t="shared" si="81"/>
        <v>2.0651507440770032</v>
      </c>
      <c r="J174" s="379">
        <f t="shared" si="81"/>
        <v>2.1173051434616275</v>
      </c>
      <c r="K174" s="379">
        <f t="shared" si="81"/>
        <v>2.1711128255051411</v>
      </c>
      <c r="L174" s="379">
        <f t="shared" si="81"/>
        <v>2.2263480367702488</v>
      </c>
      <c r="M174" s="379">
        <f t="shared" si="81"/>
        <v>2.2833067118173735</v>
      </c>
      <c r="N174" s="379">
        <f t="shared" si="81"/>
        <v>2.3695501793719433</v>
      </c>
      <c r="O174" s="379">
        <f t="shared" si="81"/>
        <v>2.4308918011896994</v>
      </c>
      <c r="P174" s="379">
        <f t="shared" si="81"/>
        <v>2.4940890666402176</v>
      </c>
      <c r="Q174" s="379">
        <f t="shared" si="81"/>
        <v>2.5591867127006123</v>
      </c>
      <c r="R174" s="379">
        <f t="shared" si="81"/>
        <v>2.6262210179727781</v>
      </c>
      <c r="S174" s="379">
        <f t="shared" si="81"/>
        <v>2.6952387951874162</v>
      </c>
      <c r="T174" s="379">
        <f t="shared" si="81"/>
        <v>2.7665436292621739</v>
      </c>
      <c r="U174" s="379">
        <f t="shared" si="81"/>
        <v>2.8399194058550976</v>
      </c>
      <c r="V174" s="379">
        <f t="shared" si="81"/>
        <v>2.9156767580863439</v>
      </c>
      <c r="W174" s="379">
        <f t="shared" si="81"/>
        <v>2.9936019646991427</v>
      </c>
      <c r="X174" s="379">
        <f t="shared" si="81"/>
        <v>3.1109944713907152</v>
      </c>
      <c r="Y174" s="379">
        <f t="shared" si="81"/>
        <v>3.1950358870412026</v>
      </c>
      <c r="Z174" s="379">
        <f t="shared" si="81"/>
        <v>3.2816912678806753</v>
      </c>
      <c r="AA174" s="379">
        <f t="shared" si="81"/>
        <v>3.3710236070477997</v>
      </c>
      <c r="AB174" s="379">
        <f t="shared" si="81"/>
        <v>3.4633475493661678</v>
      </c>
      <c r="AC174" s="379">
        <f t="shared" si="81"/>
        <v>3.5584584166573094</v>
      </c>
      <c r="AD174" s="379">
        <f t="shared" si="81"/>
        <v>3.656684151758796</v>
      </c>
      <c r="AE174" s="379">
        <f t="shared" si="81"/>
        <v>3.7580887932289282</v>
      </c>
      <c r="AF174" s="379">
        <f t="shared" si="81"/>
        <v>3.8627380627305423</v>
      </c>
      <c r="AG174" s="379">
        <f t="shared" si="81"/>
        <v>3.9706994270818372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3.2744750406051613</v>
      </c>
      <c r="D175" s="379">
        <f t="shared" si="83"/>
        <v>3.2749748451257061</v>
      </c>
      <c r="E175" s="379">
        <f t="shared" si="83"/>
        <v>3.2787456624258482</v>
      </c>
      <c r="F175" s="379">
        <f t="shared" si="83"/>
        <v>3.2856991953021613</v>
      </c>
      <c r="G175" s="379">
        <f t="shared" si="83"/>
        <v>3.2960652601982305</v>
      </c>
      <c r="H175" s="379">
        <f t="shared" si="83"/>
        <v>3.3314875637816224</v>
      </c>
      <c r="I175" s="379">
        <f t="shared" si="83"/>
        <v>3.2283463759320901</v>
      </c>
      <c r="J175" s="379">
        <f t="shared" si="83"/>
        <v>3.1891587657772549</v>
      </c>
      <c r="K175" s="379">
        <f t="shared" si="83"/>
        <v>3.1536658567872586</v>
      </c>
      <c r="L175" s="379">
        <f t="shared" si="83"/>
        <v>3.121592530126311</v>
      </c>
      <c r="M175" s="379">
        <f t="shared" si="83"/>
        <v>3.0931340187237275</v>
      </c>
      <c r="N175" s="379">
        <f t="shared" si="83"/>
        <v>3.0370919360658069</v>
      </c>
      <c r="O175" s="379">
        <f t="shared" si="83"/>
        <v>3.0149997218549678</v>
      </c>
      <c r="P175" s="379">
        <f t="shared" si="83"/>
        <v>2.9963218220129688</v>
      </c>
      <c r="Q175" s="379">
        <f t="shared" si="83"/>
        <v>2.9810092100005412</v>
      </c>
      <c r="R175" s="379">
        <f t="shared" si="83"/>
        <v>2.9690677395854657</v>
      </c>
      <c r="S175" s="379">
        <f t="shared" si="83"/>
        <v>2.8959469465021446</v>
      </c>
      <c r="T175" s="379">
        <f t="shared" si="83"/>
        <v>2.9025051269296869</v>
      </c>
      <c r="U175" s="379">
        <f t="shared" si="83"/>
        <v>2.9121174379228054</v>
      </c>
      <c r="V175" s="379">
        <f t="shared" si="83"/>
        <v>2.9250598564534767</v>
      </c>
      <c r="W175" s="379">
        <f t="shared" si="83"/>
        <v>2.9409381490078372</v>
      </c>
      <c r="X175" s="379">
        <f t="shared" si="83"/>
        <v>2.9400378712700106</v>
      </c>
      <c r="Y175" s="379">
        <f t="shared" si="83"/>
        <v>2.9618134142699462</v>
      </c>
      <c r="Z175" s="379">
        <f t="shared" si="83"/>
        <v>2.9868479648217736</v>
      </c>
      <c r="AA175" s="379">
        <f t="shared" si="83"/>
        <v>3.0151248464238787</v>
      </c>
      <c r="AB175" s="379">
        <f t="shared" si="83"/>
        <v>3.0468420995002039</v>
      </c>
      <c r="AC175" s="379">
        <f t="shared" si="83"/>
        <v>3.0740295460866842</v>
      </c>
      <c r="AD175" s="379">
        <f t="shared" si="83"/>
        <v>3.1446472546307795</v>
      </c>
      <c r="AE175" s="379">
        <f t="shared" si="83"/>
        <v>3.219056657054268</v>
      </c>
      <c r="AF175" s="379">
        <f t="shared" si="83"/>
        <v>3.2973754569157747</v>
      </c>
      <c r="AG175" s="379">
        <f t="shared" si="83"/>
        <v>3.3795278615674125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1.6645919817494557</v>
      </c>
      <c r="D176" s="379">
        <f t="shared" si="84"/>
        <v>1.718305315281524</v>
      </c>
      <c r="E176" s="379">
        <f t="shared" si="84"/>
        <v>1.7689644763630898</v>
      </c>
      <c r="F176" s="379">
        <f t="shared" si="84"/>
        <v>1.8211396353074556</v>
      </c>
      <c r="G176" s="379">
        <f t="shared" si="84"/>
        <v>1.8752645724085515</v>
      </c>
      <c r="H176" s="379">
        <f t="shared" si="84"/>
        <v>1.9492830320264034</v>
      </c>
      <c r="I176" s="379">
        <f t="shared" si="84"/>
        <v>2.0076177526765679</v>
      </c>
      <c r="J176" s="379">
        <f t="shared" si="84"/>
        <v>2.0677598083663988</v>
      </c>
      <c r="K176" s="379">
        <f t="shared" si="84"/>
        <v>2.1300116377264322</v>
      </c>
      <c r="L176" s="379">
        <f t="shared" si="84"/>
        <v>2.1941107441156773</v>
      </c>
      <c r="M176" s="379">
        <f t="shared" si="84"/>
        <v>2.2604535285993776</v>
      </c>
      <c r="N176" s="379">
        <f t="shared" si="84"/>
        <v>2.3613660651089536</v>
      </c>
      <c r="O176" s="379">
        <f t="shared" si="84"/>
        <v>2.4331658768947184</v>
      </c>
      <c r="P176" s="379">
        <f t="shared" si="84"/>
        <v>2.5073795707782249</v>
      </c>
      <c r="Q176" s="379">
        <f t="shared" si="84"/>
        <v>2.5840585126737476</v>
      </c>
      <c r="R176" s="379">
        <f t="shared" si="84"/>
        <v>2.6632065717972178</v>
      </c>
      <c r="S176" s="379">
        <f t="shared" si="84"/>
        <v>2.7450264289195458</v>
      </c>
      <c r="T176" s="379">
        <f t="shared" si="84"/>
        <v>2.829687562313087</v>
      </c>
      <c r="U176" s="379">
        <f t="shared" si="84"/>
        <v>2.9171360563217217</v>
      </c>
      <c r="V176" s="379">
        <f t="shared" si="84"/>
        <v>3.0076438419129681</v>
      </c>
      <c r="W176" s="379">
        <f t="shared" si="84"/>
        <v>3.1010133474818939</v>
      </c>
      <c r="X176" s="379">
        <f t="shared" si="84"/>
        <v>3.2399146253589253</v>
      </c>
      <c r="Y176" s="379">
        <f t="shared" si="84"/>
        <v>3.3409355957912292</v>
      </c>
      <c r="Z176" s="379">
        <f t="shared" si="84"/>
        <v>3.4454161698642678</v>
      </c>
      <c r="AA176" s="379">
        <f t="shared" si="84"/>
        <v>3.5533753043314613</v>
      </c>
      <c r="AB176" s="379">
        <f t="shared" si="84"/>
        <v>3.6652007850067023</v>
      </c>
      <c r="AC176" s="379">
        <f t="shared" si="84"/>
        <v>3.7806561851418898</v>
      </c>
      <c r="AD176" s="379">
        <f t="shared" si="84"/>
        <v>3.9001874704294375</v>
      </c>
      <c r="AE176" s="379">
        <f t="shared" si="84"/>
        <v>4.0238240244409198</v>
      </c>
      <c r="AF176" s="379">
        <f t="shared" si="84"/>
        <v>4.1517569798687814</v>
      </c>
      <c r="AG176" s="379">
        <f t="shared" si="84"/>
        <v>4.283968531148477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1.8718775382741122</v>
      </c>
      <c r="D177" s="379">
        <f t="shared" si="85"/>
        <v>1.8909148046185842</v>
      </c>
      <c r="E177" s="379">
        <f t="shared" si="85"/>
        <v>1.9080249969712777</v>
      </c>
      <c r="F177" s="379">
        <f t="shared" si="85"/>
        <v>1.9107072730405137</v>
      </c>
      <c r="G177" s="379">
        <f t="shared" si="85"/>
        <v>1.911709515614461</v>
      </c>
      <c r="H177" s="379">
        <f t="shared" si="85"/>
        <v>1.9340151132882732</v>
      </c>
      <c r="I177" s="379">
        <f t="shared" si="85"/>
        <v>1.8853846406605552</v>
      </c>
      <c r="J177" s="379">
        <f t="shared" si="85"/>
        <v>1.9011143337365759</v>
      </c>
      <c r="K177" s="379">
        <f t="shared" si="85"/>
        <v>1.9114132497290892</v>
      </c>
      <c r="L177" s="379">
        <f t="shared" si="85"/>
        <v>1.9257975803030973</v>
      </c>
      <c r="M177" s="379">
        <f t="shared" si="85"/>
        <v>1.9446377052812209</v>
      </c>
      <c r="N177" s="379">
        <f t="shared" si="85"/>
        <v>1.9284922250210563</v>
      </c>
      <c r="O177" s="379">
        <f t="shared" si="85"/>
        <v>1.9574420908062156</v>
      </c>
      <c r="P177" s="379">
        <f t="shared" si="85"/>
        <v>1.9869262138076347</v>
      </c>
      <c r="Q177" s="379">
        <f t="shared" si="85"/>
        <v>2.0198006369197161</v>
      </c>
      <c r="R177" s="379">
        <f t="shared" si="85"/>
        <v>2.0559947351731847</v>
      </c>
      <c r="S177" s="379">
        <f t="shared" si="85"/>
        <v>2.0909481426492516</v>
      </c>
      <c r="T177" s="379">
        <f t="shared" si="85"/>
        <v>2.1388137511800447</v>
      </c>
      <c r="U177" s="379">
        <f t="shared" si="85"/>
        <v>2.1875179453003364</v>
      </c>
      <c r="V177" s="379">
        <f t="shared" si="85"/>
        <v>2.2383357188567361</v>
      </c>
      <c r="W177" s="379">
        <f t="shared" si="85"/>
        <v>2.2911669302677136</v>
      </c>
      <c r="X177" s="379">
        <f t="shared" si="85"/>
        <v>2.2960033430788163</v>
      </c>
      <c r="Y177" s="379">
        <f t="shared" si="85"/>
        <v>2.3526299872756598</v>
      </c>
      <c r="Z177" s="379">
        <f t="shared" si="85"/>
        <v>2.4116153802483304</v>
      </c>
      <c r="AA177" s="379">
        <f t="shared" si="85"/>
        <v>2.4733125386045041</v>
      </c>
      <c r="AB177" s="379">
        <f t="shared" si="85"/>
        <v>2.5374908248053485</v>
      </c>
      <c r="AC177" s="379">
        <f t="shared" si="85"/>
        <v>2.6148008174124961</v>
      </c>
      <c r="AD177" s="379">
        <f t="shared" si="85"/>
        <v>2.6967395323996795</v>
      </c>
      <c r="AE177" s="379">
        <f t="shared" si="85"/>
        <v>2.7816412877590082</v>
      </c>
      <c r="AF177" s="379">
        <f t="shared" si="85"/>
        <v>2.8699709626469239</v>
      </c>
      <c r="AG177" s="379">
        <f t="shared" si="85"/>
        <v>2.9616610932948975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3.383976261496481</v>
      </c>
      <c r="D178" s="379">
        <f t="shared" si="87"/>
        <v>3.3676916855744765</v>
      </c>
      <c r="E178" s="379">
        <f t="shared" si="87"/>
        <v>3.3547095722710596</v>
      </c>
      <c r="F178" s="379">
        <f t="shared" si="87"/>
        <v>3.3450645873170211</v>
      </c>
      <c r="G178" s="379">
        <f t="shared" si="87"/>
        <v>3.338872844809575</v>
      </c>
      <c r="H178" s="379">
        <f t="shared" si="87"/>
        <v>3.3480555159907355</v>
      </c>
      <c r="I178" s="379">
        <f t="shared" si="87"/>
        <v>3.262077585228881</v>
      </c>
      <c r="J178" s="379">
        <f t="shared" si="87"/>
        <v>3.2253071552279708</v>
      </c>
      <c r="K178" s="379">
        <f t="shared" si="87"/>
        <v>3.1917738466718877</v>
      </c>
      <c r="L178" s="379">
        <f t="shared" si="87"/>
        <v>3.1616868629241486</v>
      </c>
      <c r="M178" s="379">
        <f t="shared" si="87"/>
        <v>3.1349379341082946</v>
      </c>
      <c r="N178" s="379">
        <f t="shared" si="87"/>
        <v>3.0584579040534954</v>
      </c>
      <c r="O178" s="379">
        <f t="shared" si="87"/>
        <v>3.0383334558795569</v>
      </c>
      <c r="P178" s="379">
        <f t="shared" si="87"/>
        <v>3.0213780301607258</v>
      </c>
      <c r="Q178" s="379">
        <f t="shared" si="87"/>
        <v>3.0078733878979391</v>
      </c>
      <c r="R178" s="379">
        <f t="shared" si="87"/>
        <v>2.9974700114733204</v>
      </c>
      <c r="S178" s="379">
        <f t="shared" si="87"/>
        <v>2.9356538306615647</v>
      </c>
      <c r="T178" s="379">
        <f t="shared" si="87"/>
        <v>2.9469839054269005</v>
      </c>
      <c r="U178" s="379">
        <f t="shared" si="87"/>
        <v>2.9612825397192042</v>
      </c>
      <c r="V178" s="379">
        <f t="shared" si="87"/>
        <v>2.9785257370537193</v>
      </c>
      <c r="W178" s="379">
        <f t="shared" si="87"/>
        <v>2.9984888472619251</v>
      </c>
      <c r="X178" s="379">
        <f t="shared" si="87"/>
        <v>2.9535303582994032</v>
      </c>
      <c r="Y178" s="379">
        <f t="shared" si="87"/>
        <v>2.9788610464903891</v>
      </c>
      <c r="Z178" s="379">
        <f t="shared" si="87"/>
        <v>3.0071428495548771</v>
      </c>
      <c r="AA178" s="379">
        <f t="shared" si="87"/>
        <v>3.0385739650499137</v>
      </c>
      <c r="AB178" s="379">
        <f t="shared" si="87"/>
        <v>3.0728875219782483</v>
      </c>
      <c r="AC178" s="379">
        <f t="shared" si="87"/>
        <v>3.1006808925669982</v>
      </c>
      <c r="AD178" s="379">
        <f t="shared" si="87"/>
        <v>3.1725075836643248</v>
      </c>
      <c r="AE178" s="379">
        <f t="shared" si="87"/>
        <v>3.2477678587973076</v>
      </c>
      <c r="AF178" s="379">
        <f t="shared" si="87"/>
        <v>3.3266877238189174</v>
      </c>
      <c r="AG178" s="379">
        <f t="shared" si="87"/>
        <v>3.4090810779455625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3.4796671069372556</v>
      </c>
      <c r="D179" s="379">
        <f t="shared" si="88"/>
        <v>3.4629220417218267</v>
      </c>
      <c r="E179" s="379">
        <f t="shared" si="88"/>
        <v>3.4495728249573876</v>
      </c>
      <c r="F179" s="379">
        <f t="shared" si="88"/>
        <v>3.4396551026396103</v>
      </c>
      <c r="G179" s="379">
        <f t="shared" si="88"/>
        <v>3.4332882722977636</v>
      </c>
      <c r="H179" s="379">
        <f t="shared" si="88"/>
        <v>3.4427306077025555</v>
      </c>
      <c r="I179" s="379">
        <f t="shared" si="88"/>
        <v>3.3543214243998776</v>
      </c>
      <c r="J179" s="379">
        <f t="shared" si="88"/>
        <v>3.3165112136020265</v>
      </c>
      <c r="K179" s="379">
        <f t="shared" si="88"/>
        <v>3.2820296623875449</v>
      </c>
      <c r="L179" s="379">
        <f t="shared" si="88"/>
        <v>3.2510918898962973</v>
      </c>
      <c r="M179" s="379">
        <f t="shared" si="88"/>
        <v>3.2235865646357786</v>
      </c>
      <c r="N179" s="379">
        <f t="shared" si="88"/>
        <v>3.1449438602092501</v>
      </c>
      <c r="O179" s="379">
        <f t="shared" si="88"/>
        <v>3.1242503402360482</v>
      </c>
      <c r="P179" s="379">
        <f t="shared" si="88"/>
        <v>3.1068154551781242</v>
      </c>
      <c r="Q179" s="379">
        <f t="shared" si="88"/>
        <v>3.0929289335711454</v>
      </c>
      <c r="R179" s="379">
        <f t="shared" si="88"/>
        <v>3.0822313742656249</v>
      </c>
      <c r="S179" s="379">
        <f t="shared" si="88"/>
        <v>3.018667178058164</v>
      </c>
      <c r="T179" s="379">
        <f t="shared" si="88"/>
        <v>3.0303176405418002</v>
      </c>
      <c r="U179" s="379">
        <f t="shared" si="88"/>
        <v>3.0450206063950684</v>
      </c>
      <c r="V179" s="379">
        <f t="shared" si="88"/>
        <v>3.0627514005693768</v>
      </c>
      <c r="W179" s="379">
        <f t="shared" si="88"/>
        <v>3.0832790203207456</v>
      </c>
      <c r="X179" s="379">
        <f t="shared" si="88"/>
        <v>3.0370492116189238</v>
      </c>
      <c r="Y179" s="379">
        <f t="shared" si="88"/>
        <v>3.0630961917638961</v>
      </c>
      <c r="Z179" s="379">
        <f t="shared" si="88"/>
        <v>3.0921777373314931</v>
      </c>
      <c r="AA179" s="379">
        <f t="shared" si="88"/>
        <v>3.1244976504369291</v>
      </c>
      <c r="AB179" s="379">
        <f t="shared" si="88"/>
        <v>3.1597815136023115</v>
      </c>
      <c r="AC179" s="379">
        <f t="shared" si="88"/>
        <v>3.1883608149789184</v>
      </c>
      <c r="AD179" s="379">
        <f t="shared" si="88"/>
        <v>3.2622185950275835</v>
      </c>
      <c r="AE179" s="379">
        <f t="shared" si="88"/>
        <v>3.3396070527478741</v>
      </c>
      <c r="AF179" s="379">
        <f t="shared" si="88"/>
        <v>3.4207585849037709</v>
      </c>
      <c r="AG179" s="379">
        <f t="shared" si="88"/>
        <v>3.505481828221658</v>
      </c>
    </row>
    <row r="180" spans="1:33">
      <c r="A180" s="300" t="s">
        <v>334</v>
      </c>
      <c r="C180" s="379">
        <f t="shared" ref="C180:AG180" si="89">C174*0.9</f>
        <v>1.5197383020946071</v>
      </c>
      <c r="D180" s="379">
        <f t="shared" si="89"/>
        <v>1.6292279848820059</v>
      </c>
      <c r="E180" s="379">
        <f t="shared" si="89"/>
        <v>1.6694211578419274</v>
      </c>
      <c r="F180" s="379">
        <f t="shared" si="89"/>
        <v>1.7107186381330179</v>
      </c>
      <c r="G180" s="379">
        <f t="shared" si="89"/>
        <v>1.7533825307770907</v>
      </c>
      <c r="H180" s="379">
        <f t="shared" si="89"/>
        <v>1.8129237656043946</v>
      </c>
      <c r="I180" s="379">
        <f t="shared" si="89"/>
        <v>1.8586356696693029</v>
      </c>
      <c r="J180" s="379">
        <f t="shared" si="89"/>
        <v>1.9055746291154647</v>
      </c>
      <c r="K180" s="379">
        <f t="shared" si="89"/>
        <v>1.9540015429546269</v>
      </c>
      <c r="L180" s="379">
        <f t="shared" si="89"/>
        <v>2.0037132330932241</v>
      </c>
      <c r="M180" s="379">
        <f t="shared" si="89"/>
        <v>2.0549760406356361</v>
      </c>
      <c r="N180" s="379">
        <f t="shared" si="89"/>
        <v>2.1325951614347489</v>
      </c>
      <c r="O180" s="379">
        <f t="shared" si="89"/>
        <v>2.1878026210707295</v>
      </c>
      <c r="P180" s="379">
        <f t="shared" si="89"/>
        <v>2.2446801599761961</v>
      </c>
      <c r="Q180" s="379">
        <f t="shared" si="89"/>
        <v>2.3032680414305511</v>
      </c>
      <c r="R180" s="379">
        <f t="shared" si="89"/>
        <v>2.3635989161755004</v>
      </c>
      <c r="S180" s="379">
        <f t="shared" si="89"/>
        <v>2.4257149156686748</v>
      </c>
      <c r="T180" s="379">
        <f t="shared" si="89"/>
        <v>2.4898892663359566</v>
      </c>
      <c r="U180" s="379">
        <f t="shared" si="89"/>
        <v>2.5559274652695878</v>
      </c>
      <c r="V180" s="379">
        <f t="shared" si="89"/>
        <v>2.6241090822777093</v>
      </c>
      <c r="W180" s="379">
        <f t="shared" si="89"/>
        <v>2.6942417682292286</v>
      </c>
      <c r="X180" s="379">
        <f t="shared" si="89"/>
        <v>2.7998950242516436</v>
      </c>
      <c r="Y180" s="379">
        <f t="shared" si="89"/>
        <v>2.8755322983370823</v>
      </c>
      <c r="Z180" s="379">
        <f t="shared" si="89"/>
        <v>2.9535221410926078</v>
      </c>
      <c r="AA180" s="379">
        <f t="shared" si="89"/>
        <v>3.0339212463430196</v>
      </c>
      <c r="AB180" s="379">
        <f t="shared" si="89"/>
        <v>3.1170127944295509</v>
      </c>
      <c r="AC180" s="379">
        <f t="shared" si="89"/>
        <v>3.2026125749915786</v>
      </c>
      <c r="AD180" s="379">
        <f t="shared" si="89"/>
        <v>3.2910157365829167</v>
      </c>
      <c r="AE180" s="379">
        <f t="shared" si="89"/>
        <v>3.3822799139060353</v>
      </c>
      <c r="AF180" s="379">
        <f t="shared" si="89"/>
        <v>3.4764642564574881</v>
      </c>
      <c r="AG180" s="379">
        <f t="shared" si="89"/>
        <v>3.5736294843736536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1.6885981134384522</v>
      </c>
      <c r="D183" s="379">
        <f t="shared" si="91"/>
        <v>1.8102533165355621</v>
      </c>
      <c r="E183" s="379">
        <f t="shared" si="91"/>
        <v>1.8549123976021415</v>
      </c>
      <c r="F183" s="379">
        <f t="shared" si="91"/>
        <v>1.9007984868144643</v>
      </c>
      <c r="G183" s="379">
        <f t="shared" si="91"/>
        <v>1.9482028119745451</v>
      </c>
      <c r="H183" s="379">
        <f t="shared" si="91"/>
        <v>2.0143597395604385</v>
      </c>
      <c r="I183" s="379">
        <f t="shared" si="91"/>
        <v>2.0651507440770032</v>
      </c>
      <c r="J183" s="379">
        <f t="shared" si="91"/>
        <v>2.1173051434616275</v>
      </c>
      <c r="K183" s="379">
        <f t="shared" si="91"/>
        <v>2.1711128255051411</v>
      </c>
      <c r="L183" s="379">
        <f t="shared" si="91"/>
        <v>2.2263480367702488</v>
      </c>
      <c r="M183" s="379">
        <f t="shared" si="91"/>
        <v>2.2833067118173735</v>
      </c>
      <c r="N183" s="379">
        <f t="shared" si="91"/>
        <v>2.3695501793719433</v>
      </c>
      <c r="O183" s="379">
        <f t="shared" si="91"/>
        <v>2.4308918011896994</v>
      </c>
      <c r="P183" s="379">
        <f t="shared" si="91"/>
        <v>2.4940890666402176</v>
      </c>
      <c r="Q183" s="379">
        <f t="shared" si="91"/>
        <v>2.5591867127006123</v>
      </c>
      <c r="R183" s="379">
        <f t="shared" si="91"/>
        <v>2.6262210179727781</v>
      </c>
      <c r="S183" s="379">
        <f t="shared" si="91"/>
        <v>2.6952387951874162</v>
      </c>
      <c r="T183" s="379">
        <f t="shared" si="91"/>
        <v>2.7665436292621739</v>
      </c>
      <c r="U183" s="379">
        <f t="shared" si="91"/>
        <v>2.8399194058550976</v>
      </c>
      <c r="V183" s="379">
        <f t="shared" si="91"/>
        <v>2.9156767580863439</v>
      </c>
      <c r="W183" s="379">
        <f t="shared" si="91"/>
        <v>2.9936019646991427</v>
      </c>
      <c r="X183" s="379">
        <f t="shared" si="91"/>
        <v>3.1109944713907152</v>
      </c>
      <c r="Y183" s="379">
        <f t="shared" si="91"/>
        <v>3.1950358870412026</v>
      </c>
      <c r="Z183" s="379">
        <f t="shared" si="91"/>
        <v>3.2816912678806753</v>
      </c>
      <c r="AA183" s="379">
        <f t="shared" si="91"/>
        <v>3.3710236070477997</v>
      </c>
      <c r="AB183" s="379">
        <f t="shared" si="91"/>
        <v>3.4633475493661678</v>
      </c>
      <c r="AC183" s="379">
        <f t="shared" si="91"/>
        <v>3.5584584166573094</v>
      </c>
      <c r="AD183" s="379">
        <f t="shared" si="91"/>
        <v>3.656684151758796</v>
      </c>
      <c r="AE183" s="379">
        <f t="shared" si="91"/>
        <v>3.7580887932289282</v>
      </c>
      <c r="AF183" s="379">
        <f t="shared" si="91"/>
        <v>3.8627380627305423</v>
      </c>
      <c r="AG183" s="379">
        <f t="shared" si="91"/>
        <v>3.9706994270818372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3.2744750406051613</v>
      </c>
      <c r="D184" s="379">
        <f t="shared" si="93"/>
        <v>3.2749748451257061</v>
      </c>
      <c r="E184" s="379">
        <f t="shared" si="93"/>
        <v>3.2787456624258482</v>
      </c>
      <c r="F184" s="379">
        <f t="shared" si="93"/>
        <v>3.2856991953021613</v>
      </c>
      <c r="G184" s="379">
        <f t="shared" si="93"/>
        <v>3.2960652601982305</v>
      </c>
      <c r="H184" s="379">
        <f t="shared" si="93"/>
        <v>3.3314875637816224</v>
      </c>
      <c r="I184" s="379">
        <f t="shared" si="93"/>
        <v>3.2283463759320901</v>
      </c>
      <c r="J184" s="379">
        <f t="shared" si="93"/>
        <v>3.1891587657772549</v>
      </c>
      <c r="K184" s="379">
        <f t="shared" si="93"/>
        <v>3.1536658567872586</v>
      </c>
      <c r="L184" s="379">
        <f t="shared" si="93"/>
        <v>3.121592530126311</v>
      </c>
      <c r="M184" s="379">
        <f t="shared" si="93"/>
        <v>3.0931340187237275</v>
      </c>
      <c r="N184" s="379">
        <f t="shared" si="93"/>
        <v>3.0370919360658069</v>
      </c>
      <c r="O184" s="379">
        <f t="shared" si="93"/>
        <v>3.0149997218549678</v>
      </c>
      <c r="P184" s="379">
        <f t="shared" si="93"/>
        <v>2.9963218220129688</v>
      </c>
      <c r="Q184" s="379">
        <f t="shared" si="93"/>
        <v>2.9810092100005412</v>
      </c>
      <c r="R184" s="379">
        <f t="shared" si="93"/>
        <v>2.9690677395854657</v>
      </c>
      <c r="S184" s="379">
        <f t="shared" si="93"/>
        <v>2.8959469465021446</v>
      </c>
      <c r="T184" s="379">
        <f t="shared" si="93"/>
        <v>2.9025051269296869</v>
      </c>
      <c r="U184" s="379">
        <f t="shared" si="93"/>
        <v>2.9121174379228054</v>
      </c>
      <c r="V184" s="379">
        <f t="shared" si="93"/>
        <v>2.9250598564534767</v>
      </c>
      <c r="W184" s="379">
        <f t="shared" si="93"/>
        <v>2.9409381490078372</v>
      </c>
      <c r="X184" s="379">
        <f t="shared" si="93"/>
        <v>2.9400378712700106</v>
      </c>
      <c r="Y184" s="379">
        <f t="shared" si="93"/>
        <v>2.9618134142699462</v>
      </c>
      <c r="Z184" s="379">
        <f t="shared" si="93"/>
        <v>2.9868479648217736</v>
      </c>
      <c r="AA184" s="379">
        <f t="shared" si="93"/>
        <v>3.0151248464238787</v>
      </c>
      <c r="AB184" s="379">
        <f t="shared" si="93"/>
        <v>3.0468420995002039</v>
      </c>
      <c r="AC184" s="379">
        <f t="shared" si="93"/>
        <v>3.0740295460866842</v>
      </c>
      <c r="AD184" s="379">
        <f t="shared" si="93"/>
        <v>3.1446472546307795</v>
      </c>
      <c r="AE184" s="379">
        <f t="shared" si="93"/>
        <v>3.219056657054268</v>
      </c>
      <c r="AF184" s="379">
        <f t="shared" si="93"/>
        <v>3.2973754569157747</v>
      </c>
      <c r="AG184" s="379">
        <f t="shared" si="93"/>
        <v>3.3795278615674125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1.6645919817494557</v>
      </c>
      <c r="D185" s="379">
        <f t="shared" si="94"/>
        <v>1.718305315281524</v>
      </c>
      <c r="E185" s="379">
        <f t="shared" si="94"/>
        <v>1.7689644763630898</v>
      </c>
      <c r="F185" s="379">
        <f t="shared" si="94"/>
        <v>1.8211396353074556</v>
      </c>
      <c r="G185" s="379">
        <f t="shared" si="94"/>
        <v>1.8752645724085515</v>
      </c>
      <c r="H185" s="379">
        <f t="shared" si="94"/>
        <v>1.9492830320264034</v>
      </c>
      <c r="I185" s="379">
        <f t="shared" si="94"/>
        <v>2.0076177526765679</v>
      </c>
      <c r="J185" s="379">
        <f t="shared" si="94"/>
        <v>2.0677598083663988</v>
      </c>
      <c r="K185" s="379">
        <f t="shared" si="94"/>
        <v>2.1300116377264322</v>
      </c>
      <c r="L185" s="379">
        <f t="shared" si="94"/>
        <v>2.1941107441156773</v>
      </c>
      <c r="M185" s="379">
        <f t="shared" si="94"/>
        <v>2.2604535285993776</v>
      </c>
      <c r="N185" s="379">
        <f t="shared" si="94"/>
        <v>2.3613660651089536</v>
      </c>
      <c r="O185" s="379">
        <f t="shared" si="94"/>
        <v>2.4331658768947184</v>
      </c>
      <c r="P185" s="379">
        <f t="shared" si="94"/>
        <v>2.5073795707782249</v>
      </c>
      <c r="Q185" s="379">
        <f t="shared" si="94"/>
        <v>2.5840585126737476</v>
      </c>
      <c r="R185" s="379">
        <f t="shared" si="94"/>
        <v>2.6632065717972178</v>
      </c>
      <c r="S185" s="379">
        <f t="shared" si="94"/>
        <v>2.7450264289195458</v>
      </c>
      <c r="T185" s="379">
        <f t="shared" si="94"/>
        <v>2.829687562313087</v>
      </c>
      <c r="U185" s="379">
        <f t="shared" si="94"/>
        <v>2.9171360563217217</v>
      </c>
      <c r="V185" s="379">
        <f t="shared" si="94"/>
        <v>3.0076438419129681</v>
      </c>
      <c r="W185" s="379">
        <f t="shared" si="94"/>
        <v>3.1010133474818939</v>
      </c>
      <c r="X185" s="379">
        <f t="shared" si="94"/>
        <v>3.2399146253589253</v>
      </c>
      <c r="Y185" s="379">
        <f t="shared" si="94"/>
        <v>3.3409355957912292</v>
      </c>
      <c r="Z185" s="379">
        <f t="shared" si="94"/>
        <v>3.4454161698642678</v>
      </c>
      <c r="AA185" s="379">
        <f t="shared" si="94"/>
        <v>3.5533753043314613</v>
      </c>
      <c r="AB185" s="379">
        <f t="shared" si="94"/>
        <v>3.6652007850067023</v>
      </c>
      <c r="AC185" s="379">
        <f t="shared" si="94"/>
        <v>3.7806561851418898</v>
      </c>
      <c r="AD185" s="379">
        <f t="shared" si="94"/>
        <v>3.9001874704294375</v>
      </c>
      <c r="AE185" s="379">
        <f t="shared" si="94"/>
        <v>4.0238240244409198</v>
      </c>
      <c r="AF185" s="379">
        <f t="shared" si="94"/>
        <v>4.1517569798687814</v>
      </c>
      <c r="AG185" s="379">
        <f t="shared" si="94"/>
        <v>4.283968531148477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3.383976261496481</v>
      </c>
      <c r="D186" s="379">
        <f t="shared" si="96"/>
        <v>3.3676916855744765</v>
      </c>
      <c r="E186" s="379">
        <f t="shared" si="96"/>
        <v>3.3547095722710596</v>
      </c>
      <c r="F186" s="379">
        <f t="shared" si="96"/>
        <v>3.3450645873170211</v>
      </c>
      <c r="G186" s="379">
        <f t="shared" si="96"/>
        <v>3.338872844809575</v>
      </c>
      <c r="H186" s="379">
        <f t="shared" si="96"/>
        <v>3.3480555159907355</v>
      </c>
      <c r="I186" s="379">
        <f t="shared" si="96"/>
        <v>3.262077585228881</v>
      </c>
      <c r="J186" s="379">
        <f t="shared" si="96"/>
        <v>3.2253071552279708</v>
      </c>
      <c r="K186" s="379">
        <f t="shared" si="96"/>
        <v>3.1917738466718877</v>
      </c>
      <c r="L186" s="379">
        <f t="shared" si="96"/>
        <v>3.1616868629241486</v>
      </c>
      <c r="M186" s="379">
        <f t="shared" si="96"/>
        <v>3.1349379341082946</v>
      </c>
      <c r="N186" s="379">
        <f t="shared" si="96"/>
        <v>3.0584579040534954</v>
      </c>
      <c r="O186" s="379">
        <f t="shared" si="96"/>
        <v>3.0383334558795569</v>
      </c>
      <c r="P186" s="379">
        <f t="shared" si="96"/>
        <v>3.0213780301607258</v>
      </c>
      <c r="Q186" s="379">
        <f t="shared" si="96"/>
        <v>3.0078733878979391</v>
      </c>
      <c r="R186" s="379">
        <f t="shared" si="96"/>
        <v>2.9974700114733204</v>
      </c>
      <c r="S186" s="379">
        <f t="shared" si="96"/>
        <v>2.9356538306615647</v>
      </c>
      <c r="T186" s="379">
        <f t="shared" si="96"/>
        <v>2.9469839054269005</v>
      </c>
      <c r="U186" s="379">
        <f t="shared" si="96"/>
        <v>2.9612825397192042</v>
      </c>
      <c r="V186" s="379">
        <f t="shared" si="96"/>
        <v>2.9785257370537193</v>
      </c>
      <c r="W186" s="379">
        <f t="shared" si="96"/>
        <v>2.9984888472619251</v>
      </c>
      <c r="X186" s="379">
        <f t="shared" si="96"/>
        <v>2.9535303582994032</v>
      </c>
      <c r="Y186" s="379">
        <f t="shared" si="96"/>
        <v>2.9788610464903891</v>
      </c>
      <c r="Z186" s="379">
        <f t="shared" si="96"/>
        <v>3.0071428495548771</v>
      </c>
      <c r="AA186" s="379">
        <f t="shared" si="96"/>
        <v>3.0385739650499137</v>
      </c>
      <c r="AB186" s="379">
        <f t="shared" si="96"/>
        <v>3.0728875219782483</v>
      </c>
      <c r="AC186" s="379">
        <f t="shared" si="96"/>
        <v>3.1006808925669982</v>
      </c>
      <c r="AD186" s="379">
        <f t="shared" si="96"/>
        <v>3.1725075836643248</v>
      </c>
      <c r="AE186" s="379">
        <f t="shared" si="96"/>
        <v>3.2477678587973076</v>
      </c>
      <c r="AF186" s="379">
        <f t="shared" si="96"/>
        <v>3.3266877238189174</v>
      </c>
      <c r="AG186" s="379">
        <f t="shared" si="96"/>
        <v>3.4090810779455625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1.8718775382741122</v>
      </c>
      <c r="D187" s="379">
        <f t="shared" si="97"/>
        <v>1.8909148046185842</v>
      </c>
      <c r="E187" s="379">
        <f t="shared" si="97"/>
        <v>1.9080249969712777</v>
      </c>
      <c r="F187" s="379">
        <f t="shared" si="97"/>
        <v>1.9107072730405137</v>
      </c>
      <c r="G187" s="379">
        <f t="shared" si="97"/>
        <v>1.911709515614461</v>
      </c>
      <c r="H187" s="379">
        <f t="shared" si="97"/>
        <v>1.9340151132882732</v>
      </c>
      <c r="I187" s="379">
        <f t="shared" si="97"/>
        <v>1.8853846406605552</v>
      </c>
      <c r="J187" s="379">
        <f t="shared" si="97"/>
        <v>1.9011143337365759</v>
      </c>
      <c r="K187" s="379">
        <f t="shared" si="97"/>
        <v>1.9114132497290892</v>
      </c>
      <c r="L187" s="379">
        <f t="shared" si="97"/>
        <v>1.9257975803030973</v>
      </c>
      <c r="M187" s="379">
        <f t="shared" si="97"/>
        <v>1.9446377052812209</v>
      </c>
      <c r="N187" s="379">
        <f t="shared" si="97"/>
        <v>1.9284922250210563</v>
      </c>
      <c r="O187" s="379">
        <f t="shared" si="97"/>
        <v>1.9574420908062156</v>
      </c>
      <c r="P187" s="379">
        <f t="shared" si="97"/>
        <v>1.9869262138076347</v>
      </c>
      <c r="Q187" s="379">
        <f t="shared" si="97"/>
        <v>2.0198006369197161</v>
      </c>
      <c r="R187" s="379">
        <f t="shared" si="97"/>
        <v>2.0559947351731847</v>
      </c>
      <c r="S187" s="379">
        <f t="shared" si="97"/>
        <v>2.0909481426492516</v>
      </c>
      <c r="T187" s="379">
        <f t="shared" si="97"/>
        <v>2.1388137511800447</v>
      </c>
      <c r="U187" s="379">
        <f t="shared" si="97"/>
        <v>2.1875179453003364</v>
      </c>
      <c r="V187" s="379">
        <f t="shared" si="97"/>
        <v>2.2383357188567361</v>
      </c>
      <c r="W187" s="379">
        <f t="shared" si="97"/>
        <v>2.2911669302677136</v>
      </c>
      <c r="X187" s="379">
        <f t="shared" si="97"/>
        <v>2.2960033430788163</v>
      </c>
      <c r="Y187" s="379">
        <f t="shared" si="97"/>
        <v>2.3526299872756598</v>
      </c>
      <c r="Z187" s="379">
        <f t="shared" si="97"/>
        <v>2.4116153802483304</v>
      </c>
      <c r="AA187" s="379">
        <f t="shared" si="97"/>
        <v>2.4733125386045041</v>
      </c>
      <c r="AB187" s="379">
        <f t="shared" si="97"/>
        <v>2.5374908248053485</v>
      </c>
      <c r="AC187" s="379">
        <f t="shared" si="97"/>
        <v>2.6148008174124961</v>
      </c>
      <c r="AD187" s="379">
        <f t="shared" si="97"/>
        <v>2.6967395323996795</v>
      </c>
      <c r="AE187" s="379">
        <f t="shared" si="97"/>
        <v>2.7816412877590082</v>
      </c>
      <c r="AF187" s="379">
        <f t="shared" si="97"/>
        <v>2.8699709626469239</v>
      </c>
      <c r="AG187" s="379">
        <f t="shared" si="97"/>
        <v>2.9616610932948975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3.4796671069372556</v>
      </c>
      <c r="D188" s="379">
        <f t="shared" si="99"/>
        <v>3.4629220417218267</v>
      </c>
      <c r="E188" s="379">
        <f t="shared" si="99"/>
        <v>3.4495728249573876</v>
      </c>
      <c r="F188" s="379">
        <f t="shared" si="99"/>
        <v>3.4396551026396103</v>
      </c>
      <c r="G188" s="379">
        <f t="shared" si="99"/>
        <v>3.4332882722977636</v>
      </c>
      <c r="H188" s="379">
        <f t="shared" si="99"/>
        <v>3.4427306077025555</v>
      </c>
      <c r="I188" s="379">
        <f t="shared" si="99"/>
        <v>3.3543214243998776</v>
      </c>
      <c r="J188" s="379">
        <f t="shared" si="99"/>
        <v>3.3165112136020265</v>
      </c>
      <c r="K188" s="379">
        <f t="shared" si="99"/>
        <v>3.2820296623875449</v>
      </c>
      <c r="L188" s="379">
        <f t="shared" si="99"/>
        <v>3.2510918898962973</v>
      </c>
      <c r="M188" s="379">
        <f t="shared" si="99"/>
        <v>3.2235865646357786</v>
      </c>
      <c r="N188" s="379">
        <f t="shared" si="99"/>
        <v>3.1449438602092501</v>
      </c>
      <c r="O188" s="379">
        <f t="shared" si="99"/>
        <v>3.1242503402360482</v>
      </c>
      <c r="P188" s="379">
        <f t="shared" si="99"/>
        <v>3.1068154551781242</v>
      </c>
      <c r="Q188" s="379">
        <f t="shared" si="99"/>
        <v>3.0929289335711454</v>
      </c>
      <c r="R188" s="379">
        <f t="shared" si="99"/>
        <v>3.0822313742656249</v>
      </c>
      <c r="S188" s="379">
        <f t="shared" si="99"/>
        <v>3.018667178058164</v>
      </c>
      <c r="T188" s="379">
        <f t="shared" si="99"/>
        <v>3.0303176405418002</v>
      </c>
      <c r="U188" s="379">
        <f t="shared" si="99"/>
        <v>3.0450206063950684</v>
      </c>
      <c r="V188" s="379">
        <f t="shared" si="99"/>
        <v>3.0627514005693768</v>
      </c>
      <c r="W188" s="379">
        <f t="shared" si="99"/>
        <v>3.0832790203207456</v>
      </c>
      <c r="X188" s="379">
        <f t="shared" si="99"/>
        <v>3.0370492116189238</v>
      </c>
      <c r="Y188" s="379">
        <f t="shared" si="99"/>
        <v>3.0630961917638961</v>
      </c>
      <c r="Z188" s="379">
        <f t="shared" si="99"/>
        <v>3.0921777373314931</v>
      </c>
      <c r="AA188" s="379">
        <f t="shared" si="99"/>
        <v>3.1244976504369291</v>
      </c>
      <c r="AB188" s="379">
        <f t="shared" si="99"/>
        <v>3.1597815136023115</v>
      </c>
      <c r="AC188" s="379">
        <f t="shared" si="99"/>
        <v>3.1883608149789184</v>
      </c>
      <c r="AD188" s="379">
        <f t="shared" si="99"/>
        <v>3.2622185950275835</v>
      </c>
      <c r="AE188" s="379">
        <f t="shared" si="99"/>
        <v>3.3396070527478741</v>
      </c>
      <c r="AF188" s="379">
        <f t="shared" si="99"/>
        <v>3.4207585849037709</v>
      </c>
      <c r="AG188" s="379">
        <f t="shared" si="99"/>
        <v>3.505481828221658</v>
      </c>
    </row>
    <row r="189" spans="1:33">
      <c r="A189" s="300" t="s">
        <v>334</v>
      </c>
      <c r="C189" s="379">
        <f t="shared" ref="C189:AG189" si="100">C183*0.9</f>
        <v>1.5197383020946071</v>
      </c>
      <c r="D189" s="379">
        <f t="shared" si="100"/>
        <v>1.6292279848820059</v>
      </c>
      <c r="E189" s="379">
        <f t="shared" si="100"/>
        <v>1.6694211578419274</v>
      </c>
      <c r="F189" s="379">
        <f t="shared" si="100"/>
        <v>1.7107186381330179</v>
      </c>
      <c r="G189" s="379">
        <f t="shared" si="100"/>
        <v>1.7533825307770907</v>
      </c>
      <c r="H189" s="379">
        <f t="shared" si="100"/>
        <v>1.8129237656043946</v>
      </c>
      <c r="I189" s="379">
        <f t="shared" si="100"/>
        <v>1.8586356696693029</v>
      </c>
      <c r="J189" s="379">
        <f t="shared" si="100"/>
        <v>1.9055746291154647</v>
      </c>
      <c r="K189" s="379">
        <f t="shared" si="100"/>
        <v>1.9540015429546269</v>
      </c>
      <c r="L189" s="379">
        <f t="shared" si="100"/>
        <v>2.0037132330932241</v>
      </c>
      <c r="M189" s="379">
        <f t="shared" si="100"/>
        <v>2.0549760406356361</v>
      </c>
      <c r="N189" s="379">
        <f t="shared" si="100"/>
        <v>2.1325951614347489</v>
      </c>
      <c r="O189" s="379">
        <f t="shared" si="100"/>
        <v>2.1878026210707295</v>
      </c>
      <c r="P189" s="379">
        <f t="shared" si="100"/>
        <v>2.2446801599761961</v>
      </c>
      <c r="Q189" s="379">
        <f t="shared" si="100"/>
        <v>2.3032680414305511</v>
      </c>
      <c r="R189" s="379">
        <f t="shared" si="100"/>
        <v>2.3635989161755004</v>
      </c>
      <c r="S189" s="379">
        <f t="shared" si="100"/>
        <v>2.4257149156686748</v>
      </c>
      <c r="T189" s="379">
        <f t="shared" si="100"/>
        <v>2.4898892663359566</v>
      </c>
      <c r="U189" s="379">
        <f t="shared" si="100"/>
        <v>2.5559274652695878</v>
      </c>
      <c r="V189" s="379">
        <f t="shared" si="100"/>
        <v>2.6241090822777093</v>
      </c>
      <c r="W189" s="379">
        <f t="shared" si="100"/>
        <v>2.6942417682292286</v>
      </c>
      <c r="X189" s="379">
        <f t="shared" si="100"/>
        <v>2.7998950242516436</v>
      </c>
      <c r="Y189" s="379">
        <f t="shared" si="100"/>
        <v>2.8755322983370823</v>
      </c>
      <c r="Z189" s="379">
        <f t="shared" si="100"/>
        <v>2.9535221410926078</v>
      </c>
      <c r="AA189" s="379">
        <f t="shared" si="100"/>
        <v>3.0339212463430196</v>
      </c>
      <c r="AB189" s="379">
        <f t="shared" si="100"/>
        <v>3.1170127944295509</v>
      </c>
      <c r="AC189" s="379">
        <f t="shared" si="100"/>
        <v>3.2026125749915786</v>
      </c>
      <c r="AD189" s="379">
        <f t="shared" si="100"/>
        <v>3.2910157365829167</v>
      </c>
      <c r="AE189" s="379">
        <f t="shared" si="100"/>
        <v>3.3822799139060353</v>
      </c>
      <c r="AF189" s="379">
        <f t="shared" si="100"/>
        <v>3.4764642564574881</v>
      </c>
      <c r="AG189" s="379">
        <f t="shared" si="100"/>
        <v>3.5736294843736536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0.95966799911457534</v>
      </c>
      <c r="D192" s="388">
        <f t="shared" si="102"/>
        <v>1.0184495863409349</v>
      </c>
      <c r="E192" s="388">
        <f t="shared" si="102"/>
        <v>1.0342165665603065</v>
      </c>
      <c r="F192" s="388">
        <f t="shared" si="102"/>
        <v>1.0583128448476606</v>
      </c>
      <c r="G192" s="388">
        <f t="shared" si="102"/>
        <v>1.0841376087859684</v>
      </c>
      <c r="H192" s="388">
        <f t="shared" si="102"/>
        <v>1.1080243781062888</v>
      </c>
      <c r="I192" s="388">
        <f t="shared" si="102"/>
        <v>1.1652629544642636</v>
      </c>
      <c r="J192" s="388">
        <f t="shared" si="102"/>
        <v>1.1848063213805811</v>
      </c>
      <c r="K192" s="388">
        <f t="shared" si="102"/>
        <v>1.208370034865875</v>
      </c>
      <c r="L192" s="388">
        <f t="shared" si="102"/>
        <v>1.229856856447735</v>
      </c>
      <c r="M192" s="388">
        <f t="shared" si="102"/>
        <v>1.2491014068203845</v>
      </c>
      <c r="N192" s="388">
        <f t="shared" si="102"/>
        <v>1.3071341592440791</v>
      </c>
      <c r="O192" s="388">
        <f t="shared" si="102"/>
        <v>1.321140032594013</v>
      </c>
      <c r="P192" s="388">
        <f t="shared" si="102"/>
        <v>1.3353723065649252</v>
      </c>
      <c r="Q192" s="388">
        <f t="shared" si="102"/>
        <v>1.3479246447889388</v>
      </c>
      <c r="R192" s="388">
        <f t="shared" si="102"/>
        <v>1.3588809830022321</v>
      </c>
      <c r="S192" s="388">
        <f t="shared" si="102"/>
        <v>1.3712799736851917</v>
      </c>
      <c r="T192" s="388">
        <f t="shared" si="102"/>
        <v>1.3760578820235585</v>
      </c>
      <c r="U192" s="388">
        <f t="shared" si="102"/>
        <v>1.381104490494985</v>
      </c>
      <c r="V192" s="388">
        <f t="shared" si="102"/>
        <v>1.3857544956582837</v>
      </c>
      <c r="W192" s="388">
        <f t="shared" si="102"/>
        <v>1.3899829379944761</v>
      </c>
      <c r="X192" s="388">
        <f t="shared" si="102"/>
        <v>1.4414476340212619</v>
      </c>
      <c r="Y192" s="388">
        <f t="shared" si="102"/>
        <v>1.4447551745492191</v>
      </c>
      <c r="Z192" s="388">
        <f t="shared" si="102"/>
        <v>1.4476441607856307</v>
      </c>
      <c r="AA192" s="388">
        <f t="shared" si="102"/>
        <v>1.4499563927614276</v>
      </c>
      <c r="AB192" s="388">
        <f t="shared" si="102"/>
        <v>1.4519903877257903</v>
      </c>
      <c r="AC192" s="388">
        <f t="shared" si="102"/>
        <v>1.4477561866527975</v>
      </c>
      <c r="AD192" s="388">
        <f t="shared" si="102"/>
        <v>1.4425158516091763</v>
      </c>
      <c r="AE192" s="388">
        <f t="shared" si="102"/>
        <v>1.4372690033402109</v>
      </c>
      <c r="AF192" s="388">
        <f t="shared" si="102"/>
        <v>1.431824873804834</v>
      </c>
      <c r="AG192" s="388">
        <f t="shared" si="102"/>
        <v>1.4262767391738835</v>
      </c>
    </row>
    <row r="193" spans="1:33">
      <c r="A193" s="300" t="str">
        <f>A169</f>
        <v>H2-ICE</v>
      </c>
      <c r="C193" s="388">
        <f t="shared" ref="C193:AG193" si="103">C169/C168</f>
        <v>1.8609572552283389</v>
      </c>
      <c r="D193" s="388">
        <f t="shared" si="103"/>
        <v>1.8425027844602873</v>
      </c>
      <c r="E193" s="388">
        <f t="shared" si="103"/>
        <v>1.8280826016377063</v>
      </c>
      <c r="F193" s="388">
        <f t="shared" si="103"/>
        <v>1.8293878529551439</v>
      </c>
      <c r="G193" s="388">
        <f t="shared" si="103"/>
        <v>1.8341972856368609</v>
      </c>
      <c r="H193" s="388">
        <f t="shared" si="103"/>
        <v>1.8325274098426312</v>
      </c>
      <c r="I193" s="388">
        <f t="shared" si="103"/>
        <v>1.8215970174777507</v>
      </c>
      <c r="J193" s="388">
        <f t="shared" si="103"/>
        <v>1.7845965553182266</v>
      </c>
      <c r="K193" s="388">
        <f t="shared" si="103"/>
        <v>1.7552267558618022</v>
      </c>
      <c r="L193" s="388">
        <f t="shared" si="103"/>
        <v>1.7243988418725655</v>
      </c>
      <c r="M193" s="388">
        <f t="shared" si="103"/>
        <v>1.6921239859171511</v>
      </c>
      <c r="N193" s="388">
        <f t="shared" si="103"/>
        <v>1.6753756257014916</v>
      </c>
      <c r="O193" s="388">
        <f t="shared" si="103"/>
        <v>1.6385907545753298</v>
      </c>
      <c r="P193" s="388">
        <f t="shared" si="103"/>
        <v>1.6042751785373457</v>
      </c>
      <c r="Q193" s="388">
        <f t="shared" si="103"/>
        <v>1.5700987194726042</v>
      </c>
      <c r="R193" s="388">
        <f t="shared" si="103"/>
        <v>1.5362795670878044</v>
      </c>
      <c r="S193" s="388">
        <f t="shared" si="103"/>
        <v>1.473395997298649</v>
      </c>
      <c r="T193" s="388">
        <f t="shared" si="103"/>
        <v>1.443684102892884</v>
      </c>
      <c r="U193" s="388">
        <f t="shared" si="103"/>
        <v>1.4162157074147443</v>
      </c>
      <c r="V193" s="388">
        <f t="shared" si="103"/>
        <v>1.3902140677659929</v>
      </c>
      <c r="W193" s="388">
        <f t="shared" si="103"/>
        <v>1.3655301863849421</v>
      </c>
      <c r="X193" s="388">
        <f t="shared" si="103"/>
        <v>1.3622366328348314</v>
      </c>
      <c r="Y193" s="388">
        <f t="shared" si="103"/>
        <v>1.339294896082841</v>
      </c>
      <c r="Z193" s="388">
        <f t="shared" si="103"/>
        <v>1.3175806809581656</v>
      </c>
      <c r="AA193" s="388">
        <f t="shared" si="103"/>
        <v>1.2968759806089754</v>
      </c>
      <c r="AB193" s="388">
        <f t="shared" si="103"/>
        <v>1.2773726512668939</v>
      </c>
      <c r="AC193" s="388">
        <f t="shared" si="103"/>
        <v>1.2506666573558218</v>
      </c>
      <c r="AD193" s="388">
        <f t="shared" si="103"/>
        <v>1.2405237434418144</v>
      </c>
      <c r="AE193" s="388">
        <f t="shared" si="103"/>
        <v>1.2311178920295993</v>
      </c>
      <c r="AF193" s="388">
        <f t="shared" si="103"/>
        <v>1.2222584396903575</v>
      </c>
      <c r="AG193" s="388">
        <f t="shared" si="103"/>
        <v>1.2139276887765076</v>
      </c>
    </row>
    <row r="194" spans="1:33">
      <c r="A194" s="300" t="str">
        <f>A170</f>
        <v>FCET</v>
      </c>
      <c r="C194" s="388">
        <f t="shared" ref="C194:AG194" si="104">C170/C168</f>
        <v>1.9231892432408058</v>
      </c>
      <c r="D194" s="388">
        <f t="shared" si="104"/>
        <v>1.8946653337230626</v>
      </c>
      <c r="E194" s="388">
        <f t="shared" si="104"/>
        <v>1.8704366956230449</v>
      </c>
      <c r="F194" s="388">
        <f t="shared" si="104"/>
        <v>1.8624408869009119</v>
      </c>
      <c r="G194" s="388">
        <f t="shared" si="104"/>
        <v>1.8580188878505488</v>
      </c>
      <c r="H194" s="388">
        <f t="shared" si="104"/>
        <v>1.8416408241858919</v>
      </c>
      <c r="I194" s="388">
        <f t="shared" si="104"/>
        <v>1.8406298792267355</v>
      </c>
      <c r="J194" s="388">
        <f t="shared" si="104"/>
        <v>1.8048245514864658</v>
      </c>
      <c r="K194" s="388">
        <f t="shared" si="104"/>
        <v>1.7764364104336892</v>
      </c>
      <c r="L194" s="388">
        <f t="shared" si="104"/>
        <v>1.7465473511270539</v>
      </c>
      <c r="M194" s="388">
        <f t="shared" si="104"/>
        <v>1.7149931559884384</v>
      </c>
      <c r="N194" s="388">
        <f t="shared" si="104"/>
        <v>1.6871619076908544</v>
      </c>
      <c r="O194" s="388">
        <f t="shared" si="104"/>
        <v>1.6512721623264681</v>
      </c>
      <c r="P194" s="388">
        <f t="shared" si="104"/>
        <v>1.6176906442941938</v>
      </c>
      <c r="Q194" s="388">
        <f t="shared" si="104"/>
        <v>1.5842480925020088</v>
      </c>
      <c r="R194" s="388">
        <f t="shared" si="104"/>
        <v>1.5509757053329614</v>
      </c>
      <c r="S194" s="388">
        <f t="shared" si="104"/>
        <v>1.4935980124827859</v>
      </c>
      <c r="T194" s="388">
        <f t="shared" si="104"/>
        <v>1.4658075109918896</v>
      </c>
      <c r="U194" s="388">
        <f t="shared" si="104"/>
        <v>1.4401255911694222</v>
      </c>
      <c r="V194" s="388">
        <f t="shared" si="104"/>
        <v>1.4156251783085565</v>
      </c>
      <c r="W194" s="388">
        <f t="shared" si="104"/>
        <v>1.3922520049787812</v>
      </c>
      <c r="X194" s="388">
        <f t="shared" si="104"/>
        <v>1.3684882394141535</v>
      </c>
      <c r="Y194" s="388">
        <f t="shared" si="104"/>
        <v>1.3470036216606012</v>
      </c>
      <c r="Z194" s="388">
        <f t="shared" si="104"/>
        <v>1.326533312080187</v>
      </c>
      <c r="AA194" s="388">
        <f t="shared" si="104"/>
        <v>1.3069619970300281</v>
      </c>
      <c r="AB194" s="388">
        <f t="shared" si="104"/>
        <v>1.2882920587312989</v>
      </c>
      <c r="AC194" s="388">
        <f t="shared" si="104"/>
        <v>1.2615097380474172</v>
      </c>
      <c r="AD194" s="388">
        <f t="shared" si="104"/>
        <v>1.2515142924184348</v>
      </c>
      <c r="AE194" s="388">
        <f t="shared" si="104"/>
        <v>1.242098399033124</v>
      </c>
      <c r="AF194" s="388">
        <f t="shared" si="104"/>
        <v>1.2331237979357099</v>
      </c>
      <c r="AG194" s="388">
        <f t="shared" si="104"/>
        <v>1.2245432153007365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4:A35"/>
  </mergeCells>
  <pageMargins left="0.7" right="0.7" top="0.75" bottom="0.75" header="0.3" footer="0.3"/>
  <pageSetup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11EA-1537-473D-B240-73362B07E9A7}">
  <sheetPr>
    <tabColor rgb="FF0070C0"/>
  </sheetPr>
  <dimension ref="A1:AO200"/>
  <sheetViews>
    <sheetView zoomScaleNormal="100" workbookViewId="0">
      <pane xSplit="2" ySplit="4" topLeftCell="C163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year'!B16</f>
        <v>Tankers - POL &amp; CNG cascades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year'!C16</f>
        <v>28T Rigid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year'!AR16</f>
        <v>28000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year'!C83</f>
        <v>3600000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year'!C94</f>
        <v>3850000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year'!C107</f>
        <v>4180375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year'!C119</f>
        <v>5179200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year'!C131</f>
        <v>8762500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year'!C144</f>
        <v>11491400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year'!G16</f>
        <v>250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year'!J16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year'!I16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year'!AX16</f>
        <v>18500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year'!AY16</f>
        <v>16500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year'!AZ16</f>
        <v>17600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year'!C267</f>
        <v>7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year'!K16</f>
        <v>250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year'!L16</f>
        <v>300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year'!Q16</f>
        <v>6.25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year'!O16</f>
        <v>0.5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 ht="15.6">
      <c r="A27" s="328" t="s">
        <v>687</v>
      </c>
      <c r="B27" s="300" t="s">
        <v>277</v>
      </c>
      <c r="C27" s="345">
        <f>'No change with year'!D30</f>
        <v>7</v>
      </c>
      <c r="D27" s="347"/>
      <c r="E27" s="347"/>
    </row>
    <row r="28" spans="1:5" ht="15.6">
      <c r="A28" s="328" t="s">
        <v>688</v>
      </c>
      <c r="B28" s="300" t="s">
        <v>198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5">
      <c r="A30" s="328" t="s">
        <v>278</v>
      </c>
      <c r="B30" s="300" t="s">
        <v>198</v>
      </c>
      <c r="C30" s="325">
        <f>'No change with year'!D34</f>
        <v>0.5</v>
      </c>
      <c r="D30" s="325">
        <f>'No change with year'!H34</f>
        <v>0.3</v>
      </c>
      <c r="E30" s="325">
        <f>'No change with year'!I34</f>
        <v>0.25</v>
      </c>
    </row>
    <row r="31" spans="1:5">
      <c r="A31" s="328" t="s">
        <v>279</v>
      </c>
      <c r="C31" s="326">
        <f>'No change with year'!D36</f>
        <v>0.4</v>
      </c>
      <c r="D31" s="326"/>
      <c r="E31" s="325">
        <f>'No change with year'!I36</f>
        <v>0.35</v>
      </c>
    </row>
    <row r="32" spans="1:5">
      <c r="C32" s="300"/>
    </row>
    <row r="33" spans="1:38" s="352" customFormat="1">
      <c r="A33" s="350"/>
      <c r="B33" s="350"/>
      <c r="C33" s="351" t="s">
        <v>178</v>
      </c>
      <c r="D33" s="351" t="s">
        <v>179</v>
      </c>
      <c r="E33" s="351" t="s">
        <v>180</v>
      </c>
      <c r="F33" s="351" t="s">
        <v>181</v>
      </c>
      <c r="G33" s="351" t="s">
        <v>182</v>
      </c>
      <c r="H33" s="351" t="s">
        <v>239</v>
      </c>
    </row>
    <row r="34" spans="1:38">
      <c r="A34" s="328" t="s">
        <v>280</v>
      </c>
      <c r="B34" s="328" t="s">
        <v>281</v>
      </c>
      <c r="C34" s="353"/>
      <c r="D34" s="353"/>
      <c r="E34" s="354">
        <f>'No change with year'!E16</f>
        <v>157.5</v>
      </c>
      <c r="F34" s="355">
        <f>'No change with year'!F16</f>
        <v>28.2</v>
      </c>
      <c r="G34" s="328"/>
      <c r="H34" s="355">
        <f>'No change with year'!H16</f>
        <v>28.2</v>
      </c>
    </row>
    <row r="35" spans="1:38">
      <c r="A35" s="974" t="s">
        <v>345</v>
      </c>
      <c r="B35" s="328" t="s">
        <v>201</v>
      </c>
      <c r="C35" s="356"/>
      <c r="D35" s="356"/>
      <c r="E35" s="356"/>
      <c r="F35" s="356"/>
      <c r="G35" s="357">
        <f>'No change with year'!W16</f>
        <v>1.05</v>
      </c>
      <c r="H35" s="356"/>
    </row>
    <row r="36" spans="1:38">
      <c r="A36" s="974"/>
      <c r="B36" s="328" t="s">
        <v>346</v>
      </c>
      <c r="C36" s="358">
        <f>'No change with year'!S16</f>
        <v>4.7</v>
      </c>
      <c r="D36" s="358">
        <f>'No change with year'!T16</f>
        <v>4.9000000000000004</v>
      </c>
      <c r="E36" s="358">
        <f>'No change with year'!U16</f>
        <v>4.8000000000000007</v>
      </c>
      <c r="F36" s="356">
        <f>'No change with year'!V16</f>
        <v>14.100000000000001</v>
      </c>
      <c r="G36" s="359"/>
      <c r="H36" s="356">
        <f>'No change with year'!X16</f>
        <v>18.8</v>
      </c>
    </row>
    <row r="37" spans="1:38" ht="28.8">
      <c r="A37" s="296" t="s">
        <v>283</v>
      </c>
      <c r="B37" s="296" t="s">
        <v>284</v>
      </c>
      <c r="C37" s="297">
        <f>($C$21*$C$22)/C36</f>
        <v>15957.446808510638</v>
      </c>
      <c r="D37" s="297">
        <f>($C$21*$C$22)/D36</f>
        <v>15306.122448979591</v>
      </c>
      <c r="E37" s="297">
        <f>($C$21*$C$22)/E36</f>
        <v>15624.999999999998</v>
      </c>
      <c r="F37" s="297">
        <f>($C$21*$C$22)/F36</f>
        <v>5319.1489361702124</v>
      </c>
      <c r="G37" s="297">
        <f>($C$21*$C$22*G35)</f>
        <v>78750</v>
      </c>
      <c r="H37" s="297">
        <f>($C$21*$C$22)/H36</f>
        <v>3989.3617021276596</v>
      </c>
    </row>
    <row r="38" spans="1:38">
      <c r="C38" s="324" t="s">
        <v>347</v>
      </c>
      <c r="D38" s="324" t="s">
        <v>224</v>
      </c>
      <c r="E38" s="324" t="s">
        <v>225</v>
      </c>
      <c r="H38" s="340"/>
      <c r="J38" s="340"/>
      <c r="L38" s="340"/>
      <c r="N38" s="340"/>
      <c r="P38" s="340"/>
      <c r="R38" s="340"/>
      <c r="T38" s="340"/>
      <c r="V38" s="340"/>
      <c r="X38" s="340"/>
      <c r="Z38" s="340"/>
      <c r="AB38" s="340"/>
      <c r="AC38" s="340"/>
      <c r="AD38" s="340"/>
      <c r="AE38" s="340"/>
      <c r="AF38" s="340"/>
      <c r="AG38" s="340"/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year'!C289/($C$21*$C$22)</f>
        <v>6</v>
      </c>
      <c r="D54" s="393">
        <f>'Changing with year'!D289/($C$21*$C$22)</f>
        <v>6.2666666666666666</v>
      </c>
      <c r="E54" s="393">
        <f>'Changing with year'!E289/($C$21*$C$22)</f>
        <v>6.5466666666666669</v>
      </c>
      <c r="F54" s="393">
        <f>'Changing with year'!F289/($C$21*$C$22)</f>
        <v>6.84</v>
      </c>
      <c r="G54" s="393">
        <f>'Changing with year'!G289/($C$21*$C$22)</f>
        <v>7.1466666666666665</v>
      </c>
      <c r="H54" s="393">
        <f>'Changing with year'!H289/($C$21*$C$22)</f>
        <v>7.4666666666666668</v>
      </c>
      <c r="I54" s="393">
        <f>'Changing with year'!I289/($C$21*$C$22)</f>
        <v>7.8</v>
      </c>
      <c r="J54" s="393">
        <f>'Changing with year'!J289/($C$21*$C$22)</f>
        <v>8.1466666666666665</v>
      </c>
      <c r="K54" s="393">
        <f>'Changing with year'!K289/($C$21*$C$22)</f>
        <v>8.5066666666666659</v>
      </c>
      <c r="L54" s="393">
        <f>'Changing with year'!L289/($C$21*$C$22)</f>
        <v>8.8933333333333326</v>
      </c>
      <c r="M54" s="393">
        <f>'Changing with year'!M289/($C$21*$C$22)</f>
        <v>9.293333333333333</v>
      </c>
      <c r="N54" s="393">
        <f>'Changing with year'!N289/($C$21*$C$22)</f>
        <v>9.706666666666667</v>
      </c>
      <c r="O54" s="393">
        <f>'Changing with year'!O289/($C$21*$C$22)</f>
        <v>10.146666666666667</v>
      </c>
      <c r="P54" s="393">
        <f>'Changing with year'!P289/($C$21*$C$22)</f>
        <v>10.6</v>
      </c>
      <c r="Q54" s="393">
        <f>'Changing with year'!Q289/($C$21*$C$22)</f>
        <v>11.08</v>
      </c>
      <c r="R54" s="393">
        <f>'Changing with year'!R289/($C$21*$C$22)</f>
        <v>11.573333333333334</v>
      </c>
      <c r="S54" s="393">
        <f>'Changing with year'!S289/($C$21*$C$22)</f>
        <v>12.093333333333334</v>
      </c>
      <c r="T54" s="393">
        <f>'Changing with year'!T289/($C$21*$C$22)</f>
        <v>12.64</v>
      </c>
      <c r="U54" s="393">
        <f>'Changing with year'!U289/($C$21*$C$22)</f>
        <v>13.213333333333333</v>
      </c>
      <c r="V54" s="393">
        <f>'Changing with year'!V289/($C$21*$C$22)</f>
        <v>13.813333333333333</v>
      </c>
      <c r="W54" s="393">
        <f>'Changing with year'!W289/($C$21*$C$22)</f>
        <v>14.44</v>
      </c>
      <c r="X54" s="393">
        <f>'Changing with year'!X289/($C$21*$C$22)</f>
        <v>15.093333333333334</v>
      </c>
      <c r="Y54" s="393">
        <f>'Changing with year'!Y289/($C$21*$C$22)</f>
        <v>15.773333333333333</v>
      </c>
      <c r="Z54" s="393">
        <f>'Changing with year'!Z289/($C$21*$C$22)</f>
        <v>16.48</v>
      </c>
      <c r="AA54" s="393">
        <f>'Changing with year'!AA289/($C$21*$C$22)</f>
        <v>17.226666666666667</v>
      </c>
      <c r="AB54" s="393">
        <f>'Changing with year'!AB289/($C$21*$C$22)</f>
        <v>18</v>
      </c>
      <c r="AC54" s="393">
        <f>'Changing with year'!AC289/($C$21*$C$22)</f>
        <v>18.813333333333333</v>
      </c>
      <c r="AD54" s="393">
        <f>'Changing with year'!AD289/($C$21*$C$22)</f>
        <v>19.653333333333332</v>
      </c>
      <c r="AE54" s="393">
        <f>'Changing with year'!AE289/($C$21*$C$22)</f>
        <v>20.533333333333335</v>
      </c>
      <c r="AF54" s="393">
        <f>'Changing with year'!AF289/($C$21*$C$22)</f>
        <v>21.453333333333333</v>
      </c>
      <c r="AG54" s="393">
        <f>'Changing with year'!AG289/($C$21*$C$22)</f>
        <v>22.413333333333334</v>
      </c>
      <c r="AH54" s="339"/>
    </row>
    <row r="55" spans="1:41">
      <c r="A55" s="348" t="s">
        <v>357</v>
      </c>
      <c r="B55" s="328" t="s">
        <v>300</v>
      </c>
      <c r="C55" s="393">
        <f>'Changing with year'!C300/($C$21*$C$22)</f>
        <v>6.8</v>
      </c>
      <c r="D55" s="393">
        <f>'Changing with year'!D300/($C$21*$C$22)</f>
        <v>7.1066666666666665</v>
      </c>
      <c r="E55" s="393">
        <f>'Changing with year'!E300/($C$21*$C$22)</f>
        <v>7.4266666666666667</v>
      </c>
      <c r="F55" s="393">
        <f>'Changing with year'!F300/($C$21*$C$22)</f>
        <v>7.76</v>
      </c>
      <c r="G55" s="393">
        <f>'Changing with year'!G300/($C$21*$C$22)</f>
        <v>8.1066666666666674</v>
      </c>
      <c r="H55" s="393">
        <f>'Changing with year'!H300/($C$21*$C$22)</f>
        <v>8.4666666666666668</v>
      </c>
      <c r="I55" s="393">
        <f>'Changing with year'!I300/($C$21*$C$22)</f>
        <v>8.8533333333333335</v>
      </c>
      <c r="J55" s="393">
        <f>'Changing with year'!J300/($C$21*$C$22)</f>
        <v>9.2533333333333339</v>
      </c>
      <c r="K55" s="393">
        <f>'Changing with year'!K300/($C$21*$C$22)</f>
        <v>9.6666666666666661</v>
      </c>
      <c r="L55" s="393">
        <f>'Changing with year'!L300/($C$21*$C$22)</f>
        <v>10.106666666666667</v>
      </c>
      <c r="M55" s="393">
        <f>'Changing with year'!M300/($C$21*$C$22)</f>
        <v>10.56</v>
      </c>
      <c r="N55" s="393">
        <f>'Changing with year'!N300/($C$21*$C$22)</f>
        <v>11.04</v>
      </c>
      <c r="O55" s="393">
        <f>'Changing with year'!O300/($C$21*$C$22)</f>
        <v>11.533333333333333</v>
      </c>
      <c r="P55" s="393">
        <f>'Changing with year'!P300/($C$21*$C$22)</f>
        <v>12.053333333333333</v>
      </c>
      <c r="Q55" s="393">
        <f>'Changing with year'!Q300/($C$21*$C$22)</f>
        <v>12.6</v>
      </c>
      <c r="R55" s="393">
        <f>'Changing with year'!R300/($C$21*$C$22)</f>
        <v>13.173333333333334</v>
      </c>
      <c r="S55" s="393">
        <f>'Changing with year'!S300/($C$21*$C$22)</f>
        <v>13.76</v>
      </c>
      <c r="T55" s="393">
        <f>'Changing with year'!T300/($C$21*$C$22)</f>
        <v>14.373333333333333</v>
      </c>
      <c r="U55" s="393">
        <f>'Changing with year'!U300/($C$21*$C$22)</f>
        <v>15.026666666666667</v>
      </c>
      <c r="V55" s="393">
        <f>'Changing with year'!V300/($C$21*$C$22)</f>
        <v>15.706666666666667</v>
      </c>
      <c r="W55" s="393">
        <f>'Changing with year'!W300/($C$21*$C$22)</f>
        <v>16.413333333333334</v>
      </c>
      <c r="X55" s="393">
        <f>'Changing with year'!X300/($C$21*$C$22)</f>
        <v>17.146666666666668</v>
      </c>
      <c r="Y55" s="393">
        <f>'Changing with year'!Y300/($C$21*$C$22)</f>
        <v>17.920000000000002</v>
      </c>
      <c r="Z55" s="393">
        <f>'Changing with year'!Z300/($C$21*$C$22)</f>
        <v>18.72</v>
      </c>
      <c r="AA55" s="393">
        <f>'Changing with year'!AA300/($C$21*$C$22)</f>
        <v>19.559999999999999</v>
      </c>
      <c r="AB55" s="393">
        <f>'Changing with year'!AB300/($C$21*$C$22)</f>
        <v>20.440000000000001</v>
      </c>
      <c r="AC55" s="393">
        <f>'Changing with year'!AC300/($C$21*$C$22)</f>
        <v>21.36</v>
      </c>
      <c r="AD55" s="393">
        <f>'Changing with year'!AD300/($C$21*$C$22)</f>
        <v>22.32</v>
      </c>
      <c r="AE55" s="393">
        <f>'Changing with year'!AE300/($C$21*$C$22)</f>
        <v>23.32</v>
      </c>
      <c r="AF55" s="393">
        <f>'Changing with year'!AF300/($C$21*$C$22)</f>
        <v>24.373333333333335</v>
      </c>
      <c r="AG55" s="393">
        <f>'Changing with year'!AG300/($C$21*$C$22)</f>
        <v>25.466666666666665</v>
      </c>
      <c r="AH55" s="339"/>
    </row>
    <row r="56" spans="1:41">
      <c r="A56" s="328" t="s">
        <v>299</v>
      </c>
      <c r="B56" s="328" t="s">
        <v>300</v>
      </c>
      <c r="C56" s="338">
        <f>'Changing with year'!C164</f>
        <v>3.5</v>
      </c>
      <c r="D56" s="338">
        <f>'Changing with year'!D164</f>
        <v>3.64</v>
      </c>
      <c r="E56" s="338">
        <f>'Changing with year'!E164</f>
        <v>3.7856000000000001</v>
      </c>
      <c r="F56" s="338">
        <f>'Changing with year'!F164</f>
        <v>3.9370240000000001</v>
      </c>
      <c r="G56" s="338">
        <f>'Changing with year'!G164</f>
        <v>4.0945049600000001</v>
      </c>
      <c r="H56" s="338">
        <f>'Changing with year'!H164</f>
        <v>4.2582851584000005</v>
      </c>
      <c r="I56" s="338">
        <f>'Changing with year'!I164</f>
        <v>4.428616564736001</v>
      </c>
      <c r="J56" s="338">
        <f>'Changing with year'!J164</f>
        <v>4.6057612273254414</v>
      </c>
      <c r="K56" s="338">
        <f>'Changing with year'!K164</f>
        <v>4.7899916764184596</v>
      </c>
      <c r="L56" s="338">
        <f>'Changing with year'!L164</f>
        <v>4.9815913434751984</v>
      </c>
      <c r="M56" s="338">
        <f>'Changing with year'!M164</f>
        <v>5.1808549972142064</v>
      </c>
      <c r="N56" s="338">
        <f>'Changing with year'!N164</f>
        <v>5.3880891971027749</v>
      </c>
      <c r="O56" s="338">
        <f>'Changing with year'!O164</f>
        <v>5.6036127649868863</v>
      </c>
      <c r="P56" s="338">
        <f>'Changing with year'!P164</f>
        <v>5.8277572755863618</v>
      </c>
      <c r="Q56" s="338">
        <f>'Changing with year'!Q164</f>
        <v>6.0608675666098168</v>
      </c>
      <c r="R56" s="338">
        <f>'Changing with year'!R164</f>
        <v>6.3033022692742096</v>
      </c>
      <c r="S56" s="338">
        <f>'Changing with year'!S164</f>
        <v>6.5554343600451785</v>
      </c>
      <c r="T56" s="338">
        <f>'Changing with year'!T164</f>
        <v>6.8176517344469856</v>
      </c>
      <c r="U56" s="338">
        <f>'Changing with year'!U164</f>
        <v>7.0903578038248654</v>
      </c>
      <c r="V56" s="338">
        <f>'Changing with year'!V164</f>
        <v>7.3739721159778604</v>
      </c>
      <c r="W56" s="338">
        <f>'Changing with year'!W164</f>
        <v>7.6689310006169746</v>
      </c>
      <c r="X56" s="338">
        <f>'Changing with year'!X164</f>
        <v>7.975688240641654</v>
      </c>
      <c r="Y56" s="338">
        <f>'Changing with year'!Y164</f>
        <v>8.2947157702673202</v>
      </c>
      <c r="Z56" s="338">
        <f>'Changing with year'!Z164</f>
        <v>8.6265044010780141</v>
      </c>
      <c r="AA56" s="338">
        <f>'Changing with year'!AA164</f>
        <v>8.9715645771211356</v>
      </c>
      <c r="AB56" s="338">
        <f>'Changing with year'!AB164</f>
        <v>9.3304271602059821</v>
      </c>
      <c r="AC56" s="338">
        <f>'Changing with year'!AC164</f>
        <v>9.7036442466142212</v>
      </c>
      <c r="AD56" s="338">
        <f>'Changing with year'!AD164</f>
        <v>10.091790016478791</v>
      </c>
      <c r="AE56" s="338">
        <f>'Changing with year'!AE164</f>
        <v>10.495461617137943</v>
      </c>
      <c r="AF56" s="338">
        <f>'Changing with year'!AF164</f>
        <v>10.915280081823461</v>
      </c>
      <c r="AG56" s="338">
        <f>'Changing with year'!AG164</f>
        <v>11.3518912850964</v>
      </c>
      <c r="AH56" s="339"/>
    </row>
    <row r="57" spans="1:41">
      <c r="A57" s="328" t="s">
        <v>301</v>
      </c>
      <c r="B57" s="328" t="s">
        <v>300</v>
      </c>
      <c r="C57" s="338">
        <f>'Changing with year'!C196</f>
        <v>4</v>
      </c>
      <c r="D57" s="338">
        <f>'Changing with year'!D196</f>
        <v>4.16</v>
      </c>
      <c r="E57" s="338">
        <f>'Changing with year'!E196</f>
        <v>4.3264000000000005</v>
      </c>
      <c r="F57" s="338">
        <f>'Changing with year'!F196</f>
        <v>4.4994560000000003</v>
      </c>
      <c r="G57" s="338">
        <f>'Changing with year'!G196</f>
        <v>4.6794342400000009</v>
      </c>
      <c r="H57" s="338">
        <f>'Changing with year'!H196</f>
        <v>4.8666116096000014</v>
      </c>
      <c r="I57" s="338">
        <f>'Changing with year'!I196</f>
        <v>5.0612760739840015</v>
      </c>
      <c r="J57" s="338">
        <f>'Changing with year'!J196</f>
        <v>5.2637271169433619</v>
      </c>
      <c r="K57" s="338">
        <f>'Changing with year'!K196</f>
        <v>5.4742762016210964</v>
      </c>
      <c r="L57" s="338">
        <f>'Changing with year'!L196</f>
        <v>5.6932472496859408</v>
      </c>
      <c r="M57" s="338">
        <f>'Changing with year'!M196</f>
        <v>5.9209771396733784</v>
      </c>
      <c r="N57" s="338">
        <f>'Changing with year'!N196</f>
        <v>6.1578162252603139</v>
      </c>
      <c r="O57" s="338">
        <f>'Changing with year'!O196</f>
        <v>6.404128874270727</v>
      </c>
      <c r="P57" s="338">
        <f>'Changing with year'!P196</f>
        <v>6.6602940292415562</v>
      </c>
      <c r="Q57" s="338">
        <f>'Changing with year'!Q196</f>
        <v>6.9267057904112184</v>
      </c>
      <c r="R57" s="338">
        <f>'Changing with year'!R196</f>
        <v>7.2037740220276669</v>
      </c>
      <c r="S57" s="338">
        <f>'Changing with year'!S196</f>
        <v>7.491924982908774</v>
      </c>
      <c r="T57" s="338">
        <f>'Changing with year'!T196</f>
        <v>7.7916019822251252</v>
      </c>
      <c r="U57" s="338">
        <f>'Changing with year'!U196</f>
        <v>8.1032660615141303</v>
      </c>
      <c r="V57" s="338">
        <f>'Changing with year'!V196</f>
        <v>8.4273967039746953</v>
      </c>
      <c r="W57" s="338">
        <f>'Changing with year'!W196</f>
        <v>8.7644925721336833</v>
      </c>
      <c r="X57" s="338">
        <f>'Changing with year'!X196</f>
        <v>9.1150722750190312</v>
      </c>
      <c r="Y57" s="338">
        <f>'Changing with year'!Y196</f>
        <v>9.479675166019792</v>
      </c>
      <c r="Z57" s="338">
        <f>'Changing with year'!Z196</f>
        <v>9.8588621726605847</v>
      </c>
      <c r="AA57" s="338">
        <f>'Changing with year'!AA196</f>
        <v>10.253216659567009</v>
      </c>
      <c r="AB57" s="338">
        <f>'Changing with year'!AB196</f>
        <v>10.66334532594969</v>
      </c>
      <c r="AC57" s="338">
        <f>'Changing with year'!AC196</f>
        <v>11.089879138987678</v>
      </c>
      <c r="AD57" s="338">
        <f>'Changing with year'!AD196</f>
        <v>11.533474304547186</v>
      </c>
      <c r="AE57" s="338">
        <f>'Changing with year'!AE196</f>
        <v>11.994813276729074</v>
      </c>
      <c r="AF57" s="338">
        <f>'Changing with year'!AF196</f>
        <v>12.474605807798238</v>
      </c>
      <c r="AG57" s="338">
        <f>'Changing with year'!AG196</f>
        <v>12.973590040110167</v>
      </c>
      <c r="AH57" s="339"/>
    </row>
    <row r="58" spans="1:41" ht="28.8">
      <c r="A58" s="337" t="s">
        <v>302</v>
      </c>
      <c r="B58" s="328" t="s">
        <v>300</v>
      </c>
      <c r="C58" s="338">
        <f>'Changing with year'!C228</f>
        <v>6.4351253058523623</v>
      </c>
      <c r="D58" s="338">
        <f>'Changing with year'!D228</f>
        <v>6.4497471732060534</v>
      </c>
      <c r="E58" s="338">
        <f>'Changing with year'!E228</f>
        <v>6.4710234938759026</v>
      </c>
      <c r="F58" s="338">
        <f>'Changing with year'!F228</f>
        <v>6.4990687065290045</v>
      </c>
      <c r="G58" s="338">
        <f>'Changing with year'!G228</f>
        <v>6.5340056208657797</v>
      </c>
      <c r="H58" s="338">
        <f>'Changing with year'!H228</f>
        <v>6.5759656576241357</v>
      </c>
      <c r="I58" s="338">
        <f>'Changing with year'!I228</f>
        <v>6.6415441146604532</v>
      </c>
      <c r="J58" s="338">
        <f>'Changing with year'!J228</f>
        <v>6.7136949133635957</v>
      </c>
      <c r="K58" s="338">
        <f>'Changing with year'!K228</f>
        <v>6.7926019633325305</v>
      </c>
      <c r="L58" s="338">
        <f>'Changing with year'!L228</f>
        <v>6.8784581102315352</v>
      </c>
      <c r="M58" s="338">
        <f>'Changing with year'!M228</f>
        <v>6.9714654616391849</v>
      </c>
      <c r="N58" s="338">
        <f>'Changing with year'!N228</f>
        <v>7.0718357265631733</v>
      </c>
      <c r="O58" s="338">
        <f>'Changing with year'!O228</f>
        <v>7.1797905691549531</v>
      </c>
      <c r="P58" s="338">
        <f>'Changing with year'!P228</f>
        <v>7.295561977179819</v>
      </c>
      <c r="Q58" s="338">
        <f>'Changing with year'!Q228</f>
        <v>7.4193926458205057</v>
      </c>
      <c r="R58" s="338">
        <f>'Changing with year'!R228</f>
        <v>7.5515363774157498</v>
      </c>
      <c r="S58" s="338">
        <f>'Changing with year'!S228</f>
        <v>7.7191483868850268</v>
      </c>
      <c r="T58" s="338">
        <f>'Changing with year'!T228</f>
        <v>7.8948093711893472</v>
      </c>
      <c r="U58" s="338">
        <f>'Changing with year'!U228</f>
        <v>8.0788278443775514</v>
      </c>
      <c r="V58" s="338">
        <f>'Changing with year'!V228</f>
        <v>8.2715247955098778</v>
      </c>
      <c r="W58" s="338">
        <f>'Changing with year'!W228</f>
        <v>8.4732341863139258</v>
      </c>
      <c r="X58" s="338">
        <f>'Changing with year'!X228</f>
        <v>8.6843034687602998</v>
      </c>
      <c r="Y58" s="338">
        <f>'Changing with year'!Y228</f>
        <v>8.9050941233545888</v>
      </c>
      <c r="Z58" s="338">
        <f>'Changing with year'!Z228</f>
        <v>9.1359822189742115</v>
      </c>
      <c r="AA58" s="338">
        <f>'Changing with year'!AA228</f>
        <v>9.3773589951117646</v>
      </c>
      <c r="AB58" s="338">
        <f>'Changing with year'!AB228</f>
        <v>9.6296314674210333</v>
      </c>
      <c r="AC58" s="338">
        <f>'Changing with year'!AC228</f>
        <v>9.9418605249457261</v>
      </c>
      <c r="AD58" s="338">
        <f>'Changing with year'!AD228</f>
        <v>10.265849182759684</v>
      </c>
      <c r="AE58" s="338">
        <f>'Changing with year'!AE228</f>
        <v>10.602060529254363</v>
      </c>
      <c r="AF58" s="338">
        <f>'Changing with year'!AF228</f>
        <v>10.950976103400672</v>
      </c>
      <c r="AG58" s="338">
        <f>'Changing with year'!AG228</f>
        <v>11.313096632042592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year'!C260</f>
        <v>7.2702</v>
      </c>
      <c r="D59" s="338">
        <f>'Changing with year'!D260</f>
        <v>7.2639450000000005</v>
      </c>
      <c r="E59" s="338">
        <f>'Changing with year'!E260</f>
        <v>7.2648663749999987</v>
      </c>
      <c r="F59" s="338">
        <f>'Changing with year'!F260</f>
        <v>7.2730655156249986</v>
      </c>
      <c r="G59" s="338">
        <f>'Changing with year'!G260</f>
        <v>7.2886525097343755</v>
      </c>
      <c r="H59" s="338">
        <f>'Changing with year'!H260</f>
        <v>7.3117463742710145</v>
      </c>
      <c r="I59" s="338">
        <f>'Changing with year'!I260</f>
        <v>7.3626092169743949</v>
      </c>
      <c r="J59" s="338">
        <f>'Changing with year'!J260</f>
        <v>7.4203387136312591</v>
      </c>
      <c r="K59" s="338">
        <f>'Changing with year'!K260</f>
        <v>7.4851128875948421</v>
      </c>
      <c r="L59" s="338">
        <f>'Changing with year'!L260</f>
        <v>7.5571188160085994</v>
      </c>
      <c r="M59" s="338">
        <f>'Changing with year'!M260</f>
        <v>7.6365529533007068</v>
      </c>
      <c r="N59" s="338">
        <f>'Changing with year'!N260</f>
        <v>7.7236214683914666</v>
      </c>
      <c r="O59" s="338">
        <f>'Changing with year'!O260</f>
        <v>7.8185405961466792</v>
      </c>
      <c r="P59" s="338">
        <f>'Changing with year'!P260</f>
        <v>7.9215370036317108</v>
      </c>
      <c r="Q59" s="338">
        <f>'Changing with year'!Q260</f>
        <v>8.0328481717433604</v>
      </c>
      <c r="R59" s="338">
        <f>'Changing with year'!R260</f>
        <v>8.1527227928201462</v>
      </c>
      <c r="S59" s="338">
        <f>'Changing with year'!S260</f>
        <v>8.314322938135378</v>
      </c>
      <c r="T59" s="338">
        <f>'Changing with year'!T260</f>
        <v>8.4840321769271974</v>
      </c>
      <c r="U59" s="338">
        <f>'Changing with year'!U260</f>
        <v>8.6621584220580221</v>
      </c>
      <c r="V59" s="338">
        <f>'Changing with year'!V260</f>
        <v>8.8490220674135447</v>
      </c>
      <c r="W59" s="338">
        <f>'Changing with year'!W260</f>
        <v>9.0449564854985542</v>
      </c>
      <c r="X59" s="338">
        <f>'Changing with year'!X260</f>
        <v>9.2503085449530822</v>
      </c>
      <c r="Y59" s="338">
        <f>'Changing with year'!Y260</f>
        <v>9.4654391487854426</v>
      </c>
      <c r="Z59" s="338">
        <f>'Changing with year'!Z260</f>
        <v>9.6907237941507578</v>
      </c>
      <c r="AA59" s="338">
        <f>'Changing with year'!AA260</f>
        <v>9.9265531545365455</v>
      </c>
      <c r="AB59" s="338">
        <f>'Changing with year'!AB260</f>
        <v>10.173333685251567</v>
      </c>
      <c r="AC59" s="338">
        <f>'Changing with year'!AC260</f>
        <v>10.490999764954564</v>
      </c>
      <c r="AD59" s="338">
        <f>'Changing with year'!AD260</f>
        <v>10.820479815168611</v>
      </c>
      <c r="AE59" s="338">
        <f>'Changing with year'!AE260</f>
        <v>11.162237467987378</v>
      </c>
      <c r="AF59" s="338">
        <f>'Changing with year'!AF260</f>
        <v>11.516754811521016</v>
      </c>
      <c r="AG59" s="338">
        <f>'Changing with year'!AG260</f>
        <v>11.884533127244142</v>
      </c>
      <c r="AH59" s="339"/>
    </row>
    <row r="60" spans="1:41">
      <c r="A60" s="328" t="s">
        <v>304</v>
      </c>
      <c r="B60" s="374" t="s">
        <v>305</v>
      </c>
      <c r="C60" s="361">
        <f>'Changing with year'!C267*$C$21*$C$22</f>
        <v>525000</v>
      </c>
      <c r="D60" s="361">
        <f>'Changing with year'!D267*$C$21*$C$22</f>
        <v>530250</v>
      </c>
      <c r="E60" s="361">
        <f>'Changing with year'!E267*$C$21*$C$22</f>
        <v>535552.5</v>
      </c>
      <c r="F60" s="361">
        <f>'Changing with year'!F267*$C$21*$C$22</f>
        <v>540908.02500000002</v>
      </c>
      <c r="G60" s="361">
        <f>'Changing with year'!G267*$C$21*$C$22</f>
        <v>546317.10525000002</v>
      </c>
      <c r="H60" s="361">
        <f>'Changing with year'!H267*$C$21*$C$22</f>
        <v>551780.27630249993</v>
      </c>
      <c r="I60" s="361">
        <f>'Changing with year'!I267*$C$21*$C$22</f>
        <v>557298.07906552509</v>
      </c>
      <c r="J60" s="361">
        <f>'Changing with year'!J267*$C$21*$C$22</f>
        <v>562871.05985618022</v>
      </c>
      <c r="K60" s="361">
        <f>'Changing with year'!K267*$C$21*$C$22</f>
        <v>568499.77045474213</v>
      </c>
      <c r="L60" s="361">
        <f>'Changing with year'!L267*$C$21*$C$22</f>
        <v>574184.7681592895</v>
      </c>
      <c r="M60" s="361">
        <f>'Changing with year'!M267*$C$21*$C$22</f>
        <v>579926.61584088241</v>
      </c>
      <c r="N60" s="361">
        <f>'Changing with year'!N267*$C$21*$C$22</f>
        <v>585725.88199929113</v>
      </c>
      <c r="O60" s="361">
        <f>'Changing with year'!O267*$C$21*$C$22</f>
        <v>591583.14081928413</v>
      </c>
      <c r="P60" s="361">
        <f>'Changing with year'!P267*$C$21*$C$22</f>
        <v>597498.972227477</v>
      </c>
      <c r="Q60" s="361">
        <f>'Changing with year'!Q267*$C$21*$C$22</f>
        <v>603473.96194975183</v>
      </c>
      <c r="R60" s="361">
        <f>'Changing with year'!R267*$C$21*$C$22</f>
        <v>609508.70156924927</v>
      </c>
      <c r="S60" s="361">
        <f>'Changing with year'!S267*$C$21*$C$22</f>
        <v>615603.78858494177</v>
      </c>
      <c r="T60" s="361">
        <f>'Changing with year'!T267*$C$21*$C$22</f>
        <v>621759.82647079125</v>
      </c>
      <c r="U60" s="361">
        <f>'Changing with year'!U267*$C$21*$C$22</f>
        <v>627977.4247354992</v>
      </c>
      <c r="V60" s="361">
        <f>'Changing with year'!V267*$C$21*$C$22</f>
        <v>634257.19898285414</v>
      </c>
      <c r="W60" s="361">
        <f>'Changing with year'!W267*$C$21*$C$22</f>
        <v>640599.77097268275</v>
      </c>
      <c r="X60" s="361">
        <f>'Changing with year'!X267*$C$21*$C$22</f>
        <v>647005.76868240954</v>
      </c>
      <c r="Y60" s="361">
        <f>'Changing with year'!Y267*$C$21*$C$22</f>
        <v>653475.82636923366</v>
      </c>
      <c r="Z60" s="361">
        <f>'Changing with year'!Z267*$C$21*$C$22</f>
        <v>660010.58463292604</v>
      </c>
      <c r="AA60" s="361">
        <f>'Changing with year'!AA267*$C$21*$C$22</f>
        <v>666610.69047925528</v>
      </c>
      <c r="AB60" s="361">
        <f>'Changing with year'!AB267*$C$21*$C$22</f>
        <v>673276.797384048</v>
      </c>
      <c r="AC60" s="361">
        <f>'Changing with year'!AC267*$C$21*$C$22</f>
        <v>680009.56535788847</v>
      </c>
      <c r="AD60" s="361">
        <f>'Changing with year'!AD267*$C$21*$C$22</f>
        <v>686809.66101146722</v>
      </c>
      <c r="AE60" s="361">
        <f>'Changing with year'!AE267*$C$21*$C$22</f>
        <v>693677.7576215819</v>
      </c>
      <c r="AF60" s="361">
        <f>'Changing with year'!AF267*$C$21*$C$22</f>
        <v>700614.5351977977</v>
      </c>
      <c r="AG60" s="361">
        <f>'Changing with year'!AG267*$C$21*$C$22</f>
        <v>707620.68054977572</v>
      </c>
      <c r="AH60" s="339"/>
      <c r="AI60" s="375"/>
      <c r="AJ60" s="376"/>
    </row>
    <row r="61" spans="1:41">
      <c r="A61" s="328" t="s">
        <v>306</v>
      </c>
      <c r="B61" s="374" t="s">
        <v>305</v>
      </c>
      <c r="C61" s="361">
        <f>'Changing with year'!C278*$C$21*$C$22</f>
        <v>525000</v>
      </c>
      <c r="D61" s="361">
        <f>'Changing with year'!D278*$C$21*$C$22</f>
        <v>530250</v>
      </c>
      <c r="E61" s="361">
        <f>'Changing with year'!E278*$C$21*$C$22</f>
        <v>535552.5</v>
      </c>
      <c r="F61" s="361">
        <f>'Changing with year'!F278*$C$21*$C$22</f>
        <v>540908.02500000002</v>
      </c>
      <c r="G61" s="361">
        <f>'Changing with year'!G278*$C$21*$C$22</f>
        <v>546317.10525000002</v>
      </c>
      <c r="H61" s="361">
        <f>'Changing with year'!H278*$C$21*$C$22</f>
        <v>551780.27630249993</v>
      </c>
      <c r="I61" s="361">
        <f>'Changing with year'!I278*$C$21*$C$22</f>
        <v>557298.07906552509</v>
      </c>
      <c r="J61" s="361">
        <f>'Changing with year'!J278*$C$21*$C$22</f>
        <v>562871.05985618022</v>
      </c>
      <c r="K61" s="361">
        <f>'Changing with year'!K278*$C$21*$C$22</f>
        <v>568499.77045474213</v>
      </c>
      <c r="L61" s="361">
        <f>'Changing with year'!L278*$C$21*$C$22</f>
        <v>574184.7681592895</v>
      </c>
      <c r="M61" s="361">
        <f>'Changing with year'!M278*$C$21*$C$22</f>
        <v>579926.61584088241</v>
      </c>
      <c r="N61" s="361">
        <f>'Changing with year'!N278*$C$21*$C$22</f>
        <v>585725.88199929113</v>
      </c>
      <c r="O61" s="361">
        <f>'Changing with year'!O278*$C$21*$C$22</f>
        <v>591583.14081928413</v>
      </c>
      <c r="P61" s="361">
        <f>'Changing with year'!P278*$C$21*$C$22</f>
        <v>597498.972227477</v>
      </c>
      <c r="Q61" s="361">
        <f>'Changing with year'!Q278*$C$21*$C$22</f>
        <v>603473.96194975183</v>
      </c>
      <c r="R61" s="361">
        <f>'Changing with year'!R278*$C$21*$C$22</f>
        <v>609508.70156924927</v>
      </c>
      <c r="S61" s="361">
        <f>'Changing with year'!S278*$C$21*$C$22</f>
        <v>615603.78858494177</v>
      </c>
      <c r="T61" s="361">
        <f>'Changing with year'!T278*$C$21*$C$22</f>
        <v>621759.82647079125</v>
      </c>
      <c r="U61" s="361">
        <f>'Changing with year'!U278*$C$21*$C$22</f>
        <v>627977.4247354992</v>
      </c>
      <c r="V61" s="361">
        <f>'Changing with year'!V278*$C$21*$C$22</f>
        <v>634257.19898285414</v>
      </c>
      <c r="W61" s="361">
        <f>'Changing with year'!W278*$C$21*$C$22</f>
        <v>640599.77097268275</v>
      </c>
      <c r="X61" s="361">
        <f>'Changing with year'!X278*$C$21*$C$22</f>
        <v>647005.76868240954</v>
      </c>
      <c r="Y61" s="361">
        <f>'Changing with year'!Y278*$C$21*$C$22</f>
        <v>653475.82636923366</v>
      </c>
      <c r="Z61" s="361">
        <f>'Changing with year'!Z278*$C$21*$C$22</f>
        <v>660010.58463292604</v>
      </c>
      <c r="AA61" s="361">
        <f>'Changing with year'!AA278*$C$21*$C$22</f>
        <v>666610.69047925528</v>
      </c>
      <c r="AB61" s="361">
        <f>'Changing with year'!AB278*$C$21*$C$22</f>
        <v>673276.797384048</v>
      </c>
      <c r="AC61" s="361">
        <f>'Changing with year'!AC278*$C$21*$C$22</f>
        <v>680009.56535788847</v>
      </c>
      <c r="AD61" s="361">
        <f>'Changing with year'!AD278*$C$21*$C$22</f>
        <v>686809.66101146722</v>
      </c>
      <c r="AE61" s="361">
        <f>'Changing with year'!AE278*$C$21*$C$22</f>
        <v>693677.7576215819</v>
      </c>
      <c r="AF61" s="361">
        <f>'Changing with year'!AF278*$C$21*$C$22</f>
        <v>700614.5351977977</v>
      </c>
      <c r="AG61" s="361">
        <f>'Changing with year'!AG278*$C$21*$C$22</f>
        <v>707620.68054977572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year'!C83</f>
        <v>3600000</v>
      </c>
      <c r="D63" s="376">
        <f>'Changing with year'!D83</f>
        <v>3708000</v>
      </c>
      <c r="E63" s="376">
        <f>'Changing with year'!E83</f>
        <v>3819200</v>
      </c>
      <c r="F63" s="376">
        <f>'Changing with year'!F83</f>
        <v>3933800</v>
      </c>
      <c r="G63" s="376">
        <f>'Changing with year'!G83</f>
        <v>4051800</v>
      </c>
      <c r="H63" s="376">
        <f>'Changing with year'!H83</f>
        <v>4573400</v>
      </c>
      <c r="I63" s="376">
        <f>'Changing with year'!I83</f>
        <v>4710600</v>
      </c>
      <c r="J63" s="376">
        <f>'Changing with year'!J83</f>
        <v>4851900</v>
      </c>
      <c r="K63" s="376">
        <f>'Changing with year'!K83</f>
        <v>4997500</v>
      </c>
      <c r="L63" s="376">
        <f>'Changing with year'!L83</f>
        <v>5147400</v>
      </c>
      <c r="M63" s="376">
        <f>'Changing with year'!M83</f>
        <v>5301800</v>
      </c>
      <c r="N63" s="376">
        <f>'Changing with year'!N83</f>
        <v>5460900</v>
      </c>
      <c r="O63" s="376">
        <f>'Changing with year'!O83</f>
        <v>5624700</v>
      </c>
      <c r="P63" s="376">
        <f>'Changing with year'!P83</f>
        <v>5793400</v>
      </c>
      <c r="Q63" s="376">
        <f>'Changing with year'!Q83</f>
        <v>5967200</v>
      </c>
      <c r="R63" s="376">
        <f>'Changing with year'!R83</f>
        <v>6146200</v>
      </c>
      <c r="S63" s="376">
        <f>'Changing with year'!S83</f>
        <v>6330600</v>
      </c>
      <c r="T63" s="376">
        <f>'Changing with year'!T83</f>
        <v>6520500</v>
      </c>
      <c r="U63" s="376">
        <f>'Changing with year'!U83</f>
        <v>6716100</v>
      </c>
      <c r="V63" s="376">
        <f>'Changing with year'!V83</f>
        <v>6917600</v>
      </c>
      <c r="W63" s="376">
        <f>'Changing with year'!W83</f>
        <v>7125100</v>
      </c>
      <c r="X63" s="376">
        <f>'Changing with year'!X83</f>
        <v>7338900</v>
      </c>
      <c r="Y63" s="376">
        <f>'Changing with year'!Y83</f>
        <v>7559100</v>
      </c>
      <c r="Z63" s="376">
        <f>'Changing with year'!Z83</f>
        <v>7785900</v>
      </c>
      <c r="AA63" s="376">
        <f>'Changing with year'!AA83</f>
        <v>8019500</v>
      </c>
      <c r="AB63" s="376">
        <f>'Changing with year'!AB83</f>
        <v>8260100</v>
      </c>
      <c r="AC63" s="376">
        <f>'Changing with year'!AC83</f>
        <v>8507900</v>
      </c>
      <c r="AD63" s="376">
        <f>'Changing with year'!AD83</f>
        <v>8763100</v>
      </c>
      <c r="AE63" s="376">
        <f>'Changing with year'!AE83</f>
        <v>9026000</v>
      </c>
      <c r="AF63" s="376">
        <f>'Changing with year'!AF83</f>
        <v>9296800</v>
      </c>
      <c r="AG63" s="376">
        <f>'Changing with year'!AG83</f>
        <v>9575700</v>
      </c>
    </row>
    <row r="64" spans="1:41">
      <c r="A64" s="368" t="s">
        <v>310</v>
      </c>
      <c r="B64" s="300" t="s">
        <v>309</v>
      </c>
      <c r="C64" s="376">
        <f>(C63*'No change with year'!$Y$16)</f>
        <v>1980000.0000000002</v>
      </c>
      <c r="D64" s="376">
        <f>(D63*'No change with year'!$Y$16)</f>
        <v>2039400.0000000002</v>
      </c>
      <c r="E64" s="376">
        <f>(E63*'No change with year'!$Y$16)</f>
        <v>2100560</v>
      </c>
      <c r="F64" s="376">
        <f>(F63*'No change with year'!$Y$16)</f>
        <v>2163590</v>
      </c>
      <c r="G64" s="376">
        <f>(G63*'No change with year'!$Y$16)</f>
        <v>2228490</v>
      </c>
      <c r="H64" s="376">
        <f>(H63*'No change with year'!$Y$16)</f>
        <v>2515370</v>
      </c>
      <c r="I64" s="376">
        <f>(I63*'No change with year'!$Y$16)</f>
        <v>2590830</v>
      </c>
      <c r="J64" s="376">
        <f>(J63*'No change with year'!$Y$16)</f>
        <v>2668545</v>
      </c>
      <c r="K64" s="376">
        <f>(K63*'No change with year'!$Y$16)</f>
        <v>2748625</v>
      </c>
      <c r="L64" s="376">
        <f>(L63*'No change with year'!$Y$16)</f>
        <v>2831070</v>
      </c>
      <c r="M64" s="376">
        <f>(M63*'No change with year'!$Y$16)</f>
        <v>2915990.0000000005</v>
      </c>
      <c r="N64" s="376">
        <f>(N63*'No change with year'!$Z$16)</f>
        <v>2457405.0000000005</v>
      </c>
      <c r="O64" s="376">
        <f>(O63*'No change with year'!$Z$16)</f>
        <v>2531115.0000000005</v>
      </c>
      <c r="P64" s="376">
        <f>(P63*'No change with year'!$Z$16)</f>
        <v>2607030.0000000005</v>
      </c>
      <c r="Q64" s="376">
        <f>(Q63*'No change with year'!$Z$16)</f>
        <v>2685240.0000000005</v>
      </c>
      <c r="R64" s="376">
        <f>(R63*'No change with year'!$Z$16)</f>
        <v>2765790.0000000005</v>
      </c>
      <c r="S64" s="376">
        <f>(S63*'No change with year'!$Z$16)</f>
        <v>2848770.0000000005</v>
      </c>
      <c r="T64" s="376">
        <f>(T63*'No change with year'!$Z$16)</f>
        <v>2934225.0000000005</v>
      </c>
      <c r="U64" s="376">
        <f>(U63*'No change with year'!$Z$16)</f>
        <v>3022245.0000000005</v>
      </c>
      <c r="V64" s="376">
        <f>(V63*'No change with year'!$Z$16)</f>
        <v>3112920.0000000005</v>
      </c>
      <c r="W64" s="376">
        <f>(W63*'No change with year'!$Z$16)</f>
        <v>3206295.0000000005</v>
      </c>
      <c r="X64" s="376">
        <f>(X63*'No change with year'!$AA$16)</f>
        <v>2568615.0000000005</v>
      </c>
      <c r="Y64" s="376">
        <f>(Y63*'No change with year'!$AA$16)</f>
        <v>2645685.0000000005</v>
      </c>
      <c r="Z64" s="376">
        <f>(Z63*'No change with year'!$AA$16)</f>
        <v>2725065.0000000005</v>
      </c>
      <c r="AA64" s="376">
        <f>(AA63*'No change with year'!$AA$16)</f>
        <v>2806825.0000000005</v>
      </c>
      <c r="AB64" s="376">
        <f>(AB63*'No change with year'!$AA$16)</f>
        <v>2891035.0000000005</v>
      </c>
      <c r="AC64" s="376">
        <f>(AC63*'No change with year'!$AA$16)</f>
        <v>2977765.0000000005</v>
      </c>
      <c r="AD64" s="376">
        <f>(AD63*'No change with year'!$AA$16)</f>
        <v>3067085.0000000005</v>
      </c>
      <c r="AE64" s="376">
        <f>(AE63*'No change with year'!$AA$16)</f>
        <v>3159100.0000000005</v>
      </c>
      <c r="AF64" s="376">
        <f>(AF63*'No change with year'!$AA$16)</f>
        <v>3253880.0000000005</v>
      </c>
      <c r="AG64" s="376">
        <f>(AG63*'No change with year'!$AA$16)</f>
        <v>3351495.0000000005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788823.84924500715</v>
      </c>
      <c r="D66" s="376">
        <f t="shared" si="4"/>
        <v>812488.56472235743</v>
      </c>
      <c r="E66" s="376">
        <f t="shared" si="4"/>
        <v>836854.45695459202</v>
      </c>
      <c r="F66" s="376">
        <f t="shared" si="4"/>
        <v>861965.34948889131</v>
      </c>
      <c r="G66" s="376">
        <f t="shared" si="4"/>
        <v>887821.24232525553</v>
      </c>
      <c r="H66" s="376">
        <f t="shared" si="4"/>
        <v>1002113.0533714209</v>
      </c>
      <c r="I66" s="376">
        <f t="shared" si="4"/>
        <v>1032176.0067370918</v>
      </c>
      <c r="J66" s="376">
        <f t="shared" si="4"/>
        <v>1063137.3428199585</v>
      </c>
      <c r="K66" s="376">
        <f t="shared" si="4"/>
        <v>1095040.8851672008</v>
      </c>
      <c r="L66" s="376">
        <f t="shared" si="4"/>
        <v>1127886.6337788193</v>
      </c>
      <c r="M66" s="376">
        <f t="shared" si="4"/>
        <v>1161718.4122019941</v>
      </c>
      <c r="N66" s="376">
        <f t="shared" si="4"/>
        <v>1196580.0439839053</v>
      </c>
      <c r="O66" s="376">
        <f t="shared" si="4"/>
        <v>1232471.5291245531</v>
      </c>
      <c r="P66" s="376">
        <f t="shared" si="4"/>
        <v>1269436.6911711181</v>
      </c>
      <c r="Q66" s="376">
        <f t="shared" si="4"/>
        <v>1307519.3536707796</v>
      </c>
      <c r="R66" s="376">
        <f t="shared" si="4"/>
        <v>1346741.4283971286</v>
      </c>
      <c r="S66" s="376">
        <f t="shared" si="4"/>
        <v>1387146.738897345</v>
      </c>
      <c r="T66" s="376">
        <f t="shared" si="4"/>
        <v>1428757.1969450191</v>
      </c>
      <c r="U66" s="376">
        <f t="shared" si="4"/>
        <v>1471616.6260873312</v>
      </c>
      <c r="V66" s="376">
        <f t="shared" si="4"/>
        <v>1515768.8498714615</v>
      </c>
      <c r="W66" s="376">
        <f t="shared" si="4"/>
        <v>1561235.7800710001</v>
      </c>
      <c r="X66" s="376">
        <f t="shared" si="4"/>
        <v>1608083.1520067176</v>
      </c>
      <c r="Y66" s="376">
        <f t="shared" si="4"/>
        <v>1656332.8774522038</v>
      </c>
      <c r="Z66" s="376">
        <f t="shared" si="4"/>
        <v>1706028.779954639</v>
      </c>
      <c r="AA66" s="376">
        <f t="shared" si="4"/>
        <v>1757214.6830612042</v>
      </c>
      <c r="AB66" s="376">
        <f t="shared" si="4"/>
        <v>1809934.4103190787</v>
      </c>
      <c r="AC66" s="376">
        <f t="shared" si="4"/>
        <v>1864231.7852754435</v>
      </c>
      <c r="AD66" s="376">
        <f t="shared" si="4"/>
        <v>1920150.6314774784</v>
      </c>
      <c r="AE66" s="376">
        <f t="shared" si="4"/>
        <v>1977756.684245954</v>
      </c>
      <c r="AF66" s="376">
        <f t="shared" si="4"/>
        <v>2037093.7671280508</v>
      </c>
      <c r="AG66" s="376">
        <f t="shared" si="4"/>
        <v>2098205.7036709487</v>
      </c>
    </row>
    <row r="67" spans="1:35">
      <c r="A67" s="368" t="s">
        <v>314</v>
      </c>
      <c r="B67" s="368" t="s">
        <v>313</v>
      </c>
      <c r="C67" s="376">
        <f t="shared" ref="C67:AG67" si="5">C41*$C$37</f>
        <v>1419036.6400303948</v>
      </c>
      <c r="D67" s="376">
        <f t="shared" si="5"/>
        <v>1579787.2340425532</v>
      </c>
      <c r="E67" s="376">
        <f t="shared" si="5"/>
        <v>1611382.9787234042</v>
      </c>
      <c r="F67" s="376">
        <f t="shared" si="5"/>
        <v>1643610.6382978724</v>
      </c>
      <c r="G67" s="376">
        <f t="shared" si="5"/>
        <v>1676482.8510638298</v>
      </c>
      <c r="H67" s="376">
        <f t="shared" si="5"/>
        <v>1710012.5080851065</v>
      </c>
      <c r="I67" s="376">
        <f t="shared" si="5"/>
        <v>1744212.7582468085</v>
      </c>
      <c r="J67" s="376">
        <f t="shared" si="5"/>
        <v>1779097.0134117447</v>
      </c>
      <c r="K67" s="376">
        <f t="shared" si="5"/>
        <v>1814678.9536799798</v>
      </c>
      <c r="L67" s="376">
        <f t="shared" si="5"/>
        <v>1850972.5327535793</v>
      </c>
      <c r="M67" s="376">
        <f t="shared" si="5"/>
        <v>1887991.9834086511</v>
      </c>
      <c r="N67" s="376">
        <f t="shared" si="5"/>
        <v>1925751.823076824</v>
      </c>
      <c r="O67" s="376">
        <f t="shared" si="5"/>
        <v>1964266.8595383605</v>
      </c>
      <c r="P67" s="376">
        <f t="shared" si="5"/>
        <v>2003552.1967291276</v>
      </c>
      <c r="Q67" s="376">
        <f t="shared" si="5"/>
        <v>2043623.2406637103</v>
      </c>
      <c r="R67" s="376">
        <f t="shared" si="5"/>
        <v>2084495.7054769846</v>
      </c>
      <c r="S67" s="376">
        <f t="shared" si="5"/>
        <v>2126185.6195865246</v>
      </c>
      <c r="T67" s="376">
        <f t="shared" si="5"/>
        <v>2168709.331978255</v>
      </c>
      <c r="U67" s="376">
        <f t="shared" si="5"/>
        <v>2212083.5186178205</v>
      </c>
      <c r="V67" s="376">
        <f t="shared" si="5"/>
        <v>2256325.1889901767</v>
      </c>
      <c r="W67" s="376">
        <f t="shared" si="5"/>
        <v>2301451.6927699801</v>
      </c>
      <c r="X67" s="376">
        <f t="shared" si="5"/>
        <v>2347480.7266253801</v>
      </c>
      <c r="Y67" s="376">
        <f t="shared" si="5"/>
        <v>2394430.3411578876</v>
      </c>
      <c r="Z67" s="376">
        <f t="shared" si="5"/>
        <v>2442318.9479810451</v>
      </c>
      <c r="AA67" s="376">
        <f t="shared" si="5"/>
        <v>2491165.326940666</v>
      </c>
      <c r="AB67" s="376">
        <f t="shared" si="5"/>
        <v>2540988.6334794797</v>
      </c>
      <c r="AC67" s="376">
        <f t="shared" si="5"/>
        <v>2591808.4061490688</v>
      </c>
      <c r="AD67" s="376">
        <f t="shared" si="5"/>
        <v>2643644.5742720501</v>
      </c>
      <c r="AE67" s="376">
        <f t="shared" si="5"/>
        <v>2696517.4657574915</v>
      </c>
      <c r="AF67" s="376">
        <f t="shared" si="5"/>
        <v>2750447.8150726412</v>
      </c>
      <c r="AG67" s="376">
        <f t="shared" si="5"/>
        <v>2805456.7713740943</v>
      </c>
    </row>
    <row r="68" spans="1:35">
      <c r="A68" s="368" t="s">
        <v>315</v>
      </c>
      <c r="B68" s="368" t="s">
        <v>313</v>
      </c>
      <c r="C68" s="329">
        <f t="shared" ref="C68:AG68" si="6">$C$37*$AH$68*C42</f>
        <v>43882.97872340426</v>
      </c>
      <c r="D68" s="329">
        <f t="shared" si="6"/>
        <v>44980.053191489358</v>
      </c>
      <c r="E68" s="329">
        <f t="shared" si="6"/>
        <v>46104.554521276594</v>
      </c>
      <c r="F68" s="329">
        <f t="shared" si="6"/>
        <v>47257.168384308505</v>
      </c>
      <c r="G68" s="329">
        <f t="shared" si="6"/>
        <v>48438.597593916209</v>
      </c>
      <c r="H68" s="329">
        <f t="shared" si="6"/>
        <v>49649.56253376411</v>
      </c>
      <c r="I68" s="329">
        <f t="shared" si="6"/>
        <v>50890.801597108206</v>
      </c>
      <c r="J68" s="329">
        <f t="shared" si="6"/>
        <v>52163.071637035908</v>
      </c>
      <c r="K68" s="329">
        <f t="shared" si="6"/>
        <v>53467.148427961809</v>
      </c>
      <c r="L68" s="329">
        <f t="shared" si="6"/>
        <v>54803.827138660854</v>
      </c>
      <c r="M68" s="329">
        <f t="shared" si="6"/>
        <v>56173.922817127364</v>
      </c>
      <c r="N68" s="329">
        <f t="shared" si="6"/>
        <v>57578.27088755554</v>
      </c>
      <c r="O68" s="329">
        <f t="shared" si="6"/>
        <v>59017.727659744429</v>
      </c>
      <c r="P68" s="329">
        <f t="shared" si="6"/>
        <v>60493.170851238036</v>
      </c>
      <c r="Q68" s="329">
        <f t="shared" si="6"/>
        <v>62005.500122518977</v>
      </c>
      <c r="R68" s="329">
        <f t="shared" si="6"/>
        <v>63555.637625581949</v>
      </c>
      <c r="S68" s="329">
        <f t="shared" si="6"/>
        <v>65144.528566221496</v>
      </c>
      <c r="T68" s="329">
        <f t="shared" si="6"/>
        <v>66773.141780377031</v>
      </c>
      <c r="U68" s="329">
        <f t="shared" si="6"/>
        <v>68442.470324886453</v>
      </c>
      <c r="V68" s="329">
        <f t="shared" si="6"/>
        <v>70153.532083008613</v>
      </c>
      <c r="W68" s="329">
        <f t="shared" si="6"/>
        <v>71907.370385083821</v>
      </c>
      <c r="X68" s="329">
        <f t="shared" si="6"/>
        <v>73705.054644710908</v>
      </c>
      <c r="Y68" s="329">
        <f t="shared" si="6"/>
        <v>75547.681010828674</v>
      </c>
      <c r="Z68" s="329">
        <f t="shared" si="6"/>
        <v>77436.37303609938</v>
      </c>
      <c r="AA68" s="329">
        <f t="shared" si="6"/>
        <v>79372.282362001861</v>
      </c>
      <c r="AB68" s="329">
        <f t="shared" si="6"/>
        <v>81356.589421051904</v>
      </c>
      <c r="AC68" s="329">
        <f t="shared" si="6"/>
        <v>83390.504156578187</v>
      </c>
      <c r="AD68" s="329">
        <f t="shared" si="6"/>
        <v>85475.266760492639</v>
      </c>
      <c r="AE68" s="329">
        <f t="shared" si="6"/>
        <v>87612.148429504959</v>
      </c>
      <c r="AF68" s="329">
        <f t="shared" si="6"/>
        <v>89802.45214024256</v>
      </c>
      <c r="AG68" s="329">
        <f t="shared" si="6"/>
        <v>92047.513443748627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262500</v>
      </c>
      <c r="D69" s="376">
        <f t="shared" si="7"/>
        <v>273000</v>
      </c>
      <c r="E69" s="376">
        <f t="shared" si="7"/>
        <v>283920</v>
      </c>
      <c r="F69" s="376">
        <f t="shared" si="7"/>
        <v>295276.79999999999</v>
      </c>
      <c r="G69" s="376">
        <f t="shared" si="7"/>
        <v>307087.87200000003</v>
      </c>
      <c r="H69" s="376">
        <f t="shared" si="7"/>
        <v>319371.38688000006</v>
      </c>
      <c r="I69" s="376">
        <f t="shared" si="7"/>
        <v>332146.24235520005</v>
      </c>
      <c r="J69" s="376">
        <f t="shared" si="7"/>
        <v>345432.09204940812</v>
      </c>
      <c r="K69" s="376">
        <f t="shared" si="7"/>
        <v>359249.37573138444</v>
      </c>
      <c r="L69" s="376">
        <f t="shared" si="7"/>
        <v>373619.35076063988</v>
      </c>
      <c r="M69" s="376">
        <f t="shared" si="7"/>
        <v>388564.12479106546</v>
      </c>
      <c r="N69" s="376">
        <f t="shared" si="7"/>
        <v>404106.68978270813</v>
      </c>
      <c r="O69" s="376">
        <f t="shared" si="7"/>
        <v>420270.95737401646</v>
      </c>
      <c r="P69" s="376">
        <f t="shared" si="7"/>
        <v>437081.79566897714</v>
      </c>
      <c r="Q69" s="376">
        <f t="shared" si="7"/>
        <v>454565.06749573624</v>
      </c>
      <c r="R69" s="376">
        <f t="shared" si="7"/>
        <v>472747.67019556573</v>
      </c>
      <c r="S69" s="376">
        <f t="shared" si="7"/>
        <v>491657.57700338837</v>
      </c>
      <c r="T69" s="376">
        <f t="shared" si="7"/>
        <v>511323.88008352392</v>
      </c>
      <c r="U69" s="376">
        <f t="shared" si="7"/>
        <v>531776.83528686489</v>
      </c>
      <c r="V69" s="376">
        <f t="shared" si="7"/>
        <v>553047.90869833948</v>
      </c>
      <c r="W69" s="376">
        <f t="shared" si="7"/>
        <v>575169.82504627306</v>
      </c>
      <c r="X69" s="376">
        <f t="shared" si="7"/>
        <v>598176.61804812402</v>
      </c>
      <c r="Y69" s="376">
        <f t="shared" si="7"/>
        <v>622103.68277004897</v>
      </c>
      <c r="Z69" s="376">
        <f t="shared" si="7"/>
        <v>646987.8300808511</v>
      </c>
      <c r="AA69" s="376">
        <f t="shared" si="7"/>
        <v>672867.34328408516</v>
      </c>
      <c r="AB69" s="376">
        <f t="shared" si="7"/>
        <v>699782.03701544867</v>
      </c>
      <c r="AC69" s="376">
        <f t="shared" si="7"/>
        <v>727773.31849606661</v>
      </c>
      <c r="AD69" s="376">
        <f t="shared" si="7"/>
        <v>756884.25123590929</v>
      </c>
      <c r="AE69" s="376">
        <f t="shared" si="7"/>
        <v>787159.62128534575</v>
      </c>
      <c r="AF69" s="376">
        <f t="shared" si="7"/>
        <v>818646.00613675953</v>
      </c>
      <c r="AG69" s="376">
        <f t="shared" si="7"/>
        <v>851391.84638223005</v>
      </c>
    </row>
    <row r="70" spans="1:35">
      <c r="A70" s="368" t="s">
        <v>318</v>
      </c>
      <c r="B70" s="368" t="s">
        <v>313</v>
      </c>
      <c r="C70" s="376">
        <f>'Changing with year'!C289</f>
        <v>450000</v>
      </c>
      <c r="D70" s="376">
        <f>'Changing with year'!D289</f>
        <v>470000</v>
      </c>
      <c r="E70" s="376">
        <f>'Changing with year'!E289</f>
        <v>491000</v>
      </c>
      <c r="F70" s="376">
        <f>'Changing with year'!F289</f>
        <v>513000</v>
      </c>
      <c r="G70" s="376">
        <f>'Changing with year'!G289</f>
        <v>536000</v>
      </c>
      <c r="H70" s="376">
        <f>'Changing with year'!H289</f>
        <v>560000</v>
      </c>
      <c r="I70" s="376">
        <f>'Changing with year'!I289</f>
        <v>585000</v>
      </c>
      <c r="J70" s="376">
        <f>'Changing with year'!J289</f>
        <v>611000</v>
      </c>
      <c r="K70" s="376">
        <f>'Changing with year'!K289</f>
        <v>638000</v>
      </c>
      <c r="L70" s="376">
        <f>'Changing with year'!L289</f>
        <v>667000</v>
      </c>
      <c r="M70" s="376">
        <f>'Changing with year'!M289</f>
        <v>697000</v>
      </c>
      <c r="N70" s="376">
        <f>'Changing with year'!N289</f>
        <v>728000</v>
      </c>
      <c r="O70" s="376">
        <f>'Changing with year'!O289</f>
        <v>761000</v>
      </c>
      <c r="P70" s="376">
        <f>'Changing with year'!P289</f>
        <v>795000</v>
      </c>
      <c r="Q70" s="376">
        <f>'Changing with year'!Q289</f>
        <v>831000</v>
      </c>
      <c r="R70" s="376">
        <f>'Changing with year'!R289</f>
        <v>868000</v>
      </c>
      <c r="S70" s="376">
        <f>'Changing with year'!S289</f>
        <v>907000</v>
      </c>
      <c r="T70" s="376">
        <f>'Changing with year'!T289</f>
        <v>948000</v>
      </c>
      <c r="U70" s="376">
        <f>'Changing with year'!U289</f>
        <v>991000</v>
      </c>
      <c r="V70" s="376">
        <f>'Changing with year'!V289</f>
        <v>1036000</v>
      </c>
      <c r="W70" s="376">
        <f>'Changing with year'!W289</f>
        <v>1083000</v>
      </c>
      <c r="X70" s="376">
        <f>'Changing with year'!X289</f>
        <v>1132000</v>
      </c>
      <c r="Y70" s="376">
        <f>'Changing with year'!Y289</f>
        <v>1183000</v>
      </c>
      <c r="Z70" s="376">
        <f>'Changing with year'!Z289</f>
        <v>1236000</v>
      </c>
      <c r="AA70" s="376">
        <f>'Changing with year'!AA289</f>
        <v>1292000</v>
      </c>
      <c r="AB70" s="376">
        <f>'Changing with year'!AB289</f>
        <v>1350000</v>
      </c>
      <c r="AC70" s="376">
        <f>'Changing with year'!AC289</f>
        <v>1411000</v>
      </c>
      <c r="AD70" s="376">
        <f>'Changing with year'!AD289</f>
        <v>1474000</v>
      </c>
      <c r="AE70" s="376">
        <f>'Changing with year'!AE289</f>
        <v>1540000</v>
      </c>
      <c r="AF70" s="376">
        <f>'Changing with year'!AF289</f>
        <v>1609000</v>
      </c>
      <c r="AG70" s="376">
        <f>'Changing with year'!AG289</f>
        <v>1681000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525000</v>
      </c>
      <c r="D71" s="376">
        <f t="shared" si="8"/>
        <v>530250</v>
      </c>
      <c r="E71" s="376">
        <f t="shared" si="8"/>
        <v>535552.5</v>
      </c>
      <c r="F71" s="376">
        <f t="shared" si="8"/>
        <v>540908.02500000002</v>
      </c>
      <c r="G71" s="376">
        <f t="shared" si="8"/>
        <v>546317.10525000002</v>
      </c>
      <c r="H71" s="376">
        <f t="shared" si="8"/>
        <v>551780.27630249993</v>
      </c>
      <c r="I71" s="376">
        <f t="shared" si="8"/>
        <v>557298.07906552509</v>
      </c>
      <c r="J71" s="376">
        <f t="shared" si="8"/>
        <v>562871.05985618022</v>
      </c>
      <c r="K71" s="376">
        <f t="shared" si="8"/>
        <v>568499.77045474213</v>
      </c>
      <c r="L71" s="376">
        <f t="shared" si="8"/>
        <v>574184.7681592895</v>
      </c>
      <c r="M71" s="376">
        <f t="shared" si="8"/>
        <v>579926.61584088241</v>
      </c>
      <c r="N71" s="376">
        <f t="shared" si="8"/>
        <v>585725.88199929113</v>
      </c>
      <c r="O71" s="376">
        <f t="shared" si="8"/>
        <v>591583.14081928413</v>
      </c>
      <c r="P71" s="376">
        <f t="shared" si="8"/>
        <v>597498.972227477</v>
      </c>
      <c r="Q71" s="376">
        <f t="shared" si="8"/>
        <v>603473.96194975183</v>
      </c>
      <c r="R71" s="376">
        <f t="shared" si="8"/>
        <v>609508.70156924927</v>
      </c>
      <c r="S71" s="376">
        <f t="shared" si="8"/>
        <v>615603.78858494177</v>
      </c>
      <c r="T71" s="376">
        <f t="shared" si="8"/>
        <v>621759.82647079125</v>
      </c>
      <c r="U71" s="376">
        <f t="shared" si="8"/>
        <v>627977.4247354992</v>
      </c>
      <c r="V71" s="376">
        <f t="shared" si="8"/>
        <v>634257.19898285414</v>
      </c>
      <c r="W71" s="376">
        <f t="shared" si="8"/>
        <v>640599.77097268275</v>
      </c>
      <c r="X71" s="376">
        <f t="shared" si="8"/>
        <v>647005.76868240954</v>
      </c>
      <c r="Y71" s="376">
        <f t="shared" si="8"/>
        <v>653475.82636923366</v>
      </c>
      <c r="Z71" s="376">
        <f t="shared" si="8"/>
        <v>660010.58463292604</v>
      </c>
      <c r="AA71" s="376">
        <f t="shared" si="8"/>
        <v>666610.69047925528</v>
      </c>
      <c r="AB71" s="376">
        <f t="shared" si="8"/>
        <v>673276.797384048</v>
      </c>
      <c r="AC71" s="376">
        <f t="shared" si="8"/>
        <v>680009.56535788847</v>
      </c>
      <c r="AD71" s="376">
        <f t="shared" si="8"/>
        <v>686809.66101146722</v>
      </c>
      <c r="AE71" s="376">
        <f t="shared" si="8"/>
        <v>693677.7576215819</v>
      </c>
      <c r="AF71" s="376">
        <f t="shared" si="8"/>
        <v>700614.5351977977</v>
      </c>
      <c r="AG71" s="376">
        <f t="shared" si="8"/>
        <v>707620.68054977572</v>
      </c>
    </row>
    <row r="72" spans="1:35">
      <c r="A72" s="300" t="s">
        <v>319</v>
      </c>
      <c r="B72" s="368" t="s">
        <v>313</v>
      </c>
      <c r="C72" s="376">
        <f t="shared" ref="C72:AG72" si="9">C63*$C$29</f>
        <v>72000</v>
      </c>
      <c r="D72" s="376">
        <f t="shared" si="9"/>
        <v>74160</v>
      </c>
      <c r="E72" s="376">
        <f t="shared" si="9"/>
        <v>76384</v>
      </c>
      <c r="F72" s="376">
        <f t="shared" si="9"/>
        <v>78676</v>
      </c>
      <c r="G72" s="376">
        <f t="shared" si="9"/>
        <v>81036</v>
      </c>
      <c r="H72" s="376">
        <f t="shared" si="9"/>
        <v>91468</v>
      </c>
      <c r="I72" s="376">
        <f t="shared" si="9"/>
        <v>94212</v>
      </c>
      <c r="J72" s="376">
        <f t="shared" si="9"/>
        <v>97038</v>
      </c>
      <c r="K72" s="376">
        <f t="shared" si="9"/>
        <v>99950</v>
      </c>
      <c r="L72" s="376">
        <f t="shared" si="9"/>
        <v>102948</v>
      </c>
      <c r="M72" s="376">
        <f t="shared" si="9"/>
        <v>106036</v>
      </c>
      <c r="N72" s="376">
        <f t="shared" si="9"/>
        <v>109218</v>
      </c>
      <c r="O72" s="376">
        <f t="shared" si="9"/>
        <v>112494</v>
      </c>
      <c r="P72" s="376">
        <f t="shared" si="9"/>
        <v>115868</v>
      </c>
      <c r="Q72" s="376">
        <f t="shared" si="9"/>
        <v>119344</v>
      </c>
      <c r="R72" s="376">
        <f t="shared" si="9"/>
        <v>122924</v>
      </c>
      <c r="S72" s="376">
        <f t="shared" si="9"/>
        <v>126612</v>
      </c>
      <c r="T72" s="376">
        <f t="shared" si="9"/>
        <v>130410</v>
      </c>
      <c r="U72" s="376">
        <f t="shared" si="9"/>
        <v>134322</v>
      </c>
      <c r="V72" s="376">
        <f t="shared" si="9"/>
        <v>138352</v>
      </c>
      <c r="W72" s="376">
        <f t="shared" si="9"/>
        <v>142502</v>
      </c>
      <c r="X72" s="376">
        <f t="shared" si="9"/>
        <v>146778</v>
      </c>
      <c r="Y72" s="376">
        <f t="shared" si="9"/>
        <v>151182</v>
      </c>
      <c r="Z72" s="376">
        <f t="shared" si="9"/>
        <v>155718</v>
      </c>
      <c r="AA72" s="376">
        <f t="shared" si="9"/>
        <v>160390</v>
      </c>
      <c r="AB72" s="376">
        <f t="shared" si="9"/>
        <v>165202</v>
      </c>
      <c r="AC72" s="376">
        <f t="shared" si="9"/>
        <v>170158</v>
      </c>
      <c r="AD72" s="376">
        <f t="shared" si="9"/>
        <v>175262</v>
      </c>
      <c r="AE72" s="376">
        <f t="shared" si="9"/>
        <v>180520</v>
      </c>
      <c r="AF72" s="376">
        <f t="shared" si="9"/>
        <v>185936</v>
      </c>
      <c r="AG72" s="376">
        <f t="shared" si="9"/>
        <v>191514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10.517651323266762</v>
      </c>
      <c r="D74" s="379">
        <f t="shared" si="10"/>
        <v>10.833180862964765</v>
      </c>
      <c r="E74" s="379">
        <f t="shared" si="10"/>
        <v>11.158059426061227</v>
      </c>
      <c r="F74" s="379">
        <f t="shared" si="10"/>
        <v>11.49287132651855</v>
      </c>
      <c r="G74" s="379">
        <f t="shared" si="10"/>
        <v>11.83761656433674</v>
      </c>
      <c r="H74" s="379">
        <f t="shared" si="10"/>
        <v>13.361507378285612</v>
      </c>
      <c r="I74" s="379">
        <f t="shared" si="10"/>
        <v>13.762346756494557</v>
      </c>
      <c r="J74" s="379">
        <f t="shared" si="10"/>
        <v>14.175164570932779</v>
      </c>
      <c r="K74" s="379">
        <f t="shared" si="10"/>
        <v>14.600545135562678</v>
      </c>
      <c r="L74" s="379">
        <f t="shared" si="10"/>
        <v>15.038488450384259</v>
      </c>
      <c r="M74" s="379">
        <f t="shared" si="10"/>
        <v>15.489578829359921</v>
      </c>
      <c r="N74" s="379">
        <f t="shared" si="10"/>
        <v>15.954400586452071</v>
      </c>
      <c r="O74" s="379">
        <f t="shared" si="10"/>
        <v>16.432953721660709</v>
      </c>
      <c r="P74" s="379">
        <f t="shared" si="10"/>
        <v>16.92582254894824</v>
      </c>
      <c r="Q74" s="379">
        <f t="shared" si="10"/>
        <v>17.433591382277061</v>
      </c>
      <c r="R74" s="379">
        <f t="shared" si="10"/>
        <v>17.95655237862838</v>
      </c>
      <c r="S74" s="379">
        <f t="shared" si="10"/>
        <v>18.4952898519646</v>
      </c>
      <c r="T74" s="379">
        <f t="shared" si="10"/>
        <v>19.050095959266923</v>
      </c>
      <c r="U74" s="379">
        <f t="shared" si="10"/>
        <v>19.621555014497748</v>
      </c>
      <c r="V74" s="379">
        <f t="shared" si="10"/>
        <v>20.210251331619485</v>
      </c>
      <c r="W74" s="379">
        <f t="shared" si="10"/>
        <v>20.816477067613334</v>
      </c>
      <c r="X74" s="379">
        <f t="shared" si="10"/>
        <v>21.441108693422901</v>
      </c>
      <c r="Y74" s="379">
        <f t="shared" si="10"/>
        <v>22.084438366029385</v>
      </c>
      <c r="Z74" s="379">
        <f t="shared" si="10"/>
        <v>22.747050399395189</v>
      </c>
      <c r="AA74" s="379">
        <f t="shared" si="10"/>
        <v>23.429529107482722</v>
      </c>
      <c r="AB74" s="379">
        <f t="shared" si="10"/>
        <v>24.132458804254384</v>
      </c>
      <c r="AC74" s="379">
        <f t="shared" si="10"/>
        <v>24.85642380367258</v>
      </c>
      <c r="AD74" s="379">
        <f t="shared" si="10"/>
        <v>25.602008419699711</v>
      </c>
      <c r="AE74" s="379">
        <f t="shared" si="10"/>
        <v>26.370089123279389</v>
      </c>
      <c r="AF74" s="379">
        <f t="shared" si="10"/>
        <v>27.161250228374012</v>
      </c>
      <c r="AG74" s="379">
        <f t="shared" si="10"/>
        <v>27.976076048945984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19.505594916717321</v>
      </c>
      <c r="D75" s="379">
        <f t="shared" si="11"/>
        <v>21.663563829787233</v>
      </c>
      <c r="E75" s="379">
        <f t="shared" si="11"/>
        <v>22.099833776595744</v>
      </c>
      <c r="F75" s="379">
        <f t="shared" si="11"/>
        <v>22.544904089095745</v>
      </c>
      <c r="G75" s="379">
        <f t="shared" si="11"/>
        <v>22.998952648769947</v>
      </c>
      <c r="H75" s="379">
        <f t="shared" si="11"/>
        <v>23.462160941584941</v>
      </c>
      <c r="I75" s="379">
        <f t="shared" si="11"/>
        <v>23.934714131252221</v>
      </c>
      <c r="J75" s="379">
        <f t="shared" si="11"/>
        <v>24.416801133983739</v>
      </c>
      <c r="K75" s="379">
        <f t="shared" si="11"/>
        <v>24.908614694772556</v>
      </c>
      <c r="L75" s="379">
        <f t="shared" si="11"/>
        <v>25.410351465229869</v>
      </c>
      <c r="M75" s="379">
        <f t="shared" si="11"/>
        <v>25.922212083010379</v>
      </c>
      <c r="N75" s="379">
        <f t="shared" si="11"/>
        <v>26.444401252858395</v>
      </c>
      <c r="O75" s="379">
        <f t="shared" si="11"/>
        <v>26.977127829308067</v>
      </c>
      <c r="P75" s="379">
        <f t="shared" si="11"/>
        <v>27.520604901071543</v>
      </c>
      <c r="Q75" s="379">
        <f t="shared" si="11"/>
        <v>28.075049877149723</v>
      </c>
      <c r="R75" s="379">
        <f t="shared" si="11"/>
        <v>28.640684574700884</v>
      </c>
      <c r="S75" s="379">
        <f t="shared" si="11"/>
        <v>29.217735308703283</v>
      </c>
      <c r="T75" s="379">
        <f t="shared" si="11"/>
        <v>29.806432983448424</v>
      </c>
      <c r="U75" s="379">
        <f t="shared" si="11"/>
        <v>30.407013185902759</v>
      </c>
      <c r="V75" s="379">
        <f t="shared" si="11"/>
        <v>31.0197162809758</v>
      </c>
      <c r="W75" s="379">
        <f t="shared" si="11"/>
        <v>31.644787508734186</v>
      </c>
      <c r="X75" s="379">
        <f t="shared" si="11"/>
        <v>32.282477083601215</v>
      </c>
      <c r="Y75" s="379">
        <f t="shared" si="11"/>
        <v>32.933040295582884</v>
      </c>
      <c r="Z75" s="379">
        <f t="shared" si="11"/>
        <v>33.596737613561928</v>
      </c>
      <c r="AA75" s="379">
        <f t="shared" si="11"/>
        <v>34.273834790702239</v>
      </c>
      <c r="AB75" s="379">
        <f t="shared" si="11"/>
        <v>34.964602972007093</v>
      </c>
      <c r="AC75" s="379">
        <f t="shared" si="11"/>
        <v>35.669318804075296</v>
      </c>
      <c r="AD75" s="379">
        <f t="shared" si="11"/>
        <v>36.388264547100569</v>
      </c>
      <c r="AE75" s="379">
        <f t="shared" si="11"/>
        <v>37.121728189159953</v>
      </c>
      <c r="AF75" s="379">
        <f t="shared" si="11"/>
        <v>37.870003562838448</v>
      </c>
      <c r="AG75" s="379">
        <f t="shared" si="11"/>
        <v>38.633390464237905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17.46</v>
      </c>
      <c r="D76" s="379">
        <f t="shared" si="12"/>
        <v>17.965466666666668</v>
      </c>
      <c r="E76" s="379">
        <f t="shared" si="12"/>
        <v>18.491420000000002</v>
      </c>
      <c r="F76" s="379">
        <f t="shared" si="12"/>
        <v>19.038144333333335</v>
      </c>
      <c r="G76" s="379">
        <f t="shared" si="12"/>
        <v>19.605879696666666</v>
      </c>
      <c r="H76" s="379">
        <f t="shared" si="12"/>
        <v>20.3015955091</v>
      </c>
      <c r="I76" s="379">
        <f t="shared" si="12"/>
        <v>20.915417618943</v>
      </c>
      <c r="J76" s="379">
        <f t="shared" si="12"/>
        <v>21.551215358741178</v>
      </c>
      <c r="K76" s="379">
        <f t="shared" si="12"/>
        <v>22.20932194914835</v>
      </c>
      <c r="L76" s="379">
        <f t="shared" si="12"/>
        <v>22.903361585599061</v>
      </c>
      <c r="M76" s="379">
        <f t="shared" si="12"/>
        <v>23.620356541759303</v>
      </c>
      <c r="N76" s="379">
        <f t="shared" si="12"/>
        <v>24.360674290426658</v>
      </c>
      <c r="O76" s="379">
        <f t="shared" si="12"/>
        <v>25.13797464257734</v>
      </c>
      <c r="P76" s="379">
        <f t="shared" si="12"/>
        <v>25.939316905286056</v>
      </c>
      <c r="Q76" s="379">
        <f t="shared" si="12"/>
        <v>26.778440392606505</v>
      </c>
      <c r="R76" s="379">
        <f t="shared" si="12"/>
        <v>27.642404956864198</v>
      </c>
      <c r="S76" s="379">
        <f t="shared" si="12"/>
        <v>28.544978207844402</v>
      </c>
      <c r="T76" s="379">
        <f t="shared" si="12"/>
        <v>29.486582754057533</v>
      </c>
      <c r="U76" s="379">
        <f t="shared" si="12"/>
        <v>30.467683466964854</v>
      </c>
      <c r="V76" s="379">
        <f t="shared" si="12"/>
        <v>31.488761435749247</v>
      </c>
      <c r="W76" s="379">
        <f t="shared" si="12"/>
        <v>32.550287946919404</v>
      </c>
      <c r="X76" s="379">
        <f t="shared" si="12"/>
        <v>33.652805156407112</v>
      </c>
      <c r="Y76" s="379">
        <f t="shared" si="12"/>
        <v>34.796820121857102</v>
      </c>
      <c r="Z76" s="379">
        <f t="shared" si="12"/>
        <v>35.982885529517027</v>
      </c>
      <c r="AA76" s="379">
        <f t="shared" si="12"/>
        <v>37.224907116844541</v>
      </c>
      <c r="AB76" s="379">
        <f t="shared" si="12"/>
        <v>38.510144458659958</v>
      </c>
      <c r="AC76" s="379">
        <f t="shared" si="12"/>
        <v>39.852545118052738</v>
      </c>
      <c r="AD76" s="379">
        <f t="shared" si="12"/>
        <v>41.239412163298354</v>
      </c>
      <c r="AE76" s="379">
        <f t="shared" si="12"/>
        <v>42.684765052092374</v>
      </c>
      <c r="AF76" s="379">
        <f t="shared" si="12"/>
        <v>44.189287217794096</v>
      </c>
      <c r="AG76" s="379">
        <f t="shared" si="12"/>
        <v>45.75368702576008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3.7714285714285718</v>
      </c>
      <c r="D77" s="379">
        <f t="shared" si="13"/>
        <v>3.8845714285714292</v>
      </c>
      <c r="E77" s="379">
        <f t="shared" si="13"/>
        <v>4.0010666666666665</v>
      </c>
      <c r="F77" s="379">
        <f t="shared" si="13"/>
        <v>4.1211238095238096</v>
      </c>
      <c r="G77" s="379">
        <f t="shared" si="13"/>
        <v>4.2447428571428567</v>
      </c>
      <c r="H77" s="379">
        <f t="shared" si="13"/>
        <v>4.7911809523809525</v>
      </c>
      <c r="I77" s="379">
        <f t="shared" si="13"/>
        <v>4.934914285714286</v>
      </c>
      <c r="J77" s="379">
        <f t="shared" si="13"/>
        <v>5.0829428571428572</v>
      </c>
      <c r="K77" s="379">
        <f t="shared" si="13"/>
        <v>5.2354761904761906</v>
      </c>
      <c r="L77" s="379">
        <f t="shared" si="13"/>
        <v>5.3925142857142854</v>
      </c>
      <c r="M77" s="379">
        <f t="shared" si="13"/>
        <v>5.5542666666666678</v>
      </c>
      <c r="N77" s="379">
        <f t="shared" si="13"/>
        <v>4.680771428571429</v>
      </c>
      <c r="O77" s="379">
        <f t="shared" si="13"/>
        <v>4.8211714285714296</v>
      </c>
      <c r="P77" s="379">
        <f t="shared" si="13"/>
        <v>4.9657714285714292</v>
      </c>
      <c r="Q77" s="379">
        <f t="shared" si="13"/>
        <v>5.1147428571428577</v>
      </c>
      <c r="R77" s="379">
        <f t="shared" si="13"/>
        <v>5.2681714285714296</v>
      </c>
      <c r="S77" s="379">
        <f t="shared" si="13"/>
        <v>5.4262285714285721</v>
      </c>
      <c r="T77" s="379">
        <f t="shared" si="13"/>
        <v>5.5890000000000013</v>
      </c>
      <c r="U77" s="379">
        <f t="shared" si="13"/>
        <v>5.7566571428571436</v>
      </c>
      <c r="V77" s="379">
        <f t="shared" si="13"/>
        <v>5.9293714285714296</v>
      </c>
      <c r="W77" s="379">
        <f t="shared" si="13"/>
        <v>6.1072285714285721</v>
      </c>
      <c r="X77" s="379">
        <f t="shared" si="13"/>
        <v>4.8926000000000007</v>
      </c>
      <c r="Y77" s="379">
        <f t="shared" si="13"/>
        <v>5.0394000000000005</v>
      </c>
      <c r="Z77" s="379">
        <f t="shared" si="13"/>
        <v>5.1906000000000008</v>
      </c>
      <c r="AA77" s="379">
        <f t="shared" si="13"/>
        <v>5.3463333333333338</v>
      </c>
      <c r="AB77" s="379">
        <f t="shared" si="13"/>
        <v>5.5067333333333339</v>
      </c>
      <c r="AC77" s="379">
        <f t="shared" si="13"/>
        <v>5.6719333333333344</v>
      </c>
      <c r="AD77" s="379">
        <f t="shared" si="13"/>
        <v>5.8420666666666676</v>
      </c>
      <c r="AE77" s="379">
        <f t="shared" si="13"/>
        <v>6.0173333333333341</v>
      </c>
      <c r="AF77" s="379">
        <f t="shared" si="13"/>
        <v>6.197866666666668</v>
      </c>
      <c r="AG77" s="379">
        <f t="shared" si="13"/>
        <v>6.3838000000000008</v>
      </c>
    </row>
    <row r="78" spans="1:35" s="352" customFormat="1">
      <c r="A78" s="380" t="s">
        <v>323</v>
      </c>
      <c r="B78" s="352" t="s">
        <v>300</v>
      </c>
      <c r="C78" s="381">
        <f>SUM(C74:C76)-C77</f>
        <v>43.711817668555511</v>
      </c>
      <c r="D78" s="381">
        <f t="shared" ref="D78:AG78" si="14">SUM(D74:D76)-D77</f>
        <v>46.577639930847234</v>
      </c>
      <c r="E78" s="381">
        <f t="shared" si="14"/>
        <v>47.748246535990312</v>
      </c>
      <c r="F78" s="381">
        <f t="shared" si="14"/>
        <v>48.954795939423818</v>
      </c>
      <c r="G78" s="381">
        <f t="shared" si="14"/>
        <v>50.197706052630494</v>
      </c>
      <c r="H78" s="381">
        <f t="shared" si="14"/>
        <v>52.334082876589591</v>
      </c>
      <c r="I78" s="381">
        <f t="shared" si="14"/>
        <v>53.677564220975498</v>
      </c>
      <c r="J78" s="381">
        <f t="shared" si="14"/>
        <v>55.060238206514839</v>
      </c>
      <c r="K78" s="381">
        <f t="shared" si="14"/>
        <v>56.483005589007391</v>
      </c>
      <c r="L78" s="381">
        <f t="shared" si="14"/>
        <v>57.959687215498903</v>
      </c>
      <c r="M78" s="381">
        <f t="shared" si="14"/>
        <v>59.477880787462929</v>
      </c>
      <c r="N78" s="381">
        <f t="shared" si="14"/>
        <v>62.078704701165691</v>
      </c>
      <c r="O78" s="381">
        <f t="shared" si="14"/>
        <v>63.726884764974685</v>
      </c>
      <c r="P78" s="381">
        <f t="shared" si="14"/>
        <v>65.419972926734403</v>
      </c>
      <c r="Q78" s="381">
        <f t="shared" si="14"/>
        <v>67.172338794890436</v>
      </c>
      <c r="R78" s="381">
        <f t="shared" si="14"/>
        <v>68.971470481622021</v>
      </c>
      <c r="S78" s="381">
        <f t="shared" si="14"/>
        <v>70.83177479708371</v>
      </c>
      <c r="T78" s="381">
        <f t="shared" si="14"/>
        <v>72.754111696772881</v>
      </c>
      <c r="U78" s="381">
        <f t="shared" si="14"/>
        <v>74.73959452450822</v>
      </c>
      <c r="V78" s="381">
        <f t="shared" si="14"/>
        <v>76.789357619773099</v>
      </c>
      <c r="W78" s="381">
        <f t="shared" si="14"/>
        <v>78.904323951838336</v>
      </c>
      <c r="X78" s="381">
        <f t="shared" si="14"/>
        <v>82.483790933431223</v>
      </c>
      <c r="Y78" s="381">
        <f t="shared" si="14"/>
        <v>84.774898783469382</v>
      </c>
      <c r="Z78" s="381">
        <f t="shared" si="14"/>
        <v>87.136073542474136</v>
      </c>
      <c r="AA78" s="381">
        <f t="shared" si="14"/>
        <v>89.581937681696175</v>
      </c>
      <c r="AB78" s="381">
        <f t="shared" si="14"/>
        <v>92.100472901588105</v>
      </c>
      <c r="AC78" s="381">
        <f t="shared" si="14"/>
        <v>94.70635439246729</v>
      </c>
      <c r="AD78" s="381">
        <f t="shared" si="14"/>
        <v>97.387618463431963</v>
      </c>
      <c r="AE78" s="381">
        <f t="shared" si="14"/>
        <v>100.15924903119837</v>
      </c>
      <c r="AF78" s="381">
        <f t="shared" si="14"/>
        <v>103.02267434233988</v>
      </c>
      <c r="AG78" s="381">
        <f t="shared" si="14"/>
        <v>105.97935353894397</v>
      </c>
    </row>
    <row r="79" spans="1:35" s="344" customFormat="1">
      <c r="A79" s="342" t="s">
        <v>179</v>
      </c>
      <c r="B79" s="342"/>
      <c r="H79" s="382">
        <f>H81/K59</f>
        <v>649689.60028104612</v>
      </c>
      <c r="AB79" s="382">
        <f>AB81/AE59</f>
        <v>786849.41304905154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year'!C94</f>
        <v>3850000</v>
      </c>
      <c r="D81" s="376">
        <f>ROUND(('Changing with year'!D94)/1000,0)*1000</f>
        <v>3966000</v>
      </c>
      <c r="E81" s="376">
        <f>ROUND(('Changing with year'!E94)/1000,0)*1000</f>
        <v>4084000</v>
      </c>
      <c r="F81" s="376">
        <f>ROUND(('Changing with year'!F94)/1000,0)*1000</f>
        <v>4207000</v>
      </c>
      <c r="G81" s="376">
        <f>ROUND(('Changing with year'!G94)/1000,0)*1000</f>
        <v>4333000</v>
      </c>
      <c r="H81" s="376">
        <f>ROUND(('Changing with year'!H94)/1000,0)*1000</f>
        <v>4863000</v>
      </c>
      <c r="I81" s="376">
        <f>ROUND(('Changing with year'!I94)/1000,0)*1000</f>
        <v>5009000</v>
      </c>
      <c r="J81" s="376">
        <f>ROUND(('Changing with year'!J94)/1000,0)*1000</f>
        <v>5159000</v>
      </c>
      <c r="K81" s="376">
        <f>ROUND(('Changing with year'!K94)/1000,0)*1000</f>
        <v>5314000</v>
      </c>
      <c r="L81" s="376">
        <f>ROUND(('Changing with year'!L94)/1000,0)*1000</f>
        <v>5474000</v>
      </c>
      <c r="M81" s="376">
        <f>ROUND(('Changing with year'!M94)/1000,0)*1000</f>
        <v>5638000</v>
      </c>
      <c r="N81" s="376">
        <f>ROUND(('Changing with year'!N94)/1000,0)*1000</f>
        <v>5807000</v>
      </c>
      <c r="O81" s="376">
        <f>ROUND(('Changing with year'!O94)/1000,0)*1000</f>
        <v>5981000</v>
      </c>
      <c r="P81" s="376">
        <f>ROUND(('Changing with year'!P94)/1000,0)*1000</f>
        <v>6161000</v>
      </c>
      <c r="Q81" s="376">
        <f>ROUND(('Changing with year'!Q94)/1000,0)*1000</f>
        <v>6345000</v>
      </c>
      <c r="R81" s="376">
        <f>ROUND(('Changing with year'!R94)/1000,0)*1000</f>
        <v>6536000</v>
      </c>
      <c r="S81" s="376">
        <f>ROUND(('Changing with year'!S94)/1000,0)*1000</f>
        <v>6732000</v>
      </c>
      <c r="T81" s="376">
        <f>ROUND(('Changing with year'!T94)/1000,0)*1000</f>
        <v>6934000</v>
      </c>
      <c r="U81" s="376">
        <f>ROUND(('Changing with year'!U94)/1000,0)*1000</f>
        <v>7142000</v>
      </c>
      <c r="V81" s="376">
        <f>ROUND(('Changing with year'!V94)/1000,0)*1000</f>
        <v>7356000</v>
      </c>
      <c r="W81" s="376">
        <f>ROUND(('Changing with year'!W94)/1000,0)*1000</f>
        <v>7577000</v>
      </c>
      <c r="X81" s="376">
        <f>ROUND(('Changing with year'!X94)/1000,0)*1000</f>
        <v>7804000</v>
      </c>
      <c r="Y81" s="376">
        <f>ROUND(('Changing with year'!Y94)/1000,0)*1000</f>
        <v>8038000</v>
      </c>
      <c r="Z81" s="376">
        <f>ROUND(('Changing with year'!Z94)/1000,0)*1000</f>
        <v>8279000</v>
      </c>
      <c r="AA81" s="376">
        <f>ROUND(('Changing with year'!AA94)/1000,0)*1000</f>
        <v>8528000</v>
      </c>
      <c r="AB81" s="376">
        <f>ROUND(('Changing with year'!AB94)/1000,0)*1000</f>
        <v>8783000</v>
      </c>
      <c r="AC81" s="376">
        <f>ROUND(('Changing with year'!AC94)/1000,0)*1000</f>
        <v>9047000</v>
      </c>
      <c r="AD81" s="376">
        <f>ROUND(('Changing with year'!AD94)/1000,0)*1000</f>
        <v>9318000</v>
      </c>
      <c r="AE81" s="376">
        <f>ROUND(('Changing with year'!AE94)/1000,0)*1000</f>
        <v>9598000</v>
      </c>
      <c r="AF81" s="376">
        <f>ROUND(('Changing with year'!AF94)/1000,0)*1000</f>
        <v>9886000</v>
      </c>
      <c r="AG81" s="376">
        <f>ROUND(('Changing with year'!AG94)/1000,0)*1000</f>
        <v>10182000</v>
      </c>
    </row>
    <row r="82" spans="1:34">
      <c r="A82" s="368" t="s">
        <v>310</v>
      </c>
      <c r="B82" s="300" t="s">
        <v>309</v>
      </c>
      <c r="C82" s="376">
        <f>(C81*'No change with year'!$AB$16)</f>
        <v>1925000</v>
      </c>
      <c r="D82" s="376">
        <f>(D81*'No change with year'!$AB$16)</f>
        <v>1983000</v>
      </c>
      <c r="E82" s="376">
        <f>(E81*'No change with year'!$AB$16)</f>
        <v>2042000</v>
      </c>
      <c r="F82" s="376">
        <f>(F81*'No change with year'!$AB$16)</f>
        <v>2103500</v>
      </c>
      <c r="G82" s="376">
        <f>(G81*'No change with year'!$AB$16)</f>
        <v>2166500</v>
      </c>
      <c r="H82" s="376">
        <f>(H81*'No change with year'!$AB$16)</f>
        <v>2431500</v>
      </c>
      <c r="I82" s="376">
        <f>(I81*'No change with year'!$AB$16)</f>
        <v>2504500</v>
      </c>
      <c r="J82" s="376">
        <f>(J81*'No change with year'!$AB$16)</f>
        <v>2579500</v>
      </c>
      <c r="K82" s="376">
        <f>(K81*'No change with year'!$AB$16)</f>
        <v>2657000</v>
      </c>
      <c r="L82" s="376">
        <f>(L81*'No change with year'!$AB$16)</f>
        <v>2737000</v>
      </c>
      <c r="M82" s="376">
        <f>(M81*'No change with year'!$AB$16)</f>
        <v>2819000</v>
      </c>
      <c r="N82" s="376">
        <f>(N81*'No change with year'!$AC$16)</f>
        <v>2322800.0000000005</v>
      </c>
      <c r="O82" s="376">
        <f>(O81*'No change with year'!$AC$16)</f>
        <v>2392400.0000000005</v>
      </c>
      <c r="P82" s="376">
        <f>(P81*'No change with year'!$AC$16)</f>
        <v>2464400.0000000005</v>
      </c>
      <c r="Q82" s="376">
        <f>(Q81*'No change with year'!$AC$16)</f>
        <v>2538000.0000000005</v>
      </c>
      <c r="R82" s="376">
        <f>(R81*'No change with year'!$AC$16)</f>
        <v>2614400.0000000005</v>
      </c>
      <c r="S82" s="376">
        <f>(S81*'No change with year'!$AC$16)</f>
        <v>2692800.0000000005</v>
      </c>
      <c r="T82" s="376">
        <f>(T81*'No change with year'!$AC$16)</f>
        <v>2773600.0000000005</v>
      </c>
      <c r="U82" s="376">
        <f>(U81*'No change with year'!$AC$16)</f>
        <v>2856800.0000000005</v>
      </c>
      <c r="V82" s="376">
        <f>(V81*'No change with year'!$AC$16)</f>
        <v>2942400.0000000005</v>
      </c>
      <c r="W82" s="376">
        <f>(W81*'No change with year'!$AC$16)</f>
        <v>3030800.0000000005</v>
      </c>
      <c r="X82" s="376">
        <f>(X81*'No change with year'!$AD$16)</f>
        <v>2341200.0000000005</v>
      </c>
      <c r="Y82" s="376">
        <f>(Y81*'No change with year'!$AD$16)</f>
        <v>2411400.0000000005</v>
      </c>
      <c r="Z82" s="376">
        <f>(Z81*'No change with year'!$AD$16)</f>
        <v>2483700.0000000005</v>
      </c>
      <c r="AA82" s="376">
        <f>(AA81*'No change with year'!$AD$16)</f>
        <v>2558400.0000000005</v>
      </c>
      <c r="AB82" s="376">
        <f>(AB81*'No change with year'!$AD$16)</f>
        <v>2634900.0000000005</v>
      </c>
      <c r="AC82" s="376">
        <f>(AC81*'No change with year'!$AD$16)</f>
        <v>2714100.0000000005</v>
      </c>
      <c r="AD82" s="376">
        <f>(AD81*'No change with year'!$AD$16)</f>
        <v>2795400.0000000005</v>
      </c>
      <c r="AE82" s="376">
        <f>(AE81*'No change with year'!$AD$16)</f>
        <v>2879400.0000000005</v>
      </c>
      <c r="AF82" s="376">
        <f>(AF81*'No change with year'!$AD$16)</f>
        <v>2965800.0000000005</v>
      </c>
      <c r="AG82" s="376">
        <f>(AG81*'No change with year'!$AD$16)</f>
        <v>3054600.0000000005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843603.28322035482</v>
      </c>
      <c r="D84" s="376">
        <f t="shared" si="16"/>
        <v>869020.94058491627</v>
      </c>
      <c r="E84" s="376">
        <f t="shared" si="16"/>
        <v>894876.83342128026</v>
      </c>
      <c r="F84" s="376">
        <f t="shared" si="16"/>
        <v>921828.3149371515</v>
      </c>
      <c r="G84" s="376">
        <f t="shared" si="16"/>
        <v>949437.14966072666</v>
      </c>
      <c r="H84" s="376">
        <f t="shared" si="16"/>
        <v>1065569.5496884638</v>
      </c>
      <c r="I84" s="376">
        <f t="shared" si="16"/>
        <v>1097560.7391300667</v>
      </c>
      <c r="J84" s="376">
        <f t="shared" si="16"/>
        <v>1130428.3995152756</v>
      </c>
      <c r="K84" s="376">
        <f t="shared" si="16"/>
        <v>1164391.6485799912</v>
      </c>
      <c r="L84" s="376">
        <f t="shared" si="16"/>
        <v>1199450.4863242134</v>
      </c>
      <c r="M84" s="376">
        <f t="shared" si="16"/>
        <v>1235385.7950120417</v>
      </c>
      <c r="N84" s="376">
        <f t="shared" si="16"/>
        <v>1272416.6923793769</v>
      </c>
      <c r="O84" s="376">
        <f t="shared" si="16"/>
        <v>1310543.1784262189</v>
      </c>
      <c r="P84" s="376">
        <f t="shared" si="16"/>
        <v>1349984.3708884693</v>
      </c>
      <c r="Q84" s="376">
        <f t="shared" si="16"/>
        <v>1390302.0342943249</v>
      </c>
      <c r="R84" s="376">
        <f t="shared" si="16"/>
        <v>1432153.5218514907</v>
      </c>
      <c r="S84" s="376">
        <f t="shared" si="16"/>
        <v>1475100.5980881634</v>
      </c>
      <c r="T84" s="376">
        <f t="shared" si="16"/>
        <v>1519362.3807402444</v>
      </c>
      <c r="U84" s="376">
        <f t="shared" si="16"/>
        <v>1564938.8698077337</v>
      </c>
      <c r="V84" s="376">
        <f t="shared" si="16"/>
        <v>1611830.0652906313</v>
      </c>
      <c r="W84" s="376">
        <f t="shared" si="16"/>
        <v>1660255.0849248385</v>
      </c>
      <c r="X84" s="376">
        <f t="shared" si="16"/>
        <v>1709994.8109744543</v>
      </c>
      <c r="Y84" s="376">
        <f t="shared" si="16"/>
        <v>1761268.3611753797</v>
      </c>
      <c r="Z84" s="376">
        <f t="shared" si="16"/>
        <v>1814075.7355276151</v>
      </c>
      <c r="AA84" s="376">
        <f t="shared" si="16"/>
        <v>1868636.0517670615</v>
      </c>
      <c r="AB84" s="376">
        <f t="shared" si="16"/>
        <v>1924511.0744219162</v>
      </c>
      <c r="AC84" s="376">
        <f t="shared" si="16"/>
        <v>1982358.1566998831</v>
      </c>
      <c r="AD84" s="376">
        <f t="shared" si="16"/>
        <v>2041739.0631291603</v>
      </c>
      <c r="AE84" s="376">
        <f t="shared" si="16"/>
        <v>2103092.0291815493</v>
      </c>
      <c r="AF84" s="376">
        <f t="shared" si="16"/>
        <v>2166197.9371211501</v>
      </c>
      <c r="AG84" s="376">
        <f t="shared" si="16"/>
        <v>2231056.7869479619</v>
      </c>
    </row>
    <row r="85" spans="1:34">
      <c r="A85" s="300" t="s">
        <v>321</v>
      </c>
      <c r="B85" s="300" t="s">
        <v>309</v>
      </c>
      <c r="C85" s="376">
        <f t="shared" ref="C85:AG85" si="17">C43*$D$37</f>
        <v>1331632.6530612244</v>
      </c>
      <c r="D85" s="376">
        <f t="shared" si="17"/>
        <v>1400510.2040816327</v>
      </c>
      <c r="E85" s="376">
        <f t="shared" si="17"/>
        <v>1442525.5102040817</v>
      </c>
      <c r="F85" s="376">
        <f t="shared" si="17"/>
        <v>1485801.275510204</v>
      </c>
      <c r="G85" s="376">
        <f t="shared" si="17"/>
        <v>1530375.3137755103</v>
      </c>
      <c r="H85" s="376">
        <f t="shared" si="17"/>
        <v>1576286.5731887755</v>
      </c>
      <c r="I85" s="376">
        <f t="shared" si="17"/>
        <v>1623575.1703844387</v>
      </c>
      <c r="J85" s="376">
        <f t="shared" si="17"/>
        <v>1672282.4254959719</v>
      </c>
      <c r="K85" s="376">
        <f t="shared" si="17"/>
        <v>1722450.8982608512</v>
      </c>
      <c r="L85" s="376">
        <f t="shared" si="17"/>
        <v>1774124.4252086768</v>
      </c>
      <c r="M85" s="376">
        <f t="shared" si="17"/>
        <v>1827348.1579649372</v>
      </c>
      <c r="N85" s="376">
        <f t="shared" si="17"/>
        <v>1882168.6027038852</v>
      </c>
      <c r="O85" s="376">
        <f t="shared" si="17"/>
        <v>1938633.6607850017</v>
      </c>
      <c r="P85" s="376">
        <f t="shared" si="17"/>
        <v>1996792.6706085517</v>
      </c>
      <c r="Q85" s="376">
        <f t="shared" si="17"/>
        <v>2056696.4507268083</v>
      </c>
      <c r="R85" s="376">
        <f t="shared" si="17"/>
        <v>2118397.3442486124</v>
      </c>
      <c r="S85" s="376">
        <f t="shared" si="17"/>
        <v>2181949.2645760709</v>
      </c>
      <c r="T85" s="376">
        <f t="shared" si="17"/>
        <v>2247407.742513353</v>
      </c>
      <c r="U85" s="376">
        <f t="shared" si="17"/>
        <v>2314829.9747887538</v>
      </c>
      <c r="V85" s="376">
        <f t="shared" si="17"/>
        <v>2384274.8740324159</v>
      </c>
      <c r="W85" s="376">
        <f t="shared" si="17"/>
        <v>2455803.1202533888</v>
      </c>
      <c r="X85" s="376">
        <f t="shared" si="17"/>
        <v>2529477.21386099</v>
      </c>
      <c r="Y85" s="376">
        <f t="shared" si="17"/>
        <v>2605361.5302768201</v>
      </c>
      <c r="Z85" s="376">
        <f t="shared" si="17"/>
        <v>2683522.3761851243</v>
      </c>
      <c r="AA85" s="376">
        <f t="shared" si="17"/>
        <v>2764028.0474706781</v>
      </c>
      <c r="AB85" s="376">
        <f t="shared" si="17"/>
        <v>2846948.8888947982</v>
      </c>
      <c r="AC85" s="376">
        <f t="shared" si="17"/>
        <v>2932357.3555616424</v>
      </c>
      <c r="AD85" s="376">
        <f t="shared" si="17"/>
        <v>3020328.076228492</v>
      </c>
      <c r="AE85" s="376">
        <f t="shared" si="17"/>
        <v>3110937.9185153469</v>
      </c>
      <c r="AF85" s="376">
        <f t="shared" si="17"/>
        <v>3204266.0560708074</v>
      </c>
      <c r="AG85" s="376">
        <f t="shared" si="17"/>
        <v>3300394.0377529319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300000</v>
      </c>
      <c r="D86" s="376">
        <f t="shared" si="18"/>
        <v>312000</v>
      </c>
      <c r="E86" s="376">
        <f t="shared" si="18"/>
        <v>324480.00000000006</v>
      </c>
      <c r="F86" s="376">
        <f t="shared" si="18"/>
        <v>337459.20000000001</v>
      </c>
      <c r="G86" s="376">
        <f t="shared" si="18"/>
        <v>350957.56800000003</v>
      </c>
      <c r="H86" s="376">
        <f t="shared" si="18"/>
        <v>364995.87072000012</v>
      </c>
      <c r="I86" s="376">
        <f t="shared" si="18"/>
        <v>379595.70554880012</v>
      </c>
      <c r="J86" s="376">
        <f t="shared" si="18"/>
        <v>394779.53377075214</v>
      </c>
      <c r="K86" s="376">
        <f t="shared" si="18"/>
        <v>410570.71512158221</v>
      </c>
      <c r="L86" s="376">
        <f t="shared" si="18"/>
        <v>426993.54372644558</v>
      </c>
      <c r="M86" s="376">
        <f t="shared" si="18"/>
        <v>444073.28547550342</v>
      </c>
      <c r="N86" s="376">
        <f t="shared" si="18"/>
        <v>461836.21689452359</v>
      </c>
      <c r="O86" s="376">
        <f t="shared" si="18"/>
        <v>480309.6655703045</v>
      </c>
      <c r="P86" s="376">
        <f t="shared" si="18"/>
        <v>499522.05219311669</v>
      </c>
      <c r="Q86" s="376">
        <f t="shared" si="18"/>
        <v>519502.93428084138</v>
      </c>
      <c r="R86" s="376">
        <f t="shared" si="18"/>
        <v>540283.05165207502</v>
      </c>
      <c r="S86" s="376">
        <f t="shared" si="18"/>
        <v>561894.37371815799</v>
      </c>
      <c r="T86" s="376">
        <f t="shared" si="18"/>
        <v>584370.1486668844</v>
      </c>
      <c r="U86" s="376">
        <f t="shared" si="18"/>
        <v>607744.95461355976</v>
      </c>
      <c r="V86" s="376">
        <f t="shared" si="18"/>
        <v>632054.7527981021</v>
      </c>
      <c r="W86" s="376">
        <f t="shared" si="18"/>
        <v>657336.94291002629</v>
      </c>
      <c r="X86" s="376">
        <f t="shared" si="18"/>
        <v>683630.42062642728</v>
      </c>
      <c r="Y86" s="376">
        <f t="shared" si="18"/>
        <v>710975.63745148433</v>
      </c>
      <c r="Z86" s="376">
        <f t="shared" si="18"/>
        <v>739414.66294954391</v>
      </c>
      <c r="AA86" s="376">
        <f t="shared" si="18"/>
        <v>768991.24946752575</v>
      </c>
      <c r="AB86" s="376">
        <f t="shared" si="18"/>
        <v>799750.89944622666</v>
      </c>
      <c r="AC86" s="376">
        <f t="shared" si="18"/>
        <v>831740.93542407593</v>
      </c>
      <c r="AD86" s="376">
        <f t="shared" si="18"/>
        <v>865010.57284103893</v>
      </c>
      <c r="AE86" s="376">
        <f t="shared" si="18"/>
        <v>899610.99575468048</v>
      </c>
      <c r="AF86" s="376">
        <f t="shared" si="18"/>
        <v>935595.43558486784</v>
      </c>
      <c r="AG86" s="376">
        <f t="shared" si="18"/>
        <v>973019.2530082626</v>
      </c>
    </row>
    <row r="87" spans="1:34">
      <c r="A87" s="368" t="s">
        <v>318</v>
      </c>
      <c r="B87" s="368" t="s">
        <v>313</v>
      </c>
      <c r="C87" s="376">
        <f>'Changing with year'!C289</f>
        <v>450000</v>
      </c>
      <c r="D87" s="376">
        <f>'Changing with year'!D289</f>
        <v>470000</v>
      </c>
      <c r="E87" s="376">
        <f>'Changing with year'!E289</f>
        <v>491000</v>
      </c>
      <c r="F87" s="376">
        <f>'Changing with year'!F289</f>
        <v>513000</v>
      </c>
      <c r="G87" s="376">
        <f>'Changing with year'!G289</f>
        <v>536000</v>
      </c>
      <c r="H87" s="376">
        <f>'Changing with year'!H289</f>
        <v>560000</v>
      </c>
      <c r="I87" s="376">
        <f>'Changing with year'!I289</f>
        <v>585000</v>
      </c>
      <c r="J87" s="376">
        <f>'Changing with year'!J289</f>
        <v>611000</v>
      </c>
      <c r="K87" s="376">
        <f>'Changing with year'!K289</f>
        <v>638000</v>
      </c>
      <c r="L87" s="376">
        <f>'Changing with year'!L289</f>
        <v>667000</v>
      </c>
      <c r="M87" s="376">
        <f>'Changing with year'!M289</f>
        <v>697000</v>
      </c>
      <c r="N87" s="376">
        <f>'Changing with year'!N289</f>
        <v>728000</v>
      </c>
      <c r="O87" s="376">
        <f>'Changing with year'!O289</f>
        <v>761000</v>
      </c>
      <c r="P87" s="376">
        <f>'Changing with year'!P289</f>
        <v>795000</v>
      </c>
      <c r="Q87" s="376">
        <f>'Changing with year'!Q289</f>
        <v>831000</v>
      </c>
      <c r="R87" s="376">
        <f>'Changing with year'!R289</f>
        <v>868000</v>
      </c>
      <c r="S87" s="376">
        <f>'Changing with year'!S289</f>
        <v>907000</v>
      </c>
      <c r="T87" s="376">
        <f>'Changing with year'!T289</f>
        <v>948000</v>
      </c>
      <c r="U87" s="376">
        <f>'Changing with year'!U289</f>
        <v>991000</v>
      </c>
      <c r="V87" s="376">
        <f>'Changing with year'!V289</f>
        <v>1036000</v>
      </c>
      <c r="W87" s="376">
        <f>'Changing with year'!W289</f>
        <v>1083000</v>
      </c>
      <c r="X87" s="376">
        <f>'Changing with year'!X289</f>
        <v>1132000</v>
      </c>
      <c r="Y87" s="376">
        <f>'Changing with year'!Y289</f>
        <v>1183000</v>
      </c>
      <c r="Z87" s="376">
        <f>'Changing with year'!Z289</f>
        <v>1236000</v>
      </c>
      <c r="AA87" s="376">
        <f>'Changing with year'!AA289</f>
        <v>1292000</v>
      </c>
      <c r="AB87" s="376">
        <f>'Changing with year'!AB289</f>
        <v>1350000</v>
      </c>
      <c r="AC87" s="376">
        <f>'Changing with year'!AC289</f>
        <v>1411000</v>
      </c>
      <c r="AD87" s="376">
        <f>'Changing with year'!AD289</f>
        <v>1474000</v>
      </c>
      <c r="AE87" s="376">
        <f>'Changing with year'!AE289</f>
        <v>1540000</v>
      </c>
      <c r="AF87" s="376">
        <f>'Changing with year'!AF289</f>
        <v>1609000</v>
      </c>
      <c r="AG87" s="376">
        <f>'Changing with year'!AG289</f>
        <v>1681000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525000</v>
      </c>
      <c r="D88" s="376">
        <f t="shared" si="19"/>
        <v>530250</v>
      </c>
      <c r="E88" s="376">
        <f t="shared" si="19"/>
        <v>535552.5</v>
      </c>
      <c r="F88" s="376">
        <f t="shared" si="19"/>
        <v>540908.02500000002</v>
      </c>
      <c r="G88" s="376">
        <f t="shared" si="19"/>
        <v>546317.10525000002</v>
      </c>
      <c r="H88" s="376">
        <f t="shared" si="19"/>
        <v>551780.27630249993</v>
      </c>
      <c r="I88" s="376">
        <f t="shared" si="19"/>
        <v>557298.07906552509</v>
      </c>
      <c r="J88" s="376">
        <f t="shared" si="19"/>
        <v>562871.05985618022</v>
      </c>
      <c r="K88" s="376">
        <f t="shared" si="19"/>
        <v>568499.77045474213</v>
      </c>
      <c r="L88" s="376">
        <f t="shared" si="19"/>
        <v>574184.7681592895</v>
      </c>
      <c r="M88" s="376">
        <f t="shared" si="19"/>
        <v>579926.61584088241</v>
      </c>
      <c r="N88" s="376">
        <f t="shared" si="19"/>
        <v>585725.88199929113</v>
      </c>
      <c r="O88" s="376">
        <f t="shared" si="19"/>
        <v>591583.14081928413</v>
      </c>
      <c r="P88" s="376">
        <f t="shared" si="19"/>
        <v>597498.972227477</v>
      </c>
      <c r="Q88" s="376">
        <f t="shared" si="19"/>
        <v>603473.96194975183</v>
      </c>
      <c r="R88" s="376">
        <f t="shared" si="19"/>
        <v>609508.70156924927</v>
      </c>
      <c r="S88" s="376">
        <f t="shared" si="19"/>
        <v>615603.78858494177</v>
      </c>
      <c r="T88" s="376">
        <f t="shared" si="19"/>
        <v>621759.82647079125</v>
      </c>
      <c r="U88" s="376">
        <f t="shared" si="19"/>
        <v>627977.4247354992</v>
      </c>
      <c r="V88" s="376">
        <f t="shared" si="19"/>
        <v>634257.19898285414</v>
      </c>
      <c r="W88" s="376">
        <f t="shared" si="19"/>
        <v>640599.77097268275</v>
      </c>
      <c r="X88" s="376">
        <f t="shared" si="19"/>
        <v>647005.76868240954</v>
      </c>
      <c r="Y88" s="376">
        <f t="shared" si="19"/>
        <v>653475.82636923366</v>
      </c>
      <c r="Z88" s="376">
        <f t="shared" si="19"/>
        <v>660010.58463292604</v>
      </c>
      <c r="AA88" s="376">
        <f t="shared" si="19"/>
        <v>666610.69047925528</v>
      </c>
      <c r="AB88" s="376">
        <f t="shared" si="19"/>
        <v>673276.797384048</v>
      </c>
      <c r="AC88" s="376">
        <f t="shared" si="19"/>
        <v>680009.56535788847</v>
      </c>
      <c r="AD88" s="376">
        <f t="shared" si="19"/>
        <v>686809.66101146722</v>
      </c>
      <c r="AE88" s="376">
        <f t="shared" si="19"/>
        <v>693677.7576215819</v>
      </c>
      <c r="AF88" s="376">
        <f t="shared" si="19"/>
        <v>700614.5351977977</v>
      </c>
      <c r="AG88" s="376">
        <f t="shared" si="19"/>
        <v>707620.68054977572</v>
      </c>
    </row>
    <row r="89" spans="1:34">
      <c r="A89" s="300" t="s">
        <v>319</v>
      </c>
      <c r="B89" s="300" t="s">
        <v>309</v>
      </c>
      <c r="C89" s="376">
        <f t="shared" ref="C89:AG89" si="20">C81*$C$29</f>
        <v>77000</v>
      </c>
      <c r="D89" s="376">
        <f t="shared" si="20"/>
        <v>79320</v>
      </c>
      <c r="E89" s="376">
        <f t="shared" si="20"/>
        <v>81680</v>
      </c>
      <c r="F89" s="376">
        <f t="shared" si="20"/>
        <v>84140</v>
      </c>
      <c r="G89" s="376">
        <f t="shared" si="20"/>
        <v>86660</v>
      </c>
      <c r="H89" s="376">
        <f t="shared" si="20"/>
        <v>97260</v>
      </c>
      <c r="I89" s="376">
        <f t="shared" si="20"/>
        <v>100180</v>
      </c>
      <c r="J89" s="376">
        <f t="shared" si="20"/>
        <v>103180</v>
      </c>
      <c r="K89" s="376">
        <f t="shared" si="20"/>
        <v>106280</v>
      </c>
      <c r="L89" s="376">
        <f t="shared" si="20"/>
        <v>109480</v>
      </c>
      <c r="M89" s="376">
        <f t="shared" si="20"/>
        <v>112760</v>
      </c>
      <c r="N89" s="376">
        <f t="shared" si="20"/>
        <v>116140</v>
      </c>
      <c r="O89" s="376">
        <f t="shared" si="20"/>
        <v>119620</v>
      </c>
      <c r="P89" s="376">
        <f t="shared" si="20"/>
        <v>123220</v>
      </c>
      <c r="Q89" s="376">
        <f t="shared" si="20"/>
        <v>126900</v>
      </c>
      <c r="R89" s="376">
        <f t="shared" si="20"/>
        <v>130720</v>
      </c>
      <c r="S89" s="376">
        <f t="shared" si="20"/>
        <v>134640</v>
      </c>
      <c r="T89" s="376">
        <f t="shared" si="20"/>
        <v>138680</v>
      </c>
      <c r="U89" s="376">
        <f t="shared" si="20"/>
        <v>142840</v>
      </c>
      <c r="V89" s="376">
        <f t="shared" si="20"/>
        <v>147120</v>
      </c>
      <c r="W89" s="376">
        <f t="shared" si="20"/>
        <v>151540</v>
      </c>
      <c r="X89" s="376">
        <f t="shared" si="20"/>
        <v>156080</v>
      </c>
      <c r="Y89" s="376">
        <f t="shared" si="20"/>
        <v>160760</v>
      </c>
      <c r="Z89" s="376">
        <f t="shared" si="20"/>
        <v>165580</v>
      </c>
      <c r="AA89" s="376">
        <f t="shared" si="20"/>
        <v>170560</v>
      </c>
      <c r="AB89" s="376">
        <f t="shared" si="20"/>
        <v>175660</v>
      </c>
      <c r="AC89" s="376">
        <f t="shared" si="20"/>
        <v>180940</v>
      </c>
      <c r="AD89" s="376">
        <f t="shared" si="20"/>
        <v>186360</v>
      </c>
      <c r="AE89" s="376">
        <f t="shared" si="20"/>
        <v>191960</v>
      </c>
      <c r="AF89" s="376">
        <f t="shared" si="20"/>
        <v>197720</v>
      </c>
      <c r="AG89" s="376">
        <f t="shared" si="20"/>
        <v>203640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11.248043776271398</v>
      </c>
      <c r="D91" s="379">
        <f t="shared" si="21"/>
        <v>11.586945874465551</v>
      </c>
      <c r="E91" s="379">
        <f t="shared" si="21"/>
        <v>11.931691112283737</v>
      </c>
      <c r="F91" s="379">
        <f t="shared" si="21"/>
        <v>12.29104419916202</v>
      </c>
      <c r="G91" s="379">
        <f t="shared" si="21"/>
        <v>12.659161995476355</v>
      </c>
      <c r="H91" s="379">
        <f t="shared" si="21"/>
        <v>14.207593995846183</v>
      </c>
      <c r="I91" s="379">
        <f t="shared" si="21"/>
        <v>14.634143188400889</v>
      </c>
      <c r="J91" s="379">
        <f t="shared" si="21"/>
        <v>15.072378660203675</v>
      </c>
      <c r="K91" s="379">
        <f t="shared" si="21"/>
        <v>15.525221981066549</v>
      </c>
      <c r="L91" s="379">
        <f t="shared" si="21"/>
        <v>15.992673150989512</v>
      </c>
      <c r="M91" s="379">
        <f t="shared" si="21"/>
        <v>16.471810600160556</v>
      </c>
      <c r="N91" s="379">
        <f t="shared" si="21"/>
        <v>16.965555898391692</v>
      </c>
      <c r="O91" s="379">
        <f t="shared" si="21"/>
        <v>17.47390904568292</v>
      </c>
      <c r="P91" s="379">
        <f t="shared" si="21"/>
        <v>17.999791611846256</v>
      </c>
      <c r="Q91" s="379">
        <f t="shared" si="21"/>
        <v>18.537360457257666</v>
      </c>
      <c r="R91" s="379">
        <f t="shared" si="21"/>
        <v>19.095380291353209</v>
      </c>
      <c r="S91" s="379">
        <f t="shared" si="21"/>
        <v>19.668007974508846</v>
      </c>
      <c r="T91" s="379">
        <f t="shared" si="21"/>
        <v>20.258165076536592</v>
      </c>
      <c r="U91" s="379">
        <f t="shared" si="21"/>
        <v>20.86585159743645</v>
      </c>
      <c r="V91" s="379">
        <f t="shared" si="21"/>
        <v>21.491067537208416</v>
      </c>
      <c r="W91" s="379">
        <f t="shared" si="21"/>
        <v>22.136734465664514</v>
      </c>
      <c r="X91" s="379">
        <f t="shared" si="21"/>
        <v>22.799930812992724</v>
      </c>
      <c r="Y91" s="379">
        <f t="shared" si="21"/>
        <v>23.483578149005062</v>
      </c>
      <c r="Z91" s="379">
        <f t="shared" si="21"/>
        <v>24.187676473701533</v>
      </c>
      <c r="AA91" s="379">
        <f t="shared" si="21"/>
        <v>24.915147356894153</v>
      </c>
      <c r="AB91" s="379">
        <f t="shared" si="21"/>
        <v>25.660147658958881</v>
      </c>
      <c r="AC91" s="379">
        <f t="shared" si="21"/>
        <v>26.431442089331775</v>
      </c>
      <c r="AD91" s="379">
        <f t="shared" si="21"/>
        <v>27.223187508388804</v>
      </c>
      <c r="AE91" s="379">
        <f t="shared" si="21"/>
        <v>28.041227055753993</v>
      </c>
      <c r="AF91" s="379">
        <f t="shared" si="21"/>
        <v>28.882639161615334</v>
      </c>
      <c r="AG91" s="379">
        <f t="shared" si="21"/>
        <v>29.747423825972824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17.755102040816325</v>
      </c>
      <c r="D92" s="379">
        <f t="shared" si="22"/>
        <v>18.673469387755102</v>
      </c>
      <c r="E92" s="379">
        <f t="shared" si="22"/>
        <v>19.233673469387757</v>
      </c>
      <c r="F92" s="379">
        <f t="shared" si="22"/>
        <v>19.810683673469388</v>
      </c>
      <c r="G92" s="379">
        <f t="shared" si="22"/>
        <v>20.405004183673469</v>
      </c>
      <c r="H92" s="379">
        <f t="shared" si="22"/>
        <v>21.017154309183674</v>
      </c>
      <c r="I92" s="379">
        <f t="shared" si="22"/>
        <v>21.647668938459184</v>
      </c>
      <c r="J92" s="379">
        <f t="shared" si="22"/>
        <v>22.29709900661296</v>
      </c>
      <c r="K92" s="379">
        <f t="shared" si="22"/>
        <v>22.966011976811348</v>
      </c>
      <c r="L92" s="379">
        <f t="shared" si="22"/>
        <v>23.65499233611569</v>
      </c>
      <c r="M92" s="379">
        <f t="shared" si="22"/>
        <v>24.364642106199163</v>
      </c>
      <c r="N92" s="379">
        <f t="shared" si="22"/>
        <v>25.095581369385137</v>
      </c>
      <c r="O92" s="379">
        <f t="shared" si="22"/>
        <v>25.848448810466689</v>
      </c>
      <c r="P92" s="379">
        <f t="shared" si="22"/>
        <v>26.62390227478069</v>
      </c>
      <c r="Q92" s="379">
        <f t="shared" si="22"/>
        <v>27.42261934302411</v>
      </c>
      <c r="R92" s="379">
        <f t="shared" si="22"/>
        <v>28.245297923314833</v>
      </c>
      <c r="S92" s="379">
        <f t="shared" si="22"/>
        <v>29.09265686101428</v>
      </c>
      <c r="T92" s="379">
        <f t="shared" si="22"/>
        <v>29.965436566844708</v>
      </c>
      <c r="U92" s="379">
        <f t="shared" si="22"/>
        <v>30.864399663850051</v>
      </c>
      <c r="V92" s="379">
        <f t="shared" si="22"/>
        <v>31.790331653765545</v>
      </c>
      <c r="W92" s="379">
        <f t="shared" si="22"/>
        <v>32.74404160337852</v>
      </c>
      <c r="X92" s="379">
        <f t="shared" si="22"/>
        <v>33.72636285147987</v>
      </c>
      <c r="Y92" s="379">
        <f t="shared" si="22"/>
        <v>34.73815373702427</v>
      </c>
      <c r="Z92" s="379">
        <f t="shared" si="22"/>
        <v>35.780298349134988</v>
      </c>
      <c r="AA92" s="379">
        <f t="shared" si="22"/>
        <v>36.853707299609042</v>
      </c>
      <c r="AB92" s="379">
        <f t="shared" si="22"/>
        <v>37.959318518597307</v>
      </c>
      <c r="AC92" s="379">
        <f t="shared" si="22"/>
        <v>39.098098074155232</v>
      </c>
      <c r="AD92" s="379">
        <f t="shared" si="22"/>
        <v>40.27104101637989</v>
      </c>
      <c r="AE92" s="379">
        <f t="shared" si="22"/>
        <v>41.479172246871293</v>
      </c>
      <c r="AF92" s="379">
        <f t="shared" si="22"/>
        <v>42.723547414277434</v>
      </c>
      <c r="AG92" s="379">
        <f t="shared" si="22"/>
        <v>44.005253836705762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18.026666666666667</v>
      </c>
      <c r="D93" s="379">
        <f t="shared" si="23"/>
        <v>18.554266666666667</v>
      </c>
      <c r="E93" s="379">
        <f t="shared" si="23"/>
        <v>19.102833333333333</v>
      </c>
      <c r="F93" s="379">
        <f t="shared" si="23"/>
        <v>19.673429666666667</v>
      </c>
      <c r="G93" s="379">
        <f t="shared" si="23"/>
        <v>20.265795643333334</v>
      </c>
      <c r="H93" s="379">
        <f t="shared" si="23"/>
        <v>20.987148626966668</v>
      </c>
      <c r="I93" s="379">
        <f t="shared" si="23"/>
        <v>21.627650461524333</v>
      </c>
      <c r="J93" s="379">
        <f t="shared" si="23"/>
        <v>22.291074581692431</v>
      </c>
      <c r="K93" s="379">
        <f t="shared" si="23"/>
        <v>22.978006474350988</v>
      </c>
      <c r="L93" s="379">
        <f t="shared" si="23"/>
        <v>23.702110825143134</v>
      </c>
      <c r="M93" s="379">
        <f t="shared" si="23"/>
        <v>24.450132017551809</v>
      </c>
      <c r="N93" s="379">
        <f t="shared" si="23"/>
        <v>25.222694651917529</v>
      </c>
      <c r="O93" s="379">
        <f t="shared" si="23"/>
        <v>26.033504085194515</v>
      </c>
      <c r="P93" s="379">
        <f t="shared" si="23"/>
        <v>26.869880325607916</v>
      </c>
      <c r="Q93" s="379">
        <f t="shared" si="23"/>
        <v>27.745025283074579</v>
      </c>
      <c r="R93" s="379">
        <f t="shared" si="23"/>
        <v>28.646823376284324</v>
      </c>
      <c r="S93" s="379">
        <f t="shared" si="23"/>
        <v>29.58850883070799</v>
      </c>
      <c r="T93" s="379">
        <f t="shared" si="23"/>
        <v>30.570799668502342</v>
      </c>
      <c r="U93" s="379">
        <f t="shared" si="23"/>
        <v>31.594165057987453</v>
      </c>
      <c r="V93" s="379">
        <f t="shared" si="23"/>
        <v>32.659092690412749</v>
      </c>
      <c r="W93" s="379">
        <f t="shared" si="23"/>
        <v>33.766356185102786</v>
      </c>
      <c r="X93" s="379">
        <f t="shared" si="23"/>
        <v>34.916215857451164</v>
      </c>
      <c r="Y93" s="379">
        <f t="shared" si="23"/>
        <v>36.109486184276243</v>
      </c>
      <c r="Z93" s="379">
        <f t="shared" si="23"/>
        <v>37.346736634432936</v>
      </c>
      <c r="AA93" s="379">
        <f t="shared" si="23"/>
        <v>38.642159199290411</v>
      </c>
      <c r="AB93" s="379">
        <f t="shared" si="23"/>
        <v>39.982502624403658</v>
      </c>
      <c r="AC93" s="379">
        <f t="shared" si="23"/>
        <v>41.38254001042619</v>
      </c>
      <c r="AD93" s="379">
        <f t="shared" si="23"/>
        <v>42.829069784700081</v>
      </c>
      <c r="AE93" s="379">
        <f t="shared" si="23"/>
        <v>44.336650045016832</v>
      </c>
      <c r="AF93" s="379">
        <f t="shared" si="23"/>
        <v>45.905732943768875</v>
      </c>
      <c r="AG93" s="379">
        <f t="shared" si="23"/>
        <v>47.537065780773844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3.6666666666666665</v>
      </c>
      <c r="D94" s="379">
        <f t="shared" si="24"/>
        <v>3.7771428571428571</v>
      </c>
      <c r="E94" s="379">
        <f t="shared" si="24"/>
        <v>3.8895238095238094</v>
      </c>
      <c r="F94" s="379">
        <f t="shared" si="24"/>
        <v>4.0066666666666668</v>
      </c>
      <c r="G94" s="379">
        <f t="shared" si="24"/>
        <v>4.1266666666666669</v>
      </c>
      <c r="H94" s="379">
        <f t="shared" si="24"/>
        <v>4.6314285714285717</v>
      </c>
      <c r="I94" s="379">
        <f t="shared" si="24"/>
        <v>4.7704761904761908</v>
      </c>
      <c r="J94" s="379">
        <f t="shared" si="24"/>
        <v>4.9133333333333331</v>
      </c>
      <c r="K94" s="379">
        <f t="shared" si="24"/>
        <v>5.0609523809523811</v>
      </c>
      <c r="L94" s="379">
        <f t="shared" si="24"/>
        <v>5.2133333333333329</v>
      </c>
      <c r="M94" s="379">
        <f t="shared" si="24"/>
        <v>5.3695238095238098</v>
      </c>
      <c r="N94" s="379">
        <f t="shared" si="24"/>
        <v>4.424380952380953</v>
      </c>
      <c r="O94" s="379">
        <f t="shared" si="24"/>
        <v>4.5569523809523815</v>
      </c>
      <c r="P94" s="379">
        <f t="shared" si="24"/>
        <v>4.6940952380952385</v>
      </c>
      <c r="Q94" s="379">
        <f t="shared" si="24"/>
        <v>4.8342857142857154</v>
      </c>
      <c r="R94" s="379">
        <f t="shared" si="24"/>
        <v>4.979809523809525</v>
      </c>
      <c r="S94" s="379">
        <f t="shared" si="24"/>
        <v>5.1291428571428579</v>
      </c>
      <c r="T94" s="379">
        <f t="shared" si="24"/>
        <v>5.2830476190476201</v>
      </c>
      <c r="U94" s="379">
        <f t="shared" si="24"/>
        <v>5.4415238095238108</v>
      </c>
      <c r="V94" s="379">
        <f t="shared" si="24"/>
        <v>5.6045714285714299</v>
      </c>
      <c r="W94" s="379">
        <f t="shared" si="24"/>
        <v>5.7729523809523817</v>
      </c>
      <c r="X94" s="379">
        <f t="shared" si="24"/>
        <v>4.459428571428572</v>
      </c>
      <c r="Y94" s="379">
        <f t="shared" si="24"/>
        <v>4.5931428571428583</v>
      </c>
      <c r="Z94" s="379">
        <f t="shared" si="24"/>
        <v>4.7308571428571433</v>
      </c>
      <c r="AA94" s="379">
        <f t="shared" si="24"/>
        <v>4.8731428571428577</v>
      </c>
      <c r="AB94" s="379">
        <f t="shared" si="24"/>
        <v>5.0188571428571436</v>
      </c>
      <c r="AC94" s="379">
        <f t="shared" si="24"/>
        <v>5.1697142857142868</v>
      </c>
      <c r="AD94" s="379">
        <f t="shared" si="24"/>
        <v>5.3245714285714296</v>
      </c>
      <c r="AE94" s="379">
        <f t="shared" si="24"/>
        <v>5.4845714285714298</v>
      </c>
      <c r="AF94" s="379">
        <f t="shared" si="24"/>
        <v>5.6491428571428584</v>
      </c>
      <c r="AG94" s="379">
        <f t="shared" si="24"/>
        <v>5.8182857142857154</v>
      </c>
    </row>
    <row r="95" spans="1:34" s="352" customFormat="1">
      <c r="A95" s="380" t="s">
        <v>323</v>
      </c>
      <c r="B95" s="352" t="s">
        <v>300</v>
      </c>
      <c r="C95" s="381">
        <f>SUM(C91:C93)-C94</f>
        <v>43.363145817087727</v>
      </c>
      <c r="D95" s="381">
        <f t="shared" ref="D95" si="25">SUM(D91:D93)-D94</f>
        <v>45.037539071744469</v>
      </c>
      <c r="E95" s="381">
        <f t="shared" ref="E95" si="26">SUM(E91:E93)-E94</f>
        <v>46.378674105481018</v>
      </c>
      <c r="F95" s="381">
        <f t="shared" ref="F95:AG95" si="27">SUM(F91:F93)-F94</f>
        <v>47.768490872631411</v>
      </c>
      <c r="G95" s="381">
        <f t="shared" si="27"/>
        <v>49.203295155816491</v>
      </c>
      <c r="H95" s="381">
        <f t="shared" si="27"/>
        <v>51.580468360567949</v>
      </c>
      <c r="I95" s="381">
        <f t="shared" si="27"/>
        <v>53.138986397908219</v>
      </c>
      <c r="J95" s="381">
        <f t="shared" si="27"/>
        <v>54.747218915175729</v>
      </c>
      <c r="K95" s="381">
        <f t="shared" si="27"/>
        <v>56.408288051276507</v>
      </c>
      <c r="L95" s="381">
        <f t="shared" si="27"/>
        <v>58.136442978915007</v>
      </c>
      <c r="M95" s="381">
        <f t="shared" si="27"/>
        <v>59.917060914387719</v>
      </c>
      <c r="N95" s="381">
        <f t="shared" si="27"/>
        <v>62.859450967313414</v>
      </c>
      <c r="O95" s="381">
        <f t="shared" si="27"/>
        <v>64.798909560391749</v>
      </c>
      <c r="P95" s="381">
        <f t="shared" si="27"/>
        <v>66.799478974139618</v>
      </c>
      <c r="Q95" s="381">
        <f t="shared" si="27"/>
        <v>68.870719369070642</v>
      </c>
      <c r="R95" s="381">
        <f t="shared" si="27"/>
        <v>71.007692067142855</v>
      </c>
      <c r="S95" s="381">
        <f t="shared" si="27"/>
        <v>73.220030809088271</v>
      </c>
      <c r="T95" s="381">
        <f t="shared" si="27"/>
        <v>75.511353692836025</v>
      </c>
      <c r="U95" s="381">
        <f t="shared" si="27"/>
        <v>77.882892509750135</v>
      </c>
      <c r="V95" s="381">
        <f t="shared" si="27"/>
        <v>80.335920452815273</v>
      </c>
      <c r="W95" s="381">
        <f t="shared" si="27"/>
        <v>82.874179873193441</v>
      </c>
      <c r="X95" s="381">
        <f t="shared" si="27"/>
        <v>86.983080950495179</v>
      </c>
      <c r="Y95" s="381">
        <f t="shared" si="27"/>
        <v>89.738075213162716</v>
      </c>
      <c r="Z95" s="381">
        <f t="shared" si="27"/>
        <v>92.583854314412307</v>
      </c>
      <c r="AA95" s="381">
        <f t="shared" si="27"/>
        <v>95.53787099865076</v>
      </c>
      <c r="AB95" s="381">
        <f t="shared" si="27"/>
        <v>98.583111659102713</v>
      </c>
      <c r="AC95" s="381">
        <f t="shared" si="27"/>
        <v>101.74236588819892</v>
      </c>
      <c r="AD95" s="381">
        <f t="shared" si="27"/>
        <v>104.99872688089734</v>
      </c>
      <c r="AE95" s="381">
        <f t="shared" si="27"/>
        <v>108.37247791907069</v>
      </c>
      <c r="AF95" s="381">
        <f t="shared" si="27"/>
        <v>111.86277666251877</v>
      </c>
      <c r="AG95" s="381">
        <f t="shared" si="27"/>
        <v>115.47145772916672</v>
      </c>
    </row>
    <row r="96" spans="1:34" s="344" customFormat="1">
      <c r="A96" s="342" t="s">
        <v>180</v>
      </c>
      <c r="B96" s="342"/>
      <c r="H96" s="382">
        <f>H98/H63</f>
        <v>1.1332925176017843</v>
      </c>
      <c r="AB96" s="382">
        <f>AB98/AB63</f>
        <v>1.0900594423796321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year'!C107)/1000,0)*1000</f>
        <v>4180000</v>
      </c>
      <c r="D98" s="376">
        <f>ROUND(('Changing with year'!D107)/1000,0)*1000</f>
        <v>4294000</v>
      </c>
      <c r="E98" s="376">
        <f>ROUND(('Changing with year'!E107)/1000,0)*1000</f>
        <v>4411000</v>
      </c>
      <c r="F98" s="376">
        <f>ROUND(('Changing with year'!F107)/1000,0)*1000</f>
        <v>4532000</v>
      </c>
      <c r="G98" s="376">
        <f>ROUND(('Changing with year'!G107)/1000,0)*1000</f>
        <v>4656000</v>
      </c>
      <c r="H98" s="376">
        <f>ROUND(('Changing with year'!H107)/1000,0)*1000</f>
        <v>5183000</v>
      </c>
      <c r="I98" s="376">
        <f>ROUND(('Changing with year'!I107)/1000,0)*1000</f>
        <v>5327000</v>
      </c>
      <c r="J98" s="376">
        <f>ROUND(('Changing with year'!J107)/1000,0)*1000</f>
        <v>5474000</v>
      </c>
      <c r="K98" s="376">
        <f>ROUND(('Changing with year'!K107)/1000,0)*1000</f>
        <v>5626000</v>
      </c>
      <c r="L98" s="376">
        <f>ROUND(('Changing with year'!L107)/1000,0)*1000</f>
        <v>5782000</v>
      </c>
      <c r="M98" s="376">
        <f>ROUND(('Changing with year'!M107)/1000,0)*1000</f>
        <v>5943000</v>
      </c>
      <c r="N98" s="376">
        <f>ROUND(('Changing with year'!N107)/1000,0)*1000</f>
        <v>6108000</v>
      </c>
      <c r="O98" s="376">
        <f>ROUND(('Changing with year'!O107)/1000,0)*1000</f>
        <v>6279000</v>
      </c>
      <c r="P98" s="376">
        <f>ROUND(('Changing with year'!P107)/1000,0)*1000</f>
        <v>6454000</v>
      </c>
      <c r="Q98" s="376">
        <f>ROUND(('Changing with year'!Q107)/1000,0)*1000</f>
        <v>6634000</v>
      </c>
      <c r="R98" s="376">
        <f>ROUND(('Changing with year'!R107)/1000,0)*1000</f>
        <v>6820000</v>
      </c>
      <c r="S98" s="376">
        <f>ROUND(('Changing with year'!S107)/1000,0)*1000</f>
        <v>7011000</v>
      </c>
      <c r="T98" s="376">
        <f>ROUND(('Changing with year'!T107)/1000,0)*1000</f>
        <v>7208000</v>
      </c>
      <c r="U98" s="376">
        <f>ROUND(('Changing with year'!U107)/1000,0)*1000</f>
        <v>7410000</v>
      </c>
      <c r="V98" s="376">
        <f>ROUND(('Changing with year'!V107)/1000,0)*1000</f>
        <v>7619000</v>
      </c>
      <c r="W98" s="376">
        <f>ROUND(('Changing with year'!W107)/1000,0)*1000</f>
        <v>7833000</v>
      </c>
      <c r="X98" s="376">
        <f>ROUND(('Changing with year'!X107)/1000,0)*1000</f>
        <v>8054000</v>
      </c>
      <c r="Y98" s="376">
        <f>ROUND(('Changing with year'!Y107)/1000,0)*1000</f>
        <v>8282000</v>
      </c>
      <c r="Z98" s="376">
        <f>ROUND(('Changing with year'!Z107)/1000,0)*1000</f>
        <v>8516000</v>
      </c>
      <c r="AA98" s="376">
        <f>ROUND(('Changing with year'!AA107)/1000,0)*1000</f>
        <v>8756000</v>
      </c>
      <c r="AB98" s="376">
        <f>ROUND(('Changing with year'!AB107)/1000,0)*1000</f>
        <v>9004000</v>
      </c>
      <c r="AC98" s="376">
        <f>ROUND(('Changing with year'!AC107)/1000,0)*1000</f>
        <v>9260000</v>
      </c>
      <c r="AD98" s="376">
        <f>ROUND(('Changing with year'!AD107)/1000,0)*1000</f>
        <v>9522000</v>
      </c>
      <c r="AE98" s="376">
        <f>ROUND(('Changing with year'!AE107)/1000,0)*1000</f>
        <v>9793000</v>
      </c>
      <c r="AF98" s="376">
        <f>ROUND(('Changing with year'!AF107)/1000,0)*1000</f>
        <v>10071000</v>
      </c>
      <c r="AG98" s="376">
        <f>ROUND(('Changing with year'!AG107)/1000,0)*1000</f>
        <v>10358000</v>
      </c>
    </row>
    <row r="99" spans="1:34">
      <c r="A99" s="368" t="s">
        <v>310</v>
      </c>
      <c r="B99" s="300" t="s">
        <v>309</v>
      </c>
      <c r="C99" s="376">
        <f>(C98*'No change with year'!$AE$16)</f>
        <v>2090000</v>
      </c>
      <c r="D99" s="376">
        <f>(D98*'No change with year'!$AE$16)</f>
        <v>2147000</v>
      </c>
      <c r="E99" s="376">
        <f>(E98*'No change with year'!$AE$16)</f>
        <v>2205500</v>
      </c>
      <c r="F99" s="376">
        <f>(F98*'No change with year'!$AE$16)</f>
        <v>2266000</v>
      </c>
      <c r="G99" s="376">
        <f>(G98*'No change with year'!$AE$16)</f>
        <v>2328000</v>
      </c>
      <c r="H99" s="376">
        <f>(H98*'No change with year'!$AE$16)</f>
        <v>2591500</v>
      </c>
      <c r="I99" s="376">
        <f>(I98*'No change with year'!$AE$16)</f>
        <v>2663500</v>
      </c>
      <c r="J99" s="376">
        <f>(J98*'No change with year'!$AE$16)</f>
        <v>2737000</v>
      </c>
      <c r="K99" s="376">
        <f>(K98*'No change with year'!$AE$16)</f>
        <v>2813000</v>
      </c>
      <c r="L99" s="376">
        <f>(L98*'No change with year'!$AE$16)</f>
        <v>2891000</v>
      </c>
      <c r="M99" s="376">
        <f>(M98*'No change with year'!$AE$16)</f>
        <v>2971500</v>
      </c>
      <c r="N99" s="376">
        <f>(N98*'No change with year'!$AF$16)</f>
        <v>2443200.0000000005</v>
      </c>
      <c r="O99" s="376">
        <f>(O98*'No change with year'!$AF$16)</f>
        <v>2511600.0000000005</v>
      </c>
      <c r="P99" s="376">
        <f>(P98*'No change with year'!$AF$16)</f>
        <v>2581600.0000000005</v>
      </c>
      <c r="Q99" s="376">
        <f>(Q98*'No change with year'!$AF$16)</f>
        <v>2653600.0000000005</v>
      </c>
      <c r="R99" s="376">
        <f>(R98*'No change with year'!$AF$16)</f>
        <v>2728000.0000000005</v>
      </c>
      <c r="S99" s="376">
        <f>(S98*'No change with year'!$AF$16)</f>
        <v>2804400.0000000005</v>
      </c>
      <c r="T99" s="376">
        <f>(T98*'No change with year'!$AF$16)</f>
        <v>2883200.0000000005</v>
      </c>
      <c r="U99" s="376">
        <f>(U98*'No change with year'!$AF$16)</f>
        <v>2964000.0000000005</v>
      </c>
      <c r="V99" s="376">
        <f>(V98*'No change with year'!$AF$16)</f>
        <v>3047600.0000000005</v>
      </c>
      <c r="W99" s="376">
        <f>(W98*'No change with year'!$AF$16)</f>
        <v>3133200.0000000005</v>
      </c>
      <c r="X99" s="376">
        <f>(X98*'No change with year'!$AG$16)</f>
        <v>2416200.0000000005</v>
      </c>
      <c r="Y99" s="376">
        <f>(Y98*'No change with year'!$AG$16)</f>
        <v>2484600.0000000005</v>
      </c>
      <c r="Z99" s="376">
        <f>(Z98*'No change with year'!$AG$16)</f>
        <v>2554800.0000000005</v>
      </c>
      <c r="AA99" s="376">
        <f>(AA98*'No change with year'!$AG$16)</f>
        <v>2626800.0000000005</v>
      </c>
      <c r="AB99" s="376">
        <f>(AB98*'No change with year'!$AG$16)</f>
        <v>2701200.0000000005</v>
      </c>
      <c r="AC99" s="376">
        <f>(AC98*'No change with year'!$AG$16)</f>
        <v>2778000.0000000005</v>
      </c>
      <c r="AD99" s="376">
        <f>(AD98*'No change with year'!$AG$16)</f>
        <v>2856600.0000000005</v>
      </c>
      <c r="AE99" s="376">
        <f>(AE98*'No change with year'!$AG$16)</f>
        <v>2937900.0000000005</v>
      </c>
      <c r="AF99" s="376">
        <f>(AF98*'No change with year'!$AG$16)</f>
        <v>3021300.0000000005</v>
      </c>
      <c r="AG99" s="376">
        <f>(AG98*'No change with year'!$AG$16)</f>
        <v>3107400.0000000005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915912.13606781384</v>
      </c>
      <c r="D101" s="376">
        <f t="shared" si="29"/>
        <v>940891.55796057242</v>
      </c>
      <c r="E101" s="376">
        <f t="shared" si="29"/>
        <v>966528.33306103514</v>
      </c>
      <c r="F101" s="376">
        <f t="shared" si="29"/>
        <v>993041.57910510339</v>
      </c>
      <c r="G101" s="376">
        <f t="shared" si="29"/>
        <v>1020212.178356876</v>
      </c>
      <c r="H101" s="376">
        <f t="shared" si="29"/>
        <v>1135687.225176909</v>
      </c>
      <c r="I101" s="376">
        <f t="shared" si="29"/>
        <v>1167240.1791467092</v>
      </c>
      <c r="J101" s="376">
        <f t="shared" si="29"/>
        <v>1199450.4863242134</v>
      </c>
      <c r="K101" s="376">
        <f t="shared" si="29"/>
        <v>1232756.3821812251</v>
      </c>
      <c r="L101" s="376">
        <f t="shared" si="29"/>
        <v>1266938.7489818421</v>
      </c>
      <c r="M101" s="376">
        <f t="shared" si="29"/>
        <v>1302216.7044619659</v>
      </c>
      <c r="N101" s="376">
        <f t="shared" si="29"/>
        <v>1338371.1308856956</v>
      </c>
      <c r="O101" s="376">
        <f t="shared" si="29"/>
        <v>1375840.2637248333</v>
      </c>
      <c r="P101" s="376">
        <f t="shared" si="29"/>
        <v>1414185.8675075767</v>
      </c>
      <c r="Q101" s="376">
        <f t="shared" si="29"/>
        <v>1453627.0599698271</v>
      </c>
      <c r="R101" s="376">
        <f t="shared" si="29"/>
        <v>1494382.9588474857</v>
      </c>
      <c r="S101" s="376">
        <f t="shared" si="29"/>
        <v>1536234.4464046515</v>
      </c>
      <c r="T101" s="376">
        <f t="shared" si="29"/>
        <v>1579400.6403772254</v>
      </c>
      <c r="U101" s="376">
        <f t="shared" si="29"/>
        <v>1623662.4230293063</v>
      </c>
      <c r="V101" s="376">
        <f t="shared" si="29"/>
        <v>1669458.0298326972</v>
      </c>
      <c r="W101" s="376">
        <f t="shared" si="29"/>
        <v>1716349.2253155948</v>
      </c>
      <c r="X101" s="376">
        <f t="shared" si="29"/>
        <v>1764774.2449498021</v>
      </c>
      <c r="Y101" s="376">
        <f t="shared" si="29"/>
        <v>1814733.0887353192</v>
      </c>
      <c r="Z101" s="376">
        <f t="shared" si="29"/>
        <v>1866006.6389362446</v>
      </c>
      <c r="AA101" s="376">
        <f t="shared" si="29"/>
        <v>1918594.8955525784</v>
      </c>
      <c r="AB101" s="376">
        <f t="shared" si="29"/>
        <v>1972936.0940561234</v>
      </c>
      <c r="AC101" s="376">
        <f t="shared" si="29"/>
        <v>2029030.2344468795</v>
      </c>
      <c r="AD101" s="376">
        <f t="shared" si="29"/>
        <v>2086439.0812530438</v>
      </c>
      <c r="AE101" s="376">
        <f t="shared" si="29"/>
        <v>2145819.9876823211</v>
      </c>
      <c r="AF101" s="376">
        <f t="shared" si="29"/>
        <v>2206734.7182629076</v>
      </c>
      <c r="AG101" s="376">
        <f t="shared" si="29"/>
        <v>2269621.508466607</v>
      </c>
    </row>
    <row r="102" spans="1:34">
      <c r="A102" s="300" t="s">
        <v>321</v>
      </c>
      <c r="B102" s="300" t="s">
        <v>309</v>
      </c>
      <c r="C102" s="376">
        <f t="shared" ref="C102:AG102" si="30">$E$37*C44</f>
        <v>1296874.9999999998</v>
      </c>
      <c r="D102" s="376">
        <f t="shared" si="30"/>
        <v>1343749.9999999998</v>
      </c>
      <c r="E102" s="376">
        <f t="shared" si="30"/>
        <v>1384062.4999999998</v>
      </c>
      <c r="F102" s="376">
        <f t="shared" si="30"/>
        <v>1425584.3749999998</v>
      </c>
      <c r="G102" s="376">
        <f t="shared" si="30"/>
        <v>1468351.9062499998</v>
      </c>
      <c r="H102" s="376">
        <f t="shared" si="30"/>
        <v>1512402.4634374997</v>
      </c>
      <c r="I102" s="376">
        <f t="shared" si="30"/>
        <v>1557774.537340625</v>
      </c>
      <c r="J102" s="376">
        <f t="shared" si="30"/>
        <v>1604507.7734608438</v>
      </c>
      <c r="K102" s="376">
        <f t="shared" si="30"/>
        <v>1652643.0066646691</v>
      </c>
      <c r="L102" s="376">
        <f t="shared" si="30"/>
        <v>1702222.2968646092</v>
      </c>
      <c r="M102" s="376">
        <f t="shared" si="30"/>
        <v>1753288.9657705475</v>
      </c>
      <c r="N102" s="376">
        <f t="shared" si="30"/>
        <v>1805887.6347436639</v>
      </c>
      <c r="O102" s="376">
        <f t="shared" si="30"/>
        <v>1860064.2637859739</v>
      </c>
      <c r="P102" s="376">
        <f t="shared" si="30"/>
        <v>1915866.1916995533</v>
      </c>
      <c r="Q102" s="376">
        <f t="shared" si="30"/>
        <v>1973342.1774505398</v>
      </c>
      <c r="R102" s="376">
        <f t="shared" si="30"/>
        <v>2032542.4427740562</v>
      </c>
      <c r="S102" s="376">
        <f t="shared" si="30"/>
        <v>2093518.7160572778</v>
      </c>
      <c r="T102" s="376">
        <f t="shared" si="30"/>
        <v>2156324.2775389962</v>
      </c>
      <c r="U102" s="376">
        <f t="shared" si="30"/>
        <v>2221014.005865166</v>
      </c>
      <c r="V102" s="376">
        <f t="shared" si="30"/>
        <v>2287644.4260411211</v>
      </c>
      <c r="W102" s="376">
        <f t="shared" si="30"/>
        <v>2356273.758822355</v>
      </c>
      <c r="X102" s="376">
        <f t="shared" si="30"/>
        <v>2426961.9715870256</v>
      </c>
      <c r="Y102" s="376">
        <f t="shared" si="30"/>
        <v>2499770.8307346366</v>
      </c>
      <c r="Z102" s="376">
        <f t="shared" si="30"/>
        <v>2574763.9556566756</v>
      </c>
      <c r="AA102" s="376">
        <f t="shared" si="30"/>
        <v>2652006.8743263758</v>
      </c>
      <c r="AB102" s="376">
        <f t="shared" si="30"/>
        <v>2731567.0805561673</v>
      </c>
      <c r="AC102" s="376">
        <f t="shared" si="30"/>
        <v>2813514.0929728523</v>
      </c>
      <c r="AD102" s="376">
        <f t="shared" si="30"/>
        <v>2897919.5157620381</v>
      </c>
      <c r="AE102" s="376">
        <f t="shared" si="30"/>
        <v>2984857.1012348989</v>
      </c>
      <c r="AF102" s="376">
        <f t="shared" si="30"/>
        <v>3074402.814271946</v>
      </c>
      <c r="AG102" s="376">
        <f t="shared" si="30"/>
        <v>3166634.8987001046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300000</v>
      </c>
      <c r="D103" s="376">
        <f t="shared" si="31"/>
        <v>312000</v>
      </c>
      <c r="E103" s="376">
        <f t="shared" si="31"/>
        <v>324480.00000000006</v>
      </c>
      <c r="F103" s="376">
        <f t="shared" si="31"/>
        <v>337459.20000000001</v>
      </c>
      <c r="G103" s="376">
        <f t="shared" si="31"/>
        <v>350957.56800000003</v>
      </c>
      <c r="H103" s="376">
        <f t="shared" si="31"/>
        <v>364995.87072000012</v>
      </c>
      <c r="I103" s="376">
        <f t="shared" si="31"/>
        <v>379595.70554880012</v>
      </c>
      <c r="J103" s="376">
        <f t="shared" si="31"/>
        <v>394779.53377075214</v>
      </c>
      <c r="K103" s="376">
        <f t="shared" si="31"/>
        <v>410570.71512158221</v>
      </c>
      <c r="L103" s="376">
        <f t="shared" si="31"/>
        <v>426993.54372644558</v>
      </c>
      <c r="M103" s="376">
        <f t="shared" si="31"/>
        <v>444073.28547550342</v>
      </c>
      <c r="N103" s="376">
        <f t="shared" si="31"/>
        <v>461836.21689452359</v>
      </c>
      <c r="O103" s="376">
        <f t="shared" si="31"/>
        <v>480309.6655703045</v>
      </c>
      <c r="P103" s="376">
        <f t="shared" si="31"/>
        <v>499522.05219311669</v>
      </c>
      <c r="Q103" s="376">
        <f t="shared" si="31"/>
        <v>519502.93428084138</v>
      </c>
      <c r="R103" s="376">
        <f t="shared" si="31"/>
        <v>540283.05165207502</v>
      </c>
      <c r="S103" s="376">
        <f t="shared" si="31"/>
        <v>561894.37371815799</v>
      </c>
      <c r="T103" s="376">
        <f t="shared" si="31"/>
        <v>584370.1486668844</v>
      </c>
      <c r="U103" s="376">
        <f t="shared" si="31"/>
        <v>607744.95461355976</v>
      </c>
      <c r="V103" s="376">
        <f t="shared" si="31"/>
        <v>632054.7527981021</v>
      </c>
      <c r="W103" s="376">
        <f t="shared" si="31"/>
        <v>657336.94291002629</v>
      </c>
      <c r="X103" s="376">
        <f t="shared" si="31"/>
        <v>683630.42062642728</v>
      </c>
      <c r="Y103" s="376">
        <f t="shared" si="31"/>
        <v>710975.63745148433</v>
      </c>
      <c r="Z103" s="376">
        <f t="shared" si="31"/>
        <v>739414.66294954391</v>
      </c>
      <c r="AA103" s="376">
        <f t="shared" si="31"/>
        <v>768991.24946752575</v>
      </c>
      <c r="AB103" s="376">
        <f t="shared" si="31"/>
        <v>799750.89944622666</v>
      </c>
      <c r="AC103" s="376">
        <f t="shared" si="31"/>
        <v>831740.93542407593</v>
      </c>
      <c r="AD103" s="376">
        <f t="shared" si="31"/>
        <v>865010.57284103893</v>
      </c>
      <c r="AE103" s="376">
        <f t="shared" si="31"/>
        <v>899610.99575468048</v>
      </c>
      <c r="AF103" s="376">
        <f t="shared" si="31"/>
        <v>935595.43558486784</v>
      </c>
      <c r="AG103" s="376">
        <f t="shared" si="31"/>
        <v>973019.2530082626</v>
      </c>
    </row>
    <row r="104" spans="1:34">
      <c r="A104" s="368" t="s">
        <v>318</v>
      </c>
      <c r="B104" s="368" t="s">
        <v>313</v>
      </c>
      <c r="C104" s="376">
        <f>'Changing with year'!C289</f>
        <v>450000</v>
      </c>
      <c r="D104" s="376">
        <f>'Changing with year'!D289</f>
        <v>470000</v>
      </c>
      <c r="E104" s="376">
        <f>'Changing with year'!E289</f>
        <v>491000</v>
      </c>
      <c r="F104" s="376">
        <f>'Changing with year'!F289</f>
        <v>513000</v>
      </c>
      <c r="G104" s="376">
        <f>'Changing with year'!G289</f>
        <v>536000</v>
      </c>
      <c r="H104" s="376">
        <f>'Changing with year'!H289</f>
        <v>560000</v>
      </c>
      <c r="I104" s="376">
        <f>'Changing with year'!I289</f>
        <v>585000</v>
      </c>
      <c r="J104" s="376">
        <f>'Changing with year'!J289</f>
        <v>611000</v>
      </c>
      <c r="K104" s="376">
        <f>'Changing with year'!K289</f>
        <v>638000</v>
      </c>
      <c r="L104" s="376">
        <f>'Changing with year'!L289</f>
        <v>667000</v>
      </c>
      <c r="M104" s="376">
        <f>'Changing with year'!M289</f>
        <v>697000</v>
      </c>
      <c r="N104" s="376">
        <f>'Changing with year'!N289</f>
        <v>728000</v>
      </c>
      <c r="O104" s="376">
        <f>'Changing with year'!O289</f>
        <v>761000</v>
      </c>
      <c r="P104" s="376">
        <f>'Changing with year'!P289</f>
        <v>795000</v>
      </c>
      <c r="Q104" s="376">
        <f>'Changing with year'!Q289</f>
        <v>831000</v>
      </c>
      <c r="R104" s="376">
        <f>'Changing with year'!R289</f>
        <v>868000</v>
      </c>
      <c r="S104" s="376">
        <f>'Changing with year'!S289</f>
        <v>907000</v>
      </c>
      <c r="T104" s="376">
        <f>'Changing with year'!T289</f>
        <v>948000</v>
      </c>
      <c r="U104" s="376">
        <f>'Changing with year'!U289</f>
        <v>991000</v>
      </c>
      <c r="V104" s="376">
        <f>'Changing with year'!V289</f>
        <v>1036000</v>
      </c>
      <c r="W104" s="376">
        <f>'Changing with year'!W289</f>
        <v>1083000</v>
      </c>
      <c r="X104" s="376">
        <f>'Changing with year'!X289</f>
        <v>1132000</v>
      </c>
      <c r="Y104" s="376">
        <f>'Changing with year'!Y289</f>
        <v>1183000</v>
      </c>
      <c r="Z104" s="376">
        <f>'Changing with year'!Z289</f>
        <v>1236000</v>
      </c>
      <c r="AA104" s="376">
        <f>'Changing with year'!AA289</f>
        <v>1292000</v>
      </c>
      <c r="AB104" s="376">
        <f>'Changing with year'!AB289</f>
        <v>1350000</v>
      </c>
      <c r="AC104" s="376">
        <f>'Changing with year'!AC289</f>
        <v>1411000</v>
      </c>
      <c r="AD104" s="376">
        <f>'Changing with year'!AD289</f>
        <v>1474000</v>
      </c>
      <c r="AE104" s="376">
        <f>'Changing with year'!AE289</f>
        <v>1540000</v>
      </c>
      <c r="AF104" s="376">
        <f>'Changing with year'!AF289</f>
        <v>1609000</v>
      </c>
      <c r="AG104" s="376">
        <f>'Changing with year'!AG289</f>
        <v>1681000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525000</v>
      </c>
      <c r="D105" s="376">
        <f t="shared" si="32"/>
        <v>530250</v>
      </c>
      <c r="E105" s="376">
        <f t="shared" si="32"/>
        <v>535552.5</v>
      </c>
      <c r="F105" s="376">
        <f t="shared" si="32"/>
        <v>540908.02500000002</v>
      </c>
      <c r="G105" s="376">
        <f t="shared" si="32"/>
        <v>546317.10525000002</v>
      </c>
      <c r="H105" s="376">
        <f t="shared" si="32"/>
        <v>551780.27630249993</v>
      </c>
      <c r="I105" s="376">
        <f t="shared" si="32"/>
        <v>557298.07906552509</v>
      </c>
      <c r="J105" s="376">
        <f t="shared" si="32"/>
        <v>562871.05985618022</v>
      </c>
      <c r="K105" s="376">
        <f t="shared" si="32"/>
        <v>568499.77045474213</v>
      </c>
      <c r="L105" s="376">
        <f t="shared" si="32"/>
        <v>574184.7681592895</v>
      </c>
      <c r="M105" s="376">
        <f t="shared" si="32"/>
        <v>579926.61584088241</v>
      </c>
      <c r="N105" s="376">
        <f t="shared" si="32"/>
        <v>585725.88199929113</v>
      </c>
      <c r="O105" s="376">
        <f t="shared" si="32"/>
        <v>591583.14081928413</v>
      </c>
      <c r="P105" s="376">
        <f t="shared" si="32"/>
        <v>597498.972227477</v>
      </c>
      <c r="Q105" s="376">
        <f t="shared" si="32"/>
        <v>603473.96194975183</v>
      </c>
      <c r="R105" s="376">
        <f t="shared" si="32"/>
        <v>609508.70156924927</v>
      </c>
      <c r="S105" s="376">
        <f t="shared" si="32"/>
        <v>615603.78858494177</v>
      </c>
      <c r="T105" s="376">
        <f t="shared" si="32"/>
        <v>621759.82647079125</v>
      </c>
      <c r="U105" s="376">
        <f t="shared" si="32"/>
        <v>627977.4247354992</v>
      </c>
      <c r="V105" s="376">
        <f t="shared" si="32"/>
        <v>634257.19898285414</v>
      </c>
      <c r="W105" s="376">
        <f t="shared" si="32"/>
        <v>640599.77097268275</v>
      </c>
      <c r="X105" s="376">
        <f t="shared" si="32"/>
        <v>647005.76868240954</v>
      </c>
      <c r="Y105" s="376">
        <f t="shared" si="32"/>
        <v>653475.82636923366</v>
      </c>
      <c r="Z105" s="376">
        <f t="shared" si="32"/>
        <v>660010.58463292604</v>
      </c>
      <c r="AA105" s="376">
        <f t="shared" si="32"/>
        <v>666610.69047925528</v>
      </c>
      <c r="AB105" s="376">
        <f t="shared" si="32"/>
        <v>673276.797384048</v>
      </c>
      <c r="AC105" s="376">
        <f t="shared" si="32"/>
        <v>680009.56535788847</v>
      </c>
      <c r="AD105" s="376">
        <f t="shared" si="32"/>
        <v>686809.66101146722</v>
      </c>
      <c r="AE105" s="376">
        <f t="shared" si="32"/>
        <v>693677.7576215819</v>
      </c>
      <c r="AF105" s="376">
        <f t="shared" si="32"/>
        <v>700614.5351977977</v>
      </c>
      <c r="AG105" s="376">
        <f t="shared" si="32"/>
        <v>707620.68054977572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83600</v>
      </c>
      <c r="D106" s="376">
        <f t="shared" si="33"/>
        <v>85880</v>
      </c>
      <c r="E106" s="376">
        <f t="shared" si="33"/>
        <v>88220</v>
      </c>
      <c r="F106" s="376">
        <f t="shared" si="33"/>
        <v>90640</v>
      </c>
      <c r="G106" s="376">
        <f t="shared" si="33"/>
        <v>93120</v>
      </c>
      <c r="H106" s="376">
        <f t="shared" si="33"/>
        <v>103660</v>
      </c>
      <c r="I106" s="376">
        <f t="shared" si="33"/>
        <v>106540</v>
      </c>
      <c r="J106" s="376">
        <f t="shared" si="33"/>
        <v>109480</v>
      </c>
      <c r="K106" s="376">
        <f t="shared" si="33"/>
        <v>112520</v>
      </c>
      <c r="L106" s="376">
        <f t="shared" si="33"/>
        <v>115640</v>
      </c>
      <c r="M106" s="376">
        <f t="shared" si="33"/>
        <v>118860</v>
      </c>
      <c r="N106" s="376">
        <f t="shared" si="33"/>
        <v>122160</v>
      </c>
      <c r="O106" s="376">
        <f t="shared" si="33"/>
        <v>125580</v>
      </c>
      <c r="P106" s="376">
        <f t="shared" si="33"/>
        <v>129080</v>
      </c>
      <c r="Q106" s="376">
        <f t="shared" si="33"/>
        <v>132680</v>
      </c>
      <c r="R106" s="376">
        <f t="shared" si="33"/>
        <v>136400</v>
      </c>
      <c r="S106" s="376">
        <f t="shared" si="33"/>
        <v>140220</v>
      </c>
      <c r="T106" s="376">
        <f t="shared" si="33"/>
        <v>144160</v>
      </c>
      <c r="U106" s="376">
        <f t="shared" si="33"/>
        <v>148200</v>
      </c>
      <c r="V106" s="376">
        <f t="shared" si="33"/>
        <v>152380</v>
      </c>
      <c r="W106" s="376">
        <f t="shared" si="33"/>
        <v>156660</v>
      </c>
      <c r="X106" s="376">
        <f t="shared" si="33"/>
        <v>161080</v>
      </c>
      <c r="Y106" s="376">
        <f t="shared" si="33"/>
        <v>165640</v>
      </c>
      <c r="Z106" s="376">
        <f t="shared" si="33"/>
        <v>170320</v>
      </c>
      <c r="AA106" s="376">
        <f t="shared" si="33"/>
        <v>175120</v>
      </c>
      <c r="AB106" s="376">
        <f t="shared" si="33"/>
        <v>180080</v>
      </c>
      <c r="AC106" s="376">
        <f t="shared" si="33"/>
        <v>185200</v>
      </c>
      <c r="AD106" s="376">
        <f t="shared" si="33"/>
        <v>190440</v>
      </c>
      <c r="AE106" s="376">
        <f t="shared" si="33"/>
        <v>195860</v>
      </c>
      <c r="AF106" s="376">
        <f t="shared" si="33"/>
        <v>201420</v>
      </c>
      <c r="AG106" s="376">
        <f t="shared" si="33"/>
        <v>207160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12.212161814237518</v>
      </c>
      <c r="D108" s="379">
        <f t="shared" si="34"/>
        <v>12.545220772807632</v>
      </c>
      <c r="E108" s="379">
        <f t="shared" si="34"/>
        <v>12.887044440813803</v>
      </c>
      <c r="F108" s="379">
        <f t="shared" si="34"/>
        <v>13.240554388068045</v>
      </c>
      <c r="G108" s="379">
        <f t="shared" si="34"/>
        <v>13.602829044758346</v>
      </c>
      <c r="H108" s="379">
        <f t="shared" si="34"/>
        <v>15.142496335692121</v>
      </c>
      <c r="I108" s="379">
        <f t="shared" si="34"/>
        <v>15.563202388622789</v>
      </c>
      <c r="J108" s="379">
        <f t="shared" si="34"/>
        <v>15.992673150989512</v>
      </c>
      <c r="K108" s="379">
        <f t="shared" si="34"/>
        <v>16.436751762416336</v>
      </c>
      <c r="L108" s="379">
        <f t="shared" si="34"/>
        <v>16.892516653091228</v>
      </c>
      <c r="M108" s="379">
        <f t="shared" si="34"/>
        <v>17.362889392826212</v>
      </c>
      <c r="N108" s="379">
        <f t="shared" si="34"/>
        <v>17.844948411809273</v>
      </c>
      <c r="O108" s="379">
        <f t="shared" si="34"/>
        <v>18.344536849664443</v>
      </c>
      <c r="P108" s="379">
        <f t="shared" si="34"/>
        <v>18.855811566767688</v>
      </c>
      <c r="Q108" s="379">
        <f t="shared" si="34"/>
        <v>19.381694132931027</v>
      </c>
      <c r="R108" s="379">
        <f t="shared" si="34"/>
        <v>19.925106117966475</v>
      </c>
      <c r="S108" s="379">
        <f t="shared" si="34"/>
        <v>20.483125952062021</v>
      </c>
      <c r="T108" s="379">
        <f t="shared" si="34"/>
        <v>21.058675205029672</v>
      </c>
      <c r="U108" s="379">
        <f t="shared" si="34"/>
        <v>21.648832307057418</v>
      </c>
      <c r="V108" s="379">
        <f t="shared" si="34"/>
        <v>22.259440397769296</v>
      </c>
      <c r="W108" s="379">
        <f t="shared" si="34"/>
        <v>22.884656337541266</v>
      </c>
      <c r="X108" s="379">
        <f t="shared" si="34"/>
        <v>23.53032326599736</v>
      </c>
      <c r="Y108" s="379">
        <f t="shared" si="34"/>
        <v>24.196441183137591</v>
      </c>
      <c r="Z108" s="379">
        <f t="shared" si="34"/>
        <v>24.880088519149929</v>
      </c>
      <c r="AA108" s="379">
        <f t="shared" si="34"/>
        <v>25.581265274034379</v>
      </c>
      <c r="AB108" s="379">
        <f t="shared" si="34"/>
        <v>26.305814587414979</v>
      </c>
      <c r="AC108" s="379">
        <f t="shared" si="34"/>
        <v>27.053736459291727</v>
      </c>
      <c r="AD108" s="379">
        <f t="shared" si="34"/>
        <v>27.819187750040584</v>
      </c>
      <c r="AE108" s="379">
        <f t="shared" si="34"/>
        <v>28.610933169097613</v>
      </c>
      <c r="AF108" s="379">
        <f t="shared" si="34"/>
        <v>29.423129576838768</v>
      </c>
      <c r="AG108" s="379">
        <f t="shared" si="34"/>
        <v>30.261620112888092</v>
      </c>
    </row>
    <row r="109" spans="1:34">
      <c r="A109" s="300" t="s">
        <v>321</v>
      </c>
      <c r="B109" s="300" t="s">
        <v>300</v>
      </c>
      <c r="C109" s="379">
        <f t="shared" si="34"/>
        <v>17.291666666666664</v>
      </c>
      <c r="D109" s="379">
        <f t="shared" si="34"/>
        <v>17.916666666666664</v>
      </c>
      <c r="E109" s="379">
        <f t="shared" si="34"/>
        <v>18.454166666666662</v>
      </c>
      <c r="F109" s="379">
        <f t="shared" si="34"/>
        <v>19.007791666666662</v>
      </c>
      <c r="G109" s="379">
        <f t="shared" si="34"/>
        <v>19.578025416666662</v>
      </c>
      <c r="H109" s="379">
        <f t="shared" si="34"/>
        <v>20.165366179166664</v>
      </c>
      <c r="I109" s="379">
        <f t="shared" si="34"/>
        <v>20.770327164541666</v>
      </c>
      <c r="J109" s="379">
        <f t="shared" si="34"/>
        <v>21.393436979477919</v>
      </c>
      <c r="K109" s="379">
        <f t="shared" si="34"/>
        <v>22.035240088862256</v>
      </c>
      <c r="L109" s="379">
        <f t="shared" si="34"/>
        <v>22.696297291528122</v>
      </c>
      <c r="M109" s="379">
        <f t="shared" si="34"/>
        <v>23.377186210273965</v>
      </c>
      <c r="N109" s="379">
        <f t="shared" si="34"/>
        <v>24.078501796582184</v>
      </c>
      <c r="O109" s="379">
        <f t="shared" si="34"/>
        <v>24.800856850479651</v>
      </c>
      <c r="P109" s="379">
        <f t="shared" si="34"/>
        <v>25.544882555994043</v>
      </c>
      <c r="Q109" s="379">
        <f t="shared" si="34"/>
        <v>26.311229032673864</v>
      </c>
      <c r="R109" s="379">
        <f t="shared" si="34"/>
        <v>27.100565903654083</v>
      </c>
      <c r="S109" s="379">
        <f t="shared" si="34"/>
        <v>27.913582880763702</v>
      </c>
      <c r="T109" s="379">
        <f t="shared" si="34"/>
        <v>28.750990367186617</v>
      </c>
      <c r="U109" s="379">
        <f t="shared" si="34"/>
        <v>29.613520078202214</v>
      </c>
      <c r="V109" s="379">
        <f t="shared" si="34"/>
        <v>30.501925680548283</v>
      </c>
      <c r="W109" s="379">
        <f t="shared" si="34"/>
        <v>31.416983450964732</v>
      </c>
      <c r="X109" s="379">
        <f t="shared" si="34"/>
        <v>32.359492954493675</v>
      </c>
      <c r="Y109" s="379">
        <f t="shared" si="34"/>
        <v>33.330277743128491</v>
      </c>
      <c r="Z109" s="379">
        <f t="shared" si="34"/>
        <v>34.33018607542234</v>
      </c>
      <c r="AA109" s="379">
        <f t="shared" si="34"/>
        <v>35.360091657685011</v>
      </c>
      <c r="AB109" s="379">
        <f t="shared" si="34"/>
        <v>36.420894407415567</v>
      </c>
      <c r="AC109" s="379">
        <f t="shared" si="34"/>
        <v>37.513521239638031</v>
      </c>
      <c r="AD109" s="379">
        <f t="shared" si="34"/>
        <v>38.638926876827178</v>
      </c>
      <c r="AE109" s="379">
        <f t="shared" si="34"/>
        <v>39.798094683131986</v>
      </c>
      <c r="AF109" s="379">
        <f t="shared" si="34"/>
        <v>40.992037523625946</v>
      </c>
      <c r="AG109" s="379">
        <f t="shared" si="34"/>
        <v>42.22179864933473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18.114666666666668</v>
      </c>
      <c r="D110" s="379">
        <f t="shared" si="35"/>
        <v>18.641733333333335</v>
      </c>
      <c r="E110" s="379">
        <f t="shared" si="35"/>
        <v>19.190033333333332</v>
      </c>
      <c r="F110" s="379">
        <f t="shared" si="35"/>
        <v>19.760096333333333</v>
      </c>
      <c r="G110" s="379">
        <f t="shared" si="35"/>
        <v>20.351928976666667</v>
      </c>
      <c r="H110" s="379">
        <f t="shared" si="35"/>
        <v>21.072481960300003</v>
      </c>
      <c r="I110" s="379">
        <f t="shared" si="35"/>
        <v>21.712450461524334</v>
      </c>
      <c r="J110" s="379">
        <f t="shared" si="35"/>
        <v>22.375074581692431</v>
      </c>
      <c r="K110" s="379">
        <f t="shared" si="35"/>
        <v>23.061206474350989</v>
      </c>
      <c r="L110" s="379">
        <f t="shared" si="35"/>
        <v>23.784244158476469</v>
      </c>
      <c r="M110" s="379">
        <f t="shared" si="35"/>
        <v>24.531465350885142</v>
      </c>
      <c r="N110" s="379">
        <f t="shared" si="35"/>
        <v>25.302961318584195</v>
      </c>
      <c r="O110" s="379">
        <f t="shared" si="35"/>
        <v>26.11297075186118</v>
      </c>
      <c r="P110" s="379">
        <f t="shared" si="35"/>
        <v>26.94801365894125</v>
      </c>
      <c r="Q110" s="379">
        <f t="shared" si="35"/>
        <v>27.822091949741246</v>
      </c>
      <c r="R110" s="379">
        <f t="shared" si="35"/>
        <v>28.722556709617656</v>
      </c>
      <c r="S110" s="379">
        <f t="shared" si="35"/>
        <v>29.662908830707991</v>
      </c>
      <c r="T110" s="379">
        <f t="shared" si="35"/>
        <v>30.643866335169008</v>
      </c>
      <c r="U110" s="379">
        <f t="shared" si="35"/>
        <v>31.665631724654119</v>
      </c>
      <c r="V110" s="379">
        <f t="shared" si="35"/>
        <v>32.729226023746087</v>
      </c>
      <c r="W110" s="379">
        <f t="shared" si="35"/>
        <v>33.834622851769453</v>
      </c>
      <c r="X110" s="379">
        <f t="shared" si="35"/>
        <v>34.982882524117827</v>
      </c>
      <c r="Y110" s="379">
        <f t="shared" si="35"/>
        <v>36.174552850942909</v>
      </c>
      <c r="Z110" s="379">
        <f t="shared" si="35"/>
        <v>37.409936634432931</v>
      </c>
      <c r="AA110" s="379">
        <f t="shared" si="35"/>
        <v>38.702959199290412</v>
      </c>
      <c r="AB110" s="379">
        <f t="shared" si="35"/>
        <v>40.041435957736994</v>
      </c>
      <c r="AC110" s="379">
        <f t="shared" si="35"/>
        <v>41.439340010426193</v>
      </c>
      <c r="AD110" s="379">
        <f t="shared" si="35"/>
        <v>42.883469784700083</v>
      </c>
      <c r="AE110" s="379">
        <f t="shared" si="35"/>
        <v>44.388650045016831</v>
      </c>
      <c r="AF110" s="379">
        <f t="shared" si="35"/>
        <v>45.955066277102205</v>
      </c>
      <c r="AG110" s="379">
        <f t="shared" si="35"/>
        <v>47.583999114107179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3.980952380952381</v>
      </c>
      <c r="D111" s="379">
        <f t="shared" si="36"/>
        <v>4.0895238095238096</v>
      </c>
      <c r="E111" s="379">
        <f t="shared" si="36"/>
        <v>4.2009523809523808</v>
      </c>
      <c r="F111" s="379">
        <f t="shared" si="36"/>
        <v>4.3161904761904761</v>
      </c>
      <c r="G111" s="379">
        <f t="shared" si="36"/>
        <v>4.4342857142857142</v>
      </c>
      <c r="H111" s="379">
        <f t="shared" si="36"/>
        <v>4.9361904761904762</v>
      </c>
      <c r="I111" s="379">
        <f t="shared" si="36"/>
        <v>5.0733333333333333</v>
      </c>
      <c r="J111" s="379">
        <f t="shared" si="36"/>
        <v>5.2133333333333329</v>
      </c>
      <c r="K111" s="379">
        <f t="shared" si="36"/>
        <v>5.3580952380952382</v>
      </c>
      <c r="L111" s="379">
        <f t="shared" si="36"/>
        <v>5.5066666666666668</v>
      </c>
      <c r="M111" s="379">
        <f t="shared" si="36"/>
        <v>5.66</v>
      </c>
      <c r="N111" s="379">
        <f t="shared" si="36"/>
        <v>4.6537142857142868</v>
      </c>
      <c r="O111" s="379">
        <f t="shared" si="36"/>
        <v>4.7840000000000007</v>
      </c>
      <c r="P111" s="379">
        <f t="shared" si="36"/>
        <v>4.9173333333333344</v>
      </c>
      <c r="Q111" s="379">
        <f t="shared" si="36"/>
        <v>5.0544761904761915</v>
      </c>
      <c r="R111" s="379">
        <f t="shared" si="36"/>
        <v>5.1961904761904769</v>
      </c>
      <c r="S111" s="379">
        <f t="shared" si="36"/>
        <v>5.3417142857142865</v>
      </c>
      <c r="T111" s="379">
        <f t="shared" si="36"/>
        <v>5.4918095238095246</v>
      </c>
      <c r="U111" s="379">
        <f t="shared" si="36"/>
        <v>5.6457142857142868</v>
      </c>
      <c r="V111" s="379">
        <f t="shared" si="36"/>
        <v>5.8049523809523818</v>
      </c>
      <c r="W111" s="379">
        <f t="shared" si="36"/>
        <v>5.9680000000000009</v>
      </c>
      <c r="X111" s="379">
        <f t="shared" si="36"/>
        <v>4.6022857142857152</v>
      </c>
      <c r="Y111" s="379">
        <f t="shared" si="36"/>
        <v>4.7325714285714291</v>
      </c>
      <c r="Z111" s="379">
        <f t="shared" si="36"/>
        <v>4.8662857142857154</v>
      </c>
      <c r="AA111" s="379">
        <f t="shared" si="36"/>
        <v>5.0034285714285724</v>
      </c>
      <c r="AB111" s="379">
        <f t="shared" si="36"/>
        <v>5.1451428571428579</v>
      </c>
      <c r="AC111" s="379">
        <f t="shared" si="36"/>
        <v>5.2914285714285727</v>
      </c>
      <c r="AD111" s="379">
        <f t="shared" si="36"/>
        <v>5.4411428571428582</v>
      </c>
      <c r="AE111" s="379">
        <f t="shared" si="36"/>
        <v>5.596000000000001</v>
      </c>
      <c r="AF111" s="379">
        <f t="shared" si="36"/>
        <v>5.7548571428571433</v>
      </c>
      <c r="AG111" s="379">
        <f t="shared" si="36"/>
        <v>5.9188571428571439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43.637542766618473</v>
      </c>
      <c r="D112" s="381">
        <f t="shared" ref="D112" si="37">SUM(D108:D110)-D111</f>
        <v>45.014096963283819</v>
      </c>
      <c r="E112" s="381">
        <f t="shared" ref="E112" si="38">SUM(E108:E110)-E111</f>
        <v>46.330292059861414</v>
      </c>
      <c r="F112" s="381">
        <f t="shared" ref="F112:AG112" si="39">SUM(F108:F110)-F111</f>
        <v>47.69225191187757</v>
      </c>
      <c r="G112" s="381">
        <f t="shared" si="39"/>
        <v>49.098497723805956</v>
      </c>
      <c r="H112" s="381">
        <f t="shared" si="39"/>
        <v>51.444153998968311</v>
      </c>
      <c r="I112" s="381">
        <f t="shared" si="39"/>
        <v>52.972646681355457</v>
      </c>
      <c r="J112" s="381">
        <f t="shared" si="39"/>
        <v>54.547851378826529</v>
      </c>
      <c r="K112" s="381">
        <f t="shared" si="39"/>
        <v>56.175103087534339</v>
      </c>
      <c r="L112" s="381">
        <f t="shared" si="39"/>
        <v>57.866391436429147</v>
      </c>
      <c r="M112" s="381">
        <f t="shared" si="39"/>
        <v>59.611540953985326</v>
      </c>
      <c r="N112" s="381">
        <f t="shared" si="39"/>
        <v>62.572697241261366</v>
      </c>
      <c r="O112" s="381">
        <f t="shared" si="39"/>
        <v>64.474364452005275</v>
      </c>
      <c r="P112" s="381">
        <f t="shared" si="39"/>
        <v>66.431374448369652</v>
      </c>
      <c r="Q112" s="381">
        <f t="shared" si="39"/>
        <v>68.460538924869951</v>
      </c>
      <c r="R112" s="381">
        <f t="shared" si="39"/>
        <v>70.552038255047734</v>
      </c>
      <c r="S112" s="381">
        <f t="shared" si="39"/>
        <v>72.717903377819425</v>
      </c>
      <c r="T112" s="381">
        <f t="shared" si="39"/>
        <v>74.961722383575776</v>
      </c>
      <c r="U112" s="381">
        <f t="shared" si="39"/>
        <v>77.28226982419946</v>
      </c>
      <c r="V112" s="381">
        <f t="shared" si="39"/>
        <v>79.685639721111272</v>
      </c>
      <c r="W112" s="381">
        <f t="shared" si="39"/>
        <v>82.168262640275444</v>
      </c>
      <c r="X112" s="381">
        <f t="shared" si="39"/>
        <v>86.270413030323155</v>
      </c>
      <c r="Y112" s="381">
        <f t="shared" si="39"/>
        <v>88.968700348637569</v>
      </c>
      <c r="Z112" s="381">
        <f t="shared" si="39"/>
        <v>91.753925514719498</v>
      </c>
      <c r="AA112" s="381">
        <f t="shared" si="39"/>
        <v>94.64088755958123</v>
      </c>
      <c r="AB112" s="381">
        <f t="shared" si="39"/>
        <v>97.623002095424681</v>
      </c>
      <c r="AC112" s="381">
        <f t="shared" si="39"/>
        <v>100.71516913792738</v>
      </c>
      <c r="AD112" s="381">
        <f t="shared" si="39"/>
        <v>103.90044155442499</v>
      </c>
      <c r="AE112" s="381">
        <f t="shared" si="39"/>
        <v>107.20167789724643</v>
      </c>
      <c r="AF112" s="381">
        <f t="shared" si="39"/>
        <v>110.61537623470977</v>
      </c>
      <c r="AG112" s="381">
        <f t="shared" si="39"/>
        <v>114.14856073347286</v>
      </c>
    </row>
    <row r="113" spans="1:34" s="344" customFormat="1">
      <c r="A113" s="342" t="s">
        <v>327</v>
      </c>
      <c r="B113" s="342"/>
      <c r="H113" s="382">
        <f>H115/H63</f>
        <v>1.267109808894914</v>
      </c>
      <c r="AB113" s="382">
        <f>AB115/AB63</f>
        <v>1.1085822205542306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year'!C119)/1000,0)*1000</f>
        <v>5179000</v>
      </c>
      <c r="D115" s="376">
        <f>ROUND(('Changing with year'!D119)/1000,0)*1000</f>
        <v>5208000</v>
      </c>
      <c r="E115" s="376">
        <f>ROUND(('Changing with year'!E119)/1000,0)*1000</f>
        <v>5244000</v>
      </c>
      <c r="F115" s="376">
        <f>ROUND(('Changing with year'!F119)/1000,0)*1000</f>
        <v>5288000</v>
      </c>
      <c r="G115" s="376">
        <f>ROUND(('Changing with year'!G119)/1000,0)*1000</f>
        <v>5338000</v>
      </c>
      <c r="H115" s="376">
        <f>ROUND(('Changing with year'!H119)/1000,0)*1000</f>
        <v>5795000</v>
      </c>
      <c r="I115" s="376">
        <f>ROUND(('Changing with year'!I119)/1000,0)*1000</f>
        <v>5884000</v>
      </c>
      <c r="J115" s="376">
        <f>ROUND(('Changing with year'!J119)/1000,0)*1000</f>
        <v>5978000</v>
      </c>
      <c r="K115" s="376">
        <f>ROUND(('Changing with year'!K119)/1000,0)*1000</f>
        <v>6079000</v>
      </c>
      <c r="L115" s="376">
        <f>ROUND(('Changing with year'!L119)/1000,0)*1000</f>
        <v>6185000</v>
      </c>
      <c r="M115" s="376">
        <f>ROUND(('Changing with year'!M119)/1000,0)*1000</f>
        <v>6298000</v>
      </c>
      <c r="N115" s="376">
        <f>ROUND(('Changing with year'!N119)/1000,0)*1000</f>
        <v>6417000</v>
      </c>
      <c r="O115" s="376">
        <f>ROUND(('Changing with year'!O119)/1000,0)*1000</f>
        <v>6543000</v>
      </c>
      <c r="P115" s="376">
        <f>ROUND(('Changing with year'!P119)/1000,0)*1000</f>
        <v>6675000</v>
      </c>
      <c r="Q115" s="376">
        <f>ROUND(('Changing with year'!Q119)/1000,0)*1000</f>
        <v>6813000</v>
      </c>
      <c r="R115" s="376">
        <f>ROUND(('Changing with year'!R119)/1000,0)*1000</f>
        <v>6959000</v>
      </c>
      <c r="S115" s="376">
        <f>ROUND(('Changing with year'!S119)/1000,0)*1000</f>
        <v>7151000</v>
      </c>
      <c r="T115" s="376">
        <f>ROUND(('Changing with year'!T119)/1000,0)*1000</f>
        <v>7349000</v>
      </c>
      <c r="U115" s="376">
        <f>ROUND(('Changing with year'!U119)/1000,0)*1000</f>
        <v>7553000</v>
      </c>
      <c r="V115" s="376">
        <f>ROUND(('Changing with year'!V119)/1000,0)*1000</f>
        <v>7763000</v>
      </c>
      <c r="W115" s="376">
        <f>ROUND(('Changing with year'!W119)/1000,0)*1000</f>
        <v>7979000</v>
      </c>
      <c r="X115" s="376">
        <f>ROUND(('Changing with year'!X119)/1000,0)*1000</f>
        <v>8201000</v>
      </c>
      <c r="Y115" s="376">
        <f>ROUND(('Changing with year'!Y119)/1000,0)*1000</f>
        <v>8430000</v>
      </c>
      <c r="Z115" s="376">
        <f>ROUND(('Changing with year'!Z119)/1000,0)*1000</f>
        <v>8666000</v>
      </c>
      <c r="AA115" s="376">
        <f>ROUND(('Changing with year'!AA119)/1000,0)*1000</f>
        <v>8908000</v>
      </c>
      <c r="AB115" s="376">
        <f>ROUND(('Changing with year'!AB119)/1000,0)*1000</f>
        <v>9157000</v>
      </c>
      <c r="AC115" s="376">
        <f>ROUND(('Changing with year'!AC119)/1000,0)*1000</f>
        <v>9414000</v>
      </c>
      <c r="AD115" s="376">
        <f>ROUND(('Changing with year'!AD119)/1000,0)*1000</f>
        <v>9679000</v>
      </c>
      <c r="AE115" s="376">
        <f>ROUND(('Changing with year'!AE119)/1000,0)*1000</f>
        <v>9951000</v>
      </c>
      <c r="AF115" s="376">
        <f>ROUND(('Changing with year'!AF119)/1000,0)*1000</f>
        <v>10231000</v>
      </c>
      <c r="AG115" s="376">
        <f>ROUND(('Changing with year'!AG119)/1000,0)*1000</f>
        <v>10519000</v>
      </c>
    </row>
    <row r="116" spans="1:34">
      <c r="A116" s="368" t="s">
        <v>310</v>
      </c>
      <c r="B116" s="300" t="s">
        <v>309</v>
      </c>
      <c r="C116" s="376">
        <f>(C115*'No change with year'!$AH$16)</f>
        <v>1294750.0000000002</v>
      </c>
      <c r="D116" s="376">
        <f>(D115*'No change with year'!$AH$16)</f>
        <v>1302000.0000000002</v>
      </c>
      <c r="E116" s="376">
        <f>(E115*'No change with year'!$AH$16)</f>
        <v>1311000.0000000002</v>
      </c>
      <c r="F116" s="376">
        <f>(F115*'No change with year'!$AH$16)</f>
        <v>1322000.0000000002</v>
      </c>
      <c r="G116" s="376">
        <f>(G115*'No change with year'!$AH$16)</f>
        <v>1334500.0000000002</v>
      </c>
      <c r="H116" s="376">
        <f>(H115*'No change with year'!$AH$16)</f>
        <v>1448750.0000000002</v>
      </c>
      <c r="I116" s="376">
        <f>(I115*'No change with year'!$AH$16)</f>
        <v>1471000.0000000002</v>
      </c>
      <c r="J116" s="376">
        <f>(J115*'No change with year'!$AH$16)</f>
        <v>1494500.0000000002</v>
      </c>
      <c r="K116" s="376">
        <f>(K115*'No change with year'!$AH$16)</f>
        <v>1519750.0000000002</v>
      </c>
      <c r="L116" s="376">
        <f>(L115*'No change with year'!$AH$16)</f>
        <v>1546250.0000000002</v>
      </c>
      <c r="M116" s="376">
        <f>(M115*'No change with year'!$AH$16)</f>
        <v>1574500.0000000005</v>
      </c>
      <c r="N116" s="376">
        <f>(N115*'No change with year'!$AI$16)</f>
        <v>2245950.0000000005</v>
      </c>
      <c r="O116" s="376">
        <f>(O115*'No change with year'!$AI$16)</f>
        <v>2290050.0000000005</v>
      </c>
      <c r="P116" s="376">
        <f>(P115*'No change with year'!$AI$16)</f>
        <v>2336250.0000000005</v>
      </c>
      <c r="Q116" s="376">
        <f>(Q115*'No change with year'!$AI$16)</f>
        <v>2384550.0000000005</v>
      </c>
      <c r="R116" s="376">
        <f>(R115*'No change with year'!$AI$16)</f>
        <v>2435650.0000000005</v>
      </c>
      <c r="S116" s="376">
        <f>(S115*'No change with year'!$AI$16)</f>
        <v>2502850.0000000005</v>
      </c>
      <c r="T116" s="376">
        <f>(T115*'No change with year'!$AI$16)</f>
        <v>2572150.0000000005</v>
      </c>
      <c r="U116" s="376">
        <f>(U115*'No change with year'!$AI$16)</f>
        <v>2643550.0000000005</v>
      </c>
      <c r="V116" s="376">
        <f>(V115*'No change with year'!$AI$16)</f>
        <v>2717050.0000000005</v>
      </c>
      <c r="W116" s="376">
        <f>(W115*'No change with year'!$AI$16)</f>
        <v>2792650.0000000009</v>
      </c>
      <c r="X116" s="376">
        <f>(X115*'No change with year'!$AJ$16)</f>
        <v>3280400</v>
      </c>
      <c r="Y116" s="376">
        <f>(Y115*'No change with year'!$AJ$16)</f>
        <v>3372000</v>
      </c>
      <c r="Z116" s="376">
        <f>(Z115*'No change with year'!$AJ$16)</f>
        <v>3466400</v>
      </c>
      <c r="AA116" s="376">
        <f>(AA115*'No change with year'!$AJ$16)</f>
        <v>3563200</v>
      </c>
      <c r="AB116" s="376">
        <f>(AB115*'No change with year'!$AJ$16)</f>
        <v>3662800</v>
      </c>
      <c r="AC116" s="376">
        <f>(AC115*'No change with year'!$AJ$16)</f>
        <v>3765600</v>
      </c>
      <c r="AD116" s="376">
        <f>(AD115*'No change with year'!$AJ$16)</f>
        <v>3871600</v>
      </c>
      <c r="AE116" s="376">
        <f>(AE115*'No change with year'!$AJ$16)</f>
        <v>3980400</v>
      </c>
      <c r="AF116" s="376">
        <f>(AF115*'No change with year'!$AJ$16)</f>
        <v>4092400</v>
      </c>
      <c r="AG116" s="376">
        <f>(AG115*'No change with year'!$AJ$16)</f>
        <v>4207600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 t="shared" ref="C118:AG118" si="41">-PMT($C$26,$C$25,C115)</f>
        <v>1134810.7542333035</v>
      </c>
      <c r="D118" s="376">
        <f t="shared" si="41"/>
        <v>1141165.1685744436</v>
      </c>
      <c r="E118" s="376">
        <f t="shared" si="41"/>
        <v>1149053.4070668938</v>
      </c>
      <c r="F118" s="376">
        <f t="shared" si="41"/>
        <v>1158694.5874465548</v>
      </c>
      <c r="G118" s="376">
        <f t="shared" si="41"/>
        <v>1169650.4742416246</v>
      </c>
      <c r="H118" s="376">
        <f t="shared" si="41"/>
        <v>1269787.2795485603</v>
      </c>
      <c r="I118" s="376">
        <f t="shared" si="41"/>
        <v>1289288.7580437839</v>
      </c>
      <c r="J118" s="376">
        <f t="shared" si="41"/>
        <v>1309885.8252185148</v>
      </c>
      <c r="K118" s="376">
        <f t="shared" si="41"/>
        <v>1332016.716544555</v>
      </c>
      <c r="L118" s="376">
        <f t="shared" si="41"/>
        <v>1355243.1965501027</v>
      </c>
      <c r="M118" s="376">
        <f t="shared" si="41"/>
        <v>1380003.5007069597</v>
      </c>
      <c r="N118" s="376">
        <f t="shared" si="41"/>
        <v>1406078.5112792251</v>
      </c>
      <c r="O118" s="376">
        <f t="shared" si="41"/>
        <v>1433687.3460028004</v>
      </c>
      <c r="P118" s="376">
        <f t="shared" si="41"/>
        <v>1462610.887141784</v>
      </c>
      <c r="Q118" s="376">
        <f t="shared" si="41"/>
        <v>1492849.1346961758</v>
      </c>
      <c r="R118" s="376">
        <f t="shared" si="41"/>
        <v>1524840.3241377792</v>
      </c>
      <c r="S118" s="376">
        <f t="shared" si="41"/>
        <v>1566910.9294308461</v>
      </c>
      <c r="T118" s="376">
        <f t="shared" si="41"/>
        <v>1610296.2411393216</v>
      </c>
      <c r="U118" s="376">
        <f t="shared" si="41"/>
        <v>1654996.2592632051</v>
      </c>
      <c r="V118" s="376">
        <f t="shared" si="41"/>
        <v>1701010.9838024972</v>
      </c>
      <c r="W118" s="376">
        <f t="shared" si="41"/>
        <v>1748340.4147571977</v>
      </c>
      <c r="X118" s="376">
        <f t="shared" si="41"/>
        <v>1796984.5521273066</v>
      </c>
      <c r="Y118" s="376">
        <f t="shared" si="41"/>
        <v>1847162.5136487251</v>
      </c>
      <c r="Z118" s="376">
        <f t="shared" si="41"/>
        <v>1898874.2993214533</v>
      </c>
      <c r="AA118" s="376">
        <f t="shared" si="41"/>
        <v>1951900.7914095898</v>
      </c>
      <c r="AB118" s="376">
        <f t="shared" si="41"/>
        <v>2006461.1076490362</v>
      </c>
      <c r="AC118" s="376">
        <f t="shared" si="41"/>
        <v>2062774.3657756939</v>
      </c>
      <c r="AD118" s="376">
        <f t="shared" si="41"/>
        <v>2120840.5657895622</v>
      </c>
      <c r="AE118" s="376">
        <f t="shared" si="41"/>
        <v>2180440.5899547408</v>
      </c>
      <c r="AF118" s="376">
        <f t="shared" si="41"/>
        <v>2241793.5560071301</v>
      </c>
      <c r="AG118" s="376">
        <f t="shared" si="41"/>
        <v>2304899.4639467304</v>
      </c>
    </row>
    <row r="119" spans="1:34">
      <c r="A119" s="300" t="s">
        <v>321</v>
      </c>
      <c r="B119" s="368" t="s">
        <v>313</v>
      </c>
      <c r="C119" s="376">
        <f t="shared" ref="C119:AG119" si="42">$F$37*C50</f>
        <v>3837765.9574468085</v>
      </c>
      <c r="D119" s="376">
        <f t="shared" si="42"/>
        <v>3802127.6595744682</v>
      </c>
      <c r="E119" s="376">
        <f t="shared" si="42"/>
        <v>3770045.2127659572</v>
      </c>
      <c r="F119" s="376">
        <f t="shared" si="42"/>
        <v>3741439.3351063831</v>
      </c>
      <c r="G119" s="376">
        <f t="shared" si="42"/>
        <v>3716234.5646276595</v>
      </c>
      <c r="H119" s="376">
        <f t="shared" si="42"/>
        <v>3694359.1377952131</v>
      </c>
      <c r="I119" s="376">
        <f t="shared" si="42"/>
        <v>3474335.4917498934</v>
      </c>
      <c r="J119" s="376">
        <f t="shared" si="42"/>
        <v>3358537.4593326375</v>
      </c>
      <c r="K119" s="376">
        <f t="shared" si="42"/>
        <v>3246590.9390632058</v>
      </c>
      <c r="L119" s="376">
        <f t="shared" si="42"/>
        <v>3138350.5746714566</v>
      </c>
      <c r="M119" s="376">
        <f t="shared" si="42"/>
        <v>3033677.0394253465</v>
      </c>
      <c r="N119" s="376">
        <f t="shared" si="42"/>
        <v>2932436.7698498848</v>
      </c>
      <c r="O119" s="376">
        <f t="shared" si="42"/>
        <v>2834501.7116787625</v>
      </c>
      <c r="P119" s="376">
        <f t="shared" si="42"/>
        <v>2739749.0774625591</v>
      </c>
      <c r="Q119" s="376">
        <f t="shared" si="42"/>
        <v>2648061.1152849956</v>
      </c>
      <c r="R119" s="376">
        <f t="shared" si="42"/>
        <v>2559324.8880649563</v>
      </c>
      <c r="S119" s="376">
        <f t="shared" si="42"/>
        <v>2362981.9581762557</v>
      </c>
      <c r="T119" s="376">
        <f t="shared" si="42"/>
        <v>2295886.5266996822</v>
      </c>
      <c r="U119" s="376">
        <f t="shared" si="42"/>
        <v>2231178.8056303589</v>
      </c>
      <c r="V119" s="376">
        <f t="shared" si="42"/>
        <v>2168755.5949435919</v>
      </c>
      <c r="W119" s="376">
        <f t="shared" si="42"/>
        <v>2108518.4973144466</v>
      </c>
      <c r="X119" s="376">
        <f t="shared" si="42"/>
        <v>2050373.6874191675</v>
      </c>
      <c r="Y119" s="376">
        <f t="shared" si="42"/>
        <v>1994231.6925012665</v>
      </c>
      <c r="Z119" s="376">
        <f t="shared" si="42"/>
        <v>1940007.1836470154</v>
      </c>
      <c r="AA119" s="376">
        <f t="shared" si="42"/>
        <v>1887618.7772426209</v>
      </c>
      <c r="AB119" s="376">
        <f t="shared" si="42"/>
        <v>1836988.8461115102</v>
      </c>
      <c r="AC119" s="376">
        <f t="shared" si="42"/>
        <v>1775264.4052833407</v>
      </c>
      <c r="AD119" s="376">
        <f t="shared" si="42"/>
        <v>1781382.7425000628</v>
      </c>
      <c r="AE119" s="376">
        <f t="shared" si="42"/>
        <v>1789579.6643390167</v>
      </c>
      <c r="AF119" s="376">
        <f t="shared" si="42"/>
        <v>1799821.7750680135</v>
      </c>
      <c r="AG119" s="376">
        <f t="shared" si="42"/>
        <v>1812078.8936597086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300000</v>
      </c>
      <c r="D120" s="376">
        <f t="shared" si="43"/>
        <v>312000</v>
      </c>
      <c r="E120" s="376">
        <f t="shared" si="43"/>
        <v>324480.00000000006</v>
      </c>
      <c r="F120" s="376">
        <f t="shared" si="43"/>
        <v>337459.20000000001</v>
      </c>
      <c r="G120" s="376">
        <f t="shared" si="43"/>
        <v>350957.56800000009</v>
      </c>
      <c r="H120" s="376">
        <f t="shared" si="43"/>
        <v>364995.87072000012</v>
      </c>
      <c r="I120" s="376">
        <f t="shared" si="43"/>
        <v>379595.70554880012</v>
      </c>
      <c r="J120" s="376">
        <f t="shared" si="43"/>
        <v>394779.53377075214</v>
      </c>
      <c r="K120" s="376">
        <f t="shared" si="43"/>
        <v>410570.71512158221</v>
      </c>
      <c r="L120" s="376">
        <f t="shared" si="43"/>
        <v>426993.54372644558</v>
      </c>
      <c r="M120" s="376">
        <f t="shared" si="43"/>
        <v>444073.28547550336</v>
      </c>
      <c r="N120" s="376">
        <f t="shared" si="43"/>
        <v>461836.21689452353</v>
      </c>
      <c r="O120" s="376">
        <f t="shared" si="43"/>
        <v>480309.6655703045</v>
      </c>
      <c r="P120" s="376">
        <f t="shared" si="43"/>
        <v>499522.05219311675</v>
      </c>
      <c r="Q120" s="376">
        <f t="shared" si="43"/>
        <v>519502.93428084138</v>
      </c>
      <c r="R120" s="376">
        <f t="shared" si="43"/>
        <v>540283.05165207502</v>
      </c>
      <c r="S120" s="376">
        <f t="shared" si="43"/>
        <v>561894.37371815799</v>
      </c>
      <c r="T120" s="376">
        <f t="shared" si="43"/>
        <v>584370.1486668844</v>
      </c>
      <c r="U120" s="376">
        <f t="shared" si="43"/>
        <v>607744.95461355976</v>
      </c>
      <c r="V120" s="376">
        <f t="shared" si="43"/>
        <v>632054.7527981021</v>
      </c>
      <c r="W120" s="376">
        <f t="shared" si="43"/>
        <v>657336.94291002629</v>
      </c>
      <c r="X120" s="376">
        <f t="shared" si="43"/>
        <v>683630.42062642728</v>
      </c>
      <c r="Y120" s="376">
        <f t="shared" si="43"/>
        <v>710975.63745148445</v>
      </c>
      <c r="Z120" s="376">
        <f t="shared" si="43"/>
        <v>739414.66294954391</v>
      </c>
      <c r="AA120" s="376">
        <f t="shared" si="43"/>
        <v>768991.24946752563</v>
      </c>
      <c r="AB120" s="376">
        <f t="shared" si="43"/>
        <v>799750.89944622677</v>
      </c>
      <c r="AC120" s="376">
        <f t="shared" si="43"/>
        <v>831740.93542407581</v>
      </c>
      <c r="AD120" s="376">
        <f t="shared" si="43"/>
        <v>865010.57284103893</v>
      </c>
      <c r="AE120" s="376">
        <f t="shared" si="43"/>
        <v>899610.9957546806</v>
      </c>
      <c r="AF120" s="376">
        <f t="shared" si="43"/>
        <v>935595.43558486784</v>
      </c>
      <c r="AG120" s="376">
        <f t="shared" si="43"/>
        <v>973019.2530082626</v>
      </c>
    </row>
    <row r="121" spans="1:34">
      <c r="A121" s="368" t="s">
        <v>318</v>
      </c>
      <c r="B121" s="368" t="s">
        <v>313</v>
      </c>
      <c r="C121" s="376">
        <f>'Changing with year'!C289</f>
        <v>450000</v>
      </c>
      <c r="D121" s="376">
        <f>'Changing with year'!D289</f>
        <v>470000</v>
      </c>
      <c r="E121" s="376">
        <f>'Changing with year'!E289</f>
        <v>491000</v>
      </c>
      <c r="F121" s="376">
        <f>'Changing with year'!F289</f>
        <v>513000</v>
      </c>
      <c r="G121" s="376">
        <f>'Changing with year'!G289</f>
        <v>536000</v>
      </c>
      <c r="H121" s="376">
        <f>'Changing with year'!H289</f>
        <v>560000</v>
      </c>
      <c r="I121" s="376">
        <f>'Changing with year'!I289</f>
        <v>585000</v>
      </c>
      <c r="J121" s="376">
        <f>'Changing with year'!J289</f>
        <v>611000</v>
      </c>
      <c r="K121" s="376">
        <f>'Changing with year'!K289</f>
        <v>638000</v>
      </c>
      <c r="L121" s="376">
        <f>'Changing with year'!L289</f>
        <v>667000</v>
      </c>
      <c r="M121" s="376">
        <f>'Changing with year'!M289</f>
        <v>697000</v>
      </c>
      <c r="N121" s="376">
        <f>'Changing with year'!N289</f>
        <v>728000</v>
      </c>
      <c r="O121" s="376">
        <f>'Changing with year'!O289</f>
        <v>761000</v>
      </c>
      <c r="P121" s="376">
        <f>'Changing with year'!P289</f>
        <v>795000</v>
      </c>
      <c r="Q121" s="376">
        <f>'Changing with year'!Q289</f>
        <v>831000</v>
      </c>
      <c r="R121" s="376">
        <f>'Changing with year'!R289</f>
        <v>868000</v>
      </c>
      <c r="S121" s="376">
        <f>'Changing with year'!S289</f>
        <v>907000</v>
      </c>
      <c r="T121" s="376">
        <f>'Changing with year'!T289</f>
        <v>948000</v>
      </c>
      <c r="U121" s="376">
        <f>'Changing with year'!U289</f>
        <v>991000</v>
      </c>
      <c r="V121" s="376">
        <f>'Changing with year'!V289</f>
        <v>1036000</v>
      </c>
      <c r="W121" s="376">
        <f>'Changing with year'!W289</f>
        <v>1083000</v>
      </c>
      <c r="X121" s="376">
        <f>'Changing with year'!X289</f>
        <v>1132000</v>
      </c>
      <c r="Y121" s="376">
        <f>'Changing with year'!Y289</f>
        <v>1183000</v>
      </c>
      <c r="Z121" s="376">
        <f>'Changing with year'!Z289</f>
        <v>1236000</v>
      </c>
      <c r="AA121" s="376">
        <f>'Changing with year'!AA289</f>
        <v>1292000</v>
      </c>
      <c r="AB121" s="376">
        <f>'Changing with year'!AB289</f>
        <v>1350000</v>
      </c>
      <c r="AC121" s="376">
        <f>'Changing with year'!AC289</f>
        <v>1411000</v>
      </c>
      <c r="AD121" s="376">
        <f>'Changing with year'!AD289</f>
        <v>1474000</v>
      </c>
      <c r="AE121" s="376">
        <f>'Changing with year'!AE289</f>
        <v>1540000</v>
      </c>
      <c r="AF121" s="376">
        <f>'Changing with year'!AF289</f>
        <v>1609000</v>
      </c>
      <c r="AG121" s="376">
        <f>'Changing with year'!AG289</f>
        <v>1681000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4">C61</f>
        <v>525000</v>
      </c>
      <c r="D122" s="376">
        <f t="shared" si="44"/>
        <v>530250</v>
      </c>
      <c r="E122" s="376">
        <f t="shared" si="44"/>
        <v>535552.5</v>
      </c>
      <c r="F122" s="376">
        <f t="shared" si="44"/>
        <v>540908.02500000002</v>
      </c>
      <c r="G122" s="376">
        <f t="shared" si="44"/>
        <v>546317.10525000002</v>
      </c>
      <c r="H122" s="376">
        <f t="shared" si="44"/>
        <v>551780.27630249993</v>
      </c>
      <c r="I122" s="376">
        <f t="shared" si="44"/>
        <v>557298.07906552509</v>
      </c>
      <c r="J122" s="376">
        <f t="shared" si="44"/>
        <v>562871.05985618022</v>
      </c>
      <c r="K122" s="376">
        <f t="shared" si="44"/>
        <v>568499.77045474213</v>
      </c>
      <c r="L122" s="376">
        <f t="shared" si="44"/>
        <v>574184.7681592895</v>
      </c>
      <c r="M122" s="376">
        <f t="shared" si="44"/>
        <v>579926.61584088241</v>
      </c>
      <c r="N122" s="376">
        <f t="shared" si="44"/>
        <v>585725.88199929113</v>
      </c>
      <c r="O122" s="376">
        <f t="shared" si="44"/>
        <v>591583.14081928413</v>
      </c>
      <c r="P122" s="376">
        <f t="shared" si="44"/>
        <v>597498.972227477</v>
      </c>
      <c r="Q122" s="376">
        <f t="shared" si="44"/>
        <v>603473.96194975183</v>
      </c>
      <c r="R122" s="376">
        <f t="shared" si="44"/>
        <v>609508.70156924927</v>
      </c>
      <c r="S122" s="376">
        <f t="shared" si="44"/>
        <v>615603.78858494177</v>
      </c>
      <c r="T122" s="376">
        <f t="shared" si="44"/>
        <v>621759.82647079125</v>
      </c>
      <c r="U122" s="376">
        <f t="shared" si="44"/>
        <v>627977.4247354992</v>
      </c>
      <c r="V122" s="376">
        <f t="shared" si="44"/>
        <v>634257.19898285414</v>
      </c>
      <c r="W122" s="376">
        <f t="shared" si="44"/>
        <v>640599.77097268275</v>
      </c>
      <c r="X122" s="376">
        <f t="shared" si="44"/>
        <v>647005.76868240954</v>
      </c>
      <c r="Y122" s="376">
        <f t="shared" si="44"/>
        <v>653475.82636923366</v>
      </c>
      <c r="Z122" s="376">
        <f t="shared" si="44"/>
        <v>660010.58463292604</v>
      </c>
      <c r="AA122" s="376">
        <f t="shared" si="44"/>
        <v>666610.69047925528</v>
      </c>
      <c r="AB122" s="376">
        <f t="shared" si="44"/>
        <v>673276.797384048</v>
      </c>
      <c r="AC122" s="376">
        <f t="shared" si="44"/>
        <v>680009.56535788847</v>
      </c>
      <c r="AD122" s="376">
        <f t="shared" si="44"/>
        <v>686809.66101146722</v>
      </c>
      <c r="AE122" s="376">
        <f t="shared" si="44"/>
        <v>693677.7576215819</v>
      </c>
      <c r="AF122" s="376">
        <f t="shared" si="44"/>
        <v>700614.5351977977</v>
      </c>
      <c r="AG122" s="376">
        <f t="shared" si="44"/>
        <v>707620.68054977572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103580</v>
      </c>
      <c r="D123" s="376">
        <f t="shared" si="45"/>
        <v>104160</v>
      </c>
      <c r="E123" s="376">
        <f t="shared" si="45"/>
        <v>104880</v>
      </c>
      <c r="F123" s="376">
        <f t="shared" si="45"/>
        <v>105760</v>
      </c>
      <c r="G123" s="376">
        <f t="shared" si="45"/>
        <v>106760</v>
      </c>
      <c r="H123" s="376">
        <f t="shared" si="45"/>
        <v>115900</v>
      </c>
      <c r="I123" s="376">
        <f t="shared" si="45"/>
        <v>117680</v>
      </c>
      <c r="J123" s="376">
        <f t="shared" si="45"/>
        <v>119560</v>
      </c>
      <c r="K123" s="376">
        <f t="shared" si="45"/>
        <v>121580</v>
      </c>
      <c r="L123" s="376">
        <f t="shared" si="45"/>
        <v>123700</v>
      </c>
      <c r="M123" s="376">
        <f t="shared" si="45"/>
        <v>125960</v>
      </c>
      <c r="N123" s="376">
        <f t="shared" si="45"/>
        <v>128340</v>
      </c>
      <c r="O123" s="376">
        <f t="shared" si="45"/>
        <v>130860</v>
      </c>
      <c r="P123" s="376">
        <f t="shared" si="45"/>
        <v>133500</v>
      </c>
      <c r="Q123" s="376">
        <f t="shared" si="45"/>
        <v>136260</v>
      </c>
      <c r="R123" s="376">
        <f t="shared" si="45"/>
        <v>139180</v>
      </c>
      <c r="S123" s="376">
        <f t="shared" si="45"/>
        <v>143020</v>
      </c>
      <c r="T123" s="376">
        <f t="shared" si="45"/>
        <v>146980</v>
      </c>
      <c r="U123" s="376">
        <f t="shared" si="45"/>
        <v>151060</v>
      </c>
      <c r="V123" s="376">
        <f t="shared" si="45"/>
        <v>155260</v>
      </c>
      <c r="W123" s="376">
        <f t="shared" si="45"/>
        <v>159580</v>
      </c>
      <c r="X123" s="376">
        <f t="shared" si="45"/>
        <v>164020</v>
      </c>
      <c r="Y123" s="376">
        <f t="shared" si="45"/>
        <v>168600</v>
      </c>
      <c r="Z123" s="376">
        <f t="shared" si="45"/>
        <v>173320</v>
      </c>
      <c r="AA123" s="376">
        <f t="shared" si="45"/>
        <v>178160</v>
      </c>
      <c r="AB123" s="376">
        <f t="shared" si="45"/>
        <v>183140</v>
      </c>
      <c r="AC123" s="376">
        <f t="shared" si="45"/>
        <v>188280</v>
      </c>
      <c r="AD123" s="376">
        <f t="shared" si="45"/>
        <v>193580</v>
      </c>
      <c r="AE123" s="376">
        <f t="shared" si="45"/>
        <v>199020</v>
      </c>
      <c r="AF123" s="376">
        <f t="shared" si="45"/>
        <v>204620</v>
      </c>
      <c r="AG123" s="376">
        <f t="shared" si="45"/>
        <v>210380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15.130810056444046</v>
      </c>
      <c r="D125" s="379">
        <f t="shared" si="46"/>
        <v>15.215535580992581</v>
      </c>
      <c r="E125" s="379">
        <f t="shared" si="46"/>
        <v>15.32071209422525</v>
      </c>
      <c r="F125" s="379">
        <f t="shared" si="46"/>
        <v>15.449261165954065</v>
      </c>
      <c r="G125" s="379">
        <f t="shared" si="46"/>
        <v>15.595339656554994</v>
      </c>
      <c r="H125" s="379">
        <f t="shared" si="46"/>
        <v>16.930497060647472</v>
      </c>
      <c r="I125" s="379">
        <f t="shared" si="46"/>
        <v>17.190516773917118</v>
      </c>
      <c r="J125" s="379">
        <f t="shared" si="46"/>
        <v>17.465144336246862</v>
      </c>
      <c r="K125" s="379">
        <f t="shared" si="46"/>
        <v>17.760222887260735</v>
      </c>
      <c r="L125" s="379">
        <f t="shared" si="46"/>
        <v>18.069909287334703</v>
      </c>
      <c r="M125" s="379">
        <f t="shared" si="46"/>
        <v>18.400046676092796</v>
      </c>
      <c r="N125" s="379">
        <f t="shared" si="46"/>
        <v>18.747713483723</v>
      </c>
      <c r="O125" s="379">
        <f t="shared" si="46"/>
        <v>19.115831280037337</v>
      </c>
      <c r="P125" s="379">
        <f t="shared" si="46"/>
        <v>19.501478495223786</v>
      </c>
      <c r="Q125" s="379">
        <f t="shared" si="46"/>
        <v>19.904655129282343</v>
      </c>
      <c r="R125" s="379">
        <f t="shared" si="46"/>
        <v>20.331204321837056</v>
      </c>
      <c r="S125" s="379">
        <f t="shared" si="46"/>
        <v>20.892145725744616</v>
      </c>
      <c r="T125" s="379">
        <f t="shared" si="46"/>
        <v>21.470616548524287</v>
      </c>
      <c r="U125" s="379">
        <f t="shared" si="46"/>
        <v>22.066616790176067</v>
      </c>
      <c r="V125" s="379">
        <f t="shared" si="46"/>
        <v>22.680146450699961</v>
      </c>
      <c r="W125" s="379">
        <f t="shared" si="46"/>
        <v>23.311205530095968</v>
      </c>
      <c r="X125" s="379">
        <f t="shared" si="46"/>
        <v>23.959794028364087</v>
      </c>
      <c r="Y125" s="379">
        <f t="shared" si="46"/>
        <v>24.628833515316334</v>
      </c>
      <c r="Z125" s="379">
        <f t="shared" si="46"/>
        <v>25.31832399095271</v>
      </c>
      <c r="AA125" s="379">
        <f t="shared" si="46"/>
        <v>26.025343885461197</v>
      </c>
      <c r="AB125" s="379">
        <f t="shared" si="46"/>
        <v>26.752814768653817</v>
      </c>
      <c r="AC125" s="379">
        <f t="shared" si="46"/>
        <v>27.503658210342586</v>
      </c>
      <c r="AD125" s="379">
        <f t="shared" si="46"/>
        <v>28.277874210527497</v>
      </c>
      <c r="AE125" s="379">
        <f t="shared" si="46"/>
        <v>29.072541199396543</v>
      </c>
      <c r="AF125" s="379">
        <f t="shared" si="46"/>
        <v>29.890580746761735</v>
      </c>
      <c r="AG125" s="379">
        <f t="shared" si="46"/>
        <v>30.731992852623073</v>
      </c>
    </row>
    <row r="126" spans="1:34">
      <c r="A126" s="300" t="s">
        <v>321</v>
      </c>
      <c r="B126" s="300" t="s">
        <v>300</v>
      </c>
      <c r="C126" s="379">
        <f t="shared" si="46"/>
        <v>51.170212765957444</v>
      </c>
      <c r="D126" s="379">
        <f t="shared" si="46"/>
        <v>50.695035460992912</v>
      </c>
      <c r="E126" s="379">
        <f t="shared" si="46"/>
        <v>50.267269503546096</v>
      </c>
      <c r="F126" s="379">
        <f t="shared" si="46"/>
        <v>49.885857801418439</v>
      </c>
      <c r="G126" s="379">
        <f t="shared" si="46"/>
        <v>49.54979419503546</v>
      </c>
      <c r="H126" s="379">
        <f t="shared" si="46"/>
        <v>49.258121837269506</v>
      </c>
      <c r="I126" s="379">
        <f t="shared" si="46"/>
        <v>46.324473223331914</v>
      </c>
      <c r="J126" s="379">
        <f t="shared" si="46"/>
        <v>44.780499457768499</v>
      </c>
      <c r="K126" s="379">
        <f t="shared" si="46"/>
        <v>43.287879187509411</v>
      </c>
      <c r="L126" s="379">
        <f t="shared" si="46"/>
        <v>41.844674328952756</v>
      </c>
      <c r="M126" s="379">
        <f t="shared" si="46"/>
        <v>40.449027192337951</v>
      </c>
      <c r="N126" s="379">
        <f t="shared" si="46"/>
        <v>39.099156931331798</v>
      </c>
      <c r="O126" s="379">
        <f t="shared" si="46"/>
        <v>37.793356155716836</v>
      </c>
      <c r="P126" s="379">
        <f t="shared" si="46"/>
        <v>36.529987699500786</v>
      </c>
      <c r="Q126" s="379">
        <f t="shared" si="46"/>
        <v>35.307481537133278</v>
      </c>
      <c r="R126" s="379">
        <f t="shared" si="46"/>
        <v>34.124331840866084</v>
      </c>
      <c r="S126" s="379">
        <f t="shared" si="46"/>
        <v>31.506426109016743</v>
      </c>
      <c r="T126" s="379">
        <f t="shared" si="46"/>
        <v>30.611820355995764</v>
      </c>
      <c r="U126" s="379">
        <f t="shared" si="46"/>
        <v>29.749050741738117</v>
      </c>
      <c r="V126" s="379">
        <f t="shared" si="46"/>
        <v>28.91674126591456</v>
      </c>
      <c r="W126" s="379">
        <f t="shared" si="46"/>
        <v>28.113579964192621</v>
      </c>
      <c r="X126" s="379">
        <f t="shared" si="46"/>
        <v>27.338315832255567</v>
      </c>
      <c r="Y126" s="379">
        <f t="shared" si="46"/>
        <v>26.589755900016886</v>
      </c>
      <c r="Z126" s="379">
        <f t="shared" si="46"/>
        <v>25.866762448626872</v>
      </c>
      <c r="AA126" s="379">
        <f t="shared" si="46"/>
        <v>25.168250363234947</v>
      </c>
      <c r="AB126" s="379">
        <f t="shared" si="46"/>
        <v>24.493184614820137</v>
      </c>
      <c r="AC126" s="379">
        <f t="shared" si="46"/>
        <v>23.670192070444543</v>
      </c>
      <c r="AD126" s="379">
        <f t="shared" si="46"/>
        <v>23.751769900000838</v>
      </c>
      <c r="AE126" s="379">
        <f t="shared" si="46"/>
        <v>23.861062191186889</v>
      </c>
      <c r="AF126" s="379">
        <f t="shared" si="46"/>
        <v>23.997623667573514</v>
      </c>
      <c r="AG126" s="379">
        <f t="shared" si="46"/>
        <v>24.161051915462782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18.381066666666666</v>
      </c>
      <c r="D127" s="379">
        <f t="shared" si="47"/>
        <v>18.885466666666666</v>
      </c>
      <c r="E127" s="379">
        <f t="shared" si="47"/>
        <v>19.412166666666668</v>
      </c>
      <c r="F127" s="379">
        <f t="shared" si="47"/>
        <v>19.961696333333336</v>
      </c>
      <c r="G127" s="379">
        <f t="shared" si="47"/>
        <v>20.533795643333335</v>
      </c>
      <c r="H127" s="379">
        <f t="shared" si="47"/>
        <v>21.235681960300003</v>
      </c>
      <c r="I127" s="379">
        <f t="shared" si="47"/>
        <v>21.860983794857667</v>
      </c>
      <c r="J127" s="379">
        <f t="shared" si="47"/>
        <v>22.50947458169243</v>
      </c>
      <c r="K127" s="379">
        <f t="shared" si="47"/>
        <v>23.182006474350988</v>
      </c>
      <c r="L127" s="379">
        <f t="shared" si="47"/>
        <v>23.891710825143132</v>
      </c>
      <c r="M127" s="379">
        <f t="shared" si="47"/>
        <v>24.626132017551811</v>
      </c>
      <c r="N127" s="379">
        <f t="shared" si="47"/>
        <v>25.385361318584195</v>
      </c>
      <c r="O127" s="379">
        <f t="shared" si="47"/>
        <v>26.183370751861183</v>
      </c>
      <c r="P127" s="379">
        <f t="shared" si="47"/>
        <v>27.006946992274585</v>
      </c>
      <c r="Q127" s="379">
        <f t="shared" si="47"/>
        <v>27.869825283074579</v>
      </c>
      <c r="R127" s="379">
        <f t="shared" si="47"/>
        <v>28.759623376284324</v>
      </c>
      <c r="S127" s="379">
        <f t="shared" si="47"/>
        <v>29.700242164041324</v>
      </c>
      <c r="T127" s="379">
        <f t="shared" si="47"/>
        <v>30.681466335169009</v>
      </c>
      <c r="U127" s="379">
        <f t="shared" si="47"/>
        <v>31.703765057987454</v>
      </c>
      <c r="V127" s="379">
        <f t="shared" si="47"/>
        <v>32.767626023746082</v>
      </c>
      <c r="W127" s="379">
        <f t="shared" si="47"/>
        <v>33.873556185102785</v>
      </c>
      <c r="X127" s="379">
        <f t="shared" si="47"/>
        <v>35.022082524117828</v>
      </c>
      <c r="Y127" s="379">
        <f t="shared" si="47"/>
        <v>36.214019517609579</v>
      </c>
      <c r="Z127" s="379">
        <f t="shared" si="47"/>
        <v>37.449936634432937</v>
      </c>
      <c r="AA127" s="379">
        <f t="shared" si="47"/>
        <v>38.743492532623748</v>
      </c>
      <c r="AB127" s="379">
        <f t="shared" si="47"/>
        <v>40.082235957736991</v>
      </c>
      <c r="AC127" s="379">
        <f t="shared" si="47"/>
        <v>41.480406677092859</v>
      </c>
      <c r="AD127" s="379">
        <f t="shared" si="47"/>
        <v>42.925336451366746</v>
      </c>
      <c r="AE127" s="379">
        <f t="shared" si="47"/>
        <v>44.430783378350164</v>
      </c>
      <c r="AF127" s="379">
        <f t="shared" si="47"/>
        <v>45.997732943768874</v>
      </c>
      <c r="AG127" s="379">
        <f t="shared" si="47"/>
        <v>47.62693244744051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2.4661904761904765</v>
      </c>
      <c r="D128" s="379">
        <f t="shared" si="48"/>
        <v>2.4800000000000004</v>
      </c>
      <c r="E128" s="379">
        <f t="shared" si="48"/>
        <v>2.4971428571428578</v>
      </c>
      <c r="F128" s="379">
        <f t="shared" si="48"/>
        <v>2.5180952380952384</v>
      </c>
      <c r="G128" s="379">
        <f t="shared" si="48"/>
        <v>2.5419047619047626</v>
      </c>
      <c r="H128" s="379">
        <f t="shared" si="48"/>
        <v>2.7595238095238099</v>
      </c>
      <c r="I128" s="379">
        <f t="shared" si="48"/>
        <v>2.8019047619047623</v>
      </c>
      <c r="J128" s="379">
        <f t="shared" si="48"/>
        <v>2.8466666666666671</v>
      </c>
      <c r="K128" s="379">
        <f t="shared" si="48"/>
        <v>2.8947619047619053</v>
      </c>
      <c r="L128" s="379">
        <f t="shared" si="48"/>
        <v>2.9452380952380959</v>
      </c>
      <c r="M128" s="379">
        <f t="shared" si="48"/>
        <v>2.9990476190476199</v>
      </c>
      <c r="N128" s="379">
        <f t="shared" si="48"/>
        <v>4.2780000000000005</v>
      </c>
      <c r="O128" s="379">
        <f t="shared" si="48"/>
        <v>4.362000000000001</v>
      </c>
      <c r="P128" s="379">
        <f t="shared" si="48"/>
        <v>4.4500000000000011</v>
      </c>
      <c r="Q128" s="379">
        <f t="shared" si="48"/>
        <v>4.5420000000000007</v>
      </c>
      <c r="R128" s="379">
        <f t="shared" si="48"/>
        <v>4.639333333333334</v>
      </c>
      <c r="S128" s="379">
        <f t="shared" si="48"/>
        <v>4.7673333333333341</v>
      </c>
      <c r="T128" s="379">
        <f t="shared" si="48"/>
        <v>4.8993333333333347</v>
      </c>
      <c r="U128" s="379">
        <f t="shared" si="48"/>
        <v>5.0353333333333339</v>
      </c>
      <c r="V128" s="379">
        <f t="shared" si="48"/>
        <v>5.1753333333333345</v>
      </c>
      <c r="W128" s="379">
        <f t="shared" si="48"/>
        <v>5.3193333333333355</v>
      </c>
      <c r="X128" s="379">
        <f t="shared" si="48"/>
        <v>6.2483809523809528</v>
      </c>
      <c r="Y128" s="379">
        <f t="shared" si="48"/>
        <v>6.4228571428571426</v>
      </c>
      <c r="Z128" s="379">
        <f t="shared" si="48"/>
        <v>6.6026666666666669</v>
      </c>
      <c r="AA128" s="379">
        <f t="shared" si="48"/>
        <v>6.7870476190476188</v>
      </c>
      <c r="AB128" s="379">
        <f t="shared" si="48"/>
        <v>6.9767619047619052</v>
      </c>
      <c r="AC128" s="379">
        <f t="shared" si="48"/>
        <v>7.1725714285714286</v>
      </c>
      <c r="AD128" s="379">
        <f t="shared" si="48"/>
        <v>7.3744761904761909</v>
      </c>
      <c r="AE128" s="379">
        <f t="shared" si="48"/>
        <v>7.5817142857142859</v>
      </c>
      <c r="AF128" s="379">
        <f t="shared" si="48"/>
        <v>7.7950476190476188</v>
      </c>
      <c r="AG128" s="379">
        <f t="shared" si="48"/>
        <v>8.0144761904761896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82.215899012877685</v>
      </c>
      <c r="D129" s="384">
        <f t="shared" ref="D129:AG129" si="49">SUM(D125:D127)-D128</f>
        <v>82.316037708652161</v>
      </c>
      <c r="E129" s="384">
        <f t="shared" si="49"/>
        <v>82.503005407295149</v>
      </c>
      <c r="F129" s="384">
        <f t="shared" si="49"/>
        <v>82.778720062610603</v>
      </c>
      <c r="G129" s="384">
        <f t="shared" si="49"/>
        <v>83.137024733019032</v>
      </c>
      <c r="H129" s="384">
        <f t="shared" si="49"/>
        <v>84.664777048693168</v>
      </c>
      <c r="I129" s="384">
        <f t="shared" si="49"/>
        <v>82.574069030201926</v>
      </c>
      <c r="J129" s="384">
        <f t="shared" si="49"/>
        <v>81.908451709041131</v>
      </c>
      <c r="K129" s="384">
        <f t="shared" si="49"/>
        <v>81.33534664435922</v>
      </c>
      <c r="L129" s="384">
        <f t="shared" si="49"/>
        <v>80.861056346192498</v>
      </c>
      <c r="M129" s="384">
        <f t="shared" si="49"/>
        <v>80.476158266934945</v>
      </c>
      <c r="N129" s="384">
        <f t="shared" si="49"/>
        <v>78.954231733638991</v>
      </c>
      <c r="O129" s="384">
        <f t="shared" si="49"/>
        <v>78.730558187615372</v>
      </c>
      <c r="P129" s="384">
        <f t="shared" si="49"/>
        <v>78.588413186999148</v>
      </c>
      <c r="Q129" s="384">
        <f t="shared" si="49"/>
        <v>78.539961949490191</v>
      </c>
      <c r="R129" s="384">
        <f t="shared" si="49"/>
        <v>78.575826205654124</v>
      </c>
      <c r="S129" s="384">
        <f t="shared" si="49"/>
        <v>77.331480665469343</v>
      </c>
      <c r="T129" s="384">
        <f t="shared" si="49"/>
        <v>77.864569906355726</v>
      </c>
      <c r="U129" s="384">
        <f t="shared" si="49"/>
        <v>78.4840992565683</v>
      </c>
      <c r="V129" s="384">
        <f t="shared" si="49"/>
        <v>79.189180407027266</v>
      </c>
      <c r="W129" s="384">
        <f t="shared" si="49"/>
        <v>79.979008346058038</v>
      </c>
      <c r="X129" s="384">
        <f t="shared" si="49"/>
        <v>80.071811432356526</v>
      </c>
      <c r="Y129" s="384">
        <f t="shared" si="49"/>
        <v>81.009751790085659</v>
      </c>
      <c r="Z129" s="384">
        <f t="shared" si="49"/>
        <v>82.032356407345844</v>
      </c>
      <c r="AA129" s="384">
        <f t="shared" si="49"/>
        <v>83.150039162272279</v>
      </c>
      <c r="AB129" s="384">
        <f t="shared" si="49"/>
        <v>84.351473436449055</v>
      </c>
      <c r="AC129" s="384">
        <f t="shared" si="49"/>
        <v>85.481685529308564</v>
      </c>
      <c r="AD129" s="384">
        <f t="shared" si="49"/>
        <v>87.580504371418897</v>
      </c>
      <c r="AE129" s="384">
        <f t="shared" si="49"/>
        <v>89.782672483219315</v>
      </c>
      <c r="AF129" s="384">
        <f t="shared" si="49"/>
        <v>92.090889739056493</v>
      </c>
      <c r="AG129" s="384">
        <f t="shared" si="49"/>
        <v>94.505501025050179</v>
      </c>
    </row>
    <row r="130" spans="1:34" s="344" customFormat="1">
      <c r="A130" s="342" t="s">
        <v>182</v>
      </c>
      <c r="B130" s="342"/>
      <c r="H130" s="385">
        <f>H132/H63</f>
        <v>1.8137490707132549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year'!C131)/1000,0)*1000</f>
        <v>8763000</v>
      </c>
      <c r="D132" s="376">
        <f>ROUND(('Changing with year'!D131)/1000,0)*1000</f>
        <v>8718000</v>
      </c>
      <c r="E132" s="376">
        <f>ROUND(('Changing with year'!E131)/1000,0)*1000</f>
        <v>8680000</v>
      </c>
      <c r="F132" s="376">
        <f>ROUND(('Changing with year'!F131)/1000,0)*1000</f>
        <v>8470000</v>
      </c>
      <c r="G132" s="376">
        <f>ROUND(('Changing with year'!G131)/1000,0)*1000</f>
        <v>8275000</v>
      </c>
      <c r="H132" s="376">
        <f>ROUND(('Changing with year'!H131)/1000,0)*1000</f>
        <v>8295000</v>
      </c>
      <c r="I132" s="376">
        <f>ROUND(('Changing with year'!I131)/1000,0)*1000</f>
        <v>8150000</v>
      </c>
      <c r="J132" s="376">
        <f>ROUND(('Changing with year'!J131)/1000,0)*1000</f>
        <v>8190000</v>
      </c>
      <c r="K132" s="376">
        <f>ROUND(('Changing with year'!K131)/1000,0)*1000</f>
        <v>8235000</v>
      </c>
      <c r="L132" s="376">
        <f>ROUND(('Changing with year'!L131)/1000,0)*1000</f>
        <v>8286000</v>
      </c>
      <c r="M132" s="376">
        <f>ROUND(('Changing with year'!M131)/1000,0)*1000</f>
        <v>8343000</v>
      </c>
      <c r="N132" s="376">
        <f>ROUND(('Changing with year'!N131)/1000,0)*1000</f>
        <v>8407000</v>
      </c>
      <c r="O132" s="376">
        <f>ROUND(('Changing with year'!O131)/1000,0)*1000</f>
        <v>8476000</v>
      </c>
      <c r="P132" s="376">
        <f>ROUND(('Changing with year'!P131)/1000,0)*1000</f>
        <v>8552000</v>
      </c>
      <c r="Q132" s="376">
        <f>ROUND(('Changing with year'!Q131)/1000,0)*1000</f>
        <v>8635000</v>
      </c>
      <c r="R132" s="376">
        <f>ROUND(('Changing with year'!R131)/1000,0)*1000</f>
        <v>8724000</v>
      </c>
      <c r="S132" s="376">
        <f>ROUND(('Changing with year'!S131)/1000,0)*1000</f>
        <v>8740000</v>
      </c>
      <c r="T132" s="376">
        <f>ROUND(('Changing with year'!T131)/1000,0)*1000</f>
        <v>8903000</v>
      </c>
      <c r="U132" s="376">
        <f>ROUND(('Changing with year'!U131)/1000,0)*1000</f>
        <v>9072000</v>
      </c>
      <c r="V132" s="376">
        <f>ROUND(('Changing with year'!V131)/1000,0)*1000</f>
        <v>9247000</v>
      </c>
      <c r="W132" s="376">
        <f>ROUND(('Changing with year'!W131)/1000,0)*1000</f>
        <v>9427000</v>
      </c>
      <c r="X132" s="376">
        <f>ROUND(('Changing with year'!X131)/1000,0)*1000</f>
        <v>9614000</v>
      </c>
      <c r="Y132" s="376">
        <f>ROUND(('Changing with year'!Y131)/1000,0)*1000</f>
        <v>9807000</v>
      </c>
      <c r="Z132" s="376">
        <f>ROUND(('Changing with year'!Z131)/1000,0)*1000</f>
        <v>10007000</v>
      </c>
      <c r="AA132" s="376">
        <f>ROUND(('Changing with year'!AA131)/1000,0)*1000</f>
        <v>10214000</v>
      </c>
      <c r="AB132" s="376">
        <f>ROUND(('Changing with year'!AB131)/1000,0)*1000</f>
        <v>10427000</v>
      </c>
      <c r="AC132" s="376">
        <f>ROUND(('Changing with year'!AC131)/1000,0)*1000</f>
        <v>10688000</v>
      </c>
      <c r="AD132" s="376">
        <f>ROUND(('Changing with year'!AD131)/1000,0)*1000</f>
        <v>10956000</v>
      </c>
      <c r="AE132" s="376">
        <f>ROUND(('Changing with year'!AE131)/1000,0)*1000</f>
        <v>11232000</v>
      </c>
      <c r="AF132" s="376">
        <f>ROUND(('Changing with year'!AF131)/1000,0)*1000</f>
        <v>11516000</v>
      </c>
      <c r="AG132" s="376">
        <f>ROUND(('Changing with year'!AG131)/1000,0)*1000</f>
        <v>11807000</v>
      </c>
    </row>
    <row r="133" spans="1:34">
      <c r="A133" s="368" t="s">
        <v>310</v>
      </c>
      <c r="B133" s="300" t="s">
        <v>309</v>
      </c>
      <c r="C133" s="376">
        <f>(C132*'No change with year'!$AK$16)</f>
        <v>1752600.0000000007</v>
      </c>
      <c r="D133" s="376">
        <f>(D132*'No change with year'!$AK$16)</f>
        <v>1743600.0000000005</v>
      </c>
      <c r="E133" s="376">
        <f>(E132*'No change with year'!$AK$16)</f>
        <v>1736000.0000000005</v>
      </c>
      <c r="F133" s="376">
        <f>(F132*'No change with year'!$AK$16)</f>
        <v>1694000.0000000005</v>
      </c>
      <c r="G133" s="376">
        <f>(G132*'No change with year'!$AK$16)</f>
        <v>1655000.0000000005</v>
      </c>
      <c r="H133" s="376">
        <f>(H132*'No change with year'!$AK$16)</f>
        <v>1659000.0000000005</v>
      </c>
      <c r="I133" s="376">
        <f>(I132*'No change with year'!$AK$16)</f>
        <v>1630000.0000000005</v>
      </c>
      <c r="J133" s="376">
        <f>(J132*'No change with year'!$AK$16)</f>
        <v>1638000.0000000005</v>
      </c>
      <c r="K133" s="376">
        <f>(K132*'No change with year'!$AK$16)</f>
        <v>1647000.0000000005</v>
      </c>
      <c r="L133" s="376">
        <f>(L132*'No change with year'!$AK$16)</f>
        <v>1657200.0000000005</v>
      </c>
      <c r="M133" s="376">
        <f>(M132*'No change with year'!$AK$16)</f>
        <v>1668600.0000000005</v>
      </c>
      <c r="N133" s="376">
        <f>(N132*'No change with year'!$AL$16)</f>
        <v>2522100.0000000005</v>
      </c>
      <c r="O133" s="376">
        <f>(O132*'No change with year'!$AL$16)</f>
        <v>2542800.0000000005</v>
      </c>
      <c r="P133" s="376">
        <f>(P132*'No change with year'!$AL$16)</f>
        <v>2565600.0000000005</v>
      </c>
      <c r="Q133" s="376">
        <f>(Q132*'No change with year'!$AL$16)</f>
        <v>2590500.0000000005</v>
      </c>
      <c r="R133" s="376">
        <f>(R132*'No change with year'!$AL$16)</f>
        <v>2617200.0000000005</v>
      </c>
      <c r="S133" s="376">
        <f>(S132*'No change with year'!$AL$16)</f>
        <v>2622000.0000000005</v>
      </c>
      <c r="T133" s="376">
        <f>(T132*'No change with year'!$AL$16)</f>
        <v>2670900.0000000005</v>
      </c>
      <c r="U133" s="376">
        <f>(U132*'No change with year'!$AL$16)</f>
        <v>2721600.0000000005</v>
      </c>
      <c r="V133" s="376">
        <f>(V132*'No change with year'!$AL$16)</f>
        <v>2774100.0000000005</v>
      </c>
      <c r="W133" s="376">
        <f>(W132*'No change with year'!$AL$16)</f>
        <v>2828100.0000000005</v>
      </c>
      <c r="X133" s="376">
        <f>(X132*'No change with year'!$AM$16)</f>
        <v>3845600</v>
      </c>
      <c r="Y133" s="376">
        <f>(Y132*'No change with year'!$AM$16)</f>
        <v>3922800</v>
      </c>
      <c r="Z133" s="376">
        <f>(Z132*'No change with year'!$AM$16)</f>
        <v>4002800</v>
      </c>
      <c r="AA133" s="376">
        <f>(AA132*'No change with year'!$AM$16)</f>
        <v>4085600</v>
      </c>
      <c r="AB133" s="376">
        <f>(AB132*'No change with year'!$AM$16)</f>
        <v>4170800</v>
      </c>
      <c r="AC133" s="376">
        <f>(AC132*'No change with year'!$AM$16)</f>
        <v>4275200</v>
      </c>
      <c r="AD133" s="376">
        <f>(AD132*'No change with year'!$AM$16)</f>
        <v>4382400</v>
      </c>
      <c r="AE133" s="376">
        <f>(AE132*'No change with year'!$AM$16)</f>
        <v>4492800</v>
      </c>
      <c r="AF133" s="376">
        <f>(AF132*'No change with year'!$AM$16)</f>
        <v>4606400</v>
      </c>
      <c r="AG133" s="376">
        <f>(AG132*'No change with year'!$AM$16)</f>
        <v>4722800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1920128.7197038883</v>
      </c>
      <c r="D135" s="376">
        <f t="shared" ref="D135:AG135" si="51">-PMT($C$28,$C$27,D132)</f>
        <v>1910268.4215883256</v>
      </c>
      <c r="E135" s="376">
        <f t="shared" si="51"/>
        <v>1901941.9476240729</v>
      </c>
      <c r="F135" s="376">
        <f t="shared" si="51"/>
        <v>1855927.2230847806</v>
      </c>
      <c r="G135" s="376">
        <f t="shared" si="51"/>
        <v>1813199.2645840095</v>
      </c>
      <c r="H135" s="376">
        <f t="shared" si="51"/>
        <v>1817581.6193020374</v>
      </c>
      <c r="I135" s="376">
        <f t="shared" si="51"/>
        <v>1785809.5475963356</v>
      </c>
      <c r="J135" s="376">
        <f t="shared" si="51"/>
        <v>1794574.2570323911</v>
      </c>
      <c r="K135" s="376">
        <f t="shared" si="51"/>
        <v>1804434.555147954</v>
      </c>
      <c r="L135" s="376">
        <f t="shared" si="51"/>
        <v>1815609.5596789247</v>
      </c>
      <c r="M135" s="376">
        <f t="shared" si="51"/>
        <v>1828099.270625304</v>
      </c>
      <c r="N135" s="376">
        <f t="shared" si="51"/>
        <v>1842122.8057229931</v>
      </c>
      <c r="O135" s="376">
        <f t="shared" si="51"/>
        <v>1857241.9295001891</v>
      </c>
      <c r="P135" s="376">
        <f t="shared" si="51"/>
        <v>1873894.8774286949</v>
      </c>
      <c r="Q135" s="376">
        <f t="shared" si="51"/>
        <v>1892081.6495085103</v>
      </c>
      <c r="R135" s="376">
        <f t="shared" si="51"/>
        <v>1911583.1280037342</v>
      </c>
      <c r="S135" s="376">
        <f t="shared" si="51"/>
        <v>1915089.0117781563</v>
      </c>
      <c r="T135" s="376">
        <f t="shared" si="51"/>
        <v>1950805.2027300829</v>
      </c>
      <c r="U135" s="376">
        <f t="shared" si="51"/>
        <v>1987836.1000974181</v>
      </c>
      <c r="V135" s="376">
        <f t="shared" si="51"/>
        <v>2026181.7038801613</v>
      </c>
      <c r="W135" s="376">
        <f t="shared" si="51"/>
        <v>2065622.8963424116</v>
      </c>
      <c r="X135" s="376">
        <f t="shared" si="51"/>
        <v>2106597.9129559719</v>
      </c>
      <c r="Y135" s="376">
        <f t="shared" si="51"/>
        <v>2148887.6359849405</v>
      </c>
      <c r="Z135" s="376">
        <f t="shared" si="51"/>
        <v>2192711.1831652187</v>
      </c>
      <c r="AA135" s="376">
        <f t="shared" si="51"/>
        <v>2238068.5544968066</v>
      </c>
      <c r="AB135" s="376">
        <f t="shared" si="51"/>
        <v>2284740.6322438028</v>
      </c>
      <c r="AC135" s="376">
        <f t="shared" si="51"/>
        <v>2341930.3613140658</v>
      </c>
      <c r="AD135" s="376">
        <f t="shared" si="51"/>
        <v>2400653.9145356384</v>
      </c>
      <c r="AE135" s="376">
        <f t="shared" si="51"/>
        <v>2461130.4096444226</v>
      </c>
      <c r="AF135" s="376">
        <f t="shared" si="51"/>
        <v>2523359.8466404174</v>
      </c>
      <c r="AG135" s="376">
        <f t="shared" si="51"/>
        <v>2587123.1077877218</v>
      </c>
    </row>
    <row r="136" spans="1:34">
      <c r="A136" s="300" t="s">
        <v>330</v>
      </c>
      <c r="B136" s="300" t="s">
        <v>313</v>
      </c>
      <c r="C136" s="376">
        <f t="shared" ref="C136:AG136" si="52">$G$37*C51</f>
        <v>939475.51381401613</v>
      </c>
      <c r="D136" s="376">
        <f t="shared" si="52"/>
        <v>951288.01381401613</v>
      </c>
      <c r="E136" s="376">
        <f t="shared" si="52"/>
        <v>956269.47911437275</v>
      </c>
      <c r="F136" s="376">
        <f t="shared" si="52"/>
        <v>955891.2683376749</v>
      </c>
      <c r="G136" s="376">
        <f t="shared" si="52"/>
        <v>947295.26029611193</v>
      </c>
      <c r="H136" s="376">
        <f t="shared" si="52"/>
        <v>954268.64012505021</v>
      </c>
      <c r="I136" s="376">
        <f t="shared" si="52"/>
        <v>827886.21429712221</v>
      </c>
      <c r="J136" s="376">
        <f t="shared" si="52"/>
        <v>807295.32816865633</v>
      </c>
      <c r="K136" s="376">
        <f t="shared" si="52"/>
        <v>772738.77076276892</v>
      </c>
      <c r="L136" s="376">
        <f t="shared" si="52"/>
        <v>743596.95559279469</v>
      </c>
      <c r="M136" s="376">
        <f t="shared" si="52"/>
        <v>720618.98477386171</v>
      </c>
      <c r="N136" s="376">
        <f t="shared" si="52"/>
        <v>712694.33378422761</v>
      </c>
      <c r="O136" s="376">
        <f t="shared" si="52"/>
        <v>705262.68775224825</v>
      </c>
      <c r="P136" s="376">
        <f t="shared" si="52"/>
        <v>695775.22189017641</v>
      </c>
      <c r="Q136" s="376">
        <f t="shared" si="52"/>
        <v>689288.53451938659</v>
      </c>
      <c r="R136" s="376">
        <f t="shared" si="52"/>
        <v>686435.40311071661</v>
      </c>
      <c r="S136" s="376">
        <f t="shared" si="52"/>
        <v>686792.50334766903</v>
      </c>
      <c r="T136" s="376">
        <f t="shared" si="52"/>
        <v>690312.1497695198</v>
      </c>
      <c r="U136" s="376">
        <f t="shared" si="52"/>
        <v>691551.33502018126</v>
      </c>
      <c r="V136" s="376">
        <f t="shared" si="52"/>
        <v>693274.88047660887</v>
      </c>
      <c r="W136" s="376">
        <f t="shared" si="52"/>
        <v>695565.55778409448</v>
      </c>
      <c r="X136" s="376">
        <f t="shared" si="52"/>
        <v>698404.40365162701</v>
      </c>
      <c r="Y136" s="376">
        <f t="shared" si="52"/>
        <v>701768.60545092402</v>
      </c>
      <c r="Z136" s="376">
        <f t="shared" si="52"/>
        <v>705747.65015755291</v>
      </c>
      <c r="AA136" s="376">
        <f t="shared" si="52"/>
        <v>710440.26215451863</v>
      </c>
      <c r="AB136" s="376">
        <f t="shared" si="52"/>
        <v>715769.33199914324</v>
      </c>
      <c r="AC136" s="376">
        <f t="shared" si="52"/>
        <v>734895.62582355272</v>
      </c>
      <c r="AD136" s="376">
        <f t="shared" si="52"/>
        <v>758367.11123164243</v>
      </c>
      <c r="AE136" s="376">
        <f t="shared" si="52"/>
        <v>782698.87993096595</v>
      </c>
      <c r="AF136" s="376">
        <f t="shared" si="52"/>
        <v>808212.52447063534</v>
      </c>
      <c r="AG136" s="376">
        <f t="shared" si="52"/>
        <v>835050.98217249464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482634.39793892717</v>
      </c>
      <c r="D137" s="376">
        <f t="shared" si="53"/>
        <v>483731.037990454</v>
      </c>
      <c r="E137" s="376">
        <f t="shared" si="53"/>
        <v>485326.76204069267</v>
      </c>
      <c r="F137" s="376">
        <f t="shared" si="53"/>
        <v>487430.15298967535</v>
      </c>
      <c r="G137" s="376">
        <f t="shared" si="53"/>
        <v>490050.42156493349</v>
      </c>
      <c r="H137" s="376">
        <f t="shared" si="53"/>
        <v>493197.42432181019</v>
      </c>
      <c r="I137" s="376">
        <f t="shared" si="53"/>
        <v>498115.80859953398</v>
      </c>
      <c r="J137" s="376">
        <f t="shared" si="53"/>
        <v>503527.11850226967</v>
      </c>
      <c r="K137" s="376">
        <f t="shared" si="53"/>
        <v>509445.14724993979</v>
      </c>
      <c r="L137" s="376">
        <f t="shared" si="53"/>
        <v>515884.35826736514</v>
      </c>
      <c r="M137" s="376">
        <f t="shared" si="53"/>
        <v>522859.9096229389</v>
      </c>
      <c r="N137" s="376">
        <f t="shared" si="53"/>
        <v>530387.67949223798</v>
      </c>
      <c r="O137" s="376">
        <f t="shared" si="53"/>
        <v>538484.29268662143</v>
      </c>
      <c r="P137" s="376">
        <f t="shared" si="53"/>
        <v>547167.14828848641</v>
      </c>
      <c r="Q137" s="376">
        <f t="shared" si="53"/>
        <v>556454.44843653787</v>
      </c>
      <c r="R137" s="376">
        <f t="shared" si="53"/>
        <v>566365.22830618126</v>
      </c>
      <c r="S137" s="376">
        <f t="shared" si="53"/>
        <v>578936.12901637703</v>
      </c>
      <c r="T137" s="376">
        <f t="shared" si="53"/>
        <v>592110.70283920108</v>
      </c>
      <c r="U137" s="376">
        <f t="shared" si="53"/>
        <v>605912.08832831634</v>
      </c>
      <c r="V137" s="376">
        <f t="shared" si="53"/>
        <v>620364.35966324084</v>
      </c>
      <c r="W137" s="376">
        <f t="shared" si="53"/>
        <v>635492.5639735444</v>
      </c>
      <c r="X137" s="376">
        <f t="shared" si="53"/>
        <v>651322.76015702251</v>
      </c>
      <c r="Y137" s="376">
        <f t="shared" si="53"/>
        <v>667882.05925159412</v>
      </c>
      <c r="Z137" s="376">
        <f t="shared" si="53"/>
        <v>685198.66642306582</v>
      </c>
      <c r="AA137" s="376">
        <f t="shared" si="53"/>
        <v>703301.92463338235</v>
      </c>
      <c r="AB137" s="376">
        <f t="shared" si="53"/>
        <v>722222.36005657748</v>
      </c>
      <c r="AC137" s="376">
        <f t="shared" si="53"/>
        <v>745639.53937092947</v>
      </c>
      <c r="AD137" s="376">
        <f t="shared" si="53"/>
        <v>769938.68870697636</v>
      </c>
      <c r="AE137" s="376">
        <f t="shared" si="53"/>
        <v>795154.53969407722</v>
      </c>
      <c r="AF137" s="376">
        <f t="shared" si="53"/>
        <v>821323.20775505039</v>
      </c>
      <c r="AG137" s="376">
        <f t="shared" si="53"/>
        <v>848482.24740319443</v>
      </c>
    </row>
    <row r="138" spans="1:34">
      <c r="A138" s="368" t="s">
        <v>318</v>
      </c>
      <c r="B138" s="300" t="s">
        <v>313</v>
      </c>
      <c r="C138" s="376">
        <f>'Changing with year'!C300</f>
        <v>510000</v>
      </c>
      <c r="D138" s="376">
        <f>'Changing with year'!D300</f>
        <v>533000</v>
      </c>
      <c r="E138" s="376">
        <f>'Changing with year'!E300</f>
        <v>557000</v>
      </c>
      <c r="F138" s="376">
        <f>'Changing with year'!F300</f>
        <v>582000</v>
      </c>
      <c r="G138" s="376">
        <f>'Changing with year'!G300</f>
        <v>608000</v>
      </c>
      <c r="H138" s="376">
        <f>'Changing with year'!H300</f>
        <v>635000</v>
      </c>
      <c r="I138" s="376">
        <f>'Changing with year'!I300</f>
        <v>664000</v>
      </c>
      <c r="J138" s="376">
        <f>'Changing with year'!J300</f>
        <v>694000</v>
      </c>
      <c r="K138" s="376">
        <f>'Changing with year'!K300</f>
        <v>725000</v>
      </c>
      <c r="L138" s="376">
        <f>'Changing with year'!L300</f>
        <v>758000</v>
      </c>
      <c r="M138" s="376">
        <f>'Changing with year'!M300</f>
        <v>792000</v>
      </c>
      <c r="N138" s="376">
        <f>'Changing with year'!N300</f>
        <v>828000</v>
      </c>
      <c r="O138" s="376">
        <f>'Changing with year'!O300</f>
        <v>865000</v>
      </c>
      <c r="P138" s="376">
        <f>'Changing with year'!P300</f>
        <v>904000</v>
      </c>
      <c r="Q138" s="376">
        <f>'Changing with year'!Q300</f>
        <v>945000</v>
      </c>
      <c r="R138" s="376">
        <f>'Changing with year'!R300</f>
        <v>988000</v>
      </c>
      <c r="S138" s="376">
        <f>'Changing with year'!S300</f>
        <v>1032000</v>
      </c>
      <c r="T138" s="376">
        <f>'Changing with year'!T300</f>
        <v>1078000</v>
      </c>
      <c r="U138" s="376">
        <f>'Changing with year'!U300</f>
        <v>1127000</v>
      </c>
      <c r="V138" s="376">
        <f>'Changing with year'!V300</f>
        <v>1178000</v>
      </c>
      <c r="W138" s="376">
        <f>'Changing with year'!W300</f>
        <v>1231000</v>
      </c>
      <c r="X138" s="376">
        <f>'Changing with year'!X300</f>
        <v>1286000</v>
      </c>
      <c r="Y138" s="376">
        <f>'Changing with year'!Y300</f>
        <v>1344000</v>
      </c>
      <c r="Z138" s="376">
        <f>'Changing with year'!Z300</f>
        <v>1404000</v>
      </c>
      <c r="AA138" s="376">
        <f>'Changing with year'!AA300</f>
        <v>1467000</v>
      </c>
      <c r="AB138" s="376">
        <f>'Changing with year'!AB300</f>
        <v>1533000</v>
      </c>
      <c r="AC138" s="376">
        <f>'Changing with year'!AC300</f>
        <v>1602000</v>
      </c>
      <c r="AD138" s="376">
        <f>'Changing with year'!AD300</f>
        <v>1674000</v>
      </c>
      <c r="AE138" s="376">
        <f>'Changing with year'!AE300</f>
        <v>1749000</v>
      </c>
      <c r="AF138" s="376">
        <f>'Changing with year'!AF300</f>
        <v>1828000</v>
      </c>
      <c r="AG138" s="376">
        <f>'Changing with year'!AG300</f>
        <v>1910000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C61</f>
        <v>525000</v>
      </c>
      <c r="D139" s="376">
        <f t="shared" si="54"/>
        <v>530250</v>
      </c>
      <c r="E139" s="376">
        <f t="shared" si="54"/>
        <v>535552.5</v>
      </c>
      <c r="F139" s="376">
        <f t="shared" si="54"/>
        <v>540908.02500000002</v>
      </c>
      <c r="G139" s="376">
        <f t="shared" si="54"/>
        <v>546317.10525000002</v>
      </c>
      <c r="H139" s="376">
        <f t="shared" si="54"/>
        <v>551780.27630249993</v>
      </c>
      <c r="I139" s="376">
        <f t="shared" si="54"/>
        <v>557298.07906552509</v>
      </c>
      <c r="J139" s="376">
        <f t="shared" si="54"/>
        <v>562871.05985618022</v>
      </c>
      <c r="K139" s="376">
        <f t="shared" si="54"/>
        <v>568499.77045474213</v>
      </c>
      <c r="L139" s="376">
        <f t="shared" si="54"/>
        <v>574184.7681592895</v>
      </c>
      <c r="M139" s="376">
        <f t="shared" si="54"/>
        <v>579926.61584088241</v>
      </c>
      <c r="N139" s="376">
        <f t="shared" si="54"/>
        <v>585725.88199929113</v>
      </c>
      <c r="O139" s="376">
        <f t="shared" si="54"/>
        <v>591583.14081928413</v>
      </c>
      <c r="P139" s="376">
        <f t="shared" si="54"/>
        <v>597498.972227477</v>
      </c>
      <c r="Q139" s="376">
        <f t="shared" si="54"/>
        <v>603473.96194975183</v>
      </c>
      <c r="R139" s="376">
        <f t="shared" si="54"/>
        <v>609508.70156924927</v>
      </c>
      <c r="S139" s="376">
        <f t="shared" si="54"/>
        <v>615603.78858494177</v>
      </c>
      <c r="T139" s="376">
        <f t="shared" si="54"/>
        <v>621759.82647079125</v>
      </c>
      <c r="U139" s="376">
        <f t="shared" si="54"/>
        <v>627977.4247354992</v>
      </c>
      <c r="V139" s="376">
        <f t="shared" si="54"/>
        <v>634257.19898285414</v>
      </c>
      <c r="W139" s="376">
        <f t="shared" si="54"/>
        <v>640599.77097268275</v>
      </c>
      <c r="X139" s="376">
        <f t="shared" si="54"/>
        <v>647005.76868240954</v>
      </c>
      <c r="Y139" s="376">
        <f t="shared" si="54"/>
        <v>653475.82636923366</v>
      </c>
      <c r="Z139" s="376">
        <f t="shared" si="54"/>
        <v>660010.58463292604</v>
      </c>
      <c r="AA139" s="376">
        <f t="shared" si="54"/>
        <v>666610.69047925528</v>
      </c>
      <c r="AB139" s="376">
        <f t="shared" si="54"/>
        <v>673276.797384048</v>
      </c>
      <c r="AC139" s="376">
        <f t="shared" si="54"/>
        <v>680009.56535788847</v>
      </c>
      <c r="AD139" s="376">
        <f t="shared" si="54"/>
        <v>686809.66101146722</v>
      </c>
      <c r="AE139" s="376">
        <f t="shared" si="54"/>
        <v>693677.7576215819</v>
      </c>
      <c r="AF139" s="376">
        <f t="shared" si="54"/>
        <v>700614.5351977977</v>
      </c>
      <c r="AG139" s="376">
        <f t="shared" si="54"/>
        <v>707620.68054977572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175260</v>
      </c>
      <c r="D140" s="386">
        <f t="shared" si="55"/>
        <v>174360</v>
      </c>
      <c r="E140" s="386">
        <f t="shared" si="55"/>
        <v>173600</v>
      </c>
      <c r="F140" s="386">
        <f t="shared" si="55"/>
        <v>169400</v>
      </c>
      <c r="G140" s="386">
        <f t="shared" si="55"/>
        <v>165500</v>
      </c>
      <c r="H140" s="386">
        <f t="shared" si="55"/>
        <v>165900</v>
      </c>
      <c r="I140" s="386">
        <f t="shared" si="55"/>
        <v>163000</v>
      </c>
      <c r="J140" s="386">
        <f t="shared" si="55"/>
        <v>163800</v>
      </c>
      <c r="K140" s="386">
        <f t="shared" si="55"/>
        <v>164700</v>
      </c>
      <c r="L140" s="386">
        <f t="shared" si="55"/>
        <v>165720</v>
      </c>
      <c r="M140" s="386">
        <f t="shared" si="55"/>
        <v>166860</v>
      </c>
      <c r="N140" s="386">
        <f t="shared" si="55"/>
        <v>168140</v>
      </c>
      <c r="O140" s="386">
        <f t="shared" si="55"/>
        <v>169520</v>
      </c>
      <c r="P140" s="386">
        <f t="shared" si="55"/>
        <v>171040</v>
      </c>
      <c r="Q140" s="386">
        <f t="shared" si="55"/>
        <v>172700</v>
      </c>
      <c r="R140" s="386">
        <f t="shared" si="55"/>
        <v>174480</v>
      </c>
      <c r="S140" s="386">
        <f t="shared" si="55"/>
        <v>174800</v>
      </c>
      <c r="T140" s="386">
        <f t="shared" si="55"/>
        <v>178060</v>
      </c>
      <c r="U140" s="386">
        <f t="shared" si="55"/>
        <v>181440</v>
      </c>
      <c r="V140" s="386">
        <f t="shared" si="55"/>
        <v>184940</v>
      </c>
      <c r="W140" s="386">
        <f t="shared" si="55"/>
        <v>188540</v>
      </c>
      <c r="X140" s="386">
        <f t="shared" si="55"/>
        <v>192280</v>
      </c>
      <c r="Y140" s="386">
        <f t="shared" si="55"/>
        <v>196140</v>
      </c>
      <c r="Z140" s="386">
        <f t="shared" si="55"/>
        <v>200140</v>
      </c>
      <c r="AA140" s="386">
        <f t="shared" si="55"/>
        <v>204280</v>
      </c>
      <c r="AB140" s="386">
        <f t="shared" si="55"/>
        <v>208540</v>
      </c>
      <c r="AC140" s="386">
        <f t="shared" si="55"/>
        <v>213760</v>
      </c>
      <c r="AD140" s="386">
        <f t="shared" si="55"/>
        <v>219120</v>
      </c>
      <c r="AE140" s="386">
        <f t="shared" si="55"/>
        <v>224640</v>
      </c>
      <c r="AF140" s="386">
        <f t="shared" si="55"/>
        <v>230320</v>
      </c>
      <c r="AG140" s="386">
        <f t="shared" si="55"/>
        <v>236140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25.601716262718512</v>
      </c>
      <c r="D142" s="379">
        <f t="shared" si="56"/>
        <v>25.470245621177675</v>
      </c>
      <c r="E142" s="379">
        <f t="shared" si="56"/>
        <v>25.35922596832097</v>
      </c>
      <c r="F142" s="379">
        <f t="shared" si="56"/>
        <v>24.745696307797076</v>
      </c>
      <c r="G142" s="379">
        <f t="shared" si="56"/>
        <v>24.175990194453462</v>
      </c>
      <c r="H142" s="379">
        <f t="shared" si="56"/>
        <v>24.234421590693831</v>
      </c>
      <c r="I142" s="379">
        <f t="shared" si="56"/>
        <v>23.810793967951142</v>
      </c>
      <c r="J142" s="379">
        <f t="shared" si="56"/>
        <v>23.927656760431883</v>
      </c>
      <c r="K142" s="379">
        <f t="shared" si="56"/>
        <v>24.05912740197272</v>
      </c>
      <c r="L142" s="379">
        <f t="shared" si="56"/>
        <v>24.208127462385661</v>
      </c>
      <c r="M142" s="379">
        <f t="shared" si="56"/>
        <v>24.374656941670718</v>
      </c>
      <c r="N142" s="379">
        <f t="shared" si="56"/>
        <v>24.561637409639907</v>
      </c>
      <c r="O142" s="379">
        <f t="shared" si="56"/>
        <v>24.763225726669187</v>
      </c>
      <c r="P142" s="379">
        <f t="shared" si="56"/>
        <v>24.9852650323826</v>
      </c>
      <c r="Q142" s="379">
        <f t="shared" si="56"/>
        <v>25.227755326780137</v>
      </c>
      <c r="R142" s="379">
        <f t="shared" si="56"/>
        <v>25.48777504004979</v>
      </c>
      <c r="S142" s="379">
        <f t="shared" si="56"/>
        <v>25.534520157042085</v>
      </c>
      <c r="T142" s="379">
        <f t="shared" si="56"/>
        <v>26.010736036401106</v>
      </c>
      <c r="U142" s="379">
        <f t="shared" si="56"/>
        <v>26.504481334632242</v>
      </c>
      <c r="V142" s="379">
        <f t="shared" si="56"/>
        <v>27.015756051735483</v>
      </c>
      <c r="W142" s="379">
        <f t="shared" si="56"/>
        <v>27.541638617898823</v>
      </c>
      <c r="X142" s="379">
        <f t="shared" si="56"/>
        <v>28.087972172746291</v>
      </c>
      <c r="Y142" s="379">
        <f t="shared" si="56"/>
        <v>28.651835146465874</v>
      </c>
      <c r="Z142" s="379">
        <f t="shared" si="56"/>
        <v>29.236149108869583</v>
      </c>
      <c r="AA142" s="379">
        <f t="shared" si="56"/>
        <v>29.84091405995742</v>
      </c>
      <c r="AB142" s="379">
        <f t="shared" si="56"/>
        <v>30.463208429917369</v>
      </c>
      <c r="AC142" s="379">
        <f t="shared" si="56"/>
        <v>31.225738150854209</v>
      </c>
      <c r="AD142" s="379">
        <f t="shared" si="56"/>
        <v>32.008718860475177</v>
      </c>
      <c r="AE142" s="379">
        <f t="shared" si="56"/>
        <v>32.815072128592298</v>
      </c>
      <c r="AF142" s="379">
        <f t="shared" si="56"/>
        <v>33.644797955205561</v>
      </c>
      <c r="AG142" s="379">
        <f t="shared" si="56"/>
        <v>34.494974770502957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12.526340184186882</v>
      </c>
      <c r="D143" s="379">
        <f t="shared" si="57"/>
        <v>12.683840184186881</v>
      </c>
      <c r="E143" s="379">
        <f t="shared" si="57"/>
        <v>12.750259721524969</v>
      </c>
      <c r="F143" s="379">
        <f t="shared" si="57"/>
        <v>12.745216911168999</v>
      </c>
      <c r="G143" s="379">
        <f t="shared" si="57"/>
        <v>12.630603470614826</v>
      </c>
      <c r="H143" s="379">
        <f t="shared" si="57"/>
        <v>12.723581868334003</v>
      </c>
      <c r="I143" s="379">
        <f t="shared" si="57"/>
        <v>11.038482857294962</v>
      </c>
      <c r="J143" s="379">
        <f t="shared" si="57"/>
        <v>10.763937708915417</v>
      </c>
      <c r="K143" s="379">
        <f t="shared" si="57"/>
        <v>10.303183610170253</v>
      </c>
      <c r="L143" s="379">
        <f t="shared" si="57"/>
        <v>9.9146260745705952</v>
      </c>
      <c r="M143" s="379">
        <f t="shared" si="57"/>
        <v>9.6082531303181558</v>
      </c>
      <c r="N143" s="379">
        <f t="shared" si="57"/>
        <v>9.5025911171230355</v>
      </c>
      <c r="O143" s="379">
        <f t="shared" si="57"/>
        <v>9.4035025033633097</v>
      </c>
      <c r="P143" s="379">
        <f t="shared" si="57"/>
        <v>9.2770029585356859</v>
      </c>
      <c r="Q143" s="379">
        <f t="shared" si="57"/>
        <v>9.1905137935918209</v>
      </c>
      <c r="R143" s="379">
        <f t="shared" si="57"/>
        <v>9.1524720414762211</v>
      </c>
      <c r="S143" s="379">
        <f t="shared" si="57"/>
        <v>9.1572333779689199</v>
      </c>
      <c r="T143" s="379">
        <f t="shared" si="57"/>
        <v>9.2041619969269313</v>
      </c>
      <c r="U143" s="379">
        <f t="shared" si="57"/>
        <v>9.2206844669357508</v>
      </c>
      <c r="V143" s="379">
        <f t="shared" si="57"/>
        <v>9.243665073021452</v>
      </c>
      <c r="W143" s="379">
        <f t="shared" si="57"/>
        <v>9.2742074371212588</v>
      </c>
      <c r="X143" s="379">
        <f t="shared" si="57"/>
        <v>9.3120587153550272</v>
      </c>
      <c r="Y143" s="379">
        <f t="shared" si="57"/>
        <v>9.3569147393456529</v>
      </c>
      <c r="Z143" s="379">
        <f t="shared" si="57"/>
        <v>9.4099686687673714</v>
      </c>
      <c r="AA143" s="379">
        <f t="shared" si="57"/>
        <v>9.4725368287269145</v>
      </c>
      <c r="AB143" s="379">
        <f t="shared" si="57"/>
        <v>9.5435910933219095</v>
      </c>
      <c r="AC143" s="379">
        <f t="shared" si="57"/>
        <v>9.7986083443140366</v>
      </c>
      <c r="AD143" s="379">
        <f t="shared" si="57"/>
        <v>10.111561483088567</v>
      </c>
      <c r="AE143" s="379">
        <f t="shared" si="57"/>
        <v>10.435985065746213</v>
      </c>
      <c r="AF143" s="379">
        <f t="shared" si="57"/>
        <v>10.776166992941805</v>
      </c>
      <c r="AG143" s="379">
        <f t="shared" si="57"/>
        <v>11.134013095633263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22.571925305852361</v>
      </c>
      <c r="D144" s="379">
        <f t="shared" si="58"/>
        <v>22.951213839872722</v>
      </c>
      <c r="E144" s="379">
        <f t="shared" si="58"/>
        <v>23.353056827209233</v>
      </c>
      <c r="F144" s="379">
        <f t="shared" si="58"/>
        <v>23.72984237319567</v>
      </c>
      <c r="G144" s="379">
        <f t="shared" si="58"/>
        <v>24.131567024199111</v>
      </c>
      <c r="H144" s="379">
        <f t="shared" si="58"/>
        <v>24.611702674990802</v>
      </c>
      <c r="I144" s="379">
        <f t="shared" si="58"/>
        <v>25.09885183553412</v>
      </c>
      <c r="J144" s="379">
        <f t="shared" si="58"/>
        <v>25.655975711446001</v>
      </c>
      <c r="K144" s="379">
        <f t="shared" si="58"/>
        <v>26.235265569395757</v>
      </c>
      <c r="L144" s="379">
        <f t="shared" si="58"/>
        <v>26.850521685688726</v>
      </c>
      <c r="M144" s="379">
        <f t="shared" si="58"/>
        <v>27.488620339517617</v>
      </c>
      <c r="N144" s="379">
        <f t="shared" si="58"/>
        <v>28.163380819887053</v>
      </c>
      <c r="O144" s="379">
        <f t="shared" si="58"/>
        <v>28.861165780078743</v>
      </c>
      <c r="P144" s="379">
        <f t="shared" si="58"/>
        <v>29.596081606879515</v>
      </c>
      <c r="Q144" s="379">
        <f t="shared" si="58"/>
        <v>30.368378805150527</v>
      </c>
      <c r="R144" s="379">
        <f t="shared" si="58"/>
        <v>31.178052398339076</v>
      </c>
      <c r="S144" s="379">
        <f t="shared" si="58"/>
        <v>32.017865568017584</v>
      </c>
      <c r="T144" s="379">
        <f t="shared" si="58"/>
        <v>32.932407057466563</v>
      </c>
      <c r="U144" s="379">
        <f t="shared" si="58"/>
        <v>33.897726840850872</v>
      </c>
      <c r="V144" s="379">
        <f t="shared" si="58"/>
        <v>34.900820781947935</v>
      </c>
      <c r="W144" s="379">
        <f t="shared" si="58"/>
        <v>35.941764465949696</v>
      </c>
      <c r="X144" s="379">
        <f t="shared" si="58"/>
        <v>37.021447051192432</v>
      </c>
      <c r="Y144" s="379">
        <f t="shared" si="58"/>
        <v>38.153305141611035</v>
      </c>
      <c r="Z144" s="379">
        <f t="shared" si="58"/>
        <v>39.324656680746557</v>
      </c>
      <c r="AA144" s="379">
        <f t="shared" si="58"/>
        <v>40.549234868168504</v>
      </c>
      <c r="AB144" s="379">
        <f t="shared" si="58"/>
        <v>41.827188765875</v>
      </c>
      <c r="AC144" s="379">
        <f t="shared" si="58"/>
        <v>43.218788063050908</v>
      </c>
      <c r="AD144" s="379">
        <f t="shared" si="58"/>
        <v>44.664911329579247</v>
      </c>
      <c r="AE144" s="379">
        <f t="shared" si="58"/>
        <v>46.166297297542123</v>
      </c>
      <c r="AF144" s="379">
        <f t="shared" si="58"/>
        <v>47.736769906037978</v>
      </c>
      <c r="AG144" s="379">
        <f t="shared" si="58"/>
        <v>49.363239039372935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3.3382857142857154</v>
      </c>
      <c r="D145" s="379">
        <f t="shared" si="59"/>
        <v>3.3211428571428581</v>
      </c>
      <c r="E145" s="379">
        <f t="shared" si="59"/>
        <v>3.3066666666666675</v>
      </c>
      <c r="F145" s="379">
        <f t="shared" si="59"/>
        <v>3.2266666666666675</v>
      </c>
      <c r="G145" s="379">
        <f t="shared" si="59"/>
        <v>3.1523809523809532</v>
      </c>
      <c r="H145" s="379">
        <f t="shared" si="59"/>
        <v>3.160000000000001</v>
      </c>
      <c r="I145" s="379">
        <f t="shared" si="59"/>
        <v>3.1047619047619057</v>
      </c>
      <c r="J145" s="379">
        <f t="shared" si="59"/>
        <v>3.120000000000001</v>
      </c>
      <c r="K145" s="379">
        <f t="shared" si="59"/>
        <v>3.1371428571428579</v>
      </c>
      <c r="L145" s="379">
        <f t="shared" si="59"/>
        <v>3.1565714285714295</v>
      </c>
      <c r="M145" s="379">
        <f t="shared" si="59"/>
        <v>3.1782857142857153</v>
      </c>
      <c r="N145" s="379">
        <f t="shared" si="59"/>
        <v>4.8040000000000012</v>
      </c>
      <c r="O145" s="379">
        <f t="shared" si="59"/>
        <v>4.8434285714285723</v>
      </c>
      <c r="P145" s="379">
        <f t="shared" si="59"/>
        <v>4.8868571428571439</v>
      </c>
      <c r="Q145" s="379">
        <f t="shared" si="59"/>
        <v>4.9342857142857151</v>
      </c>
      <c r="R145" s="379">
        <f t="shared" si="59"/>
        <v>4.9851428571428578</v>
      </c>
      <c r="S145" s="379">
        <f t="shared" si="59"/>
        <v>4.9942857142857155</v>
      </c>
      <c r="T145" s="379">
        <f t="shared" si="59"/>
        <v>5.0874285714285721</v>
      </c>
      <c r="U145" s="379">
        <f t="shared" si="59"/>
        <v>5.1840000000000011</v>
      </c>
      <c r="V145" s="379">
        <f t="shared" si="59"/>
        <v>5.2840000000000007</v>
      </c>
      <c r="W145" s="379">
        <f t="shared" si="59"/>
        <v>5.3868571428571439</v>
      </c>
      <c r="X145" s="379">
        <f t="shared" si="59"/>
        <v>7.3249523809523813</v>
      </c>
      <c r="Y145" s="379">
        <f t="shared" si="59"/>
        <v>7.4720000000000004</v>
      </c>
      <c r="Z145" s="379">
        <f t="shared" si="59"/>
        <v>7.6243809523809523</v>
      </c>
      <c r="AA145" s="379">
        <f t="shared" si="59"/>
        <v>7.7820952380952377</v>
      </c>
      <c r="AB145" s="379">
        <f t="shared" si="59"/>
        <v>7.9443809523809525</v>
      </c>
      <c r="AC145" s="379">
        <f t="shared" si="59"/>
        <v>8.1432380952380949</v>
      </c>
      <c r="AD145" s="379">
        <f t="shared" si="59"/>
        <v>8.347428571428571</v>
      </c>
      <c r="AE145" s="379">
        <f t="shared" si="59"/>
        <v>8.5577142857142849</v>
      </c>
      <c r="AF145" s="379">
        <f t="shared" si="59"/>
        <v>8.7740952380952386</v>
      </c>
      <c r="AG145" s="379">
        <f t="shared" si="59"/>
        <v>8.9958095238095233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57.361696038472033</v>
      </c>
      <c r="D146" s="381">
        <f t="shared" ref="D146:AG146" si="60">SUM(D142:D144)-D145</f>
        <v>57.784156788094421</v>
      </c>
      <c r="E146" s="381">
        <f t="shared" si="60"/>
        <v>58.155875850388504</v>
      </c>
      <c r="F146" s="381">
        <f t="shared" si="60"/>
        <v>57.99408892549507</v>
      </c>
      <c r="G146" s="381">
        <f t="shared" si="60"/>
        <v>57.785779736886454</v>
      </c>
      <c r="H146" s="381">
        <f t="shared" si="60"/>
        <v>58.409706134018634</v>
      </c>
      <c r="I146" s="381">
        <f t="shared" si="60"/>
        <v>56.84336675601832</v>
      </c>
      <c r="J146" s="381">
        <f t="shared" si="60"/>
        <v>57.227570180793293</v>
      </c>
      <c r="K146" s="381">
        <f t="shared" si="60"/>
        <v>57.460433724395877</v>
      </c>
      <c r="L146" s="381">
        <f t="shared" si="60"/>
        <v>57.816703794073547</v>
      </c>
      <c r="M146" s="381">
        <f t="shared" si="60"/>
        <v>58.293244697220779</v>
      </c>
      <c r="N146" s="381">
        <f t="shared" si="60"/>
        <v>57.423609346649997</v>
      </c>
      <c r="O146" s="381">
        <f t="shared" si="60"/>
        <v>58.184465438682665</v>
      </c>
      <c r="P146" s="381">
        <f t="shared" si="60"/>
        <v>58.971492454940659</v>
      </c>
      <c r="Q146" s="381">
        <f t="shared" si="60"/>
        <v>59.852362211236773</v>
      </c>
      <c r="R146" s="381">
        <f t="shared" si="60"/>
        <v>60.833156622722228</v>
      </c>
      <c r="S146" s="381">
        <f t="shared" si="60"/>
        <v>61.71533338874287</v>
      </c>
      <c r="T146" s="381">
        <f t="shared" si="60"/>
        <v>63.059876519366028</v>
      </c>
      <c r="U146" s="381">
        <f t="shared" si="60"/>
        <v>64.438892642418864</v>
      </c>
      <c r="V146" s="381">
        <f t="shared" si="60"/>
        <v>65.876241906704863</v>
      </c>
      <c r="W146" s="381">
        <f t="shared" si="60"/>
        <v>67.370753378112639</v>
      </c>
      <c r="X146" s="381">
        <f t="shared" si="60"/>
        <v>67.096525558341369</v>
      </c>
      <c r="Y146" s="381">
        <f t="shared" si="60"/>
        <v>68.690055027422559</v>
      </c>
      <c r="Z146" s="381">
        <f t="shared" si="60"/>
        <v>70.34639350600257</v>
      </c>
      <c r="AA146" s="381">
        <f t="shared" si="60"/>
        <v>72.080590518757603</v>
      </c>
      <c r="AB146" s="381">
        <f t="shared" si="60"/>
        <v>73.88960733673332</v>
      </c>
      <c r="AC146" s="381">
        <f t="shared" si="60"/>
        <v>76.099896462981064</v>
      </c>
      <c r="AD146" s="381">
        <f t="shared" si="60"/>
        <v>78.437763101714424</v>
      </c>
      <c r="AE146" s="381">
        <f t="shared" si="60"/>
        <v>80.859640206166361</v>
      </c>
      <c r="AF146" s="381">
        <f t="shared" si="60"/>
        <v>83.383639616090107</v>
      </c>
      <c r="AG146" s="381">
        <f t="shared" si="60"/>
        <v>85.996417381699629</v>
      </c>
    </row>
    <row r="147" spans="1:34" s="344" customFormat="1">
      <c r="A147" s="342" t="s">
        <v>331</v>
      </c>
      <c r="B147" s="342"/>
      <c r="H147" s="385">
        <f>H149/H63</f>
        <v>2.3697905278348714</v>
      </c>
      <c r="AB147" s="385">
        <f>AB149/AB63</f>
        <v>1.4395709495042432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year'!C144)/1000,0)*1000</f>
        <v>11491000</v>
      </c>
      <c r="D149" s="376">
        <f>ROUND(('Changing with year'!D144)/1000,0)*1000</f>
        <v>11294000</v>
      </c>
      <c r="E149" s="376">
        <f>ROUND(('Changing with year'!E144)/1000,0)*1000</f>
        <v>11110000</v>
      </c>
      <c r="F149" s="376">
        <f>ROUND(('Changing with year'!F144)/1000,0)*1000</f>
        <v>10939000</v>
      </c>
      <c r="G149" s="376">
        <f>ROUND(('Changing with year'!G144)/1000,0)*1000</f>
        <v>10782000</v>
      </c>
      <c r="H149" s="376">
        <f>ROUND(('Changing with year'!H144)/1000,0)*1000</f>
        <v>10838000</v>
      </c>
      <c r="I149" s="376">
        <f>ROUND(('Changing with year'!I144)/1000,0)*1000</f>
        <v>10763000</v>
      </c>
      <c r="J149" s="376">
        <f>ROUND(('Changing with year'!J144)/1000,0)*1000</f>
        <v>10705000</v>
      </c>
      <c r="K149" s="376">
        <f>ROUND(('Changing with year'!K144)/1000,0)*1000</f>
        <v>10656000</v>
      </c>
      <c r="L149" s="376">
        <f>ROUND(('Changing with year'!L144)/1000,0)*1000</f>
        <v>10616000</v>
      </c>
      <c r="M149" s="376">
        <f>ROUND(('Changing with year'!M144)/1000,0)*1000</f>
        <v>10586000</v>
      </c>
      <c r="N149" s="376">
        <f>ROUND(('Changing with year'!N144)/1000,0)*1000</f>
        <v>10565000</v>
      </c>
      <c r="O149" s="376">
        <f>ROUND(('Changing with year'!O144)/1000,0)*1000</f>
        <v>10553000</v>
      </c>
      <c r="P149" s="376">
        <f>ROUND(('Changing with year'!P144)/1000,0)*1000</f>
        <v>10551000</v>
      </c>
      <c r="Q149" s="376">
        <f>ROUND(('Changing with year'!Q144)/1000,0)*1000</f>
        <v>10558000</v>
      </c>
      <c r="R149" s="376">
        <f>ROUND(('Changing with year'!R144)/1000,0)*1000</f>
        <v>10575000</v>
      </c>
      <c r="S149" s="376">
        <f>ROUND(('Changing with year'!S144)/1000,0)*1000</f>
        <v>10540000</v>
      </c>
      <c r="T149" s="376">
        <f>ROUND(('Changing with year'!T144)/1000,0)*1000</f>
        <v>10679000</v>
      </c>
      <c r="U149" s="376">
        <f>ROUND(('Changing with year'!U144)/1000,0)*1000</f>
        <v>10825000</v>
      </c>
      <c r="V149" s="376">
        <f>ROUND(('Changing with year'!V144)/1000,0)*1000</f>
        <v>10978000</v>
      </c>
      <c r="W149" s="376">
        <f>ROUND(('Changing with year'!W144)/1000,0)*1000</f>
        <v>11138000</v>
      </c>
      <c r="X149" s="376">
        <f>ROUND(('Changing with year'!X144)/1000,0)*1000</f>
        <v>11146000</v>
      </c>
      <c r="Y149" s="376">
        <f>ROUND(('Changing with year'!Y144)/1000,0)*1000</f>
        <v>11321000</v>
      </c>
      <c r="Z149" s="376">
        <f>ROUND(('Changing with year'!Z144)/1000,0)*1000</f>
        <v>11503000</v>
      </c>
      <c r="AA149" s="376">
        <f>ROUND(('Changing with year'!AA144)/1000,0)*1000</f>
        <v>11693000</v>
      </c>
      <c r="AB149" s="376">
        <f>ROUND(('Changing with year'!AB144)/1000,0)*1000</f>
        <v>11891000</v>
      </c>
      <c r="AC149" s="376">
        <f>ROUND(('Changing with year'!AC144)/1000,0)*1000</f>
        <v>12011000</v>
      </c>
      <c r="AD149" s="376">
        <f>ROUND(('Changing with year'!AD144)/1000,0)*1000</f>
        <v>12293000</v>
      </c>
      <c r="AE149" s="376">
        <f>ROUND(('Changing with year'!AE144)/1000,0)*1000</f>
        <v>12582000</v>
      </c>
      <c r="AF149" s="376">
        <f>ROUND(('Changing with year'!AF144)/1000,0)*1000</f>
        <v>12879000</v>
      </c>
      <c r="AG149" s="376">
        <f>ROUND(('Changing with year'!AG144)/1000,0)*1000</f>
        <v>13184000</v>
      </c>
    </row>
    <row r="150" spans="1:34">
      <c r="A150" s="368" t="s">
        <v>310</v>
      </c>
      <c r="B150" s="300" t="s">
        <v>309</v>
      </c>
      <c r="C150" s="376">
        <f>(C149*'No change with year'!$AN$16)</f>
        <v>1149100.0000000005</v>
      </c>
      <c r="D150" s="376">
        <f>(D149*'No change with year'!$AN$16)</f>
        <v>1129400.0000000005</v>
      </c>
      <c r="E150" s="376">
        <f>(E149*'No change with year'!$AN$16)</f>
        <v>1111000.0000000005</v>
      </c>
      <c r="F150" s="376">
        <f>(F149*'No change with year'!$AN$16)</f>
        <v>1093900.0000000005</v>
      </c>
      <c r="G150" s="376">
        <f>(G149*'No change with year'!$AN$16)</f>
        <v>1078200.0000000005</v>
      </c>
      <c r="H150" s="376">
        <f>(H149*'No change with year'!$AN$16)</f>
        <v>1083800.0000000005</v>
      </c>
      <c r="I150" s="376">
        <f>(I149*'No change with year'!$AN$16)</f>
        <v>1076300.0000000005</v>
      </c>
      <c r="J150" s="376">
        <f>(J149*'No change with year'!$AN$16)</f>
        <v>1070500.0000000005</v>
      </c>
      <c r="K150" s="376">
        <f>(K149*'No change with year'!$AN$16)</f>
        <v>1065600.0000000005</v>
      </c>
      <c r="L150" s="376">
        <f>(L149*'No change with year'!$AN$16)</f>
        <v>1061600.0000000005</v>
      </c>
      <c r="M150" s="376">
        <f>(M149*'No change with year'!$AN$16)</f>
        <v>1058600.0000000005</v>
      </c>
      <c r="N150" s="376">
        <f>(N149*'No change with year'!$AO$16)</f>
        <v>2113000.0000000009</v>
      </c>
      <c r="O150" s="376">
        <f>(O149*'No change with year'!$AO$16)</f>
        <v>2110600.0000000009</v>
      </c>
      <c r="P150" s="376">
        <f>(P149*'No change with year'!$AO$16)</f>
        <v>2110200.0000000009</v>
      </c>
      <c r="Q150" s="376">
        <f>(Q149*'No change with year'!$AO$16)</f>
        <v>2111600.0000000009</v>
      </c>
      <c r="R150" s="376">
        <f>(R149*'No change with year'!$AO$16)</f>
        <v>2115000.0000000009</v>
      </c>
      <c r="S150" s="376">
        <f>(S149*'No change with year'!$AO$16)</f>
        <v>2108000.0000000009</v>
      </c>
      <c r="T150" s="376">
        <f>(T149*'No change with year'!$AO$16)</f>
        <v>2135800.0000000009</v>
      </c>
      <c r="U150" s="376">
        <f>(U149*'No change with year'!$AO$16)</f>
        <v>2165000.0000000009</v>
      </c>
      <c r="V150" s="376">
        <f>(V149*'No change with year'!$AO$16)</f>
        <v>2195600.0000000009</v>
      </c>
      <c r="W150" s="376">
        <f>(W149*'No change with year'!$AO$16)</f>
        <v>2227600.0000000009</v>
      </c>
      <c r="X150" s="376">
        <f>(X149*'No change with year'!$AP$16)</f>
        <v>3343800.0000000005</v>
      </c>
      <c r="Y150" s="376">
        <f>(Y149*'No change with year'!$AP$16)</f>
        <v>3396300.0000000005</v>
      </c>
      <c r="Z150" s="376">
        <f>(Z149*'No change with year'!$AP$16)</f>
        <v>3450900.0000000005</v>
      </c>
      <c r="AA150" s="376">
        <f>(AA149*'No change with year'!$AP$16)</f>
        <v>3507900.0000000005</v>
      </c>
      <c r="AB150" s="376">
        <f>(AB149*'No change with year'!$AP$16)</f>
        <v>3567300.0000000005</v>
      </c>
      <c r="AC150" s="376">
        <f>(AC149*'No change with year'!$AP$16)</f>
        <v>3603300.0000000005</v>
      </c>
      <c r="AD150" s="376">
        <f>(AD149*'No change with year'!$AP$16)</f>
        <v>3687900.0000000005</v>
      </c>
      <c r="AE150" s="376">
        <f>(AE149*'No change with year'!$AP$16)</f>
        <v>3774600.0000000005</v>
      </c>
      <c r="AF150" s="376">
        <f>(AF149*'No change with year'!$AP$16)</f>
        <v>3863700.0000000005</v>
      </c>
      <c r="AG150" s="376">
        <f>(AG149*'No change with year'!$AP$16)</f>
        <v>3955200.0000000005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2517881.9032428823</v>
      </c>
      <c r="D152" s="376">
        <f t="shared" ref="D152:AG152" si="62">-PMT($C$28,$C$27,D149)</f>
        <v>2474715.7092703087</v>
      </c>
      <c r="E152" s="376">
        <f t="shared" si="62"/>
        <v>2434398.0458644526</v>
      </c>
      <c r="F152" s="376">
        <f t="shared" si="62"/>
        <v>2396928.9130253149</v>
      </c>
      <c r="G152" s="376">
        <f t="shared" si="62"/>
        <v>2362527.4284887961</v>
      </c>
      <c r="H152" s="376">
        <f t="shared" si="62"/>
        <v>2374798.021699274</v>
      </c>
      <c r="I152" s="376">
        <f t="shared" si="62"/>
        <v>2358364.1915066703</v>
      </c>
      <c r="J152" s="376">
        <f t="shared" si="62"/>
        <v>2345655.3628243892</v>
      </c>
      <c r="K152" s="376">
        <f t="shared" si="62"/>
        <v>2334918.5937652211</v>
      </c>
      <c r="L152" s="376">
        <f t="shared" si="62"/>
        <v>2326153.8843291653</v>
      </c>
      <c r="M152" s="376">
        <f t="shared" si="62"/>
        <v>2319580.3522521239</v>
      </c>
      <c r="N152" s="376">
        <f t="shared" si="62"/>
        <v>2314978.8797981949</v>
      </c>
      <c r="O152" s="376">
        <f t="shared" si="62"/>
        <v>2312349.4669673778</v>
      </c>
      <c r="P152" s="376">
        <f t="shared" si="62"/>
        <v>2311911.231495575</v>
      </c>
      <c r="Q152" s="376">
        <f t="shared" si="62"/>
        <v>2313445.0556468847</v>
      </c>
      <c r="R152" s="376">
        <f t="shared" si="62"/>
        <v>2317170.0571572082</v>
      </c>
      <c r="S152" s="376">
        <f t="shared" si="62"/>
        <v>2309500.9364006598</v>
      </c>
      <c r="T152" s="376">
        <f t="shared" si="62"/>
        <v>2339958.3016909529</v>
      </c>
      <c r="U152" s="376">
        <f t="shared" si="62"/>
        <v>2371949.4911325565</v>
      </c>
      <c r="V152" s="376">
        <f t="shared" si="62"/>
        <v>2405474.5047254693</v>
      </c>
      <c r="W152" s="376">
        <f t="shared" si="62"/>
        <v>2440533.3424696918</v>
      </c>
      <c r="X152" s="376">
        <f t="shared" si="62"/>
        <v>2442286.2843569028</v>
      </c>
      <c r="Y152" s="376">
        <f t="shared" si="62"/>
        <v>2480631.888139646</v>
      </c>
      <c r="Z152" s="376">
        <f t="shared" si="62"/>
        <v>2520511.3160736994</v>
      </c>
      <c r="AA152" s="376">
        <f t="shared" si="62"/>
        <v>2562143.6858949638</v>
      </c>
      <c r="AB152" s="376">
        <f t="shared" si="62"/>
        <v>2605528.9976034388</v>
      </c>
      <c r="AC152" s="376">
        <f t="shared" si="62"/>
        <v>2631823.125911606</v>
      </c>
      <c r="AD152" s="376">
        <f t="shared" si="62"/>
        <v>2693614.327435798</v>
      </c>
      <c r="AE152" s="376">
        <f t="shared" si="62"/>
        <v>2756939.3531113002</v>
      </c>
      <c r="AF152" s="376">
        <f t="shared" si="62"/>
        <v>2822017.3206740129</v>
      </c>
      <c r="AG152" s="376">
        <f t="shared" si="62"/>
        <v>2888848.2301239371</v>
      </c>
    </row>
    <row r="153" spans="1:34">
      <c r="A153" s="300" t="s">
        <v>333</v>
      </c>
      <c r="B153" s="300" t="s">
        <v>313</v>
      </c>
      <c r="C153" s="376">
        <f t="shared" ref="C153:AG153" si="63">$H$37*C50</f>
        <v>2878324.4680851065</v>
      </c>
      <c r="D153" s="376">
        <f t="shared" si="63"/>
        <v>2851595.7446808512</v>
      </c>
      <c r="E153" s="376">
        <f t="shared" si="63"/>
        <v>2827533.9095744682</v>
      </c>
      <c r="F153" s="376">
        <f t="shared" si="63"/>
        <v>2806079.5013297875</v>
      </c>
      <c r="G153" s="376">
        <f t="shared" si="63"/>
        <v>2787175.9234707449</v>
      </c>
      <c r="H153" s="376">
        <f t="shared" si="63"/>
        <v>2770769.3533464102</v>
      </c>
      <c r="I153" s="376">
        <f t="shared" si="63"/>
        <v>2605751.6188124204</v>
      </c>
      <c r="J153" s="376">
        <f t="shared" si="63"/>
        <v>2518903.0944994781</v>
      </c>
      <c r="K153" s="376">
        <f t="shared" si="63"/>
        <v>2434943.2042974047</v>
      </c>
      <c r="L153" s="376">
        <f t="shared" si="63"/>
        <v>2353762.9310035929</v>
      </c>
      <c r="M153" s="376">
        <f t="shared" si="63"/>
        <v>2275257.7795690098</v>
      </c>
      <c r="N153" s="376">
        <f t="shared" si="63"/>
        <v>2199327.5773874135</v>
      </c>
      <c r="O153" s="376">
        <f t="shared" si="63"/>
        <v>2125876.283759072</v>
      </c>
      <c r="P153" s="376">
        <f t="shared" si="63"/>
        <v>2054811.8080969194</v>
      </c>
      <c r="Q153" s="376">
        <f t="shared" si="63"/>
        <v>1986045.8364637468</v>
      </c>
      <c r="R153" s="376">
        <f t="shared" si="63"/>
        <v>1919493.6660487172</v>
      </c>
      <c r="S153" s="376">
        <f t="shared" si="63"/>
        <v>1772236.4686321919</v>
      </c>
      <c r="T153" s="376">
        <f t="shared" si="63"/>
        <v>1721914.895024762</v>
      </c>
      <c r="U153" s="376">
        <f t="shared" si="63"/>
        <v>1673384.1042227692</v>
      </c>
      <c r="V153" s="376">
        <f t="shared" si="63"/>
        <v>1626566.696207694</v>
      </c>
      <c r="W153" s="376">
        <f t="shared" si="63"/>
        <v>1581388.872985835</v>
      </c>
      <c r="X153" s="376">
        <f t="shared" si="63"/>
        <v>1537780.2655643758</v>
      </c>
      <c r="Y153" s="376">
        <f t="shared" si="63"/>
        <v>1495673.7693759499</v>
      </c>
      <c r="Z153" s="376">
        <f t="shared" si="63"/>
        <v>1455005.3877352616</v>
      </c>
      <c r="AA153" s="376">
        <f t="shared" si="63"/>
        <v>1415714.0829319658</v>
      </c>
      <c r="AB153" s="376">
        <f t="shared" si="63"/>
        <v>1377741.6345836327</v>
      </c>
      <c r="AC153" s="376">
        <f t="shared" si="63"/>
        <v>1331448.3039625057</v>
      </c>
      <c r="AD153" s="376">
        <f t="shared" si="63"/>
        <v>1336037.056875047</v>
      </c>
      <c r="AE153" s="376">
        <f t="shared" si="63"/>
        <v>1342184.7482542626</v>
      </c>
      <c r="AF153" s="376">
        <f t="shared" si="63"/>
        <v>1349866.3313010102</v>
      </c>
      <c r="AG153" s="376">
        <f t="shared" si="63"/>
        <v>1359059.1702447815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545265</v>
      </c>
      <c r="D154" s="376">
        <f t="shared" si="64"/>
        <v>544795.875</v>
      </c>
      <c r="E154" s="376">
        <f t="shared" si="64"/>
        <v>544864.97812499991</v>
      </c>
      <c r="F154" s="376">
        <f t="shared" si="64"/>
        <v>545479.91367187491</v>
      </c>
      <c r="G154" s="376">
        <f t="shared" si="64"/>
        <v>546648.9382300782</v>
      </c>
      <c r="H154" s="376">
        <f t="shared" si="64"/>
        <v>548380.97807032603</v>
      </c>
      <c r="I154" s="376">
        <f t="shared" si="64"/>
        <v>552195.6912730796</v>
      </c>
      <c r="J154" s="376">
        <f t="shared" si="64"/>
        <v>556525.40352234442</v>
      </c>
      <c r="K154" s="376">
        <f t="shared" si="64"/>
        <v>561383.4665696132</v>
      </c>
      <c r="L154" s="376">
        <f t="shared" si="64"/>
        <v>566783.91120064491</v>
      </c>
      <c r="M154" s="376">
        <f t="shared" si="64"/>
        <v>572741.47149755305</v>
      </c>
      <c r="N154" s="376">
        <f t="shared" si="64"/>
        <v>579271.61012935999</v>
      </c>
      <c r="O154" s="376">
        <f t="shared" si="64"/>
        <v>586390.54471100098</v>
      </c>
      <c r="P154" s="376">
        <f t="shared" si="64"/>
        <v>594115.27527237835</v>
      </c>
      <c r="Q154" s="376">
        <f t="shared" si="64"/>
        <v>602463.61288075207</v>
      </c>
      <c r="R154" s="376">
        <f t="shared" si="64"/>
        <v>611454.209461511</v>
      </c>
      <c r="S154" s="376">
        <f t="shared" si="64"/>
        <v>623574.22036015335</v>
      </c>
      <c r="T154" s="376">
        <f t="shared" si="64"/>
        <v>636302.41326953983</v>
      </c>
      <c r="U154" s="376">
        <f t="shared" si="64"/>
        <v>649661.8816543516</v>
      </c>
      <c r="V154" s="376">
        <f t="shared" si="64"/>
        <v>663676.65505601582</v>
      </c>
      <c r="W154" s="376">
        <f t="shared" si="64"/>
        <v>678371.73641239153</v>
      </c>
      <c r="X154" s="376">
        <f t="shared" si="64"/>
        <v>693773.14087148116</v>
      </c>
      <c r="Y154" s="376">
        <f t="shared" si="64"/>
        <v>709907.93615890818</v>
      </c>
      <c r="Z154" s="376">
        <f t="shared" si="64"/>
        <v>726804.28456130682</v>
      </c>
      <c r="AA154" s="376">
        <f t="shared" si="64"/>
        <v>744491.48659024097</v>
      </c>
      <c r="AB154" s="376">
        <f t="shared" si="64"/>
        <v>763000.02639386756</v>
      </c>
      <c r="AC154" s="376">
        <f t="shared" si="64"/>
        <v>786824.98237159231</v>
      </c>
      <c r="AD154" s="376">
        <f t="shared" si="64"/>
        <v>811535.98613764578</v>
      </c>
      <c r="AE154" s="376">
        <f t="shared" si="64"/>
        <v>837167.81009905331</v>
      </c>
      <c r="AF154" s="376">
        <f t="shared" si="64"/>
        <v>863756.61086407618</v>
      </c>
      <c r="AG154" s="376">
        <f t="shared" si="64"/>
        <v>891339.98454331059</v>
      </c>
    </row>
    <row r="155" spans="1:34">
      <c r="A155" s="368" t="s">
        <v>318</v>
      </c>
      <c r="B155" s="300" t="s">
        <v>313</v>
      </c>
      <c r="C155" s="376">
        <f>'Changing with year'!C300</f>
        <v>510000</v>
      </c>
      <c r="D155" s="376">
        <f>'Changing with year'!D300</f>
        <v>533000</v>
      </c>
      <c r="E155" s="376">
        <f>'Changing with year'!E300</f>
        <v>557000</v>
      </c>
      <c r="F155" s="376">
        <f>'Changing with year'!F300</f>
        <v>582000</v>
      </c>
      <c r="G155" s="376">
        <f>'Changing with year'!G300</f>
        <v>608000</v>
      </c>
      <c r="H155" s="376">
        <f>'Changing with year'!H300</f>
        <v>635000</v>
      </c>
      <c r="I155" s="376">
        <f>'Changing with year'!I300</f>
        <v>664000</v>
      </c>
      <c r="J155" s="376">
        <f>'Changing with year'!J300</f>
        <v>694000</v>
      </c>
      <c r="K155" s="376">
        <f>'Changing with year'!K300</f>
        <v>725000</v>
      </c>
      <c r="L155" s="376">
        <f>'Changing with year'!L300</f>
        <v>758000</v>
      </c>
      <c r="M155" s="376">
        <f>'Changing with year'!M300</f>
        <v>792000</v>
      </c>
      <c r="N155" s="376">
        <f>'Changing with year'!N300</f>
        <v>828000</v>
      </c>
      <c r="O155" s="376">
        <f>'Changing with year'!O300</f>
        <v>865000</v>
      </c>
      <c r="P155" s="376">
        <f>'Changing with year'!P300</f>
        <v>904000</v>
      </c>
      <c r="Q155" s="376">
        <f>'Changing with year'!Q300</f>
        <v>945000</v>
      </c>
      <c r="R155" s="376">
        <f>'Changing with year'!R300</f>
        <v>988000</v>
      </c>
      <c r="S155" s="376">
        <f>'Changing with year'!S300</f>
        <v>1032000</v>
      </c>
      <c r="T155" s="376">
        <f>'Changing with year'!T300</f>
        <v>1078000</v>
      </c>
      <c r="U155" s="376">
        <f>'Changing with year'!U300</f>
        <v>1127000</v>
      </c>
      <c r="V155" s="376">
        <f>'Changing with year'!V300</f>
        <v>1178000</v>
      </c>
      <c r="W155" s="376">
        <f>'Changing with year'!W300</f>
        <v>1231000</v>
      </c>
      <c r="X155" s="376">
        <f>'Changing with year'!X300</f>
        <v>1286000</v>
      </c>
      <c r="Y155" s="376">
        <f>'Changing with year'!Y300</f>
        <v>1344000</v>
      </c>
      <c r="Z155" s="376">
        <f>'Changing with year'!Z300</f>
        <v>1404000</v>
      </c>
      <c r="AA155" s="376">
        <f>'Changing with year'!AA300</f>
        <v>1467000</v>
      </c>
      <c r="AB155" s="376">
        <f>'Changing with year'!AB300</f>
        <v>1533000</v>
      </c>
      <c r="AC155" s="376">
        <f>'Changing with year'!AC300</f>
        <v>1602000</v>
      </c>
      <c r="AD155" s="376">
        <f>'Changing with year'!AD300</f>
        <v>1674000</v>
      </c>
      <c r="AE155" s="376">
        <f>'Changing with year'!AE300</f>
        <v>1749000</v>
      </c>
      <c r="AF155" s="376">
        <f>'Changing with year'!AF300</f>
        <v>1828000</v>
      </c>
      <c r="AG155" s="376">
        <f>'Changing with year'!AG300</f>
        <v>1910000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C61</f>
        <v>525000</v>
      </c>
      <c r="D156" s="376">
        <f t="shared" si="65"/>
        <v>530250</v>
      </c>
      <c r="E156" s="376">
        <f t="shared" si="65"/>
        <v>535552.5</v>
      </c>
      <c r="F156" s="376">
        <f t="shared" si="65"/>
        <v>540908.02500000002</v>
      </c>
      <c r="G156" s="376">
        <f t="shared" si="65"/>
        <v>546317.10525000002</v>
      </c>
      <c r="H156" s="376">
        <f t="shared" si="65"/>
        <v>551780.27630249993</v>
      </c>
      <c r="I156" s="376">
        <f t="shared" si="65"/>
        <v>557298.07906552509</v>
      </c>
      <c r="J156" s="376">
        <f t="shared" si="65"/>
        <v>562871.05985618022</v>
      </c>
      <c r="K156" s="376">
        <f t="shared" si="65"/>
        <v>568499.77045474213</v>
      </c>
      <c r="L156" s="376">
        <f t="shared" si="65"/>
        <v>574184.7681592895</v>
      </c>
      <c r="M156" s="376">
        <f t="shared" si="65"/>
        <v>579926.61584088241</v>
      </c>
      <c r="N156" s="376">
        <f t="shared" si="65"/>
        <v>585725.88199929113</v>
      </c>
      <c r="O156" s="376">
        <f t="shared" si="65"/>
        <v>591583.14081928413</v>
      </c>
      <c r="P156" s="376">
        <f t="shared" si="65"/>
        <v>597498.972227477</v>
      </c>
      <c r="Q156" s="376">
        <f t="shared" si="65"/>
        <v>603473.96194975183</v>
      </c>
      <c r="R156" s="376">
        <f t="shared" si="65"/>
        <v>609508.70156924927</v>
      </c>
      <c r="S156" s="376">
        <f t="shared" si="65"/>
        <v>615603.78858494177</v>
      </c>
      <c r="T156" s="376">
        <f t="shared" si="65"/>
        <v>621759.82647079125</v>
      </c>
      <c r="U156" s="376">
        <f t="shared" si="65"/>
        <v>627977.4247354992</v>
      </c>
      <c r="V156" s="376">
        <f t="shared" si="65"/>
        <v>634257.19898285414</v>
      </c>
      <c r="W156" s="376">
        <f t="shared" si="65"/>
        <v>640599.77097268275</v>
      </c>
      <c r="X156" s="376">
        <f t="shared" si="65"/>
        <v>647005.76868240954</v>
      </c>
      <c r="Y156" s="376">
        <f t="shared" si="65"/>
        <v>653475.82636923366</v>
      </c>
      <c r="Z156" s="376">
        <f t="shared" si="65"/>
        <v>660010.58463292604</v>
      </c>
      <c r="AA156" s="376">
        <f t="shared" si="65"/>
        <v>666610.69047925528</v>
      </c>
      <c r="AB156" s="376">
        <f t="shared" si="65"/>
        <v>673276.797384048</v>
      </c>
      <c r="AC156" s="376">
        <f t="shared" si="65"/>
        <v>680009.56535788847</v>
      </c>
      <c r="AD156" s="376">
        <f t="shared" si="65"/>
        <v>686809.66101146722</v>
      </c>
      <c r="AE156" s="376">
        <f t="shared" si="65"/>
        <v>693677.7576215819</v>
      </c>
      <c r="AF156" s="376">
        <f t="shared" si="65"/>
        <v>700614.5351977977</v>
      </c>
      <c r="AG156" s="376">
        <f t="shared" si="65"/>
        <v>707620.68054977572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229820</v>
      </c>
      <c r="D157" s="376">
        <f t="shared" si="66"/>
        <v>225880</v>
      </c>
      <c r="E157" s="376">
        <f t="shared" si="66"/>
        <v>222200</v>
      </c>
      <c r="F157" s="376">
        <f t="shared" si="66"/>
        <v>218780</v>
      </c>
      <c r="G157" s="376">
        <f t="shared" si="66"/>
        <v>215640</v>
      </c>
      <c r="H157" s="376">
        <f t="shared" si="66"/>
        <v>216760</v>
      </c>
      <c r="I157" s="376">
        <f t="shared" si="66"/>
        <v>215260</v>
      </c>
      <c r="J157" s="376">
        <f t="shared" si="66"/>
        <v>214100</v>
      </c>
      <c r="K157" s="376">
        <f t="shared" si="66"/>
        <v>213120</v>
      </c>
      <c r="L157" s="376">
        <f t="shared" si="66"/>
        <v>212320</v>
      </c>
      <c r="M157" s="376">
        <f t="shared" si="66"/>
        <v>211720</v>
      </c>
      <c r="N157" s="376">
        <f t="shared" si="66"/>
        <v>211300</v>
      </c>
      <c r="O157" s="376">
        <f t="shared" si="66"/>
        <v>211060</v>
      </c>
      <c r="P157" s="376">
        <f t="shared" si="66"/>
        <v>211020</v>
      </c>
      <c r="Q157" s="376">
        <f t="shared" si="66"/>
        <v>211160</v>
      </c>
      <c r="R157" s="376">
        <f t="shared" si="66"/>
        <v>211500</v>
      </c>
      <c r="S157" s="376">
        <f t="shared" si="66"/>
        <v>210800</v>
      </c>
      <c r="T157" s="376">
        <f t="shared" si="66"/>
        <v>213580</v>
      </c>
      <c r="U157" s="376">
        <f t="shared" si="66"/>
        <v>216500</v>
      </c>
      <c r="V157" s="376">
        <f t="shared" si="66"/>
        <v>219560</v>
      </c>
      <c r="W157" s="376">
        <f t="shared" si="66"/>
        <v>222760</v>
      </c>
      <c r="X157" s="376">
        <f t="shared" si="66"/>
        <v>222920</v>
      </c>
      <c r="Y157" s="376">
        <f t="shared" si="66"/>
        <v>226420</v>
      </c>
      <c r="Z157" s="376">
        <f t="shared" si="66"/>
        <v>230060</v>
      </c>
      <c r="AA157" s="376">
        <f t="shared" si="66"/>
        <v>233860</v>
      </c>
      <c r="AB157" s="376">
        <f t="shared" si="66"/>
        <v>237820</v>
      </c>
      <c r="AC157" s="376">
        <f t="shared" si="66"/>
        <v>240220</v>
      </c>
      <c r="AD157" s="376">
        <f t="shared" si="66"/>
        <v>245860</v>
      </c>
      <c r="AE157" s="376">
        <f t="shared" si="66"/>
        <v>251640</v>
      </c>
      <c r="AF157" s="376">
        <f t="shared" si="66"/>
        <v>257580</v>
      </c>
      <c r="AG157" s="376">
        <f t="shared" si="66"/>
        <v>263680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33.571758709905097</v>
      </c>
      <c r="D159" s="379">
        <f t="shared" si="67"/>
        <v>32.99620945693745</v>
      </c>
      <c r="E159" s="379">
        <f t="shared" si="67"/>
        <v>32.458640611526036</v>
      </c>
      <c r="F159" s="379">
        <f t="shared" si="67"/>
        <v>31.959052173670866</v>
      </c>
      <c r="G159" s="379">
        <f t="shared" si="67"/>
        <v>31.50036571318395</v>
      </c>
      <c r="H159" s="379">
        <f t="shared" si="67"/>
        <v>31.663973622656986</v>
      </c>
      <c r="I159" s="379">
        <f t="shared" si="67"/>
        <v>31.444855886755605</v>
      </c>
      <c r="J159" s="379">
        <f t="shared" si="67"/>
        <v>31.275404837658524</v>
      </c>
      <c r="K159" s="379">
        <f t="shared" si="67"/>
        <v>31.132247916869613</v>
      </c>
      <c r="L159" s="379">
        <f t="shared" si="67"/>
        <v>31.015385124388871</v>
      </c>
      <c r="M159" s="379">
        <f t="shared" si="67"/>
        <v>30.927738030028319</v>
      </c>
      <c r="N159" s="379">
        <f t="shared" si="67"/>
        <v>30.866385063975933</v>
      </c>
      <c r="O159" s="379">
        <f t="shared" si="67"/>
        <v>30.831326226231702</v>
      </c>
      <c r="P159" s="379">
        <f t="shared" si="67"/>
        <v>30.825483086607669</v>
      </c>
      <c r="Q159" s="379">
        <f t="shared" si="67"/>
        <v>30.845934075291797</v>
      </c>
      <c r="R159" s="379">
        <f t="shared" si="67"/>
        <v>30.895600762096109</v>
      </c>
      <c r="S159" s="379">
        <f t="shared" si="67"/>
        <v>30.793345818675466</v>
      </c>
      <c r="T159" s="379">
        <f t="shared" si="67"/>
        <v>31.199444022546039</v>
      </c>
      <c r="U159" s="379">
        <f t="shared" si="67"/>
        <v>31.625993215100753</v>
      </c>
      <c r="V159" s="379">
        <f t="shared" si="67"/>
        <v>32.072993396339591</v>
      </c>
      <c r="W159" s="379">
        <f t="shared" si="67"/>
        <v>32.540444566262558</v>
      </c>
      <c r="X159" s="379">
        <f t="shared" si="67"/>
        <v>32.563817124758707</v>
      </c>
      <c r="Y159" s="379">
        <f t="shared" si="67"/>
        <v>33.075091841861948</v>
      </c>
      <c r="Z159" s="379">
        <f t="shared" si="67"/>
        <v>33.606817547649328</v>
      </c>
      <c r="AA159" s="379">
        <f t="shared" si="67"/>
        <v>34.16191581193285</v>
      </c>
      <c r="AB159" s="379">
        <f t="shared" si="67"/>
        <v>34.740386634712515</v>
      </c>
      <c r="AC159" s="379">
        <f t="shared" si="67"/>
        <v>35.09097501215475</v>
      </c>
      <c r="AD159" s="379">
        <f t="shared" si="67"/>
        <v>35.914857699143973</v>
      </c>
      <c r="AE159" s="379">
        <f t="shared" si="67"/>
        <v>36.759191374817334</v>
      </c>
      <c r="AF159" s="379">
        <f t="shared" si="67"/>
        <v>37.626897608986837</v>
      </c>
      <c r="AG159" s="379">
        <f t="shared" si="67"/>
        <v>38.517976401652497</v>
      </c>
    </row>
    <row r="160" spans="1:34">
      <c r="A160" s="300" t="s">
        <v>321</v>
      </c>
      <c r="B160" s="300" t="s">
        <v>300</v>
      </c>
      <c r="C160" s="379">
        <f t="shared" si="67"/>
        <v>38.377659574468083</v>
      </c>
      <c r="D160" s="379">
        <f t="shared" si="67"/>
        <v>38.021276595744681</v>
      </c>
      <c r="E160" s="379">
        <f t="shared" si="67"/>
        <v>37.700452127659574</v>
      </c>
      <c r="F160" s="379">
        <f t="shared" si="67"/>
        <v>37.414393351063836</v>
      </c>
      <c r="G160" s="379">
        <f t="shared" si="67"/>
        <v>37.162345646276599</v>
      </c>
      <c r="H160" s="379">
        <f t="shared" si="67"/>
        <v>36.943591377952139</v>
      </c>
      <c r="I160" s="379">
        <f t="shared" si="67"/>
        <v>34.743354917498941</v>
      </c>
      <c r="J160" s="379">
        <f t="shared" si="67"/>
        <v>33.585374593326378</v>
      </c>
      <c r="K160" s="379">
        <f t="shared" si="67"/>
        <v>32.465909390632063</v>
      </c>
      <c r="L160" s="379">
        <f t="shared" si="67"/>
        <v>31.383505746714572</v>
      </c>
      <c r="M160" s="379">
        <f t="shared" si="67"/>
        <v>30.336770394253463</v>
      </c>
      <c r="N160" s="379">
        <f t="shared" si="67"/>
        <v>29.324367698498847</v>
      </c>
      <c r="O160" s="379">
        <f t="shared" si="67"/>
        <v>28.345017116787627</v>
      </c>
      <c r="P160" s="379">
        <f t="shared" si="67"/>
        <v>27.397490774625592</v>
      </c>
      <c r="Q160" s="379">
        <f t="shared" si="67"/>
        <v>26.480611152849956</v>
      </c>
      <c r="R160" s="379">
        <f t="shared" si="67"/>
        <v>25.593248880649561</v>
      </c>
      <c r="S160" s="379">
        <f t="shared" si="67"/>
        <v>23.629819581762558</v>
      </c>
      <c r="T160" s="379">
        <f t="shared" si="67"/>
        <v>22.958865266996828</v>
      </c>
      <c r="U160" s="379">
        <f t="shared" si="67"/>
        <v>22.311788056303588</v>
      </c>
      <c r="V160" s="379">
        <f t="shared" si="67"/>
        <v>21.687555949435922</v>
      </c>
      <c r="W160" s="379">
        <f t="shared" si="67"/>
        <v>21.085184973144464</v>
      </c>
      <c r="X160" s="379">
        <f t="shared" si="67"/>
        <v>20.503736874191677</v>
      </c>
      <c r="Y160" s="379">
        <f t="shared" si="67"/>
        <v>19.942316925012666</v>
      </c>
      <c r="Z160" s="379">
        <f t="shared" si="67"/>
        <v>19.400071836470154</v>
      </c>
      <c r="AA160" s="379">
        <f t="shared" si="67"/>
        <v>18.87618777242621</v>
      </c>
      <c r="AB160" s="379">
        <f t="shared" si="67"/>
        <v>18.369888461115103</v>
      </c>
      <c r="AC160" s="379">
        <f t="shared" si="67"/>
        <v>17.752644052833407</v>
      </c>
      <c r="AD160" s="379">
        <f t="shared" si="67"/>
        <v>17.813827425000628</v>
      </c>
      <c r="AE160" s="379">
        <f t="shared" si="67"/>
        <v>17.895796643390167</v>
      </c>
      <c r="AF160" s="379">
        <f t="shared" si="67"/>
        <v>17.998217750680137</v>
      </c>
      <c r="AG160" s="379">
        <f t="shared" si="67"/>
        <v>18.120788936597087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24.134466666666668</v>
      </c>
      <c r="D161" s="379">
        <f t="shared" si="68"/>
        <v>24.452345000000001</v>
      </c>
      <c r="E161" s="379">
        <f t="shared" si="68"/>
        <v>24.794899708333332</v>
      </c>
      <c r="F161" s="379">
        <f t="shared" si="68"/>
        <v>25.162239182291664</v>
      </c>
      <c r="G161" s="379">
        <f t="shared" si="68"/>
        <v>25.554747246401043</v>
      </c>
      <c r="H161" s="379">
        <f t="shared" si="68"/>
        <v>26.025616724971016</v>
      </c>
      <c r="I161" s="379">
        <f t="shared" si="68"/>
        <v>26.516716937848063</v>
      </c>
      <c r="J161" s="379">
        <f t="shared" si="68"/>
        <v>27.033286178380326</v>
      </c>
      <c r="K161" s="379">
        <f t="shared" si="68"/>
        <v>27.573376493658071</v>
      </c>
      <c r="L161" s="379">
        <f t="shared" si="68"/>
        <v>28.150515724799124</v>
      </c>
      <c r="M161" s="379">
        <f t="shared" si="68"/>
        <v>28.751841164512474</v>
      </c>
      <c r="N161" s="379">
        <f t="shared" si="68"/>
        <v>29.390633228382015</v>
      </c>
      <c r="O161" s="379">
        <f t="shared" si="68"/>
        <v>30.053782473737137</v>
      </c>
      <c r="P161" s="379">
        <f t="shared" si="68"/>
        <v>30.755123299998068</v>
      </c>
      <c r="Q161" s="379">
        <f t="shared" si="68"/>
        <v>31.494634331073382</v>
      </c>
      <c r="R161" s="379">
        <f t="shared" si="68"/>
        <v>32.272838813743476</v>
      </c>
      <c r="S161" s="379">
        <f t="shared" si="68"/>
        <v>33.09304011926794</v>
      </c>
      <c r="T161" s="379">
        <f t="shared" si="68"/>
        <v>33.995229863204415</v>
      </c>
      <c r="U161" s="379">
        <f t="shared" si="68"/>
        <v>34.948524085198009</v>
      </c>
      <c r="V161" s="379">
        <f t="shared" si="68"/>
        <v>35.939918053851599</v>
      </c>
      <c r="W161" s="379">
        <f t="shared" si="68"/>
        <v>36.969753431800989</v>
      </c>
      <c r="X161" s="379">
        <f t="shared" si="68"/>
        <v>37.995985460718543</v>
      </c>
      <c r="Y161" s="379">
        <f t="shared" si="68"/>
        <v>39.117383500375226</v>
      </c>
      <c r="Z161" s="379">
        <f t="shared" si="68"/>
        <v>40.278331589256439</v>
      </c>
      <c r="AA161" s="379">
        <f t="shared" si="68"/>
        <v>41.492829027593288</v>
      </c>
      <c r="AB161" s="379">
        <f t="shared" si="68"/>
        <v>42.761290983705543</v>
      </c>
      <c r="AC161" s="379">
        <f t="shared" si="68"/>
        <v>44.120727303059745</v>
      </c>
      <c r="AD161" s="379">
        <f t="shared" si="68"/>
        <v>45.576075295321509</v>
      </c>
      <c r="AE161" s="379">
        <f t="shared" si="68"/>
        <v>47.08647423627513</v>
      </c>
      <c r="AF161" s="379">
        <f t="shared" si="68"/>
        <v>48.666015280824986</v>
      </c>
      <c r="AG161" s="379">
        <f t="shared" si="68"/>
        <v>50.301875534574485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2.1887619047619058</v>
      </c>
      <c r="D162" s="379">
        <f t="shared" si="69"/>
        <v>2.1512380952380963</v>
      </c>
      <c r="E162" s="379">
        <f t="shared" si="69"/>
        <v>2.1161904761904773</v>
      </c>
      <c r="F162" s="379">
        <f t="shared" si="69"/>
        <v>2.0836190476190484</v>
      </c>
      <c r="G162" s="379">
        <f t="shared" si="69"/>
        <v>2.0537142857142867</v>
      </c>
      <c r="H162" s="379">
        <f t="shared" si="69"/>
        <v>2.0643809523809531</v>
      </c>
      <c r="I162" s="379">
        <f t="shared" si="69"/>
        <v>2.0500952380952389</v>
      </c>
      <c r="J162" s="379">
        <f t="shared" si="69"/>
        <v>2.0390476190476199</v>
      </c>
      <c r="K162" s="379">
        <f t="shared" si="69"/>
        <v>2.0297142857142867</v>
      </c>
      <c r="L162" s="379">
        <f t="shared" si="69"/>
        <v>2.0220952380952388</v>
      </c>
      <c r="M162" s="379">
        <f t="shared" si="69"/>
        <v>2.0163809523809531</v>
      </c>
      <c r="N162" s="379">
        <f t="shared" si="69"/>
        <v>4.0247619047619061</v>
      </c>
      <c r="O162" s="379">
        <f t="shared" si="69"/>
        <v>4.0201904761904776</v>
      </c>
      <c r="P162" s="379">
        <f t="shared" si="69"/>
        <v>4.0194285714285733</v>
      </c>
      <c r="Q162" s="379">
        <f t="shared" si="69"/>
        <v>4.0220952380952397</v>
      </c>
      <c r="R162" s="379">
        <f t="shared" si="69"/>
        <v>4.0285714285714302</v>
      </c>
      <c r="S162" s="379">
        <f t="shared" si="69"/>
        <v>4.0152380952380966</v>
      </c>
      <c r="T162" s="379">
        <f t="shared" si="69"/>
        <v>4.0681904761904777</v>
      </c>
      <c r="U162" s="379">
        <f t="shared" si="69"/>
        <v>4.1238095238095251</v>
      </c>
      <c r="V162" s="379">
        <f t="shared" si="69"/>
        <v>4.1820952380952399</v>
      </c>
      <c r="W162" s="379">
        <f t="shared" si="69"/>
        <v>4.243047619047621</v>
      </c>
      <c r="X162" s="379">
        <f t="shared" si="69"/>
        <v>6.3691428571428581</v>
      </c>
      <c r="Y162" s="379">
        <f t="shared" si="69"/>
        <v>6.4691428571428577</v>
      </c>
      <c r="Z162" s="379">
        <f t="shared" si="69"/>
        <v>6.5731428571428578</v>
      </c>
      <c r="AA162" s="379">
        <f t="shared" si="69"/>
        <v>6.6817142857142864</v>
      </c>
      <c r="AB162" s="379">
        <f t="shared" si="69"/>
        <v>6.7948571428571434</v>
      </c>
      <c r="AC162" s="379">
        <f t="shared" si="69"/>
        <v>6.8634285714285719</v>
      </c>
      <c r="AD162" s="379">
        <f t="shared" si="69"/>
        <v>7.0245714285714298</v>
      </c>
      <c r="AE162" s="379">
        <f t="shared" si="69"/>
        <v>7.1897142857142864</v>
      </c>
      <c r="AF162" s="379">
        <f t="shared" si="69"/>
        <v>7.3594285714285723</v>
      </c>
      <c r="AG162" s="379">
        <f t="shared" si="69"/>
        <v>7.5337142857142867</v>
      </c>
    </row>
    <row r="163" spans="1:33">
      <c r="A163" s="380" t="s">
        <v>323</v>
      </c>
      <c r="B163" s="300" t="s">
        <v>300</v>
      </c>
      <c r="C163" s="387">
        <f>SUM(C159:C161)-C162</f>
        <v>93.895123046277945</v>
      </c>
      <c r="D163" s="387">
        <f t="shared" ref="D163:AG163" si="70">SUM(D159:D161)-D162</f>
        <v>93.318592957444039</v>
      </c>
      <c r="E163" s="387">
        <f t="shared" si="70"/>
        <v>92.83780197132846</v>
      </c>
      <c r="F163" s="387">
        <f t="shared" si="70"/>
        <v>92.452065659407324</v>
      </c>
      <c r="G163" s="387">
        <f t="shared" si="70"/>
        <v>92.163744320147302</v>
      </c>
      <c r="H163" s="387">
        <f t="shared" si="70"/>
        <v>92.568800773199186</v>
      </c>
      <c r="I163" s="387">
        <f t="shared" si="70"/>
        <v>90.654832504007359</v>
      </c>
      <c r="J163" s="387">
        <f t="shared" si="70"/>
        <v>89.855017990317606</v>
      </c>
      <c r="K163" s="387">
        <f t="shared" si="70"/>
        <v>89.141819515445462</v>
      </c>
      <c r="L163" s="387">
        <f t="shared" si="70"/>
        <v>88.527311357807335</v>
      </c>
      <c r="M163" s="387">
        <f t="shared" si="70"/>
        <v>87.9999686364133</v>
      </c>
      <c r="N163" s="387">
        <f t="shared" si="70"/>
        <v>85.556624086094899</v>
      </c>
      <c r="O163" s="387">
        <f t="shared" si="70"/>
        <v>85.209935340565991</v>
      </c>
      <c r="P163" s="387">
        <f t="shared" si="70"/>
        <v>84.958668589802741</v>
      </c>
      <c r="Q163" s="387">
        <f t="shared" si="70"/>
        <v>84.799084321119892</v>
      </c>
      <c r="R163" s="387">
        <f t="shared" si="70"/>
        <v>84.733117027917714</v>
      </c>
      <c r="S163" s="387">
        <f t="shared" si="70"/>
        <v>83.500967424467859</v>
      </c>
      <c r="T163" s="387">
        <f t="shared" si="70"/>
        <v>84.085348676556805</v>
      </c>
      <c r="U163" s="387">
        <f t="shared" si="70"/>
        <v>84.762495832792823</v>
      </c>
      <c r="V163" s="387">
        <f t="shared" si="70"/>
        <v>85.518372161531872</v>
      </c>
      <c r="W163" s="387">
        <f t="shared" si="70"/>
        <v>86.352335352160395</v>
      </c>
      <c r="X163" s="387">
        <f t="shared" si="70"/>
        <v>84.694396602526069</v>
      </c>
      <c r="Y163" s="387">
        <f t="shared" si="70"/>
        <v>85.66564941010698</v>
      </c>
      <c r="Z163" s="387">
        <f t="shared" si="70"/>
        <v>86.712078116233059</v>
      </c>
      <c r="AA163" s="387">
        <f t="shared" si="70"/>
        <v>87.849218326238059</v>
      </c>
      <c r="AB163" s="387">
        <f t="shared" si="70"/>
        <v>89.076708936676013</v>
      </c>
      <c r="AC163" s="387">
        <f t="shared" si="70"/>
        <v>90.100917796619328</v>
      </c>
      <c r="AD163" s="387">
        <f t="shared" si="70"/>
        <v>92.280188990894672</v>
      </c>
      <c r="AE163" s="387">
        <f t="shared" si="70"/>
        <v>94.551747968768339</v>
      </c>
      <c r="AF163" s="387">
        <f t="shared" si="70"/>
        <v>96.931702069063391</v>
      </c>
      <c r="AG163" s="387">
        <f t="shared" si="70"/>
        <v>99.406926587109794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43.711817668555511</v>
      </c>
      <c r="D165" s="379">
        <f t="shared" si="72"/>
        <v>46.577639930847234</v>
      </c>
      <c r="E165" s="379">
        <f t="shared" si="72"/>
        <v>47.748246535990312</v>
      </c>
      <c r="F165" s="379">
        <f t="shared" si="72"/>
        <v>48.954795939423818</v>
      </c>
      <c r="G165" s="379">
        <f t="shared" si="72"/>
        <v>50.197706052630494</v>
      </c>
      <c r="H165" s="379">
        <f t="shared" si="72"/>
        <v>52.334082876589591</v>
      </c>
      <c r="I165" s="379">
        <f t="shared" si="72"/>
        <v>53.677564220975498</v>
      </c>
      <c r="J165" s="379">
        <f t="shared" si="72"/>
        <v>55.060238206514839</v>
      </c>
      <c r="K165" s="379">
        <f t="shared" si="72"/>
        <v>56.483005589007391</v>
      </c>
      <c r="L165" s="379">
        <f t="shared" si="72"/>
        <v>57.959687215498903</v>
      </c>
      <c r="M165" s="379">
        <f t="shared" si="72"/>
        <v>59.477880787462929</v>
      </c>
      <c r="N165" s="379">
        <f t="shared" si="72"/>
        <v>62.078704701165691</v>
      </c>
      <c r="O165" s="379">
        <f t="shared" si="72"/>
        <v>63.726884764974685</v>
      </c>
      <c r="P165" s="379">
        <f t="shared" si="72"/>
        <v>65.419972926734403</v>
      </c>
      <c r="Q165" s="379">
        <f t="shared" si="72"/>
        <v>67.172338794890436</v>
      </c>
      <c r="R165" s="379">
        <f t="shared" si="72"/>
        <v>68.971470481622021</v>
      </c>
      <c r="S165" s="379">
        <f t="shared" si="72"/>
        <v>70.83177479708371</v>
      </c>
      <c r="T165" s="379">
        <f t="shared" si="72"/>
        <v>72.754111696772881</v>
      </c>
      <c r="U165" s="379">
        <f t="shared" si="72"/>
        <v>74.73959452450822</v>
      </c>
      <c r="V165" s="379">
        <f t="shared" si="72"/>
        <v>76.789357619773099</v>
      </c>
      <c r="W165" s="379">
        <f t="shared" si="72"/>
        <v>78.904323951838336</v>
      </c>
      <c r="X165" s="379">
        <f t="shared" si="72"/>
        <v>82.483790933431223</v>
      </c>
      <c r="Y165" s="379">
        <f t="shared" si="72"/>
        <v>84.774898783469382</v>
      </c>
      <c r="Z165" s="379">
        <f t="shared" si="72"/>
        <v>87.136073542474136</v>
      </c>
      <c r="AA165" s="379">
        <f t="shared" si="72"/>
        <v>89.581937681696175</v>
      </c>
      <c r="AB165" s="379">
        <f t="shared" si="72"/>
        <v>92.100472901588105</v>
      </c>
      <c r="AC165" s="379">
        <f t="shared" si="72"/>
        <v>94.70635439246729</v>
      </c>
      <c r="AD165" s="379">
        <f t="shared" si="72"/>
        <v>97.387618463431963</v>
      </c>
      <c r="AE165" s="379">
        <f t="shared" si="72"/>
        <v>100.15924903119837</v>
      </c>
      <c r="AF165" s="379">
        <f t="shared" si="72"/>
        <v>103.02267434233988</v>
      </c>
      <c r="AG165" s="379">
        <f t="shared" si="72"/>
        <v>105.97935353894397</v>
      </c>
    </row>
    <row r="166" spans="1:33">
      <c r="A166" s="368" t="s">
        <v>179</v>
      </c>
      <c r="B166" s="368" t="s">
        <v>179</v>
      </c>
      <c r="C166" s="379">
        <f t="shared" ref="C166:AG166" si="73">C95</f>
        <v>43.363145817087727</v>
      </c>
      <c r="D166" s="379">
        <f t="shared" si="73"/>
        <v>45.037539071744469</v>
      </c>
      <c r="E166" s="379">
        <f t="shared" si="73"/>
        <v>46.378674105481018</v>
      </c>
      <c r="F166" s="379">
        <f t="shared" si="73"/>
        <v>47.768490872631411</v>
      </c>
      <c r="G166" s="379">
        <f t="shared" si="73"/>
        <v>49.203295155816491</v>
      </c>
      <c r="H166" s="379">
        <f t="shared" si="73"/>
        <v>51.580468360567949</v>
      </c>
      <c r="I166" s="379">
        <f t="shared" si="73"/>
        <v>53.138986397908219</v>
      </c>
      <c r="J166" s="379">
        <f t="shared" si="73"/>
        <v>54.747218915175729</v>
      </c>
      <c r="K166" s="379">
        <f t="shared" si="73"/>
        <v>56.408288051276507</v>
      </c>
      <c r="L166" s="379">
        <f t="shared" si="73"/>
        <v>58.136442978915007</v>
      </c>
      <c r="M166" s="379">
        <f t="shared" si="73"/>
        <v>59.917060914387719</v>
      </c>
      <c r="N166" s="379">
        <f t="shared" si="73"/>
        <v>62.859450967313414</v>
      </c>
      <c r="O166" s="379">
        <f t="shared" si="73"/>
        <v>64.798909560391749</v>
      </c>
      <c r="P166" s="379">
        <f t="shared" si="73"/>
        <v>66.799478974139618</v>
      </c>
      <c r="Q166" s="379">
        <f t="shared" si="73"/>
        <v>68.870719369070642</v>
      </c>
      <c r="R166" s="379">
        <f t="shared" si="73"/>
        <v>71.007692067142855</v>
      </c>
      <c r="S166" s="379">
        <f t="shared" si="73"/>
        <v>73.220030809088271</v>
      </c>
      <c r="T166" s="379">
        <f t="shared" si="73"/>
        <v>75.511353692836025</v>
      </c>
      <c r="U166" s="379">
        <f t="shared" si="73"/>
        <v>77.882892509750135</v>
      </c>
      <c r="V166" s="379">
        <f t="shared" si="73"/>
        <v>80.335920452815273</v>
      </c>
      <c r="W166" s="379">
        <f t="shared" si="73"/>
        <v>82.874179873193441</v>
      </c>
      <c r="X166" s="379">
        <f t="shared" si="73"/>
        <v>86.983080950495179</v>
      </c>
      <c r="Y166" s="379">
        <f t="shared" si="73"/>
        <v>89.738075213162716</v>
      </c>
      <c r="Z166" s="379">
        <f t="shared" si="73"/>
        <v>92.583854314412307</v>
      </c>
      <c r="AA166" s="379">
        <f t="shared" si="73"/>
        <v>95.53787099865076</v>
      </c>
      <c r="AB166" s="379">
        <f t="shared" si="73"/>
        <v>98.583111659102713</v>
      </c>
      <c r="AC166" s="379">
        <f t="shared" si="73"/>
        <v>101.74236588819892</v>
      </c>
      <c r="AD166" s="379">
        <f t="shared" si="73"/>
        <v>104.99872688089734</v>
      </c>
      <c r="AE166" s="379">
        <f t="shared" si="73"/>
        <v>108.37247791907069</v>
      </c>
      <c r="AF166" s="379">
        <f t="shared" si="73"/>
        <v>111.86277666251877</v>
      </c>
      <c r="AG166" s="379">
        <f t="shared" si="73"/>
        <v>115.47145772916672</v>
      </c>
    </row>
    <row r="167" spans="1:33">
      <c r="A167" s="300" t="s">
        <v>180</v>
      </c>
      <c r="B167" s="300" t="s">
        <v>180</v>
      </c>
      <c r="C167" s="379">
        <f t="shared" ref="C167:AG167" si="74">C112</f>
        <v>43.637542766618473</v>
      </c>
      <c r="D167" s="379">
        <f t="shared" si="74"/>
        <v>45.014096963283819</v>
      </c>
      <c r="E167" s="379">
        <f t="shared" si="74"/>
        <v>46.330292059861414</v>
      </c>
      <c r="F167" s="379">
        <f t="shared" si="74"/>
        <v>47.69225191187757</v>
      </c>
      <c r="G167" s="379">
        <f t="shared" si="74"/>
        <v>49.098497723805956</v>
      </c>
      <c r="H167" s="379">
        <f t="shared" si="74"/>
        <v>51.444153998968311</v>
      </c>
      <c r="I167" s="379">
        <f t="shared" si="74"/>
        <v>52.972646681355457</v>
      </c>
      <c r="J167" s="379">
        <f t="shared" si="74"/>
        <v>54.547851378826529</v>
      </c>
      <c r="K167" s="379">
        <f t="shared" si="74"/>
        <v>56.175103087534339</v>
      </c>
      <c r="L167" s="379">
        <f t="shared" si="74"/>
        <v>57.866391436429147</v>
      </c>
      <c r="M167" s="379">
        <f t="shared" si="74"/>
        <v>59.611540953985326</v>
      </c>
      <c r="N167" s="379">
        <f t="shared" si="74"/>
        <v>62.572697241261366</v>
      </c>
      <c r="O167" s="379">
        <f t="shared" si="74"/>
        <v>64.474364452005275</v>
      </c>
      <c r="P167" s="379">
        <f t="shared" si="74"/>
        <v>66.431374448369652</v>
      </c>
      <c r="Q167" s="379">
        <f t="shared" si="74"/>
        <v>68.460538924869951</v>
      </c>
      <c r="R167" s="379">
        <f t="shared" si="74"/>
        <v>70.552038255047734</v>
      </c>
      <c r="S167" s="379">
        <f t="shared" si="74"/>
        <v>72.717903377819425</v>
      </c>
      <c r="T167" s="379">
        <f t="shared" si="74"/>
        <v>74.961722383575776</v>
      </c>
      <c r="U167" s="379">
        <f t="shared" si="74"/>
        <v>77.28226982419946</v>
      </c>
      <c r="V167" s="379">
        <f t="shared" si="74"/>
        <v>79.685639721111272</v>
      </c>
      <c r="W167" s="379">
        <f t="shared" si="74"/>
        <v>82.168262640275444</v>
      </c>
      <c r="X167" s="379">
        <f t="shared" si="74"/>
        <v>86.270413030323155</v>
      </c>
      <c r="Y167" s="379">
        <f t="shared" si="74"/>
        <v>88.968700348637569</v>
      </c>
      <c r="Z167" s="379">
        <f t="shared" si="74"/>
        <v>91.753925514719498</v>
      </c>
      <c r="AA167" s="379">
        <f t="shared" si="74"/>
        <v>94.64088755958123</v>
      </c>
      <c r="AB167" s="379">
        <f t="shared" si="74"/>
        <v>97.623002095424681</v>
      </c>
      <c r="AC167" s="379">
        <f t="shared" si="74"/>
        <v>100.71516913792738</v>
      </c>
      <c r="AD167" s="379">
        <f t="shared" si="74"/>
        <v>103.90044155442499</v>
      </c>
      <c r="AE167" s="379">
        <f t="shared" si="74"/>
        <v>107.20167789724643</v>
      </c>
      <c r="AF167" s="379">
        <f t="shared" si="74"/>
        <v>110.61537623470977</v>
      </c>
      <c r="AG167" s="379">
        <f t="shared" si="74"/>
        <v>114.14856073347286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57.361696038472033</v>
      </c>
      <c r="D168" s="379">
        <f t="shared" si="75"/>
        <v>57.784156788094421</v>
      </c>
      <c r="E168" s="379">
        <f t="shared" si="75"/>
        <v>58.155875850388504</v>
      </c>
      <c r="F168" s="379">
        <f t="shared" si="75"/>
        <v>57.99408892549507</v>
      </c>
      <c r="G168" s="379">
        <f t="shared" si="75"/>
        <v>57.785779736886454</v>
      </c>
      <c r="H168" s="379">
        <f t="shared" si="75"/>
        <v>58.409706134018634</v>
      </c>
      <c r="I168" s="379">
        <f t="shared" si="75"/>
        <v>56.84336675601832</v>
      </c>
      <c r="J168" s="379">
        <f t="shared" si="75"/>
        <v>57.227570180793293</v>
      </c>
      <c r="K168" s="379">
        <f t="shared" si="75"/>
        <v>57.460433724395877</v>
      </c>
      <c r="L168" s="379">
        <f t="shared" si="75"/>
        <v>57.816703794073547</v>
      </c>
      <c r="M168" s="379">
        <f t="shared" si="75"/>
        <v>58.293244697220779</v>
      </c>
      <c r="N168" s="379">
        <f t="shared" si="75"/>
        <v>57.423609346649997</v>
      </c>
      <c r="O168" s="379">
        <f t="shared" si="75"/>
        <v>58.184465438682665</v>
      </c>
      <c r="P168" s="379">
        <f t="shared" si="75"/>
        <v>58.971492454940659</v>
      </c>
      <c r="Q168" s="379">
        <f t="shared" si="75"/>
        <v>59.852362211236773</v>
      </c>
      <c r="R168" s="379">
        <f t="shared" si="75"/>
        <v>60.833156622722228</v>
      </c>
      <c r="S168" s="379">
        <f t="shared" si="75"/>
        <v>61.71533338874287</v>
      </c>
      <c r="T168" s="379">
        <f t="shared" si="75"/>
        <v>63.059876519366028</v>
      </c>
      <c r="U168" s="379">
        <f t="shared" si="75"/>
        <v>64.438892642418864</v>
      </c>
      <c r="V168" s="379">
        <f t="shared" si="75"/>
        <v>65.876241906704863</v>
      </c>
      <c r="W168" s="379">
        <f t="shared" si="75"/>
        <v>67.370753378112639</v>
      </c>
      <c r="X168" s="379">
        <f t="shared" si="75"/>
        <v>67.096525558341369</v>
      </c>
      <c r="Y168" s="379">
        <f t="shared" si="75"/>
        <v>68.690055027422559</v>
      </c>
      <c r="Z168" s="379">
        <f t="shared" si="75"/>
        <v>70.34639350600257</v>
      </c>
      <c r="AA168" s="379">
        <f t="shared" si="75"/>
        <v>72.080590518757603</v>
      </c>
      <c r="AB168" s="379">
        <f t="shared" si="75"/>
        <v>73.88960733673332</v>
      </c>
      <c r="AC168" s="379">
        <f t="shared" si="75"/>
        <v>76.099896462981064</v>
      </c>
      <c r="AD168" s="379">
        <f t="shared" si="75"/>
        <v>78.437763101714424</v>
      </c>
      <c r="AE168" s="379">
        <f t="shared" si="75"/>
        <v>80.859640206166361</v>
      </c>
      <c r="AF168" s="379">
        <f t="shared" si="75"/>
        <v>83.383639616090107</v>
      </c>
      <c r="AG168" s="379">
        <f t="shared" si="75"/>
        <v>85.996417381699629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82.215899012877685</v>
      </c>
      <c r="D169" s="379">
        <f t="shared" si="76"/>
        <v>82.316037708652161</v>
      </c>
      <c r="E169" s="379">
        <f t="shared" si="76"/>
        <v>82.503005407295149</v>
      </c>
      <c r="F169" s="379">
        <f t="shared" si="76"/>
        <v>82.778720062610603</v>
      </c>
      <c r="G169" s="379">
        <f t="shared" si="76"/>
        <v>83.137024733019032</v>
      </c>
      <c r="H169" s="379">
        <f t="shared" si="76"/>
        <v>84.664777048693168</v>
      </c>
      <c r="I169" s="379">
        <f t="shared" si="76"/>
        <v>82.574069030201926</v>
      </c>
      <c r="J169" s="379">
        <f t="shared" si="76"/>
        <v>81.908451709041131</v>
      </c>
      <c r="K169" s="379">
        <f t="shared" si="76"/>
        <v>81.33534664435922</v>
      </c>
      <c r="L169" s="379">
        <f t="shared" si="76"/>
        <v>80.861056346192498</v>
      </c>
      <c r="M169" s="379">
        <f t="shared" si="76"/>
        <v>80.476158266934945</v>
      </c>
      <c r="N169" s="379">
        <f t="shared" si="76"/>
        <v>78.954231733638991</v>
      </c>
      <c r="O169" s="379">
        <f t="shared" si="76"/>
        <v>78.730558187615372</v>
      </c>
      <c r="P169" s="379">
        <f t="shared" si="76"/>
        <v>78.588413186999148</v>
      </c>
      <c r="Q169" s="379">
        <f t="shared" si="76"/>
        <v>78.539961949490191</v>
      </c>
      <c r="R169" s="379">
        <f t="shared" si="76"/>
        <v>78.575826205654124</v>
      </c>
      <c r="S169" s="379">
        <f t="shared" si="76"/>
        <v>77.331480665469343</v>
      </c>
      <c r="T169" s="379">
        <f t="shared" si="76"/>
        <v>77.864569906355726</v>
      </c>
      <c r="U169" s="379">
        <f t="shared" si="76"/>
        <v>78.4840992565683</v>
      </c>
      <c r="V169" s="379">
        <f t="shared" si="76"/>
        <v>79.189180407027266</v>
      </c>
      <c r="W169" s="379">
        <f t="shared" si="76"/>
        <v>79.979008346058038</v>
      </c>
      <c r="X169" s="379">
        <f t="shared" si="76"/>
        <v>80.071811432356526</v>
      </c>
      <c r="Y169" s="379">
        <f t="shared" si="76"/>
        <v>81.009751790085659</v>
      </c>
      <c r="Z169" s="379">
        <f t="shared" si="76"/>
        <v>82.032356407345844</v>
      </c>
      <c r="AA169" s="379">
        <f t="shared" si="76"/>
        <v>83.150039162272279</v>
      </c>
      <c r="AB169" s="379">
        <f t="shared" si="76"/>
        <v>84.351473436449055</v>
      </c>
      <c r="AC169" s="379">
        <f t="shared" si="76"/>
        <v>85.481685529308564</v>
      </c>
      <c r="AD169" s="379">
        <f t="shared" si="76"/>
        <v>87.580504371418897</v>
      </c>
      <c r="AE169" s="379">
        <f t="shared" si="76"/>
        <v>89.782672483219315</v>
      </c>
      <c r="AF169" s="379">
        <f t="shared" si="76"/>
        <v>92.090889739056493</v>
      </c>
      <c r="AG169" s="379">
        <f t="shared" si="76"/>
        <v>94.505501025050179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93.895123046277945</v>
      </c>
      <c r="D170" s="379">
        <f t="shared" si="78"/>
        <v>93.318592957444039</v>
      </c>
      <c r="E170" s="379">
        <f t="shared" si="78"/>
        <v>92.83780197132846</v>
      </c>
      <c r="F170" s="379">
        <f t="shared" si="78"/>
        <v>92.452065659407324</v>
      </c>
      <c r="G170" s="379">
        <f t="shared" si="78"/>
        <v>92.163744320147302</v>
      </c>
      <c r="H170" s="379">
        <f t="shared" si="78"/>
        <v>92.568800773199186</v>
      </c>
      <c r="I170" s="379">
        <f t="shared" si="78"/>
        <v>90.654832504007359</v>
      </c>
      <c r="J170" s="379">
        <f t="shared" si="78"/>
        <v>89.855017990317606</v>
      </c>
      <c r="K170" s="379">
        <f t="shared" si="78"/>
        <v>89.141819515445462</v>
      </c>
      <c r="L170" s="379">
        <f t="shared" si="78"/>
        <v>88.527311357807335</v>
      </c>
      <c r="M170" s="379">
        <f t="shared" si="78"/>
        <v>87.9999686364133</v>
      </c>
      <c r="N170" s="379">
        <f t="shared" si="78"/>
        <v>85.556624086094899</v>
      </c>
      <c r="O170" s="379">
        <f t="shared" si="78"/>
        <v>85.209935340565991</v>
      </c>
      <c r="P170" s="379">
        <f t="shared" si="78"/>
        <v>84.958668589802741</v>
      </c>
      <c r="Q170" s="379">
        <f t="shared" si="78"/>
        <v>84.799084321119892</v>
      </c>
      <c r="R170" s="379">
        <f t="shared" si="78"/>
        <v>84.733117027917714</v>
      </c>
      <c r="S170" s="379">
        <f t="shared" si="78"/>
        <v>83.500967424467859</v>
      </c>
      <c r="T170" s="379">
        <f t="shared" si="78"/>
        <v>84.085348676556805</v>
      </c>
      <c r="U170" s="379">
        <f t="shared" si="78"/>
        <v>84.762495832792823</v>
      </c>
      <c r="V170" s="379">
        <f t="shared" si="78"/>
        <v>85.518372161531872</v>
      </c>
      <c r="W170" s="379">
        <f t="shared" si="78"/>
        <v>86.352335352160395</v>
      </c>
      <c r="X170" s="379">
        <f t="shared" si="78"/>
        <v>84.694396602526069</v>
      </c>
      <c r="Y170" s="379">
        <f t="shared" si="78"/>
        <v>85.66564941010698</v>
      </c>
      <c r="Z170" s="379">
        <f t="shared" si="78"/>
        <v>86.712078116233059</v>
      </c>
      <c r="AA170" s="379">
        <f t="shared" si="78"/>
        <v>87.849218326238059</v>
      </c>
      <c r="AB170" s="379">
        <f t="shared" si="78"/>
        <v>89.076708936676013</v>
      </c>
      <c r="AC170" s="379">
        <f t="shared" si="78"/>
        <v>90.100917796619328</v>
      </c>
      <c r="AD170" s="379">
        <f t="shared" si="78"/>
        <v>92.280188990894672</v>
      </c>
      <c r="AE170" s="379">
        <f t="shared" si="78"/>
        <v>94.551747968768339</v>
      </c>
      <c r="AF170" s="379">
        <f t="shared" si="78"/>
        <v>96.931702069063391</v>
      </c>
      <c r="AG170" s="379">
        <f t="shared" si="78"/>
        <v>99.406926587109794</v>
      </c>
    </row>
    <row r="171" spans="1:33">
      <c r="A171" s="300" t="s">
        <v>334</v>
      </c>
      <c r="C171" s="379">
        <f t="shared" ref="C171:AG171" si="79">C165*0.9</f>
        <v>39.340635901699962</v>
      </c>
      <c r="D171" s="379">
        <f t="shared" si="79"/>
        <v>41.919875937762512</v>
      </c>
      <c r="E171" s="379">
        <f t="shared" si="79"/>
        <v>42.973421882391278</v>
      </c>
      <c r="F171" s="379">
        <f t="shared" si="79"/>
        <v>44.059316345481434</v>
      </c>
      <c r="G171" s="379">
        <f t="shared" si="79"/>
        <v>45.177935447367446</v>
      </c>
      <c r="H171" s="379">
        <f t="shared" si="79"/>
        <v>47.10067458893063</v>
      </c>
      <c r="I171" s="379">
        <f t="shared" si="79"/>
        <v>48.309807798877948</v>
      </c>
      <c r="J171" s="379">
        <f t="shared" si="79"/>
        <v>49.554214385863354</v>
      </c>
      <c r="K171" s="379">
        <f t="shared" si="79"/>
        <v>50.834705030106655</v>
      </c>
      <c r="L171" s="379">
        <f t="shared" si="79"/>
        <v>52.163718493949013</v>
      </c>
      <c r="M171" s="379">
        <f t="shared" si="79"/>
        <v>53.530092708716637</v>
      </c>
      <c r="N171" s="379">
        <f t="shared" si="79"/>
        <v>55.870834231049123</v>
      </c>
      <c r="O171" s="379">
        <f t="shared" si="79"/>
        <v>57.354196288477219</v>
      </c>
      <c r="P171" s="379">
        <f t="shared" si="79"/>
        <v>58.877975634060967</v>
      </c>
      <c r="Q171" s="379">
        <f t="shared" si="79"/>
        <v>60.455104915401392</v>
      </c>
      <c r="R171" s="379">
        <f t="shared" si="79"/>
        <v>62.074323433459817</v>
      </c>
      <c r="S171" s="379">
        <f t="shared" si="79"/>
        <v>63.748597317375342</v>
      </c>
      <c r="T171" s="379">
        <f t="shared" si="79"/>
        <v>65.478700527095597</v>
      </c>
      <c r="U171" s="379">
        <f t="shared" si="79"/>
        <v>67.265635072057407</v>
      </c>
      <c r="V171" s="379">
        <f t="shared" si="79"/>
        <v>69.110421857795785</v>
      </c>
      <c r="W171" s="379">
        <f t="shared" si="79"/>
        <v>71.013891556654499</v>
      </c>
      <c r="X171" s="379">
        <f t="shared" si="79"/>
        <v>74.235411840088105</v>
      </c>
      <c r="Y171" s="379">
        <f t="shared" si="79"/>
        <v>76.297408905122452</v>
      </c>
      <c r="Z171" s="379">
        <f t="shared" si="79"/>
        <v>78.422466188226721</v>
      </c>
      <c r="AA171" s="379">
        <f t="shared" si="79"/>
        <v>80.623743913526553</v>
      </c>
      <c r="AB171" s="379">
        <f t="shared" si="79"/>
        <v>82.890425611429293</v>
      </c>
      <c r="AC171" s="379">
        <f t="shared" si="79"/>
        <v>85.235718953220569</v>
      </c>
      <c r="AD171" s="379">
        <f t="shared" si="79"/>
        <v>87.648856617088768</v>
      </c>
      <c r="AE171" s="379">
        <f t="shared" si="79"/>
        <v>90.143324128078532</v>
      </c>
      <c r="AF171" s="379">
        <f t="shared" si="79"/>
        <v>92.7204069081059</v>
      </c>
      <c r="AG171" s="379">
        <f t="shared" si="79"/>
        <v>95.381418185049569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2.3628009550570548</v>
      </c>
      <c r="D174" s="379">
        <f t="shared" si="81"/>
        <v>2.517710266532283</v>
      </c>
      <c r="E174" s="379">
        <f t="shared" si="81"/>
        <v>2.5809862992427197</v>
      </c>
      <c r="F174" s="379">
        <f t="shared" si="81"/>
        <v>2.646205185914801</v>
      </c>
      <c r="G174" s="379">
        <f t="shared" si="81"/>
        <v>2.7133895163584048</v>
      </c>
      <c r="H174" s="379">
        <f t="shared" si="81"/>
        <v>2.8288693446805184</v>
      </c>
      <c r="I174" s="379">
        <f t="shared" si="81"/>
        <v>2.9014899578905675</v>
      </c>
      <c r="J174" s="379">
        <f t="shared" si="81"/>
        <v>2.9762290922440453</v>
      </c>
      <c r="K174" s="379">
        <f t="shared" si="81"/>
        <v>3.0531354372436423</v>
      </c>
      <c r="L174" s="379">
        <f t="shared" si="81"/>
        <v>3.1329560657026434</v>
      </c>
      <c r="M174" s="379">
        <f t="shared" si="81"/>
        <v>3.2150205831061043</v>
      </c>
      <c r="N174" s="379">
        <f t="shared" si="81"/>
        <v>3.3556056595224697</v>
      </c>
      <c r="O174" s="379">
        <f t="shared" si="81"/>
        <v>3.4446964737824155</v>
      </c>
      <c r="P174" s="379">
        <f t="shared" si="81"/>
        <v>3.5362147527964543</v>
      </c>
      <c r="Q174" s="379">
        <f t="shared" si="81"/>
        <v>3.6309372321562399</v>
      </c>
      <c r="R174" s="379">
        <f t="shared" si="81"/>
        <v>3.7281875936011901</v>
      </c>
      <c r="S174" s="379">
        <f t="shared" si="81"/>
        <v>3.8287445836261464</v>
      </c>
      <c r="T174" s="379">
        <f t="shared" si="81"/>
        <v>3.932654686312048</v>
      </c>
      <c r="U174" s="379">
        <f t="shared" si="81"/>
        <v>4.0399780824058498</v>
      </c>
      <c r="V174" s="379">
        <f t="shared" si="81"/>
        <v>4.1507760875553021</v>
      </c>
      <c r="W174" s="379">
        <f t="shared" si="81"/>
        <v>4.2650985919912614</v>
      </c>
      <c r="X174" s="379">
        <f t="shared" si="81"/>
        <v>4.4585832936989851</v>
      </c>
      <c r="Y174" s="379">
        <f t="shared" si="81"/>
        <v>4.5824269612686157</v>
      </c>
      <c r="Z174" s="379">
        <f t="shared" si="81"/>
        <v>4.7100580293229264</v>
      </c>
      <c r="AA174" s="379">
        <f t="shared" si="81"/>
        <v>4.8422669017133071</v>
      </c>
      <c r="AB174" s="379">
        <f t="shared" si="81"/>
        <v>4.978403940626384</v>
      </c>
      <c r="AC174" s="379">
        <f t="shared" si="81"/>
        <v>5.1192623995928264</v>
      </c>
      <c r="AD174" s="379">
        <f t="shared" si="81"/>
        <v>5.264195592617944</v>
      </c>
      <c r="AE174" s="379">
        <f t="shared" si="81"/>
        <v>5.4140134611458581</v>
      </c>
      <c r="AF174" s="379">
        <f t="shared" si="81"/>
        <v>5.5687932076940472</v>
      </c>
      <c r="AG174" s="379">
        <f t="shared" si="81"/>
        <v>5.7286137048077821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4.4441026493447398</v>
      </c>
      <c r="D175" s="379">
        <f t="shared" si="83"/>
        <v>4.4495155518190357</v>
      </c>
      <c r="E175" s="379">
        <f t="shared" si="83"/>
        <v>4.4596219139078457</v>
      </c>
      <c r="F175" s="379">
        <f t="shared" si="83"/>
        <v>4.4745254087897628</v>
      </c>
      <c r="G175" s="379">
        <f t="shared" si="83"/>
        <v>4.4938932288118396</v>
      </c>
      <c r="H175" s="379">
        <f t="shared" si="83"/>
        <v>4.5764744350644957</v>
      </c>
      <c r="I175" s="379">
        <f t="shared" si="83"/>
        <v>4.4634631908217255</v>
      </c>
      <c r="J175" s="379">
        <f t="shared" si="83"/>
        <v>4.4274838761643851</v>
      </c>
      <c r="K175" s="379">
        <f t="shared" si="83"/>
        <v>4.3965052240194167</v>
      </c>
      <c r="L175" s="379">
        <f t="shared" si="83"/>
        <v>4.3708679106049999</v>
      </c>
      <c r="M175" s="379">
        <f t="shared" si="83"/>
        <v>4.3500626090235102</v>
      </c>
      <c r="N175" s="379">
        <f t="shared" si="83"/>
        <v>4.2677963099264318</v>
      </c>
      <c r="O175" s="379">
        <f t="shared" si="83"/>
        <v>4.2557058479792094</v>
      </c>
      <c r="P175" s="379">
        <f t="shared" si="83"/>
        <v>4.2480223344323864</v>
      </c>
      <c r="Q175" s="379">
        <f t="shared" si="83"/>
        <v>4.2454033486210916</v>
      </c>
      <c r="R175" s="379">
        <f t="shared" si="83"/>
        <v>4.2473419570623854</v>
      </c>
      <c r="S175" s="379">
        <f t="shared" si="83"/>
        <v>4.1800800359713151</v>
      </c>
      <c r="T175" s="379">
        <f t="shared" si="83"/>
        <v>4.2088956706138232</v>
      </c>
      <c r="U175" s="379">
        <f t="shared" si="83"/>
        <v>4.2423837435982872</v>
      </c>
      <c r="V175" s="379">
        <f t="shared" si="83"/>
        <v>4.2804962382176903</v>
      </c>
      <c r="W175" s="379">
        <f t="shared" si="83"/>
        <v>4.3231896403274623</v>
      </c>
      <c r="X175" s="379">
        <f t="shared" si="83"/>
        <v>4.3282060233706234</v>
      </c>
      <c r="Y175" s="379">
        <f t="shared" si="83"/>
        <v>4.3789055021667922</v>
      </c>
      <c r="Z175" s="379">
        <f t="shared" si="83"/>
        <v>4.4341814274240994</v>
      </c>
      <c r="AA175" s="379">
        <f t="shared" si="83"/>
        <v>4.4945967114741769</v>
      </c>
      <c r="AB175" s="379">
        <f t="shared" si="83"/>
        <v>4.5595391046729219</v>
      </c>
      <c r="AC175" s="379">
        <f t="shared" si="83"/>
        <v>4.6206316502328955</v>
      </c>
      <c r="AD175" s="379">
        <f t="shared" si="83"/>
        <v>4.7340813173739944</v>
      </c>
      <c r="AE175" s="379">
        <f t="shared" si="83"/>
        <v>4.8531174315253685</v>
      </c>
      <c r="AF175" s="379">
        <f t="shared" si="83"/>
        <v>4.9778859318408912</v>
      </c>
      <c r="AG175" s="379">
        <f t="shared" si="83"/>
        <v>5.1084054608135236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2.3587860954928903</v>
      </c>
      <c r="D176" s="379">
        <f t="shared" si="84"/>
        <v>2.4331944304477737</v>
      </c>
      <c r="E176" s="379">
        <f t="shared" si="84"/>
        <v>2.5043401113438604</v>
      </c>
      <c r="F176" s="379">
        <f t="shared" si="84"/>
        <v>2.5779595628041929</v>
      </c>
      <c r="G176" s="379">
        <f t="shared" si="84"/>
        <v>2.6539728499354571</v>
      </c>
      <c r="H176" s="379">
        <f t="shared" si="84"/>
        <v>2.7807650810253142</v>
      </c>
      <c r="I176" s="379">
        <f t="shared" si="84"/>
        <v>2.8633863071002952</v>
      </c>
      <c r="J176" s="379">
        <f t="shared" si="84"/>
        <v>2.9485325069635961</v>
      </c>
      <c r="K176" s="379">
        <f t="shared" si="84"/>
        <v>3.0364920587856399</v>
      </c>
      <c r="L176" s="379">
        <f t="shared" si="84"/>
        <v>3.1279130506177917</v>
      </c>
      <c r="M176" s="379">
        <f t="shared" si="84"/>
        <v>3.2222454569721797</v>
      </c>
      <c r="N176" s="379">
        <f t="shared" si="84"/>
        <v>3.3823079589871008</v>
      </c>
      <c r="O176" s="379">
        <f t="shared" si="84"/>
        <v>3.4851007811894745</v>
      </c>
      <c r="P176" s="379">
        <f t="shared" si="84"/>
        <v>3.5908851053172786</v>
      </c>
      <c r="Q176" s="379">
        <f t="shared" si="84"/>
        <v>3.7005696716145922</v>
      </c>
      <c r="R176" s="379">
        <f t="shared" si="84"/>
        <v>3.8136236894620397</v>
      </c>
      <c r="S176" s="379">
        <f t="shared" si="84"/>
        <v>3.9306974798821308</v>
      </c>
      <c r="T176" s="379">
        <f t="shared" si="84"/>
        <v>4.0519849937067987</v>
      </c>
      <c r="U176" s="379">
        <f t="shared" si="84"/>
        <v>4.1774199904972686</v>
      </c>
      <c r="V176" s="379">
        <f t="shared" si="84"/>
        <v>4.3073318768168258</v>
      </c>
      <c r="W176" s="379">
        <f t="shared" si="84"/>
        <v>4.4415277102851594</v>
      </c>
      <c r="X176" s="379">
        <f t="shared" si="84"/>
        <v>4.6632655692066569</v>
      </c>
      <c r="Y176" s="379">
        <f t="shared" si="84"/>
        <v>4.8091189377641932</v>
      </c>
      <c r="Z176" s="379">
        <f t="shared" si="84"/>
        <v>4.9596716494442976</v>
      </c>
      <c r="AA176" s="379">
        <f t="shared" si="84"/>
        <v>5.1157236518692555</v>
      </c>
      <c r="AB176" s="379">
        <f t="shared" si="84"/>
        <v>5.276919032185118</v>
      </c>
      <c r="AC176" s="379">
        <f t="shared" si="84"/>
        <v>5.4440631966447226</v>
      </c>
      <c r="AD176" s="379">
        <f t="shared" si="84"/>
        <v>5.616240084022972</v>
      </c>
      <c r="AE176" s="379">
        <f t="shared" si="84"/>
        <v>5.7946852917430496</v>
      </c>
      <c r="AF176" s="379">
        <f t="shared" si="84"/>
        <v>5.9792095262005285</v>
      </c>
      <c r="AG176" s="379">
        <f t="shared" si="84"/>
        <v>6.1701924720796137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3.4764664265740626</v>
      </c>
      <c r="D177" s="379">
        <f t="shared" si="85"/>
        <v>3.5020701083693591</v>
      </c>
      <c r="E177" s="379">
        <f t="shared" si="85"/>
        <v>3.5245985363871819</v>
      </c>
      <c r="F177" s="379">
        <f t="shared" si="85"/>
        <v>3.5147932682118226</v>
      </c>
      <c r="G177" s="379">
        <f t="shared" si="85"/>
        <v>3.5021684689022092</v>
      </c>
      <c r="H177" s="379">
        <f t="shared" si="85"/>
        <v>3.5399821899405235</v>
      </c>
      <c r="I177" s="379">
        <f t="shared" si="85"/>
        <v>3.4450525306677768</v>
      </c>
      <c r="J177" s="379">
        <f t="shared" si="85"/>
        <v>3.4683375867147452</v>
      </c>
      <c r="K177" s="379">
        <f t="shared" si="85"/>
        <v>3.482450528751265</v>
      </c>
      <c r="L177" s="379">
        <f t="shared" si="85"/>
        <v>3.5040426541862755</v>
      </c>
      <c r="M177" s="379">
        <f t="shared" si="85"/>
        <v>3.5329239210436834</v>
      </c>
      <c r="N177" s="379">
        <f t="shared" si="85"/>
        <v>3.4802187482818177</v>
      </c>
      <c r="O177" s="379">
        <f t="shared" si="85"/>
        <v>3.5263312387080403</v>
      </c>
      <c r="P177" s="379">
        <f t="shared" si="85"/>
        <v>3.5740298457539792</v>
      </c>
      <c r="Q177" s="379">
        <f t="shared" si="85"/>
        <v>3.6274158915901076</v>
      </c>
      <c r="R177" s="379">
        <f t="shared" si="85"/>
        <v>3.6868579771346806</v>
      </c>
      <c r="S177" s="379">
        <f t="shared" si="85"/>
        <v>3.740323235681386</v>
      </c>
      <c r="T177" s="379">
        <f t="shared" si="85"/>
        <v>3.8218106981433957</v>
      </c>
      <c r="U177" s="379">
        <f t="shared" si="85"/>
        <v>3.9053874328738707</v>
      </c>
      <c r="V177" s="379">
        <f t="shared" si="85"/>
        <v>3.9924995094972648</v>
      </c>
      <c r="W177" s="379">
        <f t="shared" si="85"/>
        <v>4.0830759623098567</v>
      </c>
      <c r="X177" s="379">
        <f t="shared" si="85"/>
        <v>4.0664560944449315</v>
      </c>
      <c r="Y177" s="379">
        <f t="shared" si="85"/>
        <v>4.1630336380256097</v>
      </c>
      <c r="Z177" s="379">
        <f t="shared" si="85"/>
        <v>4.2634177882425801</v>
      </c>
      <c r="AA177" s="379">
        <f t="shared" si="85"/>
        <v>4.3685206375004615</v>
      </c>
      <c r="AB177" s="379">
        <f t="shared" si="85"/>
        <v>4.4781580204080802</v>
      </c>
      <c r="AC177" s="379">
        <f t="shared" si="85"/>
        <v>4.6121149371503671</v>
      </c>
      <c r="AD177" s="379">
        <f t="shared" si="85"/>
        <v>4.7538038243463294</v>
      </c>
      <c r="AE177" s="379">
        <f t="shared" si="85"/>
        <v>4.900584254919174</v>
      </c>
      <c r="AF177" s="379">
        <f t="shared" si="85"/>
        <v>5.0535539161266732</v>
      </c>
      <c r="AG177" s="379">
        <f t="shared" si="85"/>
        <v>5.2119040837393715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5.0754120565555647</v>
      </c>
      <c r="D178" s="379">
        <f t="shared" si="87"/>
        <v>5.0442482679699481</v>
      </c>
      <c r="E178" s="379">
        <f t="shared" si="87"/>
        <v>5.0182595660177549</v>
      </c>
      <c r="F178" s="379">
        <f t="shared" si="87"/>
        <v>4.997408954562558</v>
      </c>
      <c r="G178" s="379">
        <f t="shared" si="87"/>
        <v>4.9818240173052599</v>
      </c>
      <c r="H178" s="379">
        <f t="shared" si="87"/>
        <v>5.0037189607134698</v>
      </c>
      <c r="I178" s="379">
        <f t="shared" si="87"/>
        <v>4.9002612164328303</v>
      </c>
      <c r="J178" s="379">
        <f t="shared" si="87"/>
        <v>4.8570279994766272</v>
      </c>
      <c r="K178" s="379">
        <f t="shared" si="87"/>
        <v>4.8184767305646199</v>
      </c>
      <c r="L178" s="379">
        <f t="shared" si="87"/>
        <v>4.7852600733949906</v>
      </c>
      <c r="M178" s="379">
        <f t="shared" si="87"/>
        <v>4.7567550614277465</v>
      </c>
      <c r="N178" s="379">
        <f t="shared" si="87"/>
        <v>4.6246823830321571</v>
      </c>
      <c r="O178" s="379">
        <f t="shared" si="87"/>
        <v>4.6059424508414049</v>
      </c>
      <c r="P178" s="379">
        <f t="shared" si="87"/>
        <v>4.5923604643136615</v>
      </c>
      <c r="Q178" s="379">
        <f t="shared" si="87"/>
        <v>4.5837342876281024</v>
      </c>
      <c r="R178" s="379">
        <f t="shared" si="87"/>
        <v>4.580168487995552</v>
      </c>
      <c r="S178" s="379">
        <f t="shared" si="87"/>
        <v>4.5135658067279927</v>
      </c>
      <c r="T178" s="379">
        <f t="shared" si="87"/>
        <v>4.5451539825165845</v>
      </c>
      <c r="U178" s="379">
        <f t="shared" si="87"/>
        <v>4.5817565315023145</v>
      </c>
      <c r="V178" s="379">
        <f t="shared" si="87"/>
        <v>4.6226147114341556</v>
      </c>
      <c r="W178" s="379">
        <f t="shared" si="87"/>
        <v>4.667693802819481</v>
      </c>
      <c r="X178" s="379">
        <f t="shared" si="87"/>
        <v>4.5780754920284359</v>
      </c>
      <c r="Y178" s="379">
        <f t="shared" si="87"/>
        <v>4.630575643789566</v>
      </c>
      <c r="Z178" s="379">
        <f t="shared" si="87"/>
        <v>4.6871393576342193</v>
      </c>
      <c r="AA178" s="379">
        <f t="shared" si="87"/>
        <v>4.7486063960128684</v>
      </c>
      <c r="AB178" s="379">
        <f t="shared" si="87"/>
        <v>4.8149572398203251</v>
      </c>
      <c r="AC178" s="379">
        <f t="shared" si="87"/>
        <v>4.8703198808983421</v>
      </c>
      <c r="AD178" s="379">
        <f t="shared" si="87"/>
        <v>4.9881183238321452</v>
      </c>
      <c r="AE178" s="379">
        <f t="shared" si="87"/>
        <v>5.1109052956090997</v>
      </c>
      <c r="AF178" s="379">
        <f t="shared" si="87"/>
        <v>5.2395514631926154</v>
      </c>
      <c r="AG178" s="379">
        <f t="shared" si="87"/>
        <v>5.3733473830870162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5.3349501730839739</v>
      </c>
      <c r="D179" s="379">
        <f t="shared" si="88"/>
        <v>5.3021927816729573</v>
      </c>
      <c r="E179" s="379">
        <f t="shared" si="88"/>
        <v>5.2748751120072983</v>
      </c>
      <c r="F179" s="379">
        <f t="shared" si="88"/>
        <v>5.2529582761026887</v>
      </c>
      <c r="G179" s="379">
        <f t="shared" si="88"/>
        <v>5.2365763818265512</v>
      </c>
      <c r="H179" s="379">
        <f t="shared" si="88"/>
        <v>5.2595909530226814</v>
      </c>
      <c r="I179" s="379">
        <f t="shared" si="88"/>
        <v>5.1508427559095091</v>
      </c>
      <c r="J179" s="379">
        <f t="shared" si="88"/>
        <v>5.105398749449864</v>
      </c>
      <c r="K179" s="379">
        <f t="shared" si="88"/>
        <v>5.0648761088321281</v>
      </c>
      <c r="L179" s="379">
        <f t="shared" si="88"/>
        <v>5.0299608726026896</v>
      </c>
      <c r="M179" s="379">
        <f t="shared" si="88"/>
        <v>4.9999982179780282</v>
      </c>
      <c r="N179" s="379">
        <f t="shared" si="88"/>
        <v>4.8611718230735734</v>
      </c>
      <c r="O179" s="379">
        <f t="shared" si="88"/>
        <v>4.8414735988957949</v>
      </c>
      <c r="P179" s="379">
        <f t="shared" si="88"/>
        <v>4.8271970789660648</v>
      </c>
      <c r="Q179" s="379">
        <f t="shared" si="88"/>
        <v>4.818129790972721</v>
      </c>
      <c r="R179" s="379">
        <f t="shared" si="88"/>
        <v>4.8143816493135061</v>
      </c>
      <c r="S179" s="379">
        <f t="shared" si="88"/>
        <v>4.7443731491174921</v>
      </c>
      <c r="T179" s="379">
        <f t="shared" si="88"/>
        <v>4.7775766293498183</v>
      </c>
      <c r="U179" s="379">
        <f t="shared" si="88"/>
        <v>4.8160508995905014</v>
      </c>
      <c r="V179" s="379">
        <f t="shared" si="88"/>
        <v>4.8589984182688557</v>
      </c>
      <c r="W179" s="379">
        <f t="shared" si="88"/>
        <v>4.9063826904636585</v>
      </c>
      <c r="X179" s="379">
        <f t="shared" si="88"/>
        <v>4.812181625143527</v>
      </c>
      <c r="Y179" s="379">
        <f t="shared" si="88"/>
        <v>4.8673664437560786</v>
      </c>
      <c r="Z179" s="379">
        <f t="shared" si="88"/>
        <v>4.9268226202405145</v>
      </c>
      <c r="AA179" s="379">
        <f t="shared" si="88"/>
        <v>4.9914328594453448</v>
      </c>
      <c r="AB179" s="379">
        <f t="shared" si="88"/>
        <v>5.0611766441293193</v>
      </c>
      <c r="AC179" s="379">
        <f t="shared" si="88"/>
        <v>5.1193703293533712</v>
      </c>
      <c r="AD179" s="379">
        <f t="shared" si="88"/>
        <v>5.2431925563008335</v>
      </c>
      <c r="AE179" s="379">
        <f t="shared" si="88"/>
        <v>5.3722584073163837</v>
      </c>
      <c r="AF179" s="379">
        <f t="shared" si="88"/>
        <v>5.5074830721058747</v>
      </c>
      <c r="AG179" s="379">
        <f t="shared" si="88"/>
        <v>5.6481208288130569</v>
      </c>
    </row>
    <row r="180" spans="1:33">
      <c r="A180" s="300" t="s">
        <v>334</v>
      </c>
      <c r="C180" s="379">
        <f t="shared" ref="C180:AG180" si="89">C174*0.9</f>
        <v>2.1265208595513494</v>
      </c>
      <c r="D180" s="379">
        <f t="shared" si="89"/>
        <v>2.2659392398790548</v>
      </c>
      <c r="E180" s="379">
        <f t="shared" si="89"/>
        <v>2.3228876693184479</v>
      </c>
      <c r="F180" s="379">
        <f t="shared" si="89"/>
        <v>2.3815846673233212</v>
      </c>
      <c r="G180" s="379">
        <f t="shared" si="89"/>
        <v>2.4420505647225643</v>
      </c>
      <c r="H180" s="379">
        <f t="shared" si="89"/>
        <v>2.5459824102124666</v>
      </c>
      <c r="I180" s="379">
        <f t="shared" si="89"/>
        <v>2.6113409621015107</v>
      </c>
      <c r="J180" s="379">
        <f t="shared" si="89"/>
        <v>2.678606183019641</v>
      </c>
      <c r="K180" s="379">
        <f t="shared" si="89"/>
        <v>2.7478218935192782</v>
      </c>
      <c r="L180" s="379">
        <f t="shared" si="89"/>
        <v>2.8196604591323791</v>
      </c>
      <c r="M180" s="379">
        <f t="shared" si="89"/>
        <v>2.893518524795494</v>
      </c>
      <c r="N180" s="379">
        <f t="shared" si="89"/>
        <v>3.0200450935702228</v>
      </c>
      <c r="O180" s="379">
        <f t="shared" si="89"/>
        <v>3.1002268264041741</v>
      </c>
      <c r="P180" s="379">
        <f t="shared" si="89"/>
        <v>3.1825932775168089</v>
      </c>
      <c r="Q180" s="379">
        <f t="shared" si="89"/>
        <v>3.2678435089406159</v>
      </c>
      <c r="R180" s="379">
        <f t="shared" si="89"/>
        <v>3.3553688342410712</v>
      </c>
      <c r="S180" s="379">
        <f t="shared" si="89"/>
        <v>3.4458701252635318</v>
      </c>
      <c r="T180" s="379">
        <f t="shared" si="89"/>
        <v>3.539389217680843</v>
      </c>
      <c r="U180" s="379">
        <f t="shared" si="89"/>
        <v>3.6359802741652647</v>
      </c>
      <c r="V180" s="379">
        <f t="shared" si="89"/>
        <v>3.735698478799772</v>
      </c>
      <c r="W180" s="379">
        <f t="shared" si="89"/>
        <v>3.8385887327921355</v>
      </c>
      <c r="X180" s="379">
        <f t="shared" si="89"/>
        <v>4.0127249643290863</v>
      </c>
      <c r="Y180" s="379">
        <f t="shared" si="89"/>
        <v>4.1241842651417544</v>
      </c>
      <c r="Z180" s="379">
        <f t="shared" si="89"/>
        <v>4.2390522263906343</v>
      </c>
      <c r="AA180" s="379">
        <f t="shared" si="89"/>
        <v>4.3580402115419767</v>
      </c>
      <c r="AB180" s="379">
        <f t="shared" si="89"/>
        <v>4.4805635465637454</v>
      </c>
      <c r="AC180" s="379">
        <f t="shared" si="89"/>
        <v>4.6073361596335438</v>
      </c>
      <c r="AD180" s="379">
        <f t="shared" si="89"/>
        <v>4.7377760333561501</v>
      </c>
      <c r="AE180" s="379">
        <f t="shared" si="89"/>
        <v>4.8726121150312727</v>
      </c>
      <c r="AF180" s="379">
        <f t="shared" si="89"/>
        <v>5.0119138869246429</v>
      </c>
      <c r="AG180" s="379">
        <f t="shared" si="89"/>
        <v>5.155752334327004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4.7256019101141096</v>
      </c>
      <c r="D183" s="379">
        <f t="shared" si="91"/>
        <v>5.0354205330645661</v>
      </c>
      <c r="E183" s="379">
        <f t="shared" si="91"/>
        <v>5.1619725984854394</v>
      </c>
      <c r="F183" s="379">
        <f t="shared" si="91"/>
        <v>5.2924103718296021</v>
      </c>
      <c r="G183" s="379">
        <f t="shared" si="91"/>
        <v>5.4267790327168095</v>
      </c>
      <c r="H183" s="379">
        <f t="shared" si="91"/>
        <v>5.6577386893610369</v>
      </c>
      <c r="I183" s="379">
        <f t="shared" si="91"/>
        <v>5.802979915781135</v>
      </c>
      <c r="J183" s="379">
        <f t="shared" si="91"/>
        <v>5.9524581844880906</v>
      </c>
      <c r="K183" s="379">
        <f t="shared" si="91"/>
        <v>6.1062708744872847</v>
      </c>
      <c r="L183" s="379">
        <f t="shared" si="91"/>
        <v>6.2659121314052868</v>
      </c>
      <c r="M183" s="379">
        <f t="shared" si="91"/>
        <v>6.4300411662122086</v>
      </c>
      <c r="N183" s="379">
        <f t="shared" si="91"/>
        <v>6.7112113190449394</v>
      </c>
      <c r="O183" s="379">
        <f t="shared" si="91"/>
        <v>6.889392947564831</v>
      </c>
      <c r="P183" s="379">
        <f t="shared" si="91"/>
        <v>7.0724295055929085</v>
      </c>
      <c r="Q183" s="379">
        <f t="shared" si="91"/>
        <v>7.2618744643124797</v>
      </c>
      <c r="R183" s="379">
        <f t="shared" si="91"/>
        <v>7.4563751872023802</v>
      </c>
      <c r="S183" s="379">
        <f t="shared" si="91"/>
        <v>7.6574891672522929</v>
      </c>
      <c r="T183" s="379">
        <f t="shared" si="91"/>
        <v>7.8653093726240959</v>
      </c>
      <c r="U183" s="379">
        <f t="shared" si="91"/>
        <v>8.0799561648116995</v>
      </c>
      <c r="V183" s="379">
        <f t="shared" si="91"/>
        <v>8.3015521751106043</v>
      </c>
      <c r="W183" s="379">
        <f t="shared" si="91"/>
        <v>8.5301971839825228</v>
      </c>
      <c r="X183" s="379">
        <f t="shared" si="91"/>
        <v>8.9171665873979702</v>
      </c>
      <c r="Y183" s="379">
        <f t="shared" si="91"/>
        <v>9.1648539225372314</v>
      </c>
      <c r="Z183" s="379">
        <f t="shared" si="91"/>
        <v>9.4201160586458528</v>
      </c>
      <c r="AA183" s="379">
        <f t="shared" si="91"/>
        <v>9.6845338034266142</v>
      </c>
      <c r="AB183" s="379">
        <f t="shared" si="91"/>
        <v>9.9568078812527681</v>
      </c>
      <c r="AC183" s="379">
        <f t="shared" si="91"/>
        <v>10.238524799185653</v>
      </c>
      <c r="AD183" s="379">
        <f t="shared" si="91"/>
        <v>10.528391185235888</v>
      </c>
      <c r="AE183" s="379">
        <f t="shared" si="91"/>
        <v>10.828026922291716</v>
      </c>
      <c r="AF183" s="379">
        <f t="shared" si="91"/>
        <v>11.137586415388094</v>
      </c>
      <c r="AG183" s="379">
        <f t="shared" si="91"/>
        <v>11.457227409615564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8.8882052986894795</v>
      </c>
      <c r="D184" s="379">
        <f t="shared" si="93"/>
        <v>8.8990311036380714</v>
      </c>
      <c r="E184" s="379">
        <f t="shared" si="93"/>
        <v>8.9192438278156914</v>
      </c>
      <c r="F184" s="379">
        <f t="shared" si="93"/>
        <v>8.9490508175795256</v>
      </c>
      <c r="G184" s="379">
        <f t="shared" si="93"/>
        <v>8.9877864576236792</v>
      </c>
      <c r="H184" s="379">
        <f t="shared" si="93"/>
        <v>9.1529488701289914</v>
      </c>
      <c r="I184" s="379">
        <f t="shared" si="93"/>
        <v>8.926926381643451</v>
      </c>
      <c r="J184" s="379">
        <f t="shared" si="93"/>
        <v>8.8549677523287702</v>
      </c>
      <c r="K184" s="379">
        <f t="shared" si="93"/>
        <v>8.7930104480388334</v>
      </c>
      <c r="L184" s="379">
        <f t="shared" si="93"/>
        <v>8.7417358212099998</v>
      </c>
      <c r="M184" s="379">
        <f t="shared" si="93"/>
        <v>8.7001252180470203</v>
      </c>
      <c r="N184" s="379">
        <f t="shared" si="93"/>
        <v>8.5355926198528635</v>
      </c>
      <c r="O184" s="379">
        <f t="shared" si="93"/>
        <v>8.5114116959584187</v>
      </c>
      <c r="P184" s="379">
        <f t="shared" si="93"/>
        <v>8.4960446688647728</v>
      </c>
      <c r="Q184" s="379">
        <f t="shared" si="93"/>
        <v>8.4908066972421832</v>
      </c>
      <c r="R184" s="379">
        <f t="shared" si="93"/>
        <v>8.4946839141247708</v>
      </c>
      <c r="S184" s="379">
        <f t="shared" si="93"/>
        <v>8.3601600719426301</v>
      </c>
      <c r="T184" s="379">
        <f t="shared" si="93"/>
        <v>8.4177913412276464</v>
      </c>
      <c r="U184" s="379">
        <f t="shared" si="93"/>
        <v>8.4847674871965744</v>
      </c>
      <c r="V184" s="379">
        <f t="shared" si="93"/>
        <v>8.5609924764353806</v>
      </c>
      <c r="W184" s="379">
        <f t="shared" si="93"/>
        <v>8.6463792806549247</v>
      </c>
      <c r="X184" s="379">
        <f t="shared" si="93"/>
        <v>8.6564120467412469</v>
      </c>
      <c r="Y184" s="379">
        <f t="shared" si="93"/>
        <v>8.7578110043335844</v>
      </c>
      <c r="Z184" s="379">
        <f t="shared" si="93"/>
        <v>8.8683628548481988</v>
      </c>
      <c r="AA184" s="379">
        <f t="shared" si="93"/>
        <v>8.9891934229483539</v>
      </c>
      <c r="AB184" s="379">
        <f t="shared" si="93"/>
        <v>9.1190782093458438</v>
      </c>
      <c r="AC184" s="379">
        <f t="shared" si="93"/>
        <v>9.2412633004657909</v>
      </c>
      <c r="AD184" s="379">
        <f t="shared" si="93"/>
        <v>9.4681626347479888</v>
      </c>
      <c r="AE184" s="379">
        <f t="shared" si="93"/>
        <v>9.7062348630507369</v>
      </c>
      <c r="AF184" s="379">
        <f t="shared" si="93"/>
        <v>9.9557718636817825</v>
      </c>
      <c r="AG184" s="379">
        <f t="shared" si="93"/>
        <v>10.216810921627047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4.7175721909857806</v>
      </c>
      <c r="D185" s="379">
        <f t="shared" si="94"/>
        <v>4.8663888608955475</v>
      </c>
      <c r="E185" s="379">
        <f t="shared" si="94"/>
        <v>5.0086802226877207</v>
      </c>
      <c r="F185" s="379">
        <f t="shared" si="94"/>
        <v>5.1559191256083858</v>
      </c>
      <c r="G185" s="379">
        <f t="shared" si="94"/>
        <v>5.3079456998709142</v>
      </c>
      <c r="H185" s="379">
        <f t="shared" si="94"/>
        <v>5.5615301620506283</v>
      </c>
      <c r="I185" s="379">
        <f t="shared" si="94"/>
        <v>5.7267726142005904</v>
      </c>
      <c r="J185" s="379">
        <f t="shared" si="94"/>
        <v>5.8970650139271923</v>
      </c>
      <c r="K185" s="379">
        <f t="shared" si="94"/>
        <v>6.0729841175712798</v>
      </c>
      <c r="L185" s="379">
        <f t="shared" si="94"/>
        <v>6.2558261012355834</v>
      </c>
      <c r="M185" s="379">
        <f t="shared" si="94"/>
        <v>6.4444909139443594</v>
      </c>
      <c r="N185" s="379">
        <f t="shared" si="94"/>
        <v>6.7646159179742016</v>
      </c>
      <c r="O185" s="379">
        <f t="shared" si="94"/>
        <v>6.9702015623789491</v>
      </c>
      <c r="P185" s="379">
        <f t="shared" si="94"/>
        <v>7.1817702106345571</v>
      </c>
      <c r="Q185" s="379">
        <f t="shared" si="94"/>
        <v>7.4011393432291843</v>
      </c>
      <c r="R185" s="379">
        <f t="shared" si="94"/>
        <v>7.6272473789240793</v>
      </c>
      <c r="S185" s="379">
        <f t="shared" si="94"/>
        <v>7.8613949597642616</v>
      </c>
      <c r="T185" s="379">
        <f t="shared" si="94"/>
        <v>8.1039699874135973</v>
      </c>
      <c r="U185" s="379">
        <f t="shared" si="94"/>
        <v>8.3548399809945373</v>
      </c>
      <c r="V185" s="379">
        <f t="shared" si="94"/>
        <v>8.6146637536336517</v>
      </c>
      <c r="W185" s="379">
        <f t="shared" si="94"/>
        <v>8.8830554205703187</v>
      </c>
      <c r="X185" s="379">
        <f t="shared" si="94"/>
        <v>9.3265311384133138</v>
      </c>
      <c r="Y185" s="379">
        <f t="shared" si="94"/>
        <v>9.6182378755283864</v>
      </c>
      <c r="Z185" s="379">
        <f t="shared" si="94"/>
        <v>9.9193432988885952</v>
      </c>
      <c r="AA185" s="379">
        <f t="shared" si="94"/>
        <v>10.231447303738511</v>
      </c>
      <c r="AB185" s="379">
        <f t="shared" si="94"/>
        <v>10.553838064370236</v>
      </c>
      <c r="AC185" s="379">
        <f t="shared" si="94"/>
        <v>10.888126393289445</v>
      </c>
      <c r="AD185" s="379">
        <f t="shared" si="94"/>
        <v>11.232480168045944</v>
      </c>
      <c r="AE185" s="379">
        <f t="shared" si="94"/>
        <v>11.589370583486099</v>
      </c>
      <c r="AF185" s="379">
        <f t="shared" si="94"/>
        <v>11.958419052401057</v>
      </c>
      <c r="AG185" s="379">
        <f t="shared" si="94"/>
        <v>12.340384944159227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10.150824113111129</v>
      </c>
      <c r="D186" s="379">
        <f t="shared" si="96"/>
        <v>10.088496535939896</v>
      </c>
      <c r="E186" s="379">
        <f t="shared" si="96"/>
        <v>10.03651913203551</v>
      </c>
      <c r="F186" s="379">
        <f t="shared" si="96"/>
        <v>9.9948179091251159</v>
      </c>
      <c r="G186" s="379">
        <f t="shared" si="96"/>
        <v>9.9636480346105198</v>
      </c>
      <c r="H186" s="379">
        <f t="shared" si="96"/>
        <v>10.00743792142694</v>
      </c>
      <c r="I186" s="379">
        <f t="shared" si="96"/>
        <v>9.8005224328656606</v>
      </c>
      <c r="J186" s="379">
        <f t="shared" si="96"/>
        <v>9.7140559989532544</v>
      </c>
      <c r="K186" s="379">
        <f t="shared" si="96"/>
        <v>9.6369534611292398</v>
      </c>
      <c r="L186" s="379">
        <f t="shared" si="96"/>
        <v>9.5705201467899812</v>
      </c>
      <c r="M186" s="379">
        <f t="shared" si="96"/>
        <v>9.513510122855493</v>
      </c>
      <c r="N186" s="379">
        <f t="shared" si="96"/>
        <v>9.2493647660643141</v>
      </c>
      <c r="O186" s="379">
        <f t="shared" si="96"/>
        <v>9.2118849016828097</v>
      </c>
      <c r="P186" s="379">
        <f t="shared" si="96"/>
        <v>9.184720928627323</v>
      </c>
      <c r="Q186" s="379">
        <f t="shared" si="96"/>
        <v>9.1674685752562048</v>
      </c>
      <c r="R186" s="379">
        <f t="shared" si="96"/>
        <v>9.160336975991104</v>
      </c>
      <c r="S186" s="379">
        <f t="shared" si="96"/>
        <v>9.0271316134559854</v>
      </c>
      <c r="T186" s="379">
        <f t="shared" si="96"/>
        <v>9.0903079650331691</v>
      </c>
      <c r="U186" s="379">
        <f t="shared" si="96"/>
        <v>9.1635130630046291</v>
      </c>
      <c r="V186" s="379">
        <f t="shared" si="96"/>
        <v>9.2452294228683112</v>
      </c>
      <c r="W186" s="379">
        <f t="shared" si="96"/>
        <v>9.335387605638962</v>
      </c>
      <c r="X186" s="379">
        <f t="shared" si="96"/>
        <v>9.1561509840568718</v>
      </c>
      <c r="Y186" s="379">
        <f t="shared" si="96"/>
        <v>9.261151287579132</v>
      </c>
      <c r="Z186" s="379">
        <f t="shared" si="96"/>
        <v>9.3742787152684386</v>
      </c>
      <c r="AA186" s="379">
        <f t="shared" si="96"/>
        <v>9.4972127920257368</v>
      </c>
      <c r="AB186" s="379">
        <f t="shared" si="96"/>
        <v>9.6299144796406502</v>
      </c>
      <c r="AC186" s="379">
        <f t="shared" si="96"/>
        <v>9.7406397617966842</v>
      </c>
      <c r="AD186" s="379">
        <f t="shared" si="96"/>
        <v>9.9762366476642903</v>
      </c>
      <c r="AE186" s="379">
        <f t="shared" si="96"/>
        <v>10.221810591218199</v>
      </c>
      <c r="AF186" s="379">
        <f t="shared" si="96"/>
        <v>10.479102926385231</v>
      </c>
      <c r="AG186" s="379">
        <f t="shared" si="96"/>
        <v>10.746694766174032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6.9529328531481251</v>
      </c>
      <c r="D187" s="379">
        <f t="shared" si="97"/>
        <v>7.0041402167387181</v>
      </c>
      <c r="E187" s="379">
        <f t="shared" si="97"/>
        <v>7.0491970727743638</v>
      </c>
      <c r="F187" s="379">
        <f t="shared" si="97"/>
        <v>7.0295865364236452</v>
      </c>
      <c r="G187" s="379">
        <f t="shared" si="97"/>
        <v>7.0043369378044185</v>
      </c>
      <c r="H187" s="379">
        <f t="shared" si="97"/>
        <v>7.079964379881047</v>
      </c>
      <c r="I187" s="379">
        <f t="shared" si="97"/>
        <v>6.8901050613355537</v>
      </c>
      <c r="J187" s="379">
        <f t="shared" si="97"/>
        <v>6.9366751734294905</v>
      </c>
      <c r="K187" s="379">
        <f t="shared" si="97"/>
        <v>6.9649010575025301</v>
      </c>
      <c r="L187" s="379">
        <f t="shared" si="97"/>
        <v>7.0080853083725509</v>
      </c>
      <c r="M187" s="379">
        <f t="shared" si="97"/>
        <v>7.0658478420873667</v>
      </c>
      <c r="N187" s="379">
        <f t="shared" si="97"/>
        <v>6.9604374965636353</v>
      </c>
      <c r="O187" s="379">
        <f t="shared" si="97"/>
        <v>7.0526624774160807</v>
      </c>
      <c r="P187" s="379">
        <f t="shared" si="97"/>
        <v>7.1480596915079584</v>
      </c>
      <c r="Q187" s="379">
        <f t="shared" si="97"/>
        <v>7.2548317831802152</v>
      </c>
      <c r="R187" s="379">
        <f t="shared" si="97"/>
        <v>7.3737159542693611</v>
      </c>
      <c r="S187" s="379">
        <f t="shared" si="97"/>
        <v>7.4806464713627721</v>
      </c>
      <c r="T187" s="379">
        <f t="shared" si="97"/>
        <v>7.6436213962867914</v>
      </c>
      <c r="U187" s="379">
        <f t="shared" si="97"/>
        <v>7.8107748657477414</v>
      </c>
      <c r="V187" s="379">
        <f t="shared" si="97"/>
        <v>7.9849990189945297</v>
      </c>
      <c r="W187" s="379">
        <f t="shared" si="97"/>
        <v>8.1661519246197134</v>
      </c>
      <c r="X187" s="379">
        <f t="shared" si="97"/>
        <v>8.132912188889863</v>
      </c>
      <c r="Y187" s="379">
        <f t="shared" si="97"/>
        <v>8.3260672760512193</v>
      </c>
      <c r="Z187" s="379">
        <f t="shared" si="97"/>
        <v>8.5268355764851602</v>
      </c>
      <c r="AA187" s="379">
        <f t="shared" si="97"/>
        <v>8.737041275000923</v>
      </c>
      <c r="AB187" s="379">
        <f t="shared" si="97"/>
        <v>8.9563160408161604</v>
      </c>
      <c r="AC187" s="379">
        <f t="shared" si="97"/>
        <v>9.2242298743007343</v>
      </c>
      <c r="AD187" s="379">
        <f t="shared" si="97"/>
        <v>9.5076076486926588</v>
      </c>
      <c r="AE187" s="379">
        <f t="shared" si="97"/>
        <v>9.8011685098383481</v>
      </c>
      <c r="AF187" s="379">
        <f t="shared" si="97"/>
        <v>10.107107832253346</v>
      </c>
      <c r="AG187" s="379">
        <f t="shared" si="97"/>
        <v>10.423808167478743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10.669900346167948</v>
      </c>
      <c r="D188" s="379">
        <f t="shared" si="99"/>
        <v>10.604385563345915</v>
      </c>
      <c r="E188" s="379">
        <f t="shared" si="99"/>
        <v>10.549750224014597</v>
      </c>
      <c r="F188" s="379">
        <f t="shared" si="99"/>
        <v>10.505916552205377</v>
      </c>
      <c r="G188" s="379">
        <f t="shared" si="99"/>
        <v>10.473152763653102</v>
      </c>
      <c r="H188" s="379">
        <f t="shared" si="99"/>
        <v>10.519181906045363</v>
      </c>
      <c r="I188" s="379">
        <f t="shared" si="99"/>
        <v>10.301685511819018</v>
      </c>
      <c r="J188" s="379">
        <f t="shared" si="99"/>
        <v>10.210797498899728</v>
      </c>
      <c r="K188" s="379">
        <f t="shared" si="99"/>
        <v>10.129752217664256</v>
      </c>
      <c r="L188" s="379">
        <f t="shared" si="99"/>
        <v>10.059921745205379</v>
      </c>
      <c r="M188" s="379">
        <f t="shared" si="99"/>
        <v>9.9999964359560565</v>
      </c>
      <c r="N188" s="379">
        <f t="shared" si="99"/>
        <v>9.7223436461471469</v>
      </c>
      <c r="O188" s="379">
        <f t="shared" si="99"/>
        <v>9.6829471977915897</v>
      </c>
      <c r="P188" s="379">
        <f t="shared" si="99"/>
        <v>9.6543941579321295</v>
      </c>
      <c r="Q188" s="379">
        <f t="shared" si="99"/>
        <v>9.636259581945442</v>
      </c>
      <c r="R188" s="379">
        <f t="shared" si="99"/>
        <v>9.6287632986270122</v>
      </c>
      <c r="S188" s="379">
        <f t="shared" si="99"/>
        <v>9.4887462982349842</v>
      </c>
      <c r="T188" s="379">
        <f t="shared" si="99"/>
        <v>9.5551532586996366</v>
      </c>
      <c r="U188" s="379">
        <f t="shared" si="99"/>
        <v>9.6321017991810027</v>
      </c>
      <c r="V188" s="379">
        <f t="shared" si="99"/>
        <v>9.7179968365377114</v>
      </c>
      <c r="W188" s="379">
        <f t="shared" si="99"/>
        <v>9.812765380927317</v>
      </c>
      <c r="X188" s="379">
        <f t="shared" si="99"/>
        <v>9.624363250287054</v>
      </c>
      <c r="Y188" s="379">
        <f t="shared" si="99"/>
        <v>9.7347328875121573</v>
      </c>
      <c r="Z188" s="379">
        <f t="shared" si="99"/>
        <v>9.8536452404810291</v>
      </c>
      <c r="AA188" s="379">
        <f t="shared" si="99"/>
        <v>9.9828657188906895</v>
      </c>
      <c r="AB188" s="379">
        <f t="shared" si="99"/>
        <v>10.122353288258639</v>
      </c>
      <c r="AC188" s="379">
        <f t="shared" si="99"/>
        <v>10.238740658706742</v>
      </c>
      <c r="AD188" s="379">
        <f t="shared" si="99"/>
        <v>10.486385112601667</v>
      </c>
      <c r="AE188" s="379">
        <f t="shared" si="99"/>
        <v>10.744516814632767</v>
      </c>
      <c r="AF188" s="379">
        <f t="shared" si="99"/>
        <v>11.014966144211749</v>
      </c>
      <c r="AG188" s="379">
        <f t="shared" si="99"/>
        <v>11.296241657626114</v>
      </c>
    </row>
    <row r="189" spans="1:33">
      <c r="A189" s="300" t="s">
        <v>334</v>
      </c>
      <c r="C189" s="379">
        <f t="shared" ref="C189:AG189" si="100">C183*0.9</f>
        <v>4.2530417191026988</v>
      </c>
      <c r="D189" s="379">
        <f t="shared" si="100"/>
        <v>4.5318784797581095</v>
      </c>
      <c r="E189" s="379">
        <f t="shared" si="100"/>
        <v>4.6457753386368958</v>
      </c>
      <c r="F189" s="379">
        <f t="shared" si="100"/>
        <v>4.7631693346466424</v>
      </c>
      <c r="G189" s="379">
        <f t="shared" si="100"/>
        <v>4.8841011294451286</v>
      </c>
      <c r="H189" s="379">
        <f t="shared" si="100"/>
        <v>5.0919648204249333</v>
      </c>
      <c r="I189" s="379">
        <f t="shared" si="100"/>
        <v>5.2226819242030214</v>
      </c>
      <c r="J189" s="379">
        <f t="shared" si="100"/>
        <v>5.3572123660392821</v>
      </c>
      <c r="K189" s="379">
        <f t="shared" si="100"/>
        <v>5.4956437870385564</v>
      </c>
      <c r="L189" s="379">
        <f t="shared" si="100"/>
        <v>5.6393209182647581</v>
      </c>
      <c r="M189" s="379">
        <f t="shared" si="100"/>
        <v>5.787037049590988</v>
      </c>
      <c r="N189" s="379">
        <f t="shared" si="100"/>
        <v>6.0400901871404455</v>
      </c>
      <c r="O189" s="379">
        <f t="shared" si="100"/>
        <v>6.2004536528083483</v>
      </c>
      <c r="P189" s="379">
        <f t="shared" si="100"/>
        <v>6.3651865550336177</v>
      </c>
      <c r="Q189" s="379">
        <f t="shared" si="100"/>
        <v>6.5356870178812319</v>
      </c>
      <c r="R189" s="379">
        <f t="shared" si="100"/>
        <v>6.7107376684821425</v>
      </c>
      <c r="S189" s="379">
        <f t="shared" si="100"/>
        <v>6.8917402505270635</v>
      </c>
      <c r="T189" s="379">
        <f t="shared" si="100"/>
        <v>7.078778435361686</v>
      </c>
      <c r="U189" s="379">
        <f t="shared" si="100"/>
        <v>7.2719605483305294</v>
      </c>
      <c r="V189" s="379">
        <f t="shared" si="100"/>
        <v>7.471396957599544</v>
      </c>
      <c r="W189" s="379">
        <f t="shared" si="100"/>
        <v>7.6771774655842711</v>
      </c>
      <c r="X189" s="379">
        <f t="shared" si="100"/>
        <v>8.0254499286581726</v>
      </c>
      <c r="Y189" s="379">
        <f t="shared" si="100"/>
        <v>8.2483685302835088</v>
      </c>
      <c r="Z189" s="379">
        <f t="shared" si="100"/>
        <v>8.4781044527812686</v>
      </c>
      <c r="AA189" s="379">
        <f t="shared" si="100"/>
        <v>8.7160804230839535</v>
      </c>
      <c r="AB189" s="379">
        <f t="shared" si="100"/>
        <v>8.9611270931274909</v>
      </c>
      <c r="AC189" s="379">
        <f t="shared" si="100"/>
        <v>9.2146723192670876</v>
      </c>
      <c r="AD189" s="379">
        <f t="shared" si="100"/>
        <v>9.4755520667123001</v>
      </c>
      <c r="AE189" s="379">
        <f t="shared" si="100"/>
        <v>9.7452242300625453</v>
      </c>
      <c r="AF189" s="379">
        <f t="shared" si="100"/>
        <v>10.023827773849286</v>
      </c>
      <c r="AG189" s="379">
        <f t="shared" si="100"/>
        <v>10.311504668654008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0.7620384452934994</v>
      </c>
      <c r="D192" s="388">
        <f t="shared" si="102"/>
        <v>0.80606246625102396</v>
      </c>
      <c r="E192" s="388">
        <f t="shared" si="102"/>
        <v>0.82103907537782073</v>
      </c>
      <c r="F192" s="388">
        <f t="shared" si="102"/>
        <v>0.84413423585834724</v>
      </c>
      <c r="G192" s="388">
        <f t="shared" si="102"/>
        <v>0.86868614183616777</v>
      </c>
      <c r="H192" s="388">
        <f t="shared" si="102"/>
        <v>0.89598264296196284</v>
      </c>
      <c r="I192" s="388">
        <f t="shared" si="102"/>
        <v>0.94430656177296812</v>
      </c>
      <c r="J192" s="388">
        <f t="shared" si="102"/>
        <v>0.96212783510759903</v>
      </c>
      <c r="K192" s="388">
        <f t="shared" si="102"/>
        <v>0.9829895447695951</v>
      </c>
      <c r="L192" s="388">
        <f t="shared" si="102"/>
        <v>1.0024730469231629</v>
      </c>
      <c r="M192" s="388">
        <f t="shared" si="102"/>
        <v>1.0203220132348993</v>
      </c>
      <c r="N192" s="388">
        <f t="shared" si="102"/>
        <v>1.0810658787819172</v>
      </c>
      <c r="O192" s="388">
        <f t="shared" si="102"/>
        <v>1.0952559980487035</v>
      </c>
      <c r="P192" s="388">
        <f t="shared" si="102"/>
        <v>1.109349114349123</v>
      </c>
      <c r="Q192" s="388">
        <f t="shared" si="102"/>
        <v>1.1223005460974003</v>
      </c>
      <c r="R192" s="388">
        <f t="shared" si="102"/>
        <v>1.1337808904011402</v>
      </c>
      <c r="S192" s="388">
        <f t="shared" si="102"/>
        <v>1.1477176077283204</v>
      </c>
      <c r="T192" s="388">
        <f t="shared" si="102"/>
        <v>1.1537306400279692</v>
      </c>
      <c r="U192" s="388">
        <f t="shared" si="102"/>
        <v>1.1598522485364469</v>
      </c>
      <c r="V192" s="388">
        <f t="shared" si="102"/>
        <v>1.1656608725270574</v>
      </c>
      <c r="W192" s="388">
        <f t="shared" si="102"/>
        <v>1.1711955113370116</v>
      </c>
      <c r="X192" s="388">
        <f t="shared" si="102"/>
        <v>1.2293302856898367</v>
      </c>
      <c r="Y192" s="388">
        <f t="shared" si="102"/>
        <v>1.2341655389506589</v>
      </c>
      <c r="Z192" s="388">
        <f t="shared" si="102"/>
        <v>1.2386715110709823</v>
      </c>
      <c r="AA192" s="388">
        <f t="shared" si="102"/>
        <v>1.2428024942218554</v>
      </c>
      <c r="AB192" s="388">
        <f t="shared" si="102"/>
        <v>1.2464604458088855</v>
      </c>
      <c r="AC192" s="388">
        <f t="shared" si="102"/>
        <v>1.2445004368506254</v>
      </c>
      <c r="AD192" s="388">
        <f t="shared" si="102"/>
        <v>1.2415909711390449</v>
      </c>
      <c r="AE192" s="388">
        <f t="shared" si="102"/>
        <v>1.2386803697842848</v>
      </c>
      <c r="AF192" s="388">
        <f t="shared" si="102"/>
        <v>1.2355262353223082</v>
      </c>
      <c r="AG192" s="388">
        <f t="shared" si="102"/>
        <v>1.2323694028851111</v>
      </c>
    </row>
    <row r="193" spans="1:33">
      <c r="A193" s="300" t="str">
        <f>A169</f>
        <v>H2-ICE</v>
      </c>
      <c r="C193" s="388">
        <f t="shared" ref="C193:AG193" si="103">C169/C168</f>
        <v>1.4332891928044829</v>
      </c>
      <c r="D193" s="388">
        <f t="shared" si="103"/>
        <v>1.4245433745883123</v>
      </c>
      <c r="E193" s="388">
        <f t="shared" si="103"/>
        <v>1.4186529598409272</v>
      </c>
      <c r="F193" s="388">
        <f t="shared" si="103"/>
        <v>1.4273647814168839</v>
      </c>
      <c r="G193" s="388">
        <f t="shared" si="103"/>
        <v>1.4387107885636108</v>
      </c>
      <c r="H193" s="388">
        <f t="shared" si="103"/>
        <v>1.449498425046573</v>
      </c>
      <c r="I193" s="388">
        <f t="shared" si="103"/>
        <v>1.4526597163856301</v>
      </c>
      <c r="J193" s="388">
        <f t="shared" si="103"/>
        <v>1.4312760693888631</v>
      </c>
      <c r="K193" s="388">
        <f t="shared" si="103"/>
        <v>1.4155017874469473</v>
      </c>
      <c r="L193" s="388">
        <f t="shared" si="103"/>
        <v>1.3985760349499741</v>
      </c>
      <c r="M193" s="388">
        <f t="shared" si="103"/>
        <v>1.3805400383000428</v>
      </c>
      <c r="N193" s="388">
        <f t="shared" si="103"/>
        <v>1.374943731889348</v>
      </c>
      <c r="O193" s="388">
        <f t="shared" si="103"/>
        <v>1.3531199022630032</v>
      </c>
      <c r="P193" s="388">
        <f t="shared" si="103"/>
        <v>1.3326509117443064</v>
      </c>
      <c r="Q193" s="388">
        <f t="shared" si="103"/>
        <v>1.3122282738365334</v>
      </c>
      <c r="R193" s="388">
        <f t="shared" si="103"/>
        <v>1.2916611691378959</v>
      </c>
      <c r="S193" s="388">
        <f t="shared" si="103"/>
        <v>1.2530351278888971</v>
      </c>
      <c r="T193" s="388">
        <f t="shared" si="103"/>
        <v>1.234772000900495</v>
      </c>
      <c r="U193" s="388">
        <f t="shared" si="103"/>
        <v>1.2179616383554013</v>
      </c>
      <c r="V193" s="388">
        <f t="shared" si="103"/>
        <v>1.2020901331799776</v>
      </c>
      <c r="W193" s="388">
        <f t="shared" si="103"/>
        <v>1.1871473055553148</v>
      </c>
      <c r="X193" s="388">
        <f t="shared" si="103"/>
        <v>1.193382381070283</v>
      </c>
      <c r="Y193" s="388">
        <f t="shared" si="103"/>
        <v>1.1793519710785616</v>
      </c>
      <c r="Z193" s="388">
        <f t="shared" si="103"/>
        <v>1.166120284479774</v>
      </c>
      <c r="AA193" s="388">
        <f t="shared" si="103"/>
        <v>1.1535704489079355</v>
      </c>
      <c r="AB193" s="388">
        <f t="shared" si="103"/>
        <v>1.1415877885510801</v>
      </c>
      <c r="AC193" s="388">
        <f t="shared" si="103"/>
        <v>1.1232825470517072</v>
      </c>
      <c r="AD193" s="388">
        <f t="shared" si="103"/>
        <v>1.116560453895767</v>
      </c>
      <c r="AE193" s="388">
        <f t="shared" si="103"/>
        <v>1.1103521145320714</v>
      </c>
      <c r="AF193" s="388">
        <f t="shared" si="103"/>
        <v>1.1044239632985053</v>
      </c>
      <c r="AG193" s="388">
        <f t="shared" si="103"/>
        <v>1.0989469550293303</v>
      </c>
    </row>
    <row r="194" spans="1:33">
      <c r="A194" s="300" t="str">
        <f>A170</f>
        <v>FCET</v>
      </c>
      <c r="C194" s="388">
        <f t="shared" ref="C194:AG194" si="104">C170/C168</f>
        <v>1.6368958648520997</v>
      </c>
      <c r="D194" s="388">
        <f t="shared" si="104"/>
        <v>1.6149511932770986</v>
      </c>
      <c r="E194" s="388">
        <f t="shared" si="104"/>
        <v>1.5963615131541049</v>
      </c>
      <c r="F194" s="388">
        <f t="shared" si="104"/>
        <v>1.5941636013660008</v>
      </c>
      <c r="G194" s="388">
        <f t="shared" si="104"/>
        <v>1.5949208393447762</v>
      </c>
      <c r="H194" s="388">
        <f t="shared" si="104"/>
        <v>1.5848188066689453</v>
      </c>
      <c r="I194" s="388">
        <f t="shared" si="104"/>
        <v>1.5948181411054305</v>
      </c>
      <c r="J194" s="388">
        <f t="shared" si="104"/>
        <v>1.5701351237951866</v>
      </c>
      <c r="K194" s="388">
        <f t="shared" si="104"/>
        <v>1.551360018321593</v>
      </c>
      <c r="L194" s="388">
        <f t="shared" si="104"/>
        <v>1.5311718854315204</v>
      </c>
      <c r="M194" s="388">
        <f t="shared" si="104"/>
        <v>1.5096083447317326</v>
      </c>
      <c r="N194" s="388">
        <f t="shared" si="104"/>
        <v>1.4899206974193122</v>
      </c>
      <c r="O194" s="388">
        <f t="shared" si="104"/>
        <v>1.464479130264829</v>
      </c>
      <c r="P194" s="388">
        <f t="shared" si="104"/>
        <v>1.4406735365349375</v>
      </c>
      <c r="Q194" s="388">
        <f t="shared" si="104"/>
        <v>1.4168043029252333</v>
      </c>
      <c r="R194" s="388">
        <f t="shared" si="104"/>
        <v>1.3928772026975242</v>
      </c>
      <c r="S194" s="388">
        <f t="shared" si="104"/>
        <v>1.3530019662779424</v>
      </c>
      <c r="T194" s="388">
        <f t="shared" si="104"/>
        <v>1.3334207632127815</v>
      </c>
      <c r="U194" s="388">
        <f t="shared" si="104"/>
        <v>1.3153934271209888</v>
      </c>
      <c r="V194" s="388">
        <f t="shared" si="104"/>
        <v>1.2981671341034382</v>
      </c>
      <c r="W194" s="388">
        <f t="shared" si="104"/>
        <v>1.2817481031793609</v>
      </c>
      <c r="X194" s="388">
        <f t="shared" si="104"/>
        <v>1.2622769345766363</v>
      </c>
      <c r="Y194" s="388">
        <f t="shared" si="104"/>
        <v>1.247133218570103</v>
      </c>
      <c r="Z194" s="388">
        <f t="shared" si="104"/>
        <v>1.2326442592801012</v>
      </c>
      <c r="AA194" s="388">
        <f t="shared" si="104"/>
        <v>1.2187638543745971</v>
      </c>
      <c r="AB194" s="388">
        <f t="shared" si="104"/>
        <v>1.2055377223853863</v>
      </c>
      <c r="AC194" s="388">
        <f t="shared" si="104"/>
        <v>1.1839821338055183</v>
      </c>
      <c r="AD194" s="388">
        <f t="shared" si="104"/>
        <v>1.1764765508576531</v>
      </c>
      <c r="AE194" s="388">
        <f t="shared" si="104"/>
        <v>1.1693317918270656</v>
      </c>
      <c r="AF194" s="388">
        <f t="shared" si="104"/>
        <v>1.1624786650636798</v>
      </c>
      <c r="AG194" s="388">
        <f t="shared" si="104"/>
        <v>1.1559426498651324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5:A36"/>
  </mergeCells>
  <pageMargins left="0.7" right="0.7" top="0.75" bottom="0.75" header="0.3" footer="0.3"/>
  <pageSetup orientation="portrait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29"/>
  <sheetViews>
    <sheetView zoomScale="120" zoomScaleNormal="120" workbookViewId="0">
      <pane ySplit="5" topLeftCell="A41" activePane="bottomLeft" state="frozen"/>
      <selection activeCell="C97" sqref="C97:AG97"/>
      <selection pane="bottomLeft" activeCell="C97" sqref="C97:AG97"/>
    </sheetView>
  </sheetViews>
  <sheetFormatPr defaultColWidth="9.109375" defaultRowHeight="14.4"/>
  <cols>
    <col min="1" max="1" width="28.44140625" style="173" customWidth="1"/>
    <col min="2" max="2" width="29" style="173" customWidth="1"/>
    <col min="3" max="3" width="15.44140625" style="221" customWidth="1"/>
    <col min="4" max="6" width="15.88671875" style="173" customWidth="1"/>
    <col min="7" max="31" width="14.44140625" style="173" customWidth="1"/>
    <col min="32" max="36" width="12.109375" style="173" bestFit="1" customWidth="1"/>
    <col min="37" max="16384" width="9.109375" style="173"/>
  </cols>
  <sheetData>
    <row r="1" spans="1:21">
      <c r="G1" s="222" t="s">
        <v>247</v>
      </c>
      <c r="H1" s="173" t="s">
        <v>247</v>
      </c>
    </row>
    <row r="2" spans="1:21">
      <c r="A2" s="173" t="s">
        <v>248</v>
      </c>
      <c r="B2" s="173" t="s">
        <v>8</v>
      </c>
      <c r="F2" s="222" t="s">
        <v>249</v>
      </c>
      <c r="G2" s="222" t="s">
        <v>250</v>
      </c>
      <c r="H2" s="173" t="s">
        <v>250</v>
      </c>
    </row>
    <row r="3" spans="1:21">
      <c r="A3" s="173" t="s">
        <v>251</v>
      </c>
      <c r="B3" s="173" t="s">
        <v>364</v>
      </c>
      <c r="F3" s="222" t="s">
        <v>252</v>
      </c>
    </row>
    <row r="4" spans="1:21">
      <c r="A4" s="173" t="s">
        <v>338</v>
      </c>
      <c r="B4" s="173" t="s">
        <v>339</v>
      </c>
    </row>
    <row r="5" spans="1:21">
      <c r="A5" s="173" t="s">
        <v>340</v>
      </c>
      <c r="B5" s="173" t="s">
        <v>250</v>
      </c>
    </row>
    <row r="6" spans="1:21" s="225" customFormat="1">
      <c r="A6" s="223" t="s">
        <v>253</v>
      </c>
      <c r="B6" s="223"/>
      <c r="C6" s="224"/>
    </row>
    <row r="7" spans="1:21" ht="15.6">
      <c r="A7" s="171" t="s">
        <v>4</v>
      </c>
      <c r="C7" s="174"/>
      <c r="D7" s="226"/>
      <c r="G7" s="171"/>
      <c r="H7" s="171"/>
      <c r="I7" s="172" t="s">
        <v>178</v>
      </c>
      <c r="J7" s="172" t="s">
        <v>180</v>
      </c>
      <c r="K7" s="172" t="s">
        <v>238</v>
      </c>
      <c r="L7" s="172" t="s">
        <v>239</v>
      </c>
    </row>
    <row r="8" spans="1:21" ht="15.6">
      <c r="A8" s="171" t="s">
        <v>254</v>
      </c>
      <c r="B8" s="173" t="s">
        <v>255</v>
      </c>
      <c r="C8" s="227">
        <v>19</v>
      </c>
      <c r="D8" s="228" t="s">
        <v>169</v>
      </c>
      <c r="E8" s="228">
        <v>2</v>
      </c>
      <c r="G8" s="171" t="s">
        <v>240</v>
      </c>
      <c r="H8" s="171" t="s">
        <v>241</v>
      </c>
      <c r="I8" s="229">
        <v>45.5</v>
      </c>
      <c r="J8" s="174">
        <v>40</v>
      </c>
      <c r="K8" s="174">
        <v>120</v>
      </c>
      <c r="L8" s="174">
        <v>120</v>
      </c>
      <c r="M8" s="175" t="s">
        <v>242</v>
      </c>
    </row>
    <row r="9" spans="1:21" ht="15.6">
      <c r="A9" s="171" t="s">
        <v>365</v>
      </c>
      <c r="B9" s="173" t="s">
        <v>201</v>
      </c>
      <c r="C9" s="230">
        <v>0.73949999999999994</v>
      </c>
      <c r="D9" s="228" t="s">
        <v>169</v>
      </c>
      <c r="E9" s="228"/>
      <c r="G9" s="171" t="s">
        <v>240</v>
      </c>
      <c r="H9" s="171" t="s">
        <v>243</v>
      </c>
      <c r="I9" s="176">
        <f>I8/3.6</f>
        <v>12.638888888888889</v>
      </c>
      <c r="J9" s="176">
        <f>J8/3.6</f>
        <v>11.111111111111111</v>
      </c>
      <c r="K9" s="176">
        <f>K8/3.6</f>
        <v>33.333333333333336</v>
      </c>
      <c r="L9" s="176">
        <f>L8/3.6</f>
        <v>33.333333333333336</v>
      </c>
    </row>
    <row r="10" spans="1:21" ht="15.6">
      <c r="A10" s="171" t="s">
        <v>366</v>
      </c>
      <c r="B10" s="173" t="s">
        <v>367</v>
      </c>
      <c r="C10" s="227">
        <v>3000</v>
      </c>
      <c r="D10" s="228" t="s">
        <v>169</v>
      </c>
      <c r="E10" s="228">
        <v>4</v>
      </c>
      <c r="G10" s="171" t="s">
        <v>244</v>
      </c>
      <c r="H10" s="171" t="s">
        <v>245</v>
      </c>
      <c r="I10" s="174">
        <v>0.85</v>
      </c>
      <c r="J10" s="177">
        <v>0.2</v>
      </c>
      <c r="K10" s="177">
        <f>0.06</f>
        <v>0.06</v>
      </c>
      <c r="L10" s="177">
        <f>0.06</f>
        <v>0.06</v>
      </c>
    </row>
    <row r="11" spans="1:21" ht="15.6">
      <c r="A11" s="171" t="s">
        <v>308</v>
      </c>
      <c r="B11" s="173" t="s">
        <v>257</v>
      </c>
      <c r="C11" s="301" t="e">
        <f>#REF!</f>
        <v>#REF!</v>
      </c>
      <c r="D11" s="228" t="s">
        <v>169</v>
      </c>
      <c r="E11" s="228">
        <v>5</v>
      </c>
      <c r="H11" s="173" t="s">
        <v>246</v>
      </c>
      <c r="I11" s="178">
        <f>I9*I10</f>
        <v>10.743055555555555</v>
      </c>
      <c r="J11" s="178">
        <f>J9*J10</f>
        <v>2.2222222222222223</v>
      </c>
      <c r="K11" s="178">
        <f t="shared" ref="K11:L11" si="0">K9*K10</f>
        <v>2</v>
      </c>
      <c r="L11" s="178">
        <f t="shared" si="0"/>
        <v>2</v>
      </c>
    </row>
    <row r="12" spans="1:21" ht="15.6">
      <c r="A12" s="171" t="s">
        <v>368</v>
      </c>
      <c r="B12" s="173" t="s">
        <v>257</v>
      </c>
      <c r="C12" s="301" t="e">
        <f>#REF!</f>
        <v>#REF!</v>
      </c>
      <c r="D12" s="228" t="s">
        <v>169</v>
      </c>
      <c r="E12" s="228">
        <v>6</v>
      </c>
    </row>
    <row r="13" spans="1:21" ht="15.6">
      <c r="A13" s="171" t="s">
        <v>369</v>
      </c>
      <c r="B13" s="173" t="s">
        <v>370</v>
      </c>
      <c r="C13" s="230">
        <v>0.05</v>
      </c>
      <c r="D13" s="228" t="s">
        <v>169</v>
      </c>
      <c r="E13" s="228">
        <v>7</v>
      </c>
    </row>
    <row r="14" spans="1:21" ht="15.6">
      <c r="A14" s="171" t="s">
        <v>371</v>
      </c>
      <c r="B14" s="173" t="s">
        <v>257</v>
      </c>
      <c r="C14" s="301" t="e">
        <f>#REF!</f>
        <v>#REF!</v>
      </c>
      <c r="D14" s="228" t="s">
        <v>169</v>
      </c>
      <c r="E14" s="228">
        <v>8</v>
      </c>
    </row>
    <row r="15" spans="1:21" ht="15.6">
      <c r="A15" s="171" t="s">
        <v>372</v>
      </c>
      <c r="B15" s="173" t="s">
        <v>257</v>
      </c>
      <c r="C15" s="302" t="e">
        <f>#REF!</f>
        <v>#REF!</v>
      </c>
      <c r="D15" s="228" t="s">
        <v>169</v>
      </c>
      <c r="E15" s="228">
        <v>9</v>
      </c>
      <c r="S15" s="173" t="s">
        <v>341</v>
      </c>
      <c r="T15" s="173" t="s">
        <v>342</v>
      </c>
      <c r="U15" s="173" t="s">
        <v>343</v>
      </c>
    </row>
    <row r="16" spans="1:21" ht="15.6">
      <c r="A16" s="171" t="s">
        <v>373</v>
      </c>
      <c r="B16" s="173" t="s">
        <v>273</v>
      </c>
      <c r="C16" s="302" t="e">
        <f>#REF!</f>
        <v>#REF!</v>
      </c>
      <c r="D16" s="228"/>
      <c r="E16" s="228"/>
      <c r="S16" s="173">
        <v>800</v>
      </c>
      <c r="T16" s="173">
        <v>2028</v>
      </c>
      <c r="U16" s="173">
        <v>2034</v>
      </c>
    </row>
    <row r="17" spans="1:21" ht="15.6">
      <c r="A17" s="171" t="s">
        <v>374</v>
      </c>
      <c r="B17" s="173" t="s">
        <v>194</v>
      </c>
      <c r="C17" s="227">
        <v>20</v>
      </c>
      <c r="D17" s="228" t="s">
        <v>169</v>
      </c>
      <c r="E17" s="228">
        <v>10</v>
      </c>
      <c r="S17" s="173">
        <v>500</v>
      </c>
      <c r="T17" s="173">
        <v>2029</v>
      </c>
      <c r="U17" s="173">
        <v>2035</v>
      </c>
    </row>
    <row r="18" spans="1:21" ht="15.6">
      <c r="A18" s="171" t="s">
        <v>375</v>
      </c>
      <c r="B18" s="173" t="s">
        <v>194</v>
      </c>
      <c r="C18" s="227">
        <v>245</v>
      </c>
      <c r="D18" s="228" t="s">
        <v>169</v>
      </c>
      <c r="E18" s="228">
        <v>11</v>
      </c>
    </row>
    <row r="19" spans="1:21" ht="15.6">
      <c r="A19" s="171" t="s">
        <v>263</v>
      </c>
      <c r="B19" s="173" t="s">
        <v>193</v>
      </c>
      <c r="C19" s="301" t="e">
        <f>#REF!</f>
        <v>#REF!</v>
      </c>
      <c r="D19" s="228" t="s">
        <v>169</v>
      </c>
      <c r="E19" s="228">
        <v>12</v>
      </c>
    </row>
    <row r="20" spans="1:21" ht="15.6">
      <c r="A20" s="171" t="s">
        <v>376</v>
      </c>
      <c r="B20" s="173" t="s">
        <v>377</v>
      </c>
      <c r="C20" s="227">
        <v>20652.307692307691</v>
      </c>
      <c r="D20" s="228"/>
      <c r="E20" s="228"/>
    </row>
    <row r="21" spans="1:21" ht="15.6">
      <c r="A21" s="171" t="s">
        <v>266</v>
      </c>
      <c r="B21" s="173" t="s">
        <v>194</v>
      </c>
      <c r="C21" s="301" t="e">
        <f>#REF!</f>
        <v>#REF!</v>
      </c>
      <c r="D21" s="228" t="s">
        <v>169</v>
      </c>
      <c r="E21" s="228">
        <v>13</v>
      </c>
    </row>
    <row r="22" spans="1:21" ht="15.6">
      <c r="A22" s="171" t="s">
        <v>268</v>
      </c>
      <c r="B22" s="173" t="s">
        <v>193</v>
      </c>
      <c r="C22" s="301" t="e">
        <f>#REF!</f>
        <v>#REF!</v>
      </c>
      <c r="D22" s="228" t="s">
        <v>169</v>
      </c>
      <c r="E22" s="228">
        <v>14</v>
      </c>
    </row>
    <row r="23" spans="1:21" ht="15.6">
      <c r="A23" s="171" t="s">
        <v>378</v>
      </c>
      <c r="B23" s="173" t="s">
        <v>255</v>
      </c>
      <c r="C23" s="302" t="e">
        <f>#REF!/1000</f>
        <v>#REF!</v>
      </c>
      <c r="D23" s="228" t="s">
        <v>169</v>
      </c>
      <c r="E23" s="228">
        <v>18</v>
      </c>
    </row>
    <row r="24" spans="1:21" ht="15.6">
      <c r="A24" s="293" t="s">
        <v>379</v>
      </c>
      <c r="B24" s="173" t="s">
        <v>255</v>
      </c>
      <c r="C24" s="302" t="e">
        <f>#REF!/1000</f>
        <v>#REF!</v>
      </c>
      <c r="D24" s="228" t="s">
        <v>169</v>
      </c>
      <c r="E24" s="228">
        <v>19</v>
      </c>
    </row>
    <row r="25" spans="1:21" ht="15.6">
      <c r="A25" s="171" t="s">
        <v>380</v>
      </c>
      <c r="B25" s="173" t="s">
        <v>255</v>
      </c>
      <c r="C25" s="302" t="e">
        <f>#REF!/1000</f>
        <v>#REF!</v>
      </c>
      <c r="D25" s="228" t="s">
        <v>169</v>
      </c>
      <c r="E25" s="228">
        <v>20</v>
      </c>
    </row>
    <row r="26" spans="1:21" ht="15.6">
      <c r="A26" s="171" t="s">
        <v>381</v>
      </c>
      <c r="B26" s="173" t="s">
        <v>255</v>
      </c>
      <c r="C26" s="302" t="e">
        <f>C24</f>
        <v>#REF!</v>
      </c>
      <c r="D26" s="228" t="s">
        <v>169</v>
      </c>
      <c r="E26" s="228">
        <v>21</v>
      </c>
    </row>
    <row r="27" spans="1:21" ht="15.6">
      <c r="A27" s="171" t="s">
        <v>382</v>
      </c>
      <c r="B27" s="173" t="s">
        <v>195</v>
      </c>
      <c r="C27" s="301" t="e">
        <f>#REF!</f>
        <v>#REF!</v>
      </c>
      <c r="D27" s="228" t="s">
        <v>275</v>
      </c>
      <c r="E27" s="228">
        <v>2</v>
      </c>
    </row>
    <row r="28" spans="1:21" ht="15.6">
      <c r="A28" s="171" t="s">
        <v>172</v>
      </c>
      <c r="B28" s="173" t="s">
        <v>196</v>
      </c>
      <c r="C28" s="301" t="e">
        <f>#REF!</f>
        <v>#REF!</v>
      </c>
      <c r="D28" s="228" t="s">
        <v>275</v>
      </c>
      <c r="E28" s="228">
        <v>3</v>
      </c>
    </row>
    <row r="29" spans="1:21" ht="15.6">
      <c r="A29" s="171" t="s">
        <v>174</v>
      </c>
      <c r="B29" s="173" t="s">
        <v>197</v>
      </c>
      <c r="C29" s="301" t="e">
        <f>#REF!</f>
        <v>#REF!</v>
      </c>
      <c r="D29" s="228" t="s">
        <v>275</v>
      </c>
      <c r="E29" s="228">
        <v>4</v>
      </c>
    </row>
    <row r="30" spans="1:21" ht="15.6">
      <c r="A30" s="171" t="s">
        <v>276</v>
      </c>
      <c r="B30" s="173" t="s">
        <v>198</v>
      </c>
      <c r="C30" s="303" t="e">
        <f>#REF!</f>
        <v>#REF!</v>
      </c>
      <c r="D30" s="228" t="s">
        <v>275</v>
      </c>
      <c r="E30" s="228">
        <v>5</v>
      </c>
    </row>
    <row r="31" spans="1:21" ht="15.6">
      <c r="A31" s="171" t="s">
        <v>383</v>
      </c>
      <c r="B31" s="173" t="s">
        <v>277</v>
      </c>
      <c r="C31" s="174">
        <v>7</v>
      </c>
      <c r="D31" s="228" t="s">
        <v>384</v>
      </c>
      <c r="E31" s="222"/>
    </row>
    <row r="32" spans="1:21" ht="15.6">
      <c r="A32" s="171" t="s">
        <v>385</v>
      </c>
      <c r="B32" s="173" t="s">
        <v>198</v>
      </c>
      <c r="C32" s="232">
        <v>0.03</v>
      </c>
      <c r="D32" s="228" t="s">
        <v>384</v>
      </c>
      <c r="E32" s="222"/>
    </row>
    <row r="33" spans="1:39" ht="15.6">
      <c r="A33" s="171" t="s">
        <v>344</v>
      </c>
      <c r="B33" s="173" t="s">
        <v>198</v>
      </c>
      <c r="C33" s="233">
        <v>0.12</v>
      </c>
      <c r="D33" s="228" t="s">
        <v>384</v>
      </c>
      <c r="E33" s="222"/>
    </row>
    <row r="34" spans="1:39" ht="15.6">
      <c r="A34" s="171" t="s">
        <v>221</v>
      </c>
      <c r="B34" s="173" t="s">
        <v>198</v>
      </c>
      <c r="C34" s="234">
        <v>0.02</v>
      </c>
      <c r="D34" s="228" t="s">
        <v>384</v>
      </c>
      <c r="E34" s="222"/>
    </row>
    <row r="35" spans="1:39" ht="15.6">
      <c r="A35" s="171" t="s">
        <v>386</v>
      </c>
      <c r="B35" s="173" t="s">
        <v>198</v>
      </c>
      <c r="C35" s="233">
        <v>0.7</v>
      </c>
      <c r="D35" s="228"/>
      <c r="E35" s="222"/>
    </row>
    <row r="36" spans="1:39">
      <c r="A36" s="173">
        <v>1</v>
      </c>
      <c r="B36" s="173">
        <v>2</v>
      </c>
      <c r="C36" s="173">
        <v>6</v>
      </c>
      <c r="D36" s="221">
        <v>7</v>
      </c>
      <c r="E36" s="173">
        <v>8</v>
      </c>
      <c r="F36" s="221">
        <v>9</v>
      </c>
      <c r="G36" s="173">
        <v>10</v>
      </c>
      <c r="H36" s="221">
        <v>11</v>
      </c>
      <c r="I36" s="173">
        <v>12</v>
      </c>
      <c r="J36" s="221">
        <v>13</v>
      </c>
      <c r="K36" s="173">
        <v>14</v>
      </c>
      <c r="L36" s="221">
        <v>15</v>
      </c>
      <c r="M36" s="173">
        <v>16</v>
      </c>
      <c r="N36" s="221">
        <v>17</v>
      </c>
      <c r="O36" s="173">
        <v>18</v>
      </c>
      <c r="P36" s="221">
        <v>19</v>
      </c>
      <c r="Q36" s="173">
        <v>20</v>
      </c>
      <c r="R36" s="221">
        <v>21</v>
      </c>
      <c r="S36" s="173">
        <v>22</v>
      </c>
      <c r="T36" s="221">
        <v>23</v>
      </c>
      <c r="U36" s="173">
        <v>24</v>
      </c>
      <c r="V36" s="221">
        <v>25</v>
      </c>
      <c r="W36" s="173">
        <v>26</v>
      </c>
      <c r="X36" s="221">
        <v>27</v>
      </c>
      <c r="Y36" s="173">
        <v>28</v>
      </c>
      <c r="Z36" s="221">
        <v>29</v>
      </c>
      <c r="AA36" s="173">
        <v>30</v>
      </c>
      <c r="AB36" s="221">
        <v>31</v>
      </c>
      <c r="AC36" s="221">
        <v>32</v>
      </c>
      <c r="AD36" s="221">
        <v>33</v>
      </c>
      <c r="AE36" s="221">
        <v>34</v>
      </c>
      <c r="AF36" s="221">
        <v>35</v>
      </c>
      <c r="AG36" s="221">
        <v>36</v>
      </c>
    </row>
    <row r="37" spans="1:39" s="225" customFormat="1">
      <c r="A37" s="223" t="s">
        <v>286</v>
      </c>
      <c r="B37" s="223"/>
    </row>
    <row r="38" spans="1:39">
      <c r="A38" s="235" t="s">
        <v>41</v>
      </c>
      <c r="B38" s="235"/>
      <c r="C38" s="235">
        <v>2025</v>
      </c>
      <c r="D38" s="235">
        <f t="shared" ref="D38:AG38" si="1">C38+1</f>
        <v>2026</v>
      </c>
      <c r="E38" s="235">
        <f t="shared" si="1"/>
        <v>2027</v>
      </c>
      <c r="F38" s="235">
        <f t="shared" si="1"/>
        <v>2028</v>
      </c>
      <c r="G38" s="235">
        <f t="shared" si="1"/>
        <v>2029</v>
      </c>
      <c r="H38" s="235">
        <f t="shared" si="1"/>
        <v>2030</v>
      </c>
      <c r="I38" s="235">
        <f t="shared" si="1"/>
        <v>2031</v>
      </c>
      <c r="J38" s="235">
        <f t="shared" si="1"/>
        <v>2032</v>
      </c>
      <c r="K38" s="235">
        <f t="shared" si="1"/>
        <v>2033</v>
      </c>
      <c r="L38" s="235">
        <f t="shared" si="1"/>
        <v>2034</v>
      </c>
      <c r="M38" s="235">
        <f t="shared" si="1"/>
        <v>2035</v>
      </c>
      <c r="N38" s="235">
        <f t="shared" si="1"/>
        <v>2036</v>
      </c>
      <c r="O38" s="235">
        <f t="shared" si="1"/>
        <v>2037</v>
      </c>
      <c r="P38" s="235">
        <f t="shared" si="1"/>
        <v>2038</v>
      </c>
      <c r="Q38" s="235">
        <f t="shared" si="1"/>
        <v>2039</v>
      </c>
      <c r="R38" s="235">
        <f t="shared" si="1"/>
        <v>2040</v>
      </c>
      <c r="S38" s="235">
        <f t="shared" si="1"/>
        <v>2041</v>
      </c>
      <c r="T38" s="235">
        <f t="shared" si="1"/>
        <v>2042</v>
      </c>
      <c r="U38" s="235">
        <f t="shared" si="1"/>
        <v>2043</v>
      </c>
      <c r="V38" s="235">
        <f t="shared" si="1"/>
        <v>2044</v>
      </c>
      <c r="W38" s="235">
        <f t="shared" si="1"/>
        <v>2045</v>
      </c>
      <c r="X38" s="235">
        <f t="shared" si="1"/>
        <v>2046</v>
      </c>
      <c r="Y38" s="235">
        <f t="shared" si="1"/>
        <v>2047</v>
      </c>
      <c r="Z38" s="235">
        <f t="shared" si="1"/>
        <v>2048</v>
      </c>
      <c r="AA38" s="235">
        <f t="shared" si="1"/>
        <v>2049</v>
      </c>
      <c r="AB38" s="235">
        <f t="shared" si="1"/>
        <v>2050</v>
      </c>
      <c r="AC38" s="235">
        <f t="shared" si="1"/>
        <v>2051</v>
      </c>
      <c r="AD38" s="235">
        <f t="shared" si="1"/>
        <v>2052</v>
      </c>
      <c r="AE38" s="235">
        <f t="shared" si="1"/>
        <v>2053</v>
      </c>
      <c r="AF38" s="235">
        <f t="shared" si="1"/>
        <v>2054</v>
      </c>
      <c r="AG38" s="235">
        <f t="shared" si="1"/>
        <v>2055</v>
      </c>
      <c r="AH38" s="171" t="s">
        <v>387</v>
      </c>
    </row>
    <row r="39" spans="1:39">
      <c r="A39" s="171" t="s">
        <v>287</v>
      </c>
      <c r="B39" s="171" t="s">
        <v>288</v>
      </c>
      <c r="C39" s="236">
        <v>92</v>
      </c>
      <c r="D39" s="236">
        <f t="shared" ref="D39:AG42" si="2">ROUND(C39*(1+$AH39),2)</f>
        <v>94.3</v>
      </c>
      <c r="E39" s="236">
        <f t="shared" si="2"/>
        <v>96.66</v>
      </c>
      <c r="F39" s="236">
        <f t="shared" si="2"/>
        <v>99.08</v>
      </c>
      <c r="G39" s="236">
        <f t="shared" si="2"/>
        <v>101.56</v>
      </c>
      <c r="H39" s="236">
        <f t="shared" si="2"/>
        <v>104.1</v>
      </c>
      <c r="I39" s="236">
        <f t="shared" si="2"/>
        <v>106.7</v>
      </c>
      <c r="J39" s="236">
        <f t="shared" si="2"/>
        <v>109.37</v>
      </c>
      <c r="K39" s="236">
        <f t="shared" si="2"/>
        <v>112.1</v>
      </c>
      <c r="L39" s="236">
        <f t="shared" si="2"/>
        <v>114.9</v>
      </c>
      <c r="M39" s="236">
        <f t="shared" si="2"/>
        <v>117.77</v>
      </c>
      <c r="N39" s="236">
        <f t="shared" si="2"/>
        <v>120.71</v>
      </c>
      <c r="O39" s="236">
        <f t="shared" si="2"/>
        <v>123.73</v>
      </c>
      <c r="P39" s="236">
        <f t="shared" si="2"/>
        <v>126.82</v>
      </c>
      <c r="Q39" s="236">
        <f t="shared" si="2"/>
        <v>129.99</v>
      </c>
      <c r="R39" s="236">
        <f t="shared" si="2"/>
        <v>133.24</v>
      </c>
      <c r="S39" s="236">
        <f t="shared" si="2"/>
        <v>136.57</v>
      </c>
      <c r="T39" s="236">
        <f t="shared" si="2"/>
        <v>139.97999999999999</v>
      </c>
      <c r="U39" s="236">
        <f t="shared" si="2"/>
        <v>143.47999999999999</v>
      </c>
      <c r="V39" s="236">
        <f t="shared" si="2"/>
        <v>147.07</v>
      </c>
      <c r="W39" s="236">
        <f t="shared" si="2"/>
        <v>150.75</v>
      </c>
      <c r="X39" s="236">
        <f t="shared" si="2"/>
        <v>154.52000000000001</v>
      </c>
      <c r="Y39" s="236">
        <f t="shared" si="2"/>
        <v>158.38</v>
      </c>
      <c r="Z39" s="236">
        <f t="shared" si="2"/>
        <v>162.34</v>
      </c>
      <c r="AA39" s="236">
        <f t="shared" si="2"/>
        <v>166.4</v>
      </c>
      <c r="AB39" s="236">
        <f t="shared" si="2"/>
        <v>170.56</v>
      </c>
      <c r="AC39" s="236">
        <f t="shared" si="2"/>
        <v>174.82</v>
      </c>
      <c r="AD39" s="236">
        <f t="shared" si="2"/>
        <v>179.19</v>
      </c>
      <c r="AE39" s="236">
        <f t="shared" si="2"/>
        <v>183.67</v>
      </c>
      <c r="AF39" s="236">
        <f t="shared" si="2"/>
        <v>188.26</v>
      </c>
      <c r="AG39" s="236">
        <f t="shared" si="2"/>
        <v>192.97</v>
      </c>
      <c r="AH39" s="237">
        <v>2.5000000000000001E-2</v>
      </c>
    </row>
    <row r="40" spans="1:39">
      <c r="A40" s="171" t="s">
        <v>289</v>
      </c>
      <c r="B40" s="171" t="s">
        <v>288</v>
      </c>
      <c r="C40" s="236">
        <v>55</v>
      </c>
      <c r="D40" s="236">
        <f t="shared" si="2"/>
        <v>56.38</v>
      </c>
      <c r="E40" s="236">
        <f t="shared" si="2"/>
        <v>57.79</v>
      </c>
      <c r="F40" s="236">
        <f t="shared" si="2"/>
        <v>59.23</v>
      </c>
      <c r="G40" s="236">
        <f t="shared" si="2"/>
        <v>60.71</v>
      </c>
      <c r="H40" s="236">
        <f t="shared" si="2"/>
        <v>62.23</v>
      </c>
      <c r="I40" s="236">
        <f t="shared" si="2"/>
        <v>63.79</v>
      </c>
      <c r="J40" s="236">
        <f t="shared" si="2"/>
        <v>65.38</v>
      </c>
      <c r="K40" s="236">
        <f t="shared" si="2"/>
        <v>67.010000000000005</v>
      </c>
      <c r="L40" s="236">
        <f t="shared" si="2"/>
        <v>68.69</v>
      </c>
      <c r="M40" s="236">
        <f t="shared" si="2"/>
        <v>70.41</v>
      </c>
      <c r="N40" s="236">
        <f t="shared" si="2"/>
        <v>72.17</v>
      </c>
      <c r="O40" s="236">
        <f t="shared" si="2"/>
        <v>73.97</v>
      </c>
      <c r="P40" s="236">
        <f t="shared" si="2"/>
        <v>75.819999999999993</v>
      </c>
      <c r="Q40" s="236">
        <f t="shared" si="2"/>
        <v>77.72</v>
      </c>
      <c r="R40" s="236">
        <f t="shared" si="2"/>
        <v>79.66</v>
      </c>
      <c r="S40" s="236">
        <f t="shared" si="2"/>
        <v>81.650000000000006</v>
      </c>
      <c r="T40" s="236">
        <f t="shared" si="2"/>
        <v>83.69</v>
      </c>
      <c r="U40" s="236">
        <f t="shared" si="2"/>
        <v>85.78</v>
      </c>
      <c r="V40" s="236">
        <f t="shared" si="2"/>
        <v>87.92</v>
      </c>
      <c r="W40" s="236">
        <f t="shared" si="2"/>
        <v>90.12</v>
      </c>
      <c r="X40" s="236">
        <f t="shared" si="2"/>
        <v>92.37</v>
      </c>
      <c r="Y40" s="236">
        <f t="shared" si="2"/>
        <v>94.68</v>
      </c>
      <c r="Z40" s="236">
        <f t="shared" si="2"/>
        <v>97.05</v>
      </c>
      <c r="AA40" s="236">
        <f t="shared" si="2"/>
        <v>99.48</v>
      </c>
      <c r="AB40" s="236">
        <f t="shared" si="2"/>
        <v>101.97</v>
      </c>
      <c r="AC40" s="236">
        <f t="shared" si="2"/>
        <v>104.52</v>
      </c>
      <c r="AD40" s="236">
        <f t="shared" si="2"/>
        <v>107.13</v>
      </c>
      <c r="AE40" s="236">
        <f t="shared" si="2"/>
        <v>109.81</v>
      </c>
      <c r="AF40" s="236">
        <f t="shared" si="2"/>
        <v>112.56</v>
      </c>
      <c r="AG40" s="236">
        <f t="shared" si="2"/>
        <v>115.37</v>
      </c>
      <c r="AH40" s="237">
        <v>2.5000000000000001E-2</v>
      </c>
    </row>
    <row r="41" spans="1:39">
      <c r="A41" s="171" t="s">
        <v>179</v>
      </c>
      <c r="B41" s="171" t="s">
        <v>290</v>
      </c>
      <c r="C41" s="236">
        <v>87</v>
      </c>
      <c r="D41" s="236">
        <f>ROUND(C41*(1+$AH41),2)</f>
        <v>89.18</v>
      </c>
      <c r="E41" s="236">
        <f t="shared" si="2"/>
        <v>91.41</v>
      </c>
      <c r="F41" s="236">
        <f t="shared" si="2"/>
        <v>93.7</v>
      </c>
      <c r="G41" s="236">
        <f t="shared" si="2"/>
        <v>96.04</v>
      </c>
      <c r="H41" s="236">
        <f t="shared" si="2"/>
        <v>98.44</v>
      </c>
      <c r="I41" s="236">
        <f t="shared" si="2"/>
        <v>100.9</v>
      </c>
      <c r="J41" s="236">
        <f t="shared" si="2"/>
        <v>103.42</v>
      </c>
      <c r="K41" s="236">
        <f t="shared" si="2"/>
        <v>106.01</v>
      </c>
      <c r="L41" s="236">
        <f t="shared" si="2"/>
        <v>108.66</v>
      </c>
      <c r="M41" s="236">
        <f t="shared" si="2"/>
        <v>111.38</v>
      </c>
      <c r="N41" s="236">
        <f t="shared" si="2"/>
        <v>114.16</v>
      </c>
      <c r="O41" s="236">
        <f t="shared" si="2"/>
        <v>117.01</v>
      </c>
      <c r="P41" s="236">
        <f t="shared" si="2"/>
        <v>119.94</v>
      </c>
      <c r="Q41" s="236">
        <f t="shared" si="2"/>
        <v>122.94</v>
      </c>
      <c r="R41" s="236">
        <f t="shared" si="2"/>
        <v>126.01</v>
      </c>
      <c r="S41" s="236">
        <f t="shared" si="2"/>
        <v>129.16</v>
      </c>
      <c r="T41" s="236">
        <f t="shared" si="2"/>
        <v>132.38999999999999</v>
      </c>
      <c r="U41" s="236">
        <f t="shared" si="2"/>
        <v>135.69999999999999</v>
      </c>
      <c r="V41" s="236">
        <f t="shared" si="2"/>
        <v>139.09</v>
      </c>
      <c r="W41" s="236">
        <f t="shared" si="2"/>
        <v>142.57</v>
      </c>
      <c r="X41" s="236">
        <f t="shared" si="2"/>
        <v>146.13</v>
      </c>
      <c r="Y41" s="236">
        <f t="shared" si="2"/>
        <v>149.78</v>
      </c>
      <c r="Z41" s="236">
        <f t="shared" si="2"/>
        <v>153.52000000000001</v>
      </c>
      <c r="AA41" s="236">
        <f t="shared" si="2"/>
        <v>157.36000000000001</v>
      </c>
      <c r="AB41" s="236">
        <f t="shared" si="2"/>
        <v>161.29</v>
      </c>
      <c r="AC41" s="236">
        <f t="shared" si="2"/>
        <v>165.32</v>
      </c>
      <c r="AD41" s="236">
        <f t="shared" si="2"/>
        <v>169.45</v>
      </c>
      <c r="AE41" s="236">
        <f t="shared" si="2"/>
        <v>173.69</v>
      </c>
      <c r="AF41" s="236">
        <f t="shared" si="2"/>
        <v>178.03</v>
      </c>
      <c r="AG41" s="236">
        <f t="shared" si="2"/>
        <v>182.48</v>
      </c>
      <c r="AH41" s="239">
        <v>2.5000000000000001E-2</v>
      </c>
    </row>
    <row r="42" spans="1:39">
      <c r="A42" s="171" t="s">
        <v>180</v>
      </c>
      <c r="B42" s="171" t="s">
        <v>290</v>
      </c>
      <c r="C42" s="238">
        <f>C39*0.9</f>
        <v>82.8</v>
      </c>
      <c r="D42" s="238">
        <f>ROUND(C42*(1+$AH42),2)</f>
        <v>84.87</v>
      </c>
      <c r="E42" s="238">
        <f t="shared" si="2"/>
        <v>86.99</v>
      </c>
      <c r="F42" s="238">
        <f t="shared" si="2"/>
        <v>89.16</v>
      </c>
      <c r="G42" s="238">
        <f t="shared" si="2"/>
        <v>91.39</v>
      </c>
      <c r="H42" s="238">
        <f t="shared" si="2"/>
        <v>93.67</v>
      </c>
      <c r="I42" s="238">
        <f t="shared" si="2"/>
        <v>96.01</v>
      </c>
      <c r="J42" s="238">
        <f t="shared" si="2"/>
        <v>98.41</v>
      </c>
      <c r="K42" s="238">
        <f t="shared" si="2"/>
        <v>100.87</v>
      </c>
      <c r="L42" s="238">
        <f t="shared" si="2"/>
        <v>103.39</v>
      </c>
      <c r="M42" s="238">
        <f t="shared" si="2"/>
        <v>105.97</v>
      </c>
      <c r="N42" s="238">
        <f t="shared" si="2"/>
        <v>108.62</v>
      </c>
      <c r="O42" s="238">
        <f t="shared" si="2"/>
        <v>111.34</v>
      </c>
      <c r="P42" s="238">
        <f t="shared" si="2"/>
        <v>114.12</v>
      </c>
      <c r="Q42" s="238">
        <f t="shared" si="2"/>
        <v>116.97</v>
      </c>
      <c r="R42" s="238">
        <f t="shared" si="2"/>
        <v>119.89</v>
      </c>
      <c r="S42" s="238">
        <f t="shared" si="2"/>
        <v>122.89</v>
      </c>
      <c r="T42" s="238">
        <f t="shared" si="2"/>
        <v>125.96</v>
      </c>
      <c r="U42" s="238">
        <f t="shared" si="2"/>
        <v>129.11000000000001</v>
      </c>
      <c r="V42" s="238">
        <f t="shared" si="2"/>
        <v>132.34</v>
      </c>
      <c r="W42" s="238">
        <f t="shared" si="2"/>
        <v>135.65</v>
      </c>
      <c r="X42" s="238">
        <f t="shared" si="2"/>
        <v>139.04</v>
      </c>
      <c r="Y42" s="238">
        <f t="shared" si="2"/>
        <v>142.52000000000001</v>
      </c>
      <c r="Z42" s="238">
        <f t="shared" si="2"/>
        <v>146.08000000000001</v>
      </c>
      <c r="AA42" s="238">
        <f t="shared" si="2"/>
        <v>149.72999999999999</v>
      </c>
      <c r="AB42" s="238">
        <f t="shared" si="2"/>
        <v>153.47</v>
      </c>
      <c r="AC42" s="238">
        <f t="shared" si="2"/>
        <v>157.31</v>
      </c>
      <c r="AD42" s="238">
        <f t="shared" si="2"/>
        <v>161.24</v>
      </c>
      <c r="AE42" s="238">
        <f t="shared" si="2"/>
        <v>165.27</v>
      </c>
      <c r="AF42" s="238">
        <f t="shared" si="2"/>
        <v>169.4</v>
      </c>
      <c r="AG42" s="238">
        <f t="shared" si="2"/>
        <v>173.64</v>
      </c>
      <c r="AH42" s="239">
        <v>2.5000000000000001E-2</v>
      </c>
    </row>
    <row r="43" spans="1:39">
      <c r="A43" s="293" t="s">
        <v>291</v>
      </c>
      <c r="B43" s="171" t="s">
        <v>290</v>
      </c>
      <c r="C43" s="238">
        <v>600</v>
      </c>
      <c r="D43" s="238" t="e">
        <f>ROUND(C43*(1+$AH43),2)</f>
        <v>#REF!</v>
      </c>
      <c r="E43" s="238" t="e">
        <f>ROUND(D43*(1+$AH43),2)</f>
        <v>#REF!</v>
      </c>
      <c r="F43" s="238" t="e">
        <f>ROUND(E43*(1+$AH43),2)</f>
        <v>#REF!</v>
      </c>
      <c r="G43" s="238" t="e">
        <f>ROUND(F43*(1+$AH43),2)</f>
        <v>#REF!</v>
      </c>
      <c r="H43" s="238" t="e">
        <f>ROUND(G43*(1+$AH43),2)</f>
        <v>#REF!</v>
      </c>
      <c r="I43" s="238" t="e">
        <f t="shared" ref="I43:R43" si="3">ROUND(H43*(1+$AI43),2)</f>
        <v>#REF!</v>
      </c>
      <c r="J43" s="238" t="e">
        <f t="shared" si="3"/>
        <v>#REF!</v>
      </c>
      <c r="K43" s="238" t="e">
        <f t="shared" si="3"/>
        <v>#REF!</v>
      </c>
      <c r="L43" s="238" t="e">
        <f t="shared" si="3"/>
        <v>#REF!</v>
      </c>
      <c r="M43" s="238" t="e">
        <f t="shared" si="3"/>
        <v>#REF!</v>
      </c>
      <c r="N43" s="238" t="e">
        <f t="shared" si="3"/>
        <v>#REF!</v>
      </c>
      <c r="O43" s="238" t="e">
        <f t="shared" si="3"/>
        <v>#REF!</v>
      </c>
      <c r="P43" s="238" t="e">
        <f t="shared" si="3"/>
        <v>#REF!</v>
      </c>
      <c r="Q43" s="238" t="e">
        <f t="shared" si="3"/>
        <v>#REF!</v>
      </c>
      <c r="R43" s="238" t="e">
        <f t="shared" si="3"/>
        <v>#REF!</v>
      </c>
      <c r="S43" s="238" t="e">
        <f t="shared" ref="S43:AG43" si="4">ROUND(R43*(1+$AJ43),2)</f>
        <v>#REF!</v>
      </c>
      <c r="T43" s="238" t="e">
        <f t="shared" si="4"/>
        <v>#REF!</v>
      </c>
      <c r="U43" s="238" t="e">
        <f t="shared" si="4"/>
        <v>#REF!</v>
      </c>
      <c r="V43" s="238" t="e">
        <f t="shared" si="4"/>
        <v>#REF!</v>
      </c>
      <c r="W43" s="238" t="e">
        <f t="shared" si="4"/>
        <v>#REF!</v>
      </c>
      <c r="X43" s="238" t="e">
        <f t="shared" si="4"/>
        <v>#REF!</v>
      </c>
      <c r="Y43" s="238" t="e">
        <f t="shared" si="4"/>
        <v>#REF!</v>
      </c>
      <c r="Z43" s="238" t="e">
        <f t="shared" si="4"/>
        <v>#REF!</v>
      </c>
      <c r="AA43" s="238" t="e">
        <f t="shared" si="4"/>
        <v>#REF!</v>
      </c>
      <c r="AB43" s="238" t="e">
        <f t="shared" si="4"/>
        <v>#REF!</v>
      </c>
      <c r="AC43" s="238" t="e">
        <f t="shared" si="4"/>
        <v>#REF!</v>
      </c>
      <c r="AD43" s="238" t="e">
        <f t="shared" si="4"/>
        <v>#REF!</v>
      </c>
      <c r="AE43" s="238" t="e">
        <f t="shared" si="4"/>
        <v>#REF!</v>
      </c>
      <c r="AF43" s="238" t="e">
        <f t="shared" si="4"/>
        <v>#REF!</v>
      </c>
      <c r="AG43" s="238" t="e">
        <f t="shared" si="4"/>
        <v>#REF!</v>
      </c>
      <c r="AH43" s="239" t="e">
        <f>#REF!</f>
        <v>#REF!</v>
      </c>
      <c r="AI43" s="240" t="e">
        <f>#REF!</f>
        <v>#REF!</v>
      </c>
      <c r="AJ43" s="240" t="e">
        <f>#REF!</f>
        <v>#REF!</v>
      </c>
      <c r="AK43" s="289" t="s">
        <v>388</v>
      </c>
      <c r="AL43" s="289" t="s">
        <v>389</v>
      </c>
      <c r="AM43" s="173" t="s">
        <v>390</v>
      </c>
    </row>
    <row r="44" spans="1:39" s="282" customFormat="1">
      <c r="A44" s="282" t="s">
        <v>391</v>
      </c>
      <c r="B44" s="282" t="s">
        <v>290</v>
      </c>
      <c r="C44" s="283">
        <v>528</v>
      </c>
      <c r="D44" s="283">
        <f t="shared" ref="D44:AA44" si="5">ROUND(C44*(1+$AJ44),2)</f>
        <v>528</v>
      </c>
      <c r="E44" s="283">
        <f t="shared" si="5"/>
        <v>528</v>
      </c>
      <c r="F44" s="283">
        <f t="shared" si="5"/>
        <v>528</v>
      </c>
      <c r="G44" s="283">
        <f t="shared" si="5"/>
        <v>528</v>
      </c>
      <c r="H44" s="283">
        <f t="shared" si="5"/>
        <v>528</v>
      </c>
      <c r="I44" s="283">
        <f t="shared" si="5"/>
        <v>528</v>
      </c>
      <c r="J44" s="283">
        <f t="shared" si="5"/>
        <v>528</v>
      </c>
      <c r="K44" s="283">
        <f t="shared" si="5"/>
        <v>528</v>
      </c>
      <c r="L44" s="283">
        <f t="shared" si="5"/>
        <v>528</v>
      </c>
      <c r="M44" s="283">
        <f t="shared" si="5"/>
        <v>528</v>
      </c>
      <c r="N44" s="283">
        <f t="shared" si="5"/>
        <v>528</v>
      </c>
      <c r="O44" s="283">
        <f t="shared" si="5"/>
        <v>528</v>
      </c>
      <c r="P44" s="283">
        <f t="shared" si="5"/>
        <v>528</v>
      </c>
      <c r="Q44" s="283">
        <f t="shared" si="5"/>
        <v>528</v>
      </c>
      <c r="R44" s="283">
        <f t="shared" si="5"/>
        <v>528</v>
      </c>
      <c r="S44" s="283">
        <f t="shared" si="5"/>
        <v>528</v>
      </c>
      <c r="T44" s="283">
        <f t="shared" si="5"/>
        <v>528</v>
      </c>
      <c r="U44" s="283">
        <f t="shared" si="5"/>
        <v>528</v>
      </c>
      <c r="V44" s="283">
        <f t="shared" si="5"/>
        <v>528</v>
      </c>
      <c r="W44" s="283">
        <f t="shared" si="5"/>
        <v>528</v>
      </c>
      <c r="X44" s="283">
        <f t="shared" si="5"/>
        <v>528</v>
      </c>
      <c r="Y44" s="283">
        <f t="shared" si="5"/>
        <v>528</v>
      </c>
      <c r="Z44" s="283">
        <f t="shared" si="5"/>
        <v>528</v>
      </c>
      <c r="AA44" s="283">
        <f t="shared" si="5"/>
        <v>528</v>
      </c>
      <c r="AB44" s="283" t="e">
        <f>AB43</f>
        <v>#REF!</v>
      </c>
      <c r="AC44" s="283" t="e">
        <f t="shared" ref="AC44:AG44" si="6">AC43</f>
        <v>#REF!</v>
      </c>
      <c r="AD44" s="283" t="e">
        <f t="shared" si="6"/>
        <v>#REF!</v>
      </c>
      <c r="AE44" s="283" t="e">
        <f t="shared" si="6"/>
        <v>#REF!</v>
      </c>
      <c r="AF44" s="283" t="e">
        <f t="shared" si="6"/>
        <v>#REF!</v>
      </c>
      <c r="AG44" s="283" t="e">
        <f t="shared" si="6"/>
        <v>#REF!</v>
      </c>
      <c r="AH44" s="284"/>
      <c r="AI44" s="285"/>
      <c r="AJ44" s="285"/>
    </row>
    <row r="45" spans="1:39">
      <c r="A45" s="293" t="s">
        <v>292</v>
      </c>
      <c r="B45" s="171" t="s">
        <v>290</v>
      </c>
      <c r="C45" s="236">
        <v>250</v>
      </c>
      <c r="D45" s="236" t="e">
        <f>ROUND(C45*(1+$AH45),2)</f>
        <v>#REF!</v>
      </c>
      <c r="E45" s="236" t="e">
        <f t="shared" ref="E45:AG45" si="7">ROUND(D45*(1+$AH45),2)</f>
        <v>#REF!</v>
      </c>
      <c r="F45" s="236" t="e">
        <f t="shared" si="7"/>
        <v>#REF!</v>
      </c>
      <c r="G45" s="236" t="e">
        <f t="shared" si="7"/>
        <v>#REF!</v>
      </c>
      <c r="H45" s="236" t="e">
        <f t="shared" si="7"/>
        <v>#REF!</v>
      </c>
      <c r="I45" s="236" t="e">
        <f t="shared" si="7"/>
        <v>#REF!</v>
      </c>
      <c r="J45" s="236" t="e">
        <f t="shared" si="7"/>
        <v>#REF!</v>
      </c>
      <c r="K45" s="236" t="e">
        <f t="shared" si="7"/>
        <v>#REF!</v>
      </c>
      <c r="L45" s="236" t="e">
        <f t="shared" si="7"/>
        <v>#REF!</v>
      </c>
      <c r="M45" s="236" t="e">
        <f t="shared" si="7"/>
        <v>#REF!</v>
      </c>
      <c r="N45" s="236" t="e">
        <f t="shared" si="7"/>
        <v>#REF!</v>
      </c>
      <c r="O45" s="236" t="e">
        <f t="shared" si="7"/>
        <v>#REF!</v>
      </c>
      <c r="P45" s="236" t="e">
        <f t="shared" si="7"/>
        <v>#REF!</v>
      </c>
      <c r="Q45" s="236" t="e">
        <f t="shared" si="7"/>
        <v>#REF!</v>
      </c>
      <c r="R45" s="236" t="e">
        <f t="shared" si="7"/>
        <v>#REF!</v>
      </c>
      <c r="S45" s="236" t="e">
        <f t="shared" si="7"/>
        <v>#REF!</v>
      </c>
      <c r="T45" s="236" t="e">
        <f t="shared" si="7"/>
        <v>#REF!</v>
      </c>
      <c r="U45" s="236" t="e">
        <f t="shared" si="7"/>
        <v>#REF!</v>
      </c>
      <c r="V45" s="236" t="e">
        <f t="shared" si="7"/>
        <v>#REF!</v>
      </c>
      <c r="W45" s="236" t="e">
        <f t="shared" si="7"/>
        <v>#REF!</v>
      </c>
      <c r="X45" s="236" t="e">
        <f t="shared" si="7"/>
        <v>#REF!</v>
      </c>
      <c r="Y45" s="236" t="e">
        <f t="shared" si="7"/>
        <v>#REF!</v>
      </c>
      <c r="Z45" s="236" t="e">
        <f t="shared" si="7"/>
        <v>#REF!</v>
      </c>
      <c r="AA45" s="236" t="e">
        <f t="shared" si="7"/>
        <v>#REF!</v>
      </c>
      <c r="AB45" s="236" t="e">
        <f t="shared" si="7"/>
        <v>#REF!</v>
      </c>
      <c r="AC45" s="236" t="e">
        <f t="shared" si="7"/>
        <v>#REF!</v>
      </c>
      <c r="AD45" s="236" t="e">
        <f t="shared" si="7"/>
        <v>#REF!</v>
      </c>
      <c r="AE45" s="236" t="e">
        <f t="shared" si="7"/>
        <v>#REF!</v>
      </c>
      <c r="AF45" s="236" t="e">
        <f t="shared" si="7"/>
        <v>#REF!</v>
      </c>
      <c r="AG45" s="236" t="e">
        <f t="shared" si="7"/>
        <v>#REF!</v>
      </c>
      <c r="AH45" s="242" t="e">
        <f>#REF!</f>
        <v>#REF!</v>
      </c>
      <c r="AI45" s="287"/>
      <c r="AJ45" s="242"/>
    </row>
    <row r="46" spans="1:39">
      <c r="A46" s="171" t="s">
        <v>348</v>
      </c>
      <c r="B46" s="171" t="s">
        <v>198</v>
      </c>
      <c r="C46" s="243">
        <v>0</v>
      </c>
      <c r="D46" s="243">
        <f>C46</f>
        <v>0</v>
      </c>
      <c r="E46" s="243">
        <f t="shared" ref="E46:H46" si="8">D46</f>
        <v>0</v>
      </c>
      <c r="F46" s="243">
        <f t="shared" si="8"/>
        <v>0</v>
      </c>
      <c r="G46" s="243">
        <f t="shared" si="8"/>
        <v>0</v>
      </c>
      <c r="H46" s="243">
        <f t="shared" si="8"/>
        <v>0</v>
      </c>
      <c r="I46" s="243">
        <v>0.25</v>
      </c>
      <c r="J46" s="243">
        <f t="shared" ref="J46:AG46" si="9">I46</f>
        <v>0.25</v>
      </c>
      <c r="K46" s="243">
        <f t="shared" si="9"/>
        <v>0.25</v>
      </c>
      <c r="L46" s="243">
        <f t="shared" si="9"/>
        <v>0.25</v>
      </c>
      <c r="M46" s="243">
        <f t="shared" si="9"/>
        <v>0.25</v>
      </c>
      <c r="N46" s="243">
        <v>0.5</v>
      </c>
      <c r="O46" s="243">
        <f t="shared" si="9"/>
        <v>0.5</v>
      </c>
      <c r="P46" s="243">
        <f t="shared" si="9"/>
        <v>0.5</v>
      </c>
      <c r="Q46" s="243">
        <f t="shared" si="9"/>
        <v>0.5</v>
      </c>
      <c r="R46" s="243">
        <f t="shared" si="9"/>
        <v>0.5</v>
      </c>
      <c r="S46" s="243">
        <v>0.75</v>
      </c>
      <c r="T46" s="243">
        <f t="shared" si="9"/>
        <v>0.75</v>
      </c>
      <c r="U46" s="243">
        <f t="shared" si="9"/>
        <v>0.75</v>
      </c>
      <c r="V46" s="243">
        <f t="shared" si="9"/>
        <v>0.75</v>
      </c>
      <c r="W46" s="243">
        <v>1</v>
      </c>
      <c r="X46" s="243">
        <f t="shared" si="9"/>
        <v>1</v>
      </c>
      <c r="Y46" s="243">
        <f t="shared" si="9"/>
        <v>1</v>
      </c>
      <c r="Z46" s="243">
        <f t="shared" si="9"/>
        <v>1</v>
      </c>
      <c r="AA46" s="243">
        <f t="shared" si="9"/>
        <v>1</v>
      </c>
      <c r="AB46" s="243">
        <f t="shared" si="9"/>
        <v>1</v>
      </c>
      <c r="AC46" s="243">
        <f t="shared" si="9"/>
        <v>1</v>
      </c>
      <c r="AD46" s="243">
        <f t="shared" si="9"/>
        <v>1</v>
      </c>
      <c r="AE46" s="243">
        <f t="shared" si="9"/>
        <v>1</v>
      </c>
      <c r="AF46" s="243">
        <f t="shared" si="9"/>
        <v>1</v>
      </c>
      <c r="AG46" s="243">
        <f t="shared" si="9"/>
        <v>1</v>
      </c>
      <c r="AH46" s="237"/>
      <c r="AI46" s="242"/>
    </row>
    <row r="47" spans="1:39">
      <c r="A47" s="171" t="s">
        <v>294</v>
      </c>
      <c r="B47" s="171" t="s">
        <v>290</v>
      </c>
      <c r="C47" s="238">
        <f t="shared" ref="C47:AG47" si="10">((C43*C46)+(C45*(1-C46)))</f>
        <v>250</v>
      </c>
      <c r="D47" s="238" t="e">
        <f t="shared" si="10"/>
        <v>#REF!</v>
      </c>
      <c r="E47" s="238" t="e">
        <f t="shared" si="10"/>
        <v>#REF!</v>
      </c>
      <c r="F47" s="238" t="e">
        <f t="shared" si="10"/>
        <v>#REF!</v>
      </c>
      <c r="G47" s="238" t="e">
        <f t="shared" si="10"/>
        <v>#REF!</v>
      </c>
      <c r="H47" s="238" t="e">
        <f t="shared" si="10"/>
        <v>#REF!</v>
      </c>
      <c r="I47" s="238" t="e">
        <f t="shared" si="10"/>
        <v>#REF!</v>
      </c>
      <c r="J47" s="238" t="e">
        <f t="shared" si="10"/>
        <v>#REF!</v>
      </c>
      <c r="K47" s="238" t="e">
        <f t="shared" si="10"/>
        <v>#REF!</v>
      </c>
      <c r="L47" s="238" t="e">
        <f t="shared" si="10"/>
        <v>#REF!</v>
      </c>
      <c r="M47" s="238" t="e">
        <f t="shared" si="10"/>
        <v>#REF!</v>
      </c>
      <c r="N47" s="238" t="e">
        <f t="shared" si="10"/>
        <v>#REF!</v>
      </c>
      <c r="O47" s="238" t="e">
        <f t="shared" si="10"/>
        <v>#REF!</v>
      </c>
      <c r="P47" s="238" t="e">
        <f t="shared" si="10"/>
        <v>#REF!</v>
      </c>
      <c r="Q47" s="238" t="e">
        <f t="shared" si="10"/>
        <v>#REF!</v>
      </c>
      <c r="R47" s="238" t="e">
        <f t="shared" si="10"/>
        <v>#REF!</v>
      </c>
      <c r="S47" s="238" t="e">
        <f t="shared" si="10"/>
        <v>#REF!</v>
      </c>
      <c r="T47" s="238" t="e">
        <f t="shared" si="10"/>
        <v>#REF!</v>
      </c>
      <c r="U47" s="238" t="e">
        <f t="shared" si="10"/>
        <v>#REF!</v>
      </c>
      <c r="V47" s="238" t="e">
        <f t="shared" si="10"/>
        <v>#REF!</v>
      </c>
      <c r="W47" s="238" t="e">
        <f t="shared" si="10"/>
        <v>#REF!</v>
      </c>
      <c r="X47" s="238" t="e">
        <f t="shared" si="10"/>
        <v>#REF!</v>
      </c>
      <c r="Y47" s="238" t="e">
        <f t="shared" si="10"/>
        <v>#REF!</v>
      </c>
      <c r="Z47" s="238" t="e">
        <f t="shared" si="10"/>
        <v>#REF!</v>
      </c>
      <c r="AA47" s="238" t="e">
        <f t="shared" si="10"/>
        <v>#REF!</v>
      </c>
      <c r="AB47" s="238" t="e">
        <f t="shared" si="10"/>
        <v>#REF!</v>
      </c>
      <c r="AC47" s="238" t="e">
        <f t="shared" si="10"/>
        <v>#REF!</v>
      </c>
      <c r="AD47" s="238" t="e">
        <f t="shared" si="10"/>
        <v>#REF!</v>
      </c>
      <c r="AE47" s="238" t="e">
        <f t="shared" si="10"/>
        <v>#REF!</v>
      </c>
      <c r="AF47" s="238" t="e">
        <f t="shared" si="10"/>
        <v>#REF!</v>
      </c>
      <c r="AG47" s="238" t="e">
        <f t="shared" si="10"/>
        <v>#REF!</v>
      </c>
      <c r="AH47" s="237"/>
      <c r="AI47" s="242"/>
    </row>
    <row r="48" spans="1:39">
      <c r="A48" s="171" t="s">
        <v>392</v>
      </c>
      <c r="B48" s="171" t="s">
        <v>290</v>
      </c>
      <c r="C48" s="238">
        <v>175</v>
      </c>
      <c r="D48" s="238" t="e">
        <f>ROUND(C48*(1+$AH48),2)</f>
        <v>#REF!</v>
      </c>
      <c r="E48" s="238" t="e">
        <f t="shared" ref="E48:AG48" si="11">ROUND(D48*(1+$AH48),2)</f>
        <v>#REF!</v>
      </c>
      <c r="F48" s="238" t="e">
        <f t="shared" si="11"/>
        <v>#REF!</v>
      </c>
      <c r="G48" s="238" t="e">
        <f t="shared" si="11"/>
        <v>#REF!</v>
      </c>
      <c r="H48" s="238" t="e">
        <f t="shared" si="11"/>
        <v>#REF!</v>
      </c>
      <c r="I48" s="238" t="e">
        <f t="shared" si="11"/>
        <v>#REF!</v>
      </c>
      <c r="J48" s="238" t="e">
        <f t="shared" si="11"/>
        <v>#REF!</v>
      </c>
      <c r="K48" s="238" t="e">
        <f t="shared" si="11"/>
        <v>#REF!</v>
      </c>
      <c r="L48" s="238" t="e">
        <f t="shared" si="11"/>
        <v>#REF!</v>
      </c>
      <c r="M48" s="238" t="e">
        <f t="shared" si="11"/>
        <v>#REF!</v>
      </c>
      <c r="N48" s="238" t="e">
        <f t="shared" si="11"/>
        <v>#REF!</v>
      </c>
      <c r="O48" s="238" t="e">
        <f t="shared" si="11"/>
        <v>#REF!</v>
      </c>
      <c r="P48" s="238" t="e">
        <f t="shared" si="11"/>
        <v>#REF!</v>
      </c>
      <c r="Q48" s="238" t="e">
        <f t="shared" si="11"/>
        <v>#REF!</v>
      </c>
      <c r="R48" s="238" t="e">
        <f t="shared" si="11"/>
        <v>#REF!</v>
      </c>
      <c r="S48" s="238" t="e">
        <f t="shared" si="11"/>
        <v>#REF!</v>
      </c>
      <c r="T48" s="238" t="e">
        <f t="shared" si="11"/>
        <v>#REF!</v>
      </c>
      <c r="U48" s="238" t="e">
        <f t="shared" si="11"/>
        <v>#REF!</v>
      </c>
      <c r="V48" s="238" t="e">
        <f t="shared" si="11"/>
        <v>#REF!</v>
      </c>
      <c r="W48" s="238" t="e">
        <f t="shared" si="11"/>
        <v>#REF!</v>
      </c>
      <c r="X48" s="238" t="e">
        <f t="shared" si="11"/>
        <v>#REF!</v>
      </c>
      <c r="Y48" s="238" t="e">
        <f t="shared" si="11"/>
        <v>#REF!</v>
      </c>
      <c r="Z48" s="238" t="e">
        <f t="shared" si="11"/>
        <v>#REF!</v>
      </c>
      <c r="AA48" s="238" t="e">
        <f t="shared" si="11"/>
        <v>#REF!</v>
      </c>
      <c r="AB48" s="238" t="e">
        <f t="shared" si="11"/>
        <v>#REF!</v>
      </c>
      <c r="AC48" s="238" t="e">
        <f t="shared" si="11"/>
        <v>#REF!</v>
      </c>
      <c r="AD48" s="238" t="e">
        <f t="shared" si="11"/>
        <v>#REF!</v>
      </c>
      <c r="AE48" s="238" t="e">
        <f t="shared" si="11"/>
        <v>#REF!</v>
      </c>
      <c r="AF48" s="238" t="e">
        <f t="shared" si="11"/>
        <v>#REF!</v>
      </c>
      <c r="AG48" s="238" t="e">
        <f t="shared" si="11"/>
        <v>#REF!</v>
      </c>
      <c r="AH48" s="286" t="e">
        <f>#REF!</f>
        <v>#REF!</v>
      </c>
      <c r="AI48" s="241"/>
      <c r="AJ48" s="286"/>
    </row>
    <row r="49" spans="1:41">
      <c r="A49" s="254" t="s">
        <v>295</v>
      </c>
      <c r="B49" s="171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37"/>
      <c r="AI49" s="242"/>
    </row>
    <row r="50" spans="1:41">
      <c r="A50" s="292" t="s">
        <v>349</v>
      </c>
      <c r="B50" s="171" t="s">
        <v>290</v>
      </c>
      <c r="C50" s="244">
        <f t="shared" ref="C50:AG50" si="12">C43+C48</f>
        <v>775</v>
      </c>
      <c r="D50" s="244" t="e">
        <f t="shared" si="12"/>
        <v>#REF!</v>
      </c>
      <c r="E50" s="244" t="e">
        <f t="shared" si="12"/>
        <v>#REF!</v>
      </c>
      <c r="F50" s="244" t="e">
        <f t="shared" si="12"/>
        <v>#REF!</v>
      </c>
      <c r="G50" s="244" t="e">
        <f t="shared" si="12"/>
        <v>#REF!</v>
      </c>
      <c r="H50" s="244" t="e">
        <f t="shared" si="12"/>
        <v>#REF!</v>
      </c>
      <c r="I50" s="244" t="e">
        <f t="shared" si="12"/>
        <v>#REF!</v>
      </c>
      <c r="J50" s="244" t="e">
        <f t="shared" si="12"/>
        <v>#REF!</v>
      </c>
      <c r="K50" s="244" t="e">
        <f t="shared" si="12"/>
        <v>#REF!</v>
      </c>
      <c r="L50" s="244" t="e">
        <f t="shared" si="12"/>
        <v>#REF!</v>
      </c>
      <c r="M50" s="244" t="e">
        <f t="shared" si="12"/>
        <v>#REF!</v>
      </c>
      <c r="N50" s="244" t="e">
        <f t="shared" si="12"/>
        <v>#REF!</v>
      </c>
      <c r="O50" s="244" t="e">
        <f t="shared" si="12"/>
        <v>#REF!</v>
      </c>
      <c r="P50" s="244" t="e">
        <f t="shared" si="12"/>
        <v>#REF!</v>
      </c>
      <c r="Q50" s="244" t="e">
        <f t="shared" si="12"/>
        <v>#REF!</v>
      </c>
      <c r="R50" s="244" t="e">
        <f t="shared" si="12"/>
        <v>#REF!</v>
      </c>
      <c r="S50" s="244" t="e">
        <f t="shared" si="12"/>
        <v>#REF!</v>
      </c>
      <c r="T50" s="244" t="e">
        <f t="shared" si="12"/>
        <v>#REF!</v>
      </c>
      <c r="U50" s="244" t="e">
        <f t="shared" si="12"/>
        <v>#REF!</v>
      </c>
      <c r="V50" s="244" t="e">
        <f t="shared" si="12"/>
        <v>#REF!</v>
      </c>
      <c r="W50" s="244" t="e">
        <f t="shared" si="12"/>
        <v>#REF!</v>
      </c>
      <c r="X50" s="244" t="e">
        <f t="shared" si="12"/>
        <v>#REF!</v>
      </c>
      <c r="Y50" s="244" t="e">
        <f t="shared" si="12"/>
        <v>#REF!</v>
      </c>
      <c r="Z50" s="244" t="e">
        <f t="shared" si="12"/>
        <v>#REF!</v>
      </c>
      <c r="AA50" s="244" t="e">
        <f t="shared" si="12"/>
        <v>#REF!</v>
      </c>
      <c r="AB50" s="244" t="e">
        <f t="shared" si="12"/>
        <v>#REF!</v>
      </c>
      <c r="AC50" s="244" t="e">
        <f t="shared" si="12"/>
        <v>#REF!</v>
      </c>
      <c r="AD50" s="244" t="e">
        <f t="shared" si="12"/>
        <v>#REF!</v>
      </c>
      <c r="AE50" s="244" t="e">
        <f t="shared" si="12"/>
        <v>#REF!</v>
      </c>
      <c r="AF50" s="244" t="e">
        <f t="shared" si="12"/>
        <v>#REF!</v>
      </c>
      <c r="AG50" s="244" t="e">
        <f t="shared" si="12"/>
        <v>#REF!</v>
      </c>
      <c r="AH50" s="237"/>
      <c r="AI50" s="242"/>
      <c r="AJ50" s="241"/>
    </row>
    <row r="51" spans="1:41" s="282" customFormat="1">
      <c r="A51" s="288" t="s">
        <v>393</v>
      </c>
      <c r="C51" s="283">
        <f t="shared" ref="C51:AG51" si="13">C44+C48</f>
        <v>703</v>
      </c>
      <c r="D51" s="283" t="e">
        <f t="shared" si="13"/>
        <v>#REF!</v>
      </c>
      <c r="E51" s="283" t="e">
        <f t="shared" si="13"/>
        <v>#REF!</v>
      </c>
      <c r="F51" s="283" t="e">
        <f t="shared" si="13"/>
        <v>#REF!</v>
      </c>
      <c r="G51" s="283" t="e">
        <f t="shared" si="13"/>
        <v>#REF!</v>
      </c>
      <c r="H51" s="283" t="e">
        <f t="shared" si="13"/>
        <v>#REF!</v>
      </c>
      <c r="I51" s="283" t="e">
        <f t="shared" si="13"/>
        <v>#REF!</v>
      </c>
      <c r="J51" s="283" t="e">
        <f t="shared" si="13"/>
        <v>#REF!</v>
      </c>
      <c r="K51" s="283" t="e">
        <f t="shared" si="13"/>
        <v>#REF!</v>
      </c>
      <c r="L51" s="283" t="e">
        <f t="shared" si="13"/>
        <v>#REF!</v>
      </c>
      <c r="M51" s="283" t="e">
        <f t="shared" si="13"/>
        <v>#REF!</v>
      </c>
      <c r="N51" s="283" t="e">
        <f t="shared" si="13"/>
        <v>#REF!</v>
      </c>
      <c r="O51" s="283" t="e">
        <f t="shared" si="13"/>
        <v>#REF!</v>
      </c>
      <c r="P51" s="283" t="e">
        <f t="shared" si="13"/>
        <v>#REF!</v>
      </c>
      <c r="Q51" s="283" t="e">
        <f t="shared" si="13"/>
        <v>#REF!</v>
      </c>
      <c r="R51" s="283" t="e">
        <f t="shared" si="13"/>
        <v>#REF!</v>
      </c>
      <c r="S51" s="283" t="e">
        <f t="shared" si="13"/>
        <v>#REF!</v>
      </c>
      <c r="T51" s="283" t="e">
        <f t="shared" si="13"/>
        <v>#REF!</v>
      </c>
      <c r="U51" s="283" t="e">
        <f t="shared" si="13"/>
        <v>#REF!</v>
      </c>
      <c r="V51" s="283" t="e">
        <f t="shared" si="13"/>
        <v>#REF!</v>
      </c>
      <c r="W51" s="283" t="e">
        <f t="shared" si="13"/>
        <v>#REF!</v>
      </c>
      <c r="X51" s="283" t="e">
        <f t="shared" si="13"/>
        <v>#REF!</v>
      </c>
      <c r="Y51" s="283" t="e">
        <f t="shared" si="13"/>
        <v>#REF!</v>
      </c>
      <c r="Z51" s="283" t="e">
        <f t="shared" si="13"/>
        <v>#REF!</v>
      </c>
      <c r="AA51" s="283" t="e">
        <f t="shared" si="13"/>
        <v>#REF!</v>
      </c>
      <c r="AB51" s="283" t="e">
        <f t="shared" si="13"/>
        <v>#REF!</v>
      </c>
      <c r="AC51" s="283" t="e">
        <f t="shared" si="13"/>
        <v>#REF!</v>
      </c>
      <c r="AD51" s="283" t="e">
        <f t="shared" si="13"/>
        <v>#REF!</v>
      </c>
      <c r="AE51" s="283" t="e">
        <f t="shared" si="13"/>
        <v>#REF!</v>
      </c>
      <c r="AF51" s="283" t="e">
        <f t="shared" si="13"/>
        <v>#REF!</v>
      </c>
      <c r="AG51" s="283" t="e">
        <f t="shared" si="13"/>
        <v>#REF!</v>
      </c>
      <c r="AH51" s="284"/>
      <c r="AI51" s="285"/>
      <c r="AJ51" s="285"/>
    </row>
    <row r="52" spans="1:41">
      <c r="A52" s="292" t="s">
        <v>350</v>
      </c>
      <c r="B52" s="171" t="s">
        <v>290</v>
      </c>
      <c r="C52" s="244">
        <f t="shared" ref="C52:AG52" si="14">C45+C48</f>
        <v>425</v>
      </c>
      <c r="D52" s="244" t="e">
        <f t="shared" si="14"/>
        <v>#REF!</v>
      </c>
      <c r="E52" s="244" t="e">
        <f t="shared" si="14"/>
        <v>#REF!</v>
      </c>
      <c r="F52" s="244" t="e">
        <f t="shared" si="14"/>
        <v>#REF!</v>
      </c>
      <c r="G52" s="244" t="e">
        <f t="shared" si="14"/>
        <v>#REF!</v>
      </c>
      <c r="H52" s="244" t="e">
        <f t="shared" si="14"/>
        <v>#REF!</v>
      </c>
      <c r="I52" s="244" t="e">
        <f t="shared" si="14"/>
        <v>#REF!</v>
      </c>
      <c r="J52" s="244" t="e">
        <f t="shared" si="14"/>
        <v>#REF!</v>
      </c>
      <c r="K52" s="244" t="e">
        <f t="shared" si="14"/>
        <v>#REF!</v>
      </c>
      <c r="L52" s="244" t="e">
        <f t="shared" si="14"/>
        <v>#REF!</v>
      </c>
      <c r="M52" s="244" t="e">
        <f t="shared" si="14"/>
        <v>#REF!</v>
      </c>
      <c r="N52" s="244" t="e">
        <f t="shared" si="14"/>
        <v>#REF!</v>
      </c>
      <c r="O52" s="244" t="e">
        <f t="shared" si="14"/>
        <v>#REF!</v>
      </c>
      <c r="P52" s="244" t="e">
        <f t="shared" si="14"/>
        <v>#REF!</v>
      </c>
      <c r="Q52" s="244" t="e">
        <f t="shared" si="14"/>
        <v>#REF!</v>
      </c>
      <c r="R52" s="244" t="e">
        <f t="shared" si="14"/>
        <v>#REF!</v>
      </c>
      <c r="S52" s="244" t="e">
        <f t="shared" si="14"/>
        <v>#REF!</v>
      </c>
      <c r="T52" s="244" t="e">
        <f t="shared" si="14"/>
        <v>#REF!</v>
      </c>
      <c r="U52" s="244" t="e">
        <f t="shared" si="14"/>
        <v>#REF!</v>
      </c>
      <c r="V52" s="244" t="e">
        <f t="shared" si="14"/>
        <v>#REF!</v>
      </c>
      <c r="W52" s="244" t="e">
        <f t="shared" si="14"/>
        <v>#REF!</v>
      </c>
      <c r="X52" s="244" t="e">
        <f t="shared" si="14"/>
        <v>#REF!</v>
      </c>
      <c r="Y52" s="244" t="e">
        <f t="shared" si="14"/>
        <v>#REF!</v>
      </c>
      <c r="Z52" s="244" t="e">
        <f t="shared" si="14"/>
        <v>#REF!</v>
      </c>
      <c r="AA52" s="244" t="e">
        <f t="shared" si="14"/>
        <v>#REF!</v>
      </c>
      <c r="AB52" s="244" t="e">
        <f t="shared" si="14"/>
        <v>#REF!</v>
      </c>
      <c r="AC52" s="244" t="e">
        <f t="shared" si="14"/>
        <v>#REF!</v>
      </c>
      <c r="AD52" s="244" t="e">
        <f t="shared" si="14"/>
        <v>#REF!</v>
      </c>
      <c r="AE52" s="244" t="e">
        <f t="shared" si="14"/>
        <v>#REF!</v>
      </c>
      <c r="AF52" s="244" t="e">
        <f t="shared" si="14"/>
        <v>#REF!</v>
      </c>
      <c r="AG52" s="244" t="e">
        <f t="shared" si="14"/>
        <v>#REF!</v>
      </c>
      <c r="AH52" s="237"/>
      <c r="AI52" s="242"/>
    </row>
    <row r="53" spans="1:41">
      <c r="A53" s="292" t="s">
        <v>351</v>
      </c>
      <c r="B53" s="171" t="s">
        <v>290</v>
      </c>
      <c r="C53" s="236">
        <f t="shared" ref="C53:AG53" si="15">C47+C48</f>
        <v>425</v>
      </c>
      <c r="D53" s="236" t="e">
        <f t="shared" si="15"/>
        <v>#REF!</v>
      </c>
      <c r="E53" s="236" t="e">
        <f t="shared" si="15"/>
        <v>#REF!</v>
      </c>
      <c r="F53" s="236" t="e">
        <f t="shared" si="15"/>
        <v>#REF!</v>
      </c>
      <c r="G53" s="236" t="e">
        <f t="shared" si="15"/>
        <v>#REF!</v>
      </c>
      <c r="H53" s="236" t="e">
        <f t="shared" si="15"/>
        <v>#REF!</v>
      </c>
      <c r="I53" s="236" t="e">
        <f t="shared" si="15"/>
        <v>#REF!</v>
      </c>
      <c r="J53" s="236" t="e">
        <f t="shared" si="15"/>
        <v>#REF!</v>
      </c>
      <c r="K53" s="236" t="e">
        <f t="shared" si="15"/>
        <v>#REF!</v>
      </c>
      <c r="L53" s="236" t="e">
        <f t="shared" si="15"/>
        <v>#REF!</v>
      </c>
      <c r="M53" s="236" t="e">
        <f t="shared" si="15"/>
        <v>#REF!</v>
      </c>
      <c r="N53" s="236" t="e">
        <f t="shared" si="15"/>
        <v>#REF!</v>
      </c>
      <c r="O53" s="236" t="e">
        <f t="shared" si="15"/>
        <v>#REF!</v>
      </c>
      <c r="P53" s="236" t="e">
        <f t="shared" si="15"/>
        <v>#REF!</v>
      </c>
      <c r="Q53" s="236" t="e">
        <f t="shared" si="15"/>
        <v>#REF!</v>
      </c>
      <c r="R53" s="236" t="e">
        <f t="shared" si="15"/>
        <v>#REF!</v>
      </c>
      <c r="S53" s="236" t="e">
        <f t="shared" si="15"/>
        <v>#REF!</v>
      </c>
      <c r="T53" s="236" t="e">
        <f t="shared" si="15"/>
        <v>#REF!</v>
      </c>
      <c r="U53" s="236" t="e">
        <f t="shared" si="15"/>
        <v>#REF!</v>
      </c>
      <c r="V53" s="236" t="e">
        <f t="shared" si="15"/>
        <v>#REF!</v>
      </c>
      <c r="W53" s="236" t="e">
        <f t="shared" si="15"/>
        <v>#REF!</v>
      </c>
      <c r="X53" s="236" t="e">
        <f t="shared" si="15"/>
        <v>#REF!</v>
      </c>
      <c r="Y53" s="236" t="e">
        <f t="shared" si="15"/>
        <v>#REF!</v>
      </c>
      <c r="Z53" s="236" t="e">
        <f t="shared" si="15"/>
        <v>#REF!</v>
      </c>
      <c r="AA53" s="236" t="e">
        <f t="shared" si="15"/>
        <v>#REF!</v>
      </c>
      <c r="AB53" s="236" t="e">
        <f t="shared" si="15"/>
        <v>#REF!</v>
      </c>
      <c r="AC53" s="236" t="e">
        <f t="shared" si="15"/>
        <v>#REF!</v>
      </c>
      <c r="AD53" s="236" t="e">
        <f t="shared" si="15"/>
        <v>#REF!</v>
      </c>
      <c r="AE53" s="236" t="e">
        <f t="shared" si="15"/>
        <v>#REF!</v>
      </c>
      <c r="AF53" s="236" t="e">
        <f t="shared" si="15"/>
        <v>#REF!</v>
      </c>
      <c r="AG53" s="236" t="e">
        <f t="shared" si="15"/>
        <v>#REF!</v>
      </c>
      <c r="AH53" s="237"/>
      <c r="AI53" s="242"/>
    </row>
    <row r="54" spans="1:41">
      <c r="A54" s="292" t="s">
        <v>394</v>
      </c>
      <c r="B54" s="171" t="s">
        <v>290</v>
      </c>
      <c r="C54" s="244">
        <f t="shared" ref="C54:AG54" si="16">MIN(C50:C53)</f>
        <v>425</v>
      </c>
      <c r="D54" s="244" t="e">
        <f t="shared" si="16"/>
        <v>#REF!</v>
      </c>
      <c r="E54" s="244" t="e">
        <f t="shared" si="16"/>
        <v>#REF!</v>
      </c>
      <c r="F54" s="244" t="e">
        <f t="shared" si="16"/>
        <v>#REF!</v>
      </c>
      <c r="G54" s="244" t="e">
        <f t="shared" si="16"/>
        <v>#REF!</v>
      </c>
      <c r="H54" s="244" t="e">
        <f t="shared" si="16"/>
        <v>#REF!</v>
      </c>
      <c r="I54" s="244" t="e">
        <f t="shared" si="16"/>
        <v>#REF!</v>
      </c>
      <c r="J54" s="244" t="e">
        <f t="shared" si="16"/>
        <v>#REF!</v>
      </c>
      <c r="K54" s="244" t="e">
        <f t="shared" si="16"/>
        <v>#REF!</v>
      </c>
      <c r="L54" s="244" t="e">
        <f t="shared" si="16"/>
        <v>#REF!</v>
      </c>
      <c r="M54" s="244" t="e">
        <f t="shared" si="16"/>
        <v>#REF!</v>
      </c>
      <c r="N54" s="244" t="e">
        <f t="shared" si="16"/>
        <v>#REF!</v>
      </c>
      <c r="O54" s="244" t="e">
        <f t="shared" si="16"/>
        <v>#REF!</v>
      </c>
      <c r="P54" s="244" t="e">
        <f t="shared" si="16"/>
        <v>#REF!</v>
      </c>
      <c r="Q54" s="244" t="e">
        <f t="shared" si="16"/>
        <v>#REF!</v>
      </c>
      <c r="R54" s="244" t="e">
        <f t="shared" si="16"/>
        <v>#REF!</v>
      </c>
      <c r="S54" s="244" t="e">
        <f t="shared" si="16"/>
        <v>#REF!</v>
      </c>
      <c r="T54" s="244" t="e">
        <f t="shared" si="16"/>
        <v>#REF!</v>
      </c>
      <c r="U54" s="244" t="e">
        <f t="shared" si="16"/>
        <v>#REF!</v>
      </c>
      <c r="V54" s="244" t="e">
        <f t="shared" si="16"/>
        <v>#REF!</v>
      </c>
      <c r="W54" s="244" t="e">
        <f t="shared" si="16"/>
        <v>#REF!</v>
      </c>
      <c r="X54" s="244" t="e">
        <f t="shared" si="16"/>
        <v>#REF!</v>
      </c>
      <c r="Y54" s="244" t="e">
        <f t="shared" si="16"/>
        <v>#REF!</v>
      </c>
      <c r="Z54" s="244" t="e">
        <f t="shared" si="16"/>
        <v>#REF!</v>
      </c>
      <c r="AA54" s="244" t="e">
        <f t="shared" si="16"/>
        <v>#REF!</v>
      </c>
      <c r="AB54" s="244" t="e">
        <f t="shared" si="16"/>
        <v>#REF!</v>
      </c>
      <c r="AC54" s="244" t="e">
        <f t="shared" si="16"/>
        <v>#REF!</v>
      </c>
      <c r="AD54" s="244" t="e">
        <f t="shared" si="16"/>
        <v>#REF!</v>
      </c>
      <c r="AE54" s="244" t="e">
        <f t="shared" si="16"/>
        <v>#REF!</v>
      </c>
      <c r="AF54" s="244" t="e">
        <f t="shared" si="16"/>
        <v>#REF!</v>
      </c>
      <c r="AG54" s="244" t="e">
        <f t="shared" si="16"/>
        <v>#REF!</v>
      </c>
      <c r="AH54" s="237"/>
      <c r="AI54" s="242"/>
    </row>
    <row r="55" spans="1:41">
      <c r="A55" s="171" t="s">
        <v>296</v>
      </c>
      <c r="B55" s="171" t="s">
        <v>297</v>
      </c>
      <c r="C55" s="236">
        <v>20</v>
      </c>
      <c r="D55" s="236" t="e">
        <f>ROUND(C55*(1+$AH55),2)</f>
        <v>#REF!</v>
      </c>
      <c r="E55" s="236" t="e">
        <f>ROUND(D55*(1+$AH55),2)</f>
        <v>#REF!</v>
      </c>
      <c r="F55" s="236" t="e">
        <f>ROUND(E55*(1+$AH55),2)</f>
        <v>#REF!</v>
      </c>
      <c r="G55" s="236" t="e">
        <f>ROUND(F55*(1+$AH55),2)</f>
        <v>#REF!</v>
      </c>
      <c r="H55" s="236" t="e">
        <f>ROUND(G55*(1+$AH55),2)</f>
        <v>#REF!</v>
      </c>
      <c r="I55" s="236" t="e">
        <f t="shared" ref="I55:AG55" si="17">ROUND(H55*(1+$AI55),2)</f>
        <v>#REF!</v>
      </c>
      <c r="J55" s="236" t="e">
        <f t="shared" si="17"/>
        <v>#REF!</v>
      </c>
      <c r="K55" s="236" t="e">
        <f t="shared" si="17"/>
        <v>#REF!</v>
      </c>
      <c r="L55" s="236" t="e">
        <f t="shared" si="17"/>
        <v>#REF!</v>
      </c>
      <c r="M55" s="236" t="e">
        <f t="shared" si="17"/>
        <v>#REF!</v>
      </c>
      <c r="N55" s="236" t="e">
        <f t="shared" si="17"/>
        <v>#REF!</v>
      </c>
      <c r="O55" s="236" t="e">
        <f t="shared" si="17"/>
        <v>#REF!</v>
      </c>
      <c r="P55" s="236" t="e">
        <f t="shared" si="17"/>
        <v>#REF!</v>
      </c>
      <c r="Q55" s="236" t="e">
        <f t="shared" si="17"/>
        <v>#REF!</v>
      </c>
      <c r="R55" s="236" t="e">
        <f t="shared" si="17"/>
        <v>#REF!</v>
      </c>
      <c r="S55" s="236" t="e">
        <f t="shared" si="17"/>
        <v>#REF!</v>
      </c>
      <c r="T55" s="236" t="e">
        <f t="shared" si="17"/>
        <v>#REF!</v>
      </c>
      <c r="U55" s="236" t="e">
        <f t="shared" si="17"/>
        <v>#REF!</v>
      </c>
      <c r="V55" s="236" t="e">
        <f t="shared" si="17"/>
        <v>#REF!</v>
      </c>
      <c r="W55" s="236" t="e">
        <f t="shared" si="17"/>
        <v>#REF!</v>
      </c>
      <c r="X55" s="236" t="e">
        <f t="shared" si="17"/>
        <v>#REF!</v>
      </c>
      <c r="Y55" s="236" t="e">
        <f t="shared" si="17"/>
        <v>#REF!</v>
      </c>
      <c r="Z55" s="236" t="e">
        <f t="shared" si="17"/>
        <v>#REF!</v>
      </c>
      <c r="AA55" s="236" t="e">
        <f t="shared" si="17"/>
        <v>#REF!</v>
      </c>
      <c r="AB55" s="236" t="e">
        <f t="shared" si="17"/>
        <v>#REF!</v>
      </c>
      <c r="AC55" s="236" t="e">
        <f t="shared" si="17"/>
        <v>#REF!</v>
      </c>
      <c r="AD55" s="236" t="e">
        <f t="shared" si="17"/>
        <v>#REF!</v>
      </c>
      <c r="AE55" s="236" t="e">
        <f t="shared" si="17"/>
        <v>#REF!</v>
      </c>
      <c r="AF55" s="236" t="e">
        <f t="shared" si="17"/>
        <v>#REF!</v>
      </c>
      <c r="AG55" s="236" t="e">
        <f t="shared" si="17"/>
        <v>#REF!</v>
      </c>
      <c r="AH55" s="237" t="e">
        <f>#REF!</f>
        <v>#REF!</v>
      </c>
      <c r="AI55" s="237" t="e">
        <f>#REF!</f>
        <v>#REF!</v>
      </c>
      <c r="AJ55" s="290" t="s">
        <v>352</v>
      </c>
      <c r="AK55" s="290" t="s">
        <v>353</v>
      </c>
    </row>
    <row r="56" spans="1:41">
      <c r="A56" s="171" t="s">
        <v>395</v>
      </c>
      <c r="B56" s="171" t="s">
        <v>297</v>
      </c>
      <c r="C56" s="238">
        <v>9900</v>
      </c>
      <c r="D56" s="236" t="e">
        <f>C56*(1+$AH$56)</f>
        <v>#REF!</v>
      </c>
      <c r="E56" s="236" t="e">
        <f>D56*(1+$AH$56)</f>
        <v>#REF!</v>
      </c>
      <c r="F56" s="236" t="e">
        <f>E56*(1+$AH$56)</f>
        <v>#REF!</v>
      </c>
      <c r="G56" s="236" t="e">
        <f>F56*(1+$AH$56)</f>
        <v>#REF!</v>
      </c>
      <c r="H56" s="236" t="e">
        <f>G56*(1+$AH$56)</f>
        <v>#REF!</v>
      </c>
      <c r="I56" s="236" t="e">
        <f t="shared" ref="I56:R56" si="18">H56*(1+$AI$56)</f>
        <v>#REF!</v>
      </c>
      <c r="J56" s="236" t="e">
        <f t="shared" si="18"/>
        <v>#REF!</v>
      </c>
      <c r="K56" s="236" t="e">
        <f t="shared" si="18"/>
        <v>#REF!</v>
      </c>
      <c r="L56" s="236" t="e">
        <f t="shared" si="18"/>
        <v>#REF!</v>
      </c>
      <c r="M56" s="236" t="e">
        <f t="shared" si="18"/>
        <v>#REF!</v>
      </c>
      <c r="N56" s="236" t="e">
        <f t="shared" si="18"/>
        <v>#REF!</v>
      </c>
      <c r="O56" s="236" t="e">
        <f t="shared" si="18"/>
        <v>#REF!</v>
      </c>
      <c r="P56" s="236" t="e">
        <f t="shared" si="18"/>
        <v>#REF!</v>
      </c>
      <c r="Q56" s="236" t="e">
        <f t="shared" si="18"/>
        <v>#REF!</v>
      </c>
      <c r="R56" s="236" t="e">
        <f t="shared" si="18"/>
        <v>#REF!</v>
      </c>
      <c r="S56" s="236" t="e">
        <f t="shared" ref="S56:AB56" si="19">R56*(1+$AJ$56)</f>
        <v>#REF!</v>
      </c>
      <c r="T56" s="236" t="e">
        <f t="shared" si="19"/>
        <v>#REF!</v>
      </c>
      <c r="U56" s="236" t="e">
        <f t="shared" si="19"/>
        <v>#REF!</v>
      </c>
      <c r="V56" s="236" t="e">
        <f t="shared" si="19"/>
        <v>#REF!</v>
      </c>
      <c r="W56" s="236" t="e">
        <f t="shared" si="19"/>
        <v>#REF!</v>
      </c>
      <c r="X56" s="236" t="e">
        <f t="shared" si="19"/>
        <v>#REF!</v>
      </c>
      <c r="Y56" s="236" t="e">
        <f t="shared" si="19"/>
        <v>#REF!</v>
      </c>
      <c r="Z56" s="236" t="e">
        <f t="shared" si="19"/>
        <v>#REF!</v>
      </c>
      <c r="AA56" s="236" t="e">
        <f t="shared" si="19"/>
        <v>#REF!</v>
      </c>
      <c r="AB56" s="236" t="e">
        <f t="shared" si="19"/>
        <v>#REF!</v>
      </c>
      <c r="AC56" s="236" t="e">
        <f>AB56*(1+$AK$56)</f>
        <v>#REF!</v>
      </c>
      <c r="AD56" s="236" t="e">
        <f t="shared" ref="AD56:AG56" si="20">AC56*(1+$AK$56)</f>
        <v>#REF!</v>
      </c>
      <c r="AE56" s="236" t="e">
        <f t="shared" si="20"/>
        <v>#REF!</v>
      </c>
      <c r="AF56" s="236" t="e">
        <f t="shared" si="20"/>
        <v>#REF!</v>
      </c>
      <c r="AG56" s="236" t="e">
        <f t="shared" si="20"/>
        <v>#REF!</v>
      </c>
      <c r="AH56" s="245" t="e">
        <f>#REF!</f>
        <v>#REF!</v>
      </c>
      <c r="AI56" s="245" t="e">
        <f>#REF!</f>
        <v>#REF!</v>
      </c>
      <c r="AJ56" s="245" t="e">
        <f>#REF!</f>
        <v>#REF!</v>
      </c>
      <c r="AK56" s="245" t="e">
        <f>#REF!</f>
        <v>#REF!</v>
      </c>
      <c r="AL56" s="173">
        <v>2030</v>
      </c>
      <c r="AM56" s="173">
        <v>2040</v>
      </c>
      <c r="AN56" s="173">
        <v>2050</v>
      </c>
      <c r="AO56" s="173">
        <v>2055</v>
      </c>
    </row>
    <row r="57" spans="1:41">
      <c r="A57" s="171" t="s">
        <v>396</v>
      </c>
      <c r="B57" s="171" t="s">
        <v>298</v>
      </c>
      <c r="C57" s="236">
        <v>36000</v>
      </c>
      <c r="D57" s="236" t="e">
        <f t="shared" ref="D57:R57" si="21">ROUND(C57*(1+$AH57),2)</f>
        <v>#REF!</v>
      </c>
      <c r="E57" s="236" t="e">
        <f t="shared" si="21"/>
        <v>#REF!</v>
      </c>
      <c r="F57" s="236" t="e">
        <f t="shared" si="21"/>
        <v>#REF!</v>
      </c>
      <c r="G57" s="236" t="e">
        <f t="shared" si="21"/>
        <v>#REF!</v>
      </c>
      <c r="H57" s="236" t="e">
        <f t="shared" si="21"/>
        <v>#REF!</v>
      </c>
      <c r="I57" s="236" t="e">
        <f t="shared" si="21"/>
        <v>#REF!</v>
      </c>
      <c r="J57" s="236" t="e">
        <f t="shared" si="21"/>
        <v>#REF!</v>
      </c>
      <c r="K57" s="236" t="e">
        <f t="shared" si="21"/>
        <v>#REF!</v>
      </c>
      <c r="L57" s="236" t="e">
        <f t="shared" si="21"/>
        <v>#REF!</v>
      </c>
      <c r="M57" s="236" t="e">
        <f t="shared" si="21"/>
        <v>#REF!</v>
      </c>
      <c r="N57" s="236" t="e">
        <f t="shared" si="21"/>
        <v>#REF!</v>
      </c>
      <c r="O57" s="236" t="e">
        <f t="shared" si="21"/>
        <v>#REF!</v>
      </c>
      <c r="P57" s="236" t="e">
        <f t="shared" si="21"/>
        <v>#REF!</v>
      </c>
      <c r="Q57" s="236" t="e">
        <f t="shared" si="21"/>
        <v>#REF!</v>
      </c>
      <c r="R57" s="236" t="e">
        <f t="shared" si="21"/>
        <v>#REF!</v>
      </c>
      <c r="S57" s="236" t="e">
        <f>ROUND(R57*(1+$AI57),2)</f>
        <v>#REF!</v>
      </c>
      <c r="T57" s="236" t="e">
        <f t="shared" ref="T57:AG57" si="22">ROUND(S57*(1+$AI57),2)</f>
        <v>#REF!</v>
      </c>
      <c r="U57" s="236" t="e">
        <f t="shared" si="22"/>
        <v>#REF!</v>
      </c>
      <c r="V57" s="236" t="e">
        <f t="shared" si="22"/>
        <v>#REF!</v>
      </c>
      <c r="W57" s="236" t="e">
        <f t="shared" si="22"/>
        <v>#REF!</v>
      </c>
      <c r="X57" s="236" t="e">
        <f t="shared" si="22"/>
        <v>#REF!</v>
      </c>
      <c r="Y57" s="236" t="e">
        <f t="shared" si="22"/>
        <v>#REF!</v>
      </c>
      <c r="Z57" s="236" t="e">
        <f t="shared" si="22"/>
        <v>#REF!</v>
      </c>
      <c r="AA57" s="236" t="e">
        <f t="shared" si="22"/>
        <v>#REF!</v>
      </c>
      <c r="AB57" s="236" t="e">
        <f t="shared" si="22"/>
        <v>#REF!</v>
      </c>
      <c r="AC57" s="236" t="e">
        <f t="shared" si="22"/>
        <v>#REF!</v>
      </c>
      <c r="AD57" s="236" t="e">
        <f t="shared" si="22"/>
        <v>#REF!</v>
      </c>
      <c r="AE57" s="236" t="e">
        <f t="shared" si="22"/>
        <v>#REF!</v>
      </c>
      <c r="AF57" s="236" t="e">
        <f t="shared" si="22"/>
        <v>#REF!</v>
      </c>
      <c r="AG57" s="236" t="e">
        <f t="shared" si="22"/>
        <v>#REF!</v>
      </c>
      <c r="AH57" s="245" t="e">
        <f>#REF!</f>
        <v>#REF!</v>
      </c>
      <c r="AI57" s="245" t="e">
        <f>#REF!</f>
        <v>#REF!</v>
      </c>
      <c r="AJ57" s="290" t="s">
        <v>354</v>
      </c>
      <c r="AK57" s="291" t="s">
        <v>355</v>
      </c>
    </row>
    <row r="58" spans="1:41" s="247" customFormat="1" ht="9.75" customHeight="1">
      <c r="A58" s="246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9"/>
    </row>
    <row r="59" spans="1:41">
      <c r="A59" s="171" t="s">
        <v>397</v>
      </c>
      <c r="B59" s="171" t="s">
        <v>290</v>
      </c>
      <c r="C59" s="236">
        <v>3050</v>
      </c>
      <c r="D59" s="236" t="e">
        <f t="shared" ref="D59:AG60" si="23">ROUND(C59*(1+$AH59),2)</f>
        <v>#REF!</v>
      </c>
      <c r="E59" s="236" t="e">
        <f t="shared" si="23"/>
        <v>#REF!</v>
      </c>
      <c r="F59" s="236" t="e">
        <f t="shared" si="23"/>
        <v>#REF!</v>
      </c>
      <c r="G59" s="236" t="e">
        <f t="shared" si="23"/>
        <v>#REF!</v>
      </c>
      <c r="H59" s="236" t="e">
        <f t="shared" si="23"/>
        <v>#REF!</v>
      </c>
      <c r="I59" s="236" t="e">
        <f t="shared" si="23"/>
        <v>#REF!</v>
      </c>
      <c r="J59" s="236" t="e">
        <f t="shared" si="23"/>
        <v>#REF!</v>
      </c>
      <c r="K59" s="236" t="e">
        <f t="shared" si="23"/>
        <v>#REF!</v>
      </c>
      <c r="L59" s="236" t="e">
        <f t="shared" si="23"/>
        <v>#REF!</v>
      </c>
      <c r="M59" s="236" t="e">
        <f t="shared" si="23"/>
        <v>#REF!</v>
      </c>
      <c r="N59" s="236" t="e">
        <f t="shared" si="23"/>
        <v>#REF!</v>
      </c>
      <c r="O59" s="236" t="e">
        <f t="shared" si="23"/>
        <v>#REF!</v>
      </c>
      <c r="P59" s="236" t="e">
        <f t="shared" si="23"/>
        <v>#REF!</v>
      </c>
      <c r="Q59" s="236" t="e">
        <f t="shared" si="23"/>
        <v>#REF!</v>
      </c>
      <c r="R59" s="236" t="e">
        <f t="shared" si="23"/>
        <v>#REF!</v>
      </c>
      <c r="S59" s="236" t="e">
        <f t="shared" si="23"/>
        <v>#REF!</v>
      </c>
      <c r="T59" s="236" t="e">
        <f t="shared" si="23"/>
        <v>#REF!</v>
      </c>
      <c r="U59" s="236" t="e">
        <f t="shared" si="23"/>
        <v>#REF!</v>
      </c>
      <c r="V59" s="236" t="e">
        <f t="shared" si="23"/>
        <v>#REF!</v>
      </c>
      <c r="W59" s="236" t="e">
        <f t="shared" si="23"/>
        <v>#REF!</v>
      </c>
      <c r="X59" s="236" t="e">
        <f t="shared" si="23"/>
        <v>#REF!</v>
      </c>
      <c r="Y59" s="236" t="e">
        <f t="shared" si="23"/>
        <v>#REF!</v>
      </c>
      <c r="Z59" s="236" t="e">
        <f t="shared" si="23"/>
        <v>#REF!</v>
      </c>
      <c r="AA59" s="236" t="e">
        <f t="shared" si="23"/>
        <v>#REF!</v>
      </c>
      <c r="AB59" s="236" t="e">
        <f t="shared" si="23"/>
        <v>#REF!</v>
      </c>
      <c r="AC59" s="236" t="e">
        <f t="shared" si="23"/>
        <v>#REF!</v>
      </c>
      <c r="AD59" s="236" t="e">
        <f t="shared" si="23"/>
        <v>#REF!</v>
      </c>
      <c r="AE59" s="236" t="e">
        <f t="shared" si="23"/>
        <v>#REF!</v>
      </c>
      <c r="AF59" s="236" t="e">
        <f t="shared" si="23"/>
        <v>#REF!</v>
      </c>
      <c r="AG59" s="236" t="e">
        <f t="shared" si="23"/>
        <v>#REF!</v>
      </c>
      <c r="AH59" s="245" t="e">
        <f>#REF!</f>
        <v>#REF!</v>
      </c>
    </row>
    <row r="60" spans="1:41">
      <c r="A60" s="171" t="s">
        <v>398</v>
      </c>
      <c r="B60" s="171" t="s">
        <v>290</v>
      </c>
      <c r="C60" s="236">
        <v>56000</v>
      </c>
      <c r="D60" s="236" t="e">
        <f t="shared" si="23"/>
        <v>#REF!</v>
      </c>
      <c r="E60" s="236" t="e">
        <f t="shared" si="23"/>
        <v>#REF!</v>
      </c>
      <c r="F60" s="236" t="e">
        <f t="shared" si="23"/>
        <v>#REF!</v>
      </c>
      <c r="G60" s="236" t="e">
        <f t="shared" si="23"/>
        <v>#REF!</v>
      </c>
      <c r="H60" s="236" t="e">
        <f t="shared" si="23"/>
        <v>#REF!</v>
      </c>
      <c r="I60" s="236" t="e">
        <f t="shared" si="23"/>
        <v>#REF!</v>
      </c>
      <c r="J60" s="236" t="e">
        <f t="shared" si="23"/>
        <v>#REF!</v>
      </c>
      <c r="K60" s="236" t="e">
        <f t="shared" si="23"/>
        <v>#REF!</v>
      </c>
      <c r="L60" s="236" t="e">
        <f t="shared" si="23"/>
        <v>#REF!</v>
      </c>
      <c r="M60" s="236" t="e">
        <f t="shared" si="23"/>
        <v>#REF!</v>
      </c>
      <c r="N60" s="236" t="e">
        <f t="shared" si="23"/>
        <v>#REF!</v>
      </c>
      <c r="O60" s="236" t="e">
        <f t="shared" si="23"/>
        <v>#REF!</v>
      </c>
      <c r="P60" s="236" t="e">
        <f t="shared" si="23"/>
        <v>#REF!</v>
      </c>
      <c r="Q60" s="236" t="e">
        <f>ROUND(P60*(1+$AH60),2)</f>
        <v>#REF!</v>
      </c>
      <c r="R60" s="236" t="e">
        <f t="shared" si="23"/>
        <v>#REF!</v>
      </c>
      <c r="S60" s="236" t="e">
        <f>ROUND(R60*(1+$AI60),2)</f>
        <v>#REF!</v>
      </c>
      <c r="T60" s="236" t="e">
        <f t="shared" ref="T60:AG61" si="24">ROUND(S60*(1+$AI60),2)</f>
        <v>#REF!</v>
      </c>
      <c r="U60" s="236" t="e">
        <f t="shared" si="24"/>
        <v>#REF!</v>
      </c>
      <c r="V60" s="236" t="e">
        <f t="shared" si="24"/>
        <v>#REF!</v>
      </c>
      <c r="W60" s="236" t="e">
        <f t="shared" si="24"/>
        <v>#REF!</v>
      </c>
      <c r="X60" s="236" t="e">
        <f t="shared" si="24"/>
        <v>#REF!</v>
      </c>
      <c r="Y60" s="236" t="e">
        <f t="shared" si="24"/>
        <v>#REF!</v>
      </c>
      <c r="Z60" s="236" t="e">
        <f t="shared" si="24"/>
        <v>#REF!</v>
      </c>
      <c r="AA60" s="236" t="e">
        <f t="shared" si="24"/>
        <v>#REF!</v>
      </c>
      <c r="AB60" s="236" t="e">
        <f t="shared" si="24"/>
        <v>#REF!</v>
      </c>
      <c r="AC60" s="236" t="e">
        <f t="shared" si="24"/>
        <v>#REF!</v>
      </c>
      <c r="AD60" s="236" t="e">
        <f t="shared" si="24"/>
        <v>#REF!</v>
      </c>
      <c r="AE60" s="236" t="e">
        <f t="shared" si="24"/>
        <v>#REF!</v>
      </c>
      <c r="AF60" s="236" t="e">
        <f t="shared" si="24"/>
        <v>#REF!</v>
      </c>
      <c r="AG60" s="236" t="e">
        <f t="shared" si="24"/>
        <v>#REF!</v>
      </c>
      <c r="AH60" s="245" t="e">
        <f>#REF!</f>
        <v>#REF!</v>
      </c>
      <c r="AI60" s="232" t="e">
        <f>#REF!</f>
        <v>#REF!</v>
      </c>
      <c r="AJ60" s="290" t="s">
        <v>354</v>
      </c>
      <c r="AK60" s="291" t="s">
        <v>355</v>
      </c>
    </row>
    <row r="61" spans="1:41">
      <c r="A61" s="171" t="s">
        <v>399</v>
      </c>
      <c r="B61" s="171" t="s">
        <v>309</v>
      </c>
      <c r="C61" s="236" t="e">
        <f>C14</f>
        <v>#REF!</v>
      </c>
      <c r="D61" s="236" t="e">
        <f>ROUND(C61*(1+$AH61),2)</f>
        <v>#REF!</v>
      </c>
      <c r="E61" s="236" t="e">
        <f>ROUND(D61*(1+$AH61),2)</f>
        <v>#REF!</v>
      </c>
      <c r="F61" s="236" t="e">
        <f>ROUND(E61*(1+$AH61),2)</f>
        <v>#REF!</v>
      </c>
      <c r="G61" s="236" t="e">
        <f>ROUND(F61*(1+$AH61),2)</f>
        <v>#REF!</v>
      </c>
      <c r="H61" s="236" t="e">
        <f>ROUND(G61*(1+$AH61),2)</f>
        <v>#REF!</v>
      </c>
      <c r="I61" s="238" t="e">
        <f t="shared" ref="I61:R61" si="25">ROUND(H61*(1+$AI61),2)</f>
        <v>#REF!</v>
      </c>
      <c r="J61" s="238" t="e">
        <f t="shared" si="25"/>
        <v>#REF!</v>
      </c>
      <c r="K61" s="238" t="e">
        <f t="shared" si="25"/>
        <v>#REF!</v>
      </c>
      <c r="L61" s="238" t="e">
        <f t="shared" si="25"/>
        <v>#REF!</v>
      </c>
      <c r="M61" s="238" t="e">
        <f t="shared" si="25"/>
        <v>#REF!</v>
      </c>
      <c r="N61" s="238" t="e">
        <f t="shared" si="25"/>
        <v>#REF!</v>
      </c>
      <c r="O61" s="238" t="e">
        <f t="shared" si="25"/>
        <v>#REF!</v>
      </c>
      <c r="P61" s="238" t="e">
        <f t="shared" si="25"/>
        <v>#REF!</v>
      </c>
      <c r="Q61" s="238" t="e">
        <f t="shared" si="25"/>
        <v>#REF!</v>
      </c>
      <c r="R61" s="238" t="e">
        <f t="shared" si="25"/>
        <v>#REF!</v>
      </c>
      <c r="S61" s="238" t="e">
        <f>ROUND(R61*(1+$AI61),2)</f>
        <v>#REF!</v>
      </c>
      <c r="T61" s="238" t="e">
        <f t="shared" si="24"/>
        <v>#REF!</v>
      </c>
      <c r="U61" s="238" t="e">
        <f t="shared" si="24"/>
        <v>#REF!</v>
      </c>
      <c r="V61" s="238" t="e">
        <f t="shared" si="24"/>
        <v>#REF!</v>
      </c>
      <c r="W61" s="238" t="e">
        <f t="shared" si="24"/>
        <v>#REF!</v>
      </c>
      <c r="X61" s="238" t="e">
        <f t="shared" si="24"/>
        <v>#REF!</v>
      </c>
      <c r="Y61" s="238" t="e">
        <f t="shared" si="24"/>
        <v>#REF!</v>
      </c>
      <c r="Z61" s="238" t="e">
        <f t="shared" si="24"/>
        <v>#REF!</v>
      </c>
      <c r="AA61" s="238" t="e">
        <f t="shared" si="24"/>
        <v>#REF!</v>
      </c>
      <c r="AB61" s="238" t="e">
        <f t="shared" si="24"/>
        <v>#REF!</v>
      </c>
      <c r="AC61" s="238" t="e">
        <f t="shared" si="24"/>
        <v>#REF!</v>
      </c>
      <c r="AD61" s="238" t="e">
        <f t="shared" si="24"/>
        <v>#REF!</v>
      </c>
      <c r="AE61" s="238" t="e">
        <f t="shared" si="24"/>
        <v>#REF!</v>
      </c>
      <c r="AF61" s="238" t="e">
        <f t="shared" si="24"/>
        <v>#REF!</v>
      </c>
      <c r="AG61" s="238" t="e">
        <f t="shared" si="24"/>
        <v>#REF!</v>
      </c>
      <c r="AH61" s="245" t="e">
        <f>#REF!</f>
        <v>#REF!</v>
      </c>
      <c r="AI61" s="232" t="e">
        <f>#REF!</f>
        <v>#REF!</v>
      </c>
      <c r="AJ61" s="290" t="s">
        <v>352</v>
      </c>
      <c r="AK61" s="291" t="s">
        <v>353</v>
      </c>
    </row>
    <row r="62" spans="1:41" s="247" customFormat="1" ht="9.75" customHeight="1">
      <c r="A62" s="246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9"/>
    </row>
    <row r="63" spans="1:41">
      <c r="A63" s="293" t="s">
        <v>356</v>
      </c>
      <c r="B63" s="171" t="s">
        <v>300</v>
      </c>
      <c r="C63" s="304" t="e">
        <f>#REF!/($C$27*$C$28)</f>
        <v>#REF!</v>
      </c>
      <c r="D63" s="250" t="e">
        <f t="shared" ref="D63:AG66" si="26">ROUND(C63*(1+$AH63),2)</f>
        <v>#REF!</v>
      </c>
      <c r="E63" s="250" t="e">
        <f t="shared" si="26"/>
        <v>#REF!</v>
      </c>
      <c r="F63" s="250" t="e">
        <f t="shared" si="26"/>
        <v>#REF!</v>
      </c>
      <c r="G63" s="250" t="e">
        <f t="shared" si="26"/>
        <v>#REF!</v>
      </c>
      <c r="H63" s="250" t="e">
        <f t="shared" si="26"/>
        <v>#REF!</v>
      </c>
      <c r="I63" s="250" t="e">
        <f t="shared" si="26"/>
        <v>#REF!</v>
      </c>
      <c r="J63" s="250" t="e">
        <f t="shared" si="26"/>
        <v>#REF!</v>
      </c>
      <c r="K63" s="250" t="e">
        <f t="shared" si="26"/>
        <v>#REF!</v>
      </c>
      <c r="L63" s="250" t="e">
        <f t="shared" si="26"/>
        <v>#REF!</v>
      </c>
      <c r="M63" s="250" t="e">
        <f t="shared" si="26"/>
        <v>#REF!</v>
      </c>
      <c r="N63" s="250" t="e">
        <f t="shared" si="26"/>
        <v>#REF!</v>
      </c>
      <c r="O63" s="250" t="e">
        <f t="shared" si="26"/>
        <v>#REF!</v>
      </c>
      <c r="P63" s="250" t="e">
        <f t="shared" si="26"/>
        <v>#REF!</v>
      </c>
      <c r="Q63" s="250" t="e">
        <f t="shared" si="26"/>
        <v>#REF!</v>
      </c>
      <c r="R63" s="250" t="e">
        <f t="shared" si="26"/>
        <v>#REF!</v>
      </c>
      <c r="S63" s="250" t="e">
        <f t="shared" si="26"/>
        <v>#REF!</v>
      </c>
      <c r="T63" s="250" t="e">
        <f t="shared" si="26"/>
        <v>#REF!</v>
      </c>
      <c r="U63" s="250" t="e">
        <f t="shared" si="26"/>
        <v>#REF!</v>
      </c>
      <c r="V63" s="250" t="e">
        <f t="shared" si="26"/>
        <v>#REF!</v>
      </c>
      <c r="W63" s="250" t="e">
        <f t="shared" si="26"/>
        <v>#REF!</v>
      </c>
      <c r="X63" s="250" t="e">
        <f t="shared" si="26"/>
        <v>#REF!</v>
      </c>
      <c r="Y63" s="250" t="e">
        <f t="shared" si="26"/>
        <v>#REF!</v>
      </c>
      <c r="Z63" s="250" t="e">
        <f t="shared" si="26"/>
        <v>#REF!</v>
      </c>
      <c r="AA63" s="250" t="e">
        <f t="shared" si="26"/>
        <v>#REF!</v>
      </c>
      <c r="AB63" s="250" t="e">
        <f t="shared" si="26"/>
        <v>#REF!</v>
      </c>
      <c r="AC63" s="250" t="e">
        <f t="shared" si="26"/>
        <v>#REF!</v>
      </c>
      <c r="AD63" s="250" t="e">
        <f t="shared" si="26"/>
        <v>#REF!</v>
      </c>
      <c r="AE63" s="250" t="e">
        <f t="shared" si="26"/>
        <v>#REF!</v>
      </c>
      <c r="AF63" s="250" t="e">
        <f t="shared" si="26"/>
        <v>#REF!</v>
      </c>
      <c r="AG63" s="250" t="e">
        <f t="shared" si="26"/>
        <v>#REF!</v>
      </c>
      <c r="AH63" s="245" t="e">
        <f>#REF!</f>
        <v>#REF!</v>
      </c>
    </row>
    <row r="64" spans="1:41">
      <c r="A64" s="293" t="s">
        <v>357</v>
      </c>
      <c r="B64" s="171" t="s">
        <v>300</v>
      </c>
      <c r="C64" s="250" t="e">
        <f>C63+0.5</f>
        <v>#REF!</v>
      </c>
      <c r="D64" s="250" t="e">
        <f t="shared" si="26"/>
        <v>#REF!</v>
      </c>
      <c r="E64" s="250" t="e">
        <f t="shared" si="26"/>
        <v>#REF!</v>
      </c>
      <c r="F64" s="250" t="e">
        <f t="shared" si="26"/>
        <v>#REF!</v>
      </c>
      <c r="G64" s="250" t="e">
        <f t="shared" si="26"/>
        <v>#REF!</v>
      </c>
      <c r="H64" s="250" t="e">
        <f t="shared" si="26"/>
        <v>#REF!</v>
      </c>
      <c r="I64" s="250" t="e">
        <f t="shared" si="26"/>
        <v>#REF!</v>
      </c>
      <c r="J64" s="250" t="e">
        <f t="shared" si="26"/>
        <v>#REF!</v>
      </c>
      <c r="K64" s="250" t="e">
        <f t="shared" si="26"/>
        <v>#REF!</v>
      </c>
      <c r="L64" s="250" t="e">
        <f t="shared" si="26"/>
        <v>#REF!</v>
      </c>
      <c r="M64" s="250" t="e">
        <f t="shared" si="26"/>
        <v>#REF!</v>
      </c>
      <c r="N64" s="250" t="e">
        <f t="shared" si="26"/>
        <v>#REF!</v>
      </c>
      <c r="O64" s="250" t="e">
        <f t="shared" si="26"/>
        <v>#REF!</v>
      </c>
      <c r="P64" s="250" t="e">
        <f t="shared" si="26"/>
        <v>#REF!</v>
      </c>
      <c r="Q64" s="250" t="e">
        <f t="shared" si="26"/>
        <v>#REF!</v>
      </c>
      <c r="R64" s="250" t="e">
        <f t="shared" si="26"/>
        <v>#REF!</v>
      </c>
      <c r="S64" s="250" t="e">
        <f t="shared" si="26"/>
        <v>#REF!</v>
      </c>
      <c r="T64" s="250" t="e">
        <f t="shared" si="26"/>
        <v>#REF!</v>
      </c>
      <c r="U64" s="250" t="e">
        <f t="shared" si="26"/>
        <v>#REF!</v>
      </c>
      <c r="V64" s="250" t="e">
        <f t="shared" si="26"/>
        <v>#REF!</v>
      </c>
      <c r="W64" s="250" t="e">
        <f t="shared" si="26"/>
        <v>#REF!</v>
      </c>
      <c r="X64" s="250" t="e">
        <f t="shared" si="26"/>
        <v>#REF!</v>
      </c>
      <c r="Y64" s="250" t="e">
        <f t="shared" si="26"/>
        <v>#REF!</v>
      </c>
      <c r="Z64" s="250" t="e">
        <f t="shared" si="26"/>
        <v>#REF!</v>
      </c>
      <c r="AA64" s="250" t="e">
        <f t="shared" si="26"/>
        <v>#REF!</v>
      </c>
      <c r="AB64" s="250" t="e">
        <f t="shared" si="26"/>
        <v>#REF!</v>
      </c>
      <c r="AC64" s="250" t="e">
        <f t="shared" si="26"/>
        <v>#REF!</v>
      </c>
      <c r="AD64" s="250" t="e">
        <f t="shared" si="26"/>
        <v>#REF!</v>
      </c>
      <c r="AE64" s="250" t="e">
        <f t="shared" si="26"/>
        <v>#REF!</v>
      </c>
      <c r="AF64" s="250" t="e">
        <f t="shared" si="26"/>
        <v>#REF!</v>
      </c>
      <c r="AG64" s="250" t="e">
        <f t="shared" si="26"/>
        <v>#REF!</v>
      </c>
      <c r="AH64" s="245" t="e">
        <f>#REF!</f>
        <v>#REF!</v>
      </c>
    </row>
    <row r="65" spans="1:36">
      <c r="A65" s="171" t="s">
        <v>400</v>
      </c>
      <c r="B65" s="171" t="s">
        <v>300</v>
      </c>
      <c r="C65" s="250" t="e">
        <f>C15</f>
        <v>#REF!</v>
      </c>
      <c r="D65" s="250" t="e">
        <f t="shared" si="26"/>
        <v>#REF!</v>
      </c>
      <c r="E65" s="250" t="e">
        <f t="shared" si="26"/>
        <v>#REF!</v>
      </c>
      <c r="F65" s="250" t="e">
        <f t="shared" si="26"/>
        <v>#REF!</v>
      </c>
      <c r="G65" s="250" t="e">
        <f t="shared" si="26"/>
        <v>#REF!</v>
      </c>
      <c r="H65" s="250" t="e">
        <f t="shared" si="26"/>
        <v>#REF!</v>
      </c>
      <c r="I65" s="250" t="e">
        <f t="shared" si="26"/>
        <v>#REF!</v>
      </c>
      <c r="J65" s="250" t="e">
        <f t="shared" si="26"/>
        <v>#REF!</v>
      </c>
      <c r="K65" s="250" t="e">
        <f t="shared" si="26"/>
        <v>#REF!</v>
      </c>
      <c r="L65" s="250" t="e">
        <f t="shared" si="26"/>
        <v>#REF!</v>
      </c>
      <c r="M65" s="250" t="e">
        <f t="shared" si="26"/>
        <v>#REF!</v>
      </c>
      <c r="N65" s="250" t="e">
        <f t="shared" si="26"/>
        <v>#REF!</v>
      </c>
      <c r="O65" s="250" t="e">
        <f t="shared" si="26"/>
        <v>#REF!</v>
      </c>
      <c r="P65" s="250" t="e">
        <f t="shared" si="26"/>
        <v>#REF!</v>
      </c>
      <c r="Q65" s="250" t="e">
        <f t="shared" si="26"/>
        <v>#REF!</v>
      </c>
      <c r="R65" s="250" t="e">
        <f t="shared" si="26"/>
        <v>#REF!</v>
      </c>
      <c r="S65" s="250" t="e">
        <f t="shared" si="26"/>
        <v>#REF!</v>
      </c>
      <c r="T65" s="250" t="e">
        <f t="shared" si="26"/>
        <v>#REF!</v>
      </c>
      <c r="U65" s="250" t="e">
        <f t="shared" si="26"/>
        <v>#REF!</v>
      </c>
      <c r="V65" s="250" t="e">
        <f t="shared" si="26"/>
        <v>#REF!</v>
      </c>
      <c r="W65" s="250" t="e">
        <f t="shared" si="26"/>
        <v>#REF!</v>
      </c>
      <c r="X65" s="250" t="e">
        <f t="shared" si="26"/>
        <v>#REF!</v>
      </c>
      <c r="Y65" s="250" t="e">
        <f t="shared" si="26"/>
        <v>#REF!</v>
      </c>
      <c r="Z65" s="250" t="e">
        <f t="shared" si="26"/>
        <v>#REF!</v>
      </c>
      <c r="AA65" s="250" t="e">
        <f t="shared" si="26"/>
        <v>#REF!</v>
      </c>
      <c r="AB65" s="250" t="e">
        <f t="shared" si="26"/>
        <v>#REF!</v>
      </c>
      <c r="AC65" s="250" t="e">
        <f t="shared" si="26"/>
        <v>#REF!</v>
      </c>
      <c r="AD65" s="250" t="e">
        <f t="shared" si="26"/>
        <v>#REF!</v>
      </c>
      <c r="AE65" s="250" t="e">
        <f t="shared" si="26"/>
        <v>#REF!</v>
      </c>
      <c r="AF65" s="250" t="e">
        <f t="shared" si="26"/>
        <v>#REF!</v>
      </c>
      <c r="AG65" s="250" t="e">
        <f t="shared" si="26"/>
        <v>#REF!</v>
      </c>
      <c r="AH65" s="245" t="e">
        <f>#REF!</f>
        <v>#REF!</v>
      </c>
    </row>
    <row r="66" spans="1:36">
      <c r="A66" s="171" t="s">
        <v>401</v>
      </c>
      <c r="B66" s="171" t="s">
        <v>300</v>
      </c>
      <c r="C66" s="250" t="e">
        <f>C65+0.5</f>
        <v>#REF!</v>
      </c>
      <c r="D66" s="250" t="e">
        <f t="shared" si="26"/>
        <v>#REF!</v>
      </c>
      <c r="E66" s="250" t="e">
        <f t="shared" si="26"/>
        <v>#REF!</v>
      </c>
      <c r="F66" s="250" t="e">
        <f t="shared" si="26"/>
        <v>#REF!</v>
      </c>
      <c r="G66" s="250" t="e">
        <f t="shared" si="26"/>
        <v>#REF!</v>
      </c>
      <c r="H66" s="250" t="e">
        <f t="shared" si="26"/>
        <v>#REF!</v>
      </c>
      <c r="I66" s="250" t="e">
        <f t="shared" si="26"/>
        <v>#REF!</v>
      </c>
      <c r="J66" s="250" t="e">
        <f t="shared" si="26"/>
        <v>#REF!</v>
      </c>
      <c r="K66" s="250" t="e">
        <f t="shared" si="26"/>
        <v>#REF!</v>
      </c>
      <c r="L66" s="250" t="e">
        <f t="shared" si="26"/>
        <v>#REF!</v>
      </c>
      <c r="M66" s="250" t="e">
        <f t="shared" si="26"/>
        <v>#REF!</v>
      </c>
      <c r="N66" s="250" t="e">
        <f t="shared" si="26"/>
        <v>#REF!</v>
      </c>
      <c r="O66" s="250" t="e">
        <f t="shared" si="26"/>
        <v>#REF!</v>
      </c>
      <c r="P66" s="250" t="e">
        <f t="shared" si="26"/>
        <v>#REF!</v>
      </c>
      <c r="Q66" s="250" t="e">
        <f t="shared" si="26"/>
        <v>#REF!</v>
      </c>
      <c r="R66" s="250" t="e">
        <f t="shared" si="26"/>
        <v>#REF!</v>
      </c>
      <c r="S66" s="250" t="e">
        <f t="shared" si="26"/>
        <v>#REF!</v>
      </c>
      <c r="T66" s="250" t="e">
        <f t="shared" si="26"/>
        <v>#REF!</v>
      </c>
      <c r="U66" s="250" t="e">
        <f t="shared" si="26"/>
        <v>#REF!</v>
      </c>
      <c r="V66" s="250" t="e">
        <f t="shared" si="26"/>
        <v>#REF!</v>
      </c>
      <c r="W66" s="250" t="e">
        <f t="shared" si="26"/>
        <v>#REF!</v>
      </c>
      <c r="X66" s="250" t="e">
        <f t="shared" si="26"/>
        <v>#REF!</v>
      </c>
      <c r="Y66" s="250" t="e">
        <f t="shared" si="26"/>
        <v>#REF!</v>
      </c>
      <c r="Z66" s="250" t="e">
        <f t="shared" si="26"/>
        <v>#REF!</v>
      </c>
      <c r="AA66" s="250" t="e">
        <f t="shared" si="26"/>
        <v>#REF!</v>
      </c>
      <c r="AB66" s="250" t="e">
        <f t="shared" si="26"/>
        <v>#REF!</v>
      </c>
      <c r="AC66" s="250" t="e">
        <f t="shared" si="26"/>
        <v>#REF!</v>
      </c>
      <c r="AD66" s="250" t="e">
        <f t="shared" si="26"/>
        <v>#REF!</v>
      </c>
      <c r="AE66" s="250" t="e">
        <f t="shared" si="26"/>
        <v>#REF!</v>
      </c>
      <c r="AF66" s="250" t="e">
        <f t="shared" si="26"/>
        <v>#REF!</v>
      </c>
      <c r="AG66" s="250" t="e">
        <f t="shared" si="26"/>
        <v>#REF!</v>
      </c>
      <c r="AH66" s="245" t="e">
        <f>#REF!</f>
        <v>#REF!</v>
      </c>
    </row>
    <row r="67" spans="1:36">
      <c r="A67" s="171" t="s">
        <v>402</v>
      </c>
      <c r="B67" s="171" t="s">
        <v>300</v>
      </c>
      <c r="C67" s="250" t="e">
        <f>#REF!</f>
        <v>#REF!</v>
      </c>
      <c r="D67" s="250" t="e">
        <f>ROUND(C67*(1+$AH67),2)</f>
        <v>#REF!</v>
      </c>
      <c r="E67" s="250" t="e">
        <f>ROUND(D67*(1+$AH67),2)</f>
        <v>#REF!</v>
      </c>
      <c r="F67" s="250" t="e">
        <f>ROUND(E67*(1+$AH67),2)</f>
        <v>#REF!</v>
      </c>
      <c r="G67" s="250" t="e">
        <f>ROUND(F67*(1+$AH67),2)</f>
        <v>#REF!</v>
      </c>
      <c r="H67" s="250" t="e">
        <f>ROUND(G67*(1+$AH67),2)</f>
        <v>#REF!</v>
      </c>
      <c r="I67" s="250" t="e">
        <f>ROUND(H67*(1+$AI67),2)</f>
        <v>#REF!</v>
      </c>
      <c r="J67" s="250" t="e">
        <f t="shared" ref="J67:AG67" si="27">ROUND(I67*(1+$AI67),2)</f>
        <v>#REF!</v>
      </c>
      <c r="K67" s="250" t="e">
        <f t="shared" si="27"/>
        <v>#REF!</v>
      </c>
      <c r="L67" s="250" t="e">
        <f t="shared" si="27"/>
        <v>#REF!</v>
      </c>
      <c r="M67" s="250" t="e">
        <f t="shared" si="27"/>
        <v>#REF!</v>
      </c>
      <c r="N67" s="250" t="e">
        <f t="shared" si="27"/>
        <v>#REF!</v>
      </c>
      <c r="O67" s="250" t="e">
        <f t="shared" si="27"/>
        <v>#REF!</v>
      </c>
      <c r="P67" s="250" t="e">
        <f t="shared" si="27"/>
        <v>#REF!</v>
      </c>
      <c r="Q67" s="250" t="e">
        <f t="shared" si="27"/>
        <v>#REF!</v>
      </c>
      <c r="R67" s="250" t="e">
        <f t="shared" si="27"/>
        <v>#REF!</v>
      </c>
      <c r="S67" s="250" t="e">
        <f t="shared" si="27"/>
        <v>#REF!</v>
      </c>
      <c r="T67" s="250" t="e">
        <f t="shared" si="27"/>
        <v>#REF!</v>
      </c>
      <c r="U67" s="250" t="e">
        <f t="shared" si="27"/>
        <v>#REF!</v>
      </c>
      <c r="V67" s="250" t="e">
        <f t="shared" si="27"/>
        <v>#REF!</v>
      </c>
      <c r="W67" s="250" t="e">
        <f t="shared" si="27"/>
        <v>#REF!</v>
      </c>
      <c r="X67" s="250" t="e">
        <f t="shared" si="27"/>
        <v>#REF!</v>
      </c>
      <c r="Y67" s="250" t="e">
        <f t="shared" si="27"/>
        <v>#REF!</v>
      </c>
      <c r="Z67" s="250" t="e">
        <f t="shared" si="27"/>
        <v>#REF!</v>
      </c>
      <c r="AA67" s="250" t="e">
        <f t="shared" si="27"/>
        <v>#REF!</v>
      </c>
      <c r="AB67" s="250" t="e">
        <f t="shared" si="27"/>
        <v>#REF!</v>
      </c>
      <c r="AC67" s="250" t="e">
        <f t="shared" si="27"/>
        <v>#REF!</v>
      </c>
      <c r="AD67" s="250" t="e">
        <f t="shared" si="27"/>
        <v>#REF!</v>
      </c>
      <c r="AE67" s="250" t="e">
        <f t="shared" si="27"/>
        <v>#REF!</v>
      </c>
      <c r="AF67" s="250" t="e">
        <f t="shared" si="27"/>
        <v>#REF!</v>
      </c>
      <c r="AG67" s="250" t="e">
        <f t="shared" si="27"/>
        <v>#REF!</v>
      </c>
      <c r="AH67" s="245" t="e">
        <f>#REF!</f>
        <v>#REF!</v>
      </c>
      <c r="AI67" s="245" t="e">
        <f>#REF!</f>
        <v>#REF!</v>
      </c>
    </row>
    <row r="68" spans="1:36">
      <c r="A68" s="171" t="s">
        <v>358</v>
      </c>
      <c r="B68" s="171" t="s">
        <v>359</v>
      </c>
      <c r="C68" s="251">
        <v>25000</v>
      </c>
      <c r="D68" s="251">
        <f t="shared" ref="D68:AG68" si="28">C68</f>
        <v>25000</v>
      </c>
      <c r="E68" s="251">
        <f t="shared" si="28"/>
        <v>25000</v>
      </c>
      <c r="F68" s="251">
        <f t="shared" si="28"/>
        <v>25000</v>
      </c>
      <c r="G68" s="251">
        <f t="shared" si="28"/>
        <v>25000</v>
      </c>
      <c r="H68" s="251">
        <f t="shared" si="28"/>
        <v>25000</v>
      </c>
      <c r="I68" s="251">
        <f t="shared" si="28"/>
        <v>25000</v>
      </c>
      <c r="J68" s="251">
        <f t="shared" si="28"/>
        <v>25000</v>
      </c>
      <c r="K68" s="251">
        <f t="shared" si="28"/>
        <v>25000</v>
      </c>
      <c r="L68" s="251">
        <f t="shared" si="28"/>
        <v>25000</v>
      </c>
      <c r="M68" s="251">
        <f t="shared" si="28"/>
        <v>25000</v>
      </c>
      <c r="N68" s="251">
        <f t="shared" si="28"/>
        <v>25000</v>
      </c>
      <c r="O68" s="251">
        <f t="shared" si="28"/>
        <v>25000</v>
      </c>
      <c r="P68" s="251">
        <f t="shared" si="28"/>
        <v>25000</v>
      </c>
      <c r="Q68" s="251">
        <f t="shared" si="28"/>
        <v>25000</v>
      </c>
      <c r="R68" s="251">
        <f t="shared" si="28"/>
        <v>25000</v>
      </c>
      <c r="S68" s="251">
        <f t="shared" si="28"/>
        <v>25000</v>
      </c>
      <c r="T68" s="251">
        <f t="shared" si="28"/>
        <v>25000</v>
      </c>
      <c r="U68" s="251">
        <f t="shared" si="28"/>
        <v>25000</v>
      </c>
      <c r="V68" s="251">
        <f t="shared" si="28"/>
        <v>25000</v>
      </c>
      <c r="W68" s="251">
        <f t="shared" si="28"/>
        <v>25000</v>
      </c>
      <c r="X68" s="251">
        <f t="shared" si="28"/>
        <v>25000</v>
      </c>
      <c r="Y68" s="251">
        <f t="shared" si="28"/>
        <v>25000</v>
      </c>
      <c r="Z68" s="251">
        <f t="shared" si="28"/>
        <v>25000</v>
      </c>
      <c r="AA68" s="251">
        <f t="shared" si="28"/>
        <v>25000</v>
      </c>
      <c r="AB68" s="251">
        <f t="shared" si="28"/>
        <v>25000</v>
      </c>
      <c r="AC68" s="251">
        <f t="shared" si="28"/>
        <v>25000</v>
      </c>
      <c r="AD68" s="251">
        <f t="shared" si="28"/>
        <v>25000</v>
      </c>
      <c r="AE68" s="251">
        <f t="shared" si="28"/>
        <v>25000</v>
      </c>
      <c r="AF68" s="251">
        <f t="shared" si="28"/>
        <v>25000</v>
      </c>
      <c r="AG68" s="251">
        <f t="shared" si="28"/>
        <v>25000</v>
      </c>
      <c r="AH68" s="245"/>
    </row>
    <row r="69" spans="1:36">
      <c r="A69" s="171" t="s">
        <v>403</v>
      </c>
      <c r="B69" s="253" t="s">
        <v>300</v>
      </c>
      <c r="C69" s="250" t="e">
        <f>C67+1</f>
        <v>#REF!</v>
      </c>
      <c r="D69" s="250" t="e">
        <f t="shared" ref="D69:AG69" si="29">D67+1</f>
        <v>#REF!</v>
      </c>
      <c r="E69" s="250" t="e">
        <f t="shared" si="29"/>
        <v>#REF!</v>
      </c>
      <c r="F69" s="250" t="e">
        <f t="shared" si="29"/>
        <v>#REF!</v>
      </c>
      <c r="G69" s="250" t="e">
        <f t="shared" si="29"/>
        <v>#REF!</v>
      </c>
      <c r="H69" s="250" t="e">
        <f t="shared" si="29"/>
        <v>#REF!</v>
      </c>
      <c r="I69" s="250" t="e">
        <f t="shared" si="29"/>
        <v>#REF!</v>
      </c>
      <c r="J69" s="250" t="e">
        <f t="shared" si="29"/>
        <v>#REF!</v>
      </c>
      <c r="K69" s="250" t="e">
        <f t="shared" si="29"/>
        <v>#REF!</v>
      </c>
      <c r="L69" s="250" t="e">
        <f t="shared" si="29"/>
        <v>#REF!</v>
      </c>
      <c r="M69" s="250" t="e">
        <f t="shared" si="29"/>
        <v>#REF!</v>
      </c>
      <c r="N69" s="250" t="e">
        <f t="shared" si="29"/>
        <v>#REF!</v>
      </c>
      <c r="O69" s="250" t="e">
        <f t="shared" si="29"/>
        <v>#REF!</v>
      </c>
      <c r="P69" s="250" t="e">
        <f t="shared" si="29"/>
        <v>#REF!</v>
      </c>
      <c r="Q69" s="250" t="e">
        <f t="shared" si="29"/>
        <v>#REF!</v>
      </c>
      <c r="R69" s="250" t="e">
        <f t="shared" si="29"/>
        <v>#REF!</v>
      </c>
      <c r="S69" s="250" t="e">
        <f t="shared" si="29"/>
        <v>#REF!</v>
      </c>
      <c r="T69" s="250" t="e">
        <f t="shared" si="29"/>
        <v>#REF!</v>
      </c>
      <c r="U69" s="250" t="e">
        <f t="shared" si="29"/>
        <v>#REF!</v>
      </c>
      <c r="V69" s="250" t="e">
        <f t="shared" si="29"/>
        <v>#REF!</v>
      </c>
      <c r="W69" s="250" t="e">
        <f t="shared" si="29"/>
        <v>#REF!</v>
      </c>
      <c r="X69" s="250" t="e">
        <f t="shared" si="29"/>
        <v>#REF!</v>
      </c>
      <c r="Y69" s="250" t="e">
        <f t="shared" si="29"/>
        <v>#REF!</v>
      </c>
      <c r="Z69" s="250" t="e">
        <f t="shared" si="29"/>
        <v>#REF!</v>
      </c>
      <c r="AA69" s="250" t="e">
        <f t="shared" si="29"/>
        <v>#REF!</v>
      </c>
      <c r="AB69" s="250" t="e">
        <f t="shared" si="29"/>
        <v>#REF!</v>
      </c>
      <c r="AC69" s="250" t="e">
        <f t="shared" si="29"/>
        <v>#REF!</v>
      </c>
      <c r="AD69" s="250" t="e">
        <f t="shared" si="29"/>
        <v>#REF!</v>
      </c>
      <c r="AE69" s="250" t="e">
        <f t="shared" si="29"/>
        <v>#REF!</v>
      </c>
      <c r="AF69" s="250" t="e">
        <f t="shared" si="29"/>
        <v>#REF!</v>
      </c>
      <c r="AG69" s="250" t="e">
        <f t="shared" si="29"/>
        <v>#REF!</v>
      </c>
      <c r="AH69" s="245"/>
    </row>
    <row r="70" spans="1:36">
      <c r="A70" s="171" t="s">
        <v>360</v>
      </c>
      <c r="B70" s="253" t="s">
        <v>305</v>
      </c>
      <c r="C70" s="236" t="e">
        <f t="shared" ref="C70" si="30">$C$16*$C$27*$C$28</f>
        <v>#REF!</v>
      </c>
      <c r="D70" s="236" t="e">
        <f>C70</f>
        <v>#REF!</v>
      </c>
      <c r="E70" s="236" t="e">
        <f>D70*(1+$AH$70)</f>
        <v>#REF!</v>
      </c>
      <c r="F70" s="236" t="e">
        <f t="shared" ref="F70:AG70" si="31">E70</f>
        <v>#REF!</v>
      </c>
      <c r="G70" s="236" t="e">
        <f t="shared" si="31"/>
        <v>#REF!</v>
      </c>
      <c r="H70" s="236" t="e">
        <f>G70*(1+$AH$70)</f>
        <v>#REF!</v>
      </c>
      <c r="I70" s="236" t="e">
        <f t="shared" si="31"/>
        <v>#REF!</v>
      </c>
      <c r="J70" s="236" t="e">
        <f t="shared" si="31"/>
        <v>#REF!</v>
      </c>
      <c r="K70" s="236" t="e">
        <f>J70*(1+$AH$70)</f>
        <v>#REF!</v>
      </c>
      <c r="L70" s="236" t="e">
        <f t="shared" si="31"/>
        <v>#REF!</v>
      </c>
      <c r="M70" s="236" t="e">
        <f t="shared" si="31"/>
        <v>#REF!</v>
      </c>
      <c r="N70" s="236" t="e">
        <f>M70*(1+$AH$70)</f>
        <v>#REF!</v>
      </c>
      <c r="O70" s="236" t="e">
        <f t="shared" si="31"/>
        <v>#REF!</v>
      </c>
      <c r="P70" s="236" t="e">
        <f t="shared" si="31"/>
        <v>#REF!</v>
      </c>
      <c r="Q70" s="236" t="e">
        <f>P70*(1+$AH$70)</f>
        <v>#REF!</v>
      </c>
      <c r="R70" s="236" t="e">
        <f t="shared" si="31"/>
        <v>#REF!</v>
      </c>
      <c r="S70" s="236" t="e">
        <f t="shared" si="31"/>
        <v>#REF!</v>
      </c>
      <c r="T70" s="236" t="e">
        <f>S70*(1+$AH$70)</f>
        <v>#REF!</v>
      </c>
      <c r="U70" s="236" t="e">
        <f t="shared" si="31"/>
        <v>#REF!</v>
      </c>
      <c r="V70" s="236" t="e">
        <f t="shared" si="31"/>
        <v>#REF!</v>
      </c>
      <c r="W70" s="236" t="e">
        <f>V70*(1+$AH$70)</f>
        <v>#REF!</v>
      </c>
      <c r="X70" s="236" t="e">
        <f t="shared" si="31"/>
        <v>#REF!</v>
      </c>
      <c r="Y70" s="236" t="e">
        <f t="shared" si="31"/>
        <v>#REF!</v>
      </c>
      <c r="Z70" s="236" t="e">
        <f>Y70*(1+$AH$70)</f>
        <v>#REF!</v>
      </c>
      <c r="AA70" s="236" t="e">
        <f t="shared" si="31"/>
        <v>#REF!</v>
      </c>
      <c r="AB70" s="236" t="e">
        <f t="shared" si="31"/>
        <v>#REF!</v>
      </c>
      <c r="AC70" s="236" t="e">
        <f>AB70*(1+$AH$70)</f>
        <v>#REF!</v>
      </c>
      <c r="AD70" s="236" t="e">
        <f t="shared" si="31"/>
        <v>#REF!</v>
      </c>
      <c r="AE70" s="236" t="e">
        <f t="shared" si="31"/>
        <v>#REF!</v>
      </c>
      <c r="AF70" s="236" t="e">
        <f>AE70*(1+$AH$70)</f>
        <v>#REF!</v>
      </c>
      <c r="AG70" s="236" t="e">
        <f t="shared" si="31"/>
        <v>#REF!</v>
      </c>
      <c r="AH70" s="245" t="e">
        <f>#REF!</f>
        <v>#REF!</v>
      </c>
      <c r="AI70" s="294"/>
      <c r="AJ70" s="179"/>
    </row>
    <row r="71" spans="1:36">
      <c r="C71" s="975" t="s">
        <v>404</v>
      </c>
      <c r="D71" s="975"/>
      <c r="E71" s="975"/>
      <c r="F71" s="975"/>
      <c r="G71" s="975"/>
    </row>
    <row r="72" spans="1:36" s="256" customFormat="1">
      <c r="A72" s="254"/>
      <c r="B72" s="254"/>
      <c r="C72" s="255" t="s">
        <v>178</v>
      </c>
      <c r="D72" s="255" t="s">
        <v>179</v>
      </c>
      <c r="E72" s="255" t="s">
        <v>180</v>
      </c>
      <c r="F72" s="255" t="s">
        <v>181</v>
      </c>
      <c r="G72" s="255" t="s">
        <v>182</v>
      </c>
      <c r="H72" s="255" t="s">
        <v>239</v>
      </c>
    </row>
    <row r="73" spans="1:36">
      <c r="A73" s="171" t="s">
        <v>405</v>
      </c>
      <c r="B73" s="171" t="s">
        <v>281</v>
      </c>
      <c r="C73" s="257"/>
      <c r="D73" s="257"/>
      <c r="E73" s="307" t="e">
        <f>#REF!</f>
        <v>#REF!</v>
      </c>
      <c r="F73" s="308" t="e">
        <f>#REF!</f>
        <v>#REF!</v>
      </c>
      <c r="G73" s="171"/>
      <c r="H73" s="308" t="e">
        <f>#REF!</f>
        <v>#REF!</v>
      </c>
    </row>
    <row r="74" spans="1:36">
      <c r="A74" s="171" t="s">
        <v>405</v>
      </c>
      <c r="B74" s="171" t="s">
        <v>406</v>
      </c>
      <c r="C74" s="257">
        <v>250</v>
      </c>
      <c r="D74" s="257"/>
      <c r="E74" s="257"/>
      <c r="F74" s="257"/>
      <c r="G74" s="171"/>
      <c r="H74" s="257"/>
      <c r="J74" s="173">
        <f>139-69</f>
        <v>70</v>
      </c>
    </row>
    <row r="75" spans="1:36">
      <c r="A75" s="258" t="s">
        <v>407</v>
      </c>
      <c r="B75" s="258" t="s">
        <v>198</v>
      </c>
      <c r="C75" s="259">
        <v>0.85</v>
      </c>
      <c r="D75" s="259"/>
      <c r="E75" s="259">
        <v>0.85</v>
      </c>
      <c r="F75" s="259">
        <v>0.85</v>
      </c>
      <c r="G75" s="259">
        <v>0.87</v>
      </c>
      <c r="H75" s="259">
        <v>0.55000000000000004</v>
      </c>
      <c r="J75" s="173">
        <f>J74/139</f>
        <v>0.50359712230215825</v>
      </c>
    </row>
    <row r="76" spans="1:36">
      <c r="A76" s="171" t="s">
        <v>408</v>
      </c>
      <c r="B76" s="171" t="s">
        <v>198</v>
      </c>
      <c r="C76" s="233">
        <v>0.3</v>
      </c>
      <c r="D76" s="233"/>
      <c r="E76" s="233">
        <v>0.3</v>
      </c>
      <c r="F76" s="233">
        <v>0.33</v>
      </c>
      <c r="G76" s="233">
        <v>0.87</v>
      </c>
      <c r="H76" s="233">
        <v>0.5</v>
      </c>
    </row>
    <row r="77" spans="1:36">
      <c r="A77" s="171" t="s">
        <v>409</v>
      </c>
      <c r="B77" s="171" t="s">
        <v>198</v>
      </c>
      <c r="C77" s="233">
        <v>0</v>
      </c>
      <c r="D77" s="233"/>
      <c r="E77" s="233">
        <v>0</v>
      </c>
      <c r="F77" s="233">
        <v>0</v>
      </c>
      <c r="G77" s="233">
        <v>0.15</v>
      </c>
      <c r="H77" s="233">
        <v>0.15</v>
      </c>
    </row>
    <row r="78" spans="1:36">
      <c r="A78" s="171" t="s">
        <v>410</v>
      </c>
      <c r="B78" s="171" t="s">
        <v>198</v>
      </c>
      <c r="C78" s="260">
        <f>(C76)</f>
        <v>0.3</v>
      </c>
      <c r="D78" s="260"/>
      <c r="E78" s="260">
        <f t="shared" ref="E78:H78" si="32">(E76)</f>
        <v>0.3</v>
      </c>
      <c r="F78" s="260">
        <f t="shared" si="32"/>
        <v>0.33</v>
      </c>
      <c r="G78" s="260">
        <f t="shared" si="32"/>
        <v>0.87</v>
      </c>
      <c r="H78" s="260">
        <f t="shared" si="32"/>
        <v>0.5</v>
      </c>
      <c r="K78" s="173" t="s">
        <v>195</v>
      </c>
      <c r="L78" s="173" t="s">
        <v>285</v>
      </c>
      <c r="M78" s="173" t="s">
        <v>281</v>
      </c>
    </row>
    <row r="79" spans="1:36">
      <c r="A79" s="171" t="s">
        <v>345</v>
      </c>
      <c r="B79" s="171" t="s">
        <v>201</v>
      </c>
      <c r="C79" s="261"/>
      <c r="D79" s="261"/>
      <c r="E79" s="261"/>
      <c r="F79" s="261"/>
      <c r="G79" s="306" t="e">
        <f>#REF!</f>
        <v>#REF!</v>
      </c>
      <c r="H79" s="261"/>
      <c r="K79" s="173">
        <v>5</v>
      </c>
      <c r="L79" s="173">
        <v>1</v>
      </c>
      <c r="M79" s="173">
        <v>0.3</v>
      </c>
    </row>
    <row r="80" spans="1:36">
      <c r="A80" s="171"/>
      <c r="B80" s="171" t="s">
        <v>346</v>
      </c>
      <c r="C80" s="305" t="e">
        <f>#REF!</f>
        <v>#REF!</v>
      </c>
      <c r="D80" s="305" t="e">
        <f>#REF!</f>
        <v>#REF!</v>
      </c>
      <c r="E80" s="305" t="e">
        <f>#REF!</f>
        <v>#REF!</v>
      </c>
      <c r="F80" s="261" t="e">
        <f>3*C80</f>
        <v>#REF!</v>
      </c>
      <c r="G80" s="262"/>
      <c r="H80" s="261" t="e">
        <f>4*C80</f>
        <v>#REF!</v>
      </c>
      <c r="K80" s="173">
        <f>K79/M79</f>
        <v>16.666666666666668</v>
      </c>
      <c r="M80" s="173">
        <v>1</v>
      </c>
    </row>
    <row r="81" spans="1:35">
      <c r="A81" s="263" t="s">
        <v>411</v>
      </c>
      <c r="B81" s="263" t="s">
        <v>193</v>
      </c>
      <c r="C81" s="264"/>
      <c r="D81" s="264"/>
      <c r="E81" s="252" t="e">
        <f>E82/(C28)</f>
        <v>#REF!</v>
      </c>
      <c r="F81" s="264"/>
      <c r="G81" s="265" t="e">
        <f>C19</f>
        <v>#REF!</v>
      </c>
      <c r="H81" s="264"/>
    </row>
    <row r="82" spans="1:35" ht="29.1" customHeight="1">
      <c r="A82" s="266" t="s">
        <v>283</v>
      </c>
      <c r="B82" s="267" t="s">
        <v>412</v>
      </c>
      <c r="C82" s="252" t="e">
        <f>($C$27*$C$28)/C80</f>
        <v>#REF!</v>
      </c>
      <c r="D82" s="252" t="e">
        <f>($C$27*$C$28)/D80</f>
        <v>#REF!</v>
      </c>
      <c r="E82" s="252" t="e">
        <f>($C$27*$C$28)/E80</f>
        <v>#REF!</v>
      </c>
      <c r="F82" s="252" t="e">
        <f>($C$27*$C$28)/F80</f>
        <v>#REF!</v>
      </c>
      <c r="G82" s="252" t="e">
        <f>($C$27*$C$28*G79)</f>
        <v>#REF!</v>
      </c>
      <c r="H82" s="252" t="e">
        <f>($C$27*$C$28)/H80</f>
        <v>#REF!</v>
      </c>
      <c r="I82" s="268" t="e">
        <f>F82-H82</f>
        <v>#REF!</v>
      </c>
      <c r="J82" s="241" t="e">
        <f>I82/H82</f>
        <v>#REF!</v>
      </c>
      <c r="K82" s="173">
        <v>100</v>
      </c>
      <c r="M82" s="173">
        <v>9</v>
      </c>
    </row>
    <row r="83" spans="1:35">
      <c r="C83" s="173"/>
    </row>
    <row r="84" spans="1:35" s="225" customFormat="1">
      <c r="A84" s="223"/>
      <c r="B84" s="223"/>
      <c r="C84" s="224"/>
    </row>
    <row r="85" spans="1:35">
      <c r="A85" s="235" t="s">
        <v>307</v>
      </c>
      <c r="B85" s="235"/>
      <c r="C85" s="235">
        <v>2025</v>
      </c>
      <c r="D85" s="235">
        <f t="shared" ref="D85:AG85" si="33">C85+1</f>
        <v>2026</v>
      </c>
      <c r="E85" s="235">
        <f t="shared" si="33"/>
        <v>2027</v>
      </c>
      <c r="F85" s="235">
        <f t="shared" si="33"/>
        <v>2028</v>
      </c>
      <c r="G85" s="235">
        <f t="shared" si="33"/>
        <v>2029</v>
      </c>
      <c r="H85" s="235">
        <f t="shared" si="33"/>
        <v>2030</v>
      </c>
      <c r="I85" s="235">
        <f t="shared" si="33"/>
        <v>2031</v>
      </c>
      <c r="J85" s="235">
        <f t="shared" si="33"/>
        <v>2032</v>
      </c>
      <c r="K85" s="235">
        <f t="shared" si="33"/>
        <v>2033</v>
      </c>
      <c r="L85" s="235">
        <f t="shared" si="33"/>
        <v>2034</v>
      </c>
      <c r="M85" s="235">
        <f t="shared" si="33"/>
        <v>2035</v>
      </c>
      <c r="N85" s="235">
        <f t="shared" si="33"/>
        <v>2036</v>
      </c>
      <c r="O85" s="235">
        <f t="shared" si="33"/>
        <v>2037</v>
      </c>
      <c r="P85" s="235">
        <f t="shared" si="33"/>
        <v>2038</v>
      </c>
      <c r="Q85" s="235">
        <f t="shared" si="33"/>
        <v>2039</v>
      </c>
      <c r="R85" s="235">
        <f t="shared" si="33"/>
        <v>2040</v>
      </c>
      <c r="S85" s="235">
        <f t="shared" si="33"/>
        <v>2041</v>
      </c>
      <c r="T85" s="235">
        <f t="shared" si="33"/>
        <v>2042</v>
      </c>
      <c r="U85" s="235">
        <f t="shared" si="33"/>
        <v>2043</v>
      </c>
      <c r="V85" s="235">
        <f t="shared" si="33"/>
        <v>2044</v>
      </c>
      <c r="W85" s="235">
        <f t="shared" si="33"/>
        <v>2045</v>
      </c>
      <c r="X85" s="235">
        <f t="shared" si="33"/>
        <v>2046</v>
      </c>
      <c r="Y85" s="235">
        <f t="shared" si="33"/>
        <v>2047</v>
      </c>
      <c r="Z85" s="235">
        <f t="shared" si="33"/>
        <v>2048</v>
      </c>
      <c r="AA85" s="235">
        <f t="shared" si="33"/>
        <v>2049</v>
      </c>
      <c r="AB85" s="235">
        <f t="shared" si="33"/>
        <v>2050</v>
      </c>
      <c r="AC85" s="235">
        <f t="shared" si="33"/>
        <v>2051</v>
      </c>
      <c r="AD85" s="235">
        <f t="shared" si="33"/>
        <v>2052</v>
      </c>
      <c r="AE85" s="235">
        <f t="shared" si="33"/>
        <v>2053</v>
      </c>
      <c r="AF85" s="235">
        <f t="shared" si="33"/>
        <v>2054</v>
      </c>
      <c r="AG85" s="235">
        <f t="shared" si="33"/>
        <v>2055</v>
      </c>
    </row>
    <row r="86" spans="1:35">
      <c r="A86" s="290" t="s">
        <v>308</v>
      </c>
      <c r="B86" s="173" t="s">
        <v>309</v>
      </c>
      <c r="C86" s="179" t="e">
        <f>C11</f>
        <v>#REF!</v>
      </c>
      <c r="D86" s="179" t="e">
        <f>ROUND(C86*(1+#REF!)/1000,0)*1000</f>
        <v>#REF!</v>
      </c>
      <c r="E86" s="179" t="e">
        <f>ROUND(D86*(1+#REF!)/1000,0)*1000</f>
        <v>#REF!</v>
      </c>
      <c r="F86" s="179" t="e">
        <f>ROUND(E86*(1+#REF!)/1000,0)*1000</f>
        <v>#REF!</v>
      </c>
      <c r="G86" s="179" t="e">
        <f>ROUND(F86*(1+#REF!)/1000,0)*1000</f>
        <v>#REF!</v>
      </c>
      <c r="H86" s="179" t="e">
        <f>ROUND(G86*(1+#REF!)/1000,0)*1000</f>
        <v>#REF!</v>
      </c>
      <c r="I86" s="179" t="e">
        <f>ROUND(H86*(1+#REF!)/1000,0)*1000+#REF!</f>
        <v>#REF!</v>
      </c>
      <c r="J86" s="179" t="e">
        <f>ROUND(I86*(1+#REF!)/1000,0)*1000</f>
        <v>#REF!</v>
      </c>
      <c r="K86" s="179" t="e">
        <f>ROUND(J86*(1+#REF!)/1000,0)*1000</f>
        <v>#REF!</v>
      </c>
      <c r="L86" s="179" t="e">
        <f>ROUND(K86*(1+#REF!)/1000,0)*1000</f>
        <v>#REF!</v>
      </c>
      <c r="M86" s="179" t="e">
        <f>ROUND(L86*(1+#REF!)/1000,0)*1000</f>
        <v>#REF!</v>
      </c>
      <c r="N86" s="179" t="e">
        <f>ROUND(M86*(1+#REF!)/1000,0)*1000</f>
        <v>#REF!</v>
      </c>
      <c r="O86" s="179" t="e">
        <f>ROUND(N86*(1+#REF!)/1000,0)*1000</f>
        <v>#REF!</v>
      </c>
      <c r="P86" s="179" t="e">
        <f>ROUND(O86*(1+#REF!)/1000,0)*1000</f>
        <v>#REF!</v>
      </c>
      <c r="Q86" s="179" t="e">
        <f>ROUND(P86*(1+#REF!)/1000,0)*1000</f>
        <v>#REF!</v>
      </c>
      <c r="R86" s="179" t="e">
        <f>ROUND(Q86*(1+#REF!)/1000,0)*1000</f>
        <v>#REF!</v>
      </c>
      <c r="S86" s="179" t="e">
        <f>ROUND(R86*(1+#REF!)/1000,0)*1000</f>
        <v>#REF!</v>
      </c>
      <c r="T86" s="179" t="e">
        <f>ROUND(S86*(1+#REF!)/1000,0)*1000</f>
        <v>#REF!</v>
      </c>
      <c r="U86" s="179" t="e">
        <f>ROUND(T86*(1+#REF!)/1000,0)*1000</f>
        <v>#REF!</v>
      </c>
      <c r="V86" s="179" t="e">
        <f>ROUND(U86*(1+#REF!)/1000,0)*1000</f>
        <v>#REF!</v>
      </c>
      <c r="W86" s="179" t="e">
        <f>ROUND(V86*(1+#REF!)/1000,0)*1000</f>
        <v>#REF!</v>
      </c>
      <c r="X86" s="179" t="e">
        <f>ROUND(W86*(1+#REF!)/1000,0)*1000</f>
        <v>#REF!</v>
      </c>
      <c r="Y86" s="179" t="e">
        <f>ROUND(X86*(1+#REF!)/1000,0)*1000</f>
        <v>#REF!</v>
      </c>
      <c r="Z86" s="179" t="e">
        <f>ROUND(Y86*(1+#REF!)/1000,0)*1000</f>
        <v>#REF!</v>
      </c>
      <c r="AA86" s="179" t="e">
        <f>ROUND(Z86*(1+#REF!)/1000,0)*1000</f>
        <v>#REF!</v>
      </c>
      <c r="AB86" s="179" t="e">
        <f>ROUND(AA86*(1+#REF!)/1000,0)*1000</f>
        <v>#REF!</v>
      </c>
      <c r="AC86" s="179" t="e">
        <f>ROUND(AB86*(1+#REF!)/1000,0)*1000</f>
        <v>#REF!</v>
      </c>
      <c r="AD86" s="179" t="e">
        <f>ROUND(AC86*(1+#REF!)/1000,0)*1000</f>
        <v>#REF!</v>
      </c>
      <c r="AE86" s="179" t="e">
        <f>ROUND(AD86*(1+#REF!)/1000,0)*1000</f>
        <v>#REF!</v>
      </c>
      <c r="AF86" s="179" t="e">
        <f>ROUND(AE86*(1+#REF!)/1000,0)*1000</f>
        <v>#REF!</v>
      </c>
      <c r="AG86" s="179" t="e">
        <f>ROUND(AF86*(1+#REF!)/1000,0)*1000</f>
        <v>#REF!</v>
      </c>
    </row>
    <row r="87" spans="1:35">
      <c r="A87" s="290" t="s">
        <v>314</v>
      </c>
      <c r="B87" s="173" t="s">
        <v>309</v>
      </c>
      <c r="C87" s="179" t="e">
        <f t="shared" ref="C87:AG87" si="34">C39*$C$82</f>
        <v>#REF!</v>
      </c>
      <c r="D87" s="179" t="e">
        <f t="shared" si="34"/>
        <v>#REF!</v>
      </c>
      <c r="E87" s="179" t="e">
        <f t="shared" si="34"/>
        <v>#REF!</v>
      </c>
      <c r="F87" s="179" t="e">
        <f t="shared" si="34"/>
        <v>#REF!</v>
      </c>
      <c r="G87" s="179" t="e">
        <f t="shared" si="34"/>
        <v>#REF!</v>
      </c>
      <c r="H87" s="179" t="e">
        <f t="shared" si="34"/>
        <v>#REF!</v>
      </c>
      <c r="I87" s="179" t="e">
        <f t="shared" si="34"/>
        <v>#REF!</v>
      </c>
      <c r="J87" s="179" t="e">
        <f t="shared" si="34"/>
        <v>#REF!</v>
      </c>
      <c r="K87" s="179" t="e">
        <f t="shared" si="34"/>
        <v>#REF!</v>
      </c>
      <c r="L87" s="179" t="e">
        <f t="shared" si="34"/>
        <v>#REF!</v>
      </c>
      <c r="M87" s="179" t="e">
        <f t="shared" si="34"/>
        <v>#REF!</v>
      </c>
      <c r="N87" s="179" t="e">
        <f t="shared" si="34"/>
        <v>#REF!</v>
      </c>
      <c r="O87" s="179" t="e">
        <f t="shared" si="34"/>
        <v>#REF!</v>
      </c>
      <c r="P87" s="179" t="e">
        <f t="shared" si="34"/>
        <v>#REF!</v>
      </c>
      <c r="Q87" s="179" t="e">
        <f t="shared" si="34"/>
        <v>#REF!</v>
      </c>
      <c r="R87" s="179" t="e">
        <f t="shared" si="34"/>
        <v>#REF!</v>
      </c>
      <c r="S87" s="179" t="e">
        <f t="shared" si="34"/>
        <v>#REF!</v>
      </c>
      <c r="T87" s="179" t="e">
        <f t="shared" si="34"/>
        <v>#REF!</v>
      </c>
      <c r="U87" s="179" t="e">
        <f t="shared" si="34"/>
        <v>#REF!</v>
      </c>
      <c r="V87" s="179" t="e">
        <f t="shared" si="34"/>
        <v>#REF!</v>
      </c>
      <c r="W87" s="179" t="e">
        <f t="shared" si="34"/>
        <v>#REF!</v>
      </c>
      <c r="X87" s="179" t="e">
        <f t="shared" si="34"/>
        <v>#REF!</v>
      </c>
      <c r="Y87" s="179" t="e">
        <f t="shared" si="34"/>
        <v>#REF!</v>
      </c>
      <c r="Z87" s="179" t="e">
        <f t="shared" si="34"/>
        <v>#REF!</v>
      </c>
      <c r="AA87" s="179" t="e">
        <f t="shared" si="34"/>
        <v>#REF!</v>
      </c>
      <c r="AB87" s="179" t="e">
        <f t="shared" si="34"/>
        <v>#REF!</v>
      </c>
      <c r="AC87" s="179" t="e">
        <f t="shared" si="34"/>
        <v>#REF!</v>
      </c>
      <c r="AD87" s="179" t="e">
        <f t="shared" si="34"/>
        <v>#REF!</v>
      </c>
      <c r="AE87" s="179" t="e">
        <f t="shared" si="34"/>
        <v>#REF!</v>
      </c>
      <c r="AF87" s="179" t="e">
        <f t="shared" si="34"/>
        <v>#REF!</v>
      </c>
      <c r="AG87" s="179" t="e">
        <f t="shared" si="34"/>
        <v>#REF!</v>
      </c>
    </row>
    <row r="88" spans="1:35">
      <c r="A88" s="290" t="s">
        <v>315</v>
      </c>
      <c r="B88" s="173" t="s">
        <v>309</v>
      </c>
      <c r="C88" s="238" t="e">
        <f>$C$82*$AH$88*C40</f>
        <v>#REF!</v>
      </c>
      <c r="D88" s="238" t="e">
        <f>$C$82*$AH$88*D40</f>
        <v>#REF!</v>
      </c>
      <c r="E88" s="238" t="e">
        <f t="shared" ref="E88:AG88" si="35">$C$82*$AH$88*E40</f>
        <v>#REF!</v>
      </c>
      <c r="F88" s="238" t="e">
        <f t="shared" si="35"/>
        <v>#REF!</v>
      </c>
      <c r="G88" s="238" t="e">
        <f t="shared" si="35"/>
        <v>#REF!</v>
      </c>
      <c r="H88" s="238" t="e">
        <f t="shared" si="35"/>
        <v>#REF!</v>
      </c>
      <c r="I88" s="238" t="e">
        <f t="shared" si="35"/>
        <v>#REF!</v>
      </c>
      <c r="J88" s="238" t="e">
        <f t="shared" si="35"/>
        <v>#REF!</v>
      </c>
      <c r="K88" s="238" t="e">
        <f t="shared" si="35"/>
        <v>#REF!</v>
      </c>
      <c r="L88" s="238" t="e">
        <f t="shared" si="35"/>
        <v>#REF!</v>
      </c>
      <c r="M88" s="238" t="e">
        <f t="shared" si="35"/>
        <v>#REF!</v>
      </c>
      <c r="N88" s="238" t="e">
        <f t="shared" si="35"/>
        <v>#REF!</v>
      </c>
      <c r="O88" s="238" t="e">
        <f t="shared" si="35"/>
        <v>#REF!</v>
      </c>
      <c r="P88" s="238" t="e">
        <f t="shared" si="35"/>
        <v>#REF!</v>
      </c>
      <c r="Q88" s="238" t="e">
        <f t="shared" si="35"/>
        <v>#REF!</v>
      </c>
      <c r="R88" s="238" t="e">
        <f t="shared" si="35"/>
        <v>#REF!</v>
      </c>
      <c r="S88" s="238" t="e">
        <f t="shared" si="35"/>
        <v>#REF!</v>
      </c>
      <c r="T88" s="238" t="e">
        <f t="shared" si="35"/>
        <v>#REF!</v>
      </c>
      <c r="U88" s="238" t="e">
        <f t="shared" si="35"/>
        <v>#REF!</v>
      </c>
      <c r="V88" s="238" t="e">
        <f t="shared" si="35"/>
        <v>#REF!</v>
      </c>
      <c r="W88" s="238" t="e">
        <f t="shared" si="35"/>
        <v>#REF!</v>
      </c>
      <c r="X88" s="238" t="e">
        <f t="shared" si="35"/>
        <v>#REF!</v>
      </c>
      <c r="Y88" s="238" t="e">
        <f t="shared" si="35"/>
        <v>#REF!</v>
      </c>
      <c r="Z88" s="238" t="e">
        <f t="shared" si="35"/>
        <v>#REF!</v>
      </c>
      <c r="AA88" s="238" t="e">
        <f t="shared" si="35"/>
        <v>#REF!</v>
      </c>
      <c r="AB88" s="238" t="e">
        <f t="shared" si="35"/>
        <v>#REF!</v>
      </c>
      <c r="AC88" s="238" t="e">
        <f t="shared" si="35"/>
        <v>#REF!</v>
      </c>
      <c r="AD88" s="238" t="e">
        <f t="shared" si="35"/>
        <v>#REF!</v>
      </c>
      <c r="AE88" s="238" t="e">
        <f t="shared" si="35"/>
        <v>#REF!</v>
      </c>
      <c r="AF88" s="238" t="e">
        <f t="shared" si="35"/>
        <v>#REF!</v>
      </c>
      <c r="AG88" s="238" t="e">
        <f t="shared" si="35"/>
        <v>#REF!</v>
      </c>
      <c r="AH88" s="269" t="e">
        <f>#REF!</f>
        <v>#REF!</v>
      </c>
      <c r="AI88" s="173" t="s">
        <v>316</v>
      </c>
    </row>
    <row r="89" spans="1:35">
      <c r="A89" s="173" t="s">
        <v>317</v>
      </c>
      <c r="B89" s="173" t="s">
        <v>309</v>
      </c>
      <c r="C89" s="179" t="e">
        <f t="shared" ref="C89:AG89" si="36">$C$28*$C$27*C65</f>
        <v>#REF!</v>
      </c>
      <c r="D89" s="179" t="e">
        <f t="shared" si="36"/>
        <v>#REF!</v>
      </c>
      <c r="E89" s="179" t="e">
        <f t="shared" si="36"/>
        <v>#REF!</v>
      </c>
      <c r="F89" s="179" t="e">
        <f t="shared" si="36"/>
        <v>#REF!</v>
      </c>
      <c r="G89" s="179" t="e">
        <f t="shared" si="36"/>
        <v>#REF!</v>
      </c>
      <c r="H89" s="179" t="e">
        <f t="shared" si="36"/>
        <v>#REF!</v>
      </c>
      <c r="I89" s="179" t="e">
        <f t="shared" si="36"/>
        <v>#REF!</v>
      </c>
      <c r="J89" s="179" t="e">
        <f t="shared" si="36"/>
        <v>#REF!</v>
      </c>
      <c r="K89" s="179" t="e">
        <f t="shared" si="36"/>
        <v>#REF!</v>
      </c>
      <c r="L89" s="179" t="e">
        <f t="shared" si="36"/>
        <v>#REF!</v>
      </c>
      <c r="M89" s="179" t="e">
        <f t="shared" si="36"/>
        <v>#REF!</v>
      </c>
      <c r="N89" s="179" t="e">
        <f t="shared" si="36"/>
        <v>#REF!</v>
      </c>
      <c r="O89" s="179" t="e">
        <f t="shared" si="36"/>
        <v>#REF!</v>
      </c>
      <c r="P89" s="179" t="e">
        <f t="shared" si="36"/>
        <v>#REF!</v>
      </c>
      <c r="Q89" s="179" t="e">
        <f t="shared" si="36"/>
        <v>#REF!</v>
      </c>
      <c r="R89" s="179" t="e">
        <f t="shared" si="36"/>
        <v>#REF!</v>
      </c>
      <c r="S89" s="179" t="e">
        <f t="shared" si="36"/>
        <v>#REF!</v>
      </c>
      <c r="T89" s="179" t="e">
        <f t="shared" si="36"/>
        <v>#REF!</v>
      </c>
      <c r="U89" s="179" t="e">
        <f t="shared" si="36"/>
        <v>#REF!</v>
      </c>
      <c r="V89" s="179" t="e">
        <f t="shared" si="36"/>
        <v>#REF!</v>
      </c>
      <c r="W89" s="179" t="e">
        <f t="shared" si="36"/>
        <v>#REF!</v>
      </c>
      <c r="X89" s="179" t="e">
        <f t="shared" si="36"/>
        <v>#REF!</v>
      </c>
      <c r="Y89" s="179" t="e">
        <f t="shared" si="36"/>
        <v>#REF!</v>
      </c>
      <c r="Z89" s="179" t="e">
        <f t="shared" si="36"/>
        <v>#REF!</v>
      </c>
      <c r="AA89" s="179" t="e">
        <f t="shared" si="36"/>
        <v>#REF!</v>
      </c>
      <c r="AB89" s="179" t="e">
        <f t="shared" si="36"/>
        <v>#REF!</v>
      </c>
      <c r="AC89" s="179" t="e">
        <f t="shared" si="36"/>
        <v>#REF!</v>
      </c>
      <c r="AD89" s="179" t="e">
        <f t="shared" si="36"/>
        <v>#REF!</v>
      </c>
      <c r="AE89" s="179" t="e">
        <f t="shared" si="36"/>
        <v>#REF!</v>
      </c>
      <c r="AF89" s="179" t="e">
        <f t="shared" si="36"/>
        <v>#REF!</v>
      </c>
      <c r="AG89" s="179" t="e">
        <f t="shared" si="36"/>
        <v>#REF!</v>
      </c>
    </row>
    <row r="90" spans="1:35">
      <c r="A90" s="173" t="s">
        <v>413</v>
      </c>
      <c r="B90" s="173" t="s">
        <v>309</v>
      </c>
      <c r="C90" s="179" t="e">
        <f t="shared" ref="C90:AG90" si="37">C70</f>
        <v>#REF!</v>
      </c>
      <c r="D90" s="179" t="e">
        <f t="shared" si="37"/>
        <v>#REF!</v>
      </c>
      <c r="E90" s="179" t="e">
        <f t="shared" si="37"/>
        <v>#REF!</v>
      </c>
      <c r="F90" s="179" t="e">
        <f t="shared" si="37"/>
        <v>#REF!</v>
      </c>
      <c r="G90" s="179" t="e">
        <f t="shared" si="37"/>
        <v>#REF!</v>
      </c>
      <c r="H90" s="179" t="e">
        <f t="shared" si="37"/>
        <v>#REF!</v>
      </c>
      <c r="I90" s="179" t="e">
        <f t="shared" si="37"/>
        <v>#REF!</v>
      </c>
      <c r="J90" s="179" t="e">
        <f t="shared" si="37"/>
        <v>#REF!</v>
      </c>
      <c r="K90" s="179" t="e">
        <f t="shared" si="37"/>
        <v>#REF!</v>
      </c>
      <c r="L90" s="179" t="e">
        <f t="shared" si="37"/>
        <v>#REF!</v>
      </c>
      <c r="M90" s="179" t="e">
        <f t="shared" si="37"/>
        <v>#REF!</v>
      </c>
      <c r="N90" s="179" t="e">
        <f t="shared" si="37"/>
        <v>#REF!</v>
      </c>
      <c r="O90" s="179" t="e">
        <f t="shared" si="37"/>
        <v>#REF!</v>
      </c>
      <c r="P90" s="179" t="e">
        <f t="shared" si="37"/>
        <v>#REF!</v>
      </c>
      <c r="Q90" s="179" t="e">
        <f t="shared" si="37"/>
        <v>#REF!</v>
      </c>
      <c r="R90" s="179" t="e">
        <f t="shared" si="37"/>
        <v>#REF!</v>
      </c>
      <c r="S90" s="179" t="e">
        <f t="shared" si="37"/>
        <v>#REF!</v>
      </c>
      <c r="T90" s="179" t="e">
        <f t="shared" si="37"/>
        <v>#REF!</v>
      </c>
      <c r="U90" s="179" t="e">
        <f t="shared" si="37"/>
        <v>#REF!</v>
      </c>
      <c r="V90" s="179" t="e">
        <f t="shared" si="37"/>
        <v>#REF!</v>
      </c>
      <c r="W90" s="179" t="e">
        <f t="shared" si="37"/>
        <v>#REF!</v>
      </c>
      <c r="X90" s="179" t="e">
        <f t="shared" si="37"/>
        <v>#REF!</v>
      </c>
      <c r="Y90" s="179" t="e">
        <f t="shared" si="37"/>
        <v>#REF!</v>
      </c>
      <c r="Z90" s="179" t="e">
        <f t="shared" si="37"/>
        <v>#REF!</v>
      </c>
      <c r="AA90" s="179" t="e">
        <f t="shared" si="37"/>
        <v>#REF!</v>
      </c>
      <c r="AB90" s="179" t="e">
        <f t="shared" si="37"/>
        <v>#REF!</v>
      </c>
      <c r="AC90" s="179" t="e">
        <f t="shared" si="37"/>
        <v>#REF!</v>
      </c>
      <c r="AD90" s="179" t="e">
        <f t="shared" si="37"/>
        <v>#REF!</v>
      </c>
      <c r="AE90" s="179" t="e">
        <f t="shared" si="37"/>
        <v>#REF!</v>
      </c>
      <c r="AF90" s="179" t="e">
        <f t="shared" si="37"/>
        <v>#REF!</v>
      </c>
      <c r="AG90" s="179" t="e">
        <f t="shared" si="37"/>
        <v>#REF!</v>
      </c>
    </row>
    <row r="91" spans="1:35">
      <c r="A91" s="173" t="s">
        <v>319</v>
      </c>
      <c r="B91" s="173" t="s">
        <v>309</v>
      </c>
      <c r="C91" s="179" t="e">
        <f t="shared" ref="C91:AG91" si="38">C86*$C$34</f>
        <v>#REF!</v>
      </c>
      <c r="D91" s="179" t="e">
        <f t="shared" si="38"/>
        <v>#REF!</v>
      </c>
      <c r="E91" s="179" t="e">
        <f t="shared" si="38"/>
        <v>#REF!</v>
      </c>
      <c r="F91" s="179" t="e">
        <f t="shared" si="38"/>
        <v>#REF!</v>
      </c>
      <c r="G91" s="179" t="e">
        <f t="shared" si="38"/>
        <v>#REF!</v>
      </c>
      <c r="H91" s="179" t="e">
        <f t="shared" si="38"/>
        <v>#REF!</v>
      </c>
      <c r="I91" s="179" t="e">
        <f t="shared" si="38"/>
        <v>#REF!</v>
      </c>
      <c r="J91" s="179" t="e">
        <f t="shared" si="38"/>
        <v>#REF!</v>
      </c>
      <c r="K91" s="179" t="e">
        <f t="shared" si="38"/>
        <v>#REF!</v>
      </c>
      <c r="L91" s="179" t="e">
        <f t="shared" si="38"/>
        <v>#REF!</v>
      </c>
      <c r="M91" s="179" t="e">
        <f t="shared" si="38"/>
        <v>#REF!</v>
      </c>
      <c r="N91" s="179" t="e">
        <f t="shared" si="38"/>
        <v>#REF!</v>
      </c>
      <c r="O91" s="179" t="e">
        <f t="shared" si="38"/>
        <v>#REF!</v>
      </c>
      <c r="P91" s="179" t="e">
        <f t="shared" si="38"/>
        <v>#REF!</v>
      </c>
      <c r="Q91" s="179" t="e">
        <f t="shared" si="38"/>
        <v>#REF!</v>
      </c>
      <c r="R91" s="179" t="e">
        <f t="shared" si="38"/>
        <v>#REF!</v>
      </c>
      <c r="S91" s="179" t="e">
        <f t="shared" si="38"/>
        <v>#REF!</v>
      </c>
      <c r="T91" s="179" t="e">
        <f t="shared" si="38"/>
        <v>#REF!</v>
      </c>
      <c r="U91" s="179" t="e">
        <f t="shared" si="38"/>
        <v>#REF!</v>
      </c>
      <c r="V91" s="179" t="e">
        <f t="shared" si="38"/>
        <v>#REF!</v>
      </c>
      <c r="W91" s="179" t="e">
        <f t="shared" si="38"/>
        <v>#REF!</v>
      </c>
      <c r="X91" s="179" t="e">
        <f t="shared" si="38"/>
        <v>#REF!</v>
      </c>
      <c r="Y91" s="179" t="e">
        <f t="shared" si="38"/>
        <v>#REF!</v>
      </c>
      <c r="Z91" s="179" t="e">
        <f t="shared" si="38"/>
        <v>#REF!</v>
      </c>
      <c r="AA91" s="179" t="e">
        <f t="shared" si="38"/>
        <v>#REF!</v>
      </c>
      <c r="AB91" s="179" t="e">
        <f t="shared" si="38"/>
        <v>#REF!</v>
      </c>
      <c r="AC91" s="179" t="e">
        <f t="shared" si="38"/>
        <v>#REF!</v>
      </c>
      <c r="AD91" s="179" t="e">
        <f t="shared" si="38"/>
        <v>#REF!</v>
      </c>
      <c r="AE91" s="179" t="e">
        <f t="shared" si="38"/>
        <v>#REF!</v>
      </c>
      <c r="AF91" s="179" t="e">
        <f t="shared" si="38"/>
        <v>#REF!</v>
      </c>
      <c r="AG91" s="179" t="e">
        <f t="shared" si="38"/>
        <v>#REF!</v>
      </c>
    </row>
    <row r="92" spans="1:35" s="247" customFormat="1" ht="11.85" customHeight="1">
      <c r="A92" s="270" t="s">
        <v>414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5">
      <c r="A93" s="173" t="s">
        <v>312</v>
      </c>
      <c r="B93" s="173" t="s">
        <v>313</v>
      </c>
      <c r="C93" s="179" t="e">
        <f t="shared" ref="C93:AG93" si="39">-PMT($C$33,$C$31,C86)</f>
        <v>#REF!</v>
      </c>
      <c r="D93" s="179" t="e">
        <f t="shared" si="39"/>
        <v>#REF!</v>
      </c>
      <c r="E93" s="179" t="e">
        <f t="shared" si="39"/>
        <v>#REF!</v>
      </c>
      <c r="F93" s="179" t="e">
        <f t="shared" si="39"/>
        <v>#REF!</v>
      </c>
      <c r="G93" s="179" t="e">
        <f t="shared" si="39"/>
        <v>#REF!</v>
      </c>
      <c r="H93" s="179" t="e">
        <f t="shared" si="39"/>
        <v>#REF!</v>
      </c>
      <c r="I93" s="179" t="e">
        <f t="shared" si="39"/>
        <v>#REF!</v>
      </c>
      <c r="J93" s="179" t="e">
        <f t="shared" si="39"/>
        <v>#REF!</v>
      </c>
      <c r="K93" s="179" t="e">
        <f t="shared" si="39"/>
        <v>#REF!</v>
      </c>
      <c r="L93" s="179" t="e">
        <f t="shared" si="39"/>
        <v>#REF!</v>
      </c>
      <c r="M93" s="179" t="e">
        <f t="shared" si="39"/>
        <v>#REF!</v>
      </c>
      <c r="N93" s="179" t="e">
        <f t="shared" si="39"/>
        <v>#REF!</v>
      </c>
      <c r="O93" s="179" t="e">
        <f t="shared" si="39"/>
        <v>#REF!</v>
      </c>
      <c r="P93" s="179" t="e">
        <f t="shared" si="39"/>
        <v>#REF!</v>
      </c>
      <c r="Q93" s="179" t="e">
        <f t="shared" si="39"/>
        <v>#REF!</v>
      </c>
      <c r="R93" s="179" t="e">
        <f t="shared" si="39"/>
        <v>#REF!</v>
      </c>
      <c r="S93" s="179" t="e">
        <f t="shared" si="39"/>
        <v>#REF!</v>
      </c>
      <c r="T93" s="179" t="e">
        <f t="shared" si="39"/>
        <v>#REF!</v>
      </c>
      <c r="U93" s="179" t="e">
        <f t="shared" si="39"/>
        <v>#REF!</v>
      </c>
      <c r="V93" s="179" t="e">
        <f t="shared" si="39"/>
        <v>#REF!</v>
      </c>
      <c r="W93" s="179" t="e">
        <f t="shared" si="39"/>
        <v>#REF!</v>
      </c>
      <c r="X93" s="179" t="e">
        <f t="shared" si="39"/>
        <v>#REF!</v>
      </c>
      <c r="Y93" s="179" t="e">
        <f t="shared" si="39"/>
        <v>#REF!</v>
      </c>
      <c r="Z93" s="179" t="e">
        <f t="shared" si="39"/>
        <v>#REF!</v>
      </c>
      <c r="AA93" s="179" t="e">
        <f t="shared" si="39"/>
        <v>#REF!</v>
      </c>
      <c r="AB93" s="179" t="e">
        <f t="shared" si="39"/>
        <v>#REF!</v>
      </c>
      <c r="AC93" s="179" t="e">
        <f t="shared" si="39"/>
        <v>#REF!</v>
      </c>
      <c r="AD93" s="179" t="e">
        <f t="shared" si="39"/>
        <v>#REF!</v>
      </c>
      <c r="AE93" s="179" t="e">
        <f t="shared" si="39"/>
        <v>#REF!</v>
      </c>
      <c r="AF93" s="179" t="e">
        <f t="shared" si="39"/>
        <v>#REF!</v>
      </c>
      <c r="AG93" s="179" t="e">
        <f t="shared" si="39"/>
        <v>#REF!</v>
      </c>
    </row>
    <row r="94" spans="1:35">
      <c r="A94" s="173" t="s">
        <v>321</v>
      </c>
      <c r="B94" s="173" t="s">
        <v>313</v>
      </c>
      <c r="C94" s="179" t="e">
        <f t="shared" ref="C94:AG98" si="40">C87</f>
        <v>#REF!</v>
      </c>
      <c r="D94" s="179" t="e">
        <f t="shared" si="40"/>
        <v>#REF!</v>
      </c>
      <c r="E94" s="179" t="e">
        <f t="shared" si="40"/>
        <v>#REF!</v>
      </c>
      <c r="F94" s="179" t="e">
        <f t="shared" si="40"/>
        <v>#REF!</v>
      </c>
      <c r="G94" s="179" t="e">
        <f t="shared" si="40"/>
        <v>#REF!</v>
      </c>
      <c r="H94" s="179" t="e">
        <f t="shared" si="40"/>
        <v>#REF!</v>
      </c>
      <c r="I94" s="179" t="e">
        <f t="shared" si="40"/>
        <v>#REF!</v>
      </c>
      <c r="J94" s="179" t="e">
        <f t="shared" si="40"/>
        <v>#REF!</v>
      </c>
      <c r="K94" s="179" t="e">
        <f t="shared" si="40"/>
        <v>#REF!</v>
      </c>
      <c r="L94" s="179" t="e">
        <f t="shared" si="40"/>
        <v>#REF!</v>
      </c>
      <c r="M94" s="179" t="e">
        <f t="shared" si="40"/>
        <v>#REF!</v>
      </c>
      <c r="N94" s="179" t="e">
        <f t="shared" si="40"/>
        <v>#REF!</v>
      </c>
      <c r="O94" s="179" t="e">
        <f t="shared" si="40"/>
        <v>#REF!</v>
      </c>
      <c r="P94" s="179" t="e">
        <f t="shared" si="40"/>
        <v>#REF!</v>
      </c>
      <c r="Q94" s="179" t="e">
        <f t="shared" si="40"/>
        <v>#REF!</v>
      </c>
      <c r="R94" s="179" t="e">
        <f t="shared" si="40"/>
        <v>#REF!</v>
      </c>
      <c r="S94" s="179" t="e">
        <f t="shared" si="40"/>
        <v>#REF!</v>
      </c>
      <c r="T94" s="179" t="e">
        <f t="shared" si="40"/>
        <v>#REF!</v>
      </c>
      <c r="U94" s="179" t="e">
        <f t="shared" si="40"/>
        <v>#REF!</v>
      </c>
      <c r="V94" s="179" t="e">
        <f t="shared" si="40"/>
        <v>#REF!</v>
      </c>
      <c r="W94" s="179" t="e">
        <f t="shared" si="40"/>
        <v>#REF!</v>
      </c>
      <c r="X94" s="179" t="e">
        <f t="shared" si="40"/>
        <v>#REF!</v>
      </c>
      <c r="Y94" s="179" t="e">
        <f t="shared" si="40"/>
        <v>#REF!</v>
      </c>
      <c r="Z94" s="179" t="e">
        <f t="shared" si="40"/>
        <v>#REF!</v>
      </c>
      <c r="AA94" s="179" t="e">
        <f t="shared" si="40"/>
        <v>#REF!</v>
      </c>
      <c r="AB94" s="179" t="e">
        <f t="shared" si="40"/>
        <v>#REF!</v>
      </c>
      <c r="AC94" s="179" t="e">
        <f t="shared" si="40"/>
        <v>#REF!</v>
      </c>
      <c r="AD94" s="179" t="e">
        <f t="shared" si="40"/>
        <v>#REF!</v>
      </c>
      <c r="AE94" s="179" t="e">
        <f t="shared" si="40"/>
        <v>#REF!</v>
      </c>
      <c r="AF94" s="179" t="e">
        <f t="shared" si="40"/>
        <v>#REF!</v>
      </c>
      <c r="AG94" s="179" t="e">
        <f t="shared" si="40"/>
        <v>#REF!</v>
      </c>
    </row>
    <row r="95" spans="1:35">
      <c r="A95" s="173" t="s">
        <v>315</v>
      </c>
      <c r="B95" s="173" t="s">
        <v>313</v>
      </c>
      <c r="C95" s="179" t="e">
        <f t="shared" si="40"/>
        <v>#REF!</v>
      </c>
      <c r="D95" s="179" t="e">
        <f t="shared" si="40"/>
        <v>#REF!</v>
      </c>
      <c r="E95" s="179" t="e">
        <f t="shared" si="40"/>
        <v>#REF!</v>
      </c>
      <c r="F95" s="179" t="e">
        <f t="shared" si="40"/>
        <v>#REF!</v>
      </c>
      <c r="G95" s="179" t="e">
        <f t="shared" si="40"/>
        <v>#REF!</v>
      </c>
      <c r="H95" s="179" t="e">
        <f t="shared" si="40"/>
        <v>#REF!</v>
      </c>
      <c r="I95" s="179" t="e">
        <f t="shared" si="40"/>
        <v>#REF!</v>
      </c>
      <c r="J95" s="179" t="e">
        <f t="shared" si="40"/>
        <v>#REF!</v>
      </c>
      <c r="K95" s="179" t="e">
        <f t="shared" si="40"/>
        <v>#REF!</v>
      </c>
      <c r="L95" s="179" t="e">
        <f t="shared" si="40"/>
        <v>#REF!</v>
      </c>
      <c r="M95" s="179" t="e">
        <f t="shared" si="40"/>
        <v>#REF!</v>
      </c>
      <c r="N95" s="179" t="e">
        <f t="shared" si="40"/>
        <v>#REF!</v>
      </c>
      <c r="O95" s="179" t="e">
        <f t="shared" si="40"/>
        <v>#REF!</v>
      </c>
      <c r="P95" s="179" t="e">
        <f t="shared" si="40"/>
        <v>#REF!</v>
      </c>
      <c r="Q95" s="179" t="e">
        <f t="shared" si="40"/>
        <v>#REF!</v>
      </c>
      <c r="R95" s="179" t="e">
        <f t="shared" si="40"/>
        <v>#REF!</v>
      </c>
      <c r="S95" s="179" t="e">
        <f t="shared" si="40"/>
        <v>#REF!</v>
      </c>
      <c r="T95" s="179" t="e">
        <f t="shared" si="40"/>
        <v>#REF!</v>
      </c>
      <c r="U95" s="179" t="e">
        <f t="shared" si="40"/>
        <v>#REF!</v>
      </c>
      <c r="V95" s="179" t="e">
        <f t="shared" si="40"/>
        <v>#REF!</v>
      </c>
      <c r="W95" s="179" t="e">
        <f t="shared" si="40"/>
        <v>#REF!</v>
      </c>
      <c r="X95" s="179" t="e">
        <f t="shared" si="40"/>
        <v>#REF!</v>
      </c>
      <c r="Y95" s="179" t="e">
        <f t="shared" si="40"/>
        <v>#REF!</v>
      </c>
      <c r="Z95" s="179" t="e">
        <f t="shared" si="40"/>
        <v>#REF!</v>
      </c>
      <c r="AA95" s="179" t="e">
        <f t="shared" si="40"/>
        <v>#REF!</v>
      </c>
      <c r="AB95" s="179" t="e">
        <f t="shared" si="40"/>
        <v>#REF!</v>
      </c>
      <c r="AC95" s="179" t="e">
        <f t="shared" si="40"/>
        <v>#REF!</v>
      </c>
      <c r="AD95" s="179" t="e">
        <f t="shared" si="40"/>
        <v>#REF!</v>
      </c>
      <c r="AE95" s="179" t="e">
        <f t="shared" si="40"/>
        <v>#REF!</v>
      </c>
      <c r="AF95" s="179" t="e">
        <f t="shared" si="40"/>
        <v>#REF!</v>
      </c>
      <c r="AG95" s="179" t="e">
        <f t="shared" si="40"/>
        <v>#REF!</v>
      </c>
    </row>
    <row r="96" spans="1:35">
      <c r="A96" s="173" t="str">
        <f>A89</f>
        <v>Maintenance</v>
      </c>
      <c r="B96" s="173" t="s">
        <v>313</v>
      </c>
      <c r="C96" s="179" t="e">
        <f t="shared" si="40"/>
        <v>#REF!</v>
      </c>
      <c r="D96" s="179" t="e">
        <f t="shared" si="40"/>
        <v>#REF!</v>
      </c>
      <c r="E96" s="179" t="e">
        <f t="shared" si="40"/>
        <v>#REF!</v>
      </c>
      <c r="F96" s="179" t="e">
        <f t="shared" si="40"/>
        <v>#REF!</v>
      </c>
      <c r="G96" s="179" t="e">
        <f t="shared" si="40"/>
        <v>#REF!</v>
      </c>
      <c r="H96" s="179" t="e">
        <f t="shared" si="40"/>
        <v>#REF!</v>
      </c>
      <c r="I96" s="179" t="e">
        <f t="shared" si="40"/>
        <v>#REF!</v>
      </c>
      <c r="J96" s="179" t="e">
        <f t="shared" si="40"/>
        <v>#REF!</v>
      </c>
      <c r="K96" s="179" t="e">
        <f t="shared" si="40"/>
        <v>#REF!</v>
      </c>
      <c r="L96" s="179" t="e">
        <f t="shared" si="40"/>
        <v>#REF!</v>
      </c>
      <c r="M96" s="179" t="e">
        <f t="shared" si="40"/>
        <v>#REF!</v>
      </c>
      <c r="N96" s="179" t="e">
        <f t="shared" si="40"/>
        <v>#REF!</v>
      </c>
      <c r="O96" s="179" t="e">
        <f t="shared" si="40"/>
        <v>#REF!</v>
      </c>
      <c r="P96" s="179" t="e">
        <f t="shared" si="40"/>
        <v>#REF!</v>
      </c>
      <c r="Q96" s="179" t="e">
        <f t="shared" si="40"/>
        <v>#REF!</v>
      </c>
      <c r="R96" s="179" t="e">
        <f t="shared" si="40"/>
        <v>#REF!</v>
      </c>
      <c r="S96" s="179" t="e">
        <f t="shared" si="40"/>
        <v>#REF!</v>
      </c>
      <c r="T96" s="179" t="e">
        <f t="shared" si="40"/>
        <v>#REF!</v>
      </c>
      <c r="U96" s="179" t="e">
        <f t="shared" si="40"/>
        <v>#REF!</v>
      </c>
      <c r="V96" s="179" t="e">
        <f t="shared" si="40"/>
        <v>#REF!</v>
      </c>
      <c r="W96" s="179" t="e">
        <f t="shared" si="40"/>
        <v>#REF!</v>
      </c>
      <c r="X96" s="179" t="e">
        <f t="shared" si="40"/>
        <v>#REF!</v>
      </c>
      <c r="Y96" s="179" t="e">
        <f t="shared" si="40"/>
        <v>#REF!</v>
      </c>
      <c r="Z96" s="179" t="e">
        <f t="shared" si="40"/>
        <v>#REF!</v>
      </c>
      <c r="AA96" s="179" t="e">
        <f t="shared" si="40"/>
        <v>#REF!</v>
      </c>
      <c r="AB96" s="179" t="e">
        <f t="shared" si="40"/>
        <v>#REF!</v>
      </c>
      <c r="AC96" s="179" t="e">
        <f t="shared" si="40"/>
        <v>#REF!</v>
      </c>
      <c r="AD96" s="179" t="e">
        <f t="shared" si="40"/>
        <v>#REF!</v>
      </c>
      <c r="AE96" s="179" t="e">
        <f t="shared" si="40"/>
        <v>#REF!</v>
      </c>
      <c r="AF96" s="179" t="e">
        <f t="shared" si="40"/>
        <v>#REF!</v>
      </c>
      <c r="AG96" s="179" t="e">
        <f t="shared" si="40"/>
        <v>#REF!</v>
      </c>
    </row>
    <row r="97" spans="1:35">
      <c r="A97" s="173" t="str">
        <f>A90</f>
        <v>Toll Tax</v>
      </c>
      <c r="B97" s="173" t="s">
        <v>313</v>
      </c>
      <c r="C97" s="179" t="e">
        <f t="shared" si="40"/>
        <v>#REF!</v>
      </c>
      <c r="D97" s="179" t="e">
        <f t="shared" si="40"/>
        <v>#REF!</v>
      </c>
      <c r="E97" s="179" t="e">
        <f t="shared" si="40"/>
        <v>#REF!</v>
      </c>
      <c r="F97" s="179" t="e">
        <f t="shared" si="40"/>
        <v>#REF!</v>
      </c>
      <c r="G97" s="179" t="e">
        <f t="shared" si="40"/>
        <v>#REF!</v>
      </c>
      <c r="H97" s="179" t="e">
        <f t="shared" si="40"/>
        <v>#REF!</v>
      </c>
      <c r="I97" s="179" t="e">
        <f t="shared" si="40"/>
        <v>#REF!</v>
      </c>
      <c r="J97" s="179" t="e">
        <f t="shared" si="40"/>
        <v>#REF!</v>
      </c>
      <c r="K97" s="179" t="e">
        <f t="shared" si="40"/>
        <v>#REF!</v>
      </c>
      <c r="L97" s="179" t="e">
        <f t="shared" si="40"/>
        <v>#REF!</v>
      </c>
      <c r="M97" s="179" t="e">
        <f t="shared" si="40"/>
        <v>#REF!</v>
      </c>
      <c r="N97" s="179" t="e">
        <f t="shared" si="40"/>
        <v>#REF!</v>
      </c>
      <c r="O97" s="179" t="e">
        <f t="shared" si="40"/>
        <v>#REF!</v>
      </c>
      <c r="P97" s="179" t="e">
        <f t="shared" si="40"/>
        <v>#REF!</v>
      </c>
      <c r="Q97" s="179" t="e">
        <f t="shared" si="40"/>
        <v>#REF!</v>
      </c>
      <c r="R97" s="179" t="e">
        <f t="shared" si="40"/>
        <v>#REF!</v>
      </c>
      <c r="S97" s="179" t="e">
        <f t="shared" si="40"/>
        <v>#REF!</v>
      </c>
      <c r="T97" s="179" t="e">
        <f t="shared" si="40"/>
        <v>#REF!</v>
      </c>
      <c r="U97" s="179" t="e">
        <f t="shared" si="40"/>
        <v>#REF!</v>
      </c>
      <c r="V97" s="179" t="e">
        <f t="shared" si="40"/>
        <v>#REF!</v>
      </c>
      <c r="W97" s="179" t="e">
        <f t="shared" si="40"/>
        <v>#REF!</v>
      </c>
      <c r="X97" s="179" t="e">
        <f t="shared" si="40"/>
        <v>#REF!</v>
      </c>
      <c r="Y97" s="179" t="e">
        <f t="shared" si="40"/>
        <v>#REF!</v>
      </c>
      <c r="Z97" s="179" t="e">
        <f t="shared" si="40"/>
        <v>#REF!</v>
      </c>
      <c r="AA97" s="179" t="e">
        <f t="shared" si="40"/>
        <v>#REF!</v>
      </c>
      <c r="AB97" s="179" t="e">
        <f t="shared" si="40"/>
        <v>#REF!</v>
      </c>
      <c r="AC97" s="179" t="e">
        <f t="shared" si="40"/>
        <v>#REF!</v>
      </c>
      <c r="AD97" s="179" t="e">
        <f t="shared" si="40"/>
        <v>#REF!</v>
      </c>
      <c r="AE97" s="179" t="e">
        <f t="shared" si="40"/>
        <v>#REF!</v>
      </c>
      <c r="AF97" s="179" t="e">
        <f t="shared" si="40"/>
        <v>#REF!</v>
      </c>
      <c r="AG97" s="179" t="e">
        <f t="shared" si="40"/>
        <v>#REF!</v>
      </c>
    </row>
    <row r="98" spans="1:35">
      <c r="A98" s="173" t="s">
        <v>319</v>
      </c>
      <c r="B98" s="173" t="s">
        <v>313</v>
      </c>
      <c r="C98" s="179" t="e">
        <f t="shared" si="40"/>
        <v>#REF!</v>
      </c>
      <c r="D98" s="179" t="e">
        <f t="shared" si="40"/>
        <v>#REF!</v>
      </c>
      <c r="E98" s="179" t="e">
        <f t="shared" si="40"/>
        <v>#REF!</v>
      </c>
      <c r="F98" s="179" t="e">
        <f t="shared" si="40"/>
        <v>#REF!</v>
      </c>
      <c r="G98" s="179" t="e">
        <f t="shared" si="40"/>
        <v>#REF!</v>
      </c>
      <c r="H98" s="179" t="e">
        <f t="shared" si="40"/>
        <v>#REF!</v>
      </c>
      <c r="I98" s="179" t="e">
        <f t="shared" si="40"/>
        <v>#REF!</v>
      </c>
      <c r="J98" s="179" t="e">
        <f t="shared" si="40"/>
        <v>#REF!</v>
      </c>
      <c r="K98" s="179" t="e">
        <f t="shared" si="40"/>
        <v>#REF!</v>
      </c>
      <c r="L98" s="179" t="e">
        <f t="shared" si="40"/>
        <v>#REF!</v>
      </c>
      <c r="M98" s="179" t="e">
        <f t="shared" si="40"/>
        <v>#REF!</v>
      </c>
      <c r="N98" s="179" t="e">
        <f t="shared" si="40"/>
        <v>#REF!</v>
      </c>
      <c r="O98" s="179" t="e">
        <f t="shared" si="40"/>
        <v>#REF!</v>
      </c>
      <c r="P98" s="179" t="e">
        <f t="shared" si="40"/>
        <v>#REF!</v>
      </c>
      <c r="Q98" s="179" t="e">
        <f t="shared" si="40"/>
        <v>#REF!</v>
      </c>
      <c r="R98" s="179" t="e">
        <f t="shared" si="40"/>
        <v>#REF!</v>
      </c>
      <c r="S98" s="179" t="e">
        <f t="shared" si="40"/>
        <v>#REF!</v>
      </c>
      <c r="T98" s="179" t="e">
        <f t="shared" si="40"/>
        <v>#REF!</v>
      </c>
      <c r="U98" s="179" t="e">
        <f t="shared" si="40"/>
        <v>#REF!</v>
      </c>
      <c r="V98" s="179" t="e">
        <f t="shared" si="40"/>
        <v>#REF!</v>
      </c>
      <c r="W98" s="179" t="e">
        <f t="shared" si="40"/>
        <v>#REF!</v>
      </c>
      <c r="X98" s="179" t="e">
        <f t="shared" si="40"/>
        <v>#REF!</v>
      </c>
      <c r="Y98" s="179" t="e">
        <f t="shared" si="40"/>
        <v>#REF!</v>
      </c>
      <c r="Z98" s="179" t="e">
        <f t="shared" si="40"/>
        <v>#REF!</v>
      </c>
      <c r="AA98" s="179" t="e">
        <f t="shared" si="40"/>
        <v>#REF!</v>
      </c>
      <c r="AB98" s="179" t="e">
        <f t="shared" si="40"/>
        <v>#REF!</v>
      </c>
      <c r="AC98" s="179" t="e">
        <f t="shared" si="40"/>
        <v>#REF!</v>
      </c>
      <c r="AD98" s="179" t="e">
        <f t="shared" si="40"/>
        <v>#REF!</v>
      </c>
      <c r="AE98" s="179" t="e">
        <f t="shared" si="40"/>
        <v>#REF!</v>
      </c>
      <c r="AF98" s="179" t="e">
        <f t="shared" si="40"/>
        <v>#REF!</v>
      </c>
      <c r="AG98" s="179" t="e">
        <f t="shared" si="40"/>
        <v>#REF!</v>
      </c>
    </row>
    <row r="99" spans="1:35" s="247" customFormat="1" ht="11.85" customHeight="1">
      <c r="A99" s="270" t="s">
        <v>320</v>
      </c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</row>
    <row r="100" spans="1:35">
      <c r="A100" s="173" t="s">
        <v>312</v>
      </c>
      <c r="B100" s="173" t="s">
        <v>300</v>
      </c>
      <c r="C100" s="179" t="e">
        <f t="shared" ref="C100:AG100" si="41">C93/($C$28*$C$27)</f>
        <v>#REF!</v>
      </c>
      <c r="D100" s="179" t="e">
        <f t="shared" si="41"/>
        <v>#REF!</v>
      </c>
      <c r="E100" s="179" t="e">
        <f t="shared" si="41"/>
        <v>#REF!</v>
      </c>
      <c r="F100" s="179" t="e">
        <f t="shared" si="41"/>
        <v>#REF!</v>
      </c>
      <c r="G100" s="179" t="e">
        <f t="shared" si="41"/>
        <v>#REF!</v>
      </c>
      <c r="H100" s="179" t="e">
        <f t="shared" si="41"/>
        <v>#REF!</v>
      </c>
      <c r="I100" s="179" t="e">
        <f t="shared" si="41"/>
        <v>#REF!</v>
      </c>
      <c r="J100" s="179" t="e">
        <f t="shared" si="41"/>
        <v>#REF!</v>
      </c>
      <c r="K100" s="179" t="e">
        <f t="shared" si="41"/>
        <v>#REF!</v>
      </c>
      <c r="L100" s="179" t="e">
        <f t="shared" si="41"/>
        <v>#REF!</v>
      </c>
      <c r="M100" s="179" t="e">
        <f t="shared" si="41"/>
        <v>#REF!</v>
      </c>
      <c r="N100" s="179" t="e">
        <f t="shared" si="41"/>
        <v>#REF!</v>
      </c>
      <c r="O100" s="179" t="e">
        <f t="shared" si="41"/>
        <v>#REF!</v>
      </c>
      <c r="P100" s="179" t="e">
        <f t="shared" si="41"/>
        <v>#REF!</v>
      </c>
      <c r="Q100" s="179" t="e">
        <f t="shared" si="41"/>
        <v>#REF!</v>
      </c>
      <c r="R100" s="179" t="e">
        <f t="shared" si="41"/>
        <v>#REF!</v>
      </c>
      <c r="S100" s="179" t="e">
        <f t="shared" si="41"/>
        <v>#REF!</v>
      </c>
      <c r="T100" s="179" t="e">
        <f t="shared" si="41"/>
        <v>#REF!</v>
      </c>
      <c r="U100" s="179" t="e">
        <f t="shared" si="41"/>
        <v>#REF!</v>
      </c>
      <c r="V100" s="179" t="e">
        <f t="shared" si="41"/>
        <v>#REF!</v>
      </c>
      <c r="W100" s="179" t="e">
        <f t="shared" si="41"/>
        <v>#REF!</v>
      </c>
      <c r="X100" s="179" t="e">
        <f t="shared" si="41"/>
        <v>#REF!</v>
      </c>
      <c r="Y100" s="179" t="e">
        <f t="shared" si="41"/>
        <v>#REF!</v>
      </c>
      <c r="Z100" s="179" t="e">
        <f t="shared" si="41"/>
        <v>#REF!</v>
      </c>
      <c r="AA100" s="179" t="e">
        <f t="shared" si="41"/>
        <v>#REF!</v>
      </c>
      <c r="AB100" s="179" t="e">
        <f t="shared" si="41"/>
        <v>#REF!</v>
      </c>
      <c r="AC100" s="179" t="e">
        <f t="shared" si="41"/>
        <v>#REF!</v>
      </c>
      <c r="AD100" s="179" t="e">
        <f t="shared" si="41"/>
        <v>#REF!</v>
      </c>
      <c r="AE100" s="179" t="e">
        <f t="shared" si="41"/>
        <v>#REF!</v>
      </c>
      <c r="AF100" s="179" t="e">
        <f t="shared" si="41"/>
        <v>#REF!</v>
      </c>
      <c r="AG100" s="179" t="e">
        <f t="shared" si="41"/>
        <v>#REF!</v>
      </c>
    </row>
    <row r="101" spans="1:35">
      <c r="A101" s="173" t="s">
        <v>321</v>
      </c>
      <c r="B101" s="173" t="s">
        <v>300</v>
      </c>
      <c r="C101" s="179" t="e">
        <f t="shared" ref="C101:AG101" si="42">(C94+C95)/($C$28*$C$27)</f>
        <v>#REF!</v>
      </c>
      <c r="D101" s="179" t="e">
        <f t="shared" si="42"/>
        <v>#REF!</v>
      </c>
      <c r="E101" s="179" t="e">
        <f t="shared" si="42"/>
        <v>#REF!</v>
      </c>
      <c r="F101" s="179" t="e">
        <f t="shared" si="42"/>
        <v>#REF!</v>
      </c>
      <c r="G101" s="179" t="e">
        <f t="shared" si="42"/>
        <v>#REF!</v>
      </c>
      <c r="H101" s="179" t="e">
        <f t="shared" si="42"/>
        <v>#REF!</v>
      </c>
      <c r="I101" s="179" t="e">
        <f t="shared" si="42"/>
        <v>#REF!</v>
      </c>
      <c r="J101" s="179" t="e">
        <f t="shared" si="42"/>
        <v>#REF!</v>
      </c>
      <c r="K101" s="179" t="e">
        <f t="shared" si="42"/>
        <v>#REF!</v>
      </c>
      <c r="L101" s="179" t="e">
        <f t="shared" si="42"/>
        <v>#REF!</v>
      </c>
      <c r="M101" s="179" t="e">
        <f t="shared" si="42"/>
        <v>#REF!</v>
      </c>
      <c r="N101" s="179" t="e">
        <f t="shared" si="42"/>
        <v>#REF!</v>
      </c>
      <c r="O101" s="179" t="e">
        <f t="shared" si="42"/>
        <v>#REF!</v>
      </c>
      <c r="P101" s="179" t="e">
        <f t="shared" si="42"/>
        <v>#REF!</v>
      </c>
      <c r="Q101" s="179" t="e">
        <f t="shared" si="42"/>
        <v>#REF!</v>
      </c>
      <c r="R101" s="179" t="e">
        <f t="shared" si="42"/>
        <v>#REF!</v>
      </c>
      <c r="S101" s="179" t="e">
        <f t="shared" si="42"/>
        <v>#REF!</v>
      </c>
      <c r="T101" s="179" t="e">
        <f t="shared" si="42"/>
        <v>#REF!</v>
      </c>
      <c r="U101" s="179" t="e">
        <f t="shared" si="42"/>
        <v>#REF!</v>
      </c>
      <c r="V101" s="179" t="e">
        <f t="shared" si="42"/>
        <v>#REF!</v>
      </c>
      <c r="W101" s="179" t="e">
        <f t="shared" si="42"/>
        <v>#REF!</v>
      </c>
      <c r="X101" s="179" t="e">
        <f t="shared" si="42"/>
        <v>#REF!</v>
      </c>
      <c r="Y101" s="179" t="e">
        <f t="shared" si="42"/>
        <v>#REF!</v>
      </c>
      <c r="Z101" s="179" t="e">
        <f t="shared" si="42"/>
        <v>#REF!</v>
      </c>
      <c r="AA101" s="179" t="e">
        <f t="shared" si="42"/>
        <v>#REF!</v>
      </c>
      <c r="AB101" s="179" t="e">
        <f t="shared" si="42"/>
        <v>#REF!</v>
      </c>
      <c r="AC101" s="179" t="e">
        <f t="shared" si="42"/>
        <v>#REF!</v>
      </c>
      <c r="AD101" s="179" t="e">
        <f t="shared" si="42"/>
        <v>#REF!</v>
      </c>
      <c r="AE101" s="179" t="e">
        <f t="shared" si="42"/>
        <v>#REF!</v>
      </c>
      <c r="AF101" s="179" t="e">
        <f t="shared" si="42"/>
        <v>#REF!</v>
      </c>
      <c r="AG101" s="179" t="e">
        <f t="shared" si="42"/>
        <v>#REF!</v>
      </c>
    </row>
    <row r="102" spans="1:35">
      <c r="A102" s="173" t="s">
        <v>322</v>
      </c>
      <c r="B102" s="173" t="s">
        <v>300</v>
      </c>
      <c r="C102" s="179" t="e">
        <f t="shared" ref="C102:AG102" si="43">(C96+C98+C70)/($C$28*$C$27)+C63</f>
        <v>#REF!</v>
      </c>
      <c r="D102" s="179" t="e">
        <f t="shared" si="43"/>
        <v>#REF!</v>
      </c>
      <c r="E102" s="179" t="e">
        <f t="shared" si="43"/>
        <v>#REF!</v>
      </c>
      <c r="F102" s="179" t="e">
        <f t="shared" si="43"/>
        <v>#REF!</v>
      </c>
      <c r="G102" s="179" t="e">
        <f t="shared" si="43"/>
        <v>#REF!</v>
      </c>
      <c r="H102" s="179" t="e">
        <f t="shared" si="43"/>
        <v>#REF!</v>
      </c>
      <c r="I102" s="179" t="e">
        <f t="shared" si="43"/>
        <v>#REF!</v>
      </c>
      <c r="J102" s="179" t="e">
        <f t="shared" si="43"/>
        <v>#REF!</v>
      </c>
      <c r="K102" s="179" t="e">
        <f t="shared" si="43"/>
        <v>#REF!</v>
      </c>
      <c r="L102" s="179" t="e">
        <f t="shared" si="43"/>
        <v>#REF!</v>
      </c>
      <c r="M102" s="179" t="e">
        <f t="shared" si="43"/>
        <v>#REF!</v>
      </c>
      <c r="N102" s="179" t="e">
        <f t="shared" si="43"/>
        <v>#REF!</v>
      </c>
      <c r="O102" s="179" t="e">
        <f t="shared" si="43"/>
        <v>#REF!</v>
      </c>
      <c r="P102" s="179" t="e">
        <f t="shared" si="43"/>
        <v>#REF!</v>
      </c>
      <c r="Q102" s="179" t="e">
        <f t="shared" si="43"/>
        <v>#REF!</v>
      </c>
      <c r="R102" s="179" t="e">
        <f t="shared" si="43"/>
        <v>#REF!</v>
      </c>
      <c r="S102" s="179" t="e">
        <f t="shared" si="43"/>
        <v>#REF!</v>
      </c>
      <c r="T102" s="179" t="e">
        <f t="shared" si="43"/>
        <v>#REF!</v>
      </c>
      <c r="U102" s="179" t="e">
        <f t="shared" si="43"/>
        <v>#REF!</v>
      </c>
      <c r="V102" s="179" t="e">
        <f t="shared" si="43"/>
        <v>#REF!</v>
      </c>
      <c r="W102" s="179" t="e">
        <f t="shared" si="43"/>
        <v>#REF!</v>
      </c>
      <c r="X102" s="179" t="e">
        <f t="shared" si="43"/>
        <v>#REF!</v>
      </c>
      <c r="Y102" s="179" t="e">
        <f t="shared" si="43"/>
        <v>#REF!</v>
      </c>
      <c r="Z102" s="179" t="e">
        <f t="shared" si="43"/>
        <v>#REF!</v>
      </c>
      <c r="AA102" s="179" t="e">
        <f t="shared" si="43"/>
        <v>#REF!</v>
      </c>
      <c r="AB102" s="179" t="e">
        <f t="shared" si="43"/>
        <v>#REF!</v>
      </c>
      <c r="AC102" s="179" t="e">
        <f t="shared" si="43"/>
        <v>#REF!</v>
      </c>
      <c r="AD102" s="179" t="e">
        <f t="shared" si="43"/>
        <v>#REF!</v>
      </c>
      <c r="AE102" s="179" t="e">
        <f t="shared" si="43"/>
        <v>#REF!</v>
      </c>
      <c r="AF102" s="179" t="e">
        <f t="shared" si="43"/>
        <v>#REF!</v>
      </c>
      <c r="AG102" s="179" t="e">
        <f t="shared" si="43"/>
        <v>#REF!</v>
      </c>
    </row>
    <row r="103" spans="1:35">
      <c r="C103" s="271" t="e">
        <f t="shared" ref="C103:AG103" si="44">SUM(C100:C102)</f>
        <v>#REF!</v>
      </c>
      <c r="D103" s="271" t="e">
        <f t="shared" si="44"/>
        <v>#REF!</v>
      </c>
      <c r="E103" s="271" t="e">
        <f t="shared" si="44"/>
        <v>#REF!</v>
      </c>
      <c r="F103" s="271" t="e">
        <f t="shared" si="44"/>
        <v>#REF!</v>
      </c>
      <c r="G103" s="271" t="e">
        <f t="shared" si="44"/>
        <v>#REF!</v>
      </c>
      <c r="H103" s="271" t="e">
        <f t="shared" si="44"/>
        <v>#REF!</v>
      </c>
      <c r="I103" s="271" t="e">
        <f t="shared" si="44"/>
        <v>#REF!</v>
      </c>
      <c r="J103" s="271" t="e">
        <f t="shared" si="44"/>
        <v>#REF!</v>
      </c>
      <c r="K103" s="271" t="e">
        <f t="shared" si="44"/>
        <v>#REF!</v>
      </c>
      <c r="L103" s="271" t="e">
        <f t="shared" si="44"/>
        <v>#REF!</v>
      </c>
      <c r="M103" s="271" t="e">
        <f t="shared" si="44"/>
        <v>#REF!</v>
      </c>
      <c r="N103" s="271" t="e">
        <f t="shared" si="44"/>
        <v>#REF!</v>
      </c>
      <c r="O103" s="271" t="e">
        <f t="shared" si="44"/>
        <v>#REF!</v>
      </c>
      <c r="P103" s="271" t="e">
        <f t="shared" si="44"/>
        <v>#REF!</v>
      </c>
      <c r="Q103" s="271" t="e">
        <f t="shared" si="44"/>
        <v>#REF!</v>
      </c>
      <c r="R103" s="271" t="e">
        <f t="shared" si="44"/>
        <v>#REF!</v>
      </c>
      <c r="S103" s="271" t="e">
        <f t="shared" si="44"/>
        <v>#REF!</v>
      </c>
      <c r="T103" s="271" t="e">
        <f t="shared" si="44"/>
        <v>#REF!</v>
      </c>
      <c r="U103" s="271" t="e">
        <f t="shared" si="44"/>
        <v>#REF!</v>
      </c>
      <c r="V103" s="271" t="e">
        <f t="shared" si="44"/>
        <v>#REF!</v>
      </c>
      <c r="W103" s="271" t="e">
        <f t="shared" si="44"/>
        <v>#REF!</v>
      </c>
      <c r="X103" s="271" t="e">
        <f t="shared" si="44"/>
        <v>#REF!</v>
      </c>
      <c r="Y103" s="271" t="e">
        <f t="shared" si="44"/>
        <v>#REF!</v>
      </c>
      <c r="Z103" s="271" t="e">
        <f t="shared" si="44"/>
        <v>#REF!</v>
      </c>
      <c r="AA103" s="271" t="e">
        <f t="shared" si="44"/>
        <v>#REF!</v>
      </c>
      <c r="AB103" s="271" t="e">
        <f t="shared" si="44"/>
        <v>#REF!</v>
      </c>
      <c r="AC103" s="271" t="e">
        <f t="shared" si="44"/>
        <v>#REF!</v>
      </c>
      <c r="AD103" s="271" t="e">
        <f t="shared" si="44"/>
        <v>#REF!</v>
      </c>
      <c r="AE103" s="271" t="e">
        <f t="shared" si="44"/>
        <v>#REF!</v>
      </c>
      <c r="AF103" s="271" t="e">
        <f t="shared" si="44"/>
        <v>#REF!</v>
      </c>
      <c r="AG103" s="271" t="e">
        <f t="shared" si="44"/>
        <v>#REF!</v>
      </c>
    </row>
    <row r="104" spans="1:35" s="225" customFormat="1">
      <c r="A104" s="223" t="s">
        <v>179</v>
      </c>
      <c r="B104" s="223"/>
      <c r="H104" s="272" t="e">
        <f>H107/K69</f>
        <v>#REF!</v>
      </c>
      <c r="AB104" s="272" t="e">
        <f>AB107/AE69</f>
        <v>#REF!</v>
      </c>
    </row>
    <row r="105" spans="1:35">
      <c r="A105" s="235" t="s">
        <v>41</v>
      </c>
      <c r="B105" s="235"/>
      <c r="C105" s="235">
        <v>2025</v>
      </c>
      <c r="D105" s="235">
        <f t="shared" ref="D105:AG105" si="45">C105+1</f>
        <v>2026</v>
      </c>
      <c r="E105" s="235">
        <f t="shared" si="45"/>
        <v>2027</v>
      </c>
      <c r="F105" s="235">
        <f t="shared" si="45"/>
        <v>2028</v>
      </c>
      <c r="G105" s="235">
        <f t="shared" si="45"/>
        <v>2029</v>
      </c>
      <c r="H105" s="235">
        <f t="shared" si="45"/>
        <v>2030</v>
      </c>
      <c r="I105" s="235">
        <f t="shared" si="45"/>
        <v>2031</v>
      </c>
      <c r="J105" s="235">
        <f t="shared" si="45"/>
        <v>2032</v>
      </c>
      <c r="K105" s="235">
        <f t="shared" si="45"/>
        <v>2033</v>
      </c>
      <c r="L105" s="235">
        <f t="shared" si="45"/>
        <v>2034</v>
      </c>
      <c r="M105" s="235">
        <f t="shared" si="45"/>
        <v>2035</v>
      </c>
      <c r="N105" s="235">
        <f t="shared" si="45"/>
        <v>2036</v>
      </c>
      <c r="O105" s="235">
        <f t="shared" si="45"/>
        <v>2037</v>
      </c>
      <c r="P105" s="235">
        <f t="shared" si="45"/>
        <v>2038</v>
      </c>
      <c r="Q105" s="235">
        <f t="shared" si="45"/>
        <v>2039</v>
      </c>
      <c r="R105" s="235">
        <f t="shared" si="45"/>
        <v>2040</v>
      </c>
      <c r="S105" s="235">
        <f t="shared" si="45"/>
        <v>2041</v>
      </c>
      <c r="T105" s="235">
        <f t="shared" si="45"/>
        <v>2042</v>
      </c>
      <c r="U105" s="235">
        <f t="shared" si="45"/>
        <v>2043</v>
      </c>
      <c r="V105" s="235">
        <f t="shared" si="45"/>
        <v>2044</v>
      </c>
      <c r="W105" s="235">
        <f t="shared" si="45"/>
        <v>2045</v>
      </c>
      <c r="X105" s="235">
        <f t="shared" si="45"/>
        <v>2046</v>
      </c>
      <c r="Y105" s="235">
        <f t="shared" si="45"/>
        <v>2047</v>
      </c>
      <c r="Z105" s="235">
        <f t="shared" si="45"/>
        <v>2048</v>
      </c>
      <c r="AA105" s="235">
        <f t="shared" si="45"/>
        <v>2049</v>
      </c>
      <c r="AB105" s="235">
        <f t="shared" si="45"/>
        <v>2050</v>
      </c>
      <c r="AC105" s="235">
        <f t="shared" si="45"/>
        <v>2051</v>
      </c>
      <c r="AD105" s="235">
        <f t="shared" si="45"/>
        <v>2052</v>
      </c>
      <c r="AE105" s="235">
        <f t="shared" si="45"/>
        <v>2053</v>
      </c>
      <c r="AF105" s="235">
        <f t="shared" si="45"/>
        <v>2054</v>
      </c>
      <c r="AG105" s="235">
        <f t="shared" si="45"/>
        <v>2055</v>
      </c>
    </row>
    <row r="106" spans="1:35" ht="15.6">
      <c r="A106" s="290" t="s">
        <v>415</v>
      </c>
      <c r="B106" s="173" t="s">
        <v>309</v>
      </c>
      <c r="C106" s="309" t="e">
        <f>#REF!</f>
        <v>#REF!</v>
      </c>
      <c r="D106" s="179" t="e">
        <f>ROUND((C106*(1+#REF!))/1000,0)*1000</f>
        <v>#REF!</v>
      </c>
      <c r="E106" s="179" t="e">
        <f>ROUND((D106*(1+#REF!))/1000,0)*1000</f>
        <v>#REF!</v>
      </c>
      <c r="F106" s="179" t="e">
        <f>ROUND((E106*(1+#REF!))/1000,0)*1000</f>
        <v>#REF!</v>
      </c>
      <c r="G106" s="179" t="e">
        <f>ROUND((F106*(1+#REF!))/1000,0)*1000</f>
        <v>#REF!</v>
      </c>
      <c r="H106" s="179" t="e">
        <f>ROUND((G106*(1+#REF!))/1000,0)*1000</f>
        <v>#REF!</v>
      </c>
      <c r="I106" s="179" t="e">
        <f>ROUND((H106*(1+#REF!))/1000,0)*1000</f>
        <v>#REF!</v>
      </c>
      <c r="J106" s="179" t="e">
        <f>ROUND((I106*(1+#REF!))/1000,0)*1000</f>
        <v>#REF!</v>
      </c>
      <c r="K106" s="179" t="e">
        <f>ROUND((J106*(1+#REF!))/1000,0)*1000</f>
        <v>#REF!</v>
      </c>
      <c r="L106" s="179" t="e">
        <f>ROUND((K106*(1+#REF!))/1000,0)*1000</f>
        <v>#REF!</v>
      </c>
      <c r="M106" s="179" t="e">
        <f>ROUND((L106*(1+#REF!))/1000,0)*1000</f>
        <v>#REF!</v>
      </c>
      <c r="N106" s="179" t="e">
        <f>ROUND((M106*(1+#REF!))/1000,0)*1000</f>
        <v>#REF!</v>
      </c>
      <c r="O106" s="179" t="e">
        <f>ROUND((N106*(1+#REF!))/1000,0)*1000</f>
        <v>#REF!</v>
      </c>
      <c r="P106" s="179" t="e">
        <f>ROUND((O106*(1+#REF!))/1000,0)*1000</f>
        <v>#REF!</v>
      </c>
      <c r="Q106" s="179" t="e">
        <f>ROUND((P106*(1+#REF!))/1000,0)*1000</f>
        <v>#REF!</v>
      </c>
      <c r="R106" s="179" t="e">
        <f>ROUND((Q106*(1+#REF!))/1000,0)*1000</f>
        <v>#REF!</v>
      </c>
      <c r="S106" s="179" t="e">
        <f>ROUND((R106*(1+#REF!))/1000,0)*1000</f>
        <v>#REF!</v>
      </c>
      <c r="T106" s="179" t="e">
        <f>ROUND((S106*(1+#REF!))/1000,0)*1000</f>
        <v>#REF!</v>
      </c>
      <c r="U106" s="179" t="e">
        <f>ROUND((T106*(1+#REF!))/1000,0)*1000</f>
        <v>#REF!</v>
      </c>
      <c r="V106" s="179" t="e">
        <f>ROUND((U106*(1+#REF!))/1000,0)*1000</f>
        <v>#REF!</v>
      </c>
      <c r="W106" s="179" t="e">
        <f>ROUND((V106*(1+#REF!))/1000,0)*1000</f>
        <v>#REF!</v>
      </c>
      <c r="X106" s="179" t="e">
        <f>ROUND((W106*(1+#REF!))/1000,0)*1000</f>
        <v>#REF!</v>
      </c>
      <c r="Y106" s="179" t="e">
        <f>ROUND((X106*(1+#REF!))/1000,0)*1000</f>
        <v>#REF!</v>
      </c>
      <c r="Z106" s="179" t="e">
        <f>ROUND((Y106*(1+#REF!))/1000,0)*1000</f>
        <v>#REF!</v>
      </c>
      <c r="AA106" s="179" t="e">
        <f>ROUND((Z106*(1+#REF!))/1000,0)*1000</f>
        <v>#REF!</v>
      </c>
      <c r="AB106" s="179" t="e">
        <f>ROUND((AA106*(1+#REF!))/1000,0)*1000</f>
        <v>#REF!</v>
      </c>
      <c r="AC106" s="179" t="e">
        <f>ROUND((AB106*(1+#REF!))/1000,0)*1000</f>
        <v>#REF!</v>
      </c>
      <c r="AD106" s="179" t="e">
        <f>ROUND((AC106*(1+#REF!))/1000,0)*1000</f>
        <v>#REF!</v>
      </c>
      <c r="AE106" s="179" t="e">
        <f>ROUND((AD106*(1+#REF!))/1000,0)*1000</f>
        <v>#REF!</v>
      </c>
      <c r="AF106" s="179" t="e">
        <f>ROUND((AE106*(1+#REF!))/1000,0)*1000</f>
        <v>#REF!</v>
      </c>
      <c r="AG106" s="179" t="e">
        <f>ROUND((AF106*(1+#REF!))/1000,0)*1000</f>
        <v>#REF!</v>
      </c>
      <c r="AH106" s="170">
        <v>0.03</v>
      </c>
      <c r="AI106" s="169" t="s">
        <v>416</v>
      </c>
    </row>
    <row r="107" spans="1:35" ht="15.6">
      <c r="A107" s="290" t="s">
        <v>324</v>
      </c>
      <c r="B107" s="173" t="s">
        <v>309</v>
      </c>
      <c r="C107" s="309" t="e">
        <f>C86+C106</f>
        <v>#REF!</v>
      </c>
      <c r="D107" s="309" t="e">
        <f>D86+D106</f>
        <v>#REF!</v>
      </c>
      <c r="E107" s="309" t="e">
        <f>E86+E106</f>
        <v>#REF!</v>
      </c>
      <c r="F107" s="309" t="e">
        <f t="shared" ref="F107:AG107" si="46">F86+F106</f>
        <v>#REF!</v>
      </c>
      <c r="G107" s="309" t="e">
        <f t="shared" si="46"/>
        <v>#REF!</v>
      </c>
      <c r="H107" s="309" t="e">
        <f t="shared" si="46"/>
        <v>#REF!</v>
      </c>
      <c r="I107" s="309" t="e">
        <f t="shared" si="46"/>
        <v>#REF!</v>
      </c>
      <c r="J107" s="309" t="e">
        <f t="shared" si="46"/>
        <v>#REF!</v>
      </c>
      <c r="K107" s="309" t="e">
        <f t="shared" si="46"/>
        <v>#REF!</v>
      </c>
      <c r="L107" s="309" t="e">
        <f t="shared" si="46"/>
        <v>#REF!</v>
      </c>
      <c r="M107" s="309" t="e">
        <f t="shared" si="46"/>
        <v>#REF!</v>
      </c>
      <c r="N107" s="309" t="e">
        <f t="shared" si="46"/>
        <v>#REF!</v>
      </c>
      <c r="O107" s="309" t="e">
        <f t="shared" si="46"/>
        <v>#REF!</v>
      </c>
      <c r="P107" s="309" t="e">
        <f t="shared" si="46"/>
        <v>#REF!</v>
      </c>
      <c r="Q107" s="309" t="e">
        <f t="shared" si="46"/>
        <v>#REF!</v>
      </c>
      <c r="R107" s="309" t="e">
        <f t="shared" si="46"/>
        <v>#REF!</v>
      </c>
      <c r="S107" s="309" t="e">
        <f t="shared" si="46"/>
        <v>#REF!</v>
      </c>
      <c r="T107" s="309" t="e">
        <f t="shared" si="46"/>
        <v>#REF!</v>
      </c>
      <c r="U107" s="309" t="e">
        <f t="shared" si="46"/>
        <v>#REF!</v>
      </c>
      <c r="V107" s="309" t="e">
        <f t="shared" si="46"/>
        <v>#REF!</v>
      </c>
      <c r="W107" s="309" t="e">
        <f t="shared" si="46"/>
        <v>#REF!</v>
      </c>
      <c r="X107" s="309" t="e">
        <f t="shared" si="46"/>
        <v>#REF!</v>
      </c>
      <c r="Y107" s="309" t="e">
        <f t="shared" si="46"/>
        <v>#REF!</v>
      </c>
      <c r="Z107" s="309" t="e">
        <f t="shared" si="46"/>
        <v>#REF!</v>
      </c>
      <c r="AA107" s="309" t="e">
        <f t="shared" si="46"/>
        <v>#REF!</v>
      </c>
      <c r="AB107" s="309" t="e">
        <f t="shared" si="46"/>
        <v>#REF!</v>
      </c>
      <c r="AC107" s="309" t="e">
        <f t="shared" si="46"/>
        <v>#REF!</v>
      </c>
      <c r="AD107" s="309" t="e">
        <f t="shared" si="46"/>
        <v>#REF!</v>
      </c>
      <c r="AE107" s="309" t="e">
        <f t="shared" si="46"/>
        <v>#REF!</v>
      </c>
      <c r="AF107" s="309" t="e">
        <f t="shared" si="46"/>
        <v>#REF!</v>
      </c>
      <c r="AG107" s="309" t="e">
        <f t="shared" si="46"/>
        <v>#REF!</v>
      </c>
      <c r="AH107" s="170">
        <v>0.03</v>
      </c>
      <c r="AI107" s="169" t="s">
        <v>416</v>
      </c>
    </row>
    <row r="108" spans="1:35">
      <c r="A108" s="173" t="s">
        <v>321</v>
      </c>
      <c r="B108" s="173" t="s">
        <v>309</v>
      </c>
      <c r="C108" s="179" t="e">
        <f t="shared" ref="C108:AG108" si="47">C41*$D$82</f>
        <v>#REF!</v>
      </c>
      <c r="D108" s="179" t="e">
        <f t="shared" si="47"/>
        <v>#REF!</v>
      </c>
      <c r="E108" s="179" t="e">
        <f t="shared" si="47"/>
        <v>#REF!</v>
      </c>
      <c r="F108" s="179" t="e">
        <f t="shared" si="47"/>
        <v>#REF!</v>
      </c>
      <c r="G108" s="179" t="e">
        <f t="shared" si="47"/>
        <v>#REF!</v>
      </c>
      <c r="H108" s="179" t="e">
        <f t="shared" si="47"/>
        <v>#REF!</v>
      </c>
      <c r="I108" s="179" t="e">
        <f t="shared" si="47"/>
        <v>#REF!</v>
      </c>
      <c r="J108" s="179" t="e">
        <f t="shared" si="47"/>
        <v>#REF!</v>
      </c>
      <c r="K108" s="179" t="e">
        <f t="shared" si="47"/>
        <v>#REF!</v>
      </c>
      <c r="L108" s="179" t="e">
        <f t="shared" si="47"/>
        <v>#REF!</v>
      </c>
      <c r="M108" s="179" t="e">
        <f t="shared" si="47"/>
        <v>#REF!</v>
      </c>
      <c r="N108" s="179" t="e">
        <f t="shared" si="47"/>
        <v>#REF!</v>
      </c>
      <c r="O108" s="179" t="e">
        <f t="shared" si="47"/>
        <v>#REF!</v>
      </c>
      <c r="P108" s="179" t="e">
        <f t="shared" si="47"/>
        <v>#REF!</v>
      </c>
      <c r="Q108" s="179" t="e">
        <f t="shared" si="47"/>
        <v>#REF!</v>
      </c>
      <c r="R108" s="179" t="e">
        <f t="shared" si="47"/>
        <v>#REF!</v>
      </c>
      <c r="S108" s="179" t="e">
        <f t="shared" si="47"/>
        <v>#REF!</v>
      </c>
      <c r="T108" s="179" t="e">
        <f t="shared" si="47"/>
        <v>#REF!</v>
      </c>
      <c r="U108" s="179" t="e">
        <f t="shared" si="47"/>
        <v>#REF!</v>
      </c>
      <c r="V108" s="179" t="e">
        <f t="shared" si="47"/>
        <v>#REF!</v>
      </c>
      <c r="W108" s="179" t="e">
        <f t="shared" si="47"/>
        <v>#REF!</v>
      </c>
      <c r="X108" s="179" t="e">
        <f t="shared" si="47"/>
        <v>#REF!</v>
      </c>
      <c r="Y108" s="179" t="e">
        <f t="shared" si="47"/>
        <v>#REF!</v>
      </c>
      <c r="Z108" s="179" t="e">
        <f t="shared" si="47"/>
        <v>#REF!</v>
      </c>
      <c r="AA108" s="179" t="e">
        <f t="shared" si="47"/>
        <v>#REF!</v>
      </c>
      <c r="AB108" s="179" t="e">
        <f t="shared" si="47"/>
        <v>#REF!</v>
      </c>
      <c r="AC108" s="179" t="e">
        <f t="shared" si="47"/>
        <v>#REF!</v>
      </c>
      <c r="AD108" s="179" t="e">
        <f t="shared" si="47"/>
        <v>#REF!</v>
      </c>
      <c r="AE108" s="179" t="e">
        <f t="shared" si="47"/>
        <v>#REF!</v>
      </c>
      <c r="AF108" s="179" t="e">
        <f t="shared" si="47"/>
        <v>#REF!</v>
      </c>
      <c r="AG108" s="179" t="e">
        <f t="shared" si="47"/>
        <v>#REF!</v>
      </c>
    </row>
    <row r="109" spans="1:35">
      <c r="A109" s="173" t="s">
        <v>317</v>
      </c>
      <c r="B109" s="173" t="s">
        <v>309</v>
      </c>
      <c r="C109" s="179" t="e">
        <f t="shared" ref="C109:AG109" si="48">C66*$C$27*$C$28</f>
        <v>#REF!</v>
      </c>
      <c r="D109" s="179" t="e">
        <f t="shared" si="48"/>
        <v>#REF!</v>
      </c>
      <c r="E109" s="179" t="e">
        <f t="shared" si="48"/>
        <v>#REF!</v>
      </c>
      <c r="F109" s="179" t="e">
        <f t="shared" si="48"/>
        <v>#REF!</v>
      </c>
      <c r="G109" s="179" t="e">
        <f t="shared" si="48"/>
        <v>#REF!</v>
      </c>
      <c r="H109" s="179" t="e">
        <f t="shared" si="48"/>
        <v>#REF!</v>
      </c>
      <c r="I109" s="179" t="e">
        <f t="shared" si="48"/>
        <v>#REF!</v>
      </c>
      <c r="J109" s="179" t="e">
        <f t="shared" si="48"/>
        <v>#REF!</v>
      </c>
      <c r="K109" s="179" t="e">
        <f t="shared" si="48"/>
        <v>#REF!</v>
      </c>
      <c r="L109" s="179" t="e">
        <f t="shared" si="48"/>
        <v>#REF!</v>
      </c>
      <c r="M109" s="179" t="e">
        <f t="shared" si="48"/>
        <v>#REF!</v>
      </c>
      <c r="N109" s="179" t="e">
        <f t="shared" si="48"/>
        <v>#REF!</v>
      </c>
      <c r="O109" s="179" t="e">
        <f t="shared" si="48"/>
        <v>#REF!</v>
      </c>
      <c r="P109" s="179" t="e">
        <f t="shared" si="48"/>
        <v>#REF!</v>
      </c>
      <c r="Q109" s="179" t="e">
        <f t="shared" si="48"/>
        <v>#REF!</v>
      </c>
      <c r="R109" s="179" t="e">
        <f t="shared" si="48"/>
        <v>#REF!</v>
      </c>
      <c r="S109" s="179" t="e">
        <f t="shared" si="48"/>
        <v>#REF!</v>
      </c>
      <c r="T109" s="179" t="e">
        <f t="shared" si="48"/>
        <v>#REF!</v>
      </c>
      <c r="U109" s="179" t="e">
        <f t="shared" si="48"/>
        <v>#REF!</v>
      </c>
      <c r="V109" s="179" t="e">
        <f t="shared" si="48"/>
        <v>#REF!</v>
      </c>
      <c r="W109" s="179" t="e">
        <f t="shared" si="48"/>
        <v>#REF!</v>
      </c>
      <c r="X109" s="179" t="e">
        <f t="shared" si="48"/>
        <v>#REF!</v>
      </c>
      <c r="Y109" s="179" t="e">
        <f t="shared" si="48"/>
        <v>#REF!</v>
      </c>
      <c r="Z109" s="179" t="e">
        <f t="shared" si="48"/>
        <v>#REF!</v>
      </c>
      <c r="AA109" s="179" t="e">
        <f t="shared" si="48"/>
        <v>#REF!</v>
      </c>
      <c r="AB109" s="179" t="e">
        <f t="shared" si="48"/>
        <v>#REF!</v>
      </c>
      <c r="AC109" s="179" t="e">
        <f t="shared" si="48"/>
        <v>#REF!</v>
      </c>
      <c r="AD109" s="179" t="e">
        <f t="shared" si="48"/>
        <v>#REF!</v>
      </c>
      <c r="AE109" s="179" t="e">
        <f t="shared" si="48"/>
        <v>#REF!</v>
      </c>
      <c r="AF109" s="179" t="e">
        <f t="shared" si="48"/>
        <v>#REF!</v>
      </c>
      <c r="AG109" s="179" t="e">
        <f t="shared" si="48"/>
        <v>#REF!</v>
      </c>
    </row>
    <row r="110" spans="1:35">
      <c r="A110" s="173" t="s">
        <v>319</v>
      </c>
      <c r="B110" s="173" t="s">
        <v>309</v>
      </c>
      <c r="C110" s="179" t="e">
        <f t="shared" ref="C110:AG110" si="49">C107*$C$34</f>
        <v>#REF!</v>
      </c>
      <c r="D110" s="179" t="e">
        <f t="shared" si="49"/>
        <v>#REF!</v>
      </c>
      <c r="E110" s="179" t="e">
        <f t="shared" si="49"/>
        <v>#REF!</v>
      </c>
      <c r="F110" s="179" t="e">
        <f t="shared" si="49"/>
        <v>#REF!</v>
      </c>
      <c r="G110" s="179" t="e">
        <f t="shared" si="49"/>
        <v>#REF!</v>
      </c>
      <c r="H110" s="179" t="e">
        <f t="shared" si="49"/>
        <v>#REF!</v>
      </c>
      <c r="I110" s="179" t="e">
        <f t="shared" si="49"/>
        <v>#REF!</v>
      </c>
      <c r="J110" s="179" t="e">
        <f t="shared" si="49"/>
        <v>#REF!</v>
      </c>
      <c r="K110" s="179" t="e">
        <f t="shared" si="49"/>
        <v>#REF!</v>
      </c>
      <c r="L110" s="179" t="e">
        <f t="shared" si="49"/>
        <v>#REF!</v>
      </c>
      <c r="M110" s="179" t="e">
        <f t="shared" si="49"/>
        <v>#REF!</v>
      </c>
      <c r="N110" s="179" t="e">
        <f t="shared" si="49"/>
        <v>#REF!</v>
      </c>
      <c r="O110" s="179" t="e">
        <f t="shared" si="49"/>
        <v>#REF!</v>
      </c>
      <c r="P110" s="179" t="e">
        <f t="shared" si="49"/>
        <v>#REF!</v>
      </c>
      <c r="Q110" s="179" t="e">
        <f t="shared" si="49"/>
        <v>#REF!</v>
      </c>
      <c r="R110" s="179" t="e">
        <f t="shared" si="49"/>
        <v>#REF!</v>
      </c>
      <c r="S110" s="179" t="e">
        <f t="shared" si="49"/>
        <v>#REF!</v>
      </c>
      <c r="T110" s="179" t="e">
        <f t="shared" si="49"/>
        <v>#REF!</v>
      </c>
      <c r="U110" s="179" t="e">
        <f t="shared" si="49"/>
        <v>#REF!</v>
      </c>
      <c r="V110" s="179" t="e">
        <f t="shared" si="49"/>
        <v>#REF!</v>
      </c>
      <c r="W110" s="179" t="e">
        <f t="shared" si="49"/>
        <v>#REF!</v>
      </c>
      <c r="X110" s="179" t="e">
        <f t="shared" si="49"/>
        <v>#REF!</v>
      </c>
      <c r="Y110" s="179" t="e">
        <f t="shared" si="49"/>
        <v>#REF!</v>
      </c>
      <c r="Z110" s="179" t="e">
        <f t="shared" si="49"/>
        <v>#REF!</v>
      </c>
      <c r="AA110" s="179" t="e">
        <f t="shared" si="49"/>
        <v>#REF!</v>
      </c>
      <c r="AB110" s="179" t="e">
        <f t="shared" si="49"/>
        <v>#REF!</v>
      </c>
      <c r="AC110" s="179" t="e">
        <f t="shared" si="49"/>
        <v>#REF!</v>
      </c>
      <c r="AD110" s="179" t="e">
        <f t="shared" si="49"/>
        <v>#REF!</v>
      </c>
      <c r="AE110" s="179" t="e">
        <f t="shared" si="49"/>
        <v>#REF!</v>
      </c>
      <c r="AF110" s="179" t="e">
        <f t="shared" si="49"/>
        <v>#REF!</v>
      </c>
      <c r="AG110" s="179" t="e">
        <f t="shared" si="49"/>
        <v>#REF!</v>
      </c>
    </row>
    <row r="111" spans="1:35" s="247" customFormat="1" ht="11.85" customHeight="1">
      <c r="A111" s="270" t="s">
        <v>414</v>
      </c>
    </row>
    <row r="112" spans="1:35">
      <c r="A112" s="173" t="s">
        <v>325</v>
      </c>
      <c r="B112" s="173" t="s">
        <v>313</v>
      </c>
      <c r="C112" s="179" t="e">
        <f t="shared" ref="C112:AG112" si="50">-PMT($C$33,$C$31,C107)</f>
        <v>#REF!</v>
      </c>
      <c r="D112" s="179" t="e">
        <f t="shared" si="50"/>
        <v>#REF!</v>
      </c>
      <c r="E112" s="179" t="e">
        <f t="shared" si="50"/>
        <v>#REF!</v>
      </c>
      <c r="F112" s="179" t="e">
        <f t="shared" si="50"/>
        <v>#REF!</v>
      </c>
      <c r="G112" s="179" t="e">
        <f t="shared" si="50"/>
        <v>#REF!</v>
      </c>
      <c r="H112" s="179" t="e">
        <f t="shared" si="50"/>
        <v>#REF!</v>
      </c>
      <c r="I112" s="179" t="e">
        <f t="shared" si="50"/>
        <v>#REF!</v>
      </c>
      <c r="J112" s="179" t="e">
        <f t="shared" si="50"/>
        <v>#REF!</v>
      </c>
      <c r="K112" s="179" t="e">
        <f t="shared" si="50"/>
        <v>#REF!</v>
      </c>
      <c r="L112" s="179" t="e">
        <f t="shared" si="50"/>
        <v>#REF!</v>
      </c>
      <c r="M112" s="179" t="e">
        <f t="shared" si="50"/>
        <v>#REF!</v>
      </c>
      <c r="N112" s="179" t="e">
        <f t="shared" si="50"/>
        <v>#REF!</v>
      </c>
      <c r="O112" s="179" t="e">
        <f t="shared" si="50"/>
        <v>#REF!</v>
      </c>
      <c r="P112" s="179" t="e">
        <f t="shared" si="50"/>
        <v>#REF!</v>
      </c>
      <c r="Q112" s="179" t="e">
        <f t="shared" si="50"/>
        <v>#REF!</v>
      </c>
      <c r="R112" s="179" t="e">
        <f t="shared" si="50"/>
        <v>#REF!</v>
      </c>
      <c r="S112" s="179" t="e">
        <f t="shared" si="50"/>
        <v>#REF!</v>
      </c>
      <c r="T112" s="179" t="e">
        <f t="shared" si="50"/>
        <v>#REF!</v>
      </c>
      <c r="U112" s="179" t="e">
        <f t="shared" si="50"/>
        <v>#REF!</v>
      </c>
      <c r="V112" s="179" t="e">
        <f t="shared" si="50"/>
        <v>#REF!</v>
      </c>
      <c r="W112" s="179" t="e">
        <f t="shared" si="50"/>
        <v>#REF!</v>
      </c>
      <c r="X112" s="179" t="e">
        <f t="shared" si="50"/>
        <v>#REF!</v>
      </c>
      <c r="Y112" s="179" t="e">
        <f t="shared" si="50"/>
        <v>#REF!</v>
      </c>
      <c r="Z112" s="179" t="e">
        <f t="shared" si="50"/>
        <v>#REF!</v>
      </c>
      <c r="AA112" s="179" t="e">
        <f t="shared" si="50"/>
        <v>#REF!</v>
      </c>
      <c r="AB112" s="179" t="e">
        <f t="shared" si="50"/>
        <v>#REF!</v>
      </c>
      <c r="AC112" s="179" t="e">
        <f t="shared" si="50"/>
        <v>#REF!</v>
      </c>
      <c r="AD112" s="179" t="e">
        <f t="shared" si="50"/>
        <v>#REF!</v>
      </c>
      <c r="AE112" s="179" t="e">
        <f t="shared" si="50"/>
        <v>#REF!</v>
      </c>
      <c r="AF112" s="179" t="e">
        <f t="shared" si="50"/>
        <v>#REF!</v>
      </c>
      <c r="AG112" s="179" t="e">
        <f t="shared" si="50"/>
        <v>#REF!</v>
      </c>
    </row>
    <row r="113" spans="1:33">
      <c r="A113" s="173" t="s">
        <v>321</v>
      </c>
      <c r="B113" s="173" t="s">
        <v>313</v>
      </c>
      <c r="C113" s="179" t="e">
        <f t="shared" ref="C113:AG115" si="51">C108</f>
        <v>#REF!</v>
      </c>
      <c r="D113" s="179" t="e">
        <f t="shared" si="51"/>
        <v>#REF!</v>
      </c>
      <c r="E113" s="179" t="e">
        <f t="shared" si="51"/>
        <v>#REF!</v>
      </c>
      <c r="F113" s="179" t="e">
        <f t="shared" si="51"/>
        <v>#REF!</v>
      </c>
      <c r="G113" s="179" t="e">
        <f t="shared" si="51"/>
        <v>#REF!</v>
      </c>
      <c r="H113" s="179" t="e">
        <f t="shared" si="51"/>
        <v>#REF!</v>
      </c>
      <c r="I113" s="179" t="e">
        <f t="shared" si="51"/>
        <v>#REF!</v>
      </c>
      <c r="J113" s="179" t="e">
        <f t="shared" si="51"/>
        <v>#REF!</v>
      </c>
      <c r="K113" s="179" t="e">
        <f t="shared" si="51"/>
        <v>#REF!</v>
      </c>
      <c r="L113" s="179" t="e">
        <f t="shared" si="51"/>
        <v>#REF!</v>
      </c>
      <c r="M113" s="179" t="e">
        <f t="shared" si="51"/>
        <v>#REF!</v>
      </c>
      <c r="N113" s="179" t="e">
        <f t="shared" si="51"/>
        <v>#REF!</v>
      </c>
      <c r="O113" s="179" t="e">
        <f t="shared" si="51"/>
        <v>#REF!</v>
      </c>
      <c r="P113" s="179" t="e">
        <f t="shared" si="51"/>
        <v>#REF!</v>
      </c>
      <c r="Q113" s="179" t="e">
        <f t="shared" si="51"/>
        <v>#REF!</v>
      </c>
      <c r="R113" s="179" t="e">
        <f t="shared" si="51"/>
        <v>#REF!</v>
      </c>
      <c r="S113" s="179" t="e">
        <f t="shared" si="51"/>
        <v>#REF!</v>
      </c>
      <c r="T113" s="179" t="e">
        <f t="shared" si="51"/>
        <v>#REF!</v>
      </c>
      <c r="U113" s="179" t="e">
        <f t="shared" si="51"/>
        <v>#REF!</v>
      </c>
      <c r="V113" s="179" t="e">
        <f t="shared" si="51"/>
        <v>#REF!</v>
      </c>
      <c r="W113" s="179" t="e">
        <f t="shared" si="51"/>
        <v>#REF!</v>
      </c>
      <c r="X113" s="179" t="e">
        <f t="shared" si="51"/>
        <v>#REF!</v>
      </c>
      <c r="Y113" s="179" t="e">
        <f t="shared" si="51"/>
        <v>#REF!</v>
      </c>
      <c r="Z113" s="179" t="e">
        <f t="shared" si="51"/>
        <v>#REF!</v>
      </c>
      <c r="AA113" s="179" t="e">
        <f t="shared" si="51"/>
        <v>#REF!</v>
      </c>
      <c r="AB113" s="179" t="e">
        <f t="shared" si="51"/>
        <v>#REF!</v>
      </c>
      <c r="AC113" s="179" t="e">
        <f t="shared" si="51"/>
        <v>#REF!</v>
      </c>
      <c r="AD113" s="179" t="e">
        <f t="shared" si="51"/>
        <v>#REF!</v>
      </c>
      <c r="AE113" s="179" t="e">
        <f t="shared" si="51"/>
        <v>#REF!</v>
      </c>
      <c r="AF113" s="179" t="e">
        <f t="shared" si="51"/>
        <v>#REF!</v>
      </c>
      <c r="AG113" s="179" t="e">
        <f t="shared" si="51"/>
        <v>#REF!</v>
      </c>
    </row>
    <row r="114" spans="1:33">
      <c r="A114" s="173" t="s">
        <v>317</v>
      </c>
      <c r="B114" s="173" t="s">
        <v>313</v>
      </c>
      <c r="C114" s="179" t="e">
        <f>C109</f>
        <v>#REF!</v>
      </c>
      <c r="D114" s="179" t="e">
        <f t="shared" si="51"/>
        <v>#REF!</v>
      </c>
      <c r="E114" s="179" t="e">
        <f t="shared" si="51"/>
        <v>#REF!</v>
      </c>
      <c r="F114" s="179" t="e">
        <f t="shared" si="51"/>
        <v>#REF!</v>
      </c>
      <c r="G114" s="179" t="e">
        <f t="shared" si="51"/>
        <v>#REF!</v>
      </c>
      <c r="H114" s="179" t="e">
        <f t="shared" si="51"/>
        <v>#REF!</v>
      </c>
      <c r="I114" s="179" t="e">
        <f t="shared" si="51"/>
        <v>#REF!</v>
      </c>
      <c r="J114" s="179" t="e">
        <f t="shared" si="51"/>
        <v>#REF!</v>
      </c>
      <c r="K114" s="179" t="e">
        <f t="shared" si="51"/>
        <v>#REF!</v>
      </c>
      <c r="L114" s="179" t="e">
        <f t="shared" si="51"/>
        <v>#REF!</v>
      </c>
      <c r="M114" s="179" t="e">
        <f t="shared" si="51"/>
        <v>#REF!</v>
      </c>
      <c r="N114" s="179" t="e">
        <f t="shared" si="51"/>
        <v>#REF!</v>
      </c>
      <c r="O114" s="179" t="e">
        <f t="shared" si="51"/>
        <v>#REF!</v>
      </c>
      <c r="P114" s="179" t="e">
        <f t="shared" si="51"/>
        <v>#REF!</v>
      </c>
      <c r="Q114" s="179" t="e">
        <f t="shared" si="51"/>
        <v>#REF!</v>
      </c>
      <c r="R114" s="179" t="e">
        <f t="shared" si="51"/>
        <v>#REF!</v>
      </c>
      <c r="S114" s="179" t="e">
        <f t="shared" si="51"/>
        <v>#REF!</v>
      </c>
      <c r="T114" s="179" t="e">
        <f t="shared" si="51"/>
        <v>#REF!</v>
      </c>
      <c r="U114" s="179" t="e">
        <f t="shared" si="51"/>
        <v>#REF!</v>
      </c>
      <c r="V114" s="179" t="e">
        <f t="shared" si="51"/>
        <v>#REF!</v>
      </c>
      <c r="W114" s="179" t="e">
        <f t="shared" si="51"/>
        <v>#REF!</v>
      </c>
      <c r="X114" s="179" t="e">
        <f t="shared" si="51"/>
        <v>#REF!</v>
      </c>
      <c r="Y114" s="179" t="e">
        <f t="shared" si="51"/>
        <v>#REF!</v>
      </c>
      <c r="Z114" s="179" t="e">
        <f t="shared" si="51"/>
        <v>#REF!</v>
      </c>
      <c r="AA114" s="179" t="e">
        <f t="shared" si="51"/>
        <v>#REF!</v>
      </c>
      <c r="AB114" s="179" t="e">
        <f t="shared" si="51"/>
        <v>#REF!</v>
      </c>
      <c r="AC114" s="179" t="e">
        <f t="shared" si="51"/>
        <v>#REF!</v>
      </c>
      <c r="AD114" s="179" t="e">
        <f t="shared" si="51"/>
        <v>#REF!</v>
      </c>
      <c r="AE114" s="179" t="e">
        <f t="shared" si="51"/>
        <v>#REF!</v>
      </c>
      <c r="AF114" s="179" t="e">
        <f t="shared" si="51"/>
        <v>#REF!</v>
      </c>
      <c r="AG114" s="179" t="e">
        <f t="shared" si="51"/>
        <v>#REF!</v>
      </c>
    </row>
    <row r="115" spans="1:33">
      <c r="A115" s="173" t="s">
        <v>319</v>
      </c>
      <c r="B115" s="173" t="s">
        <v>313</v>
      </c>
      <c r="C115" s="179" t="e">
        <f>C110</f>
        <v>#REF!</v>
      </c>
      <c r="D115" s="179" t="e">
        <f t="shared" si="51"/>
        <v>#REF!</v>
      </c>
      <c r="E115" s="179" t="e">
        <f t="shared" si="51"/>
        <v>#REF!</v>
      </c>
      <c r="F115" s="179" t="e">
        <f t="shared" si="51"/>
        <v>#REF!</v>
      </c>
      <c r="G115" s="179" t="e">
        <f t="shared" si="51"/>
        <v>#REF!</v>
      </c>
      <c r="H115" s="179" t="e">
        <f t="shared" si="51"/>
        <v>#REF!</v>
      </c>
      <c r="I115" s="179" t="e">
        <f t="shared" si="51"/>
        <v>#REF!</v>
      </c>
      <c r="J115" s="179" t="e">
        <f t="shared" si="51"/>
        <v>#REF!</v>
      </c>
      <c r="K115" s="179" t="e">
        <f t="shared" si="51"/>
        <v>#REF!</v>
      </c>
      <c r="L115" s="179" t="e">
        <f t="shared" si="51"/>
        <v>#REF!</v>
      </c>
      <c r="M115" s="179" t="e">
        <f t="shared" si="51"/>
        <v>#REF!</v>
      </c>
      <c r="N115" s="179" t="e">
        <f t="shared" si="51"/>
        <v>#REF!</v>
      </c>
      <c r="O115" s="179" t="e">
        <f t="shared" si="51"/>
        <v>#REF!</v>
      </c>
      <c r="P115" s="179" t="e">
        <f t="shared" si="51"/>
        <v>#REF!</v>
      </c>
      <c r="Q115" s="179" t="e">
        <f t="shared" si="51"/>
        <v>#REF!</v>
      </c>
      <c r="R115" s="179" t="e">
        <f t="shared" si="51"/>
        <v>#REF!</v>
      </c>
      <c r="S115" s="179" t="e">
        <f t="shared" si="51"/>
        <v>#REF!</v>
      </c>
      <c r="T115" s="179" t="e">
        <f t="shared" si="51"/>
        <v>#REF!</v>
      </c>
      <c r="U115" s="179" t="e">
        <f t="shared" si="51"/>
        <v>#REF!</v>
      </c>
      <c r="V115" s="179" t="e">
        <f t="shared" si="51"/>
        <v>#REF!</v>
      </c>
      <c r="W115" s="179" t="e">
        <f t="shared" si="51"/>
        <v>#REF!</v>
      </c>
      <c r="X115" s="179" t="e">
        <f t="shared" si="51"/>
        <v>#REF!</v>
      </c>
      <c r="Y115" s="179" t="e">
        <f t="shared" si="51"/>
        <v>#REF!</v>
      </c>
      <c r="Z115" s="179" t="e">
        <f t="shared" si="51"/>
        <v>#REF!</v>
      </c>
      <c r="AA115" s="179" t="e">
        <f t="shared" si="51"/>
        <v>#REF!</v>
      </c>
      <c r="AB115" s="179" t="e">
        <f t="shared" si="51"/>
        <v>#REF!</v>
      </c>
      <c r="AC115" s="179" t="e">
        <f t="shared" si="51"/>
        <v>#REF!</v>
      </c>
      <c r="AD115" s="179" t="e">
        <f t="shared" si="51"/>
        <v>#REF!</v>
      </c>
      <c r="AE115" s="179" t="e">
        <f t="shared" si="51"/>
        <v>#REF!</v>
      </c>
      <c r="AF115" s="179" t="e">
        <f t="shared" si="51"/>
        <v>#REF!</v>
      </c>
      <c r="AG115" s="179" t="e">
        <f t="shared" si="51"/>
        <v>#REF!</v>
      </c>
    </row>
    <row r="116" spans="1:33" s="247" customFormat="1" ht="11.85" customHeight="1">
      <c r="A116" s="270" t="s">
        <v>320</v>
      </c>
    </row>
    <row r="117" spans="1:33">
      <c r="A117" s="173" t="s">
        <v>325</v>
      </c>
      <c r="B117" s="173" t="s">
        <v>300</v>
      </c>
      <c r="C117" s="179" t="e">
        <f t="shared" ref="C117:AG118" si="52">C112/($C$28*$C$27)</f>
        <v>#REF!</v>
      </c>
      <c r="D117" s="179" t="e">
        <f t="shared" si="52"/>
        <v>#REF!</v>
      </c>
      <c r="E117" s="179" t="e">
        <f t="shared" si="52"/>
        <v>#REF!</v>
      </c>
      <c r="F117" s="179" t="e">
        <f t="shared" si="52"/>
        <v>#REF!</v>
      </c>
      <c r="G117" s="179" t="e">
        <f t="shared" si="52"/>
        <v>#REF!</v>
      </c>
      <c r="H117" s="179" t="e">
        <f t="shared" si="52"/>
        <v>#REF!</v>
      </c>
      <c r="I117" s="179" t="e">
        <f t="shared" si="52"/>
        <v>#REF!</v>
      </c>
      <c r="J117" s="179" t="e">
        <f t="shared" si="52"/>
        <v>#REF!</v>
      </c>
      <c r="K117" s="179" t="e">
        <f t="shared" si="52"/>
        <v>#REF!</v>
      </c>
      <c r="L117" s="179" t="e">
        <f t="shared" si="52"/>
        <v>#REF!</v>
      </c>
      <c r="M117" s="179" t="e">
        <f t="shared" si="52"/>
        <v>#REF!</v>
      </c>
      <c r="N117" s="179" t="e">
        <f t="shared" si="52"/>
        <v>#REF!</v>
      </c>
      <c r="O117" s="179" t="e">
        <f t="shared" si="52"/>
        <v>#REF!</v>
      </c>
      <c r="P117" s="179" t="e">
        <f t="shared" si="52"/>
        <v>#REF!</v>
      </c>
      <c r="Q117" s="179" t="e">
        <f t="shared" si="52"/>
        <v>#REF!</v>
      </c>
      <c r="R117" s="179" t="e">
        <f t="shared" si="52"/>
        <v>#REF!</v>
      </c>
      <c r="S117" s="179" t="e">
        <f t="shared" si="52"/>
        <v>#REF!</v>
      </c>
      <c r="T117" s="179" t="e">
        <f t="shared" si="52"/>
        <v>#REF!</v>
      </c>
      <c r="U117" s="179" t="e">
        <f t="shared" si="52"/>
        <v>#REF!</v>
      </c>
      <c r="V117" s="179" t="e">
        <f t="shared" si="52"/>
        <v>#REF!</v>
      </c>
      <c r="W117" s="179" t="e">
        <f t="shared" si="52"/>
        <v>#REF!</v>
      </c>
      <c r="X117" s="179" t="e">
        <f t="shared" si="52"/>
        <v>#REF!</v>
      </c>
      <c r="Y117" s="179" t="e">
        <f t="shared" si="52"/>
        <v>#REF!</v>
      </c>
      <c r="Z117" s="179" t="e">
        <f t="shared" si="52"/>
        <v>#REF!</v>
      </c>
      <c r="AA117" s="179" t="e">
        <f t="shared" si="52"/>
        <v>#REF!</v>
      </c>
      <c r="AB117" s="179" t="e">
        <f t="shared" si="52"/>
        <v>#REF!</v>
      </c>
      <c r="AC117" s="179" t="e">
        <f t="shared" si="52"/>
        <v>#REF!</v>
      </c>
      <c r="AD117" s="179" t="e">
        <f t="shared" si="52"/>
        <v>#REF!</v>
      </c>
      <c r="AE117" s="179" t="e">
        <f t="shared" si="52"/>
        <v>#REF!</v>
      </c>
      <c r="AF117" s="179" t="e">
        <f t="shared" si="52"/>
        <v>#REF!</v>
      </c>
      <c r="AG117" s="179" t="e">
        <f t="shared" si="52"/>
        <v>#REF!</v>
      </c>
    </row>
    <row r="118" spans="1:33">
      <c r="A118" s="173" t="s">
        <v>321</v>
      </c>
      <c r="B118" s="173" t="s">
        <v>300</v>
      </c>
      <c r="C118" s="179" t="e">
        <f t="shared" si="52"/>
        <v>#REF!</v>
      </c>
      <c r="D118" s="179" t="e">
        <f t="shared" si="52"/>
        <v>#REF!</v>
      </c>
      <c r="E118" s="179" t="e">
        <f t="shared" si="52"/>
        <v>#REF!</v>
      </c>
      <c r="F118" s="179" t="e">
        <f t="shared" si="52"/>
        <v>#REF!</v>
      </c>
      <c r="G118" s="179" t="e">
        <f t="shared" si="52"/>
        <v>#REF!</v>
      </c>
      <c r="H118" s="179" t="e">
        <f t="shared" si="52"/>
        <v>#REF!</v>
      </c>
      <c r="I118" s="179" t="e">
        <f t="shared" si="52"/>
        <v>#REF!</v>
      </c>
      <c r="J118" s="179" t="e">
        <f t="shared" si="52"/>
        <v>#REF!</v>
      </c>
      <c r="K118" s="179" t="e">
        <f t="shared" si="52"/>
        <v>#REF!</v>
      </c>
      <c r="L118" s="179" t="e">
        <f t="shared" si="52"/>
        <v>#REF!</v>
      </c>
      <c r="M118" s="179" t="e">
        <f t="shared" si="52"/>
        <v>#REF!</v>
      </c>
      <c r="N118" s="179" t="e">
        <f t="shared" si="52"/>
        <v>#REF!</v>
      </c>
      <c r="O118" s="179" t="e">
        <f t="shared" si="52"/>
        <v>#REF!</v>
      </c>
      <c r="P118" s="179" t="e">
        <f t="shared" si="52"/>
        <v>#REF!</v>
      </c>
      <c r="Q118" s="179" t="e">
        <f t="shared" si="52"/>
        <v>#REF!</v>
      </c>
      <c r="R118" s="179" t="e">
        <f t="shared" si="52"/>
        <v>#REF!</v>
      </c>
      <c r="S118" s="179" t="e">
        <f t="shared" si="52"/>
        <v>#REF!</v>
      </c>
      <c r="T118" s="179" t="e">
        <f t="shared" si="52"/>
        <v>#REF!</v>
      </c>
      <c r="U118" s="179" t="e">
        <f t="shared" si="52"/>
        <v>#REF!</v>
      </c>
      <c r="V118" s="179" t="e">
        <f t="shared" si="52"/>
        <v>#REF!</v>
      </c>
      <c r="W118" s="179" t="e">
        <f t="shared" si="52"/>
        <v>#REF!</v>
      </c>
      <c r="X118" s="179" t="e">
        <f t="shared" si="52"/>
        <v>#REF!</v>
      </c>
      <c r="Y118" s="179" t="e">
        <f t="shared" si="52"/>
        <v>#REF!</v>
      </c>
      <c r="Z118" s="179" t="e">
        <f t="shared" si="52"/>
        <v>#REF!</v>
      </c>
      <c r="AA118" s="179" t="e">
        <f t="shared" si="52"/>
        <v>#REF!</v>
      </c>
      <c r="AB118" s="179" t="e">
        <f t="shared" si="52"/>
        <v>#REF!</v>
      </c>
      <c r="AC118" s="179" t="e">
        <f t="shared" si="52"/>
        <v>#REF!</v>
      </c>
      <c r="AD118" s="179" t="e">
        <f t="shared" si="52"/>
        <v>#REF!</v>
      </c>
      <c r="AE118" s="179" t="e">
        <f t="shared" si="52"/>
        <v>#REF!</v>
      </c>
      <c r="AF118" s="179" t="e">
        <f t="shared" si="52"/>
        <v>#REF!</v>
      </c>
      <c r="AG118" s="179" t="e">
        <f t="shared" si="52"/>
        <v>#REF!</v>
      </c>
    </row>
    <row r="119" spans="1:33">
      <c r="A119" s="173" t="s">
        <v>322</v>
      </c>
      <c r="B119" s="173" t="s">
        <v>300</v>
      </c>
      <c r="C119" s="179" t="e">
        <f t="shared" ref="C119:AG119" si="53">(C114+C115+C70)/($C$28*$C$27)+C63</f>
        <v>#REF!</v>
      </c>
      <c r="D119" s="179" t="e">
        <f t="shared" si="53"/>
        <v>#REF!</v>
      </c>
      <c r="E119" s="179" t="e">
        <f t="shared" si="53"/>
        <v>#REF!</v>
      </c>
      <c r="F119" s="179" t="e">
        <f t="shared" si="53"/>
        <v>#REF!</v>
      </c>
      <c r="G119" s="179" t="e">
        <f t="shared" si="53"/>
        <v>#REF!</v>
      </c>
      <c r="H119" s="179" t="e">
        <f t="shared" si="53"/>
        <v>#REF!</v>
      </c>
      <c r="I119" s="179" t="e">
        <f t="shared" si="53"/>
        <v>#REF!</v>
      </c>
      <c r="J119" s="179" t="e">
        <f t="shared" si="53"/>
        <v>#REF!</v>
      </c>
      <c r="K119" s="179" t="e">
        <f t="shared" si="53"/>
        <v>#REF!</v>
      </c>
      <c r="L119" s="179" t="e">
        <f t="shared" si="53"/>
        <v>#REF!</v>
      </c>
      <c r="M119" s="179" t="e">
        <f t="shared" si="53"/>
        <v>#REF!</v>
      </c>
      <c r="N119" s="179" t="e">
        <f t="shared" si="53"/>
        <v>#REF!</v>
      </c>
      <c r="O119" s="179" t="e">
        <f t="shared" si="53"/>
        <v>#REF!</v>
      </c>
      <c r="P119" s="179" t="e">
        <f t="shared" si="53"/>
        <v>#REF!</v>
      </c>
      <c r="Q119" s="179" t="e">
        <f t="shared" si="53"/>
        <v>#REF!</v>
      </c>
      <c r="R119" s="179" t="e">
        <f t="shared" si="53"/>
        <v>#REF!</v>
      </c>
      <c r="S119" s="179" t="e">
        <f t="shared" si="53"/>
        <v>#REF!</v>
      </c>
      <c r="T119" s="179" t="e">
        <f t="shared" si="53"/>
        <v>#REF!</v>
      </c>
      <c r="U119" s="179" t="e">
        <f t="shared" si="53"/>
        <v>#REF!</v>
      </c>
      <c r="V119" s="179" t="e">
        <f t="shared" si="53"/>
        <v>#REF!</v>
      </c>
      <c r="W119" s="179" t="e">
        <f t="shared" si="53"/>
        <v>#REF!</v>
      </c>
      <c r="X119" s="179" t="e">
        <f t="shared" si="53"/>
        <v>#REF!</v>
      </c>
      <c r="Y119" s="179" t="e">
        <f t="shared" si="53"/>
        <v>#REF!</v>
      </c>
      <c r="Z119" s="179" t="e">
        <f t="shared" si="53"/>
        <v>#REF!</v>
      </c>
      <c r="AA119" s="179" t="e">
        <f t="shared" si="53"/>
        <v>#REF!</v>
      </c>
      <c r="AB119" s="179" t="e">
        <f t="shared" si="53"/>
        <v>#REF!</v>
      </c>
      <c r="AC119" s="179" t="e">
        <f t="shared" si="53"/>
        <v>#REF!</v>
      </c>
      <c r="AD119" s="179" t="e">
        <f t="shared" si="53"/>
        <v>#REF!</v>
      </c>
      <c r="AE119" s="179" t="e">
        <f t="shared" si="53"/>
        <v>#REF!</v>
      </c>
      <c r="AF119" s="179" t="e">
        <f t="shared" si="53"/>
        <v>#REF!</v>
      </c>
      <c r="AG119" s="179" t="e">
        <f t="shared" si="53"/>
        <v>#REF!</v>
      </c>
    </row>
    <row r="120" spans="1:33">
      <c r="C120" s="274" t="e">
        <f t="shared" ref="C120:AG120" si="54">SUM(C117:C119)</f>
        <v>#REF!</v>
      </c>
      <c r="D120" s="274" t="e">
        <f t="shared" si="54"/>
        <v>#REF!</v>
      </c>
      <c r="E120" s="274" t="e">
        <f t="shared" si="54"/>
        <v>#REF!</v>
      </c>
      <c r="F120" s="274" t="e">
        <f t="shared" si="54"/>
        <v>#REF!</v>
      </c>
      <c r="G120" s="274" t="e">
        <f t="shared" si="54"/>
        <v>#REF!</v>
      </c>
      <c r="H120" s="274" t="e">
        <f t="shared" si="54"/>
        <v>#REF!</v>
      </c>
      <c r="I120" s="274" t="e">
        <f t="shared" si="54"/>
        <v>#REF!</v>
      </c>
      <c r="J120" s="274" t="e">
        <f t="shared" si="54"/>
        <v>#REF!</v>
      </c>
      <c r="K120" s="274" t="e">
        <f t="shared" si="54"/>
        <v>#REF!</v>
      </c>
      <c r="L120" s="274" t="e">
        <f t="shared" si="54"/>
        <v>#REF!</v>
      </c>
      <c r="M120" s="274" t="e">
        <f t="shared" si="54"/>
        <v>#REF!</v>
      </c>
      <c r="N120" s="274" t="e">
        <f t="shared" si="54"/>
        <v>#REF!</v>
      </c>
      <c r="O120" s="274" t="e">
        <f t="shared" si="54"/>
        <v>#REF!</v>
      </c>
      <c r="P120" s="274" t="e">
        <f t="shared" si="54"/>
        <v>#REF!</v>
      </c>
      <c r="Q120" s="274" t="e">
        <f t="shared" si="54"/>
        <v>#REF!</v>
      </c>
      <c r="R120" s="274" t="e">
        <f t="shared" si="54"/>
        <v>#REF!</v>
      </c>
      <c r="S120" s="274" t="e">
        <f t="shared" si="54"/>
        <v>#REF!</v>
      </c>
      <c r="T120" s="274" t="e">
        <f t="shared" si="54"/>
        <v>#REF!</v>
      </c>
      <c r="U120" s="274" t="e">
        <f t="shared" si="54"/>
        <v>#REF!</v>
      </c>
      <c r="V120" s="274" t="e">
        <f t="shared" si="54"/>
        <v>#REF!</v>
      </c>
      <c r="W120" s="274" t="e">
        <f t="shared" si="54"/>
        <v>#REF!</v>
      </c>
      <c r="X120" s="274" t="e">
        <f t="shared" si="54"/>
        <v>#REF!</v>
      </c>
      <c r="Y120" s="274" t="e">
        <f t="shared" si="54"/>
        <v>#REF!</v>
      </c>
      <c r="Z120" s="274" t="e">
        <f t="shared" si="54"/>
        <v>#REF!</v>
      </c>
      <c r="AA120" s="274" t="e">
        <f t="shared" si="54"/>
        <v>#REF!</v>
      </c>
      <c r="AB120" s="274" t="e">
        <f t="shared" si="54"/>
        <v>#REF!</v>
      </c>
      <c r="AC120" s="274" t="e">
        <f t="shared" si="54"/>
        <v>#REF!</v>
      </c>
      <c r="AD120" s="274" t="e">
        <f t="shared" si="54"/>
        <v>#REF!</v>
      </c>
      <c r="AE120" s="274" t="e">
        <f t="shared" si="54"/>
        <v>#REF!</v>
      </c>
      <c r="AF120" s="274" t="e">
        <f t="shared" si="54"/>
        <v>#REF!</v>
      </c>
      <c r="AG120" s="274" t="e">
        <f t="shared" si="54"/>
        <v>#REF!</v>
      </c>
    </row>
    <row r="121" spans="1:33" s="225" customFormat="1">
      <c r="A121" s="223" t="s">
        <v>180</v>
      </c>
      <c r="B121" s="223"/>
      <c r="H121" s="272" t="e">
        <f>H124/H86</f>
        <v>#REF!</v>
      </c>
      <c r="AB121" s="272" t="e">
        <f>AB124/AB86</f>
        <v>#REF!</v>
      </c>
    </row>
    <row r="122" spans="1:33">
      <c r="A122" s="235" t="s">
        <v>41</v>
      </c>
      <c r="B122" s="235"/>
      <c r="C122" s="235">
        <v>2025</v>
      </c>
      <c r="D122" s="235">
        <f t="shared" ref="D122:AG122" si="55">C122+1</f>
        <v>2026</v>
      </c>
      <c r="E122" s="235">
        <f t="shared" si="55"/>
        <v>2027</v>
      </c>
      <c r="F122" s="235">
        <f t="shared" si="55"/>
        <v>2028</v>
      </c>
      <c r="G122" s="235">
        <f t="shared" si="55"/>
        <v>2029</v>
      </c>
      <c r="H122" s="235">
        <f t="shared" si="55"/>
        <v>2030</v>
      </c>
      <c r="I122" s="235">
        <f t="shared" si="55"/>
        <v>2031</v>
      </c>
      <c r="J122" s="235">
        <f t="shared" si="55"/>
        <v>2032</v>
      </c>
      <c r="K122" s="235">
        <f t="shared" si="55"/>
        <v>2033</v>
      </c>
      <c r="L122" s="235">
        <f t="shared" si="55"/>
        <v>2034</v>
      </c>
      <c r="M122" s="235">
        <f t="shared" si="55"/>
        <v>2035</v>
      </c>
      <c r="N122" s="235">
        <f t="shared" si="55"/>
        <v>2036</v>
      </c>
      <c r="O122" s="235">
        <f t="shared" si="55"/>
        <v>2037</v>
      </c>
      <c r="P122" s="235">
        <f t="shared" si="55"/>
        <v>2038</v>
      </c>
      <c r="Q122" s="235">
        <f t="shared" si="55"/>
        <v>2039</v>
      </c>
      <c r="R122" s="235">
        <f t="shared" si="55"/>
        <v>2040</v>
      </c>
      <c r="S122" s="235">
        <f t="shared" si="55"/>
        <v>2041</v>
      </c>
      <c r="T122" s="235">
        <f t="shared" si="55"/>
        <v>2042</v>
      </c>
      <c r="U122" s="235">
        <f t="shared" si="55"/>
        <v>2043</v>
      </c>
      <c r="V122" s="235">
        <f t="shared" si="55"/>
        <v>2044</v>
      </c>
      <c r="W122" s="235">
        <f t="shared" si="55"/>
        <v>2045</v>
      </c>
      <c r="X122" s="235">
        <f t="shared" si="55"/>
        <v>2046</v>
      </c>
      <c r="Y122" s="235">
        <f t="shared" si="55"/>
        <v>2047</v>
      </c>
      <c r="Z122" s="235">
        <f t="shared" si="55"/>
        <v>2048</v>
      </c>
      <c r="AA122" s="235">
        <f t="shared" si="55"/>
        <v>2049</v>
      </c>
      <c r="AB122" s="235">
        <f t="shared" si="55"/>
        <v>2050</v>
      </c>
      <c r="AC122" s="235">
        <f t="shared" si="55"/>
        <v>2051</v>
      </c>
      <c r="AD122" s="235">
        <f t="shared" si="55"/>
        <v>2052</v>
      </c>
      <c r="AE122" s="235">
        <f t="shared" si="55"/>
        <v>2053</v>
      </c>
      <c r="AF122" s="235">
        <f t="shared" si="55"/>
        <v>2054</v>
      </c>
      <c r="AG122" s="235">
        <f t="shared" si="55"/>
        <v>2055</v>
      </c>
    </row>
    <row r="123" spans="1:33">
      <c r="A123" s="290" t="s">
        <v>417</v>
      </c>
      <c r="B123" s="173" t="s">
        <v>309</v>
      </c>
      <c r="C123" s="179" t="e">
        <f>ROUND(($E$73*C59)/1000,0)*1000</f>
        <v>#REF!</v>
      </c>
      <c r="D123" s="179" t="e">
        <f t="shared" ref="D123:AG123" si="56">ROUND(($E$73*D59)/1000,0)*1000</f>
        <v>#REF!</v>
      </c>
      <c r="E123" s="179" t="e">
        <f t="shared" si="56"/>
        <v>#REF!</v>
      </c>
      <c r="F123" s="179" t="e">
        <f t="shared" si="56"/>
        <v>#REF!</v>
      </c>
      <c r="G123" s="179" t="e">
        <f t="shared" si="56"/>
        <v>#REF!</v>
      </c>
      <c r="H123" s="179" t="e">
        <f t="shared" si="56"/>
        <v>#REF!</v>
      </c>
      <c r="I123" s="179" t="e">
        <f t="shared" si="56"/>
        <v>#REF!</v>
      </c>
      <c r="J123" s="179" t="e">
        <f t="shared" si="56"/>
        <v>#REF!</v>
      </c>
      <c r="K123" s="179" t="e">
        <f t="shared" si="56"/>
        <v>#REF!</v>
      </c>
      <c r="L123" s="179" t="e">
        <f t="shared" si="56"/>
        <v>#REF!</v>
      </c>
      <c r="M123" s="179" t="e">
        <f t="shared" si="56"/>
        <v>#REF!</v>
      </c>
      <c r="N123" s="179" t="e">
        <f t="shared" si="56"/>
        <v>#REF!</v>
      </c>
      <c r="O123" s="179" t="e">
        <f t="shared" si="56"/>
        <v>#REF!</v>
      </c>
      <c r="P123" s="179" t="e">
        <f t="shared" si="56"/>
        <v>#REF!</v>
      </c>
      <c r="Q123" s="179" t="e">
        <f t="shared" si="56"/>
        <v>#REF!</v>
      </c>
      <c r="R123" s="179" t="e">
        <f t="shared" si="56"/>
        <v>#REF!</v>
      </c>
      <c r="S123" s="179" t="e">
        <f t="shared" si="56"/>
        <v>#REF!</v>
      </c>
      <c r="T123" s="179" t="e">
        <f t="shared" si="56"/>
        <v>#REF!</v>
      </c>
      <c r="U123" s="179" t="e">
        <f t="shared" si="56"/>
        <v>#REF!</v>
      </c>
      <c r="V123" s="179" t="e">
        <f t="shared" si="56"/>
        <v>#REF!</v>
      </c>
      <c r="W123" s="179" t="e">
        <f t="shared" si="56"/>
        <v>#REF!</v>
      </c>
      <c r="X123" s="179" t="e">
        <f t="shared" si="56"/>
        <v>#REF!</v>
      </c>
      <c r="Y123" s="179" t="e">
        <f t="shared" si="56"/>
        <v>#REF!</v>
      </c>
      <c r="Z123" s="179" t="e">
        <f t="shared" si="56"/>
        <v>#REF!</v>
      </c>
      <c r="AA123" s="179" t="e">
        <f t="shared" si="56"/>
        <v>#REF!</v>
      </c>
      <c r="AB123" s="179" t="e">
        <f t="shared" si="56"/>
        <v>#REF!</v>
      </c>
      <c r="AC123" s="179" t="e">
        <f t="shared" si="56"/>
        <v>#REF!</v>
      </c>
      <c r="AD123" s="179" t="e">
        <f t="shared" si="56"/>
        <v>#REF!</v>
      </c>
      <c r="AE123" s="179" t="e">
        <f t="shared" si="56"/>
        <v>#REF!</v>
      </c>
      <c r="AF123" s="179" t="e">
        <f t="shared" si="56"/>
        <v>#REF!</v>
      </c>
      <c r="AG123" s="179" t="e">
        <f t="shared" si="56"/>
        <v>#REF!</v>
      </c>
    </row>
    <row r="124" spans="1:33">
      <c r="A124" s="290" t="s">
        <v>326</v>
      </c>
      <c r="B124" s="173" t="s">
        <v>309</v>
      </c>
      <c r="C124" s="179" t="e">
        <f t="shared" ref="C124:AG124" si="57">C123+C86</f>
        <v>#REF!</v>
      </c>
      <c r="D124" s="179" t="e">
        <f t="shared" si="57"/>
        <v>#REF!</v>
      </c>
      <c r="E124" s="179" t="e">
        <f t="shared" si="57"/>
        <v>#REF!</v>
      </c>
      <c r="F124" s="179" t="e">
        <f t="shared" si="57"/>
        <v>#REF!</v>
      </c>
      <c r="G124" s="179" t="e">
        <f t="shared" si="57"/>
        <v>#REF!</v>
      </c>
      <c r="H124" s="179" t="e">
        <f t="shared" si="57"/>
        <v>#REF!</v>
      </c>
      <c r="I124" s="179" t="e">
        <f t="shared" si="57"/>
        <v>#REF!</v>
      </c>
      <c r="J124" s="179" t="e">
        <f t="shared" si="57"/>
        <v>#REF!</v>
      </c>
      <c r="K124" s="179" t="e">
        <f t="shared" si="57"/>
        <v>#REF!</v>
      </c>
      <c r="L124" s="179" t="e">
        <f t="shared" si="57"/>
        <v>#REF!</v>
      </c>
      <c r="M124" s="179" t="e">
        <f t="shared" si="57"/>
        <v>#REF!</v>
      </c>
      <c r="N124" s="179" t="e">
        <f t="shared" si="57"/>
        <v>#REF!</v>
      </c>
      <c r="O124" s="179" t="e">
        <f t="shared" si="57"/>
        <v>#REF!</v>
      </c>
      <c r="P124" s="179" t="e">
        <f t="shared" si="57"/>
        <v>#REF!</v>
      </c>
      <c r="Q124" s="179" t="e">
        <f t="shared" si="57"/>
        <v>#REF!</v>
      </c>
      <c r="R124" s="179" t="e">
        <f t="shared" si="57"/>
        <v>#REF!</v>
      </c>
      <c r="S124" s="179" t="e">
        <f t="shared" si="57"/>
        <v>#REF!</v>
      </c>
      <c r="T124" s="179" t="e">
        <f t="shared" si="57"/>
        <v>#REF!</v>
      </c>
      <c r="U124" s="179" t="e">
        <f t="shared" si="57"/>
        <v>#REF!</v>
      </c>
      <c r="V124" s="179" t="e">
        <f t="shared" si="57"/>
        <v>#REF!</v>
      </c>
      <c r="W124" s="179" t="e">
        <f t="shared" si="57"/>
        <v>#REF!</v>
      </c>
      <c r="X124" s="179" t="e">
        <f t="shared" si="57"/>
        <v>#REF!</v>
      </c>
      <c r="Y124" s="179" t="e">
        <f t="shared" si="57"/>
        <v>#REF!</v>
      </c>
      <c r="Z124" s="179" t="e">
        <f t="shared" si="57"/>
        <v>#REF!</v>
      </c>
      <c r="AA124" s="179" t="e">
        <f t="shared" si="57"/>
        <v>#REF!</v>
      </c>
      <c r="AB124" s="179" t="e">
        <f t="shared" si="57"/>
        <v>#REF!</v>
      </c>
      <c r="AC124" s="179" t="e">
        <f t="shared" si="57"/>
        <v>#REF!</v>
      </c>
      <c r="AD124" s="179" t="e">
        <f t="shared" si="57"/>
        <v>#REF!</v>
      </c>
      <c r="AE124" s="179" t="e">
        <f t="shared" si="57"/>
        <v>#REF!</v>
      </c>
      <c r="AF124" s="179" t="e">
        <f t="shared" si="57"/>
        <v>#REF!</v>
      </c>
      <c r="AG124" s="179" t="e">
        <f t="shared" si="57"/>
        <v>#REF!</v>
      </c>
    </row>
    <row r="125" spans="1:33">
      <c r="A125" s="173" t="s">
        <v>321</v>
      </c>
      <c r="B125" s="173" t="s">
        <v>309</v>
      </c>
      <c r="C125" s="179" t="e">
        <f t="shared" ref="C125:AG125" si="58">$E$82*C42</f>
        <v>#REF!</v>
      </c>
      <c r="D125" s="179" t="e">
        <f t="shared" si="58"/>
        <v>#REF!</v>
      </c>
      <c r="E125" s="179" t="e">
        <f t="shared" si="58"/>
        <v>#REF!</v>
      </c>
      <c r="F125" s="179" t="e">
        <f t="shared" si="58"/>
        <v>#REF!</v>
      </c>
      <c r="G125" s="179" t="e">
        <f t="shared" si="58"/>
        <v>#REF!</v>
      </c>
      <c r="H125" s="179" t="e">
        <f t="shared" si="58"/>
        <v>#REF!</v>
      </c>
      <c r="I125" s="179" t="e">
        <f t="shared" si="58"/>
        <v>#REF!</v>
      </c>
      <c r="J125" s="179" t="e">
        <f t="shared" si="58"/>
        <v>#REF!</v>
      </c>
      <c r="K125" s="179" t="e">
        <f t="shared" si="58"/>
        <v>#REF!</v>
      </c>
      <c r="L125" s="179" t="e">
        <f t="shared" si="58"/>
        <v>#REF!</v>
      </c>
      <c r="M125" s="179" t="e">
        <f t="shared" si="58"/>
        <v>#REF!</v>
      </c>
      <c r="N125" s="179" t="e">
        <f t="shared" si="58"/>
        <v>#REF!</v>
      </c>
      <c r="O125" s="179" t="e">
        <f t="shared" si="58"/>
        <v>#REF!</v>
      </c>
      <c r="P125" s="179" t="e">
        <f t="shared" si="58"/>
        <v>#REF!</v>
      </c>
      <c r="Q125" s="179" t="e">
        <f t="shared" si="58"/>
        <v>#REF!</v>
      </c>
      <c r="R125" s="179" t="e">
        <f t="shared" si="58"/>
        <v>#REF!</v>
      </c>
      <c r="S125" s="179" t="e">
        <f t="shared" si="58"/>
        <v>#REF!</v>
      </c>
      <c r="T125" s="179" t="e">
        <f t="shared" si="58"/>
        <v>#REF!</v>
      </c>
      <c r="U125" s="179" t="e">
        <f t="shared" si="58"/>
        <v>#REF!</v>
      </c>
      <c r="V125" s="179" t="e">
        <f t="shared" si="58"/>
        <v>#REF!</v>
      </c>
      <c r="W125" s="179" t="e">
        <f t="shared" si="58"/>
        <v>#REF!</v>
      </c>
      <c r="X125" s="179" t="e">
        <f t="shared" si="58"/>
        <v>#REF!</v>
      </c>
      <c r="Y125" s="179" t="e">
        <f t="shared" si="58"/>
        <v>#REF!</v>
      </c>
      <c r="Z125" s="179" t="e">
        <f t="shared" si="58"/>
        <v>#REF!</v>
      </c>
      <c r="AA125" s="179" t="e">
        <f t="shared" si="58"/>
        <v>#REF!</v>
      </c>
      <c r="AB125" s="179" t="e">
        <f t="shared" si="58"/>
        <v>#REF!</v>
      </c>
      <c r="AC125" s="179" t="e">
        <f t="shared" si="58"/>
        <v>#REF!</v>
      </c>
      <c r="AD125" s="179" t="e">
        <f t="shared" si="58"/>
        <v>#REF!</v>
      </c>
      <c r="AE125" s="179" t="e">
        <f t="shared" si="58"/>
        <v>#REF!</v>
      </c>
      <c r="AF125" s="179" t="e">
        <f t="shared" si="58"/>
        <v>#REF!</v>
      </c>
      <c r="AG125" s="179" t="e">
        <f t="shared" si="58"/>
        <v>#REF!</v>
      </c>
    </row>
    <row r="126" spans="1:33">
      <c r="A126" s="173" t="s">
        <v>317</v>
      </c>
      <c r="B126" s="173" t="s">
        <v>309</v>
      </c>
      <c r="C126" s="179" t="e">
        <f t="shared" ref="C126:AG126" si="59">C66*$C$27*$C$28</f>
        <v>#REF!</v>
      </c>
      <c r="D126" s="179" t="e">
        <f t="shared" si="59"/>
        <v>#REF!</v>
      </c>
      <c r="E126" s="179" t="e">
        <f t="shared" si="59"/>
        <v>#REF!</v>
      </c>
      <c r="F126" s="179" t="e">
        <f t="shared" si="59"/>
        <v>#REF!</v>
      </c>
      <c r="G126" s="179" t="e">
        <f t="shared" si="59"/>
        <v>#REF!</v>
      </c>
      <c r="H126" s="179" t="e">
        <f t="shared" si="59"/>
        <v>#REF!</v>
      </c>
      <c r="I126" s="179" t="e">
        <f t="shared" si="59"/>
        <v>#REF!</v>
      </c>
      <c r="J126" s="179" t="e">
        <f t="shared" si="59"/>
        <v>#REF!</v>
      </c>
      <c r="K126" s="179" t="e">
        <f t="shared" si="59"/>
        <v>#REF!</v>
      </c>
      <c r="L126" s="179" t="e">
        <f t="shared" si="59"/>
        <v>#REF!</v>
      </c>
      <c r="M126" s="179" t="e">
        <f t="shared" si="59"/>
        <v>#REF!</v>
      </c>
      <c r="N126" s="179" t="e">
        <f t="shared" si="59"/>
        <v>#REF!</v>
      </c>
      <c r="O126" s="179" t="e">
        <f t="shared" si="59"/>
        <v>#REF!</v>
      </c>
      <c r="P126" s="179" t="e">
        <f t="shared" si="59"/>
        <v>#REF!</v>
      </c>
      <c r="Q126" s="179" t="e">
        <f t="shared" si="59"/>
        <v>#REF!</v>
      </c>
      <c r="R126" s="179" t="e">
        <f t="shared" si="59"/>
        <v>#REF!</v>
      </c>
      <c r="S126" s="179" t="e">
        <f t="shared" si="59"/>
        <v>#REF!</v>
      </c>
      <c r="T126" s="179" t="e">
        <f t="shared" si="59"/>
        <v>#REF!</v>
      </c>
      <c r="U126" s="179" t="e">
        <f t="shared" si="59"/>
        <v>#REF!</v>
      </c>
      <c r="V126" s="179" t="e">
        <f t="shared" si="59"/>
        <v>#REF!</v>
      </c>
      <c r="W126" s="179" t="e">
        <f t="shared" si="59"/>
        <v>#REF!</v>
      </c>
      <c r="X126" s="179" t="e">
        <f t="shared" si="59"/>
        <v>#REF!</v>
      </c>
      <c r="Y126" s="179" t="e">
        <f t="shared" si="59"/>
        <v>#REF!</v>
      </c>
      <c r="Z126" s="179" t="e">
        <f t="shared" si="59"/>
        <v>#REF!</v>
      </c>
      <c r="AA126" s="179" t="e">
        <f t="shared" si="59"/>
        <v>#REF!</v>
      </c>
      <c r="AB126" s="179" t="e">
        <f t="shared" si="59"/>
        <v>#REF!</v>
      </c>
      <c r="AC126" s="179" t="e">
        <f t="shared" si="59"/>
        <v>#REF!</v>
      </c>
      <c r="AD126" s="179" t="e">
        <f t="shared" si="59"/>
        <v>#REF!</v>
      </c>
      <c r="AE126" s="179" t="e">
        <f t="shared" si="59"/>
        <v>#REF!</v>
      </c>
      <c r="AF126" s="179" t="e">
        <f t="shared" si="59"/>
        <v>#REF!</v>
      </c>
      <c r="AG126" s="179" t="e">
        <f t="shared" si="59"/>
        <v>#REF!</v>
      </c>
    </row>
    <row r="127" spans="1:33">
      <c r="A127" s="173" t="s">
        <v>319</v>
      </c>
      <c r="B127" s="173" t="s">
        <v>309</v>
      </c>
      <c r="C127" s="179" t="e">
        <f t="shared" ref="C127:AG127" si="60">C124*$C$34</f>
        <v>#REF!</v>
      </c>
      <c r="D127" s="179" t="e">
        <f t="shared" si="60"/>
        <v>#REF!</v>
      </c>
      <c r="E127" s="179" t="e">
        <f t="shared" si="60"/>
        <v>#REF!</v>
      </c>
      <c r="F127" s="179" t="e">
        <f t="shared" si="60"/>
        <v>#REF!</v>
      </c>
      <c r="G127" s="179" t="e">
        <f t="shared" si="60"/>
        <v>#REF!</v>
      </c>
      <c r="H127" s="179" t="e">
        <f t="shared" si="60"/>
        <v>#REF!</v>
      </c>
      <c r="I127" s="179" t="e">
        <f t="shared" si="60"/>
        <v>#REF!</v>
      </c>
      <c r="J127" s="179" t="e">
        <f t="shared" si="60"/>
        <v>#REF!</v>
      </c>
      <c r="K127" s="179" t="e">
        <f t="shared" si="60"/>
        <v>#REF!</v>
      </c>
      <c r="L127" s="179" t="e">
        <f t="shared" si="60"/>
        <v>#REF!</v>
      </c>
      <c r="M127" s="179" t="e">
        <f t="shared" si="60"/>
        <v>#REF!</v>
      </c>
      <c r="N127" s="179" t="e">
        <f t="shared" si="60"/>
        <v>#REF!</v>
      </c>
      <c r="O127" s="179" t="e">
        <f t="shared" si="60"/>
        <v>#REF!</v>
      </c>
      <c r="P127" s="179" t="e">
        <f t="shared" si="60"/>
        <v>#REF!</v>
      </c>
      <c r="Q127" s="179" t="e">
        <f t="shared" si="60"/>
        <v>#REF!</v>
      </c>
      <c r="R127" s="179" t="e">
        <f t="shared" si="60"/>
        <v>#REF!</v>
      </c>
      <c r="S127" s="179" t="e">
        <f t="shared" si="60"/>
        <v>#REF!</v>
      </c>
      <c r="T127" s="179" t="e">
        <f t="shared" si="60"/>
        <v>#REF!</v>
      </c>
      <c r="U127" s="179" t="e">
        <f t="shared" si="60"/>
        <v>#REF!</v>
      </c>
      <c r="V127" s="179" t="e">
        <f t="shared" si="60"/>
        <v>#REF!</v>
      </c>
      <c r="W127" s="179" t="e">
        <f t="shared" si="60"/>
        <v>#REF!</v>
      </c>
      <c r="X127" s="179" t="e">
        <f t="shared" si="60"/>
        <v>#REF!</v>
      </c>
      <c r="Y127" s="179" t="e">
        <f t="shared" si="60"/>
        <v>#REF!</v>
      </c>
      <c r="Z127" s="179" t="e">
        <f t="shared" si="60"/>
        <v>#REF!</v>
      </c>
      <c r="AA127" s="179" t="e">
        <f t="shared" si="60"/>
        <v>#REF!</v>
      </c>
      <c r="AB127" s="179" t="e">
        <f t="shared" si="60"/>
        <v>#REF!</v>
      </c>
      <c r="AC127" s="179" t="e">
        <f t="shared" si="60"/>
        <v>#REF!</v>
      </c>
      <c r="AD127" s="179" t="e">
        <f t="shared" si="60"/>
        <v>#REF!</v>
      </c>
      <c r="AE127" s="179" t="e">
        <f t="shared" si="60"/>
        <v>#REF!</v>
      </c>
      <c r="AF127" s="179" t="e">
        <f t="shared" si="60"/>
        <v>#REF!</v>
      </c>
      <c r="AG127" s="179" t="e">
        <f t="shared" si="60"/>
        <v>#REF!</v>
      </c>
    </row>
    <row r="128" spans="1:33" s="247" customFormat="1" ht="11.85" customHeight="1">
      <c r="A128" s="270" t="s">
        <v>414</v>
      </c>
    </row>
    <row r="129" spans="1:33">
      <c r="A129" s="173" t="s">
        <v>325</v>
      </c>
      <c r="B129" s="173" t="s">
        <v>313</v>
      </c>
      <c r="C129" s="179" t="e">
        <f t="shared" ref="C129:AG129" si="61">-PMT($C$33,$C$31,C124)</f>
        <v>#REF!</v>
      </c>
      <c r="D129" s="179" t="e">
        <f t="shared" si="61"/>
        <v>#REF!</v>
      </c>
      <c r="E129" s="179" t="e">
        <f t="shared" si="61"/>
        <v>#REF!</v>
      </c>
      <c r="F129" s="179" t="e">
        <f t="shared" si="61"/>
        <v>#REF!</v>
      </c>
      <c r="G129" s="179" t="e">
        <f t="shared" si="61"/>
        <v>#REF!</v>
      </c>
      <c r="H129" s="179" t="e">
        <f t="shared" si="61"/>
        <v>#REF!</v>
      </c>
      <c r="I129" s="179" t="e">
        <f t="shared" si="61"/>
        <v>#REF!</v>
      </c>
      <c r="J129" s="179" t="e">
        <f t="shared" si="61"/>
        <v>#REF!</v>
      </c>
      <c r="K129" s="179" t="e">
        <f t="shared" si="61"/>
        <v>#REF!</v>
      </c>
      <c r="L129" s="179" t="e">
        <f t="shared" si="61"/>
        <v>#REF!</v>
      </c>
      <c r="M129" s="179" t="e">
        <f t="shared" si="61"/>
        <v>#REF!</v>
      </c>
      <c r="N129" s="179" t="e">
        <f t="shared" si="61"/>
        <v>#REF!</v>
      </c>
      <c r="O129" s="179" t="e">
        <f t="shared" si="61"/>
        <v>#REF!</v>
      </c>
      <c r="P129" s="179" t="e">
        <f t="shared" si="61"/>
        <v>#REF!</v>
      </c>
      <c r="Q129" s="179" t="e">
        <f t="shared" si="61"/>
        <v>#REF!</v>
      </c>
      <c r="R129" s="179" t="e">
        <f t="shared" si="61"/>
        <v>#REF!</v>
      </c>
      <c r="S129" s="179" t="e">
        <f t="shared" si="61"/>
        <v>#REF!</v>
      </c>
      <c r="T129" s="179" t="e">
        <f t="shared" si="61"/>
        <v>#REF!</v>
      </c>
      <c r="U129" s="179" t="e">
        <f t="shared" si="61"/>
        <v>#REF!</v>
      </c>
      <c r="V129" s="179" t="e">
        <f t="shared" si="61"/>
        <v>#REF!</v>
      </c>
      <c r="W129" s="179" t="e">
        <f t="shared" si="61"/>
        <v>#REF!</v>
      </c>
      <c r="X129" s="179" t="e">
        <f t="shared" si="61"/>
        <v>#REF!</v>
      </c>
      <c r="Y129" s="179" t="e">
        <f t="shared" si="61"/>
        <v>#REF!</v>
      </c>
      <c r="Z129" s="179" t="e">
        <f t="shared" si="61"/>
        <v>#REF!</v>
      </c>
      <c r="AA129" s="179" t="e">
        <f t="shared" si="61"/>
        <v>#REF!</v>
      </c>
      <c r="AB129" s="179" t="e">
        <f t="shared" si="61"/>
        <v>#REF!</v>
      </c>
      <c r="AC129" s="179" t="e">
        <f t="shared" si="61"/>
        <v>#REF!</v>
      </c>
      <c r="AD129" s="179" t="e">
        <f t="shared" si="61"/>
        <v>#REF!</v>
      </c>
      <c r="AE129" s="179" t="e">
        <f t="shared" si="61"/>
        <v>#REF!</v>
      </c>
      <c r="AF129" s="179" t="e">
        <f t="shared" si="61"/>
        <v>#REF!</v>
      </c>
      <c r="AG129" s="179" t="e">
        <f t="shared" si="61"/>
        <v>#REF!</v>
      </c>
    </row>
    <row r="130" spans="1:33">
      <c r="A130" s="173" t="s">
        <v>321</v>
      </c>
      <c r="B130" s="173" t="s">
        <v>313</v>
      </c>
      <c r="C130" s="179" t="e">
        <f t="shared" ref="C130:AG131" si="62">C125</f>
        <v>#REF!</v>
      </c>
      <c r="D130" s="179" t="e">
        <f t="shared" si="62"/>
        <v>#REF!</v>
      </c>
      <c r="E130" s="179" t="e">
        <f t="shared" si="62"/>
        <v>#REF!</v>
      </c>
      <c r="F130" s="179" t="e">
        <f t="shared" si="62"/>
        <v>#REF!</v>
      </c>
      <c r="G130" s="179" t="e">
        <f t="shared" si="62"/>
        <v>#REF!</v>
      </c>
      <c r="H130" s="179" t="e">
        <f t="shared" si="62"/>
        <v>#REF!</v>
      </c>
      <c r="I130" s="179" t="e">
        <f t="shared" si="62"/>
        <v>#REF!</v>
      </c>
      <c r="J130" s="179" t="e">
        <f t="shared" si="62"/>
        <v>#REF!</v>
      </c>
      <c r="K130" s="179" t="e">
        <f t="shared" si="62"/>
        <v>#REF!</v>
      </c>
      <c r="L130" s="179" t="e">
        <f t="shared" si="62"/>
        <v>#REF!</v>
      </c>
      <c r="M130" s="179" t="e">
        <f t="shared" si="62"/>
        <v>#REF!</v>
      </c>
      <c r="N130" s="179" t="e">
        <f t="shared" si="62"/>
        <v>#REF!</v>
      </c>
      <c r="O130" s="179" t="e">
        <f t="shared" si="62"/>
        <v>#REF!</v>
      </c>
      <c r="P130" s="179" t="e">
        <f t="shared" si="62"/>
        <v>#REF!</v>
      </c>
      <c r="Q130" s="179" t="e">
        <f t="shared" si="62"/>
        <v>#REF!</v>
      </c>
      <c r="R130" s="179" t="e">
        <f t="shared" si="62"/>
        <v>#REF!</v>
      </c>
      <c r="S130" s="179" t="e">
        <f t="shared" si="62"/>
        <v>#REF!</v>
      </c>
      <c r="T130" s="179" t="e">
        <f t="shared" si="62"/>
        <v>#REF!</v>
      </c>
      <c r="U130" s="179" t="e">
        <f t="shared" si="62"/>
        <v>#REF!</v>
      </c>
      <c r="V130" s="179" t="e">
        <f t="shared" si="62"/>
        <v>#REF!</v>
      </c>
      <c r="W130" s="179" t="e">
        <f t="shared" si="62"/>
        <v>#REF!</v>
      </c>
      <c r="X130" s="179" t="e">
        <f t="shared" si="62"/>
        <v>#REF!</v>
      </c>
      <c r="Y130" s="179" t="e">
        <f t="shared" si="62"/>
        <v>#REF!</v>
      </c>
      <c r="Z130" s="179" t="e">
        <f t="shared" si="62"/>
        <v>#REF!</v>
      </c>
      <c r="AA130" s="179" t="e">
        <f t="shared" si="62"/>
        <v>#REF!</v>
      </c>
      <c r="AB130" s="179" t="e">
        <f t="shared" si="62"/>
        <v>#REF!</v>
      </c>
      <c r="AC130" s="179" t="e">
        <f t="shared" si="62"/>
        <v>#REF!</v>
      </c>
      <c r="AD130" s="179" t="e">
        <f t="shared" si="62"/>
        <v>#REF!</v>
      </c>
      <c r="AE130" s="179" t="e">
        <f t="shared" si="62"/>
        <v>#REF!</v>
      </c>
      <c r="AF130" s="179" t="e">
        <f t="shared" si="62"/>
        <v>#REF!</v>
      </c>
      <c r="AG130" s="179" t="e">
        <f t="shared" si="62"/>
        <v>#REF!</v>
      </c>
    </row>
    <row r="131" spans="1:33">
      <c r="A131" s="173" t="s">
        <v>317</v>
      </c>
      <c r="B131" s="173" t="s">
        <v>313</v>
      </c>
      <c r="C131" s="179" t="e">
        <f>C126</f>
        <v>#REF!</v>
      </c>
      <c r="D131" s="179" t="e">
        <f t="shared" si="62"/>
        <v>#REF!</v>
      </c>
      <c r="E131" s="179" t="e">
        <f t="shared" si="62"/>
        <v>#REF!</v>
      </c>
      <c r="F131" s="179" t="e">
        <f t="shared" si="62"/>
        <v>#REF!</v>
      </c>
      <c r="G131" s="179" t="e">
        <f t="shared" si="62"/>
        <v>#REF!</v>
      </c>
      <c r="H131" s="179" t="e">
        <f t="shared" si="62"/>
        <v>#REF!</v>
      </c>
      <c r="I131" s="179" t="e">
        <f t="shared" si="62"/>
        <v>#REF!</v>
      </c>
      <c r="J131" s="179" t="e">
        <f t="shared" si="62"/>
        <v>#REF!</v>
      </c>
      <c r="K131" s="179" t="e">
        <f t="shared" si="62"/>
        <v>#REF!</v>
      </c>
      <c r="L131" s="179" t="e">
        <f t="shared" si="62"/>
        <v>#REF!</v>
      </c>
      <c r="M131" s="179" t="e">
        <f t="shared" si="62"/>
        <v>#REF!</v>
      </c>
      <c r="N131" s="179" t="e">
        <f t="shared" si="62"/>
        <v>#REF!</v>
      </c>
      <c r="O131" s="179" t="e">
        <f t="shared" si="62"/>
        <v>#REF!</v>
      </c>
      <c r="P131" s="179" t="e">
        <f t="shared" si="62"/>
        <v>#REF!</v>
      </c>
      <c r="Q131" s="179" t="e">
        <f t="shared" si="62"/>
        <v>#REF!</v>
      </c>
      <c r="R131" s="179" t="e">
        <f t="shared" si="62"/>
        <v>#REF!</v>
      </c>
      <c r="S131" s="179" t="e">
        <f t="shared" si="62"/>
        <v>#REF!</v>
      </c>
      <c r="T131" s="179" t="e">
        <f t="shared" si="62"/>
        <v>#REF!</v>
      </c>
      <c r="U131" s="179" t="e">
        <f t="shared" si="62"/>
        <v>#REF!</v>
      </c>
      <c r="V131" s="179" t="e">
        <f t="shared" si="62"/>
        <v>#REF!</v>
      </c>
      <c r="W131" s="179" t="e">
        <f t="shared" si="62"/>
        <v>#REF!</v>
      </c>
      <c r="X131" s="179" t="e">
        <f t="shared" si="62"/>
        <v>#REF!</v>
      </c>
      <c r="Y131" s="179" t="e">
        <f t="shared" si="62"/>
        <v>#REF!</v>
      </c>
      <c r="Z131" s="179" t="e">
        <f t="shared" si="62"/>
        <v>#REF!</v>
      </c>
      <c r="AA131" s="179" t="e">
        <f t="shared" si="62"/>
        <v>#REF!</v>
      </c>
      <c r="AB131" s="179" t="e">
        <f t="shared" si="62"/>
        <v>#REF!</v>
      </c>
      <c r="AC131" s="179" t="e">
        <f t="shared" si="62"/>
        <v>#REF!</v>
      </c>
      <c r="AD131" s="179" t="e">
        <f t="shared" si="62"/>
        <v>#REF!</v>
      </c>
      <c r="AE131" s="179" t="e">
        <f t="shared" si="62"/>
        <v>#REF!</v>
      </c>
      <c r="AF131" s="179" t="e">
        <f t="shared" si="62"/>
        <v>#REF!</v>
      </c>
      <c r="AG131" s="179" t="e">
        <f t="shared" si="62"/>
        <v>#REF!</v>
      </c>
    </row>
    <row r="132" spans="1:33">
      <c r="A132" s="173" t="s">
        <v>319</v>
      </c>
      <c r="B132" s="173" t="s">
        <v>313</v>
      </c>
      <c r="C132" s="179" t="e">
        <f>C127</f>
        <v>#REF!</v>
      </c>
      <c r="D132" s="179" t="e">
        <f t="shared" ref="D132:AG132" si="63">D127</f>
        <v>#REF!</v>
      </c>
      <c r="E132" s="179" t="e">
        <f t="shared" si="63"/>
        <v>#REF!</v>
      </c>
      <c r="F132" s="179" t="e">
        <f t="shared" si="63"/>
        <v>#REF!</v>
      </c>
      <c r="G132" s="179" t="e">
        <f t="shared" si="63"/>
        <v>#REF!</v>
      </c>
      <c r="H132" s="179" t="e">
        <f t="shared" si="63"/>
        <v>#REF!</v>
      </c>
      <c r="I132" s="179" t="e">
        <f t="shared" si="63"/>
        <v>#REF!</v>
      </c>
      <c r="J132" s="179" t="e">
        <f t="shared" si="63"/>
        <v>#REF!</v>
      </c>
      <c r="K132" s="179" t="e">
        <f t="shared" si="63"/>
        <v>#REF!</v>
      </c>
      <c r="L132" s="179" t="e">
        <f t="shared" si="63"/>
        <v>#REF!</v>
      </c>
      <c r="M132" s="179" t="e">
        <f t="shared" si="63"/>
        <v>#REF!</v>
      </c>
      <c r="N132" s="179" t="e">
        <f t="shared" si="63"/>
        <v>#REF!</v>
      </c>
      <c r="O132" s="179" t="e">
        <f t="shared" si="63"/>
        <v>#REF!</v>
      </c>
      <c r="P132" s="179" t="e">
        <f t="shared" si="63"/>
        <v>#REF!</v>
      </c>
      <c r="Q132" s="179" t="e">
        <f t="shared" si="63"/>
        <v>#REF!</v>
      </c>
      <c r="R132" s="179" t="e">
        <f t="shared" si="63"/>
        <v>#REF!</v>
      </c>
      <c r="S132" s="179" t="e">
        <f t="shared" si="63"/>
        <v>#REF!</v>
      </c>
      <c r="T132" s="179" t="e">
        <f t="shared" si="63"/>
        <v>#REF!</v>
      </c>
      <c r="U132" s="179" t="e">
        <f t="shared" si="63"/>
        <v>#REF!</v>
      </c>
      <c r="V132" s="179" t="e">
        <f t="shared" si="63"/>
        <v>#REF!</v>
      </c>
      <c r="W132" s="179" t="e">
        <f t="shared" si="63"/>
        <v>#REF!</v>
      </c>
      <c r="X132" s="179" t="e">
        <f t="shared" si="63"/>
        <v>#REF!</v>
      </c>
      <c r="Y132" s="179" t="e">
        <f t="shared" si="63"/>
        <v>#REF!</v>
      </c>
      <c r="Z132" s="179" t="e">
        <f t="shared" si="63"/>
        <v>#REF!</v>
      </c>
      <c r="AA132" s="179" t="e">
        <f t="shared" si="63"/>
        <v>#REF!</v>
      </c>
      <c r="AB132" s="179" t="e">
        <f t="shared" si="63"/>
        <v>#REF!</v>
      </c>
      <c r="AC132" s="179" t="e">
        <f t="shared" si="63"/>
        <v>#REF!</v>
      </c>
      <c r="AD132" s="179" t="e">
        <f t="shared" si="63"/>
        <v>#REF!</v>
      </c>
      <c r="AE132" s="179" t="e">
        <f t="shared" si="63"/>
        <v>#REF!</v>
      </c>
      <c r="AF132" s="179" t="e">
        <f t="shared" si="63"/>
        <v>#REF!</v>
      </c>
      <c r="AG132" s="179" t="e">
        <f t="shared" si="63"/>
        <v>#REF!</v>
      </c>
    </row>
    <row r="133" spans="1:33" s="247" customFormat="1" ht="11.85" customHeight="1">
      <c r="A133" s="270" t="s">
        <v>320</v>
      </c>
    </row>
    <row r="134" spans="1:33">
      <c r="A134" s="173" t="s">
        <v>325</v>
      </c>
      <c r="B134" s="173" t="s">
        <v>300</v>
      </c>
      <c r="C134" s="179" t="e">
        <f t="shared" ref="C134:AG135" si="64">C129/($C$28*$C$27)</f>
        <v>#REF!</v>
      </c>
      <c r="D134" s="179" t="e">
        <f t="shared" si="64"/>
        <v>#REF!</v>
      </c>
      <c r="E134" s="179" t="e">
        <f t="shared" si="64"/>
        <v>#REF!</v>
      </c>
      <c r="F134" s="179" t="e">
        <f t="shared" si="64"/>
        <v>#REF!</v>
      </c>
      <c r="G134" s="179" t="e">
        <f t="shared" si="64"/>
        <v>#REF!</v>
      </c>
      <c r="H134" s="179" t="e">
        <f t="shared" si="64"/>
        <v>#REF!</v>
      </c>
      <c r="I134" s="179" t="e">
        <f t="shared" si="64"/>
        <v>#REF!</v>
      </c>
      <c r="J134" s="179" t="e">
        <f t="shared" si="64"/>
        <v>#REF!</v>
      </c>
      <c r="K134" s="179" t="e">
        <f t="shared" si="64"/>
        <v>#REF!</v>
      </c>
      <c r="L134" s="179" t="e">
        <f t="shared" si="64"/>
        <v>#REF!</v>
      </c>
      <c r="M134" s="179" t="e">
        <f t="shared" si="64"/>
        <v>#REF!</v>
      </c>
      <c r="N134" s="179" t="e">
        <f t="shared" si="64"/>
        <v>#REF!</v>
      </c>
      <c r="O134" s="179" t="e">
        <f t="shared" si="64"/>
        <v>#REF!</v>
      </c>
      <c r="P134" s="179" t="e">
        <f t="shared" si="64"/>
        <v>#REF!</v>
      </c>
      <c r="Q134" s="179" t="e">
        <f t="shared" si="64"/>
        <v>#REF!</v>
      </c>
      <c r="R134" s="179" t="e">
        <f t="shared" si="64"/>
        <v>#REF!</v>
      </c>
      <c r="S134" s="179" t="e">
        <f t="shared" si="64"/>
        <v>#REF!</v>
      </c>
      <c r="T134" s="179" t="e">
        <f t="shared" si="64"/>
        <v>#REF!</v>
      </c>
      <c r="U134" s="179" t="e">
        <f t="shared" si="64"/>
        <v>#REF!</v>
      </c>
      <c r="V134" s="179" t="e">
        <f t="shared" si="64"/>
        <v>#REF!</v>
      </c>
      <c r="W134" s="179" t="e">
        <f t="shared" si="64"/>
        <v>#REF!</v>
      </c>
      <c r="X134" s="179" t="e">
        <f t="shared" si="64"/>
        <v>#REF!</v>
      </c>
      <c r="Y134" s="179" t="e">
        <f t="shared" si="64"/>
        <v>#REF!</v>
      </c>
      <c r="Z134" s="179" t="e">
        <f t="shared" si="64"/>
        <v>#REF!</v>
      </c>
      <c r="AA134" s="179" t="e">
        <f t="shared" si="64"/>
        <v>#REF!</v>
      </c>
      <c r="AB134" s="179" t="e">
        <f t="shared" si="64"/>
        <v>#REF!</v>
      </c>
      <c r="AC134" s="179" t="e">
        <f t="shared" si="64"/>
        <v>#REF!</v>
      </c>
      <c r="AD134" s="179" t="e">
        <f t="shared" si="64"/>
        <v>#REF!</v>
      </c>
      <c r="AE134" s="179" t="e">
        <f t="shared" si="64"/>
        <v>#REF!</v>
      </c>
      <c r="AF134" s="179" t="e">
        <f t="shared" si="64"/>
        <v>#REF!</v>
      </c>
      <c r="AG134" s="179" t="e">
        <f t="shared" si="64"/>
        <v>#REF!</v>
      </c>
    </row>
    <row r="135" spans="1:33">
      <c r="A135" s="173" t="s">
        <v>321</v>
      </c>
      <c r="B135" s="173" t="s">
        <v>300</v>
      </c>
      <c r="C135" s="179" t="e">
        <f t="shared" si="64"/>
        <v>#REF!</v>
      </c>
      <c r="D135" s="179" t="e">
        <f t="shared" si="64"/>
        <v>#REF!</v>
      </c>
      <c r="E135" s="179" t="e">
        <f t="shared" si="64"/>
        <v>#REF!</v>
      </c>
      <c r="F135" s="179" t="e">
        <f t="shared" si="64"/>
        <v>#REF!</v>
      </c>
      <c r="G135" s="179" t="e">
        <f t="shared" si="64"/>
        <v>#REF!</v>
      </c>
      <c r="H135" s="179" t="e">
        <f t="shared" si="64"/>
        <v>#REF!</v>
      </c>
      <c r="I135" s="179" t="e">
        <f t="shared" si="64"/>
        <v>#REF!</v>
      </c>
      <c r="J135" s="179" t="e">
        <f t="shared" si="64"/>
        <v>#REF!</v>
      </c>
      <c r="K135" s="179" t="e">
        <f t="shared" si="64"/>
        <v>#REF!</v>
      </c>
      <c r="L135" s="179" t="e">
        <f t="shared" si="64"/>
        <v>#REF!</v>
      </c>
      <c r="M135" s="179" t="e">
        <f t="shared" si="64"/>
        <v>#REF!</v>
      </c>
      <c r="N135" s="179" t="e">
        <f t="shared" si="64"/>
        <v>#REF!</v>
      </c>
      <c r="O135" s="179" t="e">
        <f t="shared" si="64"/>
        <v>#REF!</v>
      </c>
      <c r="P135" s="179" t="e">
        <f t="shared" si="64"/>
        <v>#REF!</v>
      </c>
      <c r="Q135" s="179" t="e">
        <f t="shared" si="64"/>
        <v>#REF!</v>
      </c>
      <c r="R135" s="179" t="e">
        <f t="shared" si="64"/>
        <v>#REF!</v>
      </c>
      <c r="S135" s="179" t="e">
        <f t="shared" si="64"/>
        <v>#REF!</v>
      </c>
      <c r="T135" s="179" t="e">
        <f t="shared" si="64"/>
        <v>#REF!</v>
      </c>
      <c r="U135" s="179" t="e">
        <f t="shared" si="64"/>
        <v>#REF!</v>
      </c>
      <c r="V135" s="179" t="e">
        <f t="shared" si="64"/>
        <v>#REF!</v>
      </c>
      <c r="W135" s="179" t="e">
        <f t="shared" si="64"/>
        <v>#REF!</v>
      </c>
      <c r="X135" s="179" t="e">
        <f t="shared" si="64"/>
        <v>#REF!</v>
      </c>
      <c r="Y135" s="179" t="e">
        <f t="shared" si="64"/>
        <v>#REF!</v>
      </c>
      <c r="Z135" s="179" t="e">
        <f t="shared" si="64"/>
        <v>#REF!</v>
      </c>
      <c r="AA135" s="179" t="e">
        <f t="shared" si="64"/>
        <v>#REF!</v>
      </c>
      <c r="AB135" s="179" t="e">
        <f t="shared" si="64"/>
        <v>#REF!</v>
      </c>
      <c r="AC135" s="179" t="e">
        <f t="shared" si="64"/>
        <v>#REF!</v>
      </c>
      <c r="AD135" s="179" t="e">
        <f t="shared" si="64"/>
        <v>#REF!</v>
      </c>
      <c r="AE135" s="179" t="e">
        <f t="shared" si="64"/>
        <v>#REF!</v>
      </c>
      <c r="AF135" s="179" t="e">
        <f t="shared" si="64"/>
        <v>#REF!</v>
      </c>
      <c r="AG135" s="179" t="e">
        <f t="shared" si="64"/>
        <v>#REF!</v>
      </c>
    </row>
    <row r="136" spans="1:33">
      <c r="A136" s="173" t="s">
        <v>322</v>
      </c>
      <c r="B136" s="173" t="s">
        <v>300</v>
      </c>
      <c r="C136" s="179" t="e">
        <f t="shared" ref="C136:AG136" si="65">(C131+C132+C70)/($C$28*$C$27)+C63</f>
        <v>#REF!</v>
      </c>
      <c r="D136" s="179" t="e">
        <f t="shared" si="65"/>
        <v>#REF!</v>
      </c>
      <c r="E136" s="179" t="e">
        <f t="shared" si="65"/>
        <v>#REF!</v>
      </c>
      <c r="F136" s="179" t="e">
        <f t="shared" si="65"/>
        <v>#REF!</v>
      </c>
      <c r="G136" s="179" t="e">
        <f t="shared" si="65"/>
        <v>#REF!</v>
      </c>
      <c r="H136" s="179" t="e">
        <f t="shared" si="65"/>
        <v>#REF!</v>
      </c>
      <c r="I136" s="179" t="e">
        <f t="shared" si="65"/>
        <v>#REF!</v>
      </c>
      <c r="J136" s="179" t="e">
        <f t="shared" si="65"/>
        <v>#REF!</v>
      </c>
      <c r="K136" s="179" t="e">
        <f t="shared" si="65"/>
        <v>#REF!</v>
      </c>
      <c r="L136" s="179" t="e">
        <f t="shared" si="65"/>
        <v>#REF!</v>
      </c>
      <c r="M136" s="179" t="e">
        <f t="shared" si="65"/>
        <v>#REF!</v>
      </c>
      <c r="N136" s="179" t="e">
        <f t="shared" si="65"/>
        <v>#REF!</v>
      </c>
      <c r="O136" s="179" t="e">
        <f t="shared" si="65"/>
        <v>#REF!</v>
      </c>
      <c r="P136" s="179" t="e">
        <f t="shared" si="65"/>
        <v>#REF!</v>
      </c>
      <c r="Q136" s="179" t="e">
        <f t="shared" si="65"/>
        <v>#REF!</v>
      </c>
      <c r="R136" s="179" t="e">
        <f t="shared" si="65"/>
        <v>#REF!</v>
      </c>
      <c r="S136" s="179" t="e">
        <f t="shared" si="65"/>
        <v>#REF!</v>
      </c>
      <c r="T136" s="179" t="e">
        <f t="shared" si="65"/>
        <v>#REF!</v>
      </c>
      <c r="U136" s="179" t="e">
        <f t="shared" si="65"/>
        <v>#REF!</v>
      </c>
      <c r="V136" s="179" t="e">
        <f t="shared" si="65"/>
        <v>#REF!</v>
      </c>
      <c r="W136" s="179" t="e">
        <f t="shared" si="65"/>
        <v>#REF!</v>
      </c>
      <c r="X136" s="179" t="e">
        <f t="shared" si="65"/>
        <v>#REF!</v>
      </c>
      <c r="Y136" s="179" t="e">
        <f t="shared" si="65"/>
        <v>#REF!</v>
      </c>
      <c r="Z136" s="179" t="e">
        <f t="shared" si="65"/>
        <v>#REF!</v>
      </c>
      <c r="AA136" s="179" t="e">
        <f t="shared" si="65"/>
        <v>#REF!</v>
      </c>
      <c r="AB136" s="179" t="e">
        <f t="shared" si="65"/>
        <v>#REF!</v>
      </c>
      <c r="AC136" s="179" t="e">
        <f t="shared" si="65"/>
        <v>#REF!</v>
      </c>
      <c r="AD136" s="179" t="e">
        <f t="shared" si="65"/>
        <v>#REF!</v>
      </c>
      <c r="AE136" s="179" t="e">
        <f t="shared" si="65"/>
        <v>#REF!</v>
      </c>
      <c r="AF136" s="179" t="e">
        <f t="shared" si="65"/>
        <v>#REF!</v>
      </c>
      <c r="AG136" s="179" t="e">
        <f t="shared" si="65"/>
        <v>#REF!</v>
      </c>
    </row>
    <row r="137" spans="1:33">
      <c r="C137" s="274" t="e">
        <f t="shared" ref="C137:AG137" si="66">SUM(C134:C136)</f>
        <v>#REF!</v>
      </c>
      <c r="D137" s="274" t="e">
        <f t="shared" si="66"/>
        <v>#REF!</v>
      </c>
      <c r="E137" s="274" t="e">
        <f t="shared" si="66"/>
        <v>#REF!</v>
      </c>
      <c r="F137" s="274" t="e">
        <f t="shared" si="66"/>
        <v>#REF!</v>
      </c>
      <c r="G137" s="274" t="e">
        <f t="shared" si="66"/>
        <v>#REF!</v>
      </c>
      <c r="H137" s="274" t="e">
        <f t="shared" si="66"/>
        <v>#REF!</v>
      </c>
      <c r="I137" s="274" t="e">
        <f t="shared" si="66"/>
        <v>#REF!</v>
      </c>
      <c r="J137" s="274" t="e">
        <f t="shared" si="66"/>
        <v>#REF!</v>
      </c>
      <c r="K137" s="274" t="e">
        <f t="shared" si="66"/>
        <v>#REF!</v>
      </c>
      <c r="L137" s="274" t="e">
        <f t="shared" si="66"/>
        <v>#REF!</v>
      </c>
      <c r="M137" s="274" t="e">
        <f t="shared" si="66"/>
        <v>#REF!</v>
      </c>
      <c r="N137" s="274" t="e">
        <f t="shared" si="66"/>
        <v>#REF!</v>
      </c>
      <c r="O137" s="274" t="e">
        <f t="shared" si="66"/>
        <v>#REF!</v>
      </c>
      <c r="P137" s="274" t="e">
        <f t="shared" si="66"/>
        <v>#REF!</v>
      </c>
      <c r="Q137" s="274" t="e">
        <f t="shared" si="66"/>
        <v>#REF!</v>
      </c>
      <c r="R137" s="274" t="e">
        <f t="shared" si="66"/>
        <v>#REF!</v>
      </c>
      <c r="S137" s="274" t="e">
        <f t="shared" si="66"/>
        <v>#REF!</v>
      </c>
      <c r="T137" s="274" t="e">
        <f t="shared" si="66"/>
        <v>#REF!</v>
      </c>
      <c r="U137" s="274" t="e">
        <f t="shared" si="66"/>
        <v>#REF!</v>
      </c>
      <c r="V137" s="274" t="e">
        <f t="shared" si="66"/>
        <v>#REF!</v>
      </c>
      <c r="W137" s="274" t="e">
        <f t="shared" si="66"/>
        <v>#REF!</v>
      </c>
      <c r="X137" s="274" t="e">
        <f t="shared" si="66"/>
        <v>#REF!</v>
      </c>
      <c r="Y137" s="274" t="e">
        <f t="shared" si="66"/>
        <v>#REF!</v>
      </c>
      <c r="Z137" s="274" t="e">
        <f t="shared" si="66"/>
        <v>#REF!</v>
      </c>
      <c r="AA137" s="274" t="e">
        <f t="shared" si="66"/>
        <v>#REF!</v>
      </c>
      <c r="AB137" s="274" t="e">
        <f t="shared" si="66"/>
        <v>#REF!</v>
      </c>
      <c r="AC137" s="274" t="e">
        <f t="shared" si="66"/>
        <v>#REF!</v>
      </c>
      <c r="AD137" s="274" t="e">
        <f t="shared" si="66"/>
        <v>#REF!</v>
      </c>
      <c r="AE137" s="274" t="e">
        <f t="shared" si="66"/>
        <v>#REF!</v>
      </c>
      <c r="AF137" s="274" t="e">
        <f t="shared" si="66"/>
        <v>#REF!</v>
      </c>
      <c r="AG137" s="274" t="e">
        <f t="shared" si="66"/>
        <v>#REF!</v>
      </c>
    </row>
    <row r="138" spans="1:33" s="225" customFormat="1">
      <c r="A138" s="223" t="s">
        <v>327</v>
      </c>
      <c r="B138" s="223"/>
      <c r="H138" s="272" t="e">
        <f>H141/H86</f>
        <v>#REF!</v>
      </c>
      <c r="AB138" s="272" t="e">
        <f>AB141/AB86</f>
        <v>#REF!</v>
      </c>
    </row>
    <row r="139" spans="1:33">
      <c r="A139" s="235" t="s">
        <v>41</v>
      </c>
      <c r="B139" s="235"/>
      <c r="C139" s="235">
        <v>2025</v>
      </c>
      <c r="D139" s="235">
        <f t="shared" ref="D139:AG139" si="67">C139+1</f>
        <v>2026</v>
      </c>
      <c r="E139" s="235">
        <f t="shared" si="67"/>
        <v>2027</v>
      </c>
      <c r="F139" s="235">
        <f t="shared" si="67"/>
        <v>2028</v>
      </c>
      <c r="G139" s="235">
        <f t="shared" si="67"/>
        <v>2029</v>
      </c>
      <c r="H139" s="235">
        <f t="shared" si="67"/>
        <v>2030</v>
      </c>
      <c r="I139" s="235">
        <f t="shared" si="67"/>
        <v>2031</v>
      </c>
      <c r="J139" s="235">
        <f t="shared" si="67"/>
        <v>2032</v>
      </c>
      <c r="K139" s="235">
        <f t="shared" si="67"/>
        <v>2033</v>
      </c>
      <c r="L139" s="235">
        <f t="shared" si="67"/>
        <v>2034</v>
      </c>
      <c r="M139" s="235">
        <f t="shared" si="67"/>
        <v>2035</v>
      </c>
      <c r="N139" s="235">
        <f t="shared" si="67"/>
        <v>2036</v>
      </c>
      <c r="O139" s="235">
        <f t="shared" si="67"/>
        <v>2037</v>
      </c>
      <c r="P139" s="235">
        <f t="shared" si="67"/>
        <v>2038</v>
      </c>
      <c r="Q139" s="235">
        <f t="shared" si="67"/>
        <v>2039</v>
      </c>
      <c r="R139" s="235">
        <f t="shared" si="67"/>
        <v>2040</v>
      </c>
      <c r="S139" s="235">
        <f t="shared" si="67"/>
        <v>2041</v>
      </c>
      <c r="T139" s="235">
        <f t="shared" si="67"/>
        <v>2042</v>
      </c>
      <c r="U139" s="235">
        <f t="shared" si="67"/>
        <v>2043</v>
      </c>
      <c r="V139" s="235">
        <f t="shared" si="67"/>
        <v>2044</v>
      </c>
      <c r="W139" s="235">
        <f t="shared" si="67"/>
        <v>2045</v>
      </c>
      <c r="X139" s="235">
        <f t="shared" si="67"/>
        <v>2046</v>
      </c>
      <c r="Y139" s="235">
        <f t="shared" si="67"/>
        <v>2047</v>
      </c>
      <c r="Z139" s="235">
        <f t="shared" si="67"/>
        <v>2048</v>
      </c>
      <c r="AA139" s="235">
        <f t="shared" si="67"/>
        <v>2049</v>
      </c>
      <c r="AB139" s="235">
        <f t="shared" si="67"/>
        <v>2050</v>
      </c>
      <c r="AC139" s="235">
        <f t="shared" si="67"/>
        <v>2051</v>
      </c>
      <c r="AD139" s="235">
        <f t="shared" si="67"/>
        <v>2052</v>
      </c>
      <c r="AE139" s="235">
        <f t="shared" si="67"/>
        <v>2053</v>
      </c>
      <c r="AF139" s="235">
        <f t="shared" si="67"/>
        <v>2054</v>
      </c>
      <c r="AG139" s="235">
        <f t="shared" si="67"/>
        <v>2055</v>
      </c>
    </row>
    <row r="140" spans="1:33">
      <c r="A140" s="173" t="s">
        <v>418</v>
      </c>
      <c r="B140" s="173" t="s">
        <v>309</v>
      </c>
      <c r="C140" s="179" t="e">
        <f>ROUND(($F$73*C60)/1000,0)*1000</f>
        <v>#REF!</v>
      </c>
      <c r="D140" s="179" t="e">
        <f>ROUND(($F$73*D60)/1000,0)*1000</f>
        <v>#REF!</v>
      </c>
      <c r="E140" s="179" t="e">
        <f>ROUND(($F$73*E60)/1000,0)*1000</f>
        <v>#REF!</v>
      </c>
      <c r="F140" s="179" t="e">
        <f t="shared" ref="F140:AG140" si="68">ROUND(($F$73*F60)/1000,0)*1000</f>
        <v>#REF!</v>
      </c>
      <c r="G140" s="179" t="e">
        <f t="shared" si="68"/>
        <v>#REF!</v>
      </c>
      <c r="H140" s="179" t="e">
        <f t="shared" si="68"/>
        <v>#REF!</v>
      </c>
      <c r="I140" s="179" t="e">
        <f t="shared" si="68"/>
        <v>#REF!</v>
      </c>
      <c r="J140" s="179" t="e">
        <f t="shared" si="68"/>
        <v>#REF!</v>
      </c>
      <c r="K140" s="179" t="e">
        <f t="shared" si="68"/>
        <v>#REF!</v>
      </c>
      <c r="L140" s="179" t="e">
        <f t="shared" si="68"/>
        <v>#REF!</v>
      </c>
      <c r="M140" s="179" t="e">
        <f t="shared" si="68"/>
        <v>#REF!</v>
      </c>
      <c r="N140" s="179" t="e">
        <f t="shared" si="68"/>
        <v>#REF!</v>
      </c>
      <c r="O140" s="179" t="e">
        <f t="shared" si="68"/>
        <v>#REF!</v>
      </c>
      <c r="P140" s="179" t="e">
        <f t="shared" si="68"/>
        <v>#REF!</v>
      </c>
      <c r="Q140" s="179" t="e">
        <f t="shared" si="68"/>
        <v>#REF!</v>
      </c>
      <c r="R140" s="179" t="e">
        <f t="shared" si="68"/>
        <v>#REF!</v>
      </c>
      <c r="S140" s="179" t="e">
        <f t="shared" si="68"/>
        <v>#REF!</v>
      </c>
      <c r="T140" s="179" t="e">
        <f t="shared" si="68"/>
        <v>#REF!</v>
      </c>
      <c r="U140" s="179" t="e">
        <f t="shared" si="68"/>
        <v>#REF!</v>
      </c>
      <c r="V140" s="179" t="e">
        <f t="shared" si="68"/>
        <v>#REF!</v>
      </c>
      <c r="W140" s="179" t="e">
        <f t="shared" si="68"/>
        <v>#REF!</v>
      </c>
      <c r="X140" s="179" t="e">
        <f t="shared" si="68"/>
        <v>#REF!</v>
      </c>
      <c r="Y140" s="179" t="e">
        <f t="shared" si="68"/>
        <v>#REF!</v>
      </c>
      <c r="Z140" s="179" t="e">
        <f t="shared" si="68"/>
        <v>#REF!</v>
      </c>
      <c r="AA140" s="179" t="e">
        <f t="shared" si="68"/>
        <v>#REF!</v>
      </c>
      <c r="AB140" s="179" t="e">
        <f t="shared" si="68"/>
        <v>#REF!</v>
      </c>
      <c r="AC140" s="179" t="e">
        <f t="shared" si="68"/>
        <v>#REF!</v>
      </c>
      <c r="AD140" s="179" t="e">
        <f t="shared" si="68"/>
        <v>#REF!</v>
      </c>
      <c r="AE140" s="179" t="e">
        <f t="shared" si="68"/>
        <v>#REF!</v>
      </c>
      <c r="AF140" s="179" t="e">
        <f t="shared" si="68"/>
        <v>#REF!</v>
      </c>
      <c r="AG140" s="179" t="e">
        <f t="shared" si="68"/>
        <v>#REF!</v>
      </c>
    </row>
    <row r="141" spans="1:33">
      <c r="A141" s="290" t="s">
        <v>328</v>
      </c>
      <c r="B141" s="173" t="s">
        <v>309</v>
      </c>
      <c r="C141" s="179" t="e">
        <f t="shared" ref="C141:AG141" si="69">C86+C140</f>
        <v>#REF!</v>
      </c>
      <c r="D141" s="179" t="e">
        <f t="shared" si="69"/>
        <v>#REF!</v>
      </c>
      <c r="E141" s="179" t="e">
        <f t="shared" si="69"/>
        <v>#REF!</v>
      </c>
      <c r="F141" s="179" t="e">
        <f t="shared" si="69"/>
        <v>#REF!</v>
      </c>
      <c r="G141" s="179" t="e">
        <f t="shared" si="69"/>
        <v>#REF!</v>
      </c>
      <c r="H141" s="179" t="e">
        <f t="shared" si="69"/>
        <v>#REF!</v>
      </c>
      <c r="I141" s="179" t="e">
        <f t="shared" si="69"/>
        <v>#REF!</v>
      </c>
      <c r="J141" s="179" t="e">
        <f t="shared" si="69"/>
        <v>#REF!</v>
      </c>
      <c r="K141" s="179" t="e">
        <f t="shared" si="69"/>
        <v>#REF!</v>
      </c>
      <c r="L141" s="179" t="e">
        <f t="shared" si="69"/>
        <v>#REF!</v>
      </c>
      <c r="M141" s="179" t="e">
        <f t="shared" si="69"/>
        <v>#REF!</v>
      </c>
      <c r="N141" s="179" t="e">
        <f t="shared" si="69"/>
        <v>#REF!</v>
      </c>
      <c r="O141" s="179" t="e">
        <f t="shared" si="69"/>
        <v>#REF!</v>
      </c>
      <c r="P141" s="179" t="e">
        <f t="shared" si="69"/>
        <v>#REF!</v>
      </c>
      <c r="Q141" s="179" t="e">
        <f t="shared" si="69"/>
        <v>#REF!</v>
      </c>
      <c r="R141" s="179" t="e">
        <f t="shared" si="69"/>
        <v>#REF!</v>
      </c>
      <c r="S141" s="179" t="e">
        <f t="shared" si="69"/>
        <v>#REF!</v>
      </c>
      <c r="T141" s="179" t="e">
        <f t="shared" si="69"/>
        <v>#REF!</v>
      </c>
      <c r="U141" s="179" t="e">
        <f t="shared" si="69"/>
        <v>#REF!</v>
      </c>
      <c r="V141" s="179" t="e">
        <f t="shared" si="69"/>
        <v>#REF!</v>
      </c>
      <c r="W141" s="179" t="e">
        <f t="shared" si="69"/>
        <v>#REF!</v>
      </c>
      <c r="X141" s="179" t="e">
        <f t="shared" si="69"/>
        <v>#REF!</v>
      </c>
      <c r="Y141" s="179" t="e">
        <f t="shared" si="69"/>
        <v>#REF!</v>
      </c>
      <c r="Z141" s="179" t="e">
        <f t="shared" si="69"/>
        <v>#REF!</v>
      </c>
      <c r="AA141" s="179" t="e">
        <f t="shared" si="69"/>
        <v>#REF!</v>
      </c>
      <c r="AB141" s="179" t="e">
        <f t="shared" si="69"/>
        <v>#REF!</v>
      </c>
      <c r="AC141" s="179" t="e">
        <f t="shared" si="69"/>
        <v>#REF!</v>
      </c>
      <c r="AD141" s="179" t="e">
        <f t="shared" si="69"/>
        <v>#REF!</v>
      </c>
      <c r="AE141" s="179" t="e">
        <f t="shared" si="69"/>
        <v>#REF!</v>
      </c>
      <c r="AF141" s="179" t="e">
        <f t="shared" si="69"/>
        <v>#REF!</v>
      </c>
      <c r="AG141" s="179" t="e">
        <f t="shared" si="69"/>
        <v>#REF!</v>
      </c>
    </row>
    <row r="142" spans="1:33">
      <c r="A142" s="173" t="s">
        <v>321</v>
      </c>
      <c r="B142" s="173" t="s">
        <v>309</v>
      </c>
      <c r="C142" s="179" t="e">
        <f t="shared" ref="C142:AG142" si="70">$F$82*C50</f>
        <v>#REF!</v>
      </c>
      <c r="D142" s="179" t="e">
        <f t="shared" si="70"/>
        <v>#REF!</v>
      </c>
      <c r="E142" s="179" t="e">
        <f t="shared" si="70"/>
        <v>#REF!</v>
      </c>
      <c r="F142" s="179" t="e">
        <f t="shared" si="70"/>
        <v>#REF!</v>
      </c>
      <c r="G142" s="179" t="e">
        <f t="shared" si="70"/>
        <v>#REF!</v>
      </c>
      <c r="H142" s="179" t="e">
        <f t="shared" si="70"/>
        <v>#REF!</v>
      </c>
      <c r="I142" s="179" t="e">
        <f t="shared" si="70"/>
        <v>#REF!</v>
      </c>
      <c r="J142" s="179" t="e">
        <f t="shared" si="70"/>
        <v>#REF!</v>
      </c>
      <c r="K142" s="179" t="e">
        <f t="shared" si="70"/>
        <v>#REF!</v>
      </c>
      <c r="L142" s="179" t="e">
        <f t="shared" si="70"/>
        <v>#REF!</v>
      </c>
      <c r="M142" s="179" t="e">
        <f t="shared" si="70"/>
        <v>#REF!</v>
      </c>
      <c r="N142" s="179" t="e">
        <f t="shared" si="70"/>
        <v>#REF!</v>
      </c>
      <c r="O142" s="179" t="e">
        <f t="shared" si="70"/>
        <v>#REF!</v>
      </c>
      <c r="P142" s="179" t="e">
        <f t="shared" si="70"/>
        <v>#REF!</v>
      </c>
      <c r="Q142" s="179" t="e">
        <f t="shared" si="70"/>
        <v>#REF!</v>
      </c>
      <c r="R142" s="179" t="e">
        <f t="shared" si="70"/>
        <v>#REF!</v>
      </c>
      <c r="S142" s="179" t="e">
        <f t="shared" si="70"/>
        <v>#REF!</v>
      </c>
      <c r="T142" s="179" t="e">
        <f t="shared" si="70"/>
        <v>#REF!</v>
      </c>
      <c r="U142" s="179" t="e">
        <f t="shared" si="70"/>
        <v>#REF!</v>
      </c>
      <c r="V142" s="179" t="e">
        <f t="shared" si="70"/>
        <v>#REF!</v>
      </c>
      <c r="W142" s="179" t="e">
        <f t="shared" si="70"/>
        <v>#REF!</v>
      </c>
      <c r="X142" s="179" t="e">
        <f t="shared" si="70"/>
        <v>#REF!</v>
      </c>
      <c r="Y142" s="179" t="e">
        <f t="shared" si="70"/>
        <v>#REF!</v>
      </c>
      <c r="Z142" s="179" t="e">
        <f t="shared" si="70"/>
        <v>#REF!</v>
      </c>
      <c r="AA142" s="179" t="e">
        <f t="shared" si="70"/>
        <v>#REF!</v>
      </c>
      <c r="AB142" s="179" t="e">
        <f t="shared" si="70"/>
        <v>#REF!</v>
      </c>
      <c r="AC142" s="179" t="e">
        <f t="shared" si="70"/>
        <v>#REF!</v>
      </c>
      <c r="AD142" s="179" t="e">
        <f t="shared" si="70"/>
        <v>#REF!</v>
      </c>
      <c r="AE142" s="179" t="e">
        <f t="shared" si="70"/>
        <v>#REF!</v>
      </c>
      <c r="AF142" s="179" t="e">
        <f t="shared" si="70"/>
        <v>#REF!</v>
      </c>
      <c r="AG142" s="179" t="e">
        <f t="shared" si="70"/>
        <v>#REF!</v>
      </c>
    </row>
    <row r="143" spans="1:33">
      <c r="A143" s="173" t="s">
        <v>317</v>
      </c>
      <c r="B143" s="173" t="s">
        <v>309</v>
      </c>
      <c r="C143" s="179" t="e">
        <f t="shared" ref="C143:AG143" si="71">$C$28*$C$27*C66</f>
        <v>#REF!</v>
      </c>
      <c r="D143" s="179" t="e">
        <f t="shared" si="71"/>
        <v>#REF!</v>
      </c>
      <c r="E143" s="179" t="e">
        <f t="shared" si="71"/>
        <v>#REF!</v>
      </c>
      <c r="F143" s="179" t="e">
        <f t="shared" si="71"/>
        <v>#REF!</v>
      </c>
      <c r="G143" s="179" t="e">
        <f t="shared" si="71"/>
        <v>#REF!</v>
      </c>
      <c r="H143" s="179" t="e">
        <f t="shared" si="71"/>
        <v>#REF!</v>
      </c>
      <c r="I143" s="179" t="e">
        <f t="shared" si="71"/>
        <v>#REF!</v>
      </c>
      <c r="J143" s="179" t="e">
        <f t="shared" si="71"/>
        <v>#REF!</v>
      </c>
      <c r="K143" s="179" t="e">
        <f t="shared" si="71"/>
        <v>#REF!</v>
      </c>
      <c r="L143" s="179" t="e">
        <f t="shared" si="71"/>
        <v>#REF!</v>
      </c>
      <c r="M143" s="179" t="e">
        <f t="shared" si="71"/>
        <v>#REF!</v>
      </c>
      <c r="N143" s="179" t="e">
        <f t="shared" si="71"/>
        <v>#REF!</v>
      </c>
      <c r="O143" s="179" t="e">
        <f t="shared" si="71"/>
        <v>#REF!</v>
      </c>
      <c r="P143" s="179" t="e">
        <f t="shared" si="71"/>
        <v>#REF!</v>
      </c>
      <c r="Q143" s="179" t="e">
        <f t="shared" si="71"/>
        <v>#REF!</v>
      </c>
      <c r="R143" s="179" t="e">
        <f t="shared" si="71"/>
        <v>#REF!</v>
      </c>
      <c r="S143" s="179" t="e">
        <f t="shared" si="71"/>
        <v>#REF!</v>
      </c>
      <c r="T143" s="179" t="e">
        <f t="shared" si="71"/>
        <v>#REF!</v>
      </c>
      <c r="U143" s="179" t="e">
        <f t="shared" si="71"/>
        <v>#REF!</v>
      </c>
      <c r="V143" s="179" t="e">
        <f t="shared" si="71"/>
        <v>#REF!</v>
      </c>
      <c r="W143" s="179" t="e">
        <f t="shared" si="71"/>
        <v>#REF!</v>
      </c>
      <c r="X143" s="179" t="e">
        <f t="shared" si="71"/>
        <v>#REF!</v>
      </c>
      <c r="Y143" s="179" t="e">
        <f t="shared" si="71"/>
        <v>#REF!</v>
      </c>
      <c r="Z143" s="179" t="e">
        <f t="shared" si="71"/>
        <v>#REF!</v>
      </c>
      <c r="AA143" s="179" t="e">
        <f t="shared" si="71"/>
        <v>#REF!</v>
      </c>
      <c r="AB143" s="179" t="e">
        <f t="shared" si="71"/>
        <v>#REF!</v>
      </c>
      <c r="AC143" s="179" t="e">
        <f t="shared" si="71"/>
        <v>#REF!</v>
      </c>
      <c r="AD143" s="179" t="e">
        <f t="shared" si="71"/>
        <v>#REF!</v>
      </c>
      <c r="AE143" s="179" t="e">
        <f t="shared" si="71"/>
        <v>#REF!</v>
      </c>
      <c r="AF143" s="179" t="e">
        <f t="shared" si="71"/>
        <v>#REF!</v>
      </c>
      <c r="AG143" s="179" t="e">
        <f t="shared" si="71"/>
        <v>#REF!</v>
      </c>
    </row>
    <row r="144" spans="1:33">
      <c r="A144" s="173" t="s">
        <v>319</v>
      </c>
      <c r="B144" s="173" t="s">
        <v>309</v>
      </c>
      <c r="C144" s="179" t="e">
        <f t="shared" ref="C144:AG144" si="72">C141*$C$34</f>
        <v>#REF!</v>
      </c>
      <c r="D144" s="179" t="e">
        <f t="shared" si="72"/>
        <v>#REF!</v>
      </c>
      <c r="E144" s="179" t="e">
        <f t="shared" si="72"/>
        <v>#REF!</v>
      </c>
      <c r="F144" s="179" t="e">
        <f t="shared" si="72"/>
        <v>#REF!</v>
      </c>
      <c r="G144" s="179" t="e">
        <f t="shared" si="72"/>
        <v>#REF!</v>
      </c>
      <c r="H144" s="179" t="e">
        <f t="shared" si="72"/>
        <v>#REF!</v>
      </c>
      <c r="I144" s="179" t="e">
        <f t="shared" si="72"/>
        <v>#REF!</v>
      </c>
      <c r="J144" s="179" t="e">
        <f t="shared" si="72"/>
        <v>#REF!</v>
      </c>
      <c r="K144" s="179" t="e">
        <f t="shared" si="72"/>
        <v>#REF!</v>
      </c>
      <c r="L144" s="179" t="e">
        <f t="shared" si="72"/>
        <v>#REF!</v>
      </c>
      <c r="M144" s="179" t="e">
        <f t="shared" si="72"/>
        <v>#REF!</v>
      </c>
      <c r="N144" s="179" t="e">
        <f t="shared" si="72"/>
        <v>#REF!</v>
      </c>
      <c r="O144" s="179" t="e">
        <f t="shared" si="72"/>
        <v>#REF!</v>
      </c>
      <c r="P144" s="179" t="e">
        <f t="shared" si="72"/>
        <v>#REF!</v>
      </c>
      <c r="Q144" s="179" t="e">
        <f t="shared" si="72"/>
        <v>#REF!</v>
      </c>
      <c r="R144" s="179" t="e">
        <f t="shared" si="72"/>
        <v>#REF!</v>
      </c>
      <c r="S144" s="179" t="e">
        <f t="shared" si="72"/>
        <v>#REF!</v>
      </c>
      <c r="T144" s="179" t="e">
        <f t="shared" si="72"/>
        <v>#REF!</v>
      </c>
      <c r="U144" s="179" t="e">
        <f t="shared" si="72"/>
        <v>#REF!</v>
      </c>
      <c r="V144" s="179" t="e">
        <f t="shared" si="72"/>
        <v>#REF!</v>
      </c>
      <c r="W144" s="179" t="e">
        <f t="shared" si="72"/>
        <v>#REF!</v>
      </c>
      <c r="X144" s="179" t="e">
        <f t="shared" si="72"/>
        <v>#REF!</v>
      </c>
      <c r="Y144" s="179" t="e">
        <f t="shared" si="72"/>
        <v>#REF!</v>
      </c>
      <c r="Z144" s="179" t="e">
        <f t="shared" si="72"/>
        <v>#REF!</v>
      </c>
      <c r="AA144" s="179" t="e">
        <f t="shared" si="72"/>
        <v>#REF!</v>
      </c>
      <c r="AB144" s="179" t="e">
        <f t="shared" si="72"/>
        <v>#REF!</v>
      </c>
      <c r="AC144" s="179" t="e">
        <f t="shared" si="72"/>
        <v>#REF!</v>
      </c>
      <c r="AD144" s="179" t="e">
        <f t="shared" si="72"/>
        <v>#REF!</v>
      </c>
      <c r="AE144" s="179" t="e">
        <f t="shared" si="72"/>
        <v>#REF!</v>
      </c>
      <c r="AF144" s="179" t="e">
        <f t="shared" si="72"/>
        <v>#REF!</v>
      </c>
      <c r="AG144" s="179" t="e">
        <f t="shared" si="72"/>
        <v>#REF!</v>
      </c>
    </row>
    <row r="145" spans="1:34" s="247" customFormat="1" ht="11.85" customHeight="1">
      <c r="A145" s="270" t="s">
        <v>414</v>
      </c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</row>
    <row r="146" spans="1:34">
      <c r="A146" s="173" t="s">
        <v>325</v>
      </c>
      <c r="B146" s="173" t="s">
        <v>313</v>
      </c>
      <c r="C146" s="179" t="e">
        <f t="shared" ref="C146:AG146" si="73">-PMT($C$33,$C$31,C141)</f>
        <v>#REF!</v>
      </c>
      <c r="D146" s="179" t="e">
        <f t="shared" si="73"/>
        <v>#REF!</v>
      </c>
      <c r="E146" s="179" t="e">
        <f t="shared" si="73"/>
        <v>#REF!</v>
      </c>
      <c r="F146" s="179" t="e">
        <f t="shared" si="73"/>
        <v>#REF!</v>
      </c>
      <c r="G146" s="179" t="e">
        <f t="shared" si="73"/>
        <v>#REF!</v>
      </c>
      <c r="H146" s="179" t="e">
        <f t="shared" si="73"/>
        <v>#REF!</v>
      </c>
      <c r="I146" s="179" t="e">
        <f t="shared" si="73"/>
        <v>#REF!</v>
      </c>
      <c r="J146" s="179" t="e">
        <f t="shared" si="73"/>
        <v>#REF!</v>
      </c>
      <c r="K146" s="179" t="e">
        <f t="shared" si="73"/>
        <v>#REF!</v>
      </c>
      <c r="L146" s="179" t="e">
        <f t="shared" si="73"/>
        <v>#REF!</v>
      </c>
      <c r="M146" s="179" t="e">
        <f t="shared" si="73"/>
        <v>#REF!</v>
      </c>
      <c r="N146" s="179" t="e">
        <f t="shared" si="73"/>
        <v>#REF!</v>
      </c>
      <c r="O146" s="179" t="e">
        <f t="shared" si="73"/>
        <v>#REF!</v>
      </c>
      <c r="P146" s="179" t="e">
        <f t="shared" si="73"/>
        <v>#REF!</v>
      </c>
      <c r="Q146" s="179" t="e">
        <f t="shared" si="73"/>
        <v>#REF!</v>
      </c>
      <c r="R146" s="179" t="e">
        <f t="shared" si="73"/>
        <v>#REF!</v>
      </c>
      <c r="S146" s="179" t="e">
        <f t="shared" si="73"/>
        <v>#REF!</v>
      </c>
      <c r="T146" s="179" t="e">
        <f t="shared" si="73"/>
        <v>#REF!</v>
      </c>
      <c r="U146" s="179" t="e">
        <f t="shared" si="73"/>
        <v>#REF!</v>
      </c>
      <c r="V146" s="179" t="e">
        <f t="shared" si="73"/>
        <v>#REF!</v>
      </c>
      <c r="W146" s="179" t="e">
        <f t="shared" si="73"/>
        <v>#REF!</v>
      </c>
      <c r="X146" s="179" t="e">
        <f t="shared" si="73"/>
        <v>#REF!</v>
      </c>
      <c r="Y146" s="179" t="e">
        <f t="shared" si="73"/>
        <v>#REF!</v>
      </c>
      <c r="Z146" s="179" t="e">
        <f t="shared" si="73"/>
        <v>#REF!</v>
      </c>
      <c r="AA146" s="179" t="e">
        <f t="shared" si="73"/>
        <v>#REF!</v>
      </c>
      <c r="AB146" s="179" t="e">
        <f t="shared" si="73"/>
        <v>#REF!</v>
      </c>
      <c r="AC146" s="179" t="e">
        <f t="shared" si="73"/>
        <v>#REF!</v>
      </c>
      <c r="AD146" s="179" t="e">
        <f t="shared" si="73"/>
        <v>#REF!</v>
      </c>
      <c r="AE146" s="179" t="e">
        <f t="shared" si="73"/>
        <v>#REF!</v>
      </c>
      <c r="AF146" s="179" t="e">
        <f t="shared" si="73"/>
        <v>#REF!</v>
      </c>
      <c r="AG146" s="179" t="e">
        <f t="shared" si="73"/>
        <v>#REF!</v>
      </c>
    </row>
    <row r="147" spans="1:34">
      <c r="A147" s="173" t="s">
        <v>321</v>
      </c>
      <c r="B147" s="173" t="s">
        <v>313</v>
      </c>
      <c r="C147" s="179" t="e">
        <f t="shared" ref="C147:AG149" si="74">C142</f>
        <v>#REF!</v>
      </c>
      <c r="D147" s="179" t="e">
        <f t="shared" si="74"/>
        <v>#REF!</v>
      </c>
      <c r="E147" s="179" t="e">
        <f t="shared" si="74"/>
        <v>#REF!</v>
      </c>
      <c r="F147" s="179" t="e">
        <f t="shared" si="74"/>
        <v>#REF!</v>
      </c>
      <c r="G147" s="179" t="e">
        <f t="shared" si="74"/>
        <v>#REF!</v>
      </c>
      <c r="H147" s="179" t="e">
        <f t="shared" si="74"/>
        <v>#REF!</v>
      </c>
      <c r="I147" s="179" t="e">
        <f t="shared" si="74"/>
        <v>#REF!</v>
      </c>
      <c r="J147" s="179" t="e">
        <f t="shared" si="74"/>
        <v>#REF!</v>
      </c>
      <c r="K147" s="179" t="e">
        <f t="shared" si="74"/>
        <v>#REF!</v>
      </c>
      <c r="L147" s="179" t="e">
        <f t="shared" si="74"/>
        <v>#REF!</v>
      </c>
      <c r="M147" s="179" t="e">
        <f t="shared" si="74"/>
        <v>#REF!</v>
      </c>
      <c r="N147" s="179" t="e">
        <f t="shared" si="74"/>
        <v>#REF!</v>
      </c>
      <c r="O147" s="179" t="e">
        <f t="shared" si="74"/>
        <v>#REF!</v>
      </c>
      <c r="P147" s="179" t="e">
        <f t="shared" si="74"/>
        <v>#REF!</v>
      </c>
      <c r="Q147" s="179" t="e">
        <f t="shared" si="74"/>
        <v>#REF!</v>
      </c>
      <c r="R147" s="179" t="e">
        <f t="shared" si="74"/>
        <v>#REF!</v>
      </c>
      <c r="S147" s="179" t="e">
        <f t="shared" si="74"/>
        <v>#REF!</v>
      </c>
      <c r="T147" s="179" t="e">
        <f t="shared" si="74"/>
        <v>#REF!</v>
      </c>
      <c r="U147" s="179" t="e">
        <f t="shared" si="74"/>
        <v>#REF!</v>
      </c>
      <c r="V147" s="179" t="e">
        <f t="shared" si="74"/>
        <v>#REF!</v>
      </c>
      <c r="W147" s="179" t="e">
        <f t="shared" si="74"/>
        <v>#REF!</v>
      </c>
      <c r="X147" s="179" t="e">
        <f t="shared" si="74"/>
        <v>#REF!</v>
      </c>
      <c r="Y147" s="179" t="e">
        <f t="shared" si="74"/>
        <v>#REF!</v>
      </c>
      <c r="Z147" s="179" t="e">
        <f t="shared" si="74"/>
        <v>#REF!</v>
      </c>
      <c r="AA147" s="179" t="e">
        <f t="shared" si="74"/>
        <v>#REF!</v>
      </c>
      <c r="AB147" s="179" t="e">
        <f t="shared" si="74"/>
        <v>#REF!</v>
      </c>
      <c r="AC147" s="179" t="e">
        <f t="shared" si="74"/>
        <v>#REF!</v>
      </c>
      <c r="AD147" s="179" t="e">
        <f t="shared" si="74"/>
        <v>#REF!</v>
      </c>
      <c r="AE147" s="179" t="e">
        <f t="shared" si="74"/>
        <v>#REF!</v>
      </c>
      <c r="AF147" s="179" t="e">
        <f t="shared" si="74"/>
        <v>#REF!</v>
      </c>
      <c r="AG147" s="179" t="e">
        <f t="shared" si="74"/>
        <v>#REF!</v>
      </c>
    </row>
    <row r="148" spans="1:34">
      <c r="A148" s="173" t="s">
        <v>317</v>
      </c>
      <c r="B148" s="173" t="s">
        <v>313</v>
      </c>
      <c r="C148" s="179" t="e">
        <f>C143</f>
        <v>#REF!</v>
      </c>
      <c r="D148" s="179" t="e">
        <f t="shared" si="74"/>
        <v>#REF!</v>
      </c>
      <c r="E148" s="179" t="e">
        <f t="shared" si="74"/>
        <v>#REF!</v>
      </c>
      <c r="F148" s="179" t="e">
        <f t="shared" si="74"/>
        <v>#REF!</v>
      </c>
      <c r="G148" s="179" t="e">
        <f t="shared" si="74"/>
        <v>#REF!</v>
      </c>
      <c r="H148" s="179" t="e">
        <f t="shared" si="74"/>
        <v>#REF!</v>
      </c>
      <c r="I148" s="179" t="e">
        <f t="shared" si="74"/>
        <v>#REF!</v>
      </c>
      <c r="J148" s="179" t="e">
        <f t="shared" si="74"/>
        <v>#REF!</v>
      </c>
      <c r="K148" s="179" t="e">
        <f t="shared" si="74"/>
        <v>#REF!</v>
      </c>
      <c r="L148" s="179" t="e">
        <f t="shared" si="74"/>
        <v>#REF!</v>
      </c>
      <c r="M148" s="179" t="e">
        <f t="shared" si="74"/>
        <v>#REF!</v>
      </c>
      <c r="N148" s="179" t="e">
        <f t="shared" si="74"/>
        <v>#REF!</v>
      </c>
      <c r="O148" s="179" t="e">
        <f t="shared" si="74"/>
        <v>#REF!</v>
      </c>
      <c r="P148" s="179" t="e">
        <f t="shared" si="74"/>
        <v>#REF!</v>
      </c>
      <c r="Q148" s="179" t="e">
        <f t="shared" si="74"/>
        <v>#REF!</v>
      </c>
      <c r="R148" s="179" t="e">
        <f t="shared" si="74"/>
        <v>#REF!</v>
      </c>
      <c r="S148" s="179" t="e">
        <f t="shared" si="74"/>
        <v>#REF!</v>
      </c>
      <c r="T148" s="179" t="e">
        <f t="shared" si="74"/>
        <v>#REF!</v>
      </c>
      <c r="U148" s="179" t="e">
        <f t="shared" si="74"/>
        <v>#REF!</v>
      </c>
      <c r="V148" s="179" t="e">
        <f t="shared" si="74"/>
        <v>#REF!</v>
      </c>
      <c r="W148" s="179" t="e">
        <f t="shared" si="74"/>
        <v>#REF!</v>
      </c>
      <c r="X148" s="179" t="e">
        <f t="shared" si="74"/>
        <v>#REF!</v>
      </c>
      <c r="Y148" s="179" t="e">
        <f t="shared" si="74"/>
        <v>#REF!</v>
      </c>
      <c r="Z148" s="179" t="e">
        <f t="shared" si="74"/>
        <v>#REF!</v>
      </c>
      <c r="AA148" s="179" t="e">
        <f t="shared" si="74"/>
        <v>#REF!</v>
      </c>
      <c r="AB148" s="179" t="e">
        <f t="shared" si="74"/>
        <v>#REF!</v>
      </c>
      <c r="AC148" s="179" t="e">
        <f t="shared" si="74"/>
        <v>#REF!</v>
      </c>
      <c r="AD148" s="179" t="e">
        <f t="shared" si="74"/>
        <v>#REF!</v>
      </c>
      <c r="AE148" s="179" t="e">
        <f t="shared" si="74"/>
        <v>#REF!</v>
      </c>
      <c r="AF148" s="179" t="e">
        <f t="shared" si="74"/>
        <v>#REF!</v>
      </c>
      <c r="AG148" s="179" t="e">
        <f t="shared" si="74"/>
        <v>#REF!</v>
      </c>
    </row>
    <row r="149" spans="1:34">
      <c r="A149" s="173" t="s">
        <v>319</v>
      </c>
      <c r="B149" s="173" t="s">
        <v>313</v>
      </c>
      <c r="C149" s="179" t="e">
        <f>C144</f>
        <v>#REF!</v>
      </c>
      <c r="D149" s="179" t="e">
        <f t="shared" si="74"/>
        <v>#REF!</v>
      </c>
      <c r="E149" s="179" t="e">
        <f t="shared" si="74"/>
        <v>#REF!</v>
      </c>
      <c r="F149" s="179" t="e">
        <f t="shared" si="74"/>
        <v>#REF!</v>
      </c>
      <c r="G149" s="179" t="e">
        <f t="shared" si="74"/>
        <v>#REF!</v>
      </c>
      <c r="H149" s="179" t="e">
        <f t="shared" si="74"/>
        <v>#REF!</v>
      </c>
      <c r="I149" s="179" t="e">
        <f t="shared" si="74"/>
        <v>#REF!</v>
      </c>
      <c r="J149" s="179" t="e">
        <f t="shared" si="74"/>
        <v>#REF!</v>
      </c>
      <c r="K149" s="179" t="e">
        <f t="shared" si="74"/>
        <v>#REF!</v>
      </c>
      <c r="L149" s="179" t="e">
        <f t="shared" si="74"/>
        <v>#REF!</v>
      </c>
      <c r="M149" s="179" t="e">
        <f t="shared" si="74"/>
        <v>#REF!</v>
      </c>
      <c r="N149" s="179" t="e">
        <f t="shared" si="74"/>
        <v>#REF!</v>
      </c>
      <c r="O149" s="179" t="e">
        <f t="shared" si="74"/>
        <v>#REF!</v>
      </c>
      <c r="P149" s="179" t="e">
        <f t="shared" si="74"/>
        <v>#REF!</v>
      </c>
      <c r="Q149" s="179" t="e">
        <f t="shared" si="74"/>
        <v>#REF!</v>
      </c>
      <c r="R149" s="179" t="e">
        <f t="shared" si="74"/>
        <v>#REF!</v>
      </c>
      <c r="S149" s="179" t="e">
        <f t="shared" si="74"/>
        <v>#REF!</v>
      </c>
      <c r="T149" s="179" t="e">
        <f t="shared" si="74"/>
        <v>#REF!</v>
      </c>
      <c r="U149" s="179" t="e">
        <f t="shared" si="74"/>
        <v>#REF!</v>
      </c>
      <c r="V149" s="179" t="e">
        <f t="shared" si="74"/>
        <v>#REF!</v>
      </c>
      <c r="W149" s="179" t="e">
        <f t="shared" si="74"/>
        <v>#REF!</v>
      </c>
      <c r="X149" s="179" t="e">
        <f t="shared" si="74"/>
        <v>#REF!</v>
      </c>
      <c r="Y149" s="179" t="e">
        <f t="shared" si="74"/>
        <v>#REF!</v>
      </c>
      <c r="Z149" s="179" t="e">
        <f t="shared" si="74"/>
        <v>#REF!</v>
      </c>
      <c r="AA149" s="179" t="e">
        <f t="shared" si="74"/>
        <v>#REF!</v>
      </c>
      <c r="AB149" s="179" t="e">
        <f t="shared" si="74"/>
        <v>#REF!</v>
      </c>
      <c r="AC149" s="179" t="e">
        <f t="shared" si="74"/>
        <v>#REF!</v>
      </c>
      <c r="AD149" s="179" t="e">
        <f t="shared" si="74"/>
        <v>#REF!</v>
      </c>
      <c r="AE149" s="179" t="e">
        <f t="shared" si="74"/>
        <v>#REF!</v>
      </c>
      <c r="AF149" s="179" t="e">
        <f t="shared" si="74"/>
        <v>#REF!</v>
      </c>
      <c r="AG149" s="179" t="e">
        <f t="shared" si="74"/>
        <v>#REF!</v>
      </c>
    </row>
    <row r="150" spans="1:34" s="247" customFormat="1" ht="11.85" customHeight="1">
      <c r="A150" s="270" t="s">
        <v>320</v>
      </c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</row>
    <row r="151" spans="1:34">
      <c r="A151" s="173" t="s">
        <v>325</v>
      </c>
      <c r="B151" s="173" t="s">
        <v>300</v>
      </c>
      <c r="C151" s="179" t="e">
        <f t="shared" ref="C151:AG152" si="75">C146/($C$28*$C$27)</f>
        <v>#REF!</v>
      </c>
      <c r="D151" s="179" t="e">
        <f t="shared" si="75"/>
        <v>#REF!</v>
      </c>
      <c r="E151" s="179" t="e">
        <f t="shared" si="75"/>
        <v>#REF!</v>
      </c>
      <c r="F151" s="179" t="e">
        <f t="shared" si="75"/>
        <v>#REF!</v>
      </c>
      <c r="G151" s="179" t="e">
        <f t="shared" si="75"/>
        <v>#REF!</v>
      </c>
      <c r="H151" s="179" t="e">
        <f t="shared" si="75"/>
        <v>#REF!</v>
      </c>
      <c r="I151" s="179" t="e">
        <f t="shared" si="75"/>
        <v>#REF!</v>
      </c>
      <c r="J151" s="179" t="e">
        <f t="shared" si="75"/>
        <v>#REF!</v>
      </c>
      <c r="K151" s="179" t="e">
        <f t="shared" si="75"/>
        <v>#REF!</v>
      </c>
      <c r="L151" s="179" t="e">
        <f t="shared" si="75"/>
        <v>#REF!</v>
      </c>
      <c r="M151" s="179" t="e">
        <f t="shared" si="75"/>
        <v>#REF!</v>
      </c>
      <c r="N151" s="179" t="e">
        <f t="shared" si="75"/>
        <v>#REF!</v>
      </c>
      <c r="O151" s="179" t="e">
        <f t="shared" si="75"/>
        <v>#REF!</v>
      </c>
      <c r="P151" s="179" t="e">
        <f t="shared" si="75"/>
        <v>#REF!</v>
      </c>
      <c r="Q151" s="179" t="e">
        <f t="shared" si="75"/>
        <v>#REF!</v>
      </c>
      <c r="R151" s="179" t="e">
        <f t="shared" si="75"/>
        <v>#REF!</v>
      </c>
      <c r="S151" s="179" t="e">
        <f t="shared" si="75"/>
        <v>#REF!</v>
      </c>
      <c r="T151" s="179" t="e">
        <f t="shared" si="75"/>
        <v>#REF!</v>
      </c>
      <c r="U151" s="179" t="e">
        <f t="shared" si="75"/>
        <v>#REF!</v>
      </c>
      <c r="V151" s="179" t="e">
        <f t="shared" si="75"/>
        <v>#REF!</v>
      </c>
      <c r="W151" s="179" t="e">
        <f t="shared" si="75"/>
        <v>#REF!</v>
      </c>
      <c r="X151" s="179" t="e">
        <f t="shared" si="75"/>
        <v>#REF!</v>
      </c>
      <c r="Y151" s="179" t="e">
        <f t="shared" si="75"/>
        <v>#REF!</v>
      </c>
      <c r="Z151" s="179" t="e">
        <f t="shared" si="75"/>
        <v>#REF!</v>
      </c>
      <c r="AA151" s="179" t="e">
        <f t="shared" si="75"/>
        <v>#REF!</v>
      </c>
      <c r="AB151" s="179" t="e">
        <f t="shared" si="75"/>
        <v>#REF!</v>
      </c>
      <c r="AC151" s="179" t="e">
        <f t="shared" si="75"/>
        <v>#REF!</v>
      </c>
      <c r="AD151" s="179" t="e">
        <f t="shared" si="75"/>
        <v>#REF!</v>
      </c>
      <c r="AE151" s="179" t="e">
        <f t="shared" si="75"/>
        <v>#REF!</v>
      </c>
      <c r="AF151" s="179" t="e">
        <f t="shared" si="75"/>
        <v>#REF!</v>
      </c>
      <c r="AG151" s="179" t="e">
        <f t="shared" si="75"/>
        <v>#REF!</v>
      </c>
    </row>
    <row r="152" spans="1:34">
      <c r="A152" s="173" t="s">
        <v>321</v>
      </c>
      <c r="B152" s="173" t="s">
        <v>300</v>
      </c>
      <c r="C152" s="179" t="e">
        <f t="shared" si="75"/>
        <v>#REF!</v>
      </c>
      <c r="D152" s="179" t="e">
        <f t="shared" si="75"/>
        <v>#REF!</v>
      </c>
      <c r="E152" s="179" t="e">
        <f t="shared" si="75"/>
        <v>#REF!</v>
      </c>
      <c r="F152" s="179" t="e">
        <f t="shared" si="75"/>
        <v>#REF!</v>
      </c>
      <c r="G152" s="179" t="e">
        <f t="shared" si="75"/>
        <v>#REF!</v>
      </c>
      <c r="H152" s="179" t="e">
        <f t="shared" si="75"/>
        <v>#REF!</v>
      </c>
      <c r="I152" s="179" t="e">
        <f t="shared" si="75"/>
        <v>#REF!</v>
      </c>
      <c r="J152" s="179" t="e">
        <f t="shared" si="75"/>
        <v>#REF!</v>
      </c>
      <c r="K152" s="179" t="e">
        <f t="shared" si="75"/>
        <v>#REF!</v>
      </c>
      <c r="L152" s="179" t="e">
        <f t="shared" si="75"/>
        <v>#REF!</v>
      </c>
      <c r="M152" s="179" t="e">
        <f t="shared" si="75"/>
        <v>#REF!</v>
      </c>
      <c r="N152" s="179" t="e">
        <f t="shared" si="75"/>
        <v>#REF!</v>
      </c>
      <c r="O152" s="179" t="e">
        <f t="shared" si="75"/>
        <v>#REF!</v>
      </c>
      <c r="P152" s="179" t="e">
        <f t="shared" si="75"/>
        <v>#REF!</v>
      </c>
      <c r="Q152" s="179" t="e">
        <f t="shared" si="75"/>
        <v>#REF!</v>
      </c>
      <c r="R152" s="179" t="e">
        <f t="shared" si="75"/>
        <v>#REF!</v>
      </c>
      <c r="S152" s="179" t="e">
        <f t="shared" si="75"/>
        <v>#REF!</v>
      </c>
      <c r="T152" s="179" t="e">
        <f t="shared" si="75"/>
        <v>#REF!</v>
      </c>
      <c r="U152" s="179" t="e">
        <f t="shared" si="75"/>
        <v>#REF!</v>
      </c>
      <c r="V152" s="179" t="e">
        <f t="shared" si="75"/>
        <v>#REF!</v>
      </c>
      <c r="W152" s="179" t="e">
        <f t="shared" si="75"/>
        <v>#REF!</v>
      </c>
      <c r="X152" s="179" t="e">
        <f t="shared" si="75"/>
        <v>#REF!</v>
      </c>
      <c r="Y152" s="179" t="e">
        <f t="shared" si="75"/>
        <v>#REF!</v>
      </c>
      <c r="Z152" s="179" t="e">
        <f t="shared" si="75"/>
        <v>#REF!</v>
      </c>
      <c r="AA152" s="179" t="e">
        <f t="shared" si="75"/>
        <v>#REF!</v>
      </c>
      <c r="AB152" s="179" t="e">
        <f t="shared" si="75"/>
        <v>#REF!</v>
      </c>
      <c r="AC152" s="179" t="e">
        <f t="shared" si="75"/>
        <v>#REF!</v>
      </c>
      <c r="AD152" s="179" t="e">
        <f t="shared" si="75"/>
        <v>#REF!</v>
      </c>
      <c r="AE152" s="179" t="e">
        <f t="shared" si="75"/>
        <v>#REF!</v>
      </c>
      <c r="AF152" s="179" t="e">
        <f t="shared" si="75"/>
        <v>#REF!</v>
      </c>
      <c r="AG152" s="179" t="e">
        <f t="shared" si="75"/>
        <v>#REF!</v>
      </c>
    </row>
    <row r="153" spans="1:34">
      <c r="A153" s="173" t="s">
        <v>322</v>
      </c>
      <c r="B153" s="173" t="s">
        <v>300</v>
      </c>
      <c r="C153" s="179" t="e">
        <f t="shared" ref="C153:AG153" si="76">(C148+C149+C70)/($C$28*$C$27)+C63</f>
        <v>#REF!</v>
      </c>
      <c r="D153" s="179" t="e">
        <f t="shared" si="76"/>
        <v>#REF!</v>
      </c>
      <c r="E153" s="179" t="e">
        <f t="shared" si="76"/>
        <v>#REF!</v>
      </c>
      <c r="F153" s="179" t="e">
        <f t="shared" si="76"/>
        <v>#REF!</v>
      </c>
      <c r="G153" s="179" t="e">
        <f t="shared" si="76"/>
        <v>#REF!</v>
      </c>
      <c r="H153" s="179" t="e">
        <f t="shared" si="76"/>
        <v>#REF!</v>
      </c>
      <c r="I153" s="179" t="e">
        <f t="shared" si="76"/>
        <v>#REF!</v>
      </c>
      <c r="J153" s="179" t="e">
        <f t="shared" si="76"/>
        <v>#REF!</v>
      </c>
      <c r="K153" s="179" t="e">
        <f t="shared" si="76"/>
        <v>#REF!</v>
      </c>
      <c r="L153" s="179" t="e">
        <f t="shared" si="76"/>
        <v>#REF!</v>
      </c>
      <c r="M153" s="179" t="e">
        <f t="shared" si="76"/>
        <v>#REF!</v>
      </c>
      <c r="N153" s="179" t="e">
        <f t="shared" si="76"/>
        <v>#REF!</v>
      </c>
      <c r="O153" s="179" t="e">
        <f t="shared" si="76"/>
        <v>#REF!</v>
      </c>
      <c r="P153" s="179" t="e">
        <f t="shared" si="76"/>
        <v>#REF!</v>
      </c>
      <c r="Q153" s="179" t="e">
        <f t="shared" si="76"/>
        <v>#REF!</v>
      </c>
      <c r="R153" s="179" t="e">
        <f t="shared" si="76"/>
        <v>#REF!</v>
      </c>
      <c r="S153" s="179" t="e">
        <f t="shared" si="76"/>
        <v>#REF!</v>
      </c>
      <c r="T153" s="179" t="e">
        <f t="shared" si="76"/>
        <v>#REF!</v>
      </c>
      <c r="U153" s="179" t="e">
        <f t="shared" si="76"/>
        <v>#REF!</v>
      </c>
      <c r="V153" s="179" t="e">
        <f t="shared" si="76"/>
        <v>#REF!</v>
      </c>
      <c r="W153" s="179" t="e">
        <f t="shared" si="76"/>
        <v>#REF!</v>
      </c>
      <c r="X153" s="179" t="e">
        <f t="shared" si="76"/>
        <v>#REF!</v>
      </c>
      <c r="Y153" s="179" t="e">
        <f t="shared" si="76"/>
        <v>#REF!</v>
      </c>
      <c r="Z153" s="179" t="e">
        <f t="shared" si="76"/>
        <v>#REF!</v>
      </c>
      <c r="AA153" s="179" t="e">
        <f t="shared" si="76"/>
        <v>#REF!</v>
      </c>
      <c r="AB153" s="179" t="e">
        <f t="shared" si="76"/>
        <v>#REF!</v>
      </c>
      <c r="AC153" s="179" t="e">
        <f t="shared" si="76"/>
        <v>#REF!</v>
      </c>
      <c r="AD153" s="179" t="e">
        <f t="shared" si="76"/>
        <v>#REF!</v>
      </c>
      <c r="AE153" s="179" t="e">
        <f t="shared" si="76"/>
        <v>#REF!</v>
      </c>
      <c r="AF153" s="179" t="e">
        <f t="shared" si="76"/>
        <v>#REF!</v>
      </c>
      <c r="AG153" s="179" t="e">
        <f t="shared" si="76"/>
        <v>#REF!</v>
      </c>
    </row>
    <row r="154" spans="1:34">
      <c r="C154" s="295" t="e">
        <f>SUM(C151:C153)</f>
        <v>#REF!</v>
      </c>
      <c r="D154" s="295" t="e">
        <f t="shared" ref="D154:AG154" si="77">SUM(D151:D153)</f>
        <v>#REF!</v>
      </c>
      <c r="E154" s="295" t="e">
        <f t="shared" si="77"/>
        <v>#REF!</v>
      </c>
      <c r="F154" s="295" t="e">
        <f t="shared" si="77"/>
        <v>#REF!</v>
      </c>
      <c r="G154" s="295" t="e">
        <f t="shared" si="77"/>
        <v>#REF!</v>
      </c>
      <c r="H154" s="295" t="e">
        <f t="shared" si="77"/>
        <v>#REF!</v>
      </c>
      <c r="I154" s="295" t="e">
        <f t="shared" si="77"/>
        <v>#REF!</v>
      </c>
      <c r="J154" s="295" t="e">
        <f t="shared" si="77"/>
        <v>#REF!</v>
      </c>
      <c r="K154" s="295" t="e">
        <f t="shared" si="77"/>
        <v>#REF!</v>
      </c>
      <c r="L154" s="295" t="e">
        <f t="shared" si="77"/>
        <v>#REF!</v>
      </c>
      <c r="M154" s="295" t="e">
        <f t="shared" si="77"/>
        <v>#REF!</v>
      </c>
      <c r="N154" s="295" t="e">
        <f t="shared" si="77"/>
        <v>#REF!</v>
      </c>
      <c r="O154" s="295" t="e">
        <f t="shared" si="77"/>
        <v>#REF!</v>
      </c>
      <c r="P154" s="295" t="e">
        <f t="shared" si="77"/>
        <v>#REF!</v>
      </c>
      <c r="Q154" s="295" t="e">
        <f t="shared" si="77"/>
        <v>#REF!</v>
      </c>
      <c r="R154" s="295" t="e">
        <f t="shared" si="77"/>
        <v>#REF!</v>
      </c>
      <c r="S154" s="295" t="e">
        <f t="shared" si="77"/>
        <v>#REF!</v>
      </c>
      <c r="T154" s="295" t="e">
        <f t="shared" si="77"/>
        <v>#REF!</v>
      </c>
      <c r="U154" s="295" t="e">
        <f t="shared" si="77"/>
        <v>#REF!</v>
      </c>
      <c r="V154" s="295" t="e">
        <f t="shared" si="77"/>
        <v>#REF!</v>
      </c>
      <c r="W154" s="295" t="e">
        <f t="shared" si="77"/>
        <v>#REF!</v>
      </c>
      <c r="X154" s="295" t="e">
        <f t="shared" si="77"/>
        <v>#REF!</v>
      </c>
      <c r="Y154" s="295" t="e">
        <f t="shared" si="77"/>
        <v>#REF!</v>
      </c>
      <c r="Z154" s="295" t="e">
        <f t="shared" si="77"/>
        <v>#REF!</v>
      </c>
      <c r="AA154" s="295" t="e">
        <f t="shared" si="77"/>
        <v>#REF!</v>
      </c>
      <c r="AB154" s="295" t="e">
        <f t="shared" si="77"/>
        <v>#REF!</v>
      </c>
      <c r="AC154" s="295" t="e">
        <f t="shared" si="77"/>
        <v>#REF!</v>
      </c>
      <c r="AD154" s="295" t="e">
        <f t="shared" si="77"/>
        <v>#REF!</v>
      </c>
      <c r="AE154" s="295" t="e">
        <f t="shared" si="77"/>
        <v>#REF!</v>
      </c>
      <c r="AF154" s="295" t="e">
        <f t="shared" si="77"/>
        <v>#REF!</v>
      </c>
      <c r="AG154" s="295" t="e">
        <f t="shared" si="77"/>
        <v>#REF!</v>
      </c>
    </row>
    <row r="155" spans="1:34" s="225" customFormat="1">
      <c r="A155" s="223" t="s">
        <v>182</v>
      </c>
      <c r="B155" s="223"/>
      <c r="H155" s="275" t="e">
        <f>SUM(H157:H160)/H86</f>
        <v>#REF!</v>
      </c>
      <c r="AB155" s="275" t="e">
        <f>SUM(AB157:AB160)/AB86</f>
        <v>#REF!</v>
      </c>
    </row>
    <row r="156" spans="1:34">
      <c r="A156" s="235" t="s">
        <v>41</v>
      </c>
      <c r="B156" s="235"/>
      <c r="C156" s="235">
        <v>2025</v>
      </c>
      <c r="D156" s="235">
        <f t="shared" ref="D156:AG156" si="78">C156+1</f>
        <v>2026</v>
      </c>
      <c r="E156" s="235">
        <f t="shared" si="78"/>
        <v>2027</v>
      </c>
      <c r="F156" s="235">
        <f t="shared" si="78"/>
        <v>2028</v>
      </c>
      <c r="G156" s="235">
        <f t="shared" si="78"/>
        <v>2029</v>
      </c>
      <c r="H156" s="235">
        <f t="shared" si="78"/>
        <v>2030</v>
      </c>
      <c r="I156" s="235">
        <f t="shared" si="78"/>
        <v>2031</v>
      </c>
      <c r="J156" s="235">
        <f t="shared" si="78"/>
        <v>2032</v>
      </c>
      <c r="K156" s="235">
        <f t="shared" si="78"/>
        <v>2033</v>
      </c>
      <c r="L156" s="235">
        <f t="shared" si="78"/>
        <v>2034</v>
      </c>
      <c r="M156" s="235">
        <f t="shared" si="78"/>
        <v>2035</v>
      </c>
      <c r="N156" s="235">
        <f t="shared" si="78"/>
        <v>2036</v>
      </c>
      <c r="O156" s="235">
        <f t="shared" si="78"/>
        <v>2037</v>
      </c>
      <c r="P156" s="235">
        <f t="shared" si="78"/>
        <v>2038</v>
      </c>
      <c r="Q156" s="235">
        <f t="shared" si="78"/>
        <v>2039</v>
      </c>
      <c r="R156" s="235">
        <f t="shared" si="78"/>
        <v>2040</v>
      </c>
      <c r="S156" s="235">
        <f t="shared" si="78"/>
        <v>2041</v>
      </c>
      <c r="T156" s="235">
        <f t="shared" si="78"/>
        <v>2042</v>
      </c>
      <c r="U156" s="235">
        <f t="shared" si="78"/>
        <v>2043</v>
      </c>
      <c r="V156" s="235">
        <f t="shared" si="78"/>
        <v>2044</v>
      </c>
      <c r="W156" s="235">
        <f t="shared" si="78"/>
        <v>2045</v>
      </c>
      <c r="X156" s="235">
        <f t="shared" si="78"/>
        <v>2046</v>
      </c>
      <c r="Y156" s="235">
        <f t="shared" si="78"/>
        <v>2047</v>
      </c>
      <c r="Z156" s="235">
        <f t="shared" si="78"/>
        <v>2048</v>
      </c>
      <c r="AA156" s="235">
        <f t="shared" si="78"/>
        <v>2049</v>
      </c>
      <c r="AB156" s="235">
        <f t="shared" si="78"/>
        <v>2050</v>
      </c>
      <c r="AC156" s="235">
        <f t="shared" si="78"/>
        <v>2051</v>
      </c>
      <c r="AD156" s="235">
        <f t="shared" si="78"/>
        <v>2052</v>
      </c>
      <c r="AE156" s="235">
        <f t="shared" si="78"/>
        <v>2053</v>
      </c>
      <c r="AF156" s="235">
        <f t="shared" si="78"/>
        <v>2054</v>
      </c>
      <c r="AG156" s="235">
        <f t="shared" si="78"/>
        <v>2055</v>
      </c>
    </row>
    <row r="157" spans="1:34">
      <c r="A157" s="290" t="s">
        <v>419</v>
      </c>
      <c r="B157" s="173" t="s">
        <v>309</v>
      </c>
      <c r="C157" s="238" t="e">
        <f t="shared" ref="C157:AG157" si="79">$G$81*C56</f>
        <v>#REF!</v>
      </c>
      <c r="D157" s="238" t="e">
        <f t="shared" si="79"/>
        <v>#REF!</v>
      </c>
      <c r="E157" s="238" t="e">
        <f t="shared" si="79"/>
        <v>#REF!</v>
      </c>
      <c r="F157" s="238" t="e">
        <f t="shared" si="79"/>
        <v>#REF!</v>
      </c>
      <c r="G157" s="238" t="e">
        <f t="shared" si="79"/>
        <v>#REF!</v>
      </c>
      <c r="H157" s="238" t="e">
        <f t="shared" si="79"/>
        <v>#REF!</v>
      </c>
      <c r="I157" s="238" t="e">
        <f t="shared" si="79"/>
        <v>#REF!</v>
      </c>
      <c r="J157" s="238" t="e">
        <f t="shared" si="79"/>
        <v>#REF!</v>
      </c>
      <c r="K157" s="238" t="e">
        <f t="shared" si="79"/>
        <v>#REF!</v>
      </c>
      <c r="L157" s="238" t="e">
        <f t="shared" si="79"/>
        <v>#REF!</v>
      </c>
      <c r="M157" s="238" t="e">
        <f t="shared" si="79"/>
        <v>#REF!</v>
      </c>
      <c r="N157" s="238" t="e">
        <f t="shared" si="79"/>
        <v>#REF!</v>
      </c>
      <c r="O157" s="238" t="e">
        <f t="shared" si="79"/>
        <v>#REF!</v>
      </c>
      <c r="P157" s="238" t="e">
        <f t="shared" si="79"/>
        <v>#REF!</v>
      </c>
      <c r="Q157" s="238" t="e">
        <f t="shared" si="79"/>
        <v>#REF!</v>
      </c>
      <c r="R157" s="238" t="e">
        <f t="shared" si="79"/>
        <v>#REF!</v>
      </c>
      <c r="S157" s="238" t="e">
        <f t="shared" si="79"/>
        <v>#REF!</v>
      </c>
      <c r="T157" s="238" t="e">
        <f t="shared" si="79"/>
        <v>#REF!</v>
      </c>
      <c r="U157" s="238" t="e">
        <f t="shared" si="79"/>
        <v>#REF!</v>
      </c>
      <c r="V157" s="238" t="e">
        <f t="shared" si="79"/>
        <v>#REF!</v>
      </c>
      <c r="W157" s="238" t="e">
        <f t="shared" si="79"/>
        <v>#REF!</v>
      </c>
      <c r="X157" s="238" t="e">
        <f t="shared" si="79"/>
        <v>#REF!</v>
      </c>
      <c r="Y157" s="238" t="e">
        <f t="shared" si="79"/>
        <v>#REF!</v>
      </c>
      <c r="Z157" s="238" t="e">
        <f t="shared" si="79"/>
        <v>#REF!</v>
      </c>
      <c r="AA157" s="238" t="e">
        <f t="shared" si="79"/>
        <v>#REF!</v>
      </c>
      <c r="AB157" s="238" t="e">
        <f t="shared" si="79"/>
        <v>#REF!</v>
      </c>
      <c r="AC157" s="238" t="e">
        <f t="shared" si="79"/>
        <v>#REF!</v>
      </c>
      <c r="AD157" s="238" t="e">
        <f t="shared" si="79"/>
        <v>#REF!</v>
      </c>
      <c r="AE157" s="238" t="e">
        <f t="shared" si="79"/>
        <v>#REF!</v>
      </c>
      <c r="AF157" s="238" t="e">
        <f t="shared" si="79"/>
        <v>#REF!</v>
      </c>
      <c r="AG157" s="238" t="e">
        <f t="shared" si="79"/>
        <v>#REF!</v>
      </c>
    </row>
    <row r="158" spans="1:34">
      <c r="A158" s="290" t="s">
        <v>420</v>
      </c>
      <c r="B158" s="173" t="s">
        <v>309</v>
      </c>
      <c r="C158" s="179" t="e">
        <f t="shared" ref="C158:AG158" si="80">C61</f>
        <v>#REF!</v>
      </c>
      <c r="D158" s="179" t="e">
        <f t="shared" si="80"/>
        <v>#REF!</v>
      </c>
      <c r="E158" s="179" t="e">
        <f t="shared" si="80"/>
        <v>#REF!</v>
      </c>
      <c r="F158" s="179" t="e">
        <f t="shared" si="80"/>
        <v>#REF!</v>
      </c>
      <c r="G158" s="179" t="e">
        <f t="shared" si="80"/>
        <v>#REF!</v>
      </c>
      <c r="H158" s="179" t="e">
        <f t="shared" si="80"/>
        <v>#REF!</v>
      </c>
      <c r="I158" s="179" t="e">
        <f t="shared" si="80"/>
        <v>#REF!</v>
      </c>
      <c r="J158" s="179" t="e">
        <f t="shared" si="80"/>
        <v>#REF!</v>
      </c>
      <c r="K158" s="179" t="e">
        <f t="shared" si="80"/>
        <v>#REF!</v>
      </c>
      <c r="L158" s="179" t="e">
        <f t="shared" si="80"/>
        <v>#REF!</v>
      </c>
      <c r="M158" s="179" t="e">
        <f t="shared" si="80"/>
        <v>#REF!</v>
      </c>
      <c r="N158" s="179" t="e">
        <f t="shared" si="80"/>
        <v>#REF!</v>
      </c>
      <c r="O158" s="179" t="e">
        <f t="shared" si="80"/>
        <v>#REF!</v>
      </c>
      <c r="P158" s="179" t="e">
        <f t="shared" si="80"/>
        <v>#REF!</v>
      </c>
      <c r="Q158" s="179" t="e">
        <f t="shared" si="80"/>
        <v>#REF!</v>
      </c>
      <c r="R158" s="179" t="e">
        <f t="shared" si="80"/>
        <v>#REF!</v>
      </c>
      <c r="S158" s="179" t="e">
        <f t="shared" si="80"/>
        <v>#REF!</v>
      </c>
      <c r="T158" s="179" t="e">
        <f t="shared" si="80"/>
        <v>#REF!</v>
      </c>
      <c r="U158" s="179" t="e">
        <f t="shared" si="80"/>
        <v>#REF!</v>
      </c>
      <c r="V158" s="179" t="e">
        <f t="shared" si="80"/>
        <v>#REF!</v>
      </c>
      <c r="W158" s="179" t="e">
        <f t="shared" si="80"/>
        <v>#REF!</v>
      </c>
      <c r="X158" s="179" t="e">
        <f t="shared" si="80"/>
        <v>#REF!</v>
      </c>
      <c r="Y158" s="179" t="e">
        <f t="shared" si="80"/>
        <v>#REF!</v>
      </c>
      <c r="Z158" s="179" t="e">
        <f t="shared" si="80"/>
        <v>#REF!</v>
      </c>
      <c r="AA158" s="179" t="e">
        <f t="shared" si="80"/>
        <v>#REF!</v>
      </c>
      <c r="AB158" s="179" t="e">
        <f t="shared" si="80"/>
        <v>#REF!</v>
      </c>
      <c r="AC158" s="179" t="e">
        <f t="shared" si="80"/>
        <v>#REF!</v>
      </c>
      <c r="AD158" s="179" t="e">
        <f t="shared" si="80"/>
        <v>#REF!</v>
      </c>
      <c r="AE158" s="179" t="e">
        <f t="shared" si="80"/>
        <v>#REF!</v>
      </c>
      <c r="AF158" s="179" t="e">
        <f t="shared" si="80"/>
        <v>#REF!</v>
      </c>
      <c r="AG158" s="179" t="e">
        <f t="shared" si="80"/>
        <v>#REF!</v>
      </c>
    </row>
    <row r="159" spans="1:34">
      <c r="A159" s="291" t="s">
        <v>421</v>
      </c>
      <c r="B159" s="229"/>
      <c r="C159" s="238" t="e">
        <f>C12</f>
        <v>#REF!</v>
      </c>
      <c r="D159" s="238" t="e">
        <f t="shared" ref="D159:AG159" si="81">C159*(1+$AH159)</f>
        <v>#REF!</v>
      </c>
      <c r="E159" s="238" t="e">
        <f t="shared" si="81"/>
        <v>#REF!</v>
      </c>
      <c r="F159" s="238" t="e">
        <f t="shared" si="81"/>
        <v>#REF!</v>
      </c>
      <c r="G159" s="238" t="e">
        <f t="shared" si="81"/>
        <v>#REF!</v>
      </c>
      <c r="H159" s="238" t="e">
        <f t="shared" si="81"/>
        <v>#REF!</v>
      </c>
      <c r="I159" s="238" t="e">
        <f t="shared" si="81"/>
        <v>#REF!</v>
      </c>
      <c r="J159" s="238" t="e">
        <f t="shared" si="81"/>
        <v>#REF!</v>
      </c>
      <c r="K159" s="238" t="e">
        <f t="shared" si="81"/>
        <v>#REF!</v>
      </c>
      <c r="L159" s="238" t="e">
        <f t="shared" si="81"/>
        <v>#REF!</v>
      </c>
      <c r="M159" s="238" t="e">
        <f t="shared" si="81"/>
        <v>#REF!</v>
      </c>
      <c r="N159" s="238" t="e">
        <f t="shared" si="81"/>
        <v>#REF!</v>
      </c>
      <c r="O159" s="238" t="e">
        <f t="shared" si="81"/>
        <v>#REF!</v>
      </c>
      <c r="P159" s="238" t="e">
        <f t="shared" si="81"/>
        <v>#REF!</v>
      </c>
      <c r="Q159" s="238" t="e">
        <f t="shared" si="81"/>
        <v>#REF!</v>
      </c>
      <c r="R159" s="238" t="e">
        <f t="shared" si="81"/>
        <v>#REF!</v>
      </c>
      <c r="S159" s="238" t="e">
        <f t="shared" si="81"/>
        <v>#REF!</v>
      </c>
      <c r="T159" s="238" t="e">
        <f t="shared" si="81"/>
        <v>#REF!</v>
      </c>
      <c r="U159" s="238" t="e">
        <f t="shared" si="81"/>
        <v>#REF!</v>
      </c>
      <c r="V159" s="238" t="e">
        <f t="shared" si="81"/>
        <v>#REF!</v>
      </c>
      <c r="W159" s="238" t="e">
        <f t="shared" si="81"/>
        <v>#REF!</v>
      </c>
      <c r="X159" s="238" t="e">
        <f t="shared" si="81"/>
        <v>#REF!</v>
      </c>
      <c r="Y159" s="238" t="e">
        <f t="shared" si="81"/>
        <v>#REF!</v>
      </c>
      <c r="Z159" s="238" t="e">
        <f t="shared" si="81"/>
        <v>#REF!</v>
      </c>
      <c r="AA159" s="238" t="e">
        <f t="shared" si="81"/>
        <v>#REF!</v>
      </c>
      <c r="AB159" s="238" t="e">
        <f t="shared" si="81"/>
        <v>#REF!</v>
      </c>
      <c r="AC159" s="238" t="e">
        <f t="shared" si="81"/>
        <v>#REF!</v>
      </c>
      <c r="AD159" s="238" t="e">
        <f t="shared" si="81"/>
        <v>#REF!</v>
      </c>
      <c r="AE159" s="238" t="e">
        <f t="shared" si="81"/>
        <v>#REF!</v>
      </c>
      <c r="AF159" s="238" t="e">
        <f t="shared" si="81"/>
        <v>#REF!</v>
      </c>
      <c r="AG159" s="238" t="e">
        <f t="shared" si="81"/>
        <v>#REF!</v>
      </c>
      <c r="AH159" s="237">
        <v>1.4999999999999999E-2</v>
      </c>
    </row>
    <row r="160" spans="1:34">
      <c r="A160" s="290" t="s">
        <v>422</v>
      </c>
      <c r="B160" s="173" t="s">
        <v>309</v>
      </c>
      <c r="C160" s="238" t="e">
        <f>(C86-C159+C158)</f>
        <v>#REF!</v>
      </c>
      <c r="D160" s="238" t="e">
        <f t="shared" ref="D160:AG160" si="82">(D86-D159+D158)</f>
        <v>#REF!</v>
      </c>
      <c r="E160" s="238" t="e">
        <f t="shared" si="82"/>
        <v>#REF!</v>
      </c>
      <c r="F160" s="238" t="e">
        <f t="shared" si="82"/>
        <v>#REF!</v>
      </c>
      <c r="G160" s="238" t="e">
        <f t="shared" si="82"/>
        <v>#REF!</v>
      </c>
      <c r="H160" s="238" t="e">
        <f t="shared" si="82"/>
        <v>#REF!</v>
      </c>
      <c r="I160" s="238" t="e">
        <f t="shared" si="82"/>
        <v>#REF!</v>
      </c>
      <c r="J160" s="238" t="e">
        <f t="shared" si="82"/>
        <v>#REF!</v>
      </c>
      <c r="K160" s="238" t="e">
        <f t="shared" si="82"/>
        <v>#REF!</v>
      </c>
      <c r="L160" s="238" t="e">
        <f t="shared" si="82"/>
        <v>#REF!</v>
      </c>
      <c r="M160" s="238" t="e">
        <f t="shared" si="82"/>
        <v>#REF!</v>
      </c>
      <c r="N160" s="238" t="e">
        <f t="shared" si="82"/>
        <v>#REF!</v>
      </c>
      <c r="O160" s="238" t="e">
        <f t="shared" si="82"/>
        <v>#REF!</v>
      </c>
      <c r="P160" s="238" t="e">
        <f t="shared" si="82"/>
        <v>#REF!</v>
      </c>
      <c r="Q160" s="238" t="e">
        <f t="shared" si="82"/>
        <v>#REF!</v>
      </c>
      <c r="R160" s="238" t="e">
        <f t="shared" si="82"/>
        <v>#REF!</v>
      </c>
      <c r="S160" s="238" t="e">
        <f t="shared" si="82"/>
        <v>#REF!</v>
      </c>
      <c r="T160" s="238" t="e">
        <f t="shared" si="82"/>
        <v>#REF!</v>
      </c>
      <c r="U160" s="238" t="e">
        <f t="shared" si="82"/>
        <v>#REF!</v>
      </c>
      <c r="V160" s="238" t="e">
        <f t="shared" si="82"/>
        <v>#REF!</v>
      </c>
      <c r="W160" s="238" t="e">
        <f t="shared" si="82"/>
        <v>#REF!</v>
      </c>
      <c r="X160" s="238" t="e">
        <f t="shared" si="82"/>
        <v>#REF!</v>
      </c>
      <c r="Y160" s="238" t="e">
        <f t="shared" si="82"/>
        <v>#REF!</v>
      </c>
      <c r="Z160" s="238" t="e">
        <f t="shared" si="82"/>
        <v>#REF!</v>
      </c>
      <c r="AA160" s="238" t="e">
        <f t="shared" si="82"/>
        <v>#REF!</v>
      </c>
      <c r="AB160" s="238" t="e">
        <f t="shared" si="82"/>
        <v>#REF!</v>
      </c>
      <c r="AC160" s="238" t="e">
        <f t="shared" si="82"/>
        <v>#REF!</v>
      </c>
      <c r="AD160" s="238" t="e">
        <f t="shared" si="82"/>
        <v>#REF!</v>
      </c>
      <c r="AE160" s="238" t="e">
        <f t="shared" si="82"/>
        <v>#REF!</v>
      </c>
      <c r="AF160" s="238" t="e">
        <f t="shared" si="82"/>
        <v>#REF!</v>
      </c>
      <c r="AG160" s="238" t="e">
        <f t="shared" si="82"/>
        <v>#REF!</v>
      </c>
    </row>
    <row r="161" spans="1:33">
      <c r="A161" s="173" t="s">
        <v>423</v>
      </c>
      <c r="B161" s="173" t="s">
        <v>309</v>
      </c>
      <c r="C161" s="238" t="e">
        <f t="shared" ref="C161:AG161" si="83">$C$35*C157</f>
        <v>#REF!</v>
      </c>
      <c r="D161" s="238" t="e">
        <f t="shared" si="83"/>
        <v>#REF!</v>
      </c>
      <c r="E161" s="238" t="e">
        <f t="shared" si="83"/>
        <v>#REF!</v>
      </c>
      <c r="F161" s="238" t="e">
        <f t="shared" si="83"/>
        <v>#REF!</v>
      </c>
      <c r="G161" s="238" t="e">
        <f t="shared" si="83"/>
        <v>#REF!</v>
      </c>
      <c r="H161" s="238" t="e">
        <f t="shared" si="83"/>
        <v>#REF!</v>
      </c>
      <c r="I161" s="238" t="e">
        <f t="shared" si="83"/>
        <v>#REF!</v>
      </c>
      <c r="J161" s="238" t="e">
        <f t="shared" si="83"/>
        <v>#REF!</v>
      </c>
      <c r="K161" s="238" t="e">
        <f t="shared" si="83"/>
        <v>#REF!</v>
      </c>
      <c r="L161" s="238" t="e">
        <f t="shared" si="83"/>
        <v>#REF!</v>
      </c>
      <c r="M161" s="238" t="e">
        <f t="shared" si="83"/>
        <v>#REF!</v>
      </c>
      <c r="N161" s="238" t="e">
        <f t="shared" si="83"/>
        <v>#REF!</v>
      </c>
      <c r="O161" s="238" t="e">
        <f t="shared" si="83"/>
        <v>#REF!</v>
      </c>
      <c r="P161" s="238" t="e">
        <f t="shared" si="83"/>
        <v>#REF!</v>
      </c>
      <c r="Q161" s="238" t="e">
        <f t="shared" si="83"/>
        <v>#REF!</v>
      </c>
      <c r="R161" s="238" t="e">
        <f t="shared" si="83"/>
        <v>#REF!</v>
      </c>
      <c r="S161" s="238" t="e">
        <f t="shared" si="83"/>
        <v>#REF!</v>
      </c>
      <c r="T161" s="238" t="e">
        <f t="shared" si="83"/>
        <v>#REF!</v>
      </c>
      <c r="U161" s="238" t="e">
        <f t="shared" si="83"/>
        <v>#REF!</v>
      </c>
      <c r="V161" s="238" t="e">
        <f t="shared" si="83"/>
        <v>#REF!</v>
      </c>
      <c r="W161" s="238" t="e">
        <f t="shared" si="83"/>
        <v>#REF!</v>
      </c>
      <c r="X161" s="238" t="e">
        <f t="shared" si="83"/>
        <v>#REF!</v>
      </c>
      <c r="Y161" s="238" t="e">
        <f t="shared" si="83"/>
        <v>#REF!</v>
      </c>
      <c r="Z161" s="238" t="e">
        <f t="shared" si="83"/>
        <v>#REF!</v>
      </c>
      <c r="AA161" s="238" t="e">
        <f t="shared" si="83"/>
        <v>#REF!</v>
      </c>
      <c r="AB161" s="238" t="e">
        <f t="shared" si="83"/>
        <v>#REF!</v>
      </c>
      <c r="AC161" s="238" t="e">
        <f t="shared" si="83"/>
        <v>#REF!</v>
      </c>
      <c r="AD161" s="238" t="e">
        <f t="shared" si="83"/>
        <v>#REF!</v>
      </c>
      <c r="AE161" s="238" t="e">
        <f t="shared" si="83"/>
        <v>#REF!</v>
      </c>
      <c r="AF161" s="238" t="e">
        <f t="shared" si="83"/>
        <v>#REF!</v>
      </c>
      <c r="AG161" s="238" t="e">
        <f t="shared" si="83"/>
        <v>#REF!</v>
      </c>
    </row>
    <row r="162" spans="1:33">
      <c r="A162" s="290" t="s">
        <v>329</v>
      </c>
      <c r="B162" s="173" t="s">
        <v>309</v>
      </c>
      <c r="C162" s="179" t="e">
        <f t="shared" ref="C162:AG162" si="84">C160+C157+C161</f>
        <v>#REF!</v>
      </c>
      <c r="D162" s="179" t="e">
        <f t="shared" si="84"/>
        <v>#REF!</v>
      </c>
      <c r="E162" s="179" t="e">
        <f t="shared" si="84"/>
        <v>#REF!</v>
      </c>
      <c r="F162" s="179" t="e">
        <f t="shared" si="84"/>
        <v>#REF!</v>
      </c>
      <c r="G162" s="179" t="e">
        <f t="shared" si="84"/>
        <v>#REF!</v>
      </c>
      <c r="H162" s="179" t="e">
        <f t="shared" si="84"/>
        <v>#REF!</v>
      </c>
      <c r="I162" s="179" t="e">
        <f t="shared" si="84"/>
        <v>#REF!</v>
      </c>
      <c r="J162" s="179" t="e">
        <f t="shared" si="84"/>
        <v>#REF!</v>
      </c>
      <c r="K162" s="179" t="e">
        <f t="shared" si="84"/>
        <v>#REF!</v>
      </c>
      <c r="L162" s="179" t="e">
        <f t="shared" si="84"/>
        <v>#REF!</v>
      </c>
      <c r="M162" s="179" t="e">
        <f t="shared" si="84"/>
        <v>#REF!</v>
      </c>
      <c r="N162" s="179" t="e">
        <f t="shared" si="84"/>
        <v>#REF!</v>
      </c>
      <c r="O162" s="179" t="e">
        <f t="shared" si="84"/>
        <v>#REF!</v>
      </c>
      <c r="P162" s="179" t="e">
        <f t="shared" si="84"/>
        <v>#REF!</v>
      </c>
      <c r="Q162" s="179" t="e">
        <f t="shared" si="84"/>
        <v>#REF!</v>
      </c>
      <c r="R162" s="179" t="e">
        <f t="shared" si="84"/>
        <v>#REF!</v>
      </c>
      <c r="S162" s="179" t="e">
        <f t="shared" si="84"/>
        <v>#REF!</v>
      </c>
      <c r="T162" s="179" t="e">
        <f t="shared" si="84"/>
        <v>#REF!</v>
      </c>
      <c r="U162" s="179" t="e">
        <f t="shared" si="84"/>
        <v>#REF!</v>
      </c>
      <c r="V162" s="179" t="e">
        <f t="shared" si="84"/>
        <v>#REF!</v>
      </c>
      <c r="W162" s="179" t="e">
        <f t="shared" si="84"/>
        <v>#REF!</v>
      </c>
      <c r="X162" s="179" t="e">
        <f t="shared" si="84"/>
        <v>#REF!</v>
      </c>
      <c r="Y162" s="179" t="e">
        <f t="shared" si="84"/>
        <v>#REF!</v>
      </c>
      <c r="Z162" s="179" t="e">
        <f t="shared" si="84"/>
        <v>#REF!</v>
      </c>
      <c r="AA162" s="179" t="e">
        <f t="shared" si="84"/>
        <v>#REF!</v>
      </c>
      <c r="AB162" s="179" t="e">
        <f t="shared" si="84"/>
        <v>#REF!</v>
      </c>
      <c r="AC162" s="179" t="e">
        <f t="shared" si="84"/>
        <v>#REF!</v>
      </c>
      <c r="AD162" s="179" t="e">
        <f t="shared" si="84"/>
        <v>#REF!</v>
      </c>
      <c r="AE162" s="179" t="e">
        <f t="shared" si="84"/>
        <v>#REF!</v>
      </c>
      <c r="AF162" s="179" t="e">
        <f t="shared" si="84"/>
        <v>#REF!</v>
      </c>
      <c r="AG162" s="179" t="e">
        <f t="shared" si="84"/>
        <v>#REF!</v>
      </c>
    </row>
    <row r="163" spans="1:33">
      <c r="A163" s="173" t="s">
        <v>340</v>
      </c>
      <c r="B163" s="173" t="s">
        <v>309</v>
      </c>
      <c r="C163" s="179">
        <f t="shared" ref="C163:F163" si="85">IF($B$5="Yes",MIN(10000*$G$81,3000000),0)</f>
        <v>0</v>
      </c>
      <c r="D163" s="179">
        <f t="shared" si="85"/>
        <v>0</v>
      </c>
      <c r="E163" s="179">
        <f t="shared" si="85"/>
        <v>0</v>
      </c>
      <c r="F163" s="179">
        <f t="shared" si="85"/>
        <v>0</v>
      </c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</row>
    <row r="164" spans="1:33">
      <c r="A164" s="173" t="s">
        <v>424</v>
      </c>
      <c r="B164" s="173" t="s">
        <v>41</v>
      </c>
      <c r="C164" s="276" t="e">
        <f>$C$10/($G$82/$G$81)</f>
        <v>#REF!</v>
      </c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</row>
    <row r="165" spans="1:33">
      <c r="A165" s="173" t="s">
        <v>330</v>
      </c>
      <c r="B165" s="173" t="s">
        <v>309</v>
      </c>
      <c r="C165" s="179" t="e">
        <f t="shared" ref="C165:AG165" si="86">$G$82*C55</f>
        <v>#REF!</v>
      </c>
      <c r="D165" s="179" t="e">
        <f t="shared" si="86"/>
        <v>#REF!</v>
      </c>
      <c r="E165" s="179" t="e">
        <f t="shared" si="86"/>
        <v>#REF!</v>
      </c>
      <c r="F165" s="179" t="e">
        <f t="shared" si="86"/>
        <v>#REF!</v>
      </c>
      <c r="G165" s="179" t="e">
        <f t="shared" si="86"/>
        <v>#REF!</v>
      </c>
      <c r="H165" s="179" t="e">
        <f t="shared" si="86"/>
        <v>#REF!</v>
      </c>
      <c r="I165" s="179" t="e">
        <f t="shared" si="86"/>
        <v>#REF!</v>
      </c>
      <c r="J165" s="179" t="e">
        <f t="shared" si="86"/>
        <v>#REF!</v>
      </c>
      <c r="K165" s="179" t="e">
        <f t="shared" si="86"/>
        <v>#REF!</v>
      </c>
      <c r="L165" s="179" t="e">
        <f t="shared" si="86"/>
        <v>#REF!</v>
      </c>
      <c r="M165" s="179" t="e">
        <f t="shared" si="86"/>
        <v>#REF!</v>
      </c>
      <c r="N165" s="179" t="e">
        <f t="shared" si="86"/>
        <v>#REF!</v>
      </c>
      <c r="O165" s="179" t="e">
        <f t="shared" si="86"/>
        <v>#REF!</v>
      </c>
      <c r="P165" s="179" t="e">
        <f t="shared" si="86"/>
        <v>#REF!</v>
      </c>
      <c r="Q165" s="179" t="e">
        <f t="shared" si="86"/>
        <v>#REF!</v>
      </c>
      <c r="R165" s="179" t="e">
        <f t="shared" si="86"/>
        <v>#REF!</v>
      </c>
      <c r="S165" s="179" t="e">
        <f t="shared" si="86"/>
        <v>#REF!</v>
      </c>
      <c r="T165" s="179" t="e">
        <f t="shared" si="86"/>
        <v>#REF!</v>
      </c>
      <c r="U165" s="179" t="e">
        <f t="shared" si="86"/>
        <v>#REF!</v>
      </c>
      <c r="V165" s="179" t="e">
        <f t="shared" si="86"/>
        <v>#REF!</v>
      </c>
      <c r="W165" s="179" t="e">
        <f t="shared" si="86"/>
        <v>#REF!</v>
      </c>
      <c r="X165" s="179" t="e">
        <f t="shared" si="86"/>
        <v>#REF!</v>
      </c>
      <c r="Y165" s="179" t="e">
        <f t="shared" si="86"/>
        <v>#REF!</v>
      </c>
      <c r="Z165" s="179" t="e">
        <f t="shared" si="86"/>
        <v>#REF!</v>
      </c>
      <c r="AA165" s="179" t="e">
        <f t="shared" si="86"/>
        <v>#REF!</v>
      </c>
      <c r="AB165" s="179" t="e">
        <f t="shared" si="86"/>
        <v>#REF!</v>
      </c>
      <c r="AC165" s="179" t="e">
        <f t="shared" si="86"/>
        <v>#REF!</v>
      </c>
      <c r="AD165" s="179" t="e">
        <f t="shared" si="86"/>
        <v>#REF!</v>
      </c>
      <c r="AE165" s="179" t="e">
        <f t="shared" si="86"/>
        <v>#REF!</v>
      </c>
      <c r="AF165" s="179" t="e">
        <f t="shared" si="86"/>
        <v>#REF!</v>
      </c>
      <c r="AG165" s="179" t="e">
        <f t="shared" si="86"/>
        <v>#REF!</v>
      </c>
    </row>
    <row r="166" spans="1:33">
      <c r="A166" s="173" t="str">
        <f>A96</f>
        <v>Maintenance</v>
      </c>
      <c r="B166" s="173" t="s">
        <v>309</v>
      </c>
      <c r="C166" s="179" t="e">
        <f t="shared" ref="C166:AG166" si="87">$C$28*$C$27*C67</f>
        <v>#REF!</v>
      </c>
      <c r="D166" s="179" t="e">
        <f t="shared" si="87"/>
        <v>#REF!</v>
      </c>
      <c r="E166" s="179" t="e">
        <f t="shared" si="87"/>
        <v>#REF!</v>
      </c>
      <c r="F166" s="179" t="e">
        <f t="shared" si="87"/>
        <v>#REF!</v>
      </c>
      <c r="G166" s="179" t="e">
        <f t="shared" si="87"/>
        <v>#REF!</v>
      </c>
      <c r="H166" s="179" t="e">
        <f t="shared" si="87"/>
        <v>#REF!</v>
      </c>
      <c r="I166" s="179" t="e">
        <f t="shared" si="87"/>
        <v>#REF!</v>
      </c>
      <c r="J166" s="179" t="e">
        <f t="shared" si="87"/>
        <v>#REF!</v>
      </c>
      <c r="K166" s="179" t="e">
        <f t="shared" si="87"/>
        <v>#REF!</v>
      </c>
      <c r="L166" s="179" t="e">
        <f t="shared" si="87"/>
        <v>#REF!</v>
      </c>
      <c r="M166" s="179" t="e">
        <f t="shared" si="87"/>
        <v>#REF!</v>
      </c>
      <c r="N166" s="179" t="e">
        <f t="shared" si="87"/>
        <v>#REF!</v>
      </c>
      <c r="O166" s="179" t="e">
        <f t="shared" si="87"/>
        <v>#REF!</v>
      </c>
      <c r="P166" s="179" t="e">
        <f t="shared" si="87"/>
        <v>#REF!</v>
      </c>
      <c r="Q166" s="179" t="e">
        <f t="shared" si="87"/>
        <v>#REF!</v>
      </c>
      <c r="R166" s="179" t="e">
        <f t="shared" si="87"/>
        <v>#REF!</v>
      </c>
      <c r="S166" s="179" t="e">
        <f t="shared" si="87"/>
        <v>#REF!</v>
      </c>
      <c r="T166" s="179" t="e">
        <f t="shared" si="87"/>
        <v>#REF!</v>
      </c>
      <c r="U166" s="179" t="e">
        <f t="shared" si="87"/>
        <v>#REF!</v>
      </c>
      <c r="V166" s="179" t="e">
        <f t="shared" si="87"/>
        <v>#REF!</v>
      </c>
      <c r="W166" s="179" t="e">
        <f t="shared" si="87"/>
        <v>#REF!</v>
      </c>
      <c r="X166" s="179" t="e">
        <f t="shared" si="87"/>
        <v>#REF!</v>
      </c>
      <c r="Y166" s="179" t="e">
        <f t="shared" si="87"/>
        <v>#REF!</v>
      </c>
      <c r="Z166" s="179" t="e">
        <f t="shared" si="87"/>
        <v>#REF!</v>
      </c>
      <c r="AA166" s="179" t="e">
        <f t="shared" si="87"/>
        <v>#REF!</v>
      </c>
      <c r="AB166" s="179" t="e">
        <f t="shared" si="87"/>
        <v>#REF!</v>
      </c>
      <c r="AC166" s="179" t="e">
        <f t="shared" si="87"/>
        <v>#REF!</v>
      </c>
      <c r="AD166" s="179" t="e">
        <f t="shared" si="87"/>
        <v>#REF!</v>
      </c>
      <c r="AE166" s="179" t="e">
        <f t="shared" si="87"/>
        <v>#REF!</v>
      </c>
      <c r="AF166" s="179" t="e">
        <f t="shared" si="87"/>
        <v>#REF!</v>
      </c>
      <c r="AG166" s="179" t="e">
        <f t="shared" si="87"/>
        <v>#REF!</v>
      </c>
    </row>
    <row r="167" spans="1:33">
      <c r="A167" s="173" t="s">
        <v>339</v>
      </c>
      <c r="B167" s="173" t="str">
        <f>B166</f>
        <v>INR</v>
      </c>
      <c r="C167" s="179" t="e">
        <f t="shared" ref="C167:AG167" si="88">C70</f>
        <v>#REF!</v>
      </c>
      <c r="D167" s="179" t="e">
        <f t="shared" si="88"/>
        <v>#REF!</v>
      </c>
      <c r="E167" s="179" t="e">
        <f t="shared" si="88"/>
        <v>#REF!</v>
      </c>
      <c r="F167" s="179" t="e">
        <f t="shared" si="88"/>
        <v>#REF!</v>
      </c>
      <c r="G167" s="179" t="e">
        <f t="shared" si="88"/>
        <v>#REF!</v>
      </c>
      <c r="H167" s="179" t="e">
        <f t="shared" si="88"/>
        <v>#REF!</v>
      </c>
      <c r="I167" s="179" t="e">
        <f t="shared" si="88"/>
        <v>#REF!</v>
      </c>
      <c r="J167" s="179" t="e">
        <f t="shared" si="88"/>
        <v>#REF!</v>
      </c>
      <c r="K167" s="179" t="e">
        <f t="shared" si="88"/>
        <v>#REF!</v>
      </c>
      <c r="L167" s="179" t="e">
        <f t="shared" si="88"/>
        <v>#REF!</v>
      </c>
      <c r="M167" s="179" t="e">
        <f t="shared" si="88"/>
        <v>#REF!</v>
      </c>
      <c r="N167" s="179" t="e">
        <f t="shared" si="88"/>
        <v>#REF!</v>
      </c>
      <c r="O167" s="179" t="e">
        <f t="shared" si="88"/>
        <v>#REF!</v>
      </c>
      <c r="P167" s="179" t="e">
        <f t="shared" si="88"/>
        <v>#REF!</v>
      </c>
      <c r="Q167" s="179" t="e">
        <f t="shared" si="88"/>
        <v>#REF!</v>
      </c>
      <c r="R167" s="179" t="e">
        <f t="shared" si="88"/>
        <v>#REF!</v>
      </c>
      <c r="S167" s="179" t="e">
        <f t="shared" si="88"/>
        <v>#REF!</v>
      </c>
      <c r="T167" s="179" t="e">
        <f t="shared" si="88"/>
        <v>#REF!</v>
      </c>
      <c r="U167" s="179" t="e">
        <f t="shared" si="88"/>
        <v>#REF!</v>
      </c>
      <c r="V167" s="179" t="e">
        <f t="shared" si="88"/>
        <v>#REF!</v>
      </c>
      <c r="W167" s="179" t="e">
        <f t="shared" si="88"/>
        <v>#REF!</v>
      </c>
      <c r="X167" s="179" t="e">
        <f t="shared" si="88"/>
        <v>#REF!</v>
      </c>
      <c r="Y167" s="179" t="e">
        <f t="shared" si="88"/>
        <v>#REF!</v>
      </c>
      <c r="Z167" s="179" t="e">
        <f t="shared" si="88"/>
        <v>#REF!</v>
      </c>
      <c r="AA167" s="179" t="e">
        <f t="shared" si="88"/>
        <v>#REF!</v>
      </c>
      <c r="AB167" s="179" t="e">
        <f t="shared" si="88"/>
        <v>#REF!</v>
      </c>
      <c r="AC167" s="179" t="e">
        <f t="shared" si="88"/>
        <v>#REF!</v>
      </c>
      <c r="AD167" s="179" t="e">
        <f t="shared" si="88"/>
        <v>#REF!</v>
      </c>
      <c r="AE167" s="179" t="e">
        <f t="shared" si="88"/>
        <v>#REF!</v>
      </c>
      <c r="AF167" s="179" t="e">
        <f t="shared" si="88"/>
        <v>#REF!</v>
      </c>
      <c r="AG167" s="179" t="e">
        <f t="shared" si="88"/>
        <v>#REF!</v>
      </c>
    </row>
    <row r="168" spans="1:33">
      <c r="A168" s="173" t="s">
        <v>425</v>
      </c>
      <c r="B168" s="173" t="s">
        <v>309</v>
      </c>
      <c r="C168" s="179">
        <v>0</v>
      </c>
      <c r="D168" s="179">
        <v>0</v>
      </c>
      <c r="E168" s="179">
        <v>0</v>
      </c>
      <c r="F168" s="179">
        <v>0</v>
      </c>
      <c r="G168" s="179">
        <v>367500</v>
      </c>
      <c r="H168" s="179">
        <v>367500</v>
      </c>
      <c r="I168" s="179">
        <v>367500</v>
      </c>
      <c r="J168" s="179">
        <v>367500</v>
      </c>
      <c r="K168" s="179">
        <v>367500</v>
      </c>
      <c r="L168" s="179">
        <v>735000</v>
      </c>
      <c r="M168" s="179">
        <v>735000</v>
      </c>
      <c r="N168" s="179">
        <v>735000</v>
      </c>
      <c r="O168" s="179">
        <v>735000</v>
      </c>
      <c r="P168" s="179">
        <v>735000</v>
      </c>
      <c r="Q168" s="179">
        <v>735000</v>
      </c>
      <c r="R168" s="179">
        <v>735000</v>
      </c>
      <c r="S168" s="179">
        <v>735000</v>
      </c>
      <c r="T168" s="179">
        <v>735000</v>
      </c>
      <c r="U168" s="179">
        <v>735000</v>
      </c>
      <c r="V168" s="179">
        <v>735000</v>
      </c>
      <c r="W168" s="179">
        <v>735000</v>
      </c>
      <c r="X168" s="179">
        <v>735000</v>
      </c>
      <c r="Y168" s="179">
        <v>735000</v>
      </c>
      <c r="Z168" s="179">
        <v>735000</v>
      </c>
      <c r="AA168" s="179">
        <v>735000</v>
      </c>
      <c r="AB168" s="179">
        <v>735000</v>
      </c>
      <c r="AC168" s="179">
        <v>735000</v>
      </c>
      <c r="AD168" s="179">
        <v>735000</v>
      </c>
      <c r="AE168" s="179">
        <v>735000</v>
      </c>
      <c r="AF168" s="179">
        <v>735000</v>
      </c>
      <c r="AG168" s="179">
        <v>735000</v>
      </c>
    </row>
    <row r="169" spans="1:33">
      <c r="A169" s="173" t="s">
        <v>319</v>
      </c>
      <c r="B169" s="173" t="s">
        <v>309</v>
      </c>
      <c r="C169" s="277" t="e">
        <f>((C162)*$C$34)</f>
        <v>#REF!</v>
      </c>
      <c r="D169" s="277" t="e">
        <f t="shared" ref="D169:AG169" si="89">((D162)*$C$34)</f>
        <v>#REF!</v>
      </c>
      <c r="E169" s="277" t="e">
        <f t="shared" si="89"/>
        <v>#REF!</v>
      </c>
      <c r="F169" s="277" t="e">
        <f t="shared" si="89"/>
        <v>#REF!</v>
      </c>
      <c r="G169" s="277" t="e">
        <f t="shared" si="89"/>
        <v>#REF!</v>
      </c>
      <c r="H169" s="277" t="e">
        <f t="shared" si="89"/>
        <v>#REF!</v>
      </c>
      <c r="I169" s="277" t="e">
        <f t="shared" si="89"/>
        <v>#REF!</v>
      </c>
      <c r="J169" s="277" t="e">
        <f t="shared" si="89"/>
        <v>#REF!</v>
      </c>
      <c r="K169" s="277" t="e">
        <f t="shared" si="89"/>
        <v>#REF!</v>
      </c>
      <c r="L169" s="277" t="e">
        <f t="shared" si="89"/>
        <v>#REF!</v>
      </c>
      <c r="M169" s="277" t="e">
        <f t="shared" si="89"/>
        <v>#REF!</v>
      </c>
      <c r="N169" s="277" t="e">
        <f t="shared" si="89"/>
        <v>#REF!</v>
      </c>
      <c r="O169" s="277" t="e">
        <f t="shared" si="89"/>
        <v>#REF!</v>
      </c>
      <c r="P169" s="277" t="e">
        <f t="shared" si="89"/>
        <v>#REF!</v>
      </c>
      <c r="Q169" s="277" t="e">
        <f t="shared" si="89"/>
        <v>#REF!</v>
      </c>
      <c r="R169" s="277" t="e">
        <f t="shared" si="89"/>
        <v>#REF!</v>
      </c>
      <c r="S169" s="277" t="e">
        <f t="shared" si="89"/>
        <v>#REF!</v>
      </c>
      <c r="T169" s="277" t="e">
        <f t="shared" si="89"/>
        <v>#REF!</v>
      </c>
      <c r="U169" s="277" t="e">
        <f t="shared" si="89"/>
        <v>#REF!</v>
      </c>
      <c r="V169" s="277" t="e">
        <f t="shared" si="89"/>
        <v>#REF!</v>
      </c>
      <c r="W169" s="277" t="e">
        <f t="shared" si="89"/>
        <v>#REF!</v>
      </c>
      <c r="X169" s="277" t="e">
        <f t="shared" si="89"/>
        <v>#REF!</v>
      </c>
      <c r="Y169" s="277" t="e">
        <f t="shared" si="89"/>
        <v>#REF!</v>
      </c>
      <c r="Z169" s="277" t="e">
        <f t="shared" si="89"/>
        <v>#REF!</v>
      </c>
      <c r="AA169" s="277" t="e">
        <f t="shared" si="89"/>
        <v>#REF!</v>
      </c>
      <c r="AB169" s="277" t="e">
        <f t="shared" si="89"/>
        <v>#REF!</v>
      </c>
      <c r="AC169" s="277" t="e">
        <f t="shared" si="89"/>
        <v>#REF!</v>
      </c>
      <c r="AD169" s="277" t="e">
        <f t="shared" si="89"/>
        <v>#REF!</v>
      </c>
      <c r="AE169" s="277" t="e">
        <f t="shared" si="89"/>
        <v>#REF!</v>
      </c>
      <c r="AF169" s="277" t="e">
        <f t="shared" si="89"/>
        <v>#REF!</v>
      </c>
      <c r="AG169" s="277" t="e">
        <f t="shared" si="89"/>
        <v>#REF!</v>
      </c>
    </row>
    <row r="170" spans="1:33" s="247" customFormat="1" ht="11.85" customHeight="1">
      <c r="A170" s="270" t="s">
        <v>414</v>
      </c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</row>
    <row r="171" spans="1:33">
      <c r="A171" s="173" t="s">
        <v>325</v>
      </c>
      <c r="B171" s="173" t="s">
        <v>313</v>
      </c>
      <c r="C171" s="179" t="e">
        <f t="shared" ref="C171:AG171" si="90">-PMT($C$33,$C$31,C160-C163)</f>
        <v>#REF!</v>
      </c>
      <c r="D171" s="179" t="e">
        <f t="shared" si="90"/>
        <v>#REF!</v>
      </c>
      <c r="E171" s="179" t="e">
        <f t="shared" si="90"/>
        <v>#REF!</v>
      </c>
      <c r="F171" s="179" t="e">
        <f t="shared" si="90"/>
        <v>#REF!</v>
      </c>
      <c r="G171" s="179" t="e">
        <f t="shared" si="90"/>
        <v>#REF!</v>
      </c>
      <c r="H171" s="179" t="e">
        <f t="shared" si="90"/>
        <v>#REF!</v>
      </c>
      <c r="I171" s="179" t="e">
        <f t="shared" si="90"/>
        <v>#REF!</v>
      </c>
      <c r="J171" s="179" t="e">
        <f t="shared" si="90"/>
        <v>#REF!</v>
      </c>
      <c r="K171" s="179" t="e">
        <f t="shared" si="90"/>
        <v>#REF!</v>
      </c>
      <c r="L171" s="179" t="e">
        <f t="shared" si="90"/>
        <v>#REF!</v>
      </c>
      <c r="M171" s="179" t="e">
        <f t="shared" si="90"/>
        <v>#REF!</v>
      </c>
      <c r="N171" s="179" t="e">
        <f t="shared" si="90"/>
        <v>#REF!</v>
      </c>
      <c r="O171" s="179" t="e">
        <f t="shared" si="90"/>
        <v>#REF!</v>
      </c>
      <c r="P171" s="179" t="e">
        <f t="shared" si="90"/>
        <v>#REF!</v>
      </c>
      <c r="Q171" s="179" t="e">
        <f t="shared" si="90"/>
        <v>#REF!</v>
      </c>
      <c r="R171" s="179" t="e">
        <f t="shared" si="90"/>
        <v>#REF!</v>
      </c>
      <c r="S171" s="179" t="e">
        <f t="shared" si="90"/>
        <v>#REF!</v>
      </c>
      <c r="T171" s="179" t="e">
        <f t="shared" si="90"/>
        <v>#REF!</v>
      </c>
      <c r="U171" s="179" t="e">
        <f t="shared" si="90"/>
        <v>#REF!</v>
      </c>
      <c r="V171" s="179" t="e">
        <f t="shared" si="90"/>
        <v>#REF!</v>
      </c>
      <c r="W171" s="179" t="e">
        <f t="shared" si="90"/>
        <v>#REF!</v>
      </c>
      <c r="X171" s="179" t="e">
        <f t="shared" si="90"/>
        <v>#REF!</v>
      </c>
      <c r="Y171" s="179" t="e">
        <f t="shared" si="90"/>
        <v>#REF!</v>
      </c>
      <c r="Z171" s="179" t="e">
        <f t="shared" si="90"/>
        <v>#REF!</v>
      </c>
      <c r="AA171" s="179" t="e">
        <f t="shared" si="90"/>
        <v>#REF!</v>
      </c>
      <c r="AB171" s="179" t="e">
        <f t="shared" si="90"/>
        <v>#REF!</v>
      </c>
      <c r="AC171" s="179" t="e">
        <f t="shared" si="90"/>
        <v>#REF!</v>
      </c>
      <c r="AD171" s="179" t="e">
        <f t="shared" si="90"/>
        <v>#REF!</v>
      </c>
      <c r="AE171" s="179" t="e">
        <f t="shared" si="90"/>
        <v>#REF!</v>
      </c>
      <c r="AF171" s="179" t="e">
        <f t="shared" si="90"/>
        <v>#REF!</v>
      </c>
      <c r="AG171" s="179" t="e">
        <f t="shared" si="90"/>
        <v>#REF!</v>
      </c>
    </row>
    <row r="172" spans="1:33">
      <c r="A172" s="173" t="s">
        <v>426</v>
      </c>
      <c r="B172" s="173" t="s">
        <v>313</v>
      </c>
      <c r="C172" s="179" t="e">
        <f t="shared" ref="C172:AG172" si="91">-PMT($C$33,$C$164,C157)</f>
        <v>#REF!</v>
      </c>
      <c r="D172" s="179" t="e">
        <f t="shared" si="91"/>
        <v>#REF!</v>
      </c>
      <c r="E172" s="179" t="e">
        <f t="shared" si="91"/>
        <v>#REF!</v>
      </c>
      <c r="F172" s="179" t="e">
        <f t="shared" si="91"/>
        <v>#REF!</v>
      </c>
      <c r="G172" s="179" t="e">
        <f t="shared" si="91"/>
        <v>#REF!</v>
      </c>
      <c r="H172" s="179" t="e">
        <f t="shared" si="91"/>
        <v>#REF!</v>
      </c>
      <c r="I172" s="179" t="e">
        <f t="shared" si="91"/>
        <v>#REF!</v>
      </c>
      <c r="J172" s="179" t="e">
        <f t="shared" si="91"/>
        <v>#REF!</v>
      </c>
      <c r="K172" s="179" t="e">
        <f t="shared" si="91"/>
        <v>#REF!</v>
      </c>
      <c r="L172" s="179" t="e">
        <f t="shared" si="91"/>
        <v>#REF!</v>
      </c>
      <c r="M172" s="179" t="e">
        <f t="shared" si="91"/>
        <v>#REF!</v>
      </c>
      <c r="N172" s="179" t="e">
        <f t="shared" si="91"/>
        <v>#REF!</v>
      </c>
      <c r="O172" s="179" t="e">
        <f t="shared" si="91"/>
        <v>#REF!</v>
      </c>
      <c r="P172" s="179" t="e">
        <f t="shared" si="91"/>
        <v>#REF!</v>
      </c>
      <c r="Q172" s="179" t="e">
        <f t="shared" si="91"/>
        <v>#REF!</v>
      </c>
      <c r="R172" s="179" t="e">
        <f t="shared" si="91"/>
        <v>#REF!</v>
      </c>
      <c r="S172" s="179" t="e">
        <f t="shared" si="91"/>
        <v>#REF!</v>
      </c>
      <c r="T172" s="179" t="e">
        <f t="shared" si="91"/>
        <v>#REF!</v>
      </c>
      <c r="U172" s="179" t="e">
        <f t="shared" si="91"/>
        <v>#REF!</v>
      </c>
      <c r="V172" s="179" t="e">
        <f t="shared" si="91"/>
        <v>#REF!</v>
      </c>
      <c r="W172" s="179" t="e">
        <f t="shared" si="91"/>
        <v>#REF!</v>
      </c>
      <c r="X172" s="179" t="e">
        <f t="shared" si="91"/>
        <v>#REF!</v>
      </c>
      <c r="Y172" s="179" t="e">
        <f t="shared" si="91"/>
        <v>#REF!</v>
      </c>
      <c r="Z172" s="179" t="e">
        <f t="shared" si="91"/>
        <v>#REF!</v>
      </c>
      <c r="AA172" s="179" t="e">
        <f t="shared" si="91"/>
        <v>#REF!</v>
      </c>
      <c r="AB172" s="179" t="e">
        <f t="shared" si="91"/>
        <v>#REF!</v>
      </c>
      <c r="AC172" s="179" t="e">
        <f t="shared" si="91"/>
        <v>#REF!</v>
      </c>
      <c r="AD172" s="179" t="e">
        <f t="shared" si="91"/>
        <v>#REF!</v>
      </c>
      <c r="AE172" s="179" t="e">
        <f t="shared" si="91"/>
        <v>#REF!</v>
      </c>
      <c r="AF172" s="179" t="e">
        <f t="shared" si="91"/>
        <v>#REF!</v>
      </c>
      <c r="AG172" s="179" t="e">
        <f t="shared" si="91"/>
        <v>#REF!</v>
      </c>
    </row>
    <row r="173" spans="1:33">
      <c r="A173" s="173" t="s">
        <v>330</v>
      </c>
      <c r="B173" s="173" t="s">
        <v>313</v>
      </c>
      <c r="C173" s="179" t="e">
        <f t="shared" ref="C173:AG174" si="92">C165</f>
        <v>#REF!</v>
      </c>
      <c r="D173" s="179" t="e">
        <f t="shared" si="92"/>
        <v>#REF!</v>
      </c>
      <c r="E173" s="179" t="e">
        <f t="shared" si="92"/>
        <v>#REF!</v>
      </c>
      <c r="F173" s="179" t="e">
        <f t="shared" si="92"/>
        <v>#REF!</v>
      </c>
      <c r="G173" s="179" t="e">
        <f t="shared" si="92"/>
        <v>#REF!</v>
      </c>
      <c r="H173" s="179" t="e">
        <f t="shared" si="92"/>
        <v>#REF!</v>
      </c>
      <c r="I173" s="179" t="e">
        <f t="shared" si="92"/>
        <v>#REF!</v>
      </c>
      <c r="J173" s="179" t="e">
        <f t="shared" si="92"/>
        <v>#REF!</v>
      </c>
      <c r="K173" s="179" t="e">
        <f t="shared" si="92"/>
        <v>#REF!</v>
      </c>
      <c r="L173" s="179" t="e">
        <f t="shared" si="92"/>
        <v>#REF!</v>
      </c>
      <c r="M173" s="179" t="e">
        <f t="shared" si="92"/>
        <v>#REF!</v>
      </c>
      <c r="N173" s="179" t="e">
        <f t="shared" si="92"/>
        <v>#REF!</v>
      </c>
      <c r="O173" s="179" t="e">
        <f t="shared" si="92"/>
        <v>#REF!</v>
      </c>
      <c r="P173" s="179" t="e">
        <f t="shared" si="92"/>
        <v>#REF!</v>
      </c>
      <c r="Q173" s="179" t="e">
        <f t="shared" si="92"/>
        <v>#REF!</v>
      </c>
      <c r="R173" s="179" t="e">
        <f t="shared" si="92"/>
        <v>#REF!</v>
      </c>
      <c r="S173" s="179" t="e">
        <f t="shared" si="92"/>
        <v>#REF!</v>
      </c>
      <c r="T173" s="179" t="e">
        <f t="shared" si="92"/>
        <v>#REF!</v>
      </c>
      <c r="U173" s="179" t="e">
        <f t="shared" si="92"/>
        <v>#REF!</v>
      </c>
      <c r="V173" s="179" t="e">
        <f t="shared" si="92"/>
        <v>#REF!</v>
      </c>
      <c r="W173" s="179" t="e">
        <f t="shared" si="92"/>
        <v>#REF!</v>
      </c>
      <c r="X173" s="179" t="e">
        <f t="shared" si="92"/>
        <v>#REF!</v>
      </c>
      <c r="Y173" s="179" t="e">
        <f t="shared" si="92"/>
        <v>#REF!</v>
      </c>
      <c r="Z173" s="179" t="e">
        <f t="shared" si="92"/>
        <v>#REF!</v>
      </c>
      <c r="AA173" s="179" t="e">
        <f t="shared" si="92"/>
        <v>#REF!</v>
      </c>
      <c r="AB173" s="179" t="e">
        <f t="shared" si="92"/>
        <v>#REF!</v>
      </c>
      <c r="AC173" s="179" t="e">
        <f t="shared" si="92"/>
        <v>#REF!</v>
      </c>
      <c r="AD173" s="179" t="e">
        <f t="shared" si="92"/>
        <v>#REF!</v>
      </c>
      <c r="AE173" s="179" t="e">
        <f t="shared" si="92"/>
        <v>#REF!</v>
      </c>
      <c r="AF173" s="179" t="e">
        <f t="shared" si="92"/>
        <v>#REF!</v>
      </c>
      <c r="AG173" s="179" t="e">
        <f t="shared" si="92"/>
        <v>#REF!</v>
      </c>
    </row>
    <row r="174" spans="1:33">
      <c r="A174" s="173" t="str">
        <f>A166</f>
        <v>Maintenance</v>
      </c>
      <c r="B174" s="173" t="s">
        <v>309</v>
      </c>
      <c r="C174" s="179" t="e">
        <f t="shared" si="92"/>
        <v>#REF!</v>
      </c>
      <c r="D174" s="179" t="e">
        <f t="shared" si="92"/>
        <v>#REF!</v>
      </c>
      <c r="E174" s="179" t="e">
        <f t="shared" si="92"/>
        <v>#REF!</v>
      </c>
      <c r="F174" s="179" t="e">
        <f t="shared" si="92"/>
        <v>#REF!</v>
      </c>
      <c r="G174" s="179" t="e">
        <f t="shared" si="92"/>
        <v>#REF!</v>
      </c>
      <c r="H174" s="179" t="e">
        <f t="shared" si="92"/>
        <v>#REF!</v>
      </c>
      <c r="I174" s="179" t="e">
        <f t="shared" si="92"/>
        <v>#REF!</v>
      </c>
      <c r="J174" s="179" t="e">
        <f t="shared" si="92"/>
        <v>#REF!</v>
      </c>
      <c r="K174" s="179" t="e">
        <f t="shared" si="92"/>
        <v>#REF!</v>
      </c>
      <c r="L174" s="179" t="e">
        <f t="shared" si="92"/>
        <v>#REF!</v>
      </c>
      <c r="M174" s="179" t="e">
        <f t="shared" si="92"/>
        <v>#REF!</v>
      </c>
      <c r="N174" s="179" t="e">
        <f t="shared" si="92"/>
        <v>#REF!</v>
      </c>
      <c r="O174" s="179" t="e">
        <f t="shared" si="92"/>
        <v>#REF!</v>
      </c>
      <c r="P174" s="179" t="e">
        <f t="shared" si="92"/>
        <v>#REF!</v>
      </c>
      <c r="Q174" s="179" t="e">
        <f t="shared" si="92"/>
        <v>#REF!</v>
      </c>
      <c r="R174" s="179" t="e">
        <f t="shared" si="92"/>
        <v>#REF!</v>
      </c>
      <c r="S174" s="179" t="e">
        <f t="shared" si="92"/>
        <v>#REF!</v>
      </c>
      <c r="T174" s="179" t="e">
        <f t="shared" si="92"/>
        <v>#REF!</v>
      </c>
      <c r="U174" s="179" t="e">
        <f t="shared" si="92"/>
        <v>#REF!</v>
      </c>
      <c r="V174" s="179" t="e">
        <f t="shared" si="92"/>
        <v>#REF!</v>
      </c>
      <c r="W174" s="179" t="e">
        <f t="shared" si="92"/>
        <v>#REF!</v>
      </c>
      <c r="X174" s="179" t="e">
        <f t="shared" si="92"/>
        <v>#REF!</v>
      </c>
      <c r="Y174" s="179" t="e">
        <f t="shared" si="92"/>
        <v>#REF!</v>
      </c>
      <c r="Z174" s="179" t="e">
        <f t="shared" si="92"/>
        <v>#REF!</v>
      </c>
      <c r="AA174" s="179" t="e">
        <f t="shared" si="92"/>
        <v>#REF!</v>
      </c>
      <c r="AB174" s="179" t="e">
        <f t="shared" si="92"/>
        <v>#REF!</v>
      </c>
      <c r="AC174" s="179" t="e">
        <f t="shared" si="92"/>
        <v>#REF!</v>
      </c>
      <c r="AD174" s="179" t="e">
        <f t="shared" si="92"/>
        <v>#REF!</v>
      </c>
      <c r="AE174" s="179" t="e">
        <f t="shared" si="92"/>
        <v>#REF!</v>
      </c>
      <c r="AF174" s="179" t="e">
        <f t="shared" si="92"/>
        <v>#REF!</v>
      </c>
      <c r="AG174" s="179" t="e">
        <f t="shared" si="92"/>
        <v>#REF!</v>
      </c>
    </row>
    <row r="175" spans="1:33">
      <c r="A175" s="173" t="str">
        <f>A167</f>
        <v>Toll Tax without waiver</v>
      </c>
      <c r="B175" s="173" t="str">
        <f>B167</f>
        <v>INR</v>
      </c>
      <c r="C175" s="179" t="e">
        <f t="shared" ref="C175:AG175" si="93">$C$16*$C$27*$C$28</f>
        <v>#REF!</v>
      </c>
      <c r="D175" s="179" t="e">
        <f t="shared" si="93"/>
        <v>#REF!</v>
      </c>
      <c r="E175" s="179" t="e">
        <f t="shared" si="93"/>
        <v>#REF!</v>
      </c>
      <c r="F175" s="179" t="e">
        <f t="shared" si="93"/>
        <v>#REF!</v>
      </c>
      <c r="G175" s="179" t="e">
        <f t="shared" si="93"/>
        <v>#REF!</v>
      </c>
      <c r="H175" s="179" t="e">
        <f t="shared" si="93"/>
        <v>#REF!</v>
      </c>
      <c r="I175" s="179" t="e">
        <f t="shared" si="93"/>
        <v>#REF!</v>
      </c>
      <c r="J175" s="179" t="e">
        <f t="shared" si="93"/>
        <v>#REF!</v>
      </c>
      <c r="K175" s="179" t="e">
        <f t="shared" si="93"/>
        <v>#REF!</v>
      </c>
      <c r="L175" s="179" t="e">
        <f t="shared" si="93"/>
        <v>#REF!</v>
      </c>
      <c r="M175" s="179" t="e">
        <f t="shared" si="93"/>
        <v>#REF!</v>
      </c>
      <c r="N175" s="179" t="e">
        <f t="shared" si="93"/>
        <v>#REF!</v>
      </c>
      <c r="O175" s="179" t="e">
        <f t="shared" si="93"/>
        <v>#REF!</v>
      </c>
      <c r="P175" s="179" t="e">
        <f t="shared" si="93"/>
        <v>#REF!</v>
      </c>
      <c r="Q175" s="179" t="e">
        <f t="shared" si="93"/>
        <v>#REF!</v>
      </c>
      <c r="R175" s="179" t="e">
        <f t="shared" si="93"/>
        <v>#REF!</v>
      </c>
      <c r="S175" s="179" t="e">
        <f t="shared" si="93"/>
        <v>#REF!</v>
      </c>
      <c r="T175" s="179" t="e">
        <f t="shared" si="93"/>
        <v>#REF!</v>
      </c>
      <c r="U175" s="179" t="e">
        <f t="shared" si="93"/>
        <v>#REF!</v>
      </c>
      <c r="V175" s="179" t="e">
        <f t="shared" si="93"/>
        <v>#REF!</v>
      </c>
      <c r="W175" s="179" t="e">
        <f t="shared" si="93"/>
        <v>#REF!</v>
      </c>
      <c r="X175" s="179" t="e">
        <f t="shared" si="93"/>
        <v>#REF!</v>
      </c>
      <c r="Y175" s="179" t="e">
        <f t="shared" si="93"/>
        <v>#REF!</v>
      </c>
      <c r="Z175" s="179" t="e">
        <f t="shared" si="93"/>
        <v>#REF!</v>
      </c>
      <c r="AA175" s="179" t="e">
        <f t="shared" si="93"/>
        <v>#REF!</v>
      </c>
      <c r="AB175" s="179" t="e">
        <f t="shared" si="93"/>
        <v>#REF!</v>
      </c>
      <c r="AC175" s="179" t="e">
        <f t="shared" si="93"/>
        <v>#REF!</v>
      </c>
      <c r="AD175" s="179" t="e">
        <f t="shared" si="93"/>
        <v>#REF!</v>
      </c>
      <c r="AE175" s="179" t="e">
        <f t="shared" si="93"/>
        <v>#REF!</v>
      </c>
      <c r="AF175" s="179" t="e">
        <f t="shared" si="93"/>
        <v>#REF!</v>
      </c>
      <c r="AG175" s="179" t="e">
        <f t="shared" si="93"/>
        <v>#REF!</v>
      </c>
    </row>
    <row r="176" spans="1:33">
      <c r="A176" s="173" t="s">
        <v>319</v>
      </c>
      <c r="B176" s="173" t="s">
        <v>309</v>
      </c>
      <c r="C176" s="179" t="e">
        <f t="shared" ref="C176:AG176" si="94">C169</f>
        <v>#REF!</v>
      </c>
      <c r="D176" s="179" t="e">
        <f t="shared" si="94"/>
        <v>#REF!</v>
      </c>
      <c r="E176" s="179" t="e">
        <f t="shared" si="94"/>
        <v>#REF!</v>
      </c>
      <c r="F176" s="179" t="e">
        <f t="shared" si="94"/>
        <v>#REF!</v>
      </c>
      <c r="G176" s="179" t="e">
        <f t="shared" si="94"/>
        <v>#REF!</v>
      </c>
      <c r="H176" s="179" t="e">
        <f t="shared" si="94"/>
        <v>#REF!</v>
      </c>
      <c r="I176" s="179" t="e">
        <f t="shared" si="94"/>
        <v>#REF!</v>
      </c>
      <c r="J176" s="179" t="e">
        <f t="shared" si="94"/>
        <v>#REF!</v>
      </c>
      <c r="K176" s="179" t="e">
        <f t="shared" si="94"/>
        <v>#REF!</v>
      </c>
      <c r="L176" s="179" t="e">
        <f t="shared" si="94"/>
        <v>#REF!</v>
      </c>
      <c r="M176" s="179" t="e">
        <f t="shared" si="94"/>
        <v>#REF!</v>
      </c>
      <c r="N176" s="179" t="e">
        <f t="shared" si="94"/>
        <v>#REF!</v>
      </c>
      <c r="O176" s="179" t="e">
        <f t="shared" si="94"/>
        <v>#REF!</v>
      </c>
      <c r="P176" s="179" t="e">
        <f t="shared" si="94"/>
        <v>#REF!</v>
      </c>
      <c r="Q176" s="179" t="e">
        <f t="shared" si="94"/>
        <v>#REF!</v>
      </c>
      <c r="R176" s="179" t="e">
        <f t="shared" si="94"/>
        <v>#REF!</v>
      </c>
      <c r="S176" s="179" t="e">
        <f t="shared" si="94"/>
        <v>#REF!</v>
      </c>
      <c r="T176" s="179" t="e">
        <f t="shared" si="94"/>
        <v>#REF!</v>
      </c>
      <c r="U176" s="179" t="e">
        <f t="shared" si="94"/>
        <v>#REF!</v>
      </c>
      <c r="V176" s="179" t="e">
        <f t="shared" si="94"/>
        <v>#REF!</v>
      </c>
      <c r="W176" s="179" t="e">
        <f t="shared" si="94"/>
        <v>#REF!</v>
      </c>
      <c r="X176" s="179" t="e">
        <f t="shared" si="94"/>
        <v>#REF!</v>
      </c>
      <c r="Y176" s="179" t="e">
        <f t="shared" si="94"/>
        <v>#REF!</v>
      </c>
      <c r="Z176" s="179" t="e">
        <f t="shared" si="94"/>
        <v>#REF!</v>
      </c>
      <c r="AA176" s="179" t="e">
        <f t="shared" si="94"/>
        <v>#REF!</v>
      </c>
      <c r="AB176" s="179" t="e">
        <f t="shared" si="94"/>
        <v>#REF!</v>
      </c>
      <c r="AC176" s="179" t="e">
        <f t="shared" si="94"/>
        <v>#REF!</v>
      </c>
      <c r="AD176" s="179" t="e">
        <f t="shared" si="94"/>
        <v>#REF!</v>
      </c>
      <c r="AE176" s="179" t="e">
        <f t="shared" si="94"/>
        <v>#REF!</v>
      </c>
      <c r="AF176" s="179" t="e">
        <f t="shared" si="94"/>
        <v>#REF!</v>
      </c>
      <c r="AG176" s="179" t="e">
        <f t="shared" si="94"/>
        <v>#REF!</v>
      </c>
    </row>
    <row r="177" spans="1:33" s="247" customFormat="1" ht="11.85" customHeight="1">
      <c r="A177" s="270" t="s">
        <v>320</v>
      </c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</row>
    <row r="178" spans="1:33">
      <c r="A178" s="173" t="s">
        <v>427</v>
      </c>
      <c r="B178" s="173" t="s">
        <v>300</v>
      </c>
      <c r="C178" s="179" t="e">
        <f t="shared" ref="C178:AG178" si="95">(C171+C172)/($C$28*$C$27)</f>
        <v>#REF!</v>
      </c>
      <c r="D178" s="179" t="e">
        <f t="shared" si="95"/>
        <v>#REF!</v>
      </c>
      <c r="E178" s="179" t="e">
        <f t="shared" si="95"/>
        <v>#REF!</v>
      </c>
      <c r="F178" s="179" t="e">
        <f t="shared" si="95"/>
        <v>#REF!</v>
      </c>
      <c r="G178" s="279" t="e">
        <f t="shared" si="95"/>
        <v>#REF!</v>
      </c>
      <c r="H178" s="279" t="e">
        <f t="shared" si="95"/>
        <v>#REF!</v>
      </c>
      <c r="I178" s="279" t="e">
        <f t="shared" si="95"/>
        <v>#REF!</v>
      </c>
      <c r="J178" s="179" t="e">
        <f t="shared" si="95"/>
        <v>#REF!</v>
      </c>
      <c r="K178" s="179" t="e">
        <f t="shared" si="95"/>
        <v>#REF!</v>
      </c>
      <c r="L178" s="179" t="e">
        <f t="shared" si="95"/>
        <v>#REF!</v>
      </c>
      <c r="M178" s="179" t="e">
        <f t="shared" si="95"/>
        <v>#REF!</v>
      </c>
      <c r="N178" s="179" t="e">
        <f t="shared" si="95"/>
        <v>#REF!</v>
      </c>
      <c r="O178" s="179" t="e">
        <f t="shared" si="95"/>
        <v>#REF!</v>
      </c>
      <c r="P178" s="179" t="e">
        <f t="shared" si="95"/>
        <v>#REF!</v>
      </c>
      <c r="Q178" s="179" t="e">
        <f t="shared" si="95"/>
        <v>#REF!</v>
      </c>
      <c r="R178" s="179" t="e">
        <f t="shared" si="95"/>
        <v>#REF!</v>
      </c>
      <c r="S178" s="179" t="e">
        <f t="shared" si="95"/>
        <v>#REF!</v>
      </c>
      <c r="T178" s="179" t="e">
        <f t="shared" si="95"/>
        <v>#REF!</v>
      </c>
      <c r="U178" s="179" t="e">
        <f t="shared" si="95"/>
        <v>#REF!</v>
      </c>
      <c r="V178" s="179" t="e">
        <f t="shared" si="95"/>
        <v>#REF!</v>
      </c>
      <c r="W178" s="179" t="e">
        <f t="shared" si="95"/>
        <v>#REF!</v>
      </c>
      <c r="X178" s="179" t="e">
        <f t="shared" si="95"/>
        <v>#REF!</v>
      </c>
      <c r="Y178" s="179" t="e">
        <f t="shared" si="95"/>
        <v>#REF!</v>
      </c>
      <c r="Z178" s="179" t="e">
        <f t="shared" si="95"/>
        <v>#REF!</v>
      </c>
      <c r="AA178" s="179" t="e">
        <f t="shared" si="95"/>
        <v>#REF!</v>
      </c>
      <c r="AB178" s="179" t="e">
        <f t="shared" si="95"/>
        <v>#REF!</v>
      </c>
      <c r="AC178" s="179" t="e">
        <f t="shared" si="95"/>
        <v>#REF!</v>
      </c>
      <c r="AD178" s="179" t="e">
        <f t="shared" si="95"/>
        <v>#REF!</v>
      </c>
      <c r="AE178" s="179" t="e">
        <f t="shared" si="95"/>
        <v>#REF!</v>
      </c>
      <c r="AF178" s="179" t="e">
        <f t="shared" si="95"/>
        <v>#REF!</v>
      </c>
      <c r="AG178" s="179" t="e">
        <f t="shared" si="95"/>
        <v>#REF!</v>
      </c>
    </row>
    <row r="179" spans="1:33">
      <c r="A179" s="173" t="s">
        <v>321</v>
      </c>
      <c r="B179" s="173" t="s">
        <v>300</v>
      </c>
      <c r="C179" s="179" t="e">
        <f t="shared" ref="C179:AG179" si="96">C173/($C$28*$C$27)</f>
        <v>#REF!</v>
      </c>
      <c r="D179" s="179" t="e">
        <f t="shared" si="96"/>
        <v>#REF!</v>
      </c>
      <c r="E179" s="179" t="e">
        <f t="shared" si="96"/>
        <v>#REF!</v>
      </c>
      <c r="F179" s="179" t="e">
        <f t="shared" si="96"/>
        <v>#REF!</v>
      </c>
      <c r="G179" s="279" t="e">
        <f t="shared" si="96"/>
        <v>#REF!</v>
      </c>
      <c r="H179" s="279" t="e">
        <f t="shared" si="96"/>
        <v>#REF!</v>
      </c>
      <c r="I179" s="279" t="e">
        <f t="shared" si="96"/>
        <v>#REF!</v>
      </c>
      <c r="J179" s="179" t="e">
        <f t="shared" si="96"/>
        <v>#REF!</v>
      </c>
      <c r="K179" s="179" t="e">
        <f t="shared" si="96"/>
        <v>#REF!</v>
      </c>
      <c r="L179" s="179" t="e">
        <f t="shared" si="96"/>
        <v>#REF!</v>
      </c>
      <c r="M179" s="179" t="e">
        <f t="shared" si="96"/>
        <v>#REF!</v>
      </c>
      <c r="N179" s="179" t="e">
        <f t="shared" si="96"/>
        <v>#REF!</v>
      </c>
      <c r="O179" s="179" t="e">
        <f t="shared" si="96"/>
        <v>#REF!</v>
      </c>
      <c r="P179" s="179" t="e">
        <f t="shared" si="96"/>
        <v>#REF!</v>
      </c>
      <c r="Q179" s="179" t="e">
        <f t="shared" si="96"/>
        <v>#REF!</v>
      </c>
      <c r="R179" s="179" t="e">
        <f t="shared" si="96"/>
        <v>#REF!</v>
      </c>
      <c r="S179" s="179" t="e">
        <f t="shared" si="96"/>
        <v>#REF!</v>
      </c>
      <c r="T179" s="179" t="e">
        <f t="shared" si="96"/>
        <v>#REF!</v>
      </c>
      <c r="U179" s="179" t="e">
        <f t="shared" si="96"/>
        <v>#REF!</v>
      </c>
      <c r="V179" s="179" t="e">
        <f t="shared" si="96"/>
        <v>#REF!</v>
      </c>
      <c r="W179" s="179" t="e">
        <f t="shared" si="96"/>
        <v>#REF!</v>
      </c>
      <c r="X179" s="179" t="e">
        <f t="shared" si="96"/>
        <v>#REF!</v>
      </c>
      <c r="Y179" s="179" t="e">
        <f t="shared" si="96"/>
        <v>#REF!</v>
      </c>
      <c r="Z179" s="179" t="e">
        <f t="shared" si="96"/>
        <v>#REF!</v>
      </c>
      <c r="AA179" s="179" t="e">
        <f t="shared" si="96"/>
        <v>#REF!</v>
      </c>
      <c r="AB179" s="179" t="e">
        <f t="shared" si="96"/>
        <v>#REF!</v>
      </c>
      <c r="AC179" s="179" t="e">
        <f t="shared" si="96"/>
        <v>#REF!</v>
      </c>
      <c r="AD179" s="179" t="e">
        <f t="shared" si="96"/>
        <v>#REF!</v>
      </c>
      <c r="AE179" s="179" t="e">
        <f t="shared" si="96"/>
        <v>#REF!</v>
      </c>
      <c r="AF179" s="179" t="e">
        <f t="shared" si="96"/>
        <v>#REF!</v>
      </c>
      <c r="AG179" s="179" t="e">
        <f t="shared" si="96"/>
        <v>#REF!</v>
      </c>
    </row>
    <row r="180" spans="1:33">
      <c r="A180" s="173" t="s">
        <v>322</v>
      </c>
      <c r="B180" s="173" t="s">
        <v>300</v>
      </c>
      <c r="C180" s="179" t="e">
        <f t="shared" ref="C180:AG180" si="97">(C166+C169+C70)/($C$28*$C$27)+C63</f>
        <v>#REF!</v>
      </c>
      <c r="D180" s="179" t="e">
        <f t="shared" si="97"/>
        <v>#REF!</v>
      </c>
      <c r="E180" s="179" t="e">
        <f t="shared" si="97"/>
        <v>#REF!</v>
      </c>
      <c r="F180" s="179" t="e">
        <f t="shared" si="97"/>
        <v>#REF!</v>
      </c>
      <c r="G180" s="179" t="e">
        <f t="shared" si="97"/>
        <v>#REF!</v>
      </c>
      <c r="H180" s="179" t="e">
        <f t="shared" si="97"/>
        <v>#REF!</v>
      </c>
      <c r="I180" s="179" t="e">
        <f t="shared" si="97"/>
        <v>#REF!</v>
      </c>
      <c r="J180" s="179" t="e">
        <f t="shared" si="97"/>
        <v>#REF!</v>
      </c>
      <c r="K180" s="179" t="e">
        <f t="shared" si="97"/>
        <v>#REF!</v>
      </c>
      <c r="L180" s="179" t="e">
        <f t="shared" si="97"/>
        <v>#REF!</v>
      </c>
      <c r="M180" s="179" t="e">
        <f t="shared" si="97"/>
        <v>#REF!</v>
      </c>
      <c r="N180" s="179" t="e">
        <f t="shared" si="97"/>
        <v>#REF!</v>
      </c>
      <c r="O180" s="179" t="e">
        <f t="shared" si="97"/>
        <v>#REF!</v>
      </c>
      <c r="P180" s="179" t="e">
        <f t="shared" si="97"/>
        <v>#REF!</v>
      </c>
      <c r="Q180" s="179" t="e">
        <f t="shared" si="97"/>
        <v>#REF!</v>
      </c>
      <c r="R180" s="179" t="e">
        <f t="shared" si="97"/>
        <v>#REF!</v>
      </c>
      <c r="S180" s="179" t="e">
        <f t="shared" si="97"/>
        <v>#REF!</v>
      </c>
      <c r="T180" s="179" t="e">
        <f t="shared" si="97"/>
        <v>#REF!</v>
      </c>
      <c r="U180" s="179" t="e">
        <f t="shared" si="97"/>
        <v>#REF!</v>
      </c>
      <c r="V180" s="179" t="e">
        <f t="shared" si="97"/>
        <v>#REF!</v>
      </c>
      <c r="W180" s="179" t="e">
        <f t="shared" si="97"/>
        <v>#REF!</v>
      </c>
      <c r="X180" s="179" t="e">
        <f t="shared" si="97"/>
        <v>#REF!</v>
      </c>
      <c r="Y180" s="179" t="e">
        <f t="shared" si="97"/>
        <v>#REF!</v>
      </c>
      <c r="Z180" s="179" t="e">
        <f t="shared" si="97"/>
        <v>#REF!</v>
      </c>
      <c r="AA180" s="179" t="e">
        <f t="shared" si="97"/>
        <v>#REF!</v>
      </c>
      <c r="AB180" s="179" t="e">
        <f t="shared" si="97"/>
        <v>#REF!</v>
      </c>
      <c r="AC180" s="179" t="e">
        <f t="shared" si="97"/>
        <v>#REF!</v>
      </c>
      <c r="AD180" s="179" t="e">
        <f t="shared" si="97"/>
        <v>#REF!</v>
      </c>
      <c r="AE180" s="179" t="e">
        <f t="shared" si="97"/>
        <v>#REF!</v>
      </c>
      <c r="AF180" s="179" t="e">
        <f t="shared" si="97"/>
        <v>#REF!</v>
      </c>
      <c r="AG180" s="179" t="e">
        <f t="shared" si="97"/>
        <v>#REF!</v>
      </c>
    </row>
    <row r="181" spans="1:33">
      <c r="C181" s="274" t="e">
        <f t="shared" ref="C181:AG181" si="98">SUM(C178:C180)</f>
        <v>#REF!</v>
      </c>
      <c r="D181" s="274" t="e">
        <f t="shared" si="98"/>
        <v>#REF!</v>
      </c>
      <c r="E181" s="274" t="e">
        <f t="shared" si="98"/>
        <v>#REF!</v>
      </c>
      <c r="F181" s="274" t="e">
        <f t="shared" si="98"/>
        <v>#REF!</v>
      </c>
      <c r="G181" s="274" t="e">
        <f t="shared" si="98"/>
        <v>#REF!</v>
      </c>
      <c r="H181" s="274" t="e">
        <f t="shared" si="98"/>
        <v>#REF!</v>
      </c>
      <c r="I181" s="274" t="e">
        <f t="shared" si="98"/>
        <v>#REF!</v>
      </c>
      <c r="J181" s="274" t="e">
        <f t="shared" si="98"/>
        <v>#REF!</v>
      </c>
      <c r="K181" s="274" t="e">
        <f t="shared" si="98"/>
        <v>#REF!</v>
      </c>
      <c r="L181" s="274" t="e">
        <f t="shared" si="98"/>
        <v>#REF!</v>
      </c>
      <c r="M181" s="274" t="e">
        <f t="shared" si="98"/>
        <v>#REF!</v>
      </c>
      <c r="N181" s="274" t="e">
        <f t="shared" si="98"/>
        <v>#REF!</v>
      </c>
      <c r="O181" s="274" t="e">
        <f t="shared" si="98"/>
        <v>#REF!</v>
      </c>
      <c r="P181" s="274" t="e">
        <f t="shared" si="98"/>
        <v>#REF!</v>
      </c>
      <c r="Q181" s="274" t="e">
        <f t="shared" si="98"/>
        <v>#REF!</v>
      </c>
      <c r="R181" s="274" t="e">
        <f t="shared" si="98"/>
        <v>#REF!</v>
      </c>
      <c r="S181" s="274" t="e">
        <f t="shared" si="98"/>
        <v>#REF!</v>
      </c>
      <c r="T181" s="274" t="e">
        <f t="shared" si="98"/>
        <v>#REF!</v>
      </c>
      <c r="U181" s="274" t="e">
        <f t="shared" si="98"/>
        <v>#REF!</v>
      </c>
      <c r="V181" s="274" t="e">
        <f t="shared" si="98"/>
        <v>#REF!</v>
      </c>
      <c r="W181" s="274" t="e">
        <f t="shared" si="98"/>
        <v>#REF!</v>
      </c>
      <c r="X181" s="274" t="e">
        <f t="shared" si="98"/>
        <v>#REF!</v>
      </c>
      <c r="Y181" s="274" t="e">
        <f t="shared" si="98"/>
        <v>#REF!</v>
      </c>
      <c r="Z181" s="274" t="e">
        <f t="shared" si="98"/>
        <v>#REF!</v>
      </c>
      <c r="AA181" s="274" t="e">
        <f t="shared" si="98"/>
        <v>#REF!</v>
      </c>
      <c r="AB181" s="274" t="e">
        <f t="shared" si="98"/>
        <v>#REF!</v>
      </c>
      <c r="AC181" s="274" t="e">
        <f t="shared" si="98"/>
        <v>#REF!</v>
      </c>
      <c r="AD181" s="274" t="e">
        <f t="shared" si="98"/>
        <v>#REF!</v>
      </c>
      <c r="AE181" s="274" t="e">
        <f t="shared" si="98"/>
        <v>#REF!</v>
      </c>
      <c r="AF181" s="274" t="e">
        <f t="shared" si="98"/>
        <v>#REF!</v>
      </c>
      <c r="AG181" s="274" t="e">
        <f t="shared" si="98"/>
        <v>#REF!</v>
      </c>
    </row>
    <row r="182" spans="1:33" s="225" customFormat="1">
      <c r="A182" s="223" t="s">
        <v>331</v>
      </c>
      <c r="B182" s="223"/>
      <c r="H182" s="275" t="e">
        <f>H189/H86</f>
        <v>#REF!</v>
      </c>
      <c r="AB182" s="275" t="e">
        <f>AB189/AB86</f>
        <v>#REF!</v>
      </c>
    </row>
    <row r="183" spans="1:33">
      <c r="A183" s="235" t="s">
        <v>41</v>
      </c>
      <c r="B183" s="235"/>
      <c r="C183" s="235">
        <v>2025</v>
      </c>
      <c r="D183" s="235">
        <f t="shared" ref="D183:AG183" si="99">C183+1</f>
        <v>2026</v>
      </c>
      <c r="E183" s="235">
        <f t="shared" si="99"/>
        <v>2027</v>
      </c>
      <c r="F183" s="235">
        <f t="shared" si="99"/>
        <v>2028</v>
      </c>
      <c r="G183" s="235">
        <f t="shared" si="99"/>
        <v>2029</v>
      </c>
      <c r="H183" s="235">
        <f t="shared" si="99"/>
        <v>2030</v>
      </c>
      <c r="I183" s="235">
        <f t="shared" si="99"/>
        <v>2031</v>
      </c>
      <c r="J183" s="235">
        <f t="shared" si="99"/>
        <v>2032</v>
      </c>
      <c r="K183" s="235">
        <f t="shared" si="99"/>
        <v>2033</v>
      </c>
      <c r="L183" s="235">
        <f t="shared" si="99"/>
        <v>2034</v>
      </c>
      <c r="M183" s="235">
        <f t="shared" si="99"/>
        <v>2035</v>
      </c>
      <c r="N183" s="235">
        <f t="shared" si="99"/>
        <v>2036</v>
      </c>
      <c r="O183" s="235">
        <f t="shared" si="99"/>
        <v>2037</v>
      </c>
      <c r="P183" s="235">
        <f t="shared" si="99"/>
        <v>2038</v>
      </c>
      <c r="Q183" s="235">
        <f t="shared" si="99"/>
        <v>2039</v>
      </c>
      <c r="R183" s="235">
        <f t="shared" si="99"/>
        <v>2040</v>
      </c>
      <c r="S183" s="235">
        <f t="shared" si="99"/>
        <v>2041</v>
      </c>
      <c r="T183" s="235">
        <f t="shared" si="99"/>
        <v>2042</v>
      </c>
      <c r="U183" s="235">
        <f t="shared" si="99"/>
        <v>2043</v>
      </c>
      <c r="V183" s="235">
        <f t="shared" si="99"/>
        <v>2044</v>
      </c>
      <c r="W183" s="235">
        <f t="shared" si="99"/>
        <v>2045</v>
      </c>
      <c r="X183" s="235">
        <f t="shared" si="99"/>
        <v>2046</v>
      </c>
      <c r="Y183" s="235">
        <f t="shared" si="99"/>
        <v>2047</v>
      </c>
      <c r="Z183" s="235">
        <f t="shared" si="99"/>
        <v>2048</v>
      </c>
      <c r="AA183" s="235">
        <f t="shared" si="99"/>
        <v>2049</v>
      </c>
      <c r="AB183" s="235">
        <f t="shared" si="99"/>
        <v>2050</v>
      </c>
      <c r="AC183" s="235">
        <f t="shared" si="99"/>
        <v>2051</v>
      </c>
      <c r="AD183" s="235">
        <f t="shared" si="99"/>
        <v>2052</v>
      </c>
      <c r="AE183" s="235">
        <f t="shared" si="99"/>
        <v>2053</v>
      </c>
      <c r="AF183" s="235">
        <f t="shared" si="99"/>
        <v>2054</v>
      </c>
      <c r="AG183" s="235">
        <f t="shared" si="99"/>
        <v>2055</v>
      </c>
    </row>
    <row r="184" spans="1:33">
      <c r="A184" s="290" t="s">
        <v>428</v>
      </c>
      <c r="B184" s="173" t="s">
        <v>309</v>
      </c>
      <c r="C184" s="179" t="e">
        <f t="shared" ref="C184:AG184" si="100">$H$73*C60</f>
        <v>#REF!</v>
      </c>
      <c r="D184" s="179" t="e">
        <f t="shared" si="100"/>
        <v>#REF!</v>
      </c>
      <c r="E184" s="179" t="e">
        <f t="shared" si="100"/>
        <v>#REF!</v>
      </c>
      <c r="F184" s="179" t="e">
        <f t="shared" si="100"/>
        <v>#REF!</v>
      </c>
      <c r="G184" s="179" t="e">
        <f t="shared" si="100"/>
        <v>#REF!</v>
      </c>
      <c r="H184" s="179" t="e">
        <f t="shared" si="100"/>
        <v>#REF!</v>
      </c>
      <c r="I184" s="179" t="e">
        <f t="shared" si="100"/>
        <v>#REF!</v>
      </c>
      <c r="J184" s="179" t="e">
        <f t="shared" si="100"/>
        <v>#REF!</v>
      </c>
      <c r="K184" s="179" t="e">
        <f t="shared" si="100"/>
        <v>#REF!</v>
      </c>
      <c r="L184" s="179" t="e">
        <f t="shared" si="100"/>
        <v>#REF!</v>
      </c>
      <c r="M184" s="179" t="e">
        <f t="shared" si="100"/>
        <v>#REF!</v>
      </c>
      <c r="N184" s="179" t="e">
        <f t="shared" si="100"/>
        <v>#REF!</v>
      </c>
      <c r="O184" s="179" t="e">
        <f t="shared" si="100"/>
        <v>#REF!</v>
      </c>
      <c r="P184" s="179" t="e">
        <f t="shared" si="100"/>
        <v>#REF!</v>
      </c>
      <c r="Q184" s="179" t="e">
        <f t="shared" si="100"/>
        <v>#REF!</v>
      </c>
      <c r="R184" s="179" t="e">
        <f t="shared" si="100"/>
        <v>#REF!</v>
      </c>
      <c r="S184" s="179" t="e">
        <f t="shared" si="100"/>
        <v>#REF!</v>
      </c>
      <c r="T184" s="179" t="e">
        <f t="shared" si="100"/>
        <v>#REF!</v>
      </c>
      <c r="U184" s="179" t="e">
        <f t="shared" si="100"/>
        <v>#REF!</v>
      </c>
      <c r="V184" s="179" t="e">
        <f t="shared" si="100"/>
        <v>#REF!</v>
      </c>
      <c r="W184" s="179" t="e">
        <f t="shared" si="100"/>
        <v>#REF!</v>
      </c>
      <c r="X184" s="179" t="e">
        <f t="shared" si="100"/>
        <v>#REF!</v>
      </c>
      <c r="Y184" s="179" t="e">
        <f t="shared" si="100"/>
        <v>#REF!</v>
      </c>
      <c r="Z184" s="179" t="e">
        <f t="shared" si="100"/>
        <v>#REF!</v>
      </c>
      <c r="AA184" s="179" t="e">
        <f t="shared" si="100"/>
        <v>#REF!</v>
      </c>
      <c r="AB184" s="179" t="e">
        <f t="shared" si="100"/>
        <v>#REF!</v>
      </c>
      <c r="AC184" s="179" t="e">
        <f t="shared" si="100"/>
        <v>#REF!</v>
      </c>
      <c r="AD184" s="179" t="e">
        <f t="shared" si="100"/>
        <v>#REF!</v>
      </c>
      <c r="AE184" s="179" t="e">
        <f t="shared" si="100"/>
        <v>#REF!</v>
      </c>
      <c r="AF184" s="179" t="e">
        <f t="shared" si="100"/>
        <v>#REF!</v>
      </c>
      <c r="AG184" s="179" t="e">
        <f t="shared" si="100"/>
        <v>#REF!</v>
      </c>
    </row>
    <row r="185" spans="1:33">
      <c r="A185" s="290" t="s">
        <v>419</v>
      </c>
      <c r="B185" s="173" t="s">
        <v>309</v>
      </c>
      <c r="C185" s="179" t="e">
        <f t="shared" ref="C185:AG185" si="101">$C$22*C56</f>
        <v>#REF!</v>
      </c>
      <c r="D185" s="179" t="e">
        <f t="shared" si="101"/>
        <v>#REF!</v>
      </c>
      <c r="E185" s="179" t="e">
        <f t="shared" si="101"/>
        <v>#REF!</v>
      </c>
      <c r="F185" s="179" t="e">
        <f t="shared" si="101"/>
        <v>#REF!</v>
      </c>
      <c r="G185" s="179" t="e">
        <f t="shared" si="101"/>
        <v>#REF!</v>
      </c>
      <c r="H185" s="179" t="e">
        <f t="shared" si="101"/>
        <v>#REF!</v>
      </c>
      <c r="I185" s="179" t="e">
        <f t="shared" si="101"/>
        <v>#REF!</v>
      </c>
      <c r="J185" s="179" t="e">
        <f t="shared" si="101"/>
        <v>#REF!</v>
      </c>
      <c r="K185" s="179" t="e">
        <f t="shared" si="101"/>
        <v>#REF!</v>
      </c>
      <c r="L185" s="179" t="e">
        <f t="shared" si="101"/>
        <v>#REF!</v>
      </c>
      <c r="M185" s="179" t="e">
        <f t="shared" si="101"/>
        <v>#REF!</v>
      </c>
      <c r="N185" s="179" t="e">
        <f t="shared" si="101"/>
        <v>#REF!</v>
      </c>
      <c r="O185" s="179" t="e">
        <f t="shared" si="101"/>
        <v>#REF!</v>
      </c>
      <c r="P185" s="179" t="e">
        <f t="shared" si="101"/>
        <v>#REF!</v>
      </c>
      <c r="Q185" s="179" t="e">
        <f t="shared" si="101"/>
        <v>#REF!</v>
      </c>
      <c r="R185" s="179" t="e">
        <f t="shared" si="101"/>
        <v>#REF!</v>
      </c>
      <c r="S185" s="179" t="e">
        <f t="shared" si="101"/>
        <v>#REF!</v>
      </c>
      <c r="T185" s="179" t="e">
        <f t="shared" si="101"/>
        <v>#REF!</v>
      </c>
      <c r="U185" s="179" t="e">
        <f t="shared" si="101"/>
        <v>#REF!</v>
      </c>
      <c r="V185" s="179" t="e">
        <f t="shared" si="101"/>
        <v>#REF!</v>
      </c>
      <c r="W185" s="179" t="e">
        <f t="shared" si="101"/>
        <v>#REF!</v>
      </c>
      <c r="X185" s="179" t="e">
        <f t="shared" si="101"/>
        <v>#REF!</v>
      </c>
      <c r="Y185" s="179" t="e">
        <f t="shared" si="101"/>
        <v>#REF!</v>
      </c>
      <c r="Z185" s="179" t="e">
        <f t="shared" si="101"/>
        <v>#REF!</v>
      </c>
      <c r="AA185" s="179" t="e">
        <f t="shared" si="101"/>
        <v>#REF!</v>
      </c>
      <c r="AB185" s="179" t="e">
        <f t="shared" si="101"/>
        <v>#REF!</v>
      </c>
      <c r="AC185" s="179" t="e">
        <f t="shared" si="101"/>
        <v>#REF!</v>
      </c>
      <c r="AD185" s="179" t="e">
        <f t="shared" si="101"/>
        <v>#REF!</v>
      </c>
      <c r="AE185" s="179" t="e">
        <f t="shared" si="101"/>
        <v>#REF!</v>
      </c>
      <c r="AF185" s="179" t="e">
        <f t="shared" si="101"/>
        <v>#REF!</v>
      </c>
      <c r="AG185" s="179" t="e">
        <f t="shared" si="101"/>
        <v>#REF!</v>
      </c>
    </row>
    <row r="186" spans="1:33">
      <c r="A186" s="290" t="s">
        <v>429</v>
      </c>
      <c r="B186" s="173" t="s">
        <v>309</v>
      </c>
      <c r="C186" s="179" t="e">
        <f t="shared" ref="C186:AG186" si="102">C158</f>
        <v>#REF!</v>
      </c>
      <c r="D186" s="179" t="e">
        <f t="shared" si="102"/>
        <v>#REF!</v>
      </c>
      <c r="E186" s="179" t="e">
        <f t="shared" si="102"/>
        <v>#REF!</v>
      </c>
      <c r="F186" s="179" t="e">
        <f t="shared" si="102"/>
        <v>#REF!</v>
      </c>
      <c r="G186" s="179" t="e">
        <f t="shared" si="102"/>
        <v>#REF!</v>
      </c>
      <c r="H186" s="179" t="e">
        <f t="shared" si="102"/>
        <v>#REF!</v>
      </c>
      <c r="I186" s="179" t="e">
        <f t="shared" si="102"/>
        <v>#REF!</v>
      </c>
      <c r="J186" s="179" t="e">
        <f t="shared" si="102"/>
        <v>#REF!</v>
      </c>
      <c r="K186" s="179" t="e">
        <f t="shared" si="102"/>
        <v>#REF!</v>
      </c>
      <c r="L186" s="179" t="e">
        <f t="shared" si="102"/>
        <v>#REF!</v>
      </c>
      <c r="M186" s="179" t="e">
        <f t="shared" si="102"/>
        <v>#REF!</v>
      </c>
      <c r="N186" s="179" t="e">
        <f t="shared" si="102"/>
        <v>#REF!</v>
      </c>
      <c r="O186" s="179" t="e">
        <f t="shared" si="102"/>
        <v>#REF!</v>
      </c>
      <c r="P186" s="179" t="e">
        <f t="shared" si="102"/>
        <v>#REF!</v>
      </c>
      <c r="Q186" s="179" t="e">
        <f t="shared" si="102"/>
        <v>#REF!</v>
      </c>
      <c r="R186" s="179" t="e">
        <f t="shared" si="102"/>
        <v>#REF!</v>
      </c>
      <c r="S186" s="179" t="e">
        <f t="shared" si="102"/>
        <v>#REF!</v>
      </c>
      <c r="T186" s="179" t="e">
        <f t="shared" si="102"/>
        <v>#REF!</v>
      </c>
      <c r="U186" s="179" t="e">
        <f t="shared" si="102"/>
        <v>#REF!</v>
      </c>
      <c r="V186" s="179" t="e">
        <f t="shared" si="102"/>
        <v>#REF!</v>
      </c>
      <c r="W186" s="179" t="e">
        <f t="shared" si="102"/>
        <v>#REF!</v>
      </c>
      <c r="X186" s="179" t="e">
        <f t="shared" si="102"/>
        <v>#REF!</v>
      </c>
      <c r="Y186" s="179" t="e">
        <f t="shared" si="102"/>
        <v>#REF!</v>
      </c>
      <c r="Z186" s="179" t="e">
        <f t="shared" si="102"/>
        <v>#REF!</v>
      </c>
      <c r="AA186" s="179" t="e">
        <f t="shared" si="102"/>
        <v>#REF!</v>
      </c>
      <c r="AB186" s="179" t="e">
        <f t="shared" si="102"/>
        <v>#REF!</v>
      </c>
      <c r="AC186" s="179" t="e">
        <f t="shared" si="102"/>
        <v>#REF!</v>
      </c>
      <c r="AD186" s="179" t="e">
        <f t="shared" si="102"/>
        <v>#REF!</v>
      </c>
      <c r="AE186" s="179" t="e">
        <f t="shared" si="102"/>
        <v>#REF!</v>
      </c>
      <c r="AF186" s="179" t="e">
        <f t="shared" si="102"/>
        <v>#REF!</v>
      </c>
      <c r="AG186" s="179" t="e">
        <f t="shared" si="102"/>
        <v>#REF!</v>
      </c>
    </row>
    <row r="187" spans="1:33">
      <c r="A187" s="290" t="s">
        <v>361</v>
      </c>
      <c r="B187" s="173" t="s">
        <v>309</v>
      </c>
      <c r="C187" s="179" t="e">
        <f t="shared" ref="C187:AG187" si="103">$C$21*C57</f>
        <v>#REF!</v>
      </c>
      <c r="D187" s="179" t="e">
        <f t="shared" si="103"/>
        <v>#REF!</v>
      </c>
      <c r="E187" s="179" t="e">
        <f t="shared" si="103"/>
        <v>#REF!</v>
      </c>
      <c r="F187" s="179" t="e">
        <f t="shared" si="103"/>
        <v>#REF!</v>
      </c>
      <c r="G187" s="179" t="e">
        <f t="shared" si="103"/>
        <v>#REF!</v>
      </c>
      <c r="H187" s="179" t="e">
        <f t="shared" si="103"/>
        <v>#REF!</v>
      </c>
      <c r="I187" s="179" t="e">
        <f t="shared" si="103"/>
        <v>#REF!</v>
      </c>
      <c r="J187" s="179" t="e">
        <f t="shared" si="103"/>
        <v>#REF!</v>
      </c>
      <c r="K187" s="179" t="e">
        <f t="shared" si="103"/>
        <v>#REF!</v>
      </c>
      <c r="L187" s="179" t="e">
        <f t="shared" si="103"/>
        <v>#REF!</v>
      </c>
      <c r="M187" s="179" t="e">
        <f t="shared" si="103"/>
        <v>#REF!</v>
      </c>
      <c r="N187" s="179" t="e">
        <f t="shared" si="103"/>
        <v>#REF!</v>
      </c>
      <c r="O187" s="179" t="e">
        <f t="shared" si="103"/>
        <v>#REF!</v>
      </c>
      <c r="P187" s="179" t="e">
        <f t="shared" si="103"/>
        <v>#REF!</v>
      </c>
      <c r="Q187" s="179" t="e">
        <f t="shared" si="103"/>
        <v>#REF!</v>
      </c>
      <c r="R187" s="179" t="e">
        <f t="shared" si="103"/>
        <v>#REF!</v>
      </c>
      <c r="S187" s="179" t="e">
        <f t="shared" si="103"/>
        <v>#REF!</v>
      </c>
      <c r="T187" s="179" t="e">
        <f t="shared" si="103"/>
        <v>#REF!</v>
      </c>
      <c r="U187" s="179" t="e">
        <f t="shared" si="103"/>
        <v>#REF!</v>
      </c>
      <c r="V187" s="179" t="e">
        <f t="shared" si="103"/>
        <v>#REF!</v>
      </c>
      <c r="W187" s="179" t="e">
        <f t="shared" si="103"/>
        <v>#REF!</v>
      </c>
      <c r="X187" s="179" t="e">
        <f t="shared" si="103"/>
        <v>#REF!</v>
      </c>
      <c r="Y187" s="179" t="e">
        <f t="shared" si="103"/>
        <v>#REF!</v>
      </c>
      <c r="Z187" s="179" t="e">
        <f t="shared" si="103"/>
        <v>#REF!</v>
      </c>
      <c r="AA187" s="179" t="e">
        <f t="shared" si="103"/>
        <v>#REF!</v>
      </c>
      <c r="AB187" s="179" t="e">
        <f t="shared" si="103"/>
        <v>#REF!</v>
      </c>
      <c r="AC187" s="179" t="e">
        <f t="shared" si="103"/>
        <v>#REF!</v>
      </c>
      <c r="AD187" s="179" t="e">
        <f t="shared" si="103"/>
        <v>#REF!</v>
      </c>
      <c r="AE187" s="179" t="e">
        <f t="shared" si="103"/>
        <v>#REF!</v>
      </c>
      <c r="AF187" s="179" t="e">
        <f t="shared" si="103"/>
        <v>#REF!</v>
      </c>
      <c r="AG187" s="179" t="e">
        <f t="shared" si="103"/>
        <v>#REF!</v>
      </c>
    </row>
    <row r="188" spans="1:33">
      <c r="A188" s="173" t="s">
        <v>362</v>
      </c>
      <c r="B188" s="173" t="s">
        <v>41</v>
      </c>
      <c r="C188" s="278" t="e">
        <f t="shared" ref="C188:AG188" si="104">C68/($C$29*$C$28)</f>
        <v>#REF!</v>
      </c>
      <c r="D188" s="278" t="e">
        <f t="shared" si="104"/>
        <v>#REF!</v>
      </c>
      <c r="E188" s="278" t="e">
        <f t="shared" si="104"/>
        <v>#REF!</v>
      </c>
      <c r="F188" s="278" t="e">
        <f t="shared" si="104"/>
        <v>#REF!</v>
      </c>
      <c r="G188" s="278" t="e">
        <f t="shared" si="104"/>
        <v>#REF!</v>
      </c>
      <c r="H188" s="278" t="e">
        <f t="shared" si="104"/>
        <v>#REF!</v>
      </c>
      <c r="I188" s="278" t="e">
        <f t="shared" si="104"/>
        <v>#REF!</v>
      </c>
      <c r="J188" s="278" t="e">
        <f t="shared" si="104"/>
        <v>#REF!</v>
      </c>
      <c r="K188" s="278" t="e">
        <f t="shared" si="104"/>
        <v>#REF!</v>
      </c>
      <c r="L188" s="278" t="e">
        <f t="shared" si="104"/>
        <v>#REF!</v>
      </c>
      <c r="M188" s="278" t="e">
        <f t="shared" si="104"/>
        <v>#REF!</v>
      </c>
      <c r="N188" s="278" t="e">
        <f t="shared" si="104"/>
        <v>#REF!</v>
      </c>
      <c r="O188" s="278" t="e">
        <f t="shared" si="104"/>
        <v>#REF!</v>
      </c>
      <c r="P188" s="278" t="e">
        <f t="shared" si="104"/>
        <v>#REF!</v>
      </c>
      <c r="Q188" s="278" t="e">
        <f t="shared" si="104"/>
        <v>#REF!</v>
      </c>
      <c r="R188" s="278" t="e">
        <f t="shared" si="104"/>
        <v>#REF!</v>
      </c>
      <c r="S188" s="278" t="e">
        <f t="shared" si="104"/>
        <v>#REF!</v>
      </c>
      <c r="T188" s="278" t="e">
        <f t="shared" si="104"/>
        <v>#REF!</v>
      </c>
      <c r="U188" s="278" t="e">
        <f t="shared" si="104"/>
        <v>#REF!</v>
      </c>
      <c r="V188" s="278" t="e">
        <f t="shared" si="104"/>
        <v>#REF!</v>
      </c>
      <c r="W188" s="278" t="e">
        <f t="shared" si="104"/>
        <v>#REF!</v>
      </c>
      <c r="X188" s="278" t="e">
        <f t="shared" si="104"/>
        <v>#REF!</v>
      </c>
      <c r="Y188" s="278" t="e">
        <f t="shared" si="104"/>
        <v>#REF!</v>
      </c>
      <c r="Z188" s="278" t="e">
        <f t="shared" si="104"/>
        <v>#REF!</v>
      </c>
      <c r="AA188" s="278" t="e">
        <f t="shared" si="104"/>
        <v>#REF!</v>
      </c>
      <c r="AB188" s="278" t="e">
        <f t="shared" si="104"/>
        <v>#REF!</v>
      </c>
      <c r="AC188" s="278" t="e">
        <f t="shared" si="104"/>
        <v>#REF!</v>
      </c>
      <c r="AD188" s="278" t="e">
        <f t="shared" si="104"/>
        <v>#REF!</v>
      </c>
      <c r="AE188" s="278" t="e">
        <f t="shared" si="104"/>
        <v>#REF!</v>
      </c>
      <c r="AF188" s="278" t="e">
        <f t="shared" si="104"/>
        <v>#REF!</v>
      </c>
      <c r="AG188" s="278" t="e">
        <f t="shared" si="104"/>
        <v>#REF!</v>
      </c>
    </row>
    <row r="189" spans="1:33">
      <c r="A189" s="290" t="s">
        <v>332</v>
      </c>
      <c r="B189" s="173" t="s">
        <v>309</v>
      </c>
      <c r="C189" s="179" t="e">
        <f t="shared" ref="C189:AG189" si="105">(C86-$C$12+(C184+C185+C186+C187))*(1+0.15)</f>
        <v>#REF!</v>
      </c>
      <c r="D189" s="179" t="e">
        <f t="shared" si="105"/>
        <v>#REF!</v>
      </c>
      <c r="E189" s="179" t="e">
        <f t="shared" si="105"/>
        <v>#REF!</v>
      </c>
      <c r="F189" s="179" t="e">
        <f t="shared" si="105"/>
        <v>#REF!</v>
      </c>
      <c r="G189" s="179" t="e">
        <f t="shared" si="105"/>
        <v>#REF!</v>
      </c>
      <c r="H189" s="179" t="e">
        <f t="shared" si="105"/>
        <v>#REF!</v>
      </c>
      <c r="I189" s="179" t="e">
        <f t="shared" si="105"/>
        <v>#REF!</v>
      </c>
      <c r="J189" s="179" t="e">
        <f t="shared" si="105"/>
        <v>#REF!</v>
      </c>
      <c r="K189" s="179" t="e">
        <f t="shared" si="105"/>
        <v>#REF!</v>
      </c>
      <c r="L189" s="179" t="e">
        <f t="shared" si="105"/>
        <v>#REF!</v>
      </c>
      <c r="M189" s="179" t="e">
        <f t="shared" si="105"/>
        <v>#REF!</v>
      </c>
      <c r="N189" s="179" t="e">
        <f t="shared" si="105"/>
        <v>#REF!</v>
      </c>
      <c r="O189" s="179" t="e">
        <f t="shared" si="105"/>
        <v>#REF!</v>
      </c>
      <c r="P189" s="179" t="e">
        <f t="shared" si="105"/>
        <v>#REF!</v>
      </c>
      <c r="Q189" s="179" t="e">
        <f t="shared" si="105"/>
        <v>#REF!</v>
      </c>
      <c r="R189" s="179" t="e">
        <f t="shared" si="105"/>
        <v>#REF!</v>
      </c>
      <c r="S189" s="179" t="e">
        <f t="shared" si="105"/>
        <v>#REF!</v>
      </c>
      <c r="T189" s="179" t="e">
        <f t="shared" si="105"/>
        <v>#REF!</v>
      </c>
      <c r="U189" s="179" t="e">
        <f t="shared" si="105"/>
        <v>#REF!</v>
      </c>
      <c r="V189" s="179" t="e">
        <f t="shared" si="105"/>
        <v>#REF!</v>
      </c>
      <c r="W189" s="179" t="e">
        <f t="shared" si="105"/>
        <v>#REF!</v>
      </c>
      <c r="X189" s="179" t="e">
        <f t="shared" si="105"/>
        <v>#REF!</v>
      </c>
      <c r="Y189" s="179" t="e">
        <f t="shared" si="105"/>
        <v>#REF!</v>
      </c>
      <c r="Z189" s="179" t="e">
        <f t="shared" si="105"/>
        <v>#REF!</v>
      </c>
      <c r="AA189" s="179" t="e">
        <f t="shared" si="105"/>
        <v>#REF!</v>
      </c>
      <c r="AB189" s="179" t="e">
        <f t="shared" si="105"/>
        <v>#REF!</v>
      </c>
      <c r="AC189" s="179" t="e">
        <f t="shared" si="105"/>
        <v>#REF!</v>
      </c>
      <c r="AD189" s="179" t="e">
        <f t="shared" si="105"/>
        <v>#REF!</v>
      </c>
      <c r="AE189" s="179" t="e">
        <f t="shared" si="105"/>
        <v>#REF!</v>
      </c>
      <c r="AF189" s="179" t="e">
        <f t="shared" si="105"/>
        <v>#REF!</v>
      </c>
      <c r="AG189" s="179" t="e">
        <f t="shared" si="105"/>
        <v>#REF!</v>
      </c>
    </row>
    <row r="190" spans="1:33">
      <c r="A190" s="173" t="s">
        <v>333</v>
      </c>
      <c r="B190" s="173" t="s">
        <v>309</v>
      </c>
      <c r="C190" s="179" t="e">
        <f t="shared" ref="C190:AG190" si="106">$H$82*C50</f>
        <v>#REF!</v>
      </c>
      <c r="D190" s="179" t="e">
        <f t="shared" si="106"/>
        <v>#REF!</v>
      </c>
      <c r="E190" s="179" t="e">
        <f t="shared" si="106"/>
        <v>#REF!</v>
      </c>
      <c r="F190" s="179" t="e">
        <f t="shared" si="106"/>
        <v>#REF!</v>
      </c>
      <c r="G190" s="179" t="e">
        <f t="shared" si="106"/>
        <v>#REF!</v>
      </c>
      <c r="H190" s="179" t="e">
        <f t="shared" si="106"/>
        <v>#REF!</v>
      </c>
      <c r="I190" s="179" t="e">
        <f t="shared" si="106"/>
        <v>#REF!</v>
      </c>
      <c r="J190" s="179" t="e">
        <f t="shared" si="106"/>
        <v>#REF!</v>
      </c>
      <c r="K190" s="179" t="e">
        <f t="shared" si="106"/>
        <v>#REF!</v>
      </c>
      <c r="L190" s="179" t="e">
        <f t="shared" si="106"/>
        <v>#REF!</v>
      </c>
      <c r="M190" s="179" t="e">
        <f t="shared" si="106"/>
        <v>#REF!</v>
      </c>
      <c r="N190" s="179" t="e">
        <f t="shared" si="106"/>
        <v>#REF!</v>
      </c>
      <c r="O190" s="179" t="e">
        <f t="shared" si="106"/>
        <v>#REF!</v>
      </c>
      <c r="P190" s="179" t="e">
        <f t="shared" si="106"/>
        <v>#REF!</v>
      </c>
      <c r="Q190" s="179" t="e">
        <f t="shared" si="106"/>
        <v>#REF!</v>
      </c>
      <c r="R190" s="179" t="e">
        <f t="shared" si="106"/>
        <v>#REF!</v>
      </c>
      <c r="S190" s="179" t="e">
        <f t="shared" si="106"/>
        <v>#REF!</v>
      </c>
      <c r="T190" s="179" t="e">
        <f t="shared" si="106"/>
        <v>#REF!</v>
      </c>
      <c r="U190" s="179" t="e">
        <f t="shared" si="106"/>
        <v>#REF!</v>
      </c>
      <c r="V190" s="179" t="e">
        <f t="shared" si="106"/>
        <v>#REF!</v>
      </c>
      <c r="W190" s="179" t="e">
        <f t="shared" si="106"/>
        <v>#REF!</v>
      </c>
      <c r="X190" s="179" t="e">
        <f t="shared" si="106"/>
        <v>#REF!</v>
      </c>
      <c r="Y190" s="179" t="e">
        <f t="shared" si="106"/>
        <v>#REF!</v>
      </c>
      <c r="Z190" s="179" t="e">
        <f t="shared" si="106"/>
        <v>#REF!</v>
      </c>
      <c r="AA190" s="179" t="e">
        <f t="shared" si="106"/>
        <v>#REF!</v>
      </c>
      <c r="AB190" s="179" t="e">
        <f t="shared" si="106"/>
        <v>#REF!</v>
      </c>
      <c r="AC190" s="179" t="e">
        <f t="shared" si="106"/>
        <v>#REF!</v>
      </c>
      <c r="AD190" s="179" t="e">
        <f t="shared" si="106"/>
        <v>#REF!</v>
      </c>
      <c r="AE190" s="179" t="e">
        <f t="shared" si="106"/>
        <v>#REF!</v>
      </c>
      <c r="AF190" s="179" t="e">
        <f t="shared" si="106"/>
        <v>#REF!</v>
      </c>
      <c r="AG190" s="179" t="e">
        <f t="shared" si="106"/>
        <v>#REF!</v>
      </c>
    </row>
    <row r="191" spans="1:33">
      <c r="A191" s="173" t="s">
        <v>317</v>
      </c>
      <c r="B191" s="173" t="s">
        <v>309</v>
      </c>
      <c r="C191" s="179" t="e">
        <f t="shared" ref="C191:AG191" si="107">$C$28*$C$27*C69</f>
        <v>#REF!</v>
      </c>
      <c r="D191" s="179" t="e">
        <f t="shared" si="107"/>
        <v>#REF!</v>
      </c>
      <c r="E191" s="179" t="e">
        <f t="shared" si="107"/>
        <v>#REF!</v>
      </c>
      <c r="F191" s="179" t="e">
        <f t="shared" si="107"/>
        <v>#REF!</v>
      </c>
      <c r="G191" s="179" t="e">
        <f t="shared" si="107"/>
        <v>#REF!</v>
      </c>
      <c r="H191" s="179" t="e">
        <f t="shared" si="107"/>
        <v>#REF!</v>
      </c>
      <c r="I191" s="179" t="e">
        <f t="shared" si="107"/>
        <v>#REF!</v>
      </c>
      <c r="J191" s="179" t="e">
        <f t="shared" si="107"/>
        <v>#REF!</v>
      </c>
      <c r="K191" s="179" t="e">
        <f t="shared" si="107"/>
        <v>#REF!</v>
      </c>
      <c r="L191" s="179" t="e">
        <f t="shared" si="107"/>
        <v>#REF!</v>
      </c>
      <c r="M191" s="179" t="e">
        <f t="shared" si="107"/>
        <v>#REF!</v>
      </c>
      <c r="N191" s="179" t="e">
        <f t="shared" si="107"/>
        <v>#REF!</v>
      </c>
      <c r="O191" s="179" t="e">
        <f t="shared" si="107"/>
        <v>#REF!</v>
      </c>
      <c r="P191" s="179" t="e">
        <f t="shared" si="107"/>
        <v>#REF!</v>
      </c>
      <c r="Q191" s="179" t="e">
        <f t="shared" si="107"/>
        <v>#REF!</v>
      </c>
      <c r="R191" s="179" t="e">
        <f t="shared" si="107"/>
        <v>#REF!</v>
      </c>
      <c r="S191" s="179" t="e">
        <f t="shared" si="107"/>
        <v>#REF!</v>
      </c>
      <c r="T191" s="179" t="e">
        <f t="shared" si="107"/>
        <v>#REF!</v>
      </c>
      <c r="U191" s="179" t="e">
        <f t="shared" si="107"/>
        <v>#REF!</v>
      </c>
      <c r="V191" s="179" t="e">
        <f t="shared" si="107"/>
        <v>#REF!</v>
      </c>
      <c r="W191" s="179" t="e">
        <f t="shared" si="107"/>
        <v>#REF!</v>
      </c>
      <c r="X191" s="179" t="e">
        <f t="shared" si="107"/>
        <v>#REF!</v>
      </c>
      <c r="Y191" s="179" t="e">
        <f t="shared" si="107"/>
        <v>#REF!</v>
      </c>
      <c r="Z191" s="179" t="e">
        <f t="shared" si="107"/>
        <v>#REF!</v>
      </c>
      <c r="AA191" s="179" t="e">
        <f t="shared" si="107"/>
        <v>#REF!</v>
      </c>
      <c r="AB191" s="179" t="e">
        <f t="shared" si="107"/>
        <v>#REF!</v>
      </c>
      <c r="AC191" s="179" t="e">
        <f t="shared" si="107"/>
        <v>#REF!</v>
      </c>
      <c r="AD191" s="179" t="e">
        <f t="shared" si="107"/>
        <v>#REF!</v>
      </c>
      <c r="AE191" s="179" t="e">
        <f t="shared" si="107"/>
        <v>#REF!</v>
      </c>
      <c r="AF191" s="179" t="e">
        <f t="shared" si="107"/>
        <v>#REF!</v>
      </c>
      <c r="AG191" s="179" t="e">
        <f t="shared" si="107"/>
        <v>#REF!</v>
      </c>
    </row>
    <row r="192" spans="1:33">
      <c r="A192" s="173" t="s">
        <v>319</v>
      </c>
      <c r="B192" s="173" t="s">
        <v>309</v>
      </c>
      <c r="C192" s="179" t="e">
        <f t="shared" ref="C192:AG192" si="108">C189*$C$34</f>
        <v>#REF!</v>
      </c>
      <c r="D192" s="179" t="e">
        <f t="shared" si="108"/>
        <v>#REF!</v>
      </c>
      <c r="E192" s="179" t="e">
        <f t="shared" si="108"/>
        <v>#REF!</v>
      </c>
      <c r="F192" s="179" t="e">
        <f t="shared" si="108"/>
        <v>#REF!</v>
      </c>
      <c r="G192" s="179" t="e">
        <f t="shared" si="108"/>
        <v>#REF!</v>
      </c>
      <c r="H192" s="179" t="e">
        <f t="shared" si="108"/>
        <v>#REF!</v>
      </c>
      <c r="I192" s="179" t="e">
        <f t="shared" si="108"/>
        <v>#REF!</v>
      </c>
      <c r="J192" s="179" t="e">
        <f t="shared" si="108"/>
        <v>#REF!</v>
      </c>
      <c r="K192" s="179" t="e">
        <f t="shared" si="108"/>
        <v>#REF!</v>
      </c>
      <c r="L192" s="179" t="e">
        <f t="shared" si="108"/>
        <v>#REF!</v>
      </c>
      <c r="M192" s="179" t="e">
        <f t="shared" si="108"/>
        <v>#REF!</v>
      </c>
      <c r="N192" s="179" t="e">
        <f t="shared" si="108"/>
        <v>#REF!</v>
      </c>
      <c r="O192" s="179" t="e">
        <f t="shared" si="108"/>
        <v>#REF!</v>
      </c>
      <c r="P192" s="179" t="e">
        <f t="shared" si="108"/>
        <v>#REF!</v>
      </c>
      <c r="Q192" s="179" t="e">
        <f t="shared" si="108"/>
        <v>#REF!</v>
      </c>
      <c r="R192" s="179" t="e">
        <f t="shared" si="108"/>
        <v>#REF!</v>
      </c>
      <c r="S192" s="179" t="e">
        <f t="shared" si="108"/>
        <v>#REF!</v>
      </c>
      <c r="T192" s="179" t="e">
        <f t="shared" si="108"/>
        <v>#REF!</v>
      </c>
      <c r="U192" s="179" t="e">
        <f t="shared" si="108"/>
        <v>#REF!</v>
      </c>
      <c r="V192" s="179" t="e">
        <f t="shared" si="108"/>
        <v>#REF!</v>
      </c>
      <c r="W192" s="179" t="e">
        <f t="shared" si="108"/>
        <v>#REF!</v>
      </c>
      <c r="X192" s="179" t="e">
        <f t="shared" si="108"/>
        <v>#REF!</v>
      </c>
      <c r="Y192" s="179" t="e">
        <f t="shared" si="108"/>
        <v>#REF!</v>
      </c>
      <c r="Z192" s="179" t="e">
        <f t="shared" si="108"/>
        <v>#REF!</v>
      </c>
      <c r="AA192" s="179" t="e">
        <f t="shared" si="108"/>
        <v>#REF!</v>
      </c>
      <c r="AB192" s="179" t="e">
        <f t="shared" si="108"/>
        <v>#REF!</v>
      </c>
      <c r="AC192" s="179" t="e">
        <f t="shared" si="108"/>
        <v>#REF!</v>
      </c>
      <c r="AD192" s="179" t="e">
        <f t="shared" si="108"/>
        <v>#REF!</v>
      </c>
      <c r="AE192" s="179" t="e">
        <f t="shared" si="108"/>
        <v>#REF!</v>
      </c>
      <c r="AF192" s="179" t="e">
        <f t="shared" si="108"/>
        <v>#REF!</v>
      </c>
      <c r="AG192" s="179" t="e">
        <f t="shared" si="108"/>
        <v>#REF!</v>
      </c>
    </row>
    <row r="193" spans="1:33" s="247" customFormat="1" ht="11.85" customHeight="1">
      <c r="A193" s="270" t="s">
        <v>414</v>
      </c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</row>
    <row r="194" spans="1:33">
      <c r="A194" s="173" t="s">
        <v>325</v>
      </c>
      <c r="B194" s="173" t="s">
        <v>313</v>
      </c>
      <c r="C194" s="179" t="e">
        <f t="shared" ref="C194:AG194" si="109">-PMT($C$33,$C$31,C189)</f>
        <v>#REF!</v>
      </c>
      <c r="D194" s="179" t="e">
        <f t="shared" si="109"/>
        <v>#REF!</v>
      </c>
      <c r="E194" s="179" t="e">
        <f t="shared" si="109"/>
        <v>#REF!</v>
      </c>
      <c r="F194" s="179" t="e">
        <f t="shared" si="109"/>
        <v>#REF!</v>
      </c>
      <c r="G194" s="179" t="e">
        <f t="shared" si="109"/>
        <v>#REF!</v>
      </c>
      <c r="H194" s="179" t="e">
        <f t="shared" si="109"/>
        <v>#REF!</v>
      </c>
      <c r="I194" s="179" t="e">
        <f t="shared" si="109"/>
        <v>#REF!</v>
      </c>
      <c r="J194" s="179" t="e">
        <f t="shared" si="109"/>
        <v>#REF!</v>
      </c>
      <c r="K194" s="179" t="e">
        <f t="shared" si="109"/>
        <v>#REF!</v>
      </c>
      <c r="L194" s="179" t="e">
        <f t="shared" si="109"/>
        <v>#REF!</v>
      </c>
      <c r="M194" s="179" t="e">
        <f t="shared" si="109"/>
        <v>#REF!</v>
      </c>
      <c r="N194" s="179" t="e">
        <f t="shared" si="109"/>
        <v>#REF!</v>
      </c>
      <c r="O194" s="179" t="e">
        <f t="shared" si="109"/>
        <v>#REF!</v>
      </c>
      <c r="P194" s="179" t="e">
        <f t="shared" si="109"/>
        <v>#REF!</v>
      </c>
      <c r="Q194" s="179" t="e">
        <f t="shared" si="109"/>
        <v>#REF!</v>
      </c>
      <c r="R194" s="179" t="e">
        <f t="shared" si="109"/>
        <v>#REF!</v>
      </c>
      <c r="S194" s="179" t="e">
        <f t="shared" si="109"/>
        <v>#REF!</v>
      </c>
      <c r="T194" s="179" t="e">
        <f t="shared" si="109"/>
        <v>#REF!</v>
      </c>
      <c r="U194" s="179" t="e">
        <f t="shared" si="109"/>
        <v>#REF!</v>
      </c>
      <c r="V194" s="179" t="e">
        <f t="shared" si="109"/>
        <v>#REF!</v>
      </c>
      <c r="W194" s="179" t="e">
        <f t="shared" si="109"/>
        <v>#REF!</v>
      </c>
      <c r="X194" s="179" t="e">
        <f t="shared" si="109"/>
        <v>#REF!</v>
      </c>
      <c r="Y194" s="179" t="e">
        <f t="shared" si="109"/>
        <v>#REF!</v>
      </c>
      <c r="Z194" s="179" t="e">
        <f t="shared" si="109"/>
        <v>#REF!</v>
      </c>
      <c r="AA194" s="179" t="e">
        <f t="shared" si="109"/>
        <v>#REF!</v>
      </c>
      <c r="AB194" s="179" t="e">
        <f t="shared" si="109"/>
        <v>#REF!</v>
      </c>
      <c r="AC194" s="179" t="e">
        <f t="shared" si="109"/>
        <v>#REF!</v>
      </c>
      <c r="AD194" s="179" t="e">
        <f t="shared" si="109"/>
        <v>#REF!</v>
      </c>
      <c r="AE194" s="179" t="e">
        <f t="shared" si="109"/>
        <v>#REF!</v>
      </c>
      <c r="AF194" s="179" t="e">
        <f t="shared" si="109"/>
        <v>#REF!</v>
      </c>
      <c r="AG194" s="179" t="e">
        <f t="shared" si="109"/>
        <v>#REF!</v>
      </c>
    </row>
    <row r="195" spans="1:33">
      <c r="A195" s="173" t="s">
        <v>333</v>
      </c>
      <c r="B195" s="173" t="s">
        <v>313</v>
      </c>
      <c r="C195" s="179" t="e">
        <f t="shared" ref="C195:AG196" si="110">C190</f>
        <v>#REF!</v>
      </c>
      <c r="D195" s="179" t="e">
        <f t="shared" si="110"/>
        <v>#REF!</v>
      </c>
      <c r="E195" s="179" t="e">
        <f t="shared" si="110"/>
        <v>#REF!</v>
      </c>
      <c r="F195" s="179" t="e">
        <f t="shared" si="110"/>
        <v>#REF!</v>
      </c>
      <c r="G195" s="179" t="e">
        <f t="shared" si="110"/>
        <v>#REF!</v>
      </c>
      <c r="H195" s="179" t="e">
        <f t="shared" si="110"/>
        <v>#REF!</v>
      </c>
      <c r="I195" s="179" t="e">
        <f t="shared" si="110"/>
        <v>#REF!</v>
      </c>
      <c r="J195" s="179" t="e">
        <f t="shared" si="110"/>
        <v>#REF!</v>
      </c>
      <c r="K195" s="179" t="e">
        <f t="shared" si="110"/>
        <v>#REF!</v>
      </c>
      <c r="L195" s="179" t="e">
        <f t="shared" si="110"/>
        <v>#REF!</v>
      </c>
      <c r="M195" s="179" t="e">
        <f t="shared" si="110"/>
        <v>#REF!</v>
      </c>
      <c r="N195" s="179" t="e">
        <f t="shared" si="110"/>
        <v>#REF!</v>
      </c>
      <c r="O195" s="179" t="e">
        <f t="shared" si="110"/>
        <v>#REF!</v>
      </c>
      <c r="P195" s="179" t="e">
        <f t="shared" si="110"/>
        <v>#REF!</v>
      </c>
      <c r="Q195" s="179" t="e">
        <f t="shared" si="110"/>
        <v>#REF!</v>
      </c>
      <c r="R195" s="179" t="e">
        <f t="shared" si="110"/>
        <v>#REF!</v>
      </c>
      <c r="S195" s="179" t="e">
        <f t="shared" si="110"/>
        <v>#REF!</v>
      </c>
      <c r="T195" s="179" t="e">
        <f t="shared" si="110"/>
        <v>#REF!</v>
      </c>
      <c r="U195" s="179" t="e">
        <f t="shared" si="110"/>
        <v>#REF!</v>
      </c>
      <c r="V195" s="179" t="e">
        <f t="shared" si="110"/>
        <v>#REF!</v>
      </c>
      <c r="W195" s="179" t="e">
        <f t="shared" si="110"/>
        <v>#REF!</v>
      </c>
      <c r="X195" s="179" t="e">
        <f t="shared" si="110"/>
        <v>#REF!</v>
      </c>
      <c r="Y195" s="179" t="e">
        <f t="shared" si="110"/>
        <v>#REF!</v>
      </c>
      <c r="Z195" s="179" t="e">
        <f t="shared" si="110"/>
        <v>#REF!</v>
      </c>
      <c r="AA195" s="179" t="e">
        <f t="shared" si="110"/>
        <v>#REF!</v>
      </c>
      <c r="AB195" s="179" t="e">
        <f t="shared" si="110"/>
        <v>#REF!</v>
      </c>
      <c r="AC195" s="179" t="e">
        <f t="shared" si="110"/>
        <v>#REF!</v>
      </c>
      <c r="AD195" s="179" t="e">
        <f t="shared" si="110"/>
        <v>#REF!</v>
      </c>
      <c r="AE195" s="179" t="e">
        <f t="shared" si="110"/>
        <v>#REF!</v>
      </c>
      <c r="AF195" s="179" t="e">
        <f t="shared" si="110"/>
        <v>#REF!</v>
      </c>
      <c r="AG195" s="179" t="e">
        <f t="shared" si="110"/>
        <v>#REF!</v>
      </c>
    </row>
    <row r="196" spans="1:33">
      <c r="A196" s="173" t="s">
        <v>317</v>
      </c>
      <c r="B196" s="173" t="s">
        <v>313</v>
      </c>
      <c r="C196" s="179" t="e">
        <f t="shared" si="110"/>
        <v>#REF!</v>
      </c>
      <c r="D196" s="179" t="e">
        <f t="shared" si="110"/>
        <v>#REF!</v>
      </c>
      <c r="E196" s="179" t="e">
        <f t="shared" si="110"/>
        <v>#REF!</v>
      </c>
      <c r="F196" s="179" t="e">
        <f t="shared" si="110"/>
        <v>#REF!</v>
      </c>
      <c r="G196" s="179" t="e">
        <f t="shared" si="110"/>
        <v>#REF!</v>
      </c>
      <c r="H196" s="179" t="e">
        <f t="shared" si="110"/>
        <v>#REF!</v>
      </c>
      <c r="I196" s="179" t="e">
        <f t="shared" si="110"/>
        <v>#REF!</v>
      </c>
      <c r="J196" s="179" t="e">
        <f t="shared" si="110"/>
        <v>#REF!</v>
      </c>
      <c r="K196" s="179" t="e">
        <f t="shared" si="110"/>
        <v>#REF!</v>
      </c>
      <c r="L196" s="179" t="e">
        <f t="shared" si="110"/>
        <v>#REF!</v>
      </c>
      <c r="M196" s="179" t="e">
        <f t="shared" si="110"/>
        <v>#REF!</v>
      </c>
      <c r="N196" s="179" t="e">
        <f t="shared" si="110"/>
        <v>#REF!</v>
      </c>
      <c r="O196" s="179" t="e">
        <f t="shared" si="110"/>
        <v>#REF!</v>
      </c>
      <c r="P196" s="179" t="e">
        <f t="shared" si="110"/>
        <v>#REF!</v>
      </c>
      <c r="Q196" s="179" t="e">
        <f t="shared" si="110"/>
        <v>#REF!</v>
      </c>
      <c r="R196" s="179" t="e">
        <f t="shared" si="110"/>
        <v>#REF!</v>
      </c>
      <c r="S196" s="179" t="e">
        <f t="shared" si="110"/>
        <v>#REF!</v>
      </c>
      <c r="T196" s="179" t="e">
        <f t="shared" si="110"/>
        <v>#REF!</v>
      </c>
      <c r="U196" s="179" t="e">
        <f t="shared" si="110"/>
        <v>#REF!</v>
      </c>
      <c r="V196" s="179" t="e">
        <f t="shared" si="110"/>
        <v>#REF!</v>
      </c>
      <c r="W196" s="179" t="e">
        <f t="shared" si="110"/>
        <v>#REF!</v>
      </c>
      <c r="X196" s="179" t="e">
        <f t="shared" si="110"/>
        <v>#REF!</v>
      </c>
      <c r="Y196" s="179" t="e">
        <f t="shared" si="110"/>
        <v>#REF!</v>
      </c>
      <c r="Z196" s="179" t="e">
        <f t="shared" si="110"/>
        <v>#REF!</v>
      </c>
      <c r="AA196" s="179" t="e">
        <f t="shared" si="110"/>
        <v>#REF!</v>
      </c>
      <c r="AB196" s="179" t="e">
        <f t="shared" si="110"/>
        <v>#REF!</v>
      </c>
      <c r="AC196" s="179" t="e">
        <f t="shared" si="110"/>
        <v>#REF!</v>
      </c>
      <c r="AD196" s="179" t="e">
        <f t="shared" si="110"/>
        <v>#REF!</v>
      </c>
      <c r="AE196" s="179" t="e">
        <f t="shared" si="110"/>
        <v>#REF!</v>
      </c>
      <c r="AF196" s="179" t="e">
        <f t="shared" si="110"/>
        <v>#REF!</v>
      </c>
      <c r="AG196" s="179" t="e">
        <f t="shared" si="110"/>
        <v>#REF!</v>
      </c>
    </row>
    <row r="197" spans="1:33">
      <c r="A197" s="173" t="s">
        <v>430</v>
      </c>
      <c r="B197" s="173" t="s">
        <v>313</v>
      </c>
      <c r="C197" s="179" t="e">
        <f t="shared" ref="C197:AG197" si="111">-PMT($C$33, C188, C187)/C188</f>
        <v>#REF!</v>
      </c>
      <c r="D197" s="179" t="e">
        <f t="shared" si="111"/>
        <v>#REF!</v>
      </c>
      <c r="E197" s="179" t="e">
        <f t="shared" si="111"/>
        <v>#REF!</v>
      </c>
      <c r="F197" s="179" t="e">
        <f t="shared" si="111"/>
        <v>#REF!</v>
      </c>
      <c r="G197" s="179" t="e">
        <f t="shared" si="111"/>
        <v>#REF!</v>
      </c>
      <c r="H197" s="179" t="e">
        <f t="shared" si="111"/>
        <v>#REF!</v>
      </c>
      <c r="I197" s="179" t="e">
        <f t="shared" si="111"/>
        <v>#REF!</v>
      </c>
      <c r="J197" s="179" t="e">
        <f t="shared" si="111"/>
        <v>#REF!</v>
      </c>
      <c r="K197" s="179" t="e">
        <f t="shared" si="111"/>
        <v>#REF!</v>
      </c>
      <c r="L197" s="179" t="e">
        <f t="shared" si="111"/>
        <v>#REF!</v>
      </c>
      <c r="M197" s="179" t="e">
        <f t="shared" si="111"/>
        <v>#REF!</v>
      </c>
      <c r="N197" s="179" t="e">
        <f t="shared" si="111"/>
        <v>#REF!</v>
      </c>
      <c r="O197" s="179" t="e">
        <f t="shared" si="111"/>
        <v>#REF!</v>
      </c>
      <c r="P197" s="179" t="e">
        <f t="shared" si="111"/>
        <v>#REF!</v>
      </c>
      <c r="Q197" s="179" t="e">
        <f t="shared" si="111"/>
        <v>#REF!</v>
      </c>
      <c r="R197" s="179" t="e">
        <f t="shared" si="111"/>
        <v>#REF!</v>
      </c>
      <c r="S197" s="179" t="e">
        <f t="shared" si="111"/>
        <v>#REF!</v>
      </c>
      <c r="T197" s="179" t="e">
        <f t="shared" si="111"/>
        <v>#REF!</v>
      </c>
      <c r="U197" s="179" t="e">
        <f t="shared" si="111"/>
        <v>#REF!</v>
      </c>
      <c r="V197" s="179" t="e">
        <f t="shared" si="111"/>
        <v>#REF!</v>
      </c>
      <c r="W197" s="179" t="e">
        <f t="shared" si="111"/>
        <v>#REF!</v>
      </c>
      <c r="X197" s="179" t="e">
        <f t="shared" si="111"/>
        <v>#REF!</v>
      </c>
      <c r="Y197" s="179" t="e">
        <f t="shared" si="111"/>
        <v>#REF!</v>
      </c>
      <c r="Z197" s="179" t="e">
        <f t="shared" si="111"/>
        <v>#REF!</v>
      </c>
      <c r="AA197" s="179" t="e">
        <f t="shared" si="111"/>
        <v>#REF!</v>
      </c>
      <c r="AB197" s="179" t="e">
        <f t="shared" si="111"/>
        <v>#REF!</v>
      </c>
      <c r="AC197" s="179" t="e">
        <f t="shared" si="111"/>
        <v>#REF!</v>
      </c>
      <c r="AD197" s="179" t="e">
        <f t="shared" si="111"/>
        <v>#REF!</v>
      </c>
      <c r="AE197" s="179" t="e">
        <f t="shared" si="111"/>
        <v>#REF!</v>
      </c>
      <c r="AF197" s="179" t="e">
        <f t="shared" si="111"/>
        <v>#REF!</v>
      </c>
      <c r="AG197" s="179" t="e">
        <f t="shared" si="111"/>
        <v>#REF!</v>
      </c>
    </row>
    <row r="198" spans="1:33">
      <c r="A198" s="173" t="s">
        <v>319</v>
      </c>
      <c r="B198" s="173" t="s">
        <v>313</v>
      </c>
      <c r="C198" s="179" t="e">
        <f>C192</f>
        <v>#REF!</v>
      </c>
      <c r="D198" s="179" t="e">
        <f t="shared" ref="D198:AG198" si="112">D192</f>
        <v>#REF!</v>
      </c>
      <c r="E198" s="179" t="e">
        <f t="shared" si="112"/>
        <v>#REF!</v>
      </c>
      <c r="F198" s="179" t="e">
        <f t="shared" si="112"/>
        <v>#REF!</v>
      </c>
      <c r="G198" s="179" t="e">
        <f t="shared" si="112"/>
        <v>#REF!</v>
      </c>
      <c r="H198" s="179" t="e">
        <f t="shared" si="112"/>
        <v>#REF!</v>
      </c>
      <c r="I198" s="179" t="e">
        <f t="shared" si="112"/>
        <v>#REF!</v>
      </c>
      <c r="J198" s="179" t="e">
        <f t="shared" si="112"/>
        <v>#REF!</v>
      </c>
      <c r="K198" s="179" t="e">
        <f t="shared" si="112"/>
        <v>#REF!</v>
      </c>
      <c r="L198" s="179" t="e">
        <f t="shared" si="112"/>
        <v>#REF!</v>
      </c>
      <c r="M198" s="179" t="e">
        <f t="shared" si="112"/>
        <v>#REF!</v>
      </c>
      <c r="N198" s="179" t="e">
        <f t="shared" si="112"/>
        <v>#REF!</v>
      </c>
      <c r="O198" s="179" t="e">
        <f t="shared" si="112"/>
        <v>#REF!</v>
      </c>
      <c r="P198" s="179" t="e">
        <f t="shared" si="112"/>
        <v>#REF!</v>
      </c>
      <c r="Q198" s="179" t="e">
        <f t="shared" si="112"/>
        <v>#REF!</v>
      </c>
      <c r="R198" s="179" t="e">
        <f t="shared" si="112"/>
        <v>#REF!</v>
      </c>
      <c r="S198" s="179" t="e">
        <f t="shared" si="112"/>
        <v>#REF!</v>
      </c>
      <c r="T198" s="179" t="e">
        <f t="shared" si="112"/>
        <v>#REF!</v>
      </c>
      <c r="U198" s="179" t="e">
        <f t="shared" si="112"/>
        <v>#REF!</v>
      </c>
      <c r="V198" s="179" t="e">
        <f t="shared" si="112"/>
        <v>#REF!</v>
      </c>
      <c r="W198" s="179" t="e">
        <f t="shared" si="112"/>
        <v>#REF!</v>
      </c>
      <c r="X198" s="179" t="e">
        <f t="shared" si="112"/>
        <v>#REF!</v>
      </c>
      <c r="Y198" s="179" t="e">
        <f t="shared" si="112"/>
        <v>#REF!</v>
      </c>
      <c r="Z198" s="179" t="e">
        <f t="shared" si="112"/>
        <v>#REF!</v>
      </c>
      <c r="AA198" s="179" t="e">
        <f t="shared" si="112"/>
        <v>#REF!</v>
      </c>
      <c r="AB198" s="179" t="e">
        <f t="shared" si="112"/>
        <v>#REF!</v>
      </c>
      <c r="AC198" s="179" t="e">
        <f t="shared" si="112"/>
        <v>#REF!</v>
      </c>
      <c r="AD198" s="179" t="e">
        <f t="shared" si="112"/>
        <v>#REF!</v>
      </c>
      <c r="AE198" s="179" t="e">
        <f t="shared" si="112"/>
        <v>#REF!</v>
      </c>
      <c r="AF198" s="179" t="e">
        <f t="shared" si="112"/>
        <v>#REF!</v>
      </c>
      <c r="AG198" s="179" t="e">
        <f t="shared" si="112"/>
        <v>#REF!</v>
      </c>
    </row>
    <row r="199" spans="1:33" s="247" customFormat="1" ht="11.85" customHeight="1">
      <c r="A199" s="270" t="s">
        <v>320</v>
      </c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</row>
    <row r="200" spans="1:33">
      <c r="A200" s="173" t="s">
        <v>325</v>
      </c>
      <c r="B200" s="173" t="s">
        <v>300</v>
      </c>
      <c r="C200" s="179" t="e">
        <f t="shared" ref="C200:AG201" si="113">C194/($C$28*$C$27)</f>
        <v>#REF!</v>
      </c>
      <c r="D200" s="179" t="e">
        <f t="shared" si="113"/>
        <v>#REF!</v>
      </c>
      <c r="E200" s="179" t="e">
        <f t="shared" si="113"/>
        <v>#REF!</v>
      </c>
      <c r="F200" s="179" t="e">
        <f t="shared" si="113"/>
        <v>#REF!</v>
      </c>
      <c r="G200" s="179" t="e">
        <f t="shared" si="113"/>
        <v>#REF!</v>
      </c>
      <c r="H200" s="179" t="e">
        <f t="shared" si="113"/>
        <v>#REF!</v>
      </c>
      <c r="I200" s="179" t="e">
        <f t="shared" si="113"/>
        <v>#REF!</v>
      </c>
      <c r="J200" s="179" t="e">
        <f t="shared" si="113"/>
        <v>#REF!</v>
      </c>
      <c r="K200" s="179" t="e">
        <f t="shared" si="113"/>
        <v>#REF!</v>
      </c>
      <c r="L200" s="179" t="e">
        <f t="shared" si="113"/>
        <v>#REF!</v>
      </c>
      <c r="M200" s="179" t="e">
        <f t="shared" si="113"/>
        <v>#REF!</v>
      </c>
      <c r="N200" s="179" t="e">
        <f t="shared" si="113"/>
        <v>#REF!</v>
      </c>
      <c r="O200" s="179" t="e">
        <f t="shared" si="113"/>
        <v>#REF!</v>
      </c>
      <c r="P200" s="179" t="e">
        <f t="shared" si="113"/>
        <v>#REF!</v>
      </c>
      <c r="Q200" s="179" t="e">
        <f t="shared" si="113"/>
        <v>#REF!</v>
      </c>
      <c r="R200" s="179" t="e">
        <f t="shared" si="113"/>
        <v>#REF!</v>
      </c>
      <c r="S200" s="179" t="e">
        <f t="shared" si="113"/>
        <v>#REF!</v>
      </c>
      <c r="T200" s="179" t="e">
        <f t="shared" si="113"/>
        <v>#REF!</v>
      </c>
      <c r="U200" s="179" t="e">
        <f t="shared" si="113"/>
        <v>#REF!</v>
      </c>
      <c r="V200" s="179" t="e">
        <f t="shared" si="113"/>
        <v>#REF!</v>
      </c>
      <c r="W200" s="179" t="e">
        <f t="shared" si="113"/>
        <v>#REF!</v>
      </c>
      <c r="X200" s="179" t="e">
        <f t="shared" si="113"/>
        <v>#REF!</v>
      </c>
      <c r="Y200" s="179" t="e">
        <f t="shared" si="113"/>
        <v>#REF!</v>
      </c>
      <c r="Z200" s="179" t="e">
        <f t="shared" si="113"/>
        <v>#REF!</v>
      </c>
      <c r="AA200" s="179" t="e">
        <f t="shared" si="113"/>
        <v>#REF!</v>
      </c>
      <c r="AB200" s="179" t="e">
        <f t="shared" si="113"/>
        <v>#REF!</v>
      </c>
      <c r="AC200" s="179" t="e">
        <f t="shared" si="113"/>
        <v>#REF!</v>
      </c>
      <c r="AD200" s="179" t="e">
        <f t="shared" si="113"/>
        <v>#REF!</v>
      </c>
      <c r="AE200" s="179" t="e">
        <f t="shared" si="113"/>
        <v>#REF!</v>
      </c>
      <c r="AF200" s="179" t="e">
        <f t="shared" si="113"/>
        <v>#REF!</v>
      </c>
      <c r="AG200" s="179" t="e">
        <f t="shared" si="113"/>
        <v>#REF!</v>
      </c>
    </row>
    <row r="201" spans="1:33">
      <c r="A201" s="173" t="s">
        <v>321</v>
      </c>
      <c r="B201" s="173" t="s">
        <v>300</v>
      </c>
      <c r="C201" s="179" t="e">
        <f t="shared" si="113"/>
        <v>#REF!</v>
      </c>
      <c r="D201" s="179" t="e">
        <f t="shared" si="113"/>
        <v>#REF!</v>
      </c>
      <c r="E201" s="179" t="e">
        <f t="shared" si="113"/>
        <v>#REF!</v>
      </c>
      <c r="F201" s="179" t="e">
        <f t="shared" si="113"/>
        <v>#REF!</v>
      </c>
      <c r="G201" s="179" t="e">
        <f t="shared" si="113"/>
        <v>#REF!</v>
      </c>
      <c r="H201" s="179" t="e">
        <f t="shared" si="113"/>
        <v>#REF!</v>
      </c>
      <c r="I201" s="179" t="e">
        <f t="shared" si="113"/>
        <v>#REF!</v>
      </c>
      <c r="J201" s="179" t="e">
        <f t="shared" si="113"/>
        <v>#REF!</v>
      </c>
      <c r="K201" s="179" t="e">
        <f t="shared" si="113"/>
        <v>#REF!</v>
      </c>
      <c r="L201" s="179" t="e">
        <f t="shared" si="113"/>
        <v>#REF!</v>
      </c>
      <c r="M201" s="179" t="e">
        <f t="shared" si="113"/>
        <v>#REF!</v>
      </c>
      <c r="N201" s="179" t="e">
        <f t="shared" si="113"/>
        <v>#REF!</v>
      </c>
      <c r="O201" s="179" t="e">
        <f t="shared" si="113"/>
        <v>#REF!</v>
      </c>
      <c r="P201" s="179" t="e">
        <f t="shared" si="113"/>
        <v>#REF!</v>
      </c>
      <c r="Q201" s="179" t="e">
        <f t="shared" si="113"/>
        <v>#REF!</v>
      </c>
      <c r="R201" s="179" t="e">
        <f t="shared" si="113"/>
        <v>#REF!</v>
      </c>
      <c r="S201" s="179" t="e">
        <f t="shared" si="113"/>
        <v>#REF!</v>
      </c>
      <c r="T201" s="179" t="e">
        <f t="shared" si="113"/>
        <v>#REF!</v>
      </c>
      <c r="U201" s="179" t="e">
        <f t="shared" si="113"/>
        <v>#REF!</v>
      </c>
      <c r="V201" s="179" t="e">
        <f t="shared" si="113"/>
        <v>#REF!</v>
      </c>
      <c r="W201" s="179" t="e">
        <f t="shared" si="113"/>
        <v>#REF!</v>
      </c>
      <c r="X201" s="179" t="e">
        <f t="shared" si="113"/>
        <v>#REF!</v>
      </c>
      <c r="Y201" s="179" t="e">
        <f t="shared" si="113"/>
        <v>#REF!</v>
      </c>
      <c r="Z201" s="179" t="e">
        <f t="shared" si="113"/>
        <v>#REF!</v>
      </c>
      <c r="AA201" s="179" t="e">
        <f t="shared" si="113"/>
        <v>#REF!</v>
      </c>
      <c r="AB201" s="179" t="e">
        <f t="shared" si="113"/>
        <v>#REF!</v>
      </c>
      <c r="AC201" s="179" t="e">
        <f t="shared" si="113"/>
        <v>#REF!</v>
      </c>
      <c r="AD201" s="179" t="e">
        <f t="shared" si="113"/>
        <v>#REF!</v>
      </c>
      <c r="AE201" s="179" t="e">
        <f t="shared" si="113"/>
        <v>#REF!</v>
      </c>
      <c r="AF201" s="179" t="e">
        <f t="shared" si="113"/>
        <v>#REF!</v>
      </c>
      <c r="AG201" s="179" t="e">
        <f t="shared" si="113"/>
        <v>#REF!</v>
      </c>
    </row>
    <row r="202" spans="1:33">
      <c r="A202" s="173" t="s">
        <v>322</v>
      </c>
      <c r="B202" s="173" t="s">
        <v>300</v>
      </c>
      <c r="C202" s="179" t="e">
        <f t="shared" ref="C202:AG202" si="114">(C196+C198+C197+C70)/($C$28*$C$27)+C63</f>
        <v>#REF!</v>
      </c>
      <c r="D202" s="179" t="e">
        <f t="shared" si="114"/>
        <v>#REF!</v>
      </c>
      <c r="E202" s="179" t="e">
        <f t="shared" si="114"/>
        <v>#REF!</v>
      </c>
      <c r="F202" s="179" t="e">
        <f t="shared" si="114"/>
        <v>#REF!</v>
      </c>
      <c r="G202" s="179" t="e">
        <f t="shared" si="114"/>
        <v>#REF!</v>
      </c>
      <c r="H202" s="179" t="e">
        <f t="shared" si="114"/>
        <v>#REF!</v>
      </c>
      <c r="I202" s="179" t="e">
        <f t="shared" si="114"/>
        <v>#REF!</v>
      </c>
      <c r="J202" s="179" t="e">
        <f t="shared" si="114"/>
        <v>#REF!</v>
      </c>
      <c r="K202" s="179" t="e">
        <f t="shared" si="114"/>
        <v>#REF!</v>
      </c>
      <c r="L202" s="179" t="e">
        <f t="shared" si="114"/>
        <v>#REF!</v>
      </c>
      <c r="M202" s="179" t="e">
        <f t="shared" si="114"/>
        <v>#REF!</v>
      </c>
      <c r="N202" s="179" t="e">
        <f t="shared" si="114"/>
        <v>#REF!</v>
      </c>
      <c r="O202" s="179" t="e">
        <f t="shared" si="114"/>
        <v>#REF!</v>
      </c>
      <c r="P202" s="179" t="e">
        <f t="shared" si="114"/>
        <v>#REF!</v>
      </c>
      <c r="Q202" s="179" t="e">
        <f t="shared" si="114"/>
        <v>#REF!</v>
      </c>
      <c r="R202" s="179" t="e">
        <f t="shared" si="114"/>
        <v>#REF!</v>
      </c>
      <c r="S202" s="179" t="e">
        <f t="shared" si="114"/>
        <v>#REF!</v>
      </c>
      <c r="T202" s="179" t="e">
        <f t="shared" si="114"/>
        <v>#REF!</v>
      </c>
      <c r="U202" s="179" t="e">
        <f t="shared" si="114"/>
        <v>#REF!</v>
      </c>
      <c r="V202" s="179" t="e">
        <f t="shared" si="114"/>
        <v>#REF!</v>
      </c>
      <c r="W202" s="179" t="e">
        <f t="shared" si="114"/>
        <v>#REF!</v>
      </c>
      <c r="X202" s="179" t="e">
        <f t="shared" si="114"/>
        <v>#REF!</v>
      </c>
      <c r="Y202" s="179" t="e">
        <f t="shared" si="114"/>
        <v>#REF!</v>
      </c>
      <c r="Z202" s="179" t="e">
        <f t="shared" si="114"/>
        <v>#REF!</v>
      </c>
      <c r="AA202" s="179" t="e">
        <f t="shared" si="114"/>
        <v>#REF!</v>
      </c>
      <c r="AB202" s="179" t="e">
        <f t="shared" si="114"/>
        <v>#REF!</v>
      </c>
      <c r="AC202" s="179" t="e">
        <f t="shared" si="114"/>
        <v>#REF!</v>
      </c>
      <c r="AD202" s="179" t="e">
        <f t="shared" si="114"/>
        <v>#REF!</v>
      </c>
      <c r="AE202" s="179" t="e">
        <f t="shared" si="114"/>
        <v>#REF!</v>
      </c>
      <c r="AF202" s="179" t="e">
        <f t="shared" si="114"/>
        <v>#REF!</v>
      </c>
      <c r="AG202" s="179" t="e">
        <f t="shared" si="114"/>
        <v>#REF!</v>
      </c>
    </row>
    <row r="203" spans="1:33">
      <c r="C203" s="271" t="e">
        <f t="shared" ref="C203:AG203" si="115">SUM(C200:C202)</f>
        <v>#REF!</v>
      </c>
      <c r="D203" s="271" t="e">
        <f t="shared" si="115"/>
        <v>#REF!</v>
      </c>
      <c r="E203" s="271" t="e">
        <f t="shared" si="115"/>
        <v>#REF!</v>
      </c>
      <c r="F203" s="271" t="e">
        <f t="shared" si="115"/>
        <v>#REF!</v>
      </c>
      <c r="G203" s="271" t="e">
        <f t="shared" si="115"/>
        <v>#REF!</v>
      </c>
      <c r="H203" s="271" t="e">
        <f t="shared" si="115"/>
        <v>#REF!</v>
      </c>
      <c r="I203" s="271" t="e">
        <f t="shared" si="115"/>
        <v>#REF!</v>
      </c>
      <c r="J203" s="271" t="e">
        <f t="shared" si="115"/>
        <v>#REF!</v>
      </c>
      <c r="K203" s="271" t="e">
        <f t="shared" si="115"/>
        <v>#REF!</v>
      </c>
      <c r="L203" s="271" t="e">
        <f t="shared" si="115"/>
        <v>#REF!</v>
      </c>
      <c r="M203" s="271" t="e">
        <f t="shared" si="115"/>
        <v>#REF!</v>
      </c>
      <c r="N203" s="271" t="e">
        <f t="shared" si="115"/>
        <v>#REF!</v>
      </c>
      <c r="O203" s="271" t="e">
        <f t="shared" si="115"/>
        <v>#REF!</v>
      </c>
      <c r="P203" s="271" t="e">
        <f t="shared" si="115"/>
        <v>#REF!</v>
      </c>
      <c r="Q203" s="271" t="e">
        <f t="shared" si="115"/>
        <v>#REF!</v>
      </c>
      <c r="R203" s="271" t="e">
        <f t="shared" si="115"/>
        <v>#REF!</v>
      </c>
      <c r="S203" s="271" t="e">
        <f t="shared" si="115"/>
        <v>#REF!</v>
      </c>
      <c r="T203" s="271" t="e">
        <f t="shared" si="115"/>
        <v>#REF!</v>
      </c>
      <c r="U203" s="271" t="e">
        <f t="shared" si="115"/>
        <v>#REF!</v>
      </c>
      <c r="V203" s="271" t="e">
        <f t="shared" si="115"/>
        <v>#REF!</v>
      </c>
      <c r="W203" s="271" t="e">
        <f t="shared" si="115"/>
        <v>#REF!</v>
      </c>
      <c r="X203" s="271" t="e">
        <f t="shared" si="115"/>
        <v>#REF!</v>
      </c>
      <c r="Y203" s="271" t="e">
        <f t="shared" si="115"/>
        <v>#REF!</v>
      </c>
      <c r="Z203" s="271" t="e">
        <f t="shared" si="115"/>
        <v>#REF!</v>
      </c>
      <c r="AA203" s="271" t="e">
        <f t="shared" si="115"/>
        <v>#REF!</v>
      </c>
      <c r="AB203" s="271" t="e">
        <f t="shared" si="115"/>
        <v>#REF!</v>
      </c>
      <c r="AC203" s="271" t="e">
        <f t="shared" si="115"/>
        <v>#REF!</v>
      </c>
      <c r="AD203" s="271" t="e">
        <f t="shared" si="115"/>
        <v>#REF!</v>
      </c>
      <c r="AE203" s="271" t="e">
        <f t="shared" si="115"/>
        <v>#REF!</v>
      </c>
      <c r="AF203" s="271" t="e">
        <f t="shared" si="115"/>
        <v>#REF!</v>
      </c>
      <c r="AG203" s="271" t="e">
        <f t="shared" si="115"/>
        <v>#REF!</v>
      </c>
    </row>
    <row r="204" spans="1:33">
      <c r="A204" s="235" t="s">
        <v>323</v>
      </c>
      <c r="B204" s="235"/>
      <c r="C204" s="235">
        <v>2025</v>
      </c>
      <c r="D204" s="235">
        <f t="shared" ref="D204:AG204" si="116">C204+1</f>
        <v>2026</v>
      </c>
      <c r="E204" s="235">
        <f t="shared" si="116"/>
        <v>2027</v>
      </c>
      <c r="F204" s="235">
        <f t="shared" si="116"/>
        <v>2028</v>
      </c>
      <c r="G204" s="235">
        <f t="shared" si="116"/>
        <v>2029</v>
      </c>
      <c r="H204" s="235">
        <f t="shared" si="116"/>
        <v>2030</v>
      </c>
      <c r="I204" s="235">
        <f t="shared" si="116"/>
        <v>2031</v>
      </c>
      <c r="J204" s="235">
        <f t="shared" si="116"/>
        <v>2032</v>
      </c>
      <c r="K204" s="235">
        <f t="shared" si="116"/>
        <v>2033</v>
      </c>
      <c r="L204" s="235">
        <f t="shared" si="116"/>
        <v>2034</v>
      </c>
      <c r="M204" s="235">
        <f t="shared" si="116"/>
        <v>2035</v>
      </c>
      <c r="N204" s="235">
        <f t="shared" si="116"/>
        <v>2036</v>
      </c>
      <c r="O204" s="235">
        <f t="shared" si="116"/>
        <v>2037</v>
      </c>
      <c r="P204" s="235">
        <f t="shared" si="116"/>
        <v>2038</v>
      </c>
      <c r="Q204" s="235">
        <f t="shared" si="116"/>
        <v>2039</v>
      </c>
      <c r="R204" s="235">
        <f t="shared" si="116"/>
        <v>2040</v>
      </c>
      <c r="S204" s="235">
        <f t="shared" si="116"/>
        <v>2041</v>
      </c>
      <c r="T204" s="235">
        <f t="shared" si="116"/>
        <v>2042</v>
      </c>
      <c r="U204" s="235">
        <f t="shared" si="116"/>
        <v>2043</v>
      </c>
      <c r="V204" s="235">
        <f t="shared" si="116"/>
        <v>2044</v>
      </c>
      <c r="W204" s="235">
        <f t="shared" si="116"/>
        <v>2045</v>
      </c>
      <c r="X204" s="235">
        <f t="shared" si="116"/>
        <v>2046</v>
      </c>
      <c r="Y204" s="235">
        <f t="shared" si="116"/>
        <v>2047</v>
      </c>
      <c r="Z204" s="235">
        <f t="shared" si="116"/>
        <v>2048</v>
      </c>
      <c r="AA204" s="235">
        <f t="shared" si="116"/>
        <v>2049</v>
      </c>
      <c r="AB204" s="235">
        <f t="shared" si="116"/>
        <v>2050</v>
      </c>
      <c r="AC204" s="235">
        <f t="shared" si="116"/>
        <v>2051</v>
      </c>
      <c r="AD204" s="235">
        <f t="shared" si="116"/>
        <v>2052</v>
      </c>
      <c r="AE204" s="235">
        <f t="shared" si="116"/>
        <v>2053</v>
      </c>
      <c r="AF204" s="235">
        <f t="shared" si="116"/>
        <v>2054</v>
      </c>
      <c r="AG204" s="235">
        <f t="shared" si="116"/>
        <v>2055</v>
      </c>
    </row>
    <row r="205" spans="1:33">
      <c r="A205" s="173" t="str">
        <f>A85</f>
        <v xml:space="preserve">Diesel   </v>
      </c>
      <c r="B205" s="173" t="str">
        <f>A205</f>
        <v xml:space="preserve">Diesel   </v>
      </c>
      <c r="C205" s="295" t="e">
        <f t="shared" ref="C205:AG205" si="117">SUM(C100:C102)</f>
        <v>#REF!</v>
      </c>
      <c r="D205" s="295" t="e">
        <f t="shared" si="117"/>
        <v>#REF!</v>
      </c>
      <c r="E205" s="295" t="e">
        <f t="shared" si="117"/>
        <v>#REF!</v>
      </c>
      <c r="F205" s="295" t="e">
        <f t="shared" si="117"/>
        <v>#REF!</v>
      </c>
      <c r="G205" s="295" t="e">
        <f t="shared" si="117"/>
        <v>#REF!</v>
      </c>
      <c r="H205" s="295" t="e">
        <f t="shared" si="117"/>
        <v>#REF!</v>
      </c>
      <c r="I205" s="295" t="e">
        <f t="shared" si="117"/>
        <v>#REF!</v>
      </c>
      <c r="J205" s="295" t="e">
        <f t="shared" si="117"/>
        <v>#REF!</v>
      </c>
      <c r="K205" s="295" t="e">
        <f t="shared" si="117"/>
        <v>#REF!</v>
      </c>
      <c r="L205" s="295" t="e">
        <f t="shared" si="117"/>
        <v>#REF!</v>
      </c>
      <c r="M205" s="295" t="e">
        <f t="shared" si="117"/>
        <v>#REF!</v>
      </c>
      <c r="N205" s="295" t="e">
        <f t="shared" si="117"/>
        <v>#REF!</v>
      </c>
      <c r="O205" s="295" t="e">
        <f t="shared" si="117"/>
        <v>#REF!</v>
      </c>
      <c r="P205" s="295" t="e">
        <f t="shared" si="117"/>
        <v>#REF!</v>
      </c>
      <c r="Q205" s="295" t="e">
        <f t="shared" si="117"/>
        <v>#REF!</v>
      </c>
      <c r="R205" s="295" t="e">
        <f t="shared" si="117"/>
        <v>#REF!</v>
      </c>
      <c r="S205" s="295" t="e">
        <f t="shared" si="117"/>
        <v>#REF!</v>
      </c>
      <c r="T205" s="295" t="e">
        <f t="shared" si="117"/>
        <v>#REF!</v>
      </c>
      <c r="U205" s="295" t="e">
        <f t="shared" si="117"/>
        <v>#REF!</v>
      </c>
      <c r="V205" s="295" t="e">
        <f t="shared" si="117"/>
        <v>#REF!</v>
      </c>
      <c r="W205" s="295" t="e">
        <f t="shared" si="117"/>
        <v>#REF!</v>
      </c>
      <c r="X205" s="295" t="e">
        <f t="shared" si="117"/>
        <v>#REF!</v>
      </c>
      <c r="Y205" s="295" t="e">
        <f t="shared" si="117"/>
        <v>#REF!</v>
      </c>
      <c r="Z205" s="295" t="e">
        <f t="shared" si="117"/>
        <v>#REF!</v>
      </c>
      <c r="AA205" s="295" t="e">
        <f t="shared" si="117"/>
        <v>#REF!</v>
      </c>
      <c r="AB205" s="295" t="e">
        <f t="shared" si="117"/>
        <v>#REF!</v>
      </c>
      <c r="AC205" s="295" t="e">
        <f t="shared" si="117"/>
        <v>#REF!</v>
      </c>
      <c r="AD205" s="295" t="e">
        <f t="shared" si="117"/>
        <v>#REF!</v>
      </c>
      <c r="AE205" s="295" t="e">
        <f t="shared" si="117"/>
        <v>#REF!</v>
      </c>
      <c r="AF205" s="295" t="e">
        <f t="shared" si="117"/>
        <v>#REF!</v>
      </c>
      <c r="AG205" s="295" t="e">
        <f t="shared" si="117"/>
        <v>#REF!</v>
      </c>
    </row>
    <row r="206" spans="1:33">
      <c r="A206" s="290" t="s">
        <v>179</v>
      </c>
      <c r="B206" s="290" t="s">
        <v>179</v>
      </c>
      <c r="C206" s="295" t="e">
        <f>SUM(C117:C119)</f>
        <v>#REF!</v>
      </c>
      <c r="D206" s="295" t="e">
        <f t="shared" ref="D206:AG206" si="118">SUM(D117:D119)</f>
        <v>#REF!</v>
      </c>
      <c r="E206" s="295" t="e">
        <f t="shared" si="118"/>
        <v>#REF!</v>
      </c>
      <c r="F206" s="295" t="e">
        <f t="shared" si="118"/>
        <v>#REF!</v>
      </c>
      <c r="G206" s="295" t="e">
        <f t="shared" si="118"/>
        <v>#REF!</v>
      </c>
      <c r="H206" s="295" t="e">
        <f t="shared" si="118"/>
        <v>#REF!</v>
      </c>
      <c r="I206" s="295" t="e">
        <f t="shared" si="118"/>
        <v>#REF!</v>
      </c>
      <c r="J206" s="295" t="e">
        <f t="shared" si="118"/>
        <v>#REF!</v>
      </c>
      <c r="K206" s="295" t="e">
        <f t="shared" si="118"/>
        <v>#REF!</v>
      </c>
      <c r="L206" s="295" t="e">
        <f t="shared" si="118"/>
        <v>#REF!</v>
      </c>
      <c r="M206" s="295" t="e">
        <f t="shared" si="118"/>
        <v>#REF!</v>
      </c>
      <c r="N206" s="295" t="e">
        <f t="shared" si="118"/>
        <v>#REF!</v>
      </c>
      <c r="O206" s="295" t="e">
        <f t="shared" si="118"/>
        <v>#REF!</v>
      </c>
      <c r="P206" s="295" t="e">
        <f t="shared" si="118"/>
        <v>#REF!</v>
      </c>
      <c r="Q206" s="295" t="e">
        <f t="shared" si="118"/>
        <v>#REF!</v>
      </c>
      <c r="R206" s="295" t="e">
        <f t="shared" si="118"/>
        <v>#REF!</v>
      </c>
      <c r="S206" s="295" t="e">
        <f t="shared" si="118"/>
        <v>#REF!</v>
      </c>
      <c r="T206" s="295" t="e">
        <f t="shared" si="118"/>
        <v>#REF!</v>
      </c>
      <c r="U206" s="295" t="e">
        <f t="shared" si="118"/>
        <v>#REF!</v>
      </c>
      <c r="V206" s="295" t="e">
        <f t="shared" si="118"/>
        <v>#REF!</v>
      </c>
      <c r="W206" s="295" t="e">
        <f t="shared" si="118"/>
        <v>#REF!</v>
      </c>
      <c r="X206" s="295" t="e">
        <f t="shared" si="118"/>
        <v>#REF!</v>
      </c>
      <c r="Y206" s="295" t="e">
        <f t="shared" si="118"/>
        <v>#REF!</v>
      </c>
      <c r="Z206" s="295" t="e">
        <f t="shared" si="118"/>
        <v>#REF!</v>
      </c>
      <c r="AA206" s="295" t="e">
        <f t="shared" si="118"/>
        <v>#REF!</v>
      </c>
      <c r="AB206" s="295" t="e">
        <f t="shared" si="118"/>
        <v>#REF!</v>
      </c>
      <c r="AC206" s="295" t="e">
        <f t="shared" si="118"/>
        <v>#REF!</v>
      </c>
      <c r="AD206" s="295" t="e">
        <f t="shared" si="118"/>
        <v>#REF!</v>
      </c>
      <c r="AE206" s="295" t="e">
        <f t="shared" si="118"/>
        <v>#REF!</v>
      </c>
      <c r="AF206" s="295" t="e">
        <f t="shared" si="118"/>
        <v>#REF!</v>
      </c>
      <c r="AG206" s="295" t="e">
        <f t="shared" si="118"/>
        <v>#REF!</v>
      </c>
    </row>
    <row r="207" spans="1:33">
      <c r="A207" s="173" t="s">
        <v>180</v>
      </c>
      <c r="B207" s="173" t="s">
        <v>180</v>
      </c>
      <c r="C207" s="295" t="e">
        <f t="shared" ref="C207:AG207" si="119">SUM(C134:C136)</f>
        <v>#REF!</v>
      </c>
      <c r="D207" s="295" t="e">
        <f t="shared" si="119"/>
        <v>#REF!</v>
      </c>
      <c r="E207" s="295" t="e">
        <f t="shared" si="119"/>
        <v>#REF!</v>
      </c>
      <c r="F207" s="295" t="e">
        <f t="shared" si="119"/>
        <v>#REF!</v>
      </c>
      <c r="G207" s="295" t="e">
        <f t="shared" si="119"/>
        <v>#REF!</v>
      </c>
      <c r="H207" s="295" t="e">
        <f t="shared" si="119"/>
        <v>#REF!</v>
      </c>
      <c r="I207" s="295" t="e">
        <f t="shared" si="119"/>
        <v>#REF!</v>
      </c>
      <c r="J207" s="295" t="e">
        <f t="shared" si="119"/>
        <v>#REF!</v>
      </c>
      <c r="K207" s="295" t="e">
        <f t="shared" si="119"/>
        <v>#REF!</v>
      </c>
      <c r="L207" s="295" t="e">
        <f t="shared" si="119"/>
        <v>#REF!</v>
      </c>
      <c r="M207" s="295" t="e">
        <f t="shared" si="119"/>
        <v>#REF!</v>
      </c>
      <c r="N207" s="295" t="e">
        <f t="shared" si="119"/>
        <v>#REF!</v>
      </c>
      <c r="O207" s="295" t="e">
        <f t="shared" si="119"/>
        <v>#REF!</v>
      </c>
      <c r="P207" s="295" t="e">
        <f t="shared" si="119"/>
        <v>#REF!</v>
      </c>
      <c r="Q207" s="295" t="e">
        <f t="shared" si="119"/>
        <v>#REF!</v>
      </c>
      <c r="R207" s="295" t="e">
        <f t="shared" si="119"/>
        <v>#REF!</v>
      </c>
      <c r="S207" s="295" t="e">
        <f t="shared" si="119"/>
        <v>#REF!</v>
      </c>
      <c r="T207" s="295" t="e">
        <f t="shared" si="119"/>
        <v>#REF!</v>
      </c>
      <c r="U207" s="295" t="e">
        <f t="shared" si="119"/>
        <v>#REF!</v>
      </c>
      <c r="V207" s="295" t="e">
        <f t="shared" si="119"/>
        <v>#REF!</v>
      </c>
      <c r="W207" s="295" t="e">
        <f t="shared" si="119"/>
        <v>#REF!</v>
      </c>
      <c r="X207" s="295" t="e">
        <f t="shared" si="119"/>
        <v>#REF!</v>
      </c>
      <c r="Y207" s="295" t="e">
        <f t="shared" si="119"/>
        <v>#REF!</v>
      </c>
      <c r="Z207" s="295" t="e">
        <f t="shared" si="119"/>
        <v>#REF!</v>
      </c>
      <c r="AA207" s="295" t="e">
        <f t="shared" si="119"/>
        <v>#REF!</v>
      </c>
      <c r="AB207" s="295" t="e">
        <f t="shared" si="119"/>
        <v>#REF!</v>
      </c>
      <c r="AC207" s="295" t="e">
        <f t="shared" si="119"/>
        <v>#REF!</v>
      </c>
      <c r="AD207" s="295" t="e">
        <f t="shared" si="119"/>
        <v>#REF!</v>
      </c>
      <c r="AE207" s="295" t="e">
        <f t="shared" si="119"/>
        <v>#REF!</v>
      </c>
      <c r="AF207" s="295" t="e">
        <f t="shared" si="119"/>
        <v>#REF!</v>
      </c>
      <c r="AG207" s="295" t="e">
        <f t="shared" si="119"/>
        <v>#REF!</v>
      </c>
    </row>
    <row r="208" spans="1:33">
      <c r="A208" s="173" t="str">
        <f>A138</f>
        <v>H2-ICE</v>
      </c>
      <c r="B208" s="173" t="str">
        <f t="shared" ref="B208:B210" si="120">A208</f>
        <v>H2-ICE</v>
      </c>
      <c r="C208" s="295" t="e">
        <f t="shared" ref="C208:AG208" si="121">SUM(C151:C153)</f>
        <v>#REF!</v>
      </c>
      <c r="D208" s="295" t="e">
        <f t="shared" si="121"/>
        <v>#REF!</v>
      </c>
      <c r="E208" s="295" t="e">
        <f t="shared" si="121"/>
        <v>#REF!</v>
      </c>
      <c r="F208" s="295" t="e">
        <f t="shared" si="121"/>
        <v>#REF!</v>
      </c>
      <c r="G208" s="295" t="e">
        <f t="shared" si="121"/>
        <v>#REF!</v>
      </c>
      <c r="H208" s="295" t="e">
        <f t="shared" si="121"/>
        <v>#REF!</v>
      </c>
      <c r="I208" s="295" t="e">
        <f t="shared" si="121"/>
        <v>#REF!</v>
      </c>
      <c r="J208" s="295" t="e">
        <f t="shared" si="121"/>
        <v>#REF!</v>
      </c>
      <c r="K208" s="295" t="e">
        <f t="shared" si="121"/>
        <v>#REF!</v>
      </c>
      <c r="L208" s="295" t="e">
        <f t="shared" si="121"/>
        <v>#REF!</v>
      </c>
      <c r="M208" s="295" t="e">
        <f t="shared" si="121"/>
        <v>#REF!</v>
      </c>
      <c r="N208" s="295" t="e">
        <f t="shared" si="121"/>
        <v>#REF!</v>
      </c>
      <c r="O208" s="295" t="e">
        <f t="shared" si="121"/>
        <v>#REF!</v>
      </c>
      <c r="P208" s="295" t="e">
        <f t="shared" si="121"/>
        <v>#REF!</v>
      </c>
      <c r="Q208" s="295" t="e">
        <f t="shared" si="121"/>
        <v>#REF!</v>
      </c>
      <c r="R208" s="295" t="e">
        <f t="shared" si="121"/>
        <v>#REF!</v>
      </c>
      <c r="S208" s="295" t="e">
        <f t="shared" si="121"/>
        <v>#REF!</v>
      </c>
      <c r="T208" s="295" t="e">
        <f t="shared" si="121"/>
        <v>#REF!</v>
      </c>
      <c r="U208" s="295" t="e">
        <f t="shared" si="121"/>
        <v>#REF!</v>
      </c>
      <c r="V208" s="295" t="e">
        <f t="shared" si="121"/>
        <v>#REF!</v>
      </c>
      <c r="W208" s="295" t="e">
        <f t="shared" si="121"/>
        <v>#REF!</v>
      </c>
      <c r="X208" s="295" t="e">
        <f t="shared" si="121"/>
        <v>#REF!</v>
      </c>
      <c r="Y208" s="295" t="e">
        <f t="shared" si="121"/>
        <v>#REF!</v>
      </c>
      <c r="Z208" s="295" t="e">
        <f t="shared" si="121"/>
        <v>#REF!</v>
      </c>
      <c r="AA208" s="295" t="e">
        <f t="shared" si="121"/>
        <v>#REF!</v>
      </c>
      <c r="AB208" s="295" t="e">
        <f t="shared" si="121"/>
        <v>#REF!</v>
      </c>
      <c r="AC208" s="295" t="e">
        <f t="shared" si="121"/>
        <v>#REF!</v>
      </c>
      <c r="AD208" s="295" t="e">
        <f t="shared" si="121"/>
        <v>#REF!</v>
      </c>
      <c r="AE208" s="295" t="e">
        <f t="shared" si="121"/>
        <v>#REF!</v>
      </c>
      <c r="AF208" s="295" t="e">
        <f t="shared" si="121"/>
        <v>#REF!</v>
      </c>
      <c r="AG208" s="295" t="e">
        <f t="shared" si="121"/>
        <v>#REF!</v>
      </c>
    </row>
    <row r="209" spans="1:33">
      <c r="A209" s="173" t="str">
        <f>A155</f>
        <v>BET</v>
      </c>
      <c r="B209" s="173" t="str">
        <f t="shared" si="120"/>
        <v>BET</v>
      </c>
      <c r="C209" s="295" t="e">
        <f t="shared" ref="C209:AG209" si="122">SUM(C178:C180)</f>
        <v>#REF!</v>
      </c>
      <c r="D209" s="295" t="e">
        <f t="shared" si="122"/>
        <v>#REF!</v>
      </c>
      <c r="E209" s="295" t="e">
        <f t="shared" si="122"/>
        <v>#REF!</v>
      </c>
      <c r="F209" s="295" t="e">
        <f t="shared" si="122"/>
        <v>#REF!</v>
      </c>
      <c r="G209" s="295" t="e">
        <f t="shared" si="122"/>
        <v>#REF!</v>
      </c>
      <c r="H209" s="295" t="e">
        <f t="shared" si="122"/>
        <v>#REF!</v>
      </c>
      <c r="I209" s="295" t="e">
        <f t="shared" si="122"/>
        <v>#REF!</v>
      </c>
      <c r="J209" s="295" t="e">
        <f t="shared" si="122"/>
        <v>#REF!</v>
      </c>
      <c r="K209" s="295" t="e">
        <f t="shared" si="122"/>
        <v>#REF!</v>
      </c>
      <c r="L209" s="295" t="e">
        <f t="shared" si="122"/>
        <v>#REF!</v>
      </c>
      <c r="M209" s="295" t="e">
        <f t="shared" si="122"/>
        <v>#REF!</v>
      </c>
      <c r="N209" s="295" t="e">
        <f t="shared" si="122"/>
        <v>#REF!</v>
      </c>
      <c r="O209" s="295" t="e">
        <f t="shared" si="122"/>
        <v>#REF!</v>
      </c>
      <c r="P209" s="295" t="e">
        <f t="shared" si="122"/>
        <v>#REF!</v>
      </c>
      <c r="Q209" s="295" t="e">
        <f t="shared" si="122"/>
        <v>#REF!</v>
      </c>
      <c r="R209" s="295" t="e">
        <f t="shared" si="122"/>
        <v>#REF!</v>
      </c>
      <c r="S209" s="295" t="e">
        <f t="shared" si="122"/>
        <v>#REF!</v>
      </c>
      <c r="T209" s="295" t="e">
        <f t="shared" si="122"/>
        <v>#REF!</v>
      </c>
      <c r="U209" s="295" t="e">
        <f t="shared" si="122"/>
        <v>#REF!</v>
      </c>
      <c r="V209" s="295" t="e">
        <f t="shared" si="122"/>
        <v>#REF!</v>
      </c>
      <c r="W209" s="295" t="e">
        <f t="shared" si="122"/>
        <v>#REF!</v>
      </c>
      <c r="X209" s="295" t="e">
        <f t="shared" si="122"/>
        <v>#REF!</v>
      </c>
      <c r="Y209" s="295" t="e">
        <f t="shared" si="122"/>
        <v>#REF!</v>
      </c>
      <c r="Z209" s="295" t="e">
        <f t="shared" si="122"/>
        <v>#REF!</v>
      </c>
      <c r="AA209" s="295" t="e">
        <f t="shared" si="122"/>
        <v>#REF!</v>
      </c>
      <c r="AB209" s="295" t="e">
        <f t="shared" si="122"/>
        <v>#REF!</v>
      </c>
      <c r="AC209" s="295" t="e">
        <f t="shared" si="122"/>
        <v>#REF!</v>
      </c>
      <c r="AD209" s="295" t="e">
        <f t="shared" si="122"/>
        <v>#REF!</v>
      </c>
      <c r="AE209" s="295" t="e">
        <f t="shared" si="122"/>
        <v>#REF!</v>
      </c>
      <c r="AF209" s="295" t="e">
        <f t="shared" si="122"/>
        <v>#REF!</v>
      </c>
      <c r="AG209" s="295" t="e">
        <f t="shared" si="122"/>
        <v>#REF!</v>
      </c>
    </row>
    <row r="210" spans="1:33">
      <c r="A210" s="173" t="str">
        <f>A182</f>
        <v>FCET</v>
      </c>
      <c r="B210" s="173" t="str">
        <f t="shared" si="120"/>
        <v>FCET</v>
      </c>
      <c r="C210" s="295" t="e">
        <f t="shared" ref="C210:AG210" si="123">SUM(C200:C202)</f>
        <v>#REF!</v>
      </c>
      <c r="D210" s="295" t="e">
        <f t="shared" si="123"/>
        <v>#REF!</v>
      </c>
      <c r="E210" s="295" t="e">
        <f t="shared" si="123"/>
        <v>#REF!</v>
      </c>
      <c r="F210" s="295" t="e">
        <f t="shared" si="123"/>
        <v>#REF!</v>
      </c>
      <c r="G210" s="295" t="e">
        <f t="shared" si="123"/>
        <v>#REF!</v>
      </c>
      <c r="H210" s="295" t="e">
        <f t="shared" si="123"/>
        <v>#REF!</v>
      </c>
      <c r="I210" s="295" t="e">
        <f t="shared" si="123"/>
        <v>#REF!</v>
      </c>
      <c r="J210" s="295" t="e">
        <f t="shared" si="123"/>
        <v>#REF!</v>
      </c>
      <c r="K210" s="295" t="e">
        <f t="shared" si="123"/>
        <v>#REF!</v>
      </c>
      <c r="L210" s="295" t="e">
        <f t="shared" si="123"/>
        <v>#REF!</v>
      </c>
      <c r="M210" s="295" t="e">
        <f t="shared" si="123"/>
        <v>#REF!</v>
      </c>
      <c r="N210" s="295" t="e">
        <f t="shared" si="123"/>
        <v>#REF!</v>
      </c>
      <c r="O210" s="295" t="e">
        <f t="shared" si="123"/>
        <v>#REF!</v>
      </c>
      <c r="P210" s="295" t="e">
        <f t="shared" si="123"/>
        <v>#REF!</v>
      </c>
      <c r="Q210" s="295" t="e">
        <f t="shared" si="123"/>
        <v>#REF!</v>
      </c>
      <c r="R210" s="295" t="e">
        <f t="shared" si="123"/>
        <v>#REF!</v>
      </c>
      <c r="S210" s="295" t="e">
        <f t="shared" si="123"/>
        <v>#REF!</v>
      </c>
      <c r="T210" s="295" t="e">
        <f t="shared" si="123"/>
        <v>#REF!</v>
      </c>
      <c r="U210" s="295" t="e">
        <f t="shared" si="123"/>
        <v>#REF!</v>
      </c>
      <c r="V210" s="295" t="e">
        <f t="shared" si="123"/>
        <v>#REF!</v>
      </c>
      <c r="W210" s="295" t="e">
        <f t="shared" si="123"/>
        <v>#REF!</v>
      </c>
      <c r="X210" s="295" t="e">
        <f t="shared" si="123"/>
        <v>#REF!</v>
      </c>
      <c r="Y210" s="295" t="e">
        <f t="shared" si="123"/>
        <v>#REF!</v>
      </c>
      <c r="Z210" s="295" t="e">
        <f t="shared" si="123"/>
        <v>#REF!</v>
      </c>
      <c r="AA210" s="295" t="e">
        <f t="shared" si="123"/>
        <v>#REF!</v>
      </c>
      <c r="AB210" s="295" t="e">
        <f t="shared" si="123"/>
        <v>#REF!</v>
      </c>
      <c r="AC210" s="295" t="e">
        <f t="shared" si="123"/>
        <v>#REF!</v>
      </c>
      <c r="AD210" s="295" t="e">
        <f t="shared" si="123"/>
        <v>#REF!</v>
      </c>
      <c r="AE210" s="295" t="e">
        <f t="shared" si="123"/>
        <v>#REF!</v>
      </c>
      <c r="AF210" s="295" t="e">
        <f t="shared" si="123"/>
        <v>#REF!</v>
      </c>
      <c r="AG210" s="295" t="e">
        <f t="shared" si="123"/>
        <v>#REF!</v>
      </c>
    </row>
    <row r="211" spans="1:33">
      <c r="A211" s="173" t="s">
        <v>334</v>
      </c>
      <c r="C211" s="295" t="e">
        <f t="shared" ref="C211:AG211" si="124">C205*0.9</f>
        <v>#REF!</v>
      </c>
      <c r="D211" s="295" t="e">
        <f t="shared" si="124"/>
        <v>#REF!</v>
      </c>
      <c r="E211" s="295" t="e">
        <f t="shared" si="124"/>
        <v>#REF!</v>
      </c>
      <c r="F211" s="295" t="e">
        <f t="shared" si="124"/>
        <v>#REF!</v>
      </c>
      <c r="G211" s="295" t="e">
        <f t="shared" si="124"/>
        <v>#REF!</v>
      </c>
      <c r="H211" s="295" t="e">
        <f t="shared" si="124"/>
        <v>#REF!</v>
      </c>
      <c r="I211" s="295" t="e">
        <f t="shared" si="124"/>
        <v>#REF!</v>
      </c>
      <c r="J211" s="295" t="e">
        <f t="shared" si="124"/>
        <v>#REF!</v>
      </c>
      <c r="K211" s="295" t="e">
        <f t="shared" si="124"/>
        <v>#REF!</v>
      </c>
      <c r="L211" s="295" t="e">
        <f t="shared" si="124"/>
        <v>#REF!</v>
      </c>
      <c r="M211" s="295" t="e">
        <f t="shared" si="124"/>
        <v>#REF!</v>
      </c>
      <c r="N211" s="295" t="e">
        <f t="shared" si="124"/>
        <v>#REF!</v>
      </c>
      <c r="O211" s="295" t="e">
        <f t="shared" si="124"/>
        <v>#REF!</v>
      </c>
      <c r="P211" s="295" t="e">
        <f t="shared" si="124"/>
        <v>#REF!</v>
      </c>
      <c r="Q211" s="295" t="e">
        <f t="shared" si="124"/>
        <v>#REF!</v>
      </c>
      <c r="R211" s="295" t="e">
        <f t="shared" si="124"/>
        <v>#REF!</v>
      </c>
      <c r="S211" s="295" t="e">
        <f t="shared" si="124"/>
        <v>#REF!</v>
      </c>
      <c r="T211" s="295" t="e">
        <f t="shared" si="124"/>
        <v>#REF!</v>
      </c>
      <c r="U211" s="295" t="e">
        <f t="shared" si="124"/>
        <v>#REF!</v>
      </c>
      <c r="V211" s="295" t="e">
        <f t="shared" si="124"/>
        <v>#REF!</v>
      </c>
      <c r="W211" s="295" t="e">
        <f t="shared" si="124"/>
        <v>#REF!</v>
      </c>
      <c r="X211" s="295" t="e">
        <f t="shared" si="124"/>
        <v>#REF!</v>
      </c>
      <c r="Y211" s="295" t="e">
        <f t="shared" si="124"/>
        <v>#REF!</v>
      </c>
      <c r="Z211" s="295" t="e">
        <f t="shared" si="124"/>
        <v>#REF!</v>
      </c>
      <c r="AA211" s="295" t="e">
        <f t="shared" si="124"/>
        <v>#REF!</v>
      </c>
      <c r="AB211" s="295" t="e">
        <f t="shared" si="124"/>
        <v>#REF!</v>
      </c>
      <c r="AC211" s="295" t="e">
        <f t="shared" si="124"/>
        <v>#REF!</v>
      </c>
      <c r="AD211" s="295" t="e">
        <f t="shared" si="124"/>
        <v>#REF!</v>
      </c>
      <c r="AE211" s="295" t="e">
        <f t="shared" si="124"/>
        <v>#REF!</v>
      </c>
      <c r="AF211" s="295" t="e">
        <f t="shared" si="124"/>
        <v>#REF!</v>
      </c>
      <c r="AG211" s="295" t="e">
        <f t="shared" si="124"/>
        <v>#REF!</v>
      </c>
    </row>
    <row r="212" spans="1:33">
      <c r="C212" s="173"/>
    </row>
    <row r="213" spans="1:33">
      <c r="A213" s="235" t="s">
        <v>431</v>
      </c>
      <c r="B213" s="235"/>
      <c r="C213" s="235">
        <v>2025</v>
      </c>
      <c r="D213" s="235">
        <f t="shared" ref="D213:AG213" si="125">C213+1</f>
        <v>2026</v>
      </c>
      <c r="E213" s="235">
        <f t="shared" si="125"/>
        <v>2027</v>
      </c>
      <c r="F213" s="235">
        <f t="shared" si="125"/>
        <v>2028</v>
      </c>
      <c r="G213" s="235">
        <f t="shared" si="125"/>
        <v>2029</v>
      </c>
      <c r="H213" s="235">
        <f t="shared" si="125"/>
        <v>2030</v>
      </c>
      <c r="I213" s="235">
        <f t="shared" si="125"/>
        <v>2031</v>
      </c>
      <c r="J213" s="235">
        <f t="shared" si="125"/>
        <v>2032</v>
      </c>
      <c r="K213" s="235">
        <f t="shared" si="125"/>
        <v>2033</v>
      </c>
      <c r="L213" s="235">
        <f t="shared" si="125"/>
        <v>2034</v>
      </c>
      <c r="M213" s="235">
        <f t="shared" si="125"/>
        <v>2035</v>
      </c>
      <c r="N213" s="235">
        <f t="shared" si="125"/>
        <v>2036</v>
      </c>
      <c r="O213" s="235">
        <f t="shared" si="125"/>
        <v>2037</v>
      </c>
      <c r="P213" s="235">
        <f t="shared" si="125"/>
        <v>2038</v>
      </c>
      <c r="Q213" s="235">
        <f t="shared" si="125"/>
        <v>2039</v>
      </c>
      <c r="R213" s="235">
        <f t="shared" si="125"/>
        <v>2040</v>
      </c>
      <c r="S213" s="235">
        <f t="shared" si="125"/>
        <v>2041</v>
      </c>
      <c r="T213" s="235">
        <f t="shared" si="125"/>
        <v>2042</v>
      </c>
      <c r="U213" s="235">
        <f t="shared" si="125"/>
        <v>2043</v>
      </c>
      <c r="V213" s="235">
        <f t="shared" si="125"/>
        <v>2044</v>
      </c>
      <c r="W213" s="235">
        <f t="shared" si="125"/>
        <v>2045</v>
      </c>
      <c r="X213" s="235">
        <f t="shared" si="125"/>
        <v>2046</v>
      </c>
      <c r="Y213" s="235">
        <f t="shared" si="125"/>
        <v>2047</v>
      </c>
      <c r="Z213" s="235">
        <f t="shared" si="125"/>
        <v>2048</v>
      </c>
      <c r="AA213" s="235">
        <f t="shared" si="125"/>
        <v>2049</v>
      </c>
      <c r="AB213" s="235">
        <f t="shared" si="125"/>
        <v>2050</v>
      </c>
      <c r="AC213" s="235">
        <f t="shared" si="125"/>
        <v>2051</v>
      </c>
      <c r="AD213" s="235">
        <f t="shared" si="125"/>
        <v>2052</v>
      </c>
      <c r="AE213" s="235">
        <f t="shared" si="125"/>
        <v>2053</v>
      </c>
      <c r="AF213" s="235">
        <f t="shared" si="125"/>
        <v>2054</v>
      </c>
      <c r="AG213" s="235">
        <f t="shared" si="125"/>
        <v>2055</v>
      </c>
    </row>
    <row r="214" spans="1:33">
      <c r="A214" s="173" t="str">
        <f>A205</f>
        <v xml:space="preserve">Diesel   </v>
      </c>
      <c r="B214" s="173" t="str">
        <f>A214</f>
        <v xml:space="preserve">Diesel   </v>
      </c>
      <c r="C214" s="179" t="e">
        <f t="shared" ref="C214:AG214" si="126">C205/($C$24*$C$30)</f>
        <v>#REF!</v>
      </c>
      <c r="D214" s="179" t="e">
        <f t="shared" si="126"/>
        <v>#REF!</v>
      </c>
      <c r="E214" s="179" t="e">
        <f t="shared" si="126"/>
        <v>#REF!</v>
      </c>
      <c r="F214" s="179" t="e">
        <f t="shared" si="126"/>
        <v>#REF!</v>
      </c>
      <c r="G214" s="179" t="e">
        <f t="shared" si="126"/>
        <v>#REF!</v>
      </c>
      <c r="H214" s="179" t="e">
        <f t="shared" si="126"/>
        <v>#REF!</v>
      </c>
      <c r="I214" s="179" t="e">
        <f t="shared" si="126"/>
        <v>#REF!</v>
      </c>
      <c r="J214" s="179" t="e">
        <f t="shared" si="126"/>
        <v>#REF!</v>
      </c>
      <c r="K214" s="179" t="e">
        <f t="shared" si="126"/>
        <v>#REF!</v>
      </c>
      <c r="L214" s="179" t="e">
        <f t="shared" si="126"/>
        <v>#REF!</v>
      </c>
      <c r="M214" s="179" t="e">
        <f t="shared" si="126"/>
        <v>#REF!</v>
      </c>
      <c r="N214" s="179" t="e">
        <f t="shared" si="126"/>
        <v>#REF!</v>
      </c>
      <c r="O214" s="179" t="e">
        <f t="shared" si="126"/>
        <v>#REF!</v>
      </c>
      <c r="P214" s="179" t="e">
        <f t="shared" si="126"/>
        <v>#REF!</v>
      </c>
      <c r="Q214" s="179" t="e">
        <f t="shared" si="126"/>
        <v>#REF!</v>
      </c>
      <c r="R214" s="179" t="e">
        <f t="shared" si="126"/>
        <v>#REF!</v>
      </c>
      <c r="S214" s="179" t="e">
        <f t="shared" si="126"/>
        <v>#REF!</v>
      </c>
      <c r="T214" s="179" t="e">
        <f t="shared" si="126"/>
        <v>#REF!</v>
      </c>
      <c r="U214" s="179" t="e">
        <f t="shared" si="126"/>
        <v>#REF!</v>
      </c>
      <c r="V214" s="179" t="e">
        <f t="shared" si="126"/>
        <v>#REF!</v>
      </c>
      <c r="W214" s="179" t="e">
        <f t="shared" si="126"/>
        <v>#REF!</v>
      </c>
      <c r="X214" s="179" t="e">
        <f t="shared" si="126"/>
        <v>#REF!</v>
      </c>
      <c r="Y214" s="179" t="e">
        <f t="shared" si="126"/>
        <v>#REF!</v>
      </c>
      <c r="Z214" s="179" t="e">
        <f t="shared" si="126"/>
        <v>#REF!</v>
      </c>
      <c r="AA214" s="179" t="e">
        <f t="shared" si="126"/>
        <v>#REF!</v>
      </c>
      <c r="AB214" s="179" t="e">
        <f t="shared" si="126"/>
        <v>#REF!</v>
      </c>
      <c r="AC214" s="179" t="e">
        <f t="shared" si="126"/>
        <v>#REF!</v>
      </c>
      <c r="AD214" s="179" t="e">
        <f t="shared" si="126"/>
        <v>#REF!</v>
      </c>
      <c r="AE214" s="179" t="e">
        <f t="shared" si="126"/>
        <v>#REF!</v>
      </c>
      <c r="AF214" s="179" t="e">
        <f t="shared" si="126"/>
        <v>#REF!</v>
      </c>
      <c r="AG214" s="179" t="e">
        <f t="shared" si="126"/>
        <v>#REF!</v>
      </c>
    </row>
    <row r="215" spans="1:33">
      <c r="A215" s="173" t="str">
        <f>A208</f>
        <v>H2-ICE</v>
      </c>
      <c r="B215" s="173" t="str">
        <f t="shared" ref="B215:B217" si="127">A215</f>
        <v>H2-ICE</v>
      </c>
      <c r="C215" s="179" t="e">
        <f t="shared" ref="C215:AG215" si="128">C208/($C$26*$C$30)</f>
        <v>#REF!</v>
      </c>
      <c r="D215" s="179" t="e">
        <f t="shared" si="128"/>
        <v>#REF!</v>
      </c>
      <c r="E215" s="179" t="e">
        <f t="shared" si="128"/>
        <v>#REF!</v>
      </c>
      <c r="F215" s="179" t="e">
        <f t="shared" si="128"/>
        <v>#REF!</v>
      </c>
      <c r="G215" s="179" t="e">
        <f t="shared" si="128"/>
        <v>#REF!</v>
      </c>
      <c r="H215" s="179" t="e">
        <f t="shared" si="128"/>
        <v>#REF!</v>
      </c>
      <c r="I215" s="179" t="e">
        <f t="shared" si="128"/>
        <v>#REF!</v>
      </c>
      <c r="J215" s="179" t="e">
        <f t="shared" si="128"/>
        <v>#REF!</v>
      </c>
      <c r="K215" s="179" t="e">
        <f t="shared" si="128"/>
        <v>#REF!</v>
      </c>
      <c r="L215" s="179" t="e">
        <f t="shared" si="128"/>
        <v>#REF!</v>
      </c>
      <c r="M215" s="179" t="e">
        <f t="shared" si="128"/>
        <v>#REF!</v>
      </c>
      <c r="N215" s="179" t="e">
        <f t="shared" si="128"/>
        <v>#REF!</v>
      </c>
      <c r="O215" s="179" t="e">
        <f t="shared" si="128"/>
        <v>#REF!</v>
      </c>
      <c r="P215" s="179" t="e">
        <f t="shared" si="128"/>
        <v>#REF!</v>
      </c>
      <c r="Q215" s="179" t="e">
        <f t="shared" si="128"/>
        <v>#REF!</v>
      </c>
      <c r="R215" s="179" t="e">
        <f t="shared" si="128"/>
        <v>#REF!</v>
      </c>
      <c r="S215" s="179" t="e">
        <f t="shared" si="128"/>
        <v>#REF!</v>
      </c>
      <c r="T215" s="179" t="e">
        <f t="shared" si="128"/>
        <v>#REF!</v>
      </c>
      <c r="U215" s="179" t="e">
        <f t="shared" si="128"/>
        <v>#REF!</v>
      </c>
      <c r="V215" s="179" t="e">
        <f t="shared" si="128"/>
        <v>#REF!</v>
      </c>
      <c r="W215" s="179" t="e">
        <f t="shared" si="128"/>
        <v>#REF!</v>
      </c>
      <c r="X215" s="179" t="e">
        <f t="shared" si="128"/>
        <v>#REF!</v>
      </c>
      <c r="Y215" s="179" t="e">
        <f t="shared" si="128"/>
        <v>#REF!</v>
      </c>
      <c r="Z215" s="179" t="e">
        <f t="shared" si="128"/>
        <v>#REF!</v>
      </c>
      <c r="AA215" s="179" t="e">
        <f t="shared" si="128"/>
        <v>#REF!</v>
      </c>
      <c r="AB215" s="179" t="e">
        <f t="shared" si="128"/>
        <v>#REF!</v>
      </c>
      <c r="AC215" s="179" t="e">
        <f t="shared" si="128"/>
        <v>#REF!</v>
      </c>
      <c r="AD215" s="179" t="e">
        <f t="shared" si="128"/>
        <v>#REF!</v>
      </c>
      <c r="AE215" s="179" t="e">
        <f t="shared" si="128"/>
        <v>#REF!</v>
      </c>
      <c r="AF215" s="179" t="e">
        <f t="shared" si="128"/>
        <v>#REF!</v>
      </c>
      <c r="AG215" s="179" t="e">
        <f t="shared" si="128"/>
        <v>#REF!</v>
      </c>
    </row>
    <row r="216" spans="1:33">
      <c r="A216" s="173" t="str">
        <f>A209</f>
        <v>BET</v>
      </c>
      <c r="B216" s="173" t="str">
        <f t="shared" si="127"/>
        <v>BET</v>
      </c>
      <c r="C216" s="179" t="e">
        <f t="shared" ref="C216:AG216" si="129">C209/($C$23*$C$30)</f>
        <v>#REF!</v>
      </c>
      <c r="D216" s="179" t="e">
        <f t="shared" si="129"/>
        <v>#REF!</v>
      </c>
      <c r="E216" s="179" t="e">
        <f t="shared" si="129"/>
        <v>#REF!</v>
      </c>
      <c r="F216" s="179" t="e">
        <f t="shared" si="129"/>
        <v>#REF!</v>
      </c>
      <c r="G216" s="179" t="e">
        <f t="shared" si="129"/>
        <v>#REF!</v>
      </c>
      <c r="H216" s="179" t="e">
        <f t="shared" si="129"/>
        <v>#REF!</v>
      </c>
      <c r="I216" s="179" t="e">
        <f t="shared" si="129"/>
        <v>#REF!</v>
      </c>
      <c r="J216" s="179" t="e">
        <f t="shared" si="129"/>
        <v>#REF!</v>
      </c>
      <c r="K216" s="179" t="e">
        <f t="shared" si="129"/>
        <v>#REF!</v>
      </c>
      <c r="L216" s="179" t="e">
        <f t="shared" si="129"/>
        <v>#REF!</v>
      </c>
      <c r="M216" s="179" t="e">
        <f t="shared" si="129"/>
        <v>#REF!</v>
      </c>
      <c r="N216" s="179" t="e">
        <f t="shared" si="129"/>
        <v>#REF!</v>
      </c>
      <c r="O216" s="179" t="e">
        <f t="shared" si="129"/>
        <v>#REF!</v>
      </c>
      <c r="P216" s="179" t="e">
        <f t="shared" si="129"/>
        <v>#REF!</v>
      </c>
      <c r="Q216" s="179" t="e">
        <f t="shared" si="129"/>
        <v>#REF!</v>
      </c>
      <c r="R216" s="179" t="e">
        <f t="shared" si="129"/>
        <v>#REF!</v>
      </c>
      <c r="S216" s="179" t="e">
        <f t="shared" si="129"/>
        <v>#REF!</v>
      </c>
      <c r="T216" s="179" t="e">
        <f t="shared" si="129"/>
        <v>#REF!</v>
      </c>
      <c r="U216" s="179" t="e">
        <f t="shared" si="129"/>
        <v>#REF!</v>
      </c>
      <c r="V216" s="179" t="e">
        <f t="shared" si="129"/>
        <v>#REF!</v>
      </c>
      <c r="W216" s="179" t="e">
        <f t="shared" si="129"/>
        <v>#REF!</v>
      </c>
      <c r="X216" s="179" t="e">
        <f t="shared" si="129"/>
        <v>#REF!</v>
      </c>
      <c r="Y216" s="179" t="e">
        <f t="shared" si="129"/>
        <v>#REF!</v>
      </c>
      <c r="Z216" s="179" t="e">
        <f t="shared" si="129"/>
        <v>#REF!</v>
      </c>
      <c r="AA216" s="179" t="e">
        <f t="shared" si="129"/>
        <v>#REF!</v>
      </c>
      <c r="AB216" s="179" t="e">
        <f t="shared" si="129"/>
        <v>#REF!</v>
      </c>
      <c r="AC216" s="179" t="e">
        <f t="shared" si="129"/>
        <v>#REF!</v>
      </c>
      <c r="AD216" s="179" t="e">
        <f t="shared" si="129"/>
        <v>#REF!</v>
      </c>
      <c r="AE216" s="179" t="e">
        <f t="shared" si="129"/>
        <v>#REF!</v>
      </c>
      <c r="AF216" s="179" t="e">
        <f t="shared" si="129"/>
        <v>#REF!</v>
      </c>
      <c r="AG216" s="179" t="e">
        <f t="shared" si="129"/>
        <v>#REF!</v>
      </c>
    </row>
    <row r="217" spans="1:33">
      <c r="A217" s="173" t="str">
        <f>A210</f>
        <v>FCET</v>
      </c>
      <c r="B217" s="173" t="str">
        <f t="shared" si="127"/>
        <v>FCET</v>
      </c>
      <c r="C217" s="179" t="e">
        <f t="shared" ref="C217:AG217" si="130">C210/($C$25*$C$30)</f>
        <v>#REF!</v>
      </c>
      <c r="D217" s="179" t="e">
        <f t="shared" si="130"/>
        <v>#REF!</v>
      </c>
      <c r="E217" s="179" t="e">
        <f t="shared" si="130"/>
        <v>#REF!</v>
      </c>
      <c r="F217" s="179" t="e">
        <f t="shared" si="130"/>
        <v>#REF!</v>
      </c>
      <c r="G217" s="179" t="e">
        <f t="shared" si="130"/>
        <v>#REF!</v>
      </c>
      <c r="H217" s="179" t="e">
        <f t="shared" si="130"/>
        <v>#REF!</v>
      </c>
      <c r="I217" s="179" t="e">
        <f t="shared" si="130"/>
        <v>#REF!</v>
      </c>
      <c r="J217" s="179" t="e">
        <f t="shared" si="130"/>
        <v>#REF!</v>
      </c>
      <c r="K217" s="179" t="e">
        <f t="shared" si="130"/>
        <v>#REF!</v>
      </c>
      <c r="L217" s="179" t="e">
        <f t="shared" si="130"/>
        <v>#REF!</v>
      </c>
      <c r="M217" s="179" t="e">
        <f t="shared" si="130"/>
        <v>#REF!</v>
      </c>
      <c r="N217" s="179" t="e">
        <f t="shared" si="130"/>
        <v>#REF!</v>
      </c>
      <c r="O217" s="179" t="e">
        <f t="shared" si="130"/>
        <v>#REF!</v>
      </c>
      <c r="P217" s="179" t="e">
        <f t="shared" si="130"/>
        <v>#REF!</v>
      </c>
      <c r="Q217" s="179" t="e">
        <f t="shared" si="130"/>
        <v>#REF!</v>
      </c>
      <c r="R217" s="179" t="e">
        <f t="shared" si="130"/>
        <v>#REF!</v>
      </c>
      <c r="S217" s="179" t="e">
        <f t="shared" si="130"/>
        <v>#REF!</v>
      </c>
      <c r="T217" s="179" t="e">
        <f t="shared" si="130"/>
        <v>#REF!</v>
      </c>
      <c r="U217" s="179" t="e">
        <f t="shared" si="130"/>
        <v>#REF!</v>
      </c>
      <c r="V217" s="179" t="e">
        <f t="shared" si="130"/>
        <v>#REF!</v>
      </c>
      <c r="W217" s="179" t="e">
        <f t="shared" si="130"/>
        <v>#REF!</v>
      </c>
      <c r="X217" s="179" t="e">
        <f t="shared" si="130"/>
        <v>#REF!</v>
      </c>
      <c r="Y217" s="179" t="e">
        <f t="shared" si="130"/>
        <v>#REF!</v>
      </c>
      <c r="Z217" s="179" t="e">
        <f t="shared" si="130"/>
        <v>#REF!</v>
      </c>
      <c r="AA217" s="179" t="e">
        <f t="shared" si="130"/>
        <v>#REF!</v>
      </c>
      <c r="AB217" s="179" t="e">
        <f t="shared" si="130"/>
        <v>#REF!</v>
      </c>
      <c r="AC217" s="179" t="e">
        <f t="shared" si="130"/>
        <v>#REF!</v>
      </c>
      <c r="AD217" s="179" t="e">
        <f t="shared" si="130"/>
        <v>#REF!</v>
      </c>
      <c r="AE217" s="179" t="e">
        <f t="shared" si="130"/>
        <v>#REF!</v>
      </c>
      <c r="AF217" s="179" t="e">
        <f t="shared" si="130"/>
        <v>#REF!</v>
      </c>
      <c r="AG217" s="179" t="e">
        <f t="shared" si="130"/>
        <v>#REF!</v>
      </c>
    </row>
    <row r="218" spans="1:33">
      <c r="A218" s="173" t="s">
        <v>334</v>
      </c>
      <c r="C218" s="179" t="e">
        <f t="shared" ref="C218:AG218" si="131">C214*0.9</f>
        <v>#REF!</v>
      </c>
      <c r="D218" s="179" t="e">
        <f t="shared" si="131"/>
        <v>#REF!</v>
      </c>
      <c r="E218" s="179" t="e">
        <f t="shared" si="131"/>
        <v>#REF!</v>
      </c>
      <c r="F218" s="179" t="e">
        <f t="shared" si="131"/>
        <v>#REF!</v>
      </c>
      <c r="G218" s="179" t="e">
        <f t="shared" si="131"/>
        <v>#REF!</v>
      </c>
      <c r="H218" s="179" t="e">
        <f t="shared" si="131"/>
        <v>#REF!</v>
      </c>
      <c r="I218" s="179" t="e">
        <f t="shared" si="131"/>
        <v>#REF!</v>
      </c>
      <c r="J218" s="179" t="e">
        <f t="shared" si="131"/>
        <v>#REF!</v>
      </c>
      <c r="K218" s="179" t="e">
        <f t="shared" si="131"/>
        <v>#REF!</v>
      </c>
      <c r="L218" s="179" t="e">
        <f t="shared" si="131"/>
        <v>#REF!</v>
      </c>
      <c r="M218" s="179" t="e">
        <f t="shared" si="131"/>
        <v>#REF!</v>
      </c>
      <c r="N218" s="179" t="e">
        <f t="shared" si="131"/>
        <v>#REF!</v>
      </c>
      <c r="O218" s="179" t="e">
        <f t="shared" si="131"/>
        <v>#REF!</v>
      </c>
      <c r="P218" s="179" t="e">
        <f t="shared" si="131"/>
        <v>#REF!</v>
      </c>
      <c r="Q218" s="179" t="e">
        <f t="shared" si="131"/>
        <v>#REF!</v>
      </c>
      <c r="R218" s="179" t="e">
        <f t="shared" si="131"/>
        <v>#REF!</v>
      </c>
      <c r="S218" s="179" t="e">
        <f t="shared" si="131"/>
        <v>#REF!</v>
      </c>
      <c r="T218" s="179" t="e">
        <f t="shared" si="131"/>
        <v>#REF!</v>
      </c>
      <c r="U218" s="179" t="e">
        <f t="shared" si="131"/>
        <v>#REF!</v>
      </c>
      <c r="V218" s="179" t="e">
        <f t="shared" si="131"/>
        <v>#REF!</v>
      </c>
      <c r="W218" s="179" t="e">
        <f t="shared" si="131"/>
        <v>#REF!</v>
      </c>
      <c r="X218" s="179" t="e">
        <f t="shared" si="131"/>
        <v>#REF!</v>
      </c>
      <c r="Y218" s="179" t="e">
        <f t="shared" si="131"/>
        <v>#REF!</v>
      </c>
      <c r="Z218" s="179" t="e">
        <f t="shared" si="131"/>
        <v>#REF!</v>
      </c>
      <c r="AA218" s="179" t="e">
        <f t="shared" si="131"/>
        <v>#REF!</v>
      </c>
      <c r="AB218" s="179" t="e">
        <f t="shared" si="131"/>
        <v>#REF!</v>
      </c>
      <c r="AC218" s="179" t="e">
        <f t="shared" si="131"/>
        <v>#REF!</v>
      </c>
      <c r="AD218" s="179" t="e">
        <f t="shared" si="131"/>
        <v>#REF!</v>
      </c>
      <c r="AE218" s="179" t="e">
        <f t="shared" si="131"/>
        <v>#REF!</v>
      </c>
      <c r="AF218" s="179" t="e">
        <f t="shared" si="131"/>
        <v>#REF!</v>
      </c>
      <c r="AG218" s="179" t="e">
        <f t="shared" si="131"/>
        <v>#REF!</v>
      </c>
    </row>
    <row r="219" spans="1:33"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</row>
    <row r="220" spans="1:33">
      <c r="A220" s="235" t="s">
        <v>337</v>
      </c>
      <c r="B220" s="235"/>
      <c r="C220" s="235">
        <v>2025</v>
      </c>
      <c r="D220" s="235">
        <f t="shared" ref="D220:AG220" si="132">C220+1</f>
        <v>2026</v>
      </c>
      <c r="E220" s="235">
        <f t="shared" si="132"/>
        <v>2027</v>
      </c>
      <c r="F220" s="235">
        <f t="shared" si="132"/>
        <v>2028</v>
      </c>
      <c r="G220" s="235">
        <f t="shared" si="132"/>
        <v>2029</v>
      </c>
      <c r="H220" s="235">
        <f t="shared" si="132"/>
        <v>2030</v>
      </c>
      <c r="I220" s="235">
        <f t="shared" si="132"/>
        <v>2031</v>
      </c>
      <c r="J220" s="235">
        <f t="shared" si="132"/>
        <v>2032</v>
      </c>
      <c r="K220" s="235">
        <f t="shared" si="132"/>
        <v>2033</v>
      </c>
      <c r="L220" s="235">
        <f t="shared" si="132"/>
        <v>2034</v>
      </c>
      <c r="M220" s="235">
        <f t="shared" si="132"/>
        <v>2035</v>
      </c>
      <c r="N220" s="235">
        <f t="shared" si="132"/>
        <v>2036</v>
      </c>
      <c r="O220" s="235">
        <f t="shared" si="132"/>
        <v>2037</v>
      </c>
      <c r="P220" s="235">
        <f t="shared" si="132"/>
        <v>2038</v>
      </c>
      <c r="Q220" s="235">
        <f t="shared" si="132"/>
        <v>2039</v>
      </c>
      <c r="R220" s="235">
        <f t="shared" si="132"/>
        <v>2040</v>
      </c>
      <c r="S220" s="235">
        <f t="shared" si="132"/>
        <v>2041</v>
      </c>
      <c r="T220" s="235">
        <f t="shared" si="132"/>
        <v>2042</v>
      </c>
      <c r="U220" s="235">
        <f t="shared" si="132"/>
        <v>2043</v>
      </c>
      <c r="V220" s="235">
        <f t="shared" si="132"/>
        <v>2044</v>
      </c>
      <c r="W220" s="235">
        <f t="shared" si="132"/>
        <v>2045</v>
      </c>
      <c r="X220" s="235">
        <f t="shared" si="132"/>
        <v>2046</v>
      </c>
      <c r="Y220" s="235">
        <f t="shared" si="132"/>
        <v>2047</v>
      </c>
      <c r="Z220" s="235">
        <f t="shared" si="132"/>
        <v>2048</v>
      </c>
      <c r="AA220" s="235">
        <f t="shared" si="132"/>
        <v>2049</v>
      </c>
      <c r="AB220" s="235">
        <f t="shared" si="132"/>
        <v>2050</v>
      </c>
      <c r="AC220" s="235">
        <f t="shared" si="132"/>
        <v>2051</v>
      </c>
      <c r="AD220" s="235">
        <f t="shared" si="132"/>
        <v>2052</v>
      </c>
      <c r="AE220" s="235">
        <f t="shared" si="132"/>
        <v>2053</v>
      </c>
      <c r="AF220" s="235">
        <f t="shared" si="132"/>
        <v>2054</v>
      </c>
      <c r="AG220" s="235">
        <f t="shared" si="132"/>
        <v>2055</v>
      </c>
    </row>
    <row r="221" spans="1:33">
      <c r="A221" s="173" t="str">
        <f>A205</f>
        <v xml:space="preserve">Diesel   </v>
      </c>
      <c r="C221" s="280" t="e">
        <f t="shared" ref="C221:AG221" si="133">C205/C209</f>
        <v>#REF!</v>
      </c>
      <c r="D221" s="280" t="e">
        <f t="shared" si="133"/>
        <v>#REF!</v>
      </c>
      <c r="E221" s="280" t="e">
        <f t="shared" si="133"/>
        <v>#REF!</v>
      </c>
      <c r="F221" s="280" t="e">
        <f t="shared" si="133"/>
        <v>#REF!</v>
      </c>
      <c r="G221" s="280" t="e">
        <f t="shared" si="133"/>
        <v>#REF!</v>
      </c>
      <c r="H221" s="280" t="e">
        <f t="shared" si="133"/>
        <v>#REF!</v>
      </c>
      <c r="I221" s="280" t="e">
        <f t="shared" si="133"/>
        <v>#REF!</v>
      </c>
      <c r="J221" s="280" t="e">
        <f t="shared" si="133"/>
        <v>#REF!</v>
      </c>
      <c r="K221" s="280" t="e">
        <f t="shared" si="133"/>
        <v>#REF!</v>
      </c>
      <c r="L221" s="280" t="e">
        <f t="shared" si="133"/>
        <v>#REF!</v>
      </c>
      <c r="M221" s="280" t="e">
        <f t="shared" si="133"/>
        <v>#REF!</v>
      </c>
      <c r="N221" s="280" t="e">
        <f t="shared" si="133"/>
        <v>#REF!</v>
      </c>
      <c r="O221" s="280" t="e">
        <f t="shared" si="133"/>
        <v>#REF!</v>
      </c>
      <c r="P221" s="280" t="e">
        <f t="shared" si="133"/>
        <v>#REF!</v>
      </c>
      <c r="Q221" s="280" t="e">
        <f t="shared" si="133"/>
        <v>#REF!</v>
      </c>
      <c r="R221" s="280" t="e">
        <f t="shared" si="133"/>
        <v>#REF!</v>
      </c>
      <c r="S221" s="280" t="e">
        <f t="shared" si="133"/>
        <v>#REF!</v>
      </c>
      <c r="T221" s="280" t="e">
        <f t="shared" si="133"/>
        <v>#REF!</v>
      </c>
      <c r="U221" s="280" t="e">
        <f t="shared" si="133"/>
        <v>#REF!</v>
      </c>
      <c r="V221" s="280" t="e">
        <f t="shared" si="133"/>
        <v>#REF!</v>
      </c>
      <c r="W221" s="280" t="e">
        <f t="shared" si="133"/>
        <v>#REF!</v>
      </c>
      <c r="X221" s="280" t="e">
        <f t="shared" si="133"/>
        <v>#REF!</v>
      </c>
      <c r="Y221" s="280" t="e">
        <f t="shared" si="133"/>
        <v>#REF!</v>
      </c>
      <c r="Z221" s="280" t="e">
        <f t="shared" si="133"/>
        <v>#REF!</v>
      </c>
      <c r="AA221" s="280" t="e">
        <f t="shared" si="133"/>
        <v>#REF!</v>
      </c>
      <c r="AB221" s="280" t="e">
        <f t="shared" si="133"/>
        <v>#REF!</v>
      </c>
      <c r="AC221" s="280" t="e">
        <f t="shared" si="133"/>
        <v>#REF!</v>
      </c>
      <c r="AD221" s="280" t="e">
        <f t="shared" si="133"/>
        <v>#REF!</v>
      </c>
      <c r="AE221" s="280" t="e">
        <f t="shared" si="133"/>
        <v>#REF!</v>
      </c>
      <c r="AF221" s="280" t="e">
        <f t="shared" si="133"/>
        <v>#REF!</v>
      </c>
      <c r="AG221" s="280" t="e">
        <f t="shared" si="133"/>
        <v>#REF!</v>
      </c>
    </row>
    <row r="222" spans="1:33">
      <c r="A222" s="173" t="str">
        <f>A208</f>
        <v>H2-ICE</v>
      </c>
      <c r="C222" s="280" t="e">
        <f t="shared" ref="C222:AG222" si="134">C208/C209</f>
        <v>#REF!</v>
      </c>
      <c r="D222" s="280" t="e">
        <f t="shared" si="134"/>
        <v>#REF!</v>
      </c>
      <c r="E222" s="280" t="e">
        <f t="shared" si="134"/>
        <v>#REF!</v>
      </c>
      <c r="F222" s="280" t="e">
        <f t="shared" si="134"/>
        <v>#REF!</v>
      </c>
      <c r="G222" s="280" t="e">
        <f t="shared" si="134"/>
        <v>#REF!</v>
      </c>
      <c r="H222" s="280" t="e">
        <f t="shared" si="134"/>
        <v>#REF!</v>
      </c>
      <c r="I222" s="280" t="e">
        <f t="shared" si="134"/>
        <v>#REF!</v>
      </c>
      <c r="J222" s="280" t="e">
        <f t="shared" si="134"/>
        <v>#REF!</v>
      </c>
      <c r="K222" s="280" t="e">
        <f t="shared" si="134"/>
        <v>#REF!</v>
      </c>
      <c r="L222" s="280" t="e">
        <f t="shared" si="134"/>
        <v>#REF!</v>
      </c>
      <c r="M222" s="280" t="e">
        <f t="shared" si="134"/>
        <v>#REF!</v>
      </c>
      <c r="N222" s="280" t="e">
        <f t="shared" si="134"/>
        <v>#REF!</v>
      </c>
      <c r="O222" s="280" t="e">
        <f t="shared" si="134"/>
        <v>#REF!</v>
      </c>
      <c r="P222" s="280" t="e">
        <f t="shared" si="134"/>
        <v>#REF!</v>
      </c>
      <c r="Q222" s="280" t="e">
        <f t="shared" si="134"/>
        <v>#REF!</v>
      </c>
      <c r="R222" s="280" t="e">
        <f t="shared" si="134"/>
        <v>#REF!</v>
      </c>
      <c r="S222" s="280" t="e">
        <f t="shared" si="134"/>
        <v>#REF!</v>
      </c>
      <c r="T222" s="280" t="e">
        <f t="shared" si="134"/>
        <v>#REF!</v>
      </c>
      <c r="U222" s="280" t="e">
        <f t="shared" si="134"/>
        <v>#REF!</v>
      </c>
      <c r="V222" s="280" t="e">
        <f t="shared" si="134"/>
        <v>#REF!</v>
      </c>
      <c r="W222" s="280" t="e">
        <f t="shared" si="134"/>
        <v>#REF!</v>
      </c>
      <c r="X222" s="280" t="e">
        <f t="shared" si="134"/>
        <v>#REF!</v>
      </c>
      <c r="Y222" s="280" t="e">
        <f t="shared" si="134"/>
        <v>#REF!</v>
      </c>
      <c r="Z222" s="280" t="e">
        <f t="shared" si="134"/>
        <v>#REF!</v>
      </c>
      <c r="AA222" s="280" t="e">
        <f t="shared" si="134"/>
        <v>#REF!</v>
      </c>
      <c r="AB222" s="280" t="e">
        <f t="shared" si="134"/>
        <v>#REF!</v>
      </c>
      <c r="AC222" s="280" t="e">
        <f t="shared" si="134"/>
        <v>#REF!</v>
      </c>
      <c r="AD222" s="280" t="e">
        <f t="shared" si="134"/>
        <v>#REF!</v>
      </c>
      <c r="AE222" s="280" t="e">
        <f t="shared" si="134"/>
        <v>#REF!</v>
      </c>
      <c r="AF222" s="280" t="e">
        <f t="shared" si="134"/>
        <v>#REF!</v>
      </c>
      <c r="AG222" s="280" t="e">
        <f t="shared" si="134"/>
        <v>#REF!</v>
      </c>
    </row>
    <row r="223" spans="1:33">
      <c r="A223" s="173" t="str">
        <f>A210</f>
        <v>FCET</v>
      </c>
      <c r="C223" s="280" t="e">
        <f t="shared" ref="C223:AG223" si="135">C210/C209</f>
        <v>#REF!</v>
      </c>
      <c r="D223" s="280" t="e">
        <f t="shared" si="135"/>
        <v>#REF!</v>
      </c>
      <c r="E223" s="280" t="e">
        <f t="shared" si="135"/>
        <v>#REF!</v>
      </c>
      <c r="F223" s="280" t="e">
        <f t="shared" si="135"/>
        <v>#REF!</v>
      </c>
      <c r="G223" s="280" t="e">
        <f t="shared" si="135"/>
        <v>#REF!</v>
      </c>
      <c r="H223" s="280" t="e">
        <f t="shared" si="135"/>
        <v>#REF!</v>
      </c>
      <c r="I223" s="280" t="e">
        <f t="shared" si="135"/>
        <v>#REF!</v>
      </c>
      <c r="J223" s="280" t="e">
        <f t="shared" si="135"/>
        <v>#REF!</v>
      </c>
      <c r="K223" s="280" t="e">
        <f t="shared" si="135"/>
        <v>#REF!</v>
      </c>
      <c r="L223" s="280" t="e">
        <f t="shared" si="135"/>
        <v>#REF!</v>
      </c>
      <c r="M223" s="280" t="e">
        <f t="shared" si="135"/>
        <v>#REF!</v>
      </c>
      <c r="N223" s="280" t="e">
        <f t="shared" si="135"/>
        <v>#REF!</v>
      </c>
      <c r="O223" s="280" t="e">
        <f t="shared" si="135"/>
        <v>#REF!</v>
      </c>
      <c r="P223" s="280" t="e">
        <f t="shared" si="135"/>
        <v>#REF!</v>
      </c>
      <c r="Q223" s="280" t="e">
        <f t="shared" si="135"/>
        <v>#REF!</v>
      </c>
      <c r="R223" s="280" t="e">
        <f t="shared" si="135"/>
        <v>#REF!</v>
      </c>
      <c r="S223" s="280" t="e">
        <f t="shared" si="135"/>
        <v>#REF!</v>
      </c>
      <c r="T223" s="280" t="e">
        <f t="shared" si="135"/>
        <v>#REF!</v>
      </c>
      <c r="U223" s="280" t="e">
        <f t="shared" si="135"/>
        <v>#REF!</v>
      </c>
      <c r="V223" s="280" t="e">
        <f t="shared" si="135"/>
        <v>#REF!</v>
      </c>
      <c r="W223" s="280" t="e">
        <f t="shared" si="135"/>
        <v>#REF!</v>
      </c>
      <c r="X223" s="280" t="e">
        <f t="shared" si="135"/>
        <v>#REF!</v>
      </c>
      <c r="Y223" s="280" t="e">
        <f t="shared" si="135"/>
        <v>#REF!</v>
      </c>
      <c r="Z223" s="280" t="e">
        <f t="shared" si="135"/>
        <v>#REF!</v>
      </c>
      <c r="AA223" s="280" t="e">
        <f t="shared" si="135"/>
        <v>#REF!</v>
      </c>
      <c r="AB223" s="280" t="e">
        <f t="shared" si="135"/>
        <v>#REF!</v>
      </c>
      <c r="AC223" s="280" t="e">
        <f t="shared" si="135"/>
        <v>#REF!</v>
      </c>
      <c r="AD223" s="280" t="e">
        <f t="shared" si="135"/>
        <v>#REF!</v>
      </c>
      <c r="AE223" s="280" t="e">
        <f t="shared" si="135"/>
        <v>#REF!</v>
      </c>
      <c r="AF223" s="280" t="e">
        <f t="shared" si="135"/>
        <v>#REF!</v>
      </c>
      <c r="AG223" s="280" t="e">
        <f t="shared" si="135"/>
        <v>#REF!</v>
      </c>
    </row>
    <row r="224" spans="1:33"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</row>
    <row r="226" spans="1:7">
      <c r="A226" s="281"/>
      <c r="C226" s="173"/>
    </row>
    <row r="227" spans="1:7">
      <c r="C227" s="179"/>
      <c r="D227" s="179"/>
      <c r="E227" s="179"/>
      <c r="F227" s="179"/>
      <c r="G227" s="179"/>
    </row>
    <row r="228" spans="1:7">
      <c r="C228" s="179"/>
      <c r="D228" s="179"/>
      <c r="E228" s="179"/>
      <c r="F228" s="179"/>
      <c r="G228" s="179"/>
    </row>
    <row r="229" spans="1:7">
      <c r="C229" s="179"/>
      <c r="D229" s="179"/>
      <c r="E229" s="179"/>
      <c r="F229" s="179"/>
      <c r="G229" s="179"/>
    </row>
  </sheetData>
  <mergeCells count="1">
    <mergeCell ref="C71:G71"/>
  </mergeCells>
  <conditionalFormatting sqref="C19:C20">
    <cfRule type="expression" dxfId="4" priority="1">
      <formula>$C$19&lt;$G$81</formula>
    </cfRule>
  </conditionalFormatting>
  <dataValidations disablePrompts="1" count="2">
    <dataValidation type="list" allowBlank="1" showInputMessage="1" showErrorMessage="1" sqref="B4" xr:uid="{00000000-0002-0000-0500-000000000000}">
      <formula1>$A$167:$A$168</formula1>
    </dataValidation>
    <dataValidation type="list" allowBlank="1" showInputMessage="1" showErrorMessage="1" sqref="B5" xr:uid="{00000000-0002-0000-0500-000001000000}">
      <formula1>$H$1:$H$2</formula1>
    </dataValidation>
  </dataValidations>
  <hyperlinks>
    <hyperlink ref="M8" r:id="rId1" xr:uid="{00000000-0004-0000-0500-000000000000}"/>
  </hyperlinks>
  <pageMargins left="0.7" right="0.7" top="0.75" bottom="0.75" header="0.3" footer="0.3"/>
  <pageSetup orientation="portrait" horizontalDpi="0" verticalDpi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29"/>
  <sheetViews>
    <sheetView zoomScale="120" zoomScaleNormal="110" workbookViewId="0">
      <pane ySplit="5" topLeftCell="A15" activePane="bottomLeft" state="frozen"/>
      <selection activeCell="C97" sqref="C97:AG97"/>
      <selection pane="bottomLeft" activeCell="C97" sqref="C97:AG97"/>
    </sheetView>
  </sheetViews>
  <sheetFormatPr defaultColWidth="9.109375" defaultRowHeight="14.4"/>
  <cols>
    <col min="1" max="1" width="28.44140625" style="173" customWidth="1"/>
    <col min="2" max="2" width="29" style="173" customWidth="1"/>
    <col min="3" max="3" width="15.44140625" style="221" customWidth="1"/>
    <col min="4" max="6" width="15.88671875" style="173" customWidth="1"/>
    <col min="7" max="31" width="14.44140625" style="173" customWidth="1"/>
    <col min="32" max="33" width="12.109375" style="173" bestFit="1" customWidth="1"/>
    <col min="34" max="34" width="10.88671875" style="173" bestFit="1" customWidth="1"/>
    <col min="35" max="36" width="12.109375" style="173" bestFit="1" customWidth="1"/>
    <col min="37" max="16384" width="9.109375" style="173"/>
  </cols>
  <sheetData>
    <row r="1" spans="1:21">
      <c r="G1" s="222" t="s">
        <v>247</v>
      </c>
      <c r="H1" s="173" t="s">
        <v>247</v>
      </c>
    </row>
    <row r="2" spans="1:21">
      <c r="A2" s="173" t="s">
        <v>248</v>
      </c>
      <c r="B2" s="173" t="s">
        <v>432</v>
      </c>
      <c r="F2" s="222" t="s">
        <v>249</v>
      </c>
      <c r="G2" s="222" t="s">
        <v>250</v>
      </c>
      <c r="H2" s="173" t="s">
        <v>250</v>
      </c>
    </row>
    <row r="3" spans="1:21">
      <c r="A3" s="173" t="s">
        <v>251</v>
      </c>
      <c r="B3" s="173" t="s">
        <v>364</v>
      </c>
      <c r="F3" s="222" t="s">
        <v>252</v>
      </c>
    </row>
    <row r="4" spans="1:21">
      <c r="A4" s="173" t="s">
        <v>338</v>
      </c>
      <c r="B4" s="173" t="s">
        <v>339</v>
      </c>
    </row>
    <row r="5" spans="1:21">
      <c r="A5" s="173" t="s">
        <v>340</v>
      </c>
      <c r="B5" s="173" t="s">
        <v>250</v>
      </c>
    </row>
    <row r="6" spans="1:21" s="225" customFormat="1">
      <c r="A6" s="223" t="s">
        <v>253</v>
      </c>
      <c r="B6" s="223"/>
      <c r="C6" s="224"/>
    </row>
    <row r="7" spans="1:21" ht="15.6">
      <c r="A7" s="171" t="s">
        <v>4</v>
      </c>
      <c r="C7" s="174"/>
      <c r="D7" s="226"/>
      <c r="G7" s="171"/>
      <c r="H7" s="171"/>
      <c r="I7" s="172" t="s">
        <v>178</v>
      </c>
      <c r="J7" s="172" t="s">
        <v>180</v>
      </c>
      <c r="K7" s="172" t="s">
        <v>238</v>
      </c>
      <c r="L7" s="172" t="s">
        <v>239</v>
      </c>
    </row>
    <row r="8" spans="1:21" ht="15.6">
      <c r="A8" s="171" t="s">
        <v>254</v>
      </c>
      <c r="B8" s="173" t="s">
        <v>255</v>
      </c>
      <c r="C8" s="301">
        <v>28</v>
      </c>
      <c r="D8" s="228" t="s">
        <v>169</v>
      </c>
      <c r="E8" s="228">
        <v>2</v>
      </c>
      <c r="G8" s="171" t="s">
        <v>240</v>
      </c>
      <c r="H8" s="171" t="s">
        <v>241</v>
      </c>
      <c r="I8" s="229">
        <v>45.5</v>
      </c>
      <c r="J8" s="174">
        <v>40</v>
      </c>
      <c r="K8" s="174">
        <v>120</v>
      </c>
      <c r="L8" s="174">
        <v>120</v>
      </c>
      <c r="M8" s="175" t="s">
        <v>242</v>
      </c>
    </row>
    <row r="9" spans="1:21" ht="15.6">
      <c r="A9" s="171" t="s">
        <v>365</v>
      </c>
      <c r="B9" s="173" t="s">
        <v>201</v>
      </c>
      <c r="C9" s="230">
        <v>1.0091999999999999</v>
      </c>
      <c r="D9" s="228" t="s">
        <v>169</v>
      </c>
      <c r="E9" s="228"/>
      <c r="G9" s="171" t="s">
        <v>240</v>
      </c>
      <c r="H9" s="171" t="s">
        <v>243</v>
      </c>
      <c r="I9" s="176">
        <f>I8/3.6</f>
        <v>12.638888888888889</v>
      </c>
      <c r="J9" s="176">
        <f>J8/3.6</f>
        <v>11.111111111111111</v>
      </c>
      <c r="K9" s="176">
        <f>K8/3.6</f>
        <v>33.333333333333336</v>
      </c>
      <c r="L9" s="176">
        <f>L8/3.6</f>
        <v>33.333333333333336</v>
      </c>
    </row>
    <row r="10" spans="1:21" ht="15.6">
      <c r="A10" s="171" t="s">
        <v>366</v>
      </c>
      <c r="B10" s="173" t="s">
        <v>367</v>
      </c>
      <c r="C10" s="227">
        <v>3000</v>
      </c>
      <c r="D10" s="228" t="s">
        <v>169</v>
      </c>
      <c r="E10" s="228">
        <v>4</v>
      </c>
      <c r="G10" s="171" t="s">
        <v>244</v>
      </c>
      <c r="H10" s="171" t="s">
        <v>245</v>
      </c>
      <c r="I10" s="174">
        <v>0.85</v>
      </c>
      <c r="J10" s="177">
        <v>0.2</v>
      </c>
      <c r="K10" s="177">
        <f>0.06</f>
        <v>0.06</v>
      </c>
      <c r="L10" s="177">
        <f>0.06</f>
        <v>0.06</v>
      </c>
    </row>
    <row r="11" spans="1:21" ht="15.6">
      <c r="A11" s="171" t="s">
        <v>308</v>
      </c>
      <c r="B11" s="173" t="s">
        <v>257</v>
      </c>
      <c r="C11" s="301" t="e">
        <f>#REF!</f>
        <v>#REF!</v>
      </c>
      <c r="D11" s="228" t="s">
        <v>169</v>
      </c>
      <c r="E11" s="228">
        <v>5</v>
      </c>
      <c r="H11" s="173" t="s">
        <v>246</v>
      </c>
      <c r="I11" s="178">
        <f>I9*I10</f>
        <v>10.743055555555555</v>
      </c>
      <c r="J11" s="178">
        <f>J9*J10</f>
        <v>2.2222222222222223</v>
      </c>
      <c r="K11" s="178">
        <f t="shared" ref="K11:L11" si="0">K9*K10</f>
        <v>2</v>
      </c>
      <c r="L11" s="178">
        <f t="shared" si="0"/>
        <v>2</v>
      </c>
    </row>
    <row r="12" spans="1:21" ht="15.6">
      <c r="A12" s="171" t="s">
        <v>368</v>
      </c>
      <c r="B12" s="173" t="s">
        <v>257</v>
      </c>
      <c r="C12" s="301" t="e">
        <f>#REF!</f>
        <v>#REF!</v>
      </c>
      <c r="D12" s="228" t="s">
        <v>169</v>
      </c>
      <c r="E12" s="228">
        <v>6</v>
      </c>
    </row>
    <row r="13" spans="1:21" ht="15.6">
      <c r="A13" s="171" t="s">
        <v>369</v>
      </c>
      <c r="B13" s="173" t="s">
        <v>370</v>
      </c>
      <c r="C13" s="230">
        <v>0.05</v>
      </c>
      <c r="D13" s="228" t="s">
        <v>169</v>
      </c>
      <c r="E13" s="228">
        <v>7</v>
      </c>
    </row>
    <row r="14" spans="1:21" ht="15.6">
      <c r="A14" s="171" t="s">
        <v>371</v>
      </c>
      <c r="B14" s="173" t="s">
        <v>257</v>
      </c>
      <c r="C14" s="301" t="e">
        <f>#REF!</f>
        <v>#REF!</v>
      </c>
      <c r="D14" s="228" t="s">
        <v>169</v>
      </c>
      <c r="E14" s="228">
        <v>8</v>
      </c>
    </row>
    <row r="15" spans="1:21" ht="15.6">
      <c r="A15" s="171" t="s">
        <v>372</v>
      </c>
      <c r="B15" s="173" t="s">
        <v>257</v>
      </c>
      <c r="C15" s="302" t="e">
        <f>#REF!</f>
        <v>#REF!</v>
      </c>
      <c r="D15" s="228" t="s">
        <v>169</v>
      </c>
      <c r="E15" s="228">
        <v>9</v>
      </c>
      <c r="S15" s="173" t="s">
        <v>341</v>
      </c>
      <c r="T15" s="173" t="s">
        <v>342</v>
      </c>
      <c r="U15" s="173" t="s">
        <v>343</v>
      </c>
    </row>
    <row r="16" spans="1:21" ht="15.6">
      <c r="A16" s="171" t="s">
        <v>373</v>
      </c>
      <c r="B16" s="173" t="s">
        <v>273</v>
      </c>
      <c r="C16" s="302" t="e">
        <f>#REF!</f>
        <v>#REF!</v>
      </c>
      <c r="D16" s="228"/>
      <c r="E16" s="228"/>
      <c r="S16" s="173">
        <v>800</v>
      </c>
      <c r="T16" s="173">
        <v>2028</v>
      </c>
      <c r="U16" s="173">
        <v>2034</v>
      </c>
    </row>
    <row r="17" spans="1:21" ht="15.6">
      <c r="A17" s="171" t="s">
        <v>374</v>
      </c>
      <c r="B17" s="173" t="s">
        <v>194</v>
      </c>
      <c r="C17" s="227">
        <v>40</v>
      </c>
      <c r="D17" s="228" t="s">
        <v>169</v>
      </c>
      <c r="E17" s="228">
        <v>10</v>
      </c>
      <c r="S17" s="173">
        <v>500</v>
      </c>
      <c r="T17" s="173">
        <v>2029</v>
      </c>
      <c r="U17" s="173">
        <v>2035</v>
      </c>
    </row>
    <row r="18" spans="1:21" ht="15.6">
      <c r="A18" s="171" t="s">
        <v>375</v>
      </c>
      <c r="B18" s="173" t="s">
        <v>194</v>
      </c>
      <c r="C18" s="227">
        <v>245</v>
      </c>
      <c r="D18" s="228" t="s">
        <v>169</v>
      </c>
      <c r="E18" s="228">
        <v>11</v>
      </c>
    </row>
    <row r="19" spans="1:21" ht="15.6">
      <c r="A19" s="171" t="s">
        <v>263</v>
      </c>
      <c r="B19" s="173" t="s">
        <v>193</v>
      </c>
      <c r="C19" s="301" t="e">
        <f>#REF!</f>
        <v>#REF!</v>
      </c>
      <c r="D19" s="228" t="s">
        <v>169</v>
      </c>
      <c r="E19" s="228">
        <v>12</v>
      </c>
    </row>
    <row r="20" spans="1:21" ht="15.6">
      <c r="A20" s="171" t="s">
        <v>376</v>
      </c>
      <c r="B20" s="173" t="s">
        <v>377</v>
      </c>
      <c r="C20" s="227">
        <v>25815.384615384617</v>
      </c>
      <c r="D20" s="228"/>
      <c r="E20" s="228"/>
    </row>
    <row r="21" spans="1:21" ht="15.6">
      <c r="A21" s="171" t="s">
        <v>266</v>
      </c>
      <c r="B21" s="173" t="s">
        <v>194</v>
      </c>
      <c r="C21" s="301" t="e">
        <f>#REF!</f>
        <v>#REF!</v>
      </c>
      <c r="D21" s="228" t="s">
        <v>169</v>
      </c>
      <c r="E21" s="228">
        <v>13</v>
      </c>
    </row>
    <row r="22" spans="1:21" ht="15.6">
      <c r="A22" s="171" t="s">
        <v>268</v>
      </c>
      <c r="B22" s="173" t="s">
        <v>193</v>
      </c>
      <c r="C22" s="301" t="e">
        <f>#REF!</f>
        <v>#REF!</v>
      </c>
      <c r="D22" s="228" t="s">
        <v>169</v>
      </c>
      <c r="E22" s="228">
        <v>14</v>
      </c>
    </row>
    <row r="23" spans="1:21" ht="15.6">
      <c r="A23" s="171" t="s">
        <v>378</v>
      </c>
      <c r="B23" s="173" t="s">
        <v>255</v>
      </c>
      <c r="C23" s="302" t="e">
        <f>#REF!/1000</f>
        <v>#REF!</v>
      </c>
      <c r="D23" s="228" t="s">
        <v>169</v>
      </c>
      <c r="E23" s="228">
        <v>18</v>
      </c>
    </row>
    <row r="24" spans="1:21" ht="15.6">
      <c r="A24" s="293" t="s">
        <v>433</v>
      </c>
      <c r="B24" s="173" t="s">
        <v>255</v>
      </c>
      <c r="C24" s="302" t="e">
        <f>#REF!/1000</f>
        <v>#REF!</v>
      </c>
      <c r="D24" s="228" t="s">
        <v>169</v>
      </c>
      <c r="E24" s="228">
        <v>19</v>
      </c>
    </row>
    <row r="25" spans="1:21" ht="15.6">
      <c r="A25" s="171" t="s">
        <v>380</v>
      </c>
      <c r="B25" s="173" t="s">
        <v>255</v>
      </c>
      <c r="C25" s="302" t="e">
        <f>#REF!/1000</f>
        <v>#REF!</v>
      </c>
      <c r="D25" s="228" t="s">
        <v>169</v>
      </c>
      <c r="E25" s="228">
        <v>20</v>
      </c>
    </row>
    <row r="26" spans="1:21" ht="15.6">
      <c r="A26" s="171" t="s">
        <v>381</v>
      </c>
      <c r="B26" s="173" t="s">
        <v>255</v>
      </c>
      <c r="C26" s="302" t="e">
        <f>C24</f>
        <v>#REF!</v>
      </c>
      <c r="D26" s="228" t="s">
        <v>169</v>
      </c>
      <c r="E26" s="228">
        <v>21</v>
      </c>
    </row>
    <row r="27" spans="1:21" ht="15.6">
      <c r="A27" s="171" t="s">
        <v>382</v>
      </c>
      <c r="B27" s="173" t="s">
        <v>195</v>
      </c>
      <c r="C27" s="301" t="e">
        <f>#REF!</f>
        <v>#REF!</v>
      </c>
      <c r="D27" s="228" t="s">
        <v>275</v>
      </c>
      <c r="E27" s="228">
        <v>2</v>
      </c>
    </row>
    <row r="28" spans="1:21" ht="15.6">
      <c r="A28" s="171" t="s">
        <v>172</v>
      </c>
      <c r="B28" s="173" t="s">
        <v>196</v>
      </c>
      <c r="C28" s="301" t="e">
        <f>#REF!</f>
        <v>#REF!</v>
      </c>
      <c r="D28" s="228" t="s">
        <v>275</v>
      </c>
      <c r="E28" s="228">
        <v>3</v>
      </c>
    </row>
    <row r="29" spans="1:21" ht="15.6">
      <c r="A29" s="171" t="s">
        <v>174</v>
      </c>
      <c r="B29" s="173" t="s">
        <v>197</v>
      </c>
      <c r="C29" s="301" t="e">
        <f>#REF!</f>
        <v>#REF!</v>
      </c>
      <c r="D29" s="228" t="s">
        <v>275</v>
      </c>
      <c r="E29" s="228">
        <v>4</v>
      </c>
    </row>
    <row r="30" spans="1:21" ht="15.6">
      <c r="A30" s="171" t="s">
        <v>276</v>
      </c>
      <c r="B30" s="173" t="s">
        <v>198</v>
      </c>
      <c r="C30" s="231">
        <v>0.8</v>
      </c>
      <c r="D30" s="228" t="s">
        <v>275</v>
      </c>
      <c r="E30" s="228">
        <v>5</v>
      </c>
    </row>
    <row r="31" spans="1:21" ht="15.6">
      <c r="A31" s="171" t="s">
        <v>383</v>
      </c>
      <c r="B31" s="173" t="s">
        <v>277</v>
      </c>
      <c r="C31" s="174">
        <v>7</v>
      </c>
      <c r="D31" s="228" t="s">
        <v>384</v>
      </c>
      <c r="E31" s="222"/>
    </row>
    <row r="32" spans="1:21" ht="15.6">
      <c r="A32" s="171" t="s">
        <v>385</v>
      </c>
      <c r="B32" s="173" t="s">
        <v>198</v>
      </c>
      <c r="C32" s="232">
        <v>0.03</v>
      </c>
      <c r="D32" s="228" t="s">
        <v>384</v>
      </c>
      <c r="E32" s="222"/>
    </row>
    <row r="33" spans="1:39" ht="15.6">
      <c r="A33" s="171" t="s">
        <v>344</v>
      </c>
      <c r="B33" s="173" t="s">
        <v>198</v>
      </c>
      <c r="C33" s="233">
        <v>0.12</v>
      </c>
      <c r="D33" s="228" t="s">
        <v>384</v>
      </c>
      <c r="E33" s="222"/>
    </row>
    <row r="34" spans="1:39" ht="15.6">
      <c r="A34" s="171" t="s">
        <v>221</v>
      </c>
      <c r="B34" s="173" t="s">
        <v>198</v>
      </c>
      <c r="C34" s="234">
        <v>0.02</v>
      </c>
      <c r="D34" s="228" t="s">
        <v>384</v>
      </c>
      <c r="E34" s="222"/>
    </row>
    <row r="35" spans="1:39" ht="15.6">
      <c r="A35" s="171" t="s">
        <v>386</v>
      </c>
      <c r="B35" s="173" t="s">
        <v>198</v>
      </c>
      <c r="C35" s="233">
        <v>0.7</v>
      </c>
      <c r="D35" s="228"/>
      <c r="E35" s="222"/>
    </row>
    <row r="36" spans="1:39">
      <c r="C36" s="173"/>
      <c r="D36" s="221"/>
      <c r="F36" s="221"/>
      <c r="H36" s="221"/>
      <c r="J36" s="221"/>
      <c r="L36" s="221"/>
      <c r="N36" s="221"/>
      <c r="P36" s="221"/>
      <c r="R36" s="221"/>
      <c r="T36" s="221"/>
      <c r="V36" s="221"/>
      <c r="X36" s="221"/>
      <c r="Z36" s="221"/>
      <c r="AB36" s="221"/>
      <c r="AC36" s="221"/>
      <c r="AD36" s="221"/>
      <c r="AE36" s="221"/>
      <c r="AF36" s="221"/>
      <c r="AG36" s="221"/>
    </row>
    <row r="37" spans="1:39" s="225" customFormat="1">
      <c r="A37" s="223" t="s">
        <v>286</v>
      </c>
      <c r="B37" s="223"/>
    </row>
    <row r="38" spans="1:39">
      <c r="A38" s="235" t="s">
        <v>41</v>
      </c>
      <c r="B38" s="235"/>
      <c r="C38" s="235">
        <v>2025</v>
      </c>
      <c r="D38" s="235">
        <f t="shared" ref="D38:AG38" si="1">C38+1</f>
        <v>2026</v>
      </c>
      <c r="E38" s="235">
        <f t="shared" si="1"/>
        <v>2027</v>
      </c>
      <c r="F38" s="235">
        <f t="shared" si="1"/>
        <v>2028</v>
      </c>
      <c r="G38" s="235">
        <f t="shared" si="1"/>
        <v>2029</v>
      </c>
      <c r="H38" s="235">
        <f t="shared" si="1"/>
        <v>2030</v>
      </c>
      <c r="I38" s="235">
        <f t="shared" si="1"/>
        <v>2031</v>
      </c>
      <c r="J38" s="235">
        <f t="shared" si="1"/>
        <v>2032</v>
      </c>
      <c r="K38" s="235">
        <f t="shared" si="1"/>
        <v>2033</v>
      </c>
      <c r="L38" s="235">
        <f t="shared" si="1"/>
        <v>2034</v>
      </c>
      <c r="M38" s="235">
        <f t="shared" si="1"/>
        <v>2035</v>
      </c>
      <c r="N38" s="235">
        <f t="shared" si="1"/>
        <v>2036</v>
      </c>
      <c r="O38" s="235">
        <f t="shared" si="1"/>
        <v>2037</v>
      </c>
      <c r="P38" s="235">
        <f t="shared" si="1"/>
        <v>2038</v>
      </c>
      <c r="Q38" s="235">
        <f t="shared" si="1"/>
        <v>2039</v>
      </c>
      <c r="R38" s="235">
        <f t="shared" si="1"/>
        <v>2040</v>
      </c>
      <c r="S38" s="235">
        <f t="shared" si="1"/>
        <v>2041</v>
      </c>
      <c r="T38" s="235">
        <f t="shared" si="1"/>
        <v>2042</v>
      </c>
      <c r="U38" s="235">
        <f t="shared" si="1"/>
        <v>2043</v>
      </c>
      <c r="V38" s="235">
        <f t="shared" si="1"/>
        <v>2044</v>
      </c>
      <c r="W38" s="235">
        <f t="shared" si="1"/>
        <v>2045</v>
      </c>
      <c r="X38" s="235">
        <f t="shared" si="1"/>
        <v>2046</v>
      </c>
      <c r="Y38" s="235">
        <f t="shared" si="1"/>
        <v>2047</v>
      </c>
      <c r="Z38" s="235">
        <f t="shared" si="1"/>
        <v>2048</v>
      </c>
      <c r="AA38" s="235">
        <f t="shared" si="1"/>
        <v>2049</v>
      </c>
      <c r="AB38" s="235">
        <f t="shared" si="1"/>
        <v>2050</v>
      </c>
      <c r="AC38" s="235">
        <f t="shared" si="1"/>
        <v>2051</v>
      </c>
      <c r="AD38" s="235">
        <f t="shared" si="1"/>
        <v>2052</v>
      </c>
      <c r="AE38" s="235">
        <f t="shared" si="1"/>
        <v>2053</v>
      </c>
      <c r="AF38" s="235">
        <f t="shared" si="1"/>
        <v>2054</v>
      </c>
      <c r="AG38" s="235">
        <f t="shared" si="1"/>
        <v>2055</v>
      </c>
      <c r="AH38" s="171" t="s">
        <v>387</v>
      </c>
    </row>
    <row r="39" spans="1:39">
      <c r="A39" s="171" t="s">
        <v>287</v>
      </c>
      <c r="B39" s="171" t="s">
        <v>288</v>
      </c>
      <c r="C39" s="236">
        <v>92</v>
      </c>
      <c r="D39" s="236">
        <f t="shared" ref="D39:AG42" si="2">ROUND(C39*(1+$AH39),2)</f>
        <v>94.3</v>
      </c>
      <c r="E39" s="236">
        <f t="shared" si="2"/>
        <v>96.66</v>
      </c>
      <c r="F39" s="236">
        <f t="shared" si="2"/>
        <v>99.08</v>
      </c>
      <c r="G39" s="236">
        <f t="shared" si="2"/>
        <v>101.56</v>
      </c>
      <c r="H39" s="236">
        <f t="shared" si="2"/>
        <v>104.1</v>
      </c>
      <c r="I39" s="236">
        <f t="shared" si="2"/>
        <v>106.7</v>
      </c>
      <c r="J39" s="236">
        <f t="shared" si="2"/>
        <v>109.37</v>
      </c>
      <c r="K39" s="236">
        <f t="shared" si="2"/>
        <v>112.1</v>
      </c>
      <c r="L39" s="236">
        <f t="shared" si="2"/>
        <v>114.9</v>
      </c>
      <c r="M39" s="236">
        <f t="shared" si="2"/>
        <v>117.77</v>
      </c>
      <c r="N39" s="236">
        <f t="shared" si="2"/>
        <v>120.71</v>
      </c>
      <c r="O39" s="236">
        <f t="shared" si="2"/>
        <v>123.73</v>
      </c>
      <c r="P39" s="236">
        <f t="shared" si="2"/>
        <v>126.82</v>
      </c>
      <c r="Q39" s="236">
        <f t="shared" si="2"/>
        <v>129.99</v>
      </c>
      <c r="R39" s="236">
        <f t="shared" si="2"/>
        <v>133.24</v>
      </c>
      <c r="S39" s="236">
        <f t="shared" si="2"/>
        <v>136.57</v>
      </c>
      <c r="T39" s="236">
        <f t="shared" si="2"/>
        <v>139.97999999999999</v>
      </c>
      <c r="U39" s="236">
        <f t="shared" si="2"/>
        <v>143.47999999999999</v>
      </c>
      <c r="V39" s="236">
        <f t="shared" si="2"/>
        <v>147.07</v>
      </c>
      <c r="W39" s="236">
        <f t="shared" si="2"/>
        <v>150.75</v>
      </c>
      <c r="X39" s="236">
        <f t="shared" si="2"/>
        <v>154.52000000000001</v>
      </c>
      <c r="Y39" s="236">
        <f t="shared" si="2"/>
        <v>158.38</v>
      </c>
      <c r="Z39" s="236">
        <f t="shared" si="2"/>
        <v>162.34</v>
      </c>
      <c r="AA39" s="236">
        <f t="shared" si="2"/>
        <v>166.4</v>
      </c>
      <c r="AB39" s="236">
        <f t="shared" si="2"/>
        <v>170.56</v>
      </c>
      <c r="AC39" s="236">
        <f t="shared" si="2"/>
        <v>174.82</v>
      </c>
      <c r="AD39" s="236">
        <f t="shared" si="2"/>
        <v>179.19</v>
      </c>
      <c r="AE39" s="236">
        <f t="shared" si="2"/>
        <v>183.67</v>
      </c>
      <c r="AF39" s="236">
        <f t="shared" si="2"/>
        <v>188.26</v>
      </c>
      <c r="AG39" s="236">
        <f t="shared" si="2"/>
        <v>192.97</v>
      </c>
      <c r="AH39" s="237">
        <v>2.5000000000000001E-2</v>
      </c>
    </row>
    <row r="40" spans="1:39">
      <c r="A40" s="171" t="s">
        <v>289</v>
      </c>
      <c r="B40" s="171" t="s">
        <v>288</v>
      </c>
      <c r="C40" s="236">
        <v>55</v>
      </c>
      <c r="D40" s="236">
        <f t="shared" si="2"/>
        <v>56.38</v>
      </c>
      <c r="E40" s="236">
        <f t="shared" si="2"/>
        <v>57.79</v>
      </c>
      <c r="F40" s="236">
        <f t="shared" si="2"/>
        <v>59.23</v>
      </c>
      <c r="G40" s="236">
        <f t="shared" si="2"/>
        <v>60.71</v>
      </c>
      <c r="H40" s="236">
        <f t="shared" si="2"/>
        <v>62.23</v>
      </c>
      <c r="I40" s="236">
        <f t="shared" si="2"/>
        <v>63.79</v>
      </c>
      <c r="J40" s="236">
        <f t="shared" si="2"/>
        <v>65.38</v>
      </c>
      <c r="K40" s="236">
        <f t="shared" si="2"/>
        <v>67.010000000000005</v>
      </c>
      <c r="L40" s="236">
        <f t="shared" si="2"/>
        <v>68.69</v>
      </c>
      <c r="M40" s="236">
        <f t="shared" si="2"/>
        <v>70.41</v>
      </c>
      <c r="N40" s="236">
        <f t="shared" si="2"/>
        <v>72.17</v>
      </c>
      <c r="O40" s="236">
        <f t="shared" si="2"/>
        <v>73.97</v>
      </c>
      <c r="P40" s="236">
        <f t="shared" si="2"/>
        <v>75.819999999999993</v>
      </c>
      <c r="Q40" s="236">
        <f t="shared" si="2"/>
        <v>77.72</v>
      </c>
      <c r="R40" s="236">
        <f t="shared" si="2"/>
        <v>79.66</v>
      </c>
      <c r="S40" s="236">
        <f t="shared" si="2"/>
        <v>81.650000000000006</v>
      </c>
      <c r="T40" s="236">
        <f t="shared" si="2"/>
        <v>83.69</v>
      </c>
      <c r="U40" s="236">
        <f t="shared" si="2"/>
        <v>85.78</v>
      </c>
      <c r="V40" s="236">
        <f t="shared" si="2"/>
        <v>87.92</v>
      </c>
      <c r="W40" s="236">
        <f t="shared" si="2"/>
        <v>90.12</v>
      </c>
      <c r="X40" s="236">
        <f t="shared" si="2"/>
        <v>92.37</v>
      </c>
      <c r="Y40" s="236">
        <f t="shared" si="2"/>
        <v>94.68</v>
      </c>
      <c r="Z40" s="236">
        <f t="shared" si="2"/>
        <v>97.05</v>
      </c>
      <c r="AA40" s="236">
        <f t="shared" si="2"/>
        <v>99.48</v>
      </c>
      <c r="AB40" s="236">
        <f t="shared" si="2"/>
        <v>101.97</v>
      </c>
      <c r="AC40" s="236">
        <f t="shared" si="2"/>
        <v>104.52</v>
      </c>
      <c r="AD40" s="236">
        <f t="shared" si="2"/>
        <v>107.13</v>
      </c>
      <c r="AE40" s="236">
        <f t="shared" si="2"/>
        <v>109.81</v>
      </c>
      <c r="AF40" s="236">
        <f t="shared" si="2"/>
        <v>112.56</v>
      </c>
      <c r="AG40" s="236">
        <f t="shared" si="2"/>
        <v>115.37</v>
      </c>
      <c r="AH40" s="237">
        <v>2.5000000000000001E-2</v>
      </c>
    </row>
    <row r="41" spans="1:39">
      <c r="A41" s="171" t="s">
        <v>179</v>
      </c>
      <c r="B41" s="171" t="s">
        <v>290</v>
      </c>
      <c r="C41" s="236">
        <v>87</v>
      </c>
      <c r="D41" s="236">
        <f>ROUND(C41*(1+$AH41),2)</f>
        <v>89.18</v>
      </c>
      <c r="E41" s="236">
        <f t="shared" si="2"/>
        <v>91.41</v>
      </c>
      <c r="F41" s="236">
        <f t="shared" si="2"/>
        <v>93.7</v>
      </c>
      <c r="G41" s="236">
        <f t="shared" si="2"/>
        <v>96.04</v>
      </c>
      <c r="H41" s="236">
        <f t="shared" si="2"/>
        <v>98.44</v>
      </c>
      <c r="I41" s="236">
        <f t="shared" si="2"/>
        <v>100.9</v>
      </c>
      <c r="J41" s="236">
        <f t="shared" si="2"/>
        <v>103.42</v>
      </c>
      <c r="K41" s="236">
        <f t="shared" si="2"/>
        <v>106.01</v>
      </c>
      <c r="L41" s="236">
        <f t="shared" si="2"/>
        <v>108.66</v>
      </c>
      <c r="M41" s="236">
        <f t="shared" si="2"/>
        <v>111.38</v>
      </c>
      <c r="N41" s="236">
        <f t="shared" si="2"/>
        <v>114.16</v>
      </c>
      <c r="O41" s="236">
        <f t="shared" si="2"/>
        <v>117.01</v>
      </c>
      <c r="P41" s="236">
        <f t="shared" si="2"/>
        <v>119.94</v>
      </c>
      <c r="Q41" s="236">
        <f t="shared" si="2"/>
        <v>122.94</v>
      </c>
      <c r="R41" s="236">
        <f t="shared" si="2"/>
        <v>126.01</v>
      </c>
      <c r="S41" s="236">
        <f t="shared" si="2"/>
        <v>129.16</v>
      </c>
      <c r="T41" s="236">
        <f t="shared" si="2"/>
        <v>132.38999999999999</v>
      </c>
      <c r="U41" s="236">
        <f t="shared" si="2"/>
        <v>135.69999999999999</v>
      </c>
      <c r="V41" s="236">
        <f t="shared" si="2"/>
        <v>139.09</v>
      </c>
      <c r="W41" s="236">
        <f t="shared" si="2"/>
        <v>142.57</v>
      </c>
      <c r="X41" s="236">
        <f t="shared" si="2"/>
        <v>146.13</v>
      </c>
      <c r="Y41" s="236">
        <f t="shared" si="2"/>
        <v>149.78</v>
      </c>
      <c r="Z41" s="236">
        <f t="shared" si="2"/>
        <v>153.52000000000001</v>
      </c>
      <c r="AA41" s="236">
        <f t="shared" si="2"/>
        <v>157.36000000000001</v>
      </c>
      <c r="AB41" s="236">
        <f t="shared" si="2"/>
        <v>161.29</v>
      </c>
      <c r="AC41" s="236">
        <f t="shared" si="2"/>
        <v>165.32</v>
      </c>
      <c r="AD41" s="236">
        <f t="shared" si="2"/>
        <v>169.45</v>
      </c>
      <c r="AE41" s="236">
        <f t="shared" si="2"/>
        <v>173.69</v>
      </c>
      <c r="AF41" s="236">
        <f t="shared" si="2"/>
        <v>178.03</v>
      </c>
      <c r="AG41" s="236">
        <f t="shared" si="2"/>
        <v>182.48</v>
      </c>
      <c r="AH41" s="239">
        <v>2.5000000000000001E-2</v>
      </c>
    </row>
    <row r="42" spans="1:39">
      <c r="A42" s="171" t="s">
        <v>180</v>
      </c>
      <c r="B42" s="171" t="s">
        <v>290</v>
      </c>
      <c r="C42" s="238">
        <f>C39*0.9</f>
        <v>82.8</v>
      </c>
      <c r="D42" s="238">
        <f>ROUND(C42*(1+$AH42),2)</f>
        <v>84.87</v>
      </c>
      <c r="E42" s="238">
        <f t="shared" si="2"/>
        <v>86.99</v>
      </c>
      <c r="F42" s="238">
        <f t="shared" si="2"/>
        <v>89.16</v>
      </c>
      <c r="G42" s="238">
        <f t="shared" si="2"/>
        <v>91.39</v>
      </c>
      <c r="H42" s="238">
        <f t="shared" si="2"/>
        <v>93.67</v>
      </c>
      <c r="I42" s="238">
        <f t="shared" si="2"/>
        <v>96.01</v>
      </c>
      <c r="J42" s="238">
        <f t="shared" si="2"/>
        <v>98.41</v>
      </c>
      <c r="K42" s="238">
        <f t="shared" si="2"/>
        <v>100.87</v>
      </c>
      <c r="L42" s="238">
        <f t="shared" si="2"/>
        <v>103.39</v>
      </c>
      <c r="M42" s="238">
        <f t="shared" si="2"/>
        <v>105.97</v>
      </c>
      <c r="N42" s="238">
        <f t="shared" si="2"/>
        <v>108.62</v>
      </c>
      <c r="O42" s="238">
        <f t="shared" si="2"/>
        <v>111.34</v>
      </c>
      <c r="P42" s="238">
        <f t="shared" si="2"/>
        <v>114.12</v>
      </c>
      <c r="Q42" s="238">
        <f t="shared" si="2"/>
        <v>116.97</v>
      </c>
      <c r="R42" s="238">
        <f t="shared" si="2"/>
        <v>119.89</v>
      </c>
      <c r="S42" s="238">
        <f t="shared" si="2"/>
        <v>122.89</v>
      </c>
      <c r="T42" s="238">
        <f t="shared" si="2"/>
        <v>125.96</v>
      </c>
      <c r="U42" s="238">
        <f t="shared" si="2"/>
        <v>129.11000000000001</v>
      </c>
      <c r="V42" s="238">
        <f t="shared" si="2"/>
        <v>132.34</v>
      </c>
      <c r="W42" s="238">
        <f t="shared" si="2"/>
        <v>135.65</v>
      </c>
      <c r="X42" s="238">
        <f t="shared" si="2"/>
        <v>139.04</v>
      </c>
      <c r="Y42" s="238">
        <f t="shared" si="2"/>
        <v>142.52000000000001</v>
      </c>
      <c r="Z42" s="238">
        <f t="shared" si="2"/>
        <v>146.08000000000001</v>
      </c>
      <c r="AA42" s="238">
        <f t="shared" si="2"/>
        <v>149.72999999999999</v>
      </c>
      <c r="AB42" s="238">
        <f t="shared" si="2"/>
        <v>153.47</v>
      </c>
      <c r="AC42" s="238">
        <f t="shared" si="2"/>
        <v>157.31</v>
      </c>
      <c r="AD42" s="238">
        <f t="shared" si="2"/>
        <v>161.24</v>
      </c>
      <c r="AE42" s="238">
        <f t="shared" si="2"/>
        <v>165.27</v>
      </c>
      <c r="AF42" s="238">
        <f t="shared" si="2"/>
        <v>169.4</v>
      </c>
      <c r="AG42" s="238">
        <f t="shared" si="2"/>
        <v>173.64</v>
      </c>
      <c r="AH42" s="239">
        <v>2.5000000000000001E-2</v>
      </c>
    </row>
    <row r="43" spans="1:39">
      <c r="A43" s="293" t="s">
        <v>291</v>
      </c>
      <c r="B43" s="171" t="s">
        <v>290</v>
      </c>
      <c r="C43" s="238">
        <v>600</v>
      </c>
      <c r="D43" s="238" t="e">
        <f>ROUND(C43*(1+$AH43),2)</f>
        <v>#REF!</v>
      </c>
      <c r="E43" s="238" t="e">
        <f>ROUND(D43*(1+$AH43),2)</f>
        <v>#REF!</v>
      </c>
      <c r="F43" s="238" t="e">
        <f>ROUND(E43*(1+$AH43),2)</f>
        <v>#REF!</v>
      </c>
      <c r="G43" s="238" t="e">
        <f>ROUND(F43*(1+$AH43),2)</f>
        <v>#REF!</v>
      </c>
      <c r="H43" s="238" t="e">
        <f>ROUND(G43*(1+$AH43),2)</f>
        <v>#REF!</v>
      </c>
      <c r="I43" s="238" t="e">
        <f t="shared" ref="I43:R43" si="3">ROUND(H43*(1+$AI43),2)</f>
        <v>#REF!</v>
      </c>
      <c r="J43" s="238" t="e">
        <f t="shared" si="3"/>
        <v>#REF!</v>
      </c>
      <c r="K43" s="238" t="e">
        <f t="shared" si="3"/>
        <v>#REF!</v>
      </c>
      <c r="L43" s="238" t="e">
        <f t="shared" si="3"/>
        <v>#REF!</v>
      </c>
      <c r="M43" s="238" t="e">
        <f t="shared" si="3"/>
        <v>#REF!</v>
      </c>
      <c r="N43" s="238" t="e">
        <f t="shared" si="3"/>
        <v>#REF!</v>
      </c>
      <c r="O43" s="238" t="e">
        <f t="shared" si="3"/>
        <v>#REF!</v>
      </c>
      <c r="P43" s="238" t="e">
        <f t="shared" si="3"/>
        <v>#REF!</v>
      </c>
      <c r="Q43" s="238" t="e">
        <f t="shared" si="3"/>
        <v>#REF!</v>
      </c>
      <c r="R43" s="238" t="e">
        <f t="shared" si="3"/>
        <v>#REF!</v>
      </c>
      <c r="S43" s="238" t="e">
        <f t="shared" ref="S43:AG43" si="4">ROUND(R43*(1+$AJ43),2)</f>
        <v>#REF!</v>
      </c>
      <c r="T43" s="238" t="e">
        <f t="shared" si="4"/>
        <v>#REF!</v>
      </c>
      <c r="U43" s="238" t="e">
        <f t="shared" si="4"/>
        <v>#REF!</v>
      </c>
      <c r="V43" s="238" t="e">
        <f t="shared" si="4"/>
        <v>#REF!</v>
      </c>
      <c r="W43" s="238" t="e">
        <f t="shared" si="4"/>
        <v>#REF!</v>
      </c>
      <c r="X43" s="238" t="e">
        <f t="shared" si="4"/>
        <v>#REF!</v>
      </c>
      <c r="Y43" s="238" t="e">
        <f t="shared" si="4"/>
        <v>#REF!</v>
      </c>
      <c r="Z43" s="238" t="e">
        <f t="shared" si="4"/>
        <v>#REF!</v>
      </c>
      <c r="AA43" s="238" t="e">
        <f t="shared" si="4"/>
        <v>#REF!</v>
      </c>
      <c r="AB43" s="238" t="e">
        <f t="shared" si="4"/>
        <v>#REF!</v>
      </c>
      <c r="AC43" s="238" t="e">
        <f t="shared" si="4"/>
        <v>#REF!</v>
      </c>
      <c r="AD43" s="238" t="e">
        <f t="shared" si="4"/>
        <v>#REF!</v>
      </c>
      <c r="AE43" s="238" t="e">
        <f t="shared" si="4"/>
        <v>#REF!</v>
      </c>
      <c r="AF43" s="238" t="e">
        <f t="shared" si="4"/>
        <v>#REF!</v>
      </c>
      <c r="AG43" s="238" t="e">
        <f t="shared" si="4"/>
        <v>#REF!</v>
      </c>
      <c r="AH43" s="239" t="e">
        <f>#REF!</f>
        <v>#REF!</v>
      </c>
      <c r="AI43" s="240" t="e">
        <f>#REF!</f>
        <v>#REF!</v>
      </c>
      <c r="AJ43" s="240" t="e">
        <f>#REF!</f>
        <v>#REF!</v>
      </c>
      <c r="AK43" s="289" t="s">
        <v>388</v>
      </c>
      <c r="AL43" s="289" t="s">
        <v>389</v>
      </c>
      <c r="AM43" s="173" t="s">
        <v>390</v>
      </c>
    </row>
    <row r="44" spans="1:39" s="282" customFormat="1">
      <c r="A44" s="282" t="s">
        <v>391</v>
      </c>
      <c r="B44" s="282" t="s">
        <v>290</v>
      </c>
      <c r="C44" s="283">
        <v>528</v>
      </c>
      <c r="D44" s="283">
        <f t="shared" ref="D44:AA44" si="5">ROUND(C44*(1+$AJ44),2)</f>
        <v>528</v>
      </c>
      <c r="E44" s="283">
        <f t="shared" si="5"/>
        <v>528</v>
      </c>
      <c r="F44" s="283">
        <f t="shared" si="5"/>
        <v>528</v>
      </c>
      <c r="G44" s="283">
        <f t="shared" si="5"/>
        <v>528</v>
      </c>
      <c r="H44" s="283">
        <f t="shared" si="5"/>
        <v>528</v>
      </c>
      <c r="I44" s="283">
        <f t="shared" si="5"/>
        <v>528</v>
      </c>
      <c r="J44" s="283">
        <f t="shared" si="5"/>
        <v>528</v>
      </c>
      <c r="K44" s="283">
        <f t="shared" si="5"/>
        <v>528</v>
      </c>
      <c r="L44" s="283">
        <f t="shared" si="5"/>
        <v>528</v>
      </c>
      <c r="M44" s="283">
        <f t="shared" si="5"/>
        <v>528</v>
      </c>
      <c r="N44" s="283">
        <f t="shared" si="5"/>
        <v>528</v>
      </c>
      <c r="O44" s="283">
        <f t="shared" si="5"/>
        <v>528</v>
      </c>
      <c r="P44" s="283">
        <f t="shared" si="5"/>
        <v>528</v>
      </c>
      <c r="Q44" s="283">
        <f t="shared" si="5"/>
        <v>528</v>
      </c>
      <c r="R44" s="283">
        <f t="shared" si="5"/>
        <v>528</v>
      </c>
      <c r="S44" s="283">
        <f t="shared" si="5"/>
        <v>528</v>
      </c>
      <c r="T44" s="283">
        <f t="shared" si="5"/>
        <v>528</v>
      </c>
      <c r="U44" s="283">
        <f t="shared" si="5"/>
        <v>528</v>
      </c>
      <c r="V44" s="283">
        <f t="shared" si="5"/>
        <v>528</v>
      </c>
      <c r="W44" s="283">
        <f t="shared" si="5"/>
        <v>528</v>
      </c>
      <c r="X44" s="283">
        <f t="shared" si="5"/>
        <v>528</v>
      </c>
      <c r="Y44" s="283">
        <f t="shared" si="5"/>
        <v>528</v>
      </c>
      <c r="Z44" s="283">
        <f t="shared" si="5"/>
        <v>528</v>
      </c>
      <c r="AA44" s="283">
        <f t="shared" si="5"/>
        <v>528</v>
      </c>
      <c r="AB44" s="283" t="e">
        <f>AB43</f>
        <v>#REF!</v>
      </c>
      <c r="AC44" s="283" t="e">
        <f t="shared" ref="AC44:AG44" si="6">AC43</f>
        <v>#REF!</v>
      </c>
      <c r="AD44" s="283" t="e">
        <f t="shared" si="6"/>
        <v>#REF!</v>
      </c>
      <c r="AE44" s="283" t="e">
        <f t="shared" si="6"/>
        <v>#REF!</v>
      </c>
      <c r="AF44" s="283" t="e">
        <f t="shared" si="6"/>
        <v>#REF!</v>
      </c>
      <c r="AG44" s="283" t="e">
        <f t="shared" si="6"/>
        <v>#REF!</v>
      </c>
      <c r="AH44" s="284"/>
      <c r="AI44" s="285"/>
      <c r="AJ44" s="285"/>
    </row>
    <row r="45" spans="1:39">
      <c r="A45" s="293" t="s">
        <v>292</v>
      </c>
      <c r="B45" s="171" t="s">
        <v>290</v>
      </c>
      <c r="C45" s="236">
        <v>250</v>
      </c>
      <c r="D45" s="236" t="e">
        <f>ROUND(C45*(1+$AH45),2)</f>
        <v>#REF!</v>
      </c>
      <c r="E45" s="236" t="e">
        <f t="shared" ref="E45:AG45" si="7">ROUND(D45*(1+$AH45),2)</f>
        <v>#REF!</v>
      </c>
      <c r="F45" s="236" t="e">
        <f t="shared" si="7"/>
        <v>#REF!</v>
      </c>
      <c r="G45" s="236" t="e">
        <f t="shared" si="7"/>
        <v>#REF!</v>
      </c>
      <c r="H45" s="236" t="e">
        <f t="shared" si="7"/>
        <v>#REF!</v>
      </c>
      <c r="I45" s="236" t="e">
        <f t="shared" si="7"/>
        <v>#REF!</v>
      </c>
      <c r="J45" s="236" t="e">
        <f t="shared" si="7"/>
        <v>#REF!</v>
      </c>
      <c r="K45" s="236" t="e">
        <f t="shared" si="7"/>
        <v>#REF!</v>
      </c>
      <c r="L45" s="236" t="e">
        <f t="shared" si="7"/>
        <v>#REF!</v>
      </c>
      <c r="M45" s="236" t="e">
        <f t="shared" si="7"/>
        <v>#REF!</v>
      </c>
      <c r="N45" s="236" t="e">
        <f t="shared" si="7"/>
        <v>#REF!</v>
      </c>
      <c r="O45" s="236" t="e">
        <f t="shared" si="7"/>
        <v>#REF!</v>
      </c>
      <c r="P45" s="236" t="e">
        <f t="shared" si="7"/>
        <v>#REF!</v>
      </c>
      <c r="Q45" s="236" t="e">
        <f t="shared" si="7"/>
        <v>#REF!</v>
      </c>
      <c r="R45" s="236" t="e">
        <f t="shared" si="7"/>
        <v>#REF!</v>
      </c>
      <c r="S45" s="236" t="e">
        <f t="shared" si="7"/>
        <v>#REF!</v>
      </c>
      <c r="T45" s="236" t="e">
        <f t="shared" si="7"/>
        <v>#REF!</v>
      </c>
      <c r="U45" s="236" t="e">
        <f t="shared" si="7"/>
        <v>#REF!</v>
      </c>
      <c r="V45" s="236" t="e">
        <f t="shared" si="7"/>
        <v>#REF!</v>
      </c>
      <c r="W45" s="236" t="e">
        <f t="shared" si="7"/>
        <v>#REF!</v>
      </c>
      <c r="X45" s="236" t="e">
        <f t="shared" si="7"/>
        <v>#REF!</v>
      </c>
      <c r="Y45" s="236" t="e">
        <f t="shared" si="7"/>
        <v>#REF!</v>
      </c>
      <c r="Z45" s="236" t="e">
        <f t="shared" si="7"/>
        <v>#REF!</v>
      </c>
      <c r="AA45" s="236" t="e">
        <f t="shared" si="7"/>
        <v>#REF!</v>
      </c>
      <c r="AB45" s="236" t="e">
        <f t="shared" si="7"/>
        <v>#REF!</v>
      </c>
      <c r="AC45" s="236" t="e">
        <f t="shared" si="7"/>
        <v>#REF!</v>
      </c>
      <c r="AD45" s="236" t="e">
        <f t="shared" si="7"/>
        <v>#REF!</v>
      </c>
      <c r="AE45" s="236" t="e">
        <f t="shared" si="7"/>
        <v>#REF!</v>
      </c>
      <c r="AF45" s="236" t="e">
        <f t="shared" si="7"/>
        <v>#REF!</v>
      </c>
      <c r="AG45" s="236" t="e">
        <f t="shared" si="7"/>
        <v>#REF!</v>
      </c>
      <c r="AH45" s="242" t="e">
        <f>#REF!</f>
        <v>#REF!</v>
      </c>
      <c r="AI45" s="287"/>
      <c r="AJ45" s="242"/>
    </row>
    <row r="46" spans="1:39">
      <c r="A46" s="171" t="s">
        <v>348</v>
      </c>
      <c r="B46" s="171" t="s">
        <v>198</v>
      </c>
      <c r="C46" s="243">
        <v>0</v>
      </c>
      <c r="D46" s="243">
        <f>C46</f>
        <v>0</v>
      </c>
      <c r="E46" s="243">
        <f t="shared" ref="E46:H46" si="8">D46</f>
        <v>0</v>
      </c>
      <c r="F46" s="243">
        <f t="shared" si="8"/>
        <v>0</v>
      </c>
      <c r="G46" s="243">
        <f t="shared" si="8"/>
        <v>0</v>
      </c>
      <c r="H46" s="243">
        <f t="shared" si="8"/>
        <v>0</v>
      </c>
      <c r="I46" s="243">
        <v>0.25</v>
      </c>
      <c r="J46" s="243">
        <f t="shared" ref="J46:AG46" si="9">I46</f>
        <v>0.25</v>
      </c>
      <c r="K46" s="243">
        <f t="shared" si="9"/>
        <v>0.25</v>
      </c>
      <c r="L46" s="243">
        <f t="shared" si="9"/>
        <v>0.25</v>
      </c>
      <c r="M46" s="243">
        <f t="shared" si="9"/>
        <v>0.25</v>
      </c>
      <c r="N46" s="243">
        <v>0.5</v>
      </c>
      <c r="O46" s="243">
        <f t="shared" si="9"/>
        <v>0.5</v>
      </c>
      <c r="P46" s="243">
        <f t="shared" si="9"/>
        <v>0.5</v>
      </c>
      <c r="Q46" s="243">
        <f t="shared" si="9"/>
        <v>0.5</v>
      </c>
      <c r="R46" s="243">
        <f t="shared" si="9"/>
        <v>0.5</v>
      </c>
      <c r="S46" s="243">
        <v>0.75</v>
      </c>
      <c r="T46" s="243">
        <f t="shared" si="9"/>
        <v>0.75</v>
      </c>
      <c r="U46" s="243">
        <f t="shared" si="9"/>
        <v>0.75</v>
      </c>
      <c r="V46" s="243">
        <f t="shared" si="9"/>
        <v>0.75</v>
      </c>
      <c r="W46" s="243">
        <v>1</v>
      </c>
      <c r="X46" s="243">
        <f t="shared" si="9"/>
        <v>1</v>
      </c>
      <c r="Y46" s="243">
        <f t="shared" si="9"/>
        <v>1</v>
      </c>
      <c r="Z46" s="243">
        <f t="shared" si="9"/>
        <v>1</v>
      </c>
      <c r="AA46" s="243">
        <f t="shared" si="9"/>
        <v>1</v>
      </c>
      <c r="AB46" s="243">
        <f t="shared" si="9"/>
        <v>1</v>
      </c>
      <c r="AC46" s="243">
        <f t="shared" si="9"/>
        <v>1</v>
      </c>
      <c r="AD46" s="243">
        <f t="shared" si="9"/>
        <v>1</v>
      </c>
      <c r="AE46" s="243">
        <f t="shared" si="9"/>
        <v>1</v>
      </c>
      <c r="AF46" s="243">
        <f t="shared" si="9"/>
        <v>1</v>
      </c>
      <c r="AG46" s="243">
        <f t="shared" si="9"/>
        <v>1</v>
      </c>
      <c r="AH46" s="237"/>
      <c r="AI46" s="242"/>
    </row>
    <row r="47" spans="1:39">
      <c r="A47" s="171" t="s">
        <v>294</v>
      </c>
      <c r="B47" s="171" t="s">
        <v>290</v>
      </c>
      <c r="C47" s="238">
        <f t="shared" ref="C47:AG47" si="10">((C43*C46)+(C45*(1-C46)))</f>
        <v>250</v>
      </c>
      <c r="D47" s="238" t="e">
        <f t="shared" si="10"/>
        <v>#REF!</v>
      </c>
      <c r="E47" s="238" t="e">
        <f t="shared" si="10"/>
        <v>#REF!</v>
      </c>
      <c r="F47" s="238" t="e">
        <f t="shared" si="10"/>
        <v>#REF!</v>
      </c>
      <c r="G47" s="238" t="e">
        <f t="shared" si="10"/>
        <v>#REF!</v>
      </c>
      <c r="H47" s="238" t="e">
        <f t="shared" si="10"/>
        <v>#REF!</v>
      </c>
      <c r="I47" s="238" t="e">
        <f t="shared" si="10"/>
        <v>#REF!</v>
      </c>
      <c r="J47" s="238" t="e">
        <f t="shared" si="10"/>
        <v>#REF!</v>
      </c>
      <c r="K47" s="238" t="e">
        <f t="shared" si="10"/>
        <v>#REF!</v>
      </c>
      <c r="L47" s="238" t="e">
        <f t="shared" si="10"/>
        <v>#REF!</v>
      </c>
      <c r="M47" s="238" t="e">
        <f t="shared" si="10"/>
        <v>#REF!</v>
      </c>
      <c r="N47" s="238" t="e">
        <f t="shared" si="10"/>
        <v>#REF!</v>
      </c>
      <c r="O47" s="238" t="e">
        <f t="shared" si="10"/>
        <v>#REF!</v>
      </c>
      <c r="P47" s="238" t="e">
        <f t="shared" si="10"/>
        <v>#REF!</v>
      </c>
      <c r="Q47" s="238" t="e">
        <f t="shared" si="10"/>
        <v>#REF!</v>
      </c>
      <c r="R47" s="238" t="e">
        <f t="shared" si="10"/>
        <v>#REF!</v>
      </c>
      <c r="S47" s="238" t="e">
        <f t="shared" si="10"/>
        <v>#REF!</v>
      </c>
      <c r="T47" s="238" t="e">
        <f t="shared" si="10"/>
        <v>#REF!</v>
      </c>
      <c r="U47" s="238" t="e">
        <f t="shared" si="10"/>
        <v>#REF!</v>
      </c>
      <c r="V47" s="238" t="e">
        <f t="shared" si="10"/>
        <v>#REF!</v>
      </c>
      <c r="W47" s="238" t="e">
        <f t="shared" si="10"/>
        <v>#REF!</v>
      </c>
      <c r="X47" s="238" t="e">
        <f t="shared" si="10"/>
        <v>#REF!</v>
      </c>
      <c r="Y47" s="238" t="e">
        <f t="shared" si="10"/>
        <v>#REF!</v>
      </c>
      <c r="Z47" s="238" t="e">
        <f t="shared" si="10"/>
        <v>#REF!</v>
      </c>
      <c r="AA47" s="238" t="e">
        <f t="shared" si="10"/>
        <v>#REF!</v>
      </c>
      <c r="AB47" s="238" t="e">
        <f t="shared" si="10"/>
        <v>#REF!</v>
      </c>
      <c r="AC47" s="238" t="e">
        <f t="shared" si="10"/>
        <v>#REF!</v>
      </c>
      <c r="AD47" s="238" t="e">
        <f t="shared" si="10"/>
        <v>#REF!</v>
      </c>
      <c r="AE47" s="238" t="e">
        <f t="shared" si="10"/>
        <v>#REF!</v>
      </c>
      <c r="AF47" s="238" t="e">
        <f t="shared" si="10"/>
        <v>#REF!</v>
      </c>
      <c r="AG47" s="238" t="e">
        <f t="shared" si="10"/>
        <v>#REF!</v>
      </c>
      <c r="AH47" s="237"/>
      <c r="AI47" s="242"/>
    </row>
    <row r="48" spans="1:39">
      <c r="A48" s="171" t="s">
        <v>392</v>
      </c>
      <c r="B48" s="171" t="s">
        <v>290</v>
      </c>
      <c r="C48" s="238">
        <v>175</v>
      </c>
      <c r="D48" s="238" t="e">
        <f>ROUND(C48*(1+$AH48),2)</f>
        <v>#REF!</v>
      </c>
      <c r="E48" s="238" t="e">
        <f t="shared" ref="E48:AG48" si="11">ROUND(D48*(1+$AH48),2)</f>
        <v>#REF!</v>
      </c>
      <c r="F48" s="238" t="e">
        <f t="shared" si="11"/>
        <v>#REF!</v>
      </c>
      <c r="G48" s="238" t="e">
        <f t="shared" si="11"/>
        <v>#REF!</v>
      </c>
      <c r="H48" s="238" t="e">
        <f t="shared" si="11"/>
        <v>#REF!</v>
      </c>
      <c r="I48" s="238" t="e">
        <f t="shared" si="11"/>
        <v>#REF!</v>
      </c>
      <c r="J48" s="238" t="e">
        <f t="shared" si="11"/>
        <v>#REF!</v>
      </c>
      <c r="K48" s="238" t="e">
        <f t="shared" si="11"/>
        <v>#REF!</v>
      </c>
      <c r="L48" s="238" t="e">
        <f t="shared" si="11"/>
        <v>#REF!</v>
      </c>
      <c r="M48" s="238" t="e">
        <f t="shared" si="11"/>
        <v>#REF!</v>
      </c>
      <c r="N48" s="238" t="e">
        <f t="shared" si="11"/>
        <v>#REF!</v>
      </c>
      <c r="O48" s="238" t="e">
        <f t="shared" si="11"/>
        <v>#REF!</v>
      </c>
      <c r="P48" s="238" t="e">
        <f t="shared" si="11"/>
        <v>#REF!</v>
      </c>
      <c r="Q48" s="238" t="e">
        <f t="shared" si="11"/>
        <v>#REF!</v>
      </c>
      <c r="R48" s="238" t="e">
        <f t="shared" si="11"/>
        <v>#REF!</v>
      </c>
      <c r="S48" s="238" t="e">
        <f t="shared" si="11"/>
        <v>#REF!</v>
      </c>
      <c r="T48" s="238" t="e">
        <f t="shared" si="11"/>
        <v>#REF!</v>
      </c>
      <c r="U48" s="238" t="e">
        <f t="shared" si="11"/>
        <v>#REF!</v>
      </c>
      <c r="V48" s="238" t="e">
        <f t="shared" si="11"/>
        <v>#REF!</v>
      </c>
      <c r="W48" s="238" t="e">
        <f t="shared" si="11"/>
        <v>#REF!</v>
      </c>
      <c r="X48" s="238" t="e">
        <f t="shared" si="11"/>
        <v>#REF!</v>
      </c>
      <c r="Y48" s="238" t="e">
        <f t="shared" si="11"/>
        <v>#REF!</v>
      </c>
      <c r="Z48" s="238" t="e">
        <f t="shared" si="11"/>
        <v>#REF!</v>
      </c>
      <c r="AA48" s="238" t="e">
        <f t="shared" si="11"/>
        <v>#REF!</v>
      </c>
      <c r="AB48" s="238" t="e">
        <f t="shared" si="11"/>
        <v>#REF!</v>
      </c>
      <c r="AC48" s="238" t="e">
        <f t="shared" si="11"/>
        <v>#REF!</v>
      </c>
      <c r="AD48" s="238" t="e">
        <f t="shared" si="11"/>
        <v>#REF!</v>
      </c>
      <c r="AE48" s="238" t="e">
        <f t="shared" si="11"/>
        <v>#REF!</v>
      </c>
      <c r="AF48" s="238" t="e">
        <f t="shared" si="11"/>
        <v>#REF!</v>
      </c>
      <c r="AG48" s="238" t="e">
        <f t="shared" si="11"/>
        <v>#REF!</v>
      </c>
      <c r="AH48" s="286" t="e">
        <f>#REF!</f>
        <v>#REF!</v>
      </c>
      <c r="AI48" s="241"/>
      <c r="AJ48" s="286"/>
    </row>
    <row r="49" spans="1:41">
      <c r="A49" s="254" t="s">
        <v>295</v>
      </c>
      <c r="B49" s="171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37"/>
      <c r="AI49" s="242"/>
    </row>
    <row r="50" spans="1:41">
      <c r="A50" s="292" t="s">
        <v>349</v>
      </c>
      <c r="B50" s="171" t="s">
        <v>290</v>
      </c>
      <c r="C50" s="244">
        <f t="shared" ref="C50:AG50" si="12">C43+C48</f>
        <v>775</v>
      </c>
      <c r="D50" s="244" t="e">
        <f t="shared" si="12"/>
        <v>#REF!</v>
      </c>
      <c r="E50" s="244" t="e">
        <f t="shared" si="12"/>
        <v>#REF!</v>
      </c>
      <c r="F50" s="244" t="e">
        <f t="shared" si="12"/>
        <v>#REF!</v>
      </c>
      <c r="G50" s="244" t="e">
        <f t="shared" si="12"/>
        <v>#REF!</v>
      </c>
      <c r="H50" s="244" t="e">
        <f t="shared" si="12"/>
        <v>#REF!</v>
      </c>
      <c r="I50" s="244" t="e">
        <f t="shared" si="12"/>
        <v>#REF!</v>
      </c>
      <c r="J50" s="244" t="e">
        <f t="shared" si="12"/>
        <v>#REF!</v>
      </c>
      <c r="K50" s="244" t="e">
        <f t="shared" si="12"/>
        <v>#REF!</v>
      </c>
      <c r="L50" s="244" t="e">
        <f t="shared" si="12"/>
        <v>#REF!</v>
      </c>
      <c r="M50" s="244" t="e">
        <f t="shared" si="12"/>
        <v>#REF!</v>
      </c>
      <c r="N50" s="244" t="e">
        <f t="shared" si="12"/>
        <v>#REF!</v>
      </c>
      <c r="O50" s="244" t="e">
        <f t="shared" si="12"/>
        <v>#REF!</v>
      </c>
      <c r="P50" s="244" t="e">
        <f t="shared" si="12"/>
        <v>#REF!</v>
      </c>
      <c r="Q50" s="244" t="e">
        <f t="shared" si="12"/>
        <v>#REF!</v>
      </c>
      <c r="R50" s="244" t="e">
        <f t="shared" si="12"/>
        <v>#REF!</v>
      </c>
      <c r="S50" s="244" t="e">
        <f t="shared" si="12"/>
        <v>#REF!</v>
      </c>
      <c r="T50" s="244" t="e">
        <f t="shared" si="12"/>
        <v>#REF!</v>
      </c>
      <c r="U50" s="244" t="e">
        <f t="shared" si="12"/>
        <v>#REF!</v>
      </c>
      <c r="V50" s="244" t="e">
        <f t="shared" si="12"/>
        <v>#REF!</v>
      </c>
      <c r="W50" s="244" t="e">
        <f t="shared" si="12"/>
        <v>#REF!</v>
      </c>
      <c r="X50" s="244" t="e">
        <f t="shared" si="12"/>
        <v>#REF!</v>
      </c>
      <c r="Y50" s="244" t="e">
        <f t="shared" si="12"/>
        <v>#REF!</v>
      </c>
      <c r="Z50" s="244" t="e">
        <f t="shared" si="12"/>
        <v>#REF!</v>
      </c>
      <c r="AA50" s="244" t="e">
        <f t="shared" si="12"/>
        <v>#REF!</v>
      </c>
      <c r="AB50" s="244" t="e">
        <f t="shared" si="12"/>
        <v>#REF!</v>
      </c>
      <c r="AC50" s="244" t="e">
        <f t="shared" si="12"/>
        <v>#REF!</v>
      </c>
      <c r="AD50" s="244" t="e">
        <f t="shared" si="12"/>
        <v>#REF!</v>
      </c>
      <c r="AE50" s="244" t="e">
        <f t="shared" si="12"/>
        <v>#REF!</v>
      </c>
      <c r="AF50" s="244" t="e">
        <f t="shared" si="12"/>
        <v>#REF!</v>
      </c>
      <c r="AG50" s="244" t="e">
        <f t="shared" si="12"/>
        <v>#REF!</v>
      </c>
      <c r="AH50" s="237"/>
      <c r="AI50" s="242"/>
      <c r="AJ50" s="241"/>
    </row>
    <row r="51" spans="1:41" s="282" customFormat="1">
      <c r="A51" s="288" t="s">
        <v>393</v>
      </c>
      <c r="C51" s="283">
        <f t="shared" ref="C51:AG51" si="13">C44+C48</f>
        <v>703</v>
      </c>
      <c r="D51" s="283" t="e">
        <f t="shared" si="13"/>
        <v>#REF!</v>
      </c>
      <c r="E51" s="283" t="e">
        <f t="shared" si="13"/>
        <v>#REF!</v>
      </c>
      <c r="F51" s="283" t="e">
        <f t="shared" si="13"/>
        <v>#REF!</v>
      </c>
      <c r="G51" s="283" t="e">
        <f t="shared" si="13"/>
        <v>#REF!</v>
      </c>
      <c r="H51" s="283" t="e">
        <f t="shared" si="13"/>
        <v>#REF!</v>
      </c>
      <c r="I51" s="283" t="e">
        <f t="shared" si="13"/>
        <v>#REF!</v>
      </c>
      <c r="J51" s="283" t="e">
        <f t="shared" si="13"/>
        <v>#REF!</v>
      </c>
      <c r="K51" s="283" t="e">
        <f t="shared" si="13"/>
        <v>#REF!</v>
      </c>
      <c r="L51" s="283" t="e">
        <f t="shared" si="13"/>
        <v>#REF!</v>
      </c>
      <c r="M51" s="283" t="e">
        <f t="shared" si="13"/>
        <v>#REF!</v>
      </c>
      <c r="N51" s="283" t="e">
        <f t="shared" si="13"/>
        <v>#REF!</v>
      </c>
      <c r="O51" s="283" t="e">
        <f t="shared" si="13"/>
        <v>#REF!</v>
      </c>
      <c r="P51" s="283" t="e">
        <f t="shared" si="13"/>
        <v>#REF!</v>
      </c>
      <c r="Q51" s="283" t="e">
        <f t="shared" si="13"/>
        <v>#REF!</v>
      </c>
      <c r="R51" s="283" t="e">
        <f t="shared" si="13"/>
        <v>#REF!</v>
      </c>
      <c r="S51" s="283" t="e">
        <f t="shared" si="13"/>
        <v>#REF!</v>
      </c>
      <c r="T51" s="283" t="e">
        <f t="shared" si="13"/>
        <v>#REF!</v>
      </c>
      <c r="U51" s="283" t="e">
        <f t="shared" si="13"/>
        <v>#REF!</v>
      </c>
      <c r="V51" s="283" t="e">
        <f t="shared" si="13"/>
        <v>#REF!</v>
      </c>
      <c r="W51" s="283" t="e">
        <f t="shared" si="13"/>
        <v>#REF!</v>
      </c>
      <c r="X51" s="283" t="e">
        <f t="shared" si="13"/>
        <v>#REF!</v>
      </c>
      <c r="Y51" s="283" t="e">
        <f t="shared" si="13"/>
        <v>#REF!</v>
      </c>
      <c r="Z51" s="283" t="e">
        <f t="shared" si="13"/>
        <v>#REF!</v>
      </c>
      <c r="AA51" s="283" t="e">
        <f t="shared" si="13"/>
        <v>#REF!</v>
      </c>
      <c r="AB51" s="283" t="e">
        <f t="shared" si="13"/>
        <v>#REF!</v>
      </c>
      <c r="AC51" s="283" t="e">
        <f t="shared" si="13"/>
        <v>#REF!</v>
      </c>
      <c r="AD51" s="283" t="e">
        <f t="shared" si="13"/>
        <v>#REF!</v>
      </c>
      <c r="AE51" s="283" t="e">
        <f t="shared" si="13"/>
        <v>#REF!</v>
      </c>
      <c r="AF51" s="283" t="e">
        <f t="shared" si="13"/>
        <v>#REF!</v>
      </c>
      <c r="AG51" s="283" t="e">
        <f t="shared" si="13"/>
        <v>#REF!</v>
      </c>
      <c r="AH51" s="284"/>
      <c r="AI51" s="285"/>
      <c r="AJ51" s="285"/>
    </row>
    <row r="52" spans="1:41">
      <c r="A52" s="292" t="s">
        <v>350</v>
      </c>
      <c r="B52" s="171" t="s">
        <v>290</v>
      </c>
      <c r="C52" s="244">
        <f t="shared" ref="C52:AG52" si="14">C45+C48</f>
        <v>425</v>
      </c>
      <c r="D52" s="244" t="e">
        <f t="shared" si="14"/>
        <v>#REF!</v>
      </c>
      <c r="E52" s="244" t="e">
        <f t="shared" si="14"/>
        <v>#REF!</v>
      </c>
      <c r="F52" s="244" t="e">
        <f t="shared" si="14"/>
        <v>#REF!</v>
      </c>
      <c r="G52" s="244" t="e">
        <f t="shared" si="14"/>
        <v>#REF!</v>
      </c>
      <c r="H52" s="244" t="e">
        <f t="shared" si="14"/>
        <v>#REF!</v>
      </c>
      <c r="I52" s="244" t="e">
        <f t="shared" si="14"/>
        <v>#REF!</v>
      </c>
      <c r="J52" s="244" t="e">
        <f t="shared" si="14"/>
        <v>#REF!</v>
      </c>
      <c r="K52" s="244" t="e">
        <f t="shared" si="14"/>
        <v>#REF!</v>
      </c>
      <c r="L52" s="244" t="e">
        <f t="shared" si="14"/>
        <v>#REF!</v>
      </c>
      <c r="M52" s="244" t="e">
        <f t="shared" si="14"/>
        <v>#REF!</v>
      </c>
      <c r="N52" s="244" t="e">
        <f t="shared" si="14"/>
        <v>#REF!</v>
      </c>
      <c r="O52" s="244" t="e">
        <f t="shared" si="14"/>
        <v>#REF!</v>
      </c>
      <c r="P52" s="244" t="e">
        <f t="shared" si="14"/>
        <v>#REF!</v>
      </c>
      <c r="Q52" s="244" t="e">
        <f t="shared" si="14"/>
        <v>#REF!</v>
      </c>
      <c r="R52" s="244" t="e">
        <f t="shared" si="14"/>
        <v>#REF!</v>
      </c>
      <c r="S52" s="244" t="e">
        <f t="shared" si="14"/>
        <v>#REF!</v>
      </c>
      <c r="T52" s="244" t="e">
        <f t="shared" si="14"/>
        <v>#REF!</v>
      </c>
      <c r="U52" s="244" t="e">
        <f t="shared" si="14"/>
        <v>#REF!</v>
      </c>
      <c r="V52" s="244" t="e">
        <f t="shared" si="14"/>
        <v>#REF!</v>
      </c>
      <c r="W52" s="244" t="e">
        <f t="shared" si="14"/>
        <v>#REF!</v>
      </c>
      <c r="X52" s="244" t="e">
        <f t="shared" si="14"/>
        <v>#REF!</v>
      </c>
      <c r="Y52" s="244" t="e">
        <f t="shared" si="14"/>
        <v>#REF!</v>
      </c>
      <c r="Z52" s="244" t="e">
        <f t="shared" si="14"/>
        <v>#REF!</v>
      </c>
      <c r="AA52" s="244" t="e">
        <f t="shared" si="14"/>
        <v>#REF!</v>
      </c>
      <c r="AB52" s="244" t="e">
        <f t="shared" si="14"/>
        <v>#REF!</v>
      </c>
      <c r="AC52" s="244" t="e">
        <f t="shared" si="14"/>
        <v>#REF!</v>
      </c>
      <c r="AD52" s="244" t="e">
        <f t="shared" si="14"/>
        <v>#REF!</v>
      </c>
      <c r="AE52" s="244" t="e">
        <f t="shared" si="14"/>
        <v>#REF!</v>
      </c>
      <c r="AF52" s="244" t="e">
        <f t="shared" si="14"/>
        <v>#REF!</v>
      </c>
      <c r="AG52" s="244" t="e">
        <f t="shared" si="14"/>
        <v>#REF!</v>
      </c>
      <c r="AH52" s="237"/>
      <c r="AI52" s="242"/>
    </row>
    <row r="53" spans="1:41">
      <c r="A53" s="292" t="s">
        <v>351</v>
      </c>
      <c r="B53" s="171" t="s">
        <v>290</v>
      </c>
      <c r="C53" s="236">
        <f t="shared" ref="C53:AG53" si="15">C47+C48</f>
        <v>425</v>
      </c>
      <c r="D53" s="236" t="e">
        <f t="shared" si="15"/>
        <v>#REF!</v>
      </c>
      <c r="E53" s="236" t="e">
        <f t="shared" si="15"/>
        <v>#REF!</v>
      </c>
      <c r="F53" s="236" t="e">
        <f t="shared" si="15"/>
        <v>#REF!</v>
      </c>
      <c r="G53" s="236" t="e">
        <f t="shared" si="15"/>
        <v>#REF!</v>
      </c>
      <c r="H53" s="236" t="e">
        <f t="shared" si="15"/>
        <v>#REF!</v>
      </c>
      <c r="I53" s="236" t="e">
        <f t="shared" si="15"/>
        <v>#REF!</v>
      </c>
      <c r="J53" s="236" t="e">
        <f t="shared" si="15"/>
        <v>#REF!</v>
      </c>
      <c r="K53" s="236" t="e">
        <f t="shared" si="15"/>
        <v>#REF!</v>
      </c>
      <c r="L53" s="236" t="e">
        <f t="shared" si="15"/>
        <v>#REF!</v>
      </c>
      <c r="M53" s="236" t="e">
        <f t="shared" si="15"/>
        <v>#REF!</v>
      </c>
      <c r="N53" s="236" t="e">
        <f t="shared" si="15"/>
        <v>#REF!</v>
      </c>
      <c r="O53" s="236" t="e">
        <f t="shared" si="15"/>
        <v>#REF!</v>
      </c>
      <c r="P53" s="236" t="e">
        <f t="shared" si="15"/>
        <v>#REF!</v>
      </c>
      <c r="Q53" s="236" t="e">
        <f t="shared" si="15"/>
        <v>#REF!</v>
      </c>
      <c r="R53" s="236" t="e">
        <f t="shared" si="15"/>
        <v>#REF!</v>
      </c>
      <c r="S53" s="236" t="e">
        <f t="shared" si="15"/>
        <v>#REF!</v>
      </c>
      <c r="T53" s="236" t="e">
        <f t="shared" si="15"/>
        <v>#REF!</v>
      </c>
      <c r="U53" s="236" t="e">
        <f t="shared" si="15"/>
        <v>#REF!</v>
      </c>
      <c r="V53" s="236" t="e">
        <f t="shared" si="15"/>
        <v>#REF!</v>
      </c>
      <c r="W53" s="236" t="e">
        <f t="shared" si="15"/>
        <v>#REF!</v>
      </c>
      <c r="X53" s="236" t="e">
        <f t="shared" si="15"/>
        <v>#REF!</v>
      </c>
      <c r="Y53" s="236" t="e">
        <f t="shared" si="15"/>
        <v>#REF!</v>
      </c>
      <c r="Z53" s="236" t="e">
        <f t="shared" si="15"/>
        <v>#REF!</v>
      </c>
      <c r="AA53" s="236" t="e">
        <f t="shared" si="15"/>
        <v>#REF!</v>
      </c>
      <c r="AB53" s="236" t="e">
        <f t="shared" si="15"/>
        <v>#REF!</v>
      </c>
      <c r="AC53" s="236" t="e">
        <f t="shared" si="15"/>
        <v>#REF!</v>
      </c>
      <c r="AD53" s="236" t="e">
        <f t="shared" si="15"/>
        <v>#REF!</v>
      </c>
      <c r="AE53" s="236" t="e">
        <f t="shared" si="15"/>
        <v>#REF!</v>
      </c>
      <c r="AF53" s="236" t="e">
        <f t="shared" si="15"/>
        <v>#REF!</v>
      </c>
      <c r="AG53" s="236" t="e">
        <f t="shared" si="15"/>
        <v>#REF!</v>
      </c>
      <c r="AH53" s="237"/>
      <c r="AI53" s="242"/>
    </row>
    <row r="54" spans="1:41">
      <c r="A54" s="292" t="s">
        <v>394</v>
      </c>
      <c r="B54" s="171" t="s">
        <v>290</v>
      </c>
      <c r="C54" s="244">
        <f t="shared" ref="C54:AG54" si="16">MIN(C50:C53)</f>
        <v>425</v>
      </c>
      <c r="D54" s="244" t="e">
        <f t="shared" si="16"/>
        <v>#REF!</v>
      </c>
      <c r="E54" s="244" t="e">
        <f t="shared" si="16"/>
        <v>#REF!</v>
      </c>
      <c r="F54" s="244" t="e">
        <f t="shared" si="16"/>
        <v>#REF!</v>
      </c>
      <c r="G54" s="244" t="e">
        <f t="shared" si="16"/>
        <v>#REF!</v>
      </c>
      <c r="H54" s="244" t="e">
        <f t="shared" si="16"/>
        <v>#REF!</v>
      </c>
      <c r="I54" s="244" t="e">
        <f t="shared" si="16"/>
        <v>#REF!</v>
      </c>
      <c r="J54" s="244" t="e">
        <f t="shared" si="16"/>
        <v>#REF!</v>
      </c>
      <c r="K54" s="244" t="e">
        <f t="shared" si="16"/>
        <v>#REF!</v>
      </c>
      <c r="L54" s="244" t="e">
        <f t="shared" si="16"/>
        <v>#REF!</v>
      </c>
      <c r="M54" s="244" t="e">
        <f t="shared" si="16"/>
        <v>#REF!</v>
      </c>
      <c r="N54" s="244" t="e">
        <f t="shared" si="16"/>
        <v>#REF!</v>
      </c>
      <c r="O54" s="244" t="e">
        <f t="shared" si="16"/>
        <v>#REF!</v>
      </c>
      <c r="P54" s="244" t="e">
        <f t="shared" si="16"/>
        <v>#REF!</v>
      </c>
      <c r="Q54" s="244" t="e">
        <f t="shared" si="16"/>
        <v>#REF!</v>
      </c>
      <c r="R54" s="244" t="e">
        <f t="shared" si="16"/>
        <v>#REF!</v>
      </c>
      <c r="S54" s="244" t="e">
        <f t="shared" si="16"/>
        <v>#REF!</v>
      </c>
      <c r="T54" s="244" t="e">
        <f t="shared" si="16"/>
        <v>#REF!</v>
      </c>
      <c r="U54" s="244" t="e">
        <f t="shared" si="16"/>
        <v>#REF!</v>
      </c>
      <c r="V54" s="244" t="e">
        <f t="shared" si="16"/>
        <v>#REF!</v>
      </c>
      <c r="W54" s="244" t="e">
        <f t="shared" si="16"/>
        <v>#REF!</v>
      </c>
      <c r="X54" s="244" t="e">
        <f t="shared" si="16"/>
        <v>#REF!</v>
      </c>
      <c r="Y54" s="244" t="e">
        <f t="shared" si="16"/>
        <v>#REF!</v>
      </c>
      <c r="Z54" s="244" t="e">
        <f t="shared" si="16"/>
        <v>#REF!</v>
      </c>
      <c r="AA54" s="244" t="e">
        <f t="shared" si="16"/>
        <v>#REF!</v>
      </c>
      <c r="AB54" s="244" t="e">
        <f t="shared" si="16"/>
        <v>#REF!</v>
      </c>
      <c r="AC54" s="244" t="e">
        <f t="shared" si="16"/>
        <v>#REF!</v>
      </c>
      <c r="AD54" s="244" t="e">
        <f t="shared" si="16"/>
        <v>#REF!</v>
      </c>
      <c r="AE54" s="244" t="e">
        <f t="shared" si="16"/>
        <v>#REF!</v>
      </c>
      <c r="AF54" s="244" t="e">
        <f t="shared" si="16"/>
        <v>#REF!</v>
      </c>
      <c r="AG54" s="244" t="e">
        <f t="shared" si="16"/>
        <v>#REF!</v>
      </c>
      <c r="AH54" s="237"/>
      <c r="AI54" s="242"/>
    </row>
    <row r="55" spans="1:41">
      <c r="A55" s="171" t="s">
        <v>296</v>
      </c>
      <c r="B55" s="171" t="s">
        <v>297</v>
      </c>
      <c r="C55" s="236">
        <v>18</v>
      </c>
      <c r="D55" s="236" t="e">
        <f>ROUND(C55*(1+$AH55),2)</f>
        <v>#REF!</v>
      </c>
      <c r="E55" s="236" t="e">
        <f>ROUND(D55*(1+$AH55),2)</f>
        <v>#REF!</v>
      </c>
      <c r="F55" s="236" t="e">
        <f>ROUND(E55*(1+$AH55),2)</f>
        <v>#REF!</v>
      </c>
      <c r="G55" s="236" t="e">
        <f>ROUND(F55*(1+$AH55),2)</f>
        <v>#REF!</v>
      </c>
      <c r="H55" s="236" t="e">
        <f>ROUND(G55*(1+$AH55),2)</f>
        <v>#REF!</v>
      </c>
      <c r="I55" s="236" t="e">
        <f t="shared" ref="I55:AG55" si="17">ROUND(H55*(1+$AI55),2)</f>
        <v>#REF!</v>
      </c>
      <c r="J55" s="236" t="e">
        <f t="shared" si="17"/>
        <v>#REF!</v>
      </c>
      <c r="K55" s="236" t="e">
        <f t="shared" si="17"/>
        <v>#REF!</v>
      </c>
      <c r="L55" s="236" t="e">
        <f t="shared" si="17"/>
        <v>#REF!</v>
      </c>
      <c r="M55" s="236" t="e">
        <f t="shared" si="17"/>
        <v>#REF!</v>
      </c>
      <c r="N55" s="236" t="e">
        <f t="shared" si="17"/>
        <v>#REF!</v>
      </c>
      <c r="O55" s="236" t="e">
        <f t="shared" si="17"/>
        <v>#REF!</v>
      </c>
      <c r="P55" s="236" t="e">
        <f t="shared" si="17"/>
        <v>#REF!</v>
      </c>
      <c r="Q55" s="236" t="e">
        <f t="shared" si="17"/>
        <v>#REF!</v>
      </c>
      <c r="R55" s="236" t="e">
        <f t="shared" si="17"/>
        <v>#REF!</v>
      </c>
      <c r="S55" s="236" t="e">
        <f t="shared" si="17"/>
        <v>#REF!</v>
      </c>
      <c r="T55" s="236" t="e">
        <f t="shared" si="17"/>
        <v>#REF!</v>
      </c>
      <c r="U55" s="236" t="e">
        <f t="shared" si="17"/>
        <v>#REF!</v>
      </c>
      <c r="V55" s="236" t="e">
        <f t="shared" si="17"/>
        <v>#REF!</v>
      </c>
      <c r="W55" s="236" t="e">
        <f t="shared" si="17"/>
        <v>#REF!</v>
      </c>
      <c r="X55" s="236" t="e">
        <f t="shared" si="17"/>
        <v>#REF!</v>
      </c>
      <c r="Y55" s="236" t="e">
        <f t="shared" si="17"/>
        <v>#REF!</v>
      </c>
      <c r="Z55" s="236" t="e">
        <f t="shared" si="17"/>
        <v>#REF!</v>
      </c>
      <c r="AA55" s="236" t="e">
        <f t="shared" si="17"/>
        <v>#REF!</v>
      </c>
      <c r="AB55" s="236" t="e">
        <f t="shared" si="17"/>
        <v>#REF!</v>
      </c>
      <c r="AC55" s="236" t="e">
        <f t="shared" si="17"/>
        <v>#REF!</v>
      </c>
      <c r="AD55" s="236" t="e">
        <f t="shared" si="17"/>
        <v>#REF!</v>
      </c>
      <c r="AE55" s="236" t="e">
        <f t="shared" si="17"/>
        <v>#REF!</v>
      </c>
      <c r="AF55" s="236" t="e">
        <f t="shared" si="17"/>
        <v>#REF!</v>
      </c>
      <c r="AG55" s="236" t="e">
        <f t="shared" si="17"/>
        <v>#REF!</v>
      </c>
      <c r="AH55" s="237" t="e">
        <f>#REF!</f>
        <v>#REF!</v>
      </c>
      <c r="AI55" s="237" t="e">
        <f>#REF!</f>
        <v>#REF!</v>
      </c>
      <c r="AJ55" s="290" t="s">
        <v>352</v>
      </c>
      <c r="AK55" s="290" t="s">
        <v>353</v>
      </c>
    </row>
    <row r="56" spans="1:41">
      <c r="A56" s="171" t="s">
        <v>395</v>
      </c>
      <c r="B56" s="171" t="s">
        <v>297</v>
      </c>
      <c r="C56" s="238">
        <v>9900</v>
      </c>
      <c r="D56" s="236" t="e">
        <f>C56*(1+$AH$56)</f>
        <v>#REF!</v>
      </c>
      <c r="E56" s="236" t="e">
        <f>D56*(1+$AH$56)</f>
        <v>#REF!</v>
      </c>
      <c r="F56" s="236" t="e">
        <f>E56*(1+$AH$56)</f>
        <v>#REF!</v>
      </c>
      <c r="G56" s="236" t="e">
        <f>F56*(1+$AH$56)</f>
        <v>#REF!</v>
      </c>
      <c r="H56" s="236" t="e">
        <f>G56*(1+$AH$56)</f>
        <v>#REF!</v>
      </c>
      <c r="I56" s="236" t="e">
        <f t="shared" ref="I56:R56" si="18">H56*(1+$AI$56)</f>
        <v>#REF!</v>
      </c>
      <c r="J56" s="236" t="e">
        <f t="shared" si="18"/>
        <v>#REF!</v>
      </c>
      <c r="K56" s="236" t="e">
        <f t="shared" si="18"/>
        <v>#REF!</v>
      </c>
      <c r="L56" s="236" t="e">
        <f t="shared" si="18"/>
        <v>#REF!</v>
      </c>
      <c r="M56" s="236" t="e">
        <f t="shared" si="18"/>
        <v>#REF!</v>
      </c>
      <c r="N56" s="236" t="e">
        <f t="shared" si="18"/>
        <v>#REF!</v>
      </c>
      <c r="O56" s="236" t="e">
        <f t="shared" si="18"/>
        <v>#REF!</v>
      </c>
      <c r="P56" s="236" t="e">
        <f t="shared" si="18"/>
        <v>#REF!</v>
      </c>
      <c r="Q56" s="236" t="e">
        <f t="shared" si="18"/>
        <v>#REF!</v>
      </c>
      <c r="R56" s="236" t="e">
        <f t="shared" si="18"/>
        <v>#REF!</v>
      </c>
      <c r="S56" s="236" t="e">
        <f t="shared" ref="S56:AB56" si="19">R56*(1+$AJ$56)</f>
        <v>#REF!</v>
      </c>
      <c r="T56" s="236" t="e">
        <f t="shared" si="19"/>
        <v>#REF!</v>
      </c>
      <c r="U56" s="236" t="e">
        <f t="shared" si="19"/>
        <v>#REF!</v>
      </c>
      <c r="V56" s="236" t="e">
        <f t="shared" si="19"/>
        <v>#REF!</v>
      </c>
      <c r="W56" s="236" t="e">
        <f t="shared" si="19"/>
        <v>#REF!</v>
      </c>
      <c r="X56" s="236" t="e">
        <f t="shared" si="19"/>
        <v>#REF!</v>
      </c>
      <c r="Y56" s="236" t="e">
        <f t="shared" si="19"/>
        <v>#REF!</v>
      </c>
      <c r="Z56" s="236" t="e">
        <f t="shared" si="19"/>
        <v>#REF!</v>
      </c>
      <c r="AA56" s="236" t="e">
        <f t="shared" si="19"/>
        <v>#REF!</v>
      </c>
      <c r="AB56" s="236" t="e">
        <f t="shared" si="19"/>
        <v>#REF!</v>
      </c>
      <c r="AC56" s="236" t="e">
        <f>AB56*(1+$AK$56)</f>
        <v>#REF!</v>
      </c>
      <c r="AD56" s="236" t="e">
        <f t="shared" ref="AD56:AG56" si="20">AC56*(1+$AK$56)</f>
        <v>#REF!</v>
      </c>
      <c r="AE56" s="236" t="e">
        <f t="shared" si="20"/>
        <v>#REF!</v>
      </c>
      <c r="AF56" s="236" t="e">
        <f t="shared" si="20"/>
        <v>#REF!</v>
      </c>
      <c r="AG56" s="236" t="e">
        <f t="shared" si="20"/>
        <v>#REF!</v>
      </c>
      <c r="AH56" s="245" t="e">
        <f>#REF!</f>
        <v>#REF!</v>
      </c>
      <c r="AI56" s="245" t="e">
        <f>#REF!</f>
        <v>#REF!</v>
      </c>
      <c r="AJ56" s="245" t="e">
        <f>#REF!</f>
        <v>#REF!</v>
      </c>
      <c r="AK56" s="245" t="e">
        <f>#REF!</f>
        <v>#REF!</v>
      </c>
      <c r="AL56" s="173">
        <v>2030</v>
      </c>
      <c r="AM56" s="173">
        <v>2040</v>
      </c>
      <c r="AN56" s="173">
        <v>2050</v>
      </c>
      <c r="AO56" s="173">
        <v>2055</v>
      </c>
    </row>
    <row r="57" spans="1:41">
      <c r="A57" s="171" t="s">
        <v>396</v>
      </c>
      <c r="B57" s="171" t="s">
        <v>298</v>
      </c>
      <c r="C57" s="236">
        <v>36000</v>
      </c>
      <c r="D57" s="236" t="e">
        <f t="shared" ref="D57:R57" si="21">ROUND(C57*(1+$AH57),2)</f>
        <v>#REF!</v>
      </c>
      <c r="E57" s="236" t="e">
        <f t="shared" si="21"/>
        <v>#REF!</v>
      </c>
      <c r="F57" s="236" t="e">
        <f t="shared" si="21"/>
        <v>#REF!</v>
      </c>
      <c r="G57" s="236" t="e">
        <f t="shared" si="21"/>
        <v>#REF!</v>
      </c>
      <c r="H57" s="236" t="e">
        <f t="shared" si="21"/>
        <v>#REF!</v>
      </c>
      <c r="I57" s="236" t="e">
        <f t="shared" si="21"/>
        <v>#REF!</v>
      </c>
      <c r="J57" s="236" t="e">
        <f t="shared" si="21"/>
        <v>#REF!</v>
      </c>
      <c r="K57" s="236" t="e">
        <f t="shared" si="21"/>
        <v>#REF!</v>
      </c>
      <c r="L57" s="236" t="e">
        <f t="shared" si="21"/>
        <v>#REF!</v>
      </c>
      <c r="M57" s="236" t="e">
        <f t="shared" si="21"/>
        <v>#REF!</v>
      </c>
      <c r="N57" s="236" t="e">
        <f t="shared" si="21"/>
        <v>#REF!</v>
      </c>
      <c r="O57" s="236" t="e">
        <f t="shared" si="21"/>
        <v>#REF!</v>
      </c>
      <c r="P57" s="236" t="e">
        <f t="shared" si="21"/>
        <v>#REF!</v>
      </c>
      <c r="Q57" s="236" t="e">
        <f t="shared" si="21"/>
        <v>#REF!</v>
      </c>
      <c r="R57" s="236" t="e">
        <f t="shared" si="21"/>
        <v>#REF!</v>
      </c>
      <c r="S57" s="236" t="e">
        <f>ROUND(R57*(1+$AI57),2)</f>
        <v>#REF!</v>
      </c>
      <c r="T57" s="236" t="e">
        <f t="shared" ref="T57:AG57" si="22">ROUND(S57*(1+$AI57),2)</f>
        <v>#REF!</v>
      </c>
      <c r="U57" s="236" t="e">
        <f t="shared" si="22"/>
        <v>#REF!</v>
      </c>
      <c r="V57" s="236" t="e">
        <f t="shared" si="22"/>
        <v>#REF!</v>
      </c>
      <c r="W57" s="236" t="e">
        <f t="shared" si="22"/>
        <v>#REF!</v>
      </c>
      <c r="X57" s="236" t="e">
        <f t="shared" si="22"/>
        <v>#REF!</v>
      </c>
      <c r="Y57" s="236" t="e">
        <f t="shared" si="22"/>
        <v>#REF!</v>
      </c>
      <c r="Z57" s="236" t="e">
        <f t="shared" si="22"/>
        <v>#REF!</v>
      </c>
      <c r="AA57" s="236" t="e">
        <f t="shared" si="22"/>
        <v>#REF!</v>
      </c>
      <c r="AB57" s="236" t="e">
        <f t="shared" si="22"/>
        <v>#REF!</v>
      </c>
      <c r="AC57" s="236" t="e">
        <f t="shared" si="22"/>
        <v>#REF!</v>
      </c>
      <c r="AD57" s="236" t="e">
        <f t="shared" si="22"/>
        <v>#REF!</v>
      </c>
      <c r="AE57" s="236" t="e">
        <f t="shared" si="22"/>
        <v>#REF!</v>
      </c>
      <c r="AF57" s="236" t="e">
        <f t="shared" si="22"/>
        <v>#REF!</v>
      </c>
      <c r="AG57" s="236" t="e">
        <f t="shared" si="22"/>
        <v>#REF!</v>
      </c>
      <c r="AH57" s="245" t="e">
        <f>#REF!</f>
        <v>#REF!</v>
      </c>
      <c r="AI57" s="245" t="e">
        <f>#REF!</f>
        <v>#REF!</v>
      </c>
      <c r="AJ57" s="290" t="s">
        <v>354</v>
      </c>
      <c r="AK57" s="291" t="s">
        <v>355</v>
      </c>
    </row>
    <row r="58" spans="1:41" s="247" customFormat="1" ht="9.75" customHeight="1">
      <c r="A58" s="246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9"/>
    </row>
    <row r="59" spans="1:41">
      <c r="A59" s="171" t="s">
        <v>397</v>
      </c>
      <c r="B59" s="171" t="s">
        <v>290</v>
      </c>
      <c r="C59" s="236">
        <v>3050</v>
      </c>
      <c r="D59" s="236" t="e">
        <f>ROUND((C59*(1+$AH59))/10,0)*10</f>
        <v>#REF!</v>
      </c>
      <c r="E59" s="236" t="e">
        <f>ROUND((D59*(1+$AH59))/10,0)*10</f>
        <v>#REF!</v>
      </c>
      <c r="F59" s="236" t="e">
        <f>ROUND((E59*(1+$AH59))/10,0)*10</f>
        <v>#REF!</v>
      </c>
      <c r="G59" s="236" t="e">
        <f t="shared" ref="G59:AG59" si="23">ROUND((F59*(1+$AH59))/10,0)*10</f>
        <v>#REF!</v>
      </c>
      <c r="H59" s="236" t="e">
        <f t="shared" si="23"/>
        <v>#REF!</v>
      </c>
      <c r="I59" s="236" t="e">
        <f t="shared" si="23"/>
        <v>#REF!</v>
      </c>
      <c r="J59" s="236" t="e">
        <f t="shared" si="23"/>
        <v>#REF!</v>
      </c>
      <c r="K59" s="236" t="e">
        <f t="shared" si="23"/>
        <v>#REF!</v>
      </c>
      <c r="L59" s="236" t="e">
        <f t="shared" si="23"/>
        <v>#REF!</v>
      </c>
      <c r="M59" s="236" t="e">
        <f t="shared" si="23"/>
        <v>#REF!</v>
      </c>
      <c r="N59" s="236" t="e">
        <f t="shared" si="23"/>
        <v>#REF!</v>
      </c>
      <c r="O59" s="236" t="e">
        <f t="shared" si="23"/>
        <v>#REF!</v>
      </c>
      <c r="P59" s="236" t="e">
        <f t="shared" si="23"/>
        <v>#REF!</v>
      </c>
      <c r="Q59" s="236" t="e">
        <f t="shared" si="23"/>
        <v>#REF!</v>
      </c>
      <c r="R59" s="236" t="e">
        <f t="shared" si="23"/>
        <v>#REF!</v>
      </c>
      <c r="S59" s="236" t="e">
        <f t="shared" si="23"/>
        <v>#REF!</v>
      </c>
      <c r="T59" s="236" t="e">
        <f t="shared" si="23"/>
        <v>#REF!</v>
      </c>
      <c r="U59" s="236" t="e">
        <f t="shared" si="23"/>
        <v>#REF!</v>
      </c>
      <c r="V59" s="236" t="e">
        <f t="shared" si="23"/>
        <v>#REF!</v>
      </c>
      <c r="W59" s="236" t="e">
        <f t="shared" si="23"/>
        <v>#REF!</v>
      </c>
      <c r="X59" s="236" t="e">
        <f t="shared" si="23"/>
        <v>#REF!</v>
      </c>
      <c r="Y59" s="236" t="e">
        <f t="shared" si="23"/>
        <v>#REF!</v>
      </c>
      <c r="Z59" s="236" t="e">
        <f t="shared" si="23"/>
        <v>#REF!</v>
      </c>
      <c r="AA59" s="236" t="e">
        <f t="shared" si="23"/>
        <v>#REF!</v>
      </c>
      <c r="AB59" s="236" t="e">
        <f t="shared" si="23"/>
        <v>#REF!</v>
      </c>
      <c r="AC59" s="236" t="e">
        <f t="shared" si="23"/>
        <v>#REF!</v>
      </c>
      <c r="AD59" s="236" t="e">
        <f t="shared" si="23"/>
        <v>#REF!</v>
      </c>
      <c r="AE59" s="236" t="e">
        <f t="shared" si="23"/>
        <v>#REF!</v>
      </c>
      <c r="AF59" s="236" t="e">
        <f t="shared" si="23"/>
        <v>#REF!</v>
      </c>
      <c r="AG59" s="236" t="e">
        <f t="shared" si="23"/>
        <v>#REF!</v>
      </c>
      <c r="AH59" s="245" t="e">
        <f>#REF!</f>
        <v>#REF!</v>
      </c>
    </row>
    <row r="60" spans="1:41">
      <c r="A60" s="171" t="s">
        <v>398</v>
      </c>
      <c r="B60" s="171" t="s">
        <v>290</v>
      </c>
      <c r="C60" s="236">
        <v>56000</v>
      </c>
      <c r="D60" s="236" t="e">
        <f>ROUND((C60*(1+$AH60))/1000,0)*1000</f>
        <v>#REF!</v>
      </c>
      <c r="E60" s="236" t="e">
        <f t="shared" ref="E60:R60" si="24">ROUND((D60*(1+$AH60))/1000,0)*1000</f>
        <v>#REF!</v>
      </c>
      <c r="F60" s="236" t="e">
        <f t="shared" si="24"/>
        <v>#REF!</v>
      </c>
      <c r="G60" s="236" t="e">
        <f t="shared" si="24"/>
        <v>#REF!</v>
      </c>
      <c r="H60" s="236" t="e">
        <f t="shared" si="24"/>
        <v>#REF!</v>
      </c>
      <c r="I60" s="236" t="e">
        <f t="shared" si="24"/>
        <v>#REF!</v>
      </c>
      <c r="J60" s="236" t="e">
        <f t="shared" si="24"/>
        <v>#REF!</v>
      </c>
      <c r="K60" s="236" t="e">
        <f t="shared" si="24"/>
        <v>#REF!</v>
      </c>
      <c r="L60" s="236" t="e">
        <f t="shared" si="24"/>
        <v>#REF!</v>
      </c>
      <c r="M60" s="236" t="e">
        <f t="shared" si="24"/>
        <v>#REF!</v>
      </c>
      <c r="N60" s="236" t="e">
        <f t="shared" si="24"/>
        <v>#REF!</v>
      </c>
      <c r="O60" s="236" t="e">
        <f t="shared" si="24"/>
        <v>#REF!</v>
      </c>
      <c r="P60" s="236" t="e">
        <f t="shared" si="24"/>
        <v>#REF!</v>
      </c>
      <c r="Q60" s="236" t="e">
        <f t="shared" si="24"/>
        <v>#REF!</v>
      </c>
      <c r="R60" s="236" t="e">
        <f t="shared" si="24"/>
        <v>#REF!</v>
      </c>
      <c r="S60" s="236" t="e">
        <f>ROUND((R60*(1+$AI60))/100,0)*100</f>
        <v>#REF!</v>
      </c>
      <c r="T60" s="236" t="e">
        <f>ROUND((S60*(1+$AI60))/100,0)*100</f>
        <v>#REF!</v>
      </c>
      <c r="U60" s="236" t="e">
        <f>ROUND((T60*(1+$AI60))/100,0)*100</f>
        <v>#REF!</v>
      </c>
      <c r="V60" s="236" t="e">
        <f t="shared" ref="V60:AG60" si="25">ROUND((U60*(1+$AI60))/100,0)*100</f>
        <v>#REF!</v>
      </c>
      <c r="W60" s="236" t="e">
        <f t="shared" si="25"/>
        <v>#REF!</v>
      </c>
      <c r="X60" s="236" t="e">
        <f t="shared" si="25"/>
        <v>#REF!</v>
      </c>
      <c r="Y60" s="236" t="e">
        <f t="shared" si="25"/>
        <v>#REF!</v>
      </c>
      <c r="Z60" s="236" t="e">
        <f t="shared" si="25"/>
        <v>#REF!</v>
      </c>
      <c r="AA60" s="236" t="e">
        <f t="shared" si="25"/>
        <v>#REF!</v>
      </c>
      <c r="AB60" s="236" t="e">
        <f t="shared" si="25"/>
        <v>#REF!</v>
      </c>
      <c r="AC60" s="236" t="e">
        <f t="shared" si="25"/>
        <v>#REF!</v>
      </c>
      <c r="AD60" s="236" t="e">
        <f t="shared" si="25"/>
        <v>#REF!</v>
      </c>
      <c r="AE60" s="236" t="e">
        <f t="shared" si="25"/>
        <v>#REF!</v>
      </c>
      <c r="AF60" s="236" t="e">
        <f t="shared" si="25"/>
        <v>#REF!</v>
      </c>
      <c r="AG60" s="236" t="e">
        <f t="shared" si="25"/>
        <v>#REF!</v>
      </c>
      <c r="AH60" s="245" t="e">
        <f>#REF!</f>
        <v>#REF!</v>
      </c>
      <c r="AI60" s="232" t="e">
        <f>#REF!</f>
        <v>#REF!</v>
      </c>
      <c r="AJ60" s="290" t="s">
        <v>354</v>
      </c>
      <c r="AK60" s="291" t="s">
        <v>355</v>
      </c>
    </row>
    <row r="61" spans="1:41">
      <c r="A61" s="171" t="s">
        <v>399</v>
      </c>
      <c r="B61" s="171" t="s">
        <v>309</v>
      </c>
      <c r="C61" s="236" t="e">
        <f>C14</f>
        <v>#REF!</v>
      </c>
      <c r="D61" s="236" t="e">
        <f>ROUND((C61*(1+$AH61))/1000,0)*1000</f>
        <v>#REF!</v>
      </c>
      <c r="E61" s="236" t="e">
        <f>ROUND((D61*(1+$AH61))/1000,0)*1000</f>
        <v>#REF!</v>
      </c>
      <c r="F61" s="236" t="e">
        <f>ROUND((E61*(1+$AH61))/1000,0)*1000</f>
        <v>#REF!</v>
      </c>
      <c r="G61" s="236" t="e">
        <f>ROUND((F61*(1+$AI61))/1000,0)*1000</f>
        <v>#REF!</v>
      </c>
      <c r="H61" s="236" t="e">
        <f>ROUND((G61*(1+$AH61))/1000,0)*1000</f>
        <v>#REF!</v>
      </c>
      <c r="I61" s="236" t="e">
        <f t="shared" ref="I61:N61" si="26">ROUND((H61*(1+$AI61))/1000,0)*1000</f>
        <v>#REF!</v>
      </c>
      <c r="J61" s="236" t="e">
        <f t="shared" si="26"/>
        <v>#REF!</v>
      </c>
      <c r="K61" s="236" t="e">
        <f t="shared" si="26"/>
        <v>#REF!</v>
      </c>
      <c r="L61" s="236" t="e">
        <f t="shared" si="26"/>
        <v>#REF!</v>
      </c>
      <c r="M61" s="236" t="e">
        <f t="shared" si="26"/>
        <v>#REF!</v>
      </c>
      <c r="N61" s="236" t="e">
        <f t="shared" si="26"/>
        <v>#REF!</v>
      </c>
      <c r="O61" s="236" t="e">
        <f t="shared" ref="O61:AG61" si="27">ROUND((N61*(1+$AI61))/1000,0)*1000</f>
        <v>#REF!</v>
      </c>
      <c r="P61" s="236" t="e">
        <f t="shared" si="27"/>
        <v>#REF!</v>
      </c>
      <c r="Q61" s="236" t="e">
        <f t="shared" si="27"/>
        <v>#REF!</v>
      </c>
      <c r="R61" s="236" t="e">
        <f t="shared" si="27"/>
        <v>#REF!</v>
      </c>
      <c r="S61" s="236" t="e">
        <f t="shared" si="27"/>
        <v>#REF!</v>
      </c>
      <c r="T61" s="236" t="e">
        <f t="shared" si="27"/>
        <v>#REF!</v>
      </c>
      <c r="U61" s="236" t="e">
        <f t="shared" si="27"/>
        <v>#REF!</v>
      </c>
      <c r="V61" s="236" t="e">
        <f t="shared" si="27"/>
        <v>#REF!</v>
      </c>
      <c r="W61" s="236" t="e">
        <f t="shared" si="27"/>
        <v>#REF!</v>
      </c>
      <c r="X61" s="236" t="e">
        <f t="shared" si="27"/>
        <v>#REF!</v>
      </c>
      <c r="Y61" s="236" t="e">
        <f t="shared" si="27"/>
        <v>#REF!</v>
      </c>
      <c r="Z61" s="236" t="e">
        <f t="shared" si="27"/>
        <v>#REF!</v>
      </c>
      <c r="AA61" s="236" t="e">
        <f t="shared" si="27"/>
        <v>#REF!</v>
      </c>
      <c r="AB61" s="236" t="e">
        <f t="shared" si="27"/>
        <v>#REF!</v>
      </c>
      <c r="AC61" s="236" t="e">
        <f t="shared" si="27"/>
        <v>#REF!</v>
      </c>
      <c r="AD61" s="236" t="e">
        <f t="shared" si="27"/>
        <v>#REF!</v>
      </c>
      <c r="AE61" s="236" t="e">
        <f t="shared" si="27"/>
        <v>#REF!</v>
      </c>
      <c r="AF61" s="236" t="e">
        <f t="shared" si="27"/>
        <v>#REF!</v>
      </c>
      <c r="AG61" s="236" t="e">
        <f t="shared" si="27"/>
        <v>#REF!</v>
      </c>
      <c r="AH61" s="245" t="e">
        <f>#REF!</f>
        <v>#REF!</v>
      </c>
      <c r="AI61" s="232" t="e">
        <f>#REF!</f>
        <v>#REF!</v>
      </c>
      <c r="AJ61" s="290" t="s">
        <v>352</v>
      </c>
      <c r="AK61" s="291" t="s">
        <v>353</v>
      </c>
    </row>
    <row r="62" spans="1:41" s="247" customFormat="1" ht="9.75" customHeight="1">
      <c r="A62" s="246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9"/>
    </row>
    <row r="63" spans="1:41">
      <c r="A63" s="293" t="s">
        <v>356</v>
      </c>
      <c r="B63" s="171" t="s">
        <v>300</v>
      </c>
      <c r="C63" s="304" t="e">
        <f>#REF!/($C$27*$C$28)</f>
        <v>#REF!</v>
      </c>
      <c r="D63" s="250" t="e">
        <f t="shared" ref="D63:AG66" si="28">ROUND(C63*(1+$AH63),2)</f>
        <v>#REF!</v>
      </c>
      <c r="E63" s="250" t="e">
        <f t="shared" si="28"/>
        <v>#REF!</v>
      </c>
      <c r="F63" s="250" t="e">
        <f t="shared" si="28"/>
        <v>#REF!</v>
      </c>
      <c r="G63" s="250" t="e">
        <f t="shared" si="28"/>
        <v>#REF!</v>
      </c>
      <c r="H63" s="250" t="e">
        <f t="shared" si="28"/>
        <v>#REF!</v>
      </c>
      <c r="I63" s="250" t="e">
        <f t="shared" si="28"/>
        <v>#REF!</v>
      </c>
      <c r="J63" s="250" t="e">
        <f t="shared" si="28"/>
        <v>#REF!</v>
      </c>
      <c r="K63" s="250" t="e">
        <f t="shared" si="28"/>
        <v>#REF!</v>
      </c>
      <c r="L63" s="250" t="e">
        <f t="shared" si="28"/>
        <v>#REF!</v>
      </c>
      <c r="M63" s="250" t="e">
        <f t="shared" si="28"/>
        <v>#REF!</v>
      </c>
      <c r="N63" s="250" t="e">
        <f t="shared" si="28"/>
        <v>#REF!</v>
      </c>
      <c r="O63" s="250" t="e">
        <f t="shared" si="28"/>
        <v>#REF!</v>
      </c>
      <c r="P63" s="250" t="e">
        <f t="shared" si="28"/>
        <v>#REF!</v>
      </c>
      <c r="Q63" s="250" t="e">
        <f t="shared" si="28"/>
        <v>#REF!</v>
      </c>
      <c r="R63" s="250" t="e">
        <f t="shared" si="28"/>
        <v>#REF!</v>
      </c>
      <c r="S63" s="250" t="e">
        <f t="shared" si="28"/>
        <v>#REF!</v>
      </c>
      <c r="T63" s="250" t="e">
        <f t="shared" si="28"/>
        <v>#REF!</v>
      </c>
      <c r="U63" s="250" t="e">
        <f t="shared" si="28"/>
        <v>#REF!</v>
      </c>
      <c r="V63" s="250" t="e">
        <f t="shared" si="28"/>
        <v>#REF!</v>
      </c>
      <c r="W63" s="250" t="e">
        <f t="shared" si="28"/>
        <v>#REF!</v>
      </c>
      <c r="X63" s="250" t="e">
        <f t="shared" si="28"/>
        <v>#REF!</v>
      </c>
      <c r="Y63" s="250" t="e">
        <f t="shared" si="28"/>
        <v>#REF!</v>
      </c>
      <c r="Z63" s="250" t="e">
        <f t="shared" si="28"/>
        <v>#REF!</v>
      </c>
      <c r="AA63" s="250" t="e">
        <f t="shared" si="28"/>
        <v>#REF!</v>
      </c>
      <c r="AB63" s="250" t="e">
        <f t="shared" si="28"/>
        <v>#REF!</v>
      </c>
      <c r="AC63" s="250" t="e">
        <f t="shared" si="28"/>
        <v>#REF!</v>
      </c>
      <c r="AD63" s="250" t="e">
        <f t="shared" si="28"/>
        <v>#REF!</v>
      </c>
      <c r="AE63" s="250" t="e">
        <f t="shared" si="28"/>
        <v>#REF!</v>
      </c>
      <c r="AF63" s="250" t="e">
        <f t="shared" si="28"/>
        <v>#REF!</v>
      </c>
      <c r="AG63" s="250" t="e">
        <f t="shared" si="28"/>
        <v>#REF!</v>
      </c>
      <c r="AH63" s="245" t="e">
        <f>#REF!</f>
        <v>#REF!</v>
      </c>
    </row>
    <row r="64" spans="1:41">
      <c r="A64" s="293" t="s">
        <v>357</v>
      </c>
      <c r="B64" s="171" t="s">
        <v>300</v>
      </c>
      <c r="C64" s="250" t="e">
        <f>C63+0.5</f>
        <v>#REF!</v>
      </c>
      <c r="D64" s="250" t="e">
        <f t="shared" si="28"/>
        <v>#REF!</v>
      </c>
      <c r="E64" s="250" t="e">
        <f t="shared" si="28"/>
        <v>#REF!</v>
      </c>
      <c r="F64" s="250" t="e">
        <f t="shared" si="28"/>
        <v>#REF!</v>
      </c>
      <c r="G64" s="250" t="e">
        <f t="shared" si="28"/>
        <v>#REF!</v>
      </c>
      <c r="H64" s="250" t="e">
        <f t="shared" si="28"/>
        <v>#REF!</v>
      </c>
      <c r="I64" s="250" t="e">
        <f t="shared" si="28"/>
        <v>#REF!</v>
      </c>
      <c r="J64" s="250" t="e">
        <f t="shared" si="28"/>
        <v>#REF!</v>
      </c>
      <c r="K64" s="250" t="e">
        <f t="shared" si="28"/>
        <v>#REF!</v>
      </c>
      <c r="L64" s="250" t="e">
        <f t="shared" si="28"/>
        <v>#REF!</v>
      </c>
      <c r="M64" s="250" t="e">
        <f t="shared" si="28"/>
        <v>#REF!</v>
      </c>
      <c r="N64" s="250" t="e">
        <f t="shared" si="28"/>
        <v>#REF!</v>
      </c>
      <c r="O64" s="250" t="e">
        <f t="shared" si="28"/>
        <v>#REF!</v>
      </c>
      <c r="P64" s="250" t="e">
        <f t="shared" si="28"/>
        <v>#REF!</v>
      </c>
      <c r="Q64" s="250" t="e">
        <f t="shared" si="28"/>
        <v>#REF!</v>
      </c>
      <c r="R64" s="250" t="e">
        <f t="shared" si="28"/>
        <v>#REF!</v>
      </c>
      <c r="S64" s="250" t="e">
        <f t="shared" si="28"/>
        <v>#REF!</v>
      </c>
      <c r="T64" s="250" t="e">
        <f t="shared" si="28"/>
        <v>#REF!</v>
      </c>
      <c r="U64" s="250" t="e">
        <f t="shared" si="28"/>
        <v>#REF!</v>
      </c>
      <c r="V64" s="250" t="e">
        <f t="shared" si="28"/>
        <v>#REF!</v>
      </c>
      <c r="W64" s="250" t="e">
        <f t="shared" si="28"/>
        <v>#REF!</v>
      </c>
      <c r="X64" s="250" t="e">
        <f t="shared" si="28"/>
        <v>#REF!</v>
      </c>
      <c r="Y64" s="250" t="e">
        <f t="shared" si="28"/>
        <v>#REF!</v>
      </c>
      <c r="Z64" s="250" t="e">
        <f t="shared" si="28"/>
        <v>#REF!</v>
      </c>
      <c r="AA64" s="250" t="e">
        <f t="shared" si="28"/>
        <v>#REF!</v>
      </c>
      <c r="AB64" s="250" t="e">
        <f t="shared" si="28"/>
        <v>#REF!</v>
      </c>
      <c r="AC64" s="250" t="e">
        <f t="shared" si="28"/>
        <v>#REF!</v>
      </c>
      <c r="AD64" s="250" t="e">
        <f t="shared" si="28"/>
        <v>#REF!</v>
      </c>
      <c r="AE64" s="250" t="e">
        <f t="shared" si="28"/>
        <v>#REF!</v>
      </c>
      <c r="AF64" s="250" t="e">
        <f t="shared" si="28"/>
        <v>#REF!</v>
      </c>
      <c r="AG64" s="250" t="e">
        <f t="shared" si="28"/>
        <v>#REF!</v>
      </c>
      <c r="AH64" s="245" t="e">
        <f>#REF!</f>
        <v>#REF!</v>
      </c>
    </row>
    <row r="65" spans="1:36">
      <c r="A65" s="171" t="s">
        <v>400</v>
      </c>
      <c r="B65" s="171" t="s">
        <v>300</v>
      </c>
      <c r="C65" s="250" t="e">
        <f>C15</f>
        <v>#REF!</v>
      </c>
      <c r="D65" s="250" t="e">
        <f t="shared" si="28"/>
        <v>#REF!</v>
      </c>
      <c r="E65" s="250" t="e">
        <f t="shared" si="28"/>
        <v>#REF!</v>
      </c>
      <c r="F65" s="250" t="e">
        <f t="shared" si="28"/>
        <v>#REF!</v>
      </c>
      <c r="G65" s="250" t="e">
        <f t="shared" si="28"/>
        <v>#REF!</v>
      </c>
      <c r="H65" s="250" t="e">
        <f t="shared" si="28"/>
        <v>#REF!</v>
      </c>
      <c r="I65" s="250" t="e">
        <f t="shared" si="28"/>
        <v>#REF!</v>
      </c>
      <c r="J65" s="250" t="e">
        <f t="shared" si="28"/>
        <v>#REF!</v>
      </c>
      <c r="K65" s="250" t="e">
        <f t="shared" si="28"/>
        <v>#REF!</v>
      </c>
      <c r="L65" s="250" t="e">
        <f t="shared" si="28"/>
        <v>#REF!</v>
      </c>
      <c r="M65" s="250" t="e">
        <f t="shared" si="28"/>
        <v>#REF!</v>
      </c>
      <c r="N65" s="250" t="e">
        <f t="shared" si="28"/>
        <v>#REF!</v>
      </c>
      <c r="O65" s="250" t="e">
        <f t="shared" si="28"/>
        <v>#REF!</v>
      </c>
      <c r="P65" s="250" t="e">
        <f t="shared" si="28"/>
        <v>#REF!</v>
      </c>
      <c r="Q65" s="250" t="e">
        <f t="shared" si="28"/>
        <v>#REF!</v>
      </c>
      <c r="R65" s="250" t="e">
        <f t="shared" si="28"/>
        <v>#REF!</v>
      </c>
      <c r="S65" s="250" t="e">
        <f t="shared" si="28"/>
        <v>#REF!</v>
      </c>
      <c r="T65" s="250" t="e">
        <f t="shared" si="28"/>
        <v>#REF!</v>
      </c>
      <c r="U65" s="250" t="e">
        <f t="shared" si="28"/>
        <v>#REF!</v>
      </c>
      <c r="V65" s="250" t="e">
        <f t="shared" si="28"/>
        <v>#REF!</v>
      </c>
      <c r="W65" s="250" t="e">
        <f t="shared" si="28"/>
        <v>#REF!</v>
      </c>
      <c r="X65" s="250" t="e">
        <f t="shared" si="28"/>
        <v>#REF!</v>
      </c>
      <c r="Y65" s="250" t="e">
        <f t="shared" si="28"/>
        <v>#REF!</v>
      </c>
      <c r="Z65" s="250" t="e">
        <f t="shared" si="28"/>
        <v>#REF!</v>
      </c>
      <c r="AA65" s="250" t="e">
        <f t="shared" si="28"/>
        <v>#REF!</v>
      </c>
      <c r="AB65" s="250" t="e">
        <f t="shared" si="28"/>
        <v>#REF!</v>
      </c>
      <c r="AC65" s="250" t="e">
        <f t="shared" si="28"/>
        <v>#REF!</v>
      </c>
      <c r="AD65" s="250" t="e">
        <f t="shared" si="28"/>
        <v>#REF!</v>
      </c>
      <c r="AE65" s="250" t="e">
        <f t="shared" si="28"/>
        <v>#REF!</v>
      </c>
      <c r="AF65" s="250" t="e">
        <f t="shared" si="28"/>
        <v>#REF!</v>
      </c>
      <c r="AG65" s="250" t="e">
        <f t="shared" si="28"/>
        <v>#REF!</v>
      </c>
      <c r="AH65" s="245" t="e">
        <f>#REF!</f>
        <v>#REF!</v>
      </c>
    </row>
    <row r="66" spans="1:36">
      <c r="A66" s="171" t="s">
        <v>401</v>
      </c>
      <c r="B66" s="171" t="s">
        <v>300</v>
      </c>
      <c r="C66" s="250" t="e">
        <f>C65+0.5</f>
        <v>#REF!</v>
      </c>
      <c r="D66" s="250" t="e">
        <f t="shared" si="28"/>
        <v>#REF!</v>
      </c>
      <c r="E66" s="250" t="e">
        <f t="shared" si="28"/>
        <v>#REF!</v>
      </c>
      <c r="F66" s="250" t="e">
        <f t="shared" si="28"/>
        <v>#REF!</v>
      </c>
      <c r="G66" s="250" t="e">
        <f t="shared" si="28"/>
        <v>#REF!</v>
      </c>
      <c r="H66" s="250" t="e">
        <f t="shared" si="28"/>
        <v>#REF!</v>
      </c>
      <c r="I66" s="250" t="e">
        <f t="shared" si="28"/>
        <v>#REF!</v>
      </c>
      <c r="J66" s="250" t="e">
        <f t="shared" si="28"/>
        <v>#REF!</v>
      </c>
      <c r="K66" s="250" t="e">
        <f t="shared" si="28"/>
        <v>#REF!</v>
      </c>
      <c r="L66" s="250" t="e">
        <f t="shared" si="28"/>
        <v>#REF!</v>
      </c>
      <c r="M66" s="250" t="e">
        <f t="shared" si="28"/>
        <v>#REF!</v>
      </c>
      <c r="N66" s="250" t="e">
        <f t="shared" si="28"/>
        <v>#REF!</v>
      </c>
      <c r="O66" s="250" t="e">
        <f t="shared" si="28"/>
        <v>#REF!</v>
      </c>
      <c r="P66" s="250" t="e">
        <f t="shared" si="28"/>
        <v>#REF!</v>
      </c>
      <c r="Q66" s="250" t="e">
        <f t="shared" si="28"/>
        <v>#REF!</v>
      </c>
      <c r="R66" s="250" t="e">
        <f t="shared" si="28"/>
        <v>#REF!</v>
      </c>
      <c r="S66" s="250" t="e">
        <f t="shared" si="28"/>
        <v>#REF!</v>
      </c>
      <c r="T66" s="250" t="e">
        <f t="shared" si="28"/>
        <v>#REF!</v>
      </c>
      <c r="U66" s="250" t="e">
        <f t="shared" si="28"/>
        <v>#REF!</v>
      </c>
      <c r="V66" s="250" t="e">
        <f t="shared" si="28"/>
        <v>#REF!</v>
      </c>
      <c r="W66" s="250" t="e">
        <f t="shared" si="28"/>
        <v>#REF!</v>
      </c>
      <c r="X66" s="250" t="e">
        <f t="shared" si="28"/>
        <v>#REF!</v>
      </c>
      <c r="Y66" s="250" t="e">
        <f t="shared" si="28"/>
        <v>#REF!</v>
      </c>
      <c r="Z66" s="250" t="e">
        <f t="shared" si="28"/>
        <v>#REF!</v>
      </c>
      <c r="AA66" s="250" t="e">
        <f t="shared" si="28"/>
        <v>#REF!</v>
      </c>
      <c r="AB66" s="250" t="e">
        <f t="shared" si="28"/>
        <v>#REF!</v>
      </c>
      <c r="AC66" s="250" t="e">
        <f t="shared" si="28"/>
        <v>#REF!</v>
      </c>
      <c r="AD66" s="250" t="e">
        <f t="shared" si="28"/>
        <v>#REF!</v>
      </c>
      <c r="AE66" s="250" t="e">
        <f t="shared" si="28"/>
        <v>#REF!</v>
      </c>
      <c r="AF66" s="250" t="e">
        <f t="shared" si="28"/>
        <v>#REF!</v>
      </c>
      <c r="AG66" s="250" t="e">
        <f t="shared" si="28"/>
        <v>#REF!</v>
      </c>
      <c r="AH66" s="245" t="e">
        <f>#REF!</f>
        <v>#REF!</v>
      </c>
    </row>
    <row r="67" spans="1:36">
      <c r="A67" s="171" t="s">
        <v>402</v>
      </c>
      <c r="B67" s="171" t="s">
        <v>300</v>
      </c>
      <c r="C67" s="250" t="e">
        <f>#REF!</f>
        <v>#REF!</v>
      </c>
      <c r="D67" s="250" t="e">
        <f>ROUND(C67*(1+$AH67),2)</f>
        <v>#REF!</v>
      </c>
      <c r="E67" s="250" t="e">
        <f>ROUND(D67*(1+$AH67),2)</f>
        <v>#REF!</v>
      </c>
      <c r="F67" s="250" t="e">
        <f>ROUND(E67*(1+$AH67),2)</f>
        <v>#REF!</v>
      </c>
      <c r="G67" s="250" t="e">
        <f>ROUND(F67*(1+$AH67),2)</f>
        <v>#REF!</v>
      </c>
      <c r="H67" s="250" t="e">
        <f>ROUND(G67*(1+$AH67),2)</f>
        <v>#REF!</v>
      </c>
      <c r="I67" s="250" t="e">
        <f>ROUND(H67*(1+$AI67),2)</f>
        <v>#REF!</v>
      </c>
      <c r="J67" s="250" t="e">
        <f t="shared" ref="J67:AG67" si="29">ROUND(I67*(1+$AI67),2)</f>
        <v>#REF!</v>
      </c>
      <c r="K67" s="250" t="e">
        <f t="shared" si="29"/>
        <v>#REF!</v>
      </c>
      <c r="L67" s="250" t="e">
        <f t="shared" si="29"/>
        <v>#REF!</v>
      </c>
      <c r="M67" s="250" t="e">
        <f t="shared" si="29"/>
        <v>#REF!</v>
      </c>
      <c r="N67" s="250" t="e">
        <f t="shared" si="29"/>
        <v>#REF!</v>
      </c>
      <c r="O67" s="250" t="e">
        <f t="shared" si="29"/>
        <v>#REF!</v>
      </c>
      <c r="P67" s="250" t="e">
        <f t="shared" si="29"/>
        <v>#REF!</v>
      </c>
      <c r="Q67" s="250" t="e">
        <f t="shared" si="29"/>
        <v>#REF!</v>
      </c>
      <c r="R67" s="250" t="e">
        <f t="shared" si="29"/>
        <v>#REF!</v>
      </c>
      <c r="S67" s="250" t="e">
        <f t="shared" si="29"/>
        <v>#REF!</v>
      </c>
      <c r="T67" s="250" t="e">
        <f t="shared" si="29"/>
        <v>#REF!</v>
      </c>
      <c r="U67" s="250" t="e">
        <f t="shared" si="29"/>
        <v>#REF!</v>
      </c>
      <c r="V67" s="250" t="e">
        <f t="shared" si="29"/>
        <v>#REF!</v>
      </c>
      <c r="W67" s="250" t="e">
        <f t="shared" si="29"/>
        <v>#REF!</v>
      </c>
      <c r="X67" s="250" t="e">
        <f t="shared" si="29"/>
        <v>#REF!</v>
      </c>
      <c r="Y67" s="250" t="e">
        <f t="shared" si="29"/>
        <v>#REF!</v>
      </c>
      <c r="Z67" s="250" t="e">
        <f t="shared" si="29"/>
        <v>#REF!</v>
      </c>
      <c r="AA67" s="250" t="e">
        <f t="shared" si="29"/>
        <v>#REF!</v>
      </c>
      <c r="AB67" s="250" t="e">
        <f t="shared" si="29"/>
        <v>#REF!</v>
      </c>
      <c r="AC67" s="250" t="e">
        <f t="shared" si="29"/>
        <v>#REF!</v>
      </c>
      <c r="AD67" s="250" t="e">
        <f t="shared" si="29"/>
        <v>#REF!</v>
      </c>
      <c r="AE67" s="250" t="e">
        <f t="shared" si="29"/>
        <v>#REF!</v>
      </c>
      <c r="AF67" s="250" t="e">
        <f t="shared" si="29"/>
        <v>#REF!</v>
      </c>
      <c r="AG67" s="250" t="e">
        <f t="shared" si="29"/>
        <v>#REF!</v>
      </c>
      <c r="AH67" s="245" t="e">
        <f>#REF!</f>
        <v>#REF!</v>
      </c>
      <c r="AI67" s="245" t="e">
        <f>#REF!</f>
        <v>#REF!</v>
      </c>
    </row>
    <row r="68" spans="1:36">
      <c r="A68" s="171" t="s">
        <v>358</v>
      </c>
      <c r="B68" s="171" t="s">
        <v>359</v>
      </c>
      <c r="C68" s="251">
        <v>25000</v>
      </c>
      <c r="D68" s="251">
        <f t="shared" ref="D68:AG68" si="30">C68</f>
        <v>25000</v>
      </c>
      <c r="E68" s="251">
        <f t="shared" si="30"/>
        <v>25000</v>
      </c>
      <c r="F68" s="251">
        <f t="shared" si="30"/>
        <v>25000</v>
      </c>
      <c r="G68" s="251">
        <f t="shared" si="30"/>
        <v>25000</v>
      </c>
      <c r="H68" s="251">
        <f t="shared" si="30"/>
        <v>25000</v>
      </c>
      <c r="I68" s="251">
        <f t="shared" si="30"/>
        <v>25000</v>
      </c>
      <c r="J68" s="251">
        <f t="shared" si="30"/>
        <v>25000</v>
      </c>
      <c r="K68" s="251">
        <f t="shared" si="30"/>
        <v>25000</v>
      </c>
      <c r="L68" s="251">
        <f t="shared" si="30"/>
        <v>25000</v>
      </c>
      <c r="M68" s="251">
        <f t="shared" si="30"/>
        <v>25000</v>
      </c>
      <c r="N68" s="251">
        <f t="shared" si="30"/>
        <v>25000</v>
      </c>
      <c r="O68" s="251">
        <f t="shared" si="30"/>
        <v>25000</v>
      </c>
      <c r="P68" s="251">
        <f t="shared" si="30"/>
        <v>25000</v>
      </c>
      <c r="Q68" s="251">
        <f t="shared" si="30"/>
        <v>25000</v>
      </c>
      <c r="R68" s="251">
        <f t="shared" si="30"/>
        <v>25000</v>
      </c>
      <c r="S68" s="251">
        <f t="shared" si="30"/>
        <v>25000</v>
      </c>
      <c r="T68" s="251">
        <f t="shared" si="30"/>
        <v>25000</v>
      </c>
      <c r="U68" s="251">
        <f t="shared" si="30"/>
        <v>25000</v>
      </c>
      <c r="V68" s="251">
        <f t="shared" si="30"/>
        <v>25000</v>
      </c>
      <c r="W68" s="251">
        <f t="shared" si="30"/>
        <v>25000</v>
      </c>
      <c r="X68" s="251">
        <f t="shared" si="30"/>
        <v>25000</v>
      </c>
      <c r="Y68" s="251">
        <f t="shared" si="30"/>
        <v>25000</v>
      </c>
      <c r="Z68" s="251">
        <f t="shared" si="30"/>
        <v>25000</v>
      </c>
      <c r="AA68" s="251">
        <f t="shared" si="30"/>
        <v>25000</v>
      </c>
      <c r="AB68" s="251">
        <f t="shared" si="30"/>
        <v>25000</v>
      </c>
      <c r="AC68" s="251">
        <f t="shared" si="30"/>
        <v>25000</v>
      </c>
      <c r="AD68" s="251">
        <f t="shared" si="30"/>
        <v>25000</v>
      </c>
      <c r="AE68" s="251">
        <f t="shared" si="30"/>
        <v>25000</v>
      </c>
      <c r="AF68" s="251">
        <f t="shared" si="30"/>
        <v>25000</v>
      </c>
      <c r="AG68" s="251">
        <f t="shared" si="30"/>
        <v>25000</v>
      </c>
      <c r="AH68" s="245"/>
    </row>
    <row r="69" spans="1:36">
      <c r="A69" s="171" t="s">
        <v>403</v>
      </c>
      <c r="B69" s="253" t="s">
        <v>300</v>
      </c>
      <c r="C69" s="250" t="e">
        <f>C67+1</f>
        <v>#REF!</v>
      </c>
      <c r="D69" s="250" t="e">
        <f t="shared" ref="D69:AG69" si="31">D67+1</f>
        <v>#REF!</v>
      </c>
      <c r="E69" s="250" t="e">
        <f t="shared" si="31"/>
        <v>#REF!</v>
      </c>
      <c r="F69" s="250" t="e">
        <f t="shared" si="31"/>
        <v>#REF!</v>
      </c>
      <c r="G69" s="250" t="e">
        <f t="shared" si="31"/>
        <v>#REF!</v>
      </c>
      <c r="H69" s="250" t="e">
        <f t="shared" si="31"/>
        <v>#REF!</v>
      </c>
      <c r="I69" s="250" t="e">
        <f t="shared" si="31"/>
        <v>#REF!</v>
      </c>
      <c r="J69" s="250" t="e">
        <f t="shared" si="31"/>
        <v>#REF!</v>
      </c>
      <c r="K69" s="250" t="e">
        <f t="shared" si="31"/>
        <v>#REF!</v>
      </c>
      <c r="L69" s="250" t="e">
        <f t="shared" si="31"/>
        <v>#REF!</v>
      </c>
      <c r="M69" s="250" t="e">
        <f t="shared" si="31"/>
        <v>#REF!</v>
      </c>
      <c r="N69" s="250" t="e">
        <f t="shared" si="31"/>
        <v>#REF!</v>
      </c>
      <c r="O69" s="250" t="e">
        <f t="shared" si="31"/>
        <v>#REF!</v>
      </c>
      <c r="P69" s="250" t="e">
        <f t="shared" si="31"/>
        <v>#REF!</v>
      </c>
      <c r="Q69" s="250" t="e">
        <f t="shared" si="31"/>
        <v>#REF!</v>
      </c>
      <c r="R69" s="250" t="e">
        <f t="shared" si="31"/>
        <v>#REF!</v>
      </c>
      <c r="S69" s="250" t="e">
        <f t="shared" si="31"/>
        <v>#REF!</v>
      </c>
      <c r="T69" s="250" t="e">
        <f t="shared" si="31"/>
        <v>#REF!</v>
      </c>
      <c r="U69" s="250" t="e">
        <f t="shared" si="31"/>
        <v>#REF!</v>
      </c>
      <c r="V69" s="250" t="e">
        <f t="shared" si="31"/>
        <v>#REF!</v>
      </c>
      <c r="W69" s="250" t="e">
        <f t="shared" si="31"/>
        <v>#REF!</v>
      </c>
      <c r="X69" s="250" t="e">
        <f t="shared" si="31"/>
        <v>#REF!</v>
      </c>
      <c r="Y69" s="250" t="e">
        <f t="shared" si="31"/>
        <v>#REF!</v>
      </c>
      <c r="Z69" s="250" t="e">
        <f t="shared" si="31"/>
        <v>#REF!</v>
      </c>
      <c r="AA69" s="250" t="e">
        <f t="shared" si="31"/>
        <v>#REF!</v>
      </c>
      <c r="AB69" s="250" t="e">
        <f t="shared" si="31"/>
        <v>#REF!</v>
      </c>
      <c r="AC69" s="250" t="e">
        <f t="shared" si="31"/>
        <v>#REF!</v>
      </c>
      <c r="AD69" s="250" t="e">
        <f t="shared" si="31"/>
        <v>#REF!</v>
      </c>
      <c r="AE69" s="250" t="e">
        <f t="shared" si="31"/>
        <v>#REF!</v>
      </c>
      <c r="AF69" s="250" t="e">
        <f t="shared" si="31"/>
        <v>#REF!</v>
      </c>
      <c r="AG69" s="250" t="e">
        <f t="shared" si="31"/>
        <v>#REF!</v>
      </c>
      <c r="AH69" s="245"/>
    </row>
    <row r="70" spans="1:36">
      <c r="A70" s="171" t="s">
        <v>360</v>
      </c>
      <c r="B70" s="253" t="s">
        <v>305</v>
      </c>
      <c r="C70" s="236" t="e">
        <f t="shared" ref="C70" si="32">$C$16*$C$27*$C$28</f>
        <v>#REF!</v>
      </c>
      <c r="D70" s="236" t="e">
        <f>C70</f>
        <v>#REF!</v>
      </c>
      <c r="E70" s="236" t="e">
        <f>D70*(1+$AH$70)</f>
        <v>#REF!</v>
      </c>
      <c r="F70" s="236" t="e">
        <f t="shared" ref="F70:AG70" si="33">E70</f>
        <v>#REF!</v>
      </c>
      <c r="G70" s="236" t="e">
        <f t="shared" si="33"/>
        <v>#REF!</v>
      </c>
      <c r="H70" s="236" t="e">
        <f>G70*(1+$AH$70)</f>
        <v>#REF!</v>
      </c>
      <c r="I70" s="236" t="e">
        <f t="shared" si="33"/>
        <v>#REF!</v>
      </c>
      <c r="J70" s="236" t="e">
        <f t="shared" si="33"/>
        <v>#REF!</v>
      </c>
      <c r="K70" s="236" t="e">
        <f>J70*(1+$AH$70)</f>
        <v>#REF!</v>
      </c>
      <c r="L70" s="236" t="e">
        <f t="shared" si="33"/>
        <v>#REF!</v>
      </c>
      <c r="M70" s="236" t="e">
        <f t="shared" si="33"/>
        <v>#REF!</v>
      </c>
      <c r="N70" s="236" t="e">
        <f>M70*(1+$AH$70)</f>
        <v>#REF!</v>
      </c>
      <c r="O70" s="236" t="e">
        <f t="shared" si="33"/>
        <v>#REF!</v>
      </c>
      <c r="P70" s="236" t="e">
        <f t="shared" si="33"/>
        <v>#REF!</v>
      </c>
      <c r="Q70" s="236" t="e">
        <f>P70*(1+$AH$70)</f>
        <v>#REF!</v>
      </c>
      <c r="R70" s="236" t="e">
        <f t="shared" si="33"/>
        <v>#REF!</v>
      </c>
      <c r="S70" s="236" t="e">
        <f t="shared" si="33"/>
        <v>#REF!</v>
      </c>
      <c r="T70" s="236" t="e">
        <f>S70*(1+$AH$70)</f>
        <v>#REF!</v>
      </c>
      <c r="U70" s="236" t="e">
        <f t="shared" si="33"/>
        <v>#REF!</v>
      </c>
      <c r="V70" s="236" t="e">
        <f t="shared" si="33"/>
        <v>#REF!</v>
      </c>
      <c r="W70" s="236" t="e">
        <f>V70*(1+$AH$70)</f>
        <v>#REF!</v>
      </c>
      <c r="X70" s="236" t="e">
        <f t="shared" si="33"/>
        <v>#REF!</v>
      </c>
      <c r="Y70" s="236" t="e">
        <f t="shared" si="33"/>
        <v>#REF!</v>
      </c>
      <c r="Z70" s="236" t="e">
        <f>Y70*(1+$AH$70)</f>
        <v>#REF!</v>
      </c>
      <c r="AA70" s="236" t="e">
        <f t="shared" si="33"/>
        <v>#REF!</v>
      </c>
      <c r="AB70" s="236" t="e">
        <f t="shared" si="33"/>
        <v>#REF!</v>
      </c>
      <c r="AC70" s="236" t="e">
        <f>AB70*(1+$AH$70)</f>
        <v>#REF!</v>
      </c>
      <c r="AD70" s="236" t="e">
        <f t="shared" si="33"/>
        <v>#REF!</v>
      </c>
      <c r="AE70" s="236" t="e">
        <f t="shared" si="33"/>
        <v>#REF!</v>
      </c>
      <c r="AF70" s="236" t="e">
        <f>AE70*(1+$AH$70)</f>
        <v>#REF!</v>
      </c>
      <c r="AG70" s="236" t="e">
        <f t="shared" si="33"/>
        <v>#REF!</v>
      </c>
      <c r="AH70" s="245" t="e">
        <f>#REF!</f>
        <v>#REF!</v>
      </c>
      <c r="AI70" s="294"/>
      <c r="AJ70" s="179"/>
    </row>
    <row r="71" spans="1:36">
      <c r="C71" s="975" t="s">
        <v>404</v>
      </c>
      <c r="D71" s="975"/>
      <c r="E71" s="975"/>
      <c r="F71" s="975"/>
      <c r="G71" s="975"/>
    </row>
    <row r="72" spans="1:36" s="256" customFormat="1">
      <c r="A72" s="254"/>
      <c r="B72" s="254"/>
      <c r="C72" s="255" t="s">
        <v>178</v>
      </c>
      <c r="D72" s="255" t="s">
        <v>179</v>
      </c>
      <c r="E72" s="255" t="s">
        <v>180</v>
      </c>
      <c r="F72" s="255" t="s">
        <v>181</v>
      </c>
      <c r="G72" s="255" t="s">
        <v>182</v>
      </c>
      <c r="H72" s="255" t="s">
        <v>239</v>
      </c>
    </row>
    <row r="73" spans="1:36">
      <c r="A73" s="171" t="s">
        <v>405</v>
      </c>
      <c r="B73" s="171" t="s">
        <v>281</v>
      </c>
      <c r="C73" s="257"/>
      <c r="D73" s="257"/>
      <c r="E73" s="307" t="e">
        <f>#REF!</f>
        <v>#REF!</v>
      </c>
      <c r="F73" s="308" t="e">
        <f>#REF!</f>
        <v>#REF!</v>
      </c>
      <c r="G73" s="171"/>
      <c r="H73" s="308" t="e">
        <f>#REF!</f>
        <v>#REF!</v>
      </c>
    </row>
    <row r="74" spans="1:36">
      <c r="A74" s="171" t="s">
        <v>405</v>
      </c>
      <c r="B74" s="171" t="s">
        <v>406</v>
      </c>
      <c r="C74" s="257">
        <v>250</v>
      </c>
      <c r="D74" s="257"/>
      <c r="E74" s="257"/>
      <c r="F74" s="257"/>
      <c r="G74" s="171"/>
      <c r="H74" s="257"/>
      <c r="J74" s="173">
        <f>139-69</f>
        <v>70</v>
      </c>
    </row>
    <row r="75" spans="1:36">
      <c r="A75" s="258" t="s">
        <v>407</v>
      </c>
      <c r="B75" s="258" t="s">
        <v>198</v>
      </c>
      <c r="C75" s="259">
        <v>0.85</v>
      </c>
      <c r="D75" s="259"/>
      <c r="E75" s="259">
        <v>0.85</v>
      </c>
      <c r="F75" s="259">
        <v>0.85</v>
      </c>
      <c r="G75" s="259">
        <v>0.87</v>
      </c>
      <c r="H75" s="259">
        <v>0.55000000000000004</v>
      </c>
      <c r="J75" s="173">
        <f>J74/139</f>
        <v>0.50359712230215825</v>
      </c>
    </row>
    <row r="76" spans="1:36">
      <c r="A76" s="171" t="s">
        <v>408</v>
      </c>
      <c r="B76" s="171" t="s">
        <v>198</v>
      </c>
      <c r="C76" s="233">
        <v>0.3</v>
      </c>
      <c r="D76" s="233"/>
      <c r="E76" s="233">
        <v>0.3</v>
      </c>
      <c r="F76" s="233">
        <v>0.33</v>
      </c>
      <c r="G76" s="233">
        <v>0.87</v>
      </c>
      <c r="H76" s="233">
        <v>0.5</v>
      </c>
    </row>
    <row r="77" spans="1:36">
      <c r="A77" s="171" t="s">
        <v>409</v>
      </c>
      <c r="B77" s="171" t="s">
        <v>198</v>
      </c>
      <c r="C77" s="233">
        <v>0</v>
      </c>
      <c r="D77" s="233"/>
      <c r="E77" s="233">
        <v>0</v>
      </c>
      <c r="F77" s="233">
        <v>0</v>
      </c>
      <c r="G77" s="233">
        <v>0.15</v>
      </c>
      <c r="H77" s="233">
        <v>0.15</v>
      </c>
    </row>
    <row r="78" spans="1:36">
      <c r="A78" s="171" t="s">
        <v>410</v>
      </c>
      <c r="B78" s="171" t="s">
        <v>198</v>
      </c>
      <c r="C78" s="260">
        <f>(C76)</f>
        <v>0.3</v>
      </c>
      <c r="D78" s="260"/>
      <c r="E78" s="260">
        <f t="shared" ref="E78:H78" si="34">(E76)</f>
        <v>0.3</v>
      </c>
      <c r="F78" s="260">
        <f t="shared" si="34"/>
        <v>0.33</v>
      </c>
      <c r="G78" s="260">
        <f t="shared" si="34"/>
        <v>0.87</v>
      </c>
      <c r="H78" s="260">
        <f t="shared" si="34"/>
        <v>0.5</v>
      </c>
      <c r="K78" s="173" t="s">
        <v>195</v>
      </c>
      <c r="L78" s="173" t="s">
        <v>285</v>
      </c>
      <c r="M78" s="173" t="s">
        <v>281</v>
      </c>
    </row>
    <row r="79" spans="1:36">
      <c r="A79" s="171" t="s">
        <v>345</v>
      </c>
      <c r="B79" s="171" t="s">
        <v>201</v>
      </c>
      <c r="C79" s="261"/>
      <c r="D79" s="261"/>
      <c r="E79" s="261"/>
      <c r="F79" s="261"/>
      <c r="G79" s="306" t="e">
        <f>#REF!</f>
        <v>#REF!</v>
      </c>
      <c r="H79" s="261"/>
      <c r="K79" s="173">
        <v>5</v>
      </c>
      <c r="L79" s="173">
        <v>1</v>
      </c>
      <c r="M79" s="173">
        <v>0.3</v>
      </c>
    </row>
    <row r="80" spans="1:36">
      <c r="A80" s="171"/>
      <c r="B80" s="171" t="s">
        <v>346</v>
      </c>
      <c r="C80" s="305" t="e">
        <f>#REF!</f>
        <v>#REF!</v>
      </c>
      <c r="D80" s="305" t="e">
        <f>#REF!</f>
        <v>#REF!</v>
      </c>
      <c r="E80" s="305" t="e">
        <f>#REF!</f>
        <v>#REF!</v>
      </c>
      <c r="F80" s="261" t="e">
        <f>3*C80</f>
        <v>#REF!</v>
      </c>
      <c r="G80" s="262"/>
      <c r="H80" s="261" t="e">
        <f>4*C80</f>
        <v>#REF!</v>
      </c>
      <c r="K80" s="173">
        <f>K79/M79</f>
        <v>16.666666666666668</v>
      </c>
      <c r="M80" s="173">
        <v>1</v>
      </c>
    </row>
    <row r="81" spans="1:35">
      <c r="A81" s="263" t="s">
        <v>411</v>
      </c>
      <c r="B81" s="263" t="s">
        <v>193</v>
      </c>
      <c r="C81" s="264"/>
      <c r="D81" s="264"/>
      <c r="E81" s="252" t="e">
        <f>E82/(C28)</f>
        <v>#REF!</v>
      </c>
      <c r="F81" s="264"/>
      <c r="G81" s="265" t="e">
        <f>C19</f>
        <v>#REF!</v>
      </c>
      <c r="H81" s="264"/>
    </row>
    <row r="82" spans="1:35" s="300" customFormat="1" ht="29.1" customHeight="1">
      <c r="A82" s="296" t="s">
        <v>283</v>
      </c>
      <c r="B82" s="296" t="s">
        <v>412</v>
      </c>
      <c r="C82" s="297" t="e">
        <f>($C$27*$C$28)/C80</f>
        <v>#REF!</v>
      </c>
      <c r="D82" s="297" t="e">
        <f>($C$27*$C$28)/D80</f>
        <v>#REF!</v>
      </c>
      <c r="E82" s="297" t="e">
        <f>($C$27*$C$28)/E80</f>
        <v>#REF!</v>
      </c>
      <c r="F82" s="297" t="e">
        <f>($C$27*$C$28)/F80</f>
        <v>#REF!</v>
      </c>
      <c r="G82" s="297" t="e">
        <f>($C$27*$C$28*G79)</f>
        <v>#REF!</v>
      </c>
      <c r="H82" s="297" t="e">
        <f>($C$27*$C$28)/H80</f>
        <v>#REF!</v>
      </c>
      <c r="I82" s="298" t="e">
        <f>F82-H82</f>
        <v>#REF!</v>
      </c>
      <c r="J82" s="299" t="e">
        <f>I82/H82</f>
        <v>#REF!</v>
      </c>
      <c r="K82" s="300">
        <v>100</v>
      </c>
      <c r="M82" s="300">
        <v>9</v>
      </c>
    </row>
    <row r="83" spans="1:35">
      <c r="C83" s="173"/>
    </row>
    <row r="84" spans="1:35" s="225" customFormat="1">
      <c r="A84" s="223"/>
      <c r="B84" s="223"/>
    </row>
    <row r="85" spans="1:35">
      <c r="A85" s="235" t="s">
        <v>307</v>
      </c>
      <c r="B85" s="235"/>
      <c r="C85" s="235">
        <v>2025</v>
      </c>
      <c r="D85" s="235">
        <f t="shared" ref="D85:AG85" si="35">C85+1</f>
        <v>2026</v>
      </c>
      <c r="E85" s="235">
        <f t="shared" si="35"/>
        <v>2027</v>
      </c>
      <c r="F85" s="235">
        <f t="shared" si="35"/>
        <v>2028</v>
      </c>
      <c r="G85" s="235">
        <f t="shared" si="35"/>
        <v>2029</v>
      </c>
      <c r="H85" s="235">
        <f t="shared" si="35"/>
        <v>2030</v>
      </c>
      <c r="I85" s="235">
        <f t="shared" si="35"/>
        <v>2031</v>
      </c>
      <c r="J85" s="235">
        <f t="shared" si="35"/>
        <v>2032</v>
      </c>
      <c r="K85" s="235">
        <f t="shared" si="35"/>
        <v>2033</v>
      </c>
      <c r="L85" s="235">
        <f t="shared" si="35"/>
        <v>2034</v>
      </c>
      <c r="M85" s="235">
        <f t="shared" si="35"/>
        <v>2035</v>
      </c>
      <c r="N85" s="235">
        <f t="shared" si="35"/>
        <v>2036</v>
      </c>
      <c r="O85" s="235">
        <f t="shared" si="35"/>
        <v>2037</v>
      </c>
      <c r="P85" s="235">
        <f t="shared" si="35"/>
        <v>2038</v>
      </c>
      <c r="Q85" s="235">
        <f t="shared" si="35"/>
        <v>2039</v>
      </c>
      <c r="R85" s="235">
        <f t="shared" si="35"/>
        <v>2040</v>
      </c>
      <c r="S85" s="235">
        <f t="shared" si="35"/>
        <v>2041</v>
      </c>
      <c r="T85" s="235">
        <f t="shared" si="35"/>
        <v>2042</v>
      </c>
      <c r="U85" s="235">
        <f t="shared" si="35"/>
        <v>2043</v>
      </c>
      <c r="V85" s="235">
        <f t="shared" si="35"/>
        <v>2044</v>
      </c>
      <c r="W85" s="235">
        <f t="shared" si="35"/>
        <v>2045</v>
      </c>
      <c r="X85" s="235">
        <f t="shared" si="35"/>
        <v>2046</v>
      </c>
      <c r="Y85" s="235">
        <f t="shared" si="35"/>
        <v>2047</v>
      </c>
      <c r="Z85" s="235">
        <f t="shared" si="35"/>
        <v>2048</v>
      </c>
      <c r="AA85" s="235">
        <f t="shared" si="35"/>
        <v>2049</v>
      </c>
      <c r="AB85" s="235">
        <f t="shared" si="35"/>
        <v>2050</v>
      </c>
      <c r="AC85" s="235">
        <f t="shared" si="35"/>
        <v>2051</v>
      </c>
      <c r="AD85" s="235">
        <f t="shared" si="35"/>
        <v>2052</v>
      </c>
      <c r="AE85" s="235">
        <f t="shared" si="35"/>
        <v>2053</v>
      </c>
      <c r="AF85" s="235">
        <f t="shared" si="35"/>
        <v>2054</v>
      </c>
      <c r="AG85" s="235">
        <f t="shared" si="35"/>
        <v>2055</v>
      </c>
    </row>
    <row r="86" spans="1:35">
      <c r="A86" s="290" t="s">
        <v>308</v>
      </c>
      <c r="B86" s="173" t="s">
        <v>309</v>
      </c>
      <c r="C86" s="179" t="e">
        <f>C11</f>
        <v>#REF!</v>
      </c>
      <c r="D86" s="179" t="e">
        <f>ROUND(C86*(1+#REF!)/1000,0)*1000</f>
        <v>#REF!</v>
      </c>
      <c r="E86" s="179" t="e">
        <f>ROUND(D86*(1+#REF!)/1000,0)*1000</f>
        <v>#REF!</v>
      </c>
      <c r="F86" s="179" t="e">
        <f>ROUND(E86*(1+#REF!)/1000,0)*1000</f>
        <v>#REF!</v>
      </c>
      <c r="G86" s="179" t="e">
        <f>ROUND(F86*(1+#REF!)/1000,0)*1000</f>
        <v>#REF!</v>
      </c>
      <c r="H86" s="179" t="e">
        <f>ROUND(G86*(1+#REF!)/1000,0)*1000</f>
        <v>#REF!</v>
      </c>
      <c r="I86" s="179" t="e">
        <f>ROUND(H86*(1+#REF!)/1000,0)*1000+#REF!</f>
        <v>#REF!</v>
      </c>
      <c r="J86" s="179" t="e">
        <f>ROUND(I86*(1+#REF!)/1000,0)*1000</f>
        <v>#REF!</v>
      </c>
      <c r="K86" s="179" t="e">
        <f>ROUND(J86*(1+#REF!)/1000,0)*1000</f>
        <v>#REF!</v>
      </c>
      <c r="L86" s="179" t="e">
        <f>ROUND(K86*(1+#REF!)/1000,0)*1000</f>
        <v>#REF!</v>
      </c>
      <c r="M86" s="179" t="e">
        <f>ROUND(L86*(1+#REF!)/1000,0)*1000</f>
        <v>#REF!</v>
      </c>
      <c r="N86" s="179" t="e">
        <f>ROUND(M86*(1+#REF!)/1000,0)*1000</f>
        <v>#REF!</v>
      </c>
      <c r="O86" s="179" t="e">
        <f>ROUND(N86*(1+#REF!)/1000,0)*1000</f>
        <v>#REF!</v>
      </c>
      <c r="P86" s="179" t="e">
        <f>ROUND(O86*(1+#REF!)/1000,0)*1000</f>
        <v>#REF!</v>
      </c>
      <c r="Q86" s="179" t="e">
        <f>ROUND(P86*(1+#REF!)/1000,0)*1000</f>
        <v>#REF!</v>
      </c>
      <c r="R86" s="179" t="e">
        <f>ROUND(Q86*(1+#REF!)/1000,0)*1000</f>
        <v>#REF!</v>
      </c>
      <c r="S86" s="179" t="e">
        <f>ROUND(R86*(1+#REF!)/1000,0)*1000</f>
        <v>#REF!</v>
      </c>
      <c r="T86" s="179" t="e">
        <f>ROUND(S86*(1+#REF!)/1000,0)*1000</f>
        <v>#REF!</v>
      </c>
      <c r="U86" s="179" t="e">
        <f>ROUND(T86*(1+#REF!)/1000,0)*1000</f>
        <v>#REF!</v>
      </c>
      <c r="V86" s="179" t="e">
        <f>ROUND(U86*(1+#REF!)/1000,0)*1000</f>
        <v>#REF!</v>
      </c>
      <c r="W86" s="179" t="e">
        <f>ROUND(V86*(1+#REF!)/1000,0)*1000</f>
        <v>#REF!</v>
      </c>
      <c r="X86" s="179" t="e">
        <f>ROUND(W86*(1+#REF!)/1000,0)*1000</f>
        <v>#REF!</v>
      </c>
      <c r="Y86" s="179" t="e">
        <f>ROUND(X86*(1+#REF!)/1000,0)*1000</f>
        <v>#REF!</v>
      </c>
      <c r="Z86" s="179" t="e">
        <f>ROUND(Y86*(1+#REF!)/1000,0)*1000</f>
        <v>#REF!</v>
      </c>
      <c r="AA86" s="179" t="e">
        <f>ROUND(Z86*(1+#REF!)/1000,0)*1000</f>
        <v>#REF!</v>
      </c>
      <c r="AB86" s="179" t="e">
        <f>ROUND(AA86*(1+#REF!)/1000,0)*1000</f>
        <v>#REF!</v>
      </c>
      <c r="AC86" s="179" t="e">
        <f>ROUND(AB86*(1+#REF!)/1000,0)*1000</f>
        <v>#REF!</v>
      </c>
      <c r="AD86" s="179" t="e">
        <f>ROUND(AC86*(1+#REF!)/1000,0)*1000</f>
        <v>#REF!</v>
      </c>
      <c r="AE86" s="179" t="e">
        <f>ROUND(AD86*(1+#REF!)/1000,0)*1000</f>
        <v>#REF!</v>
      </c>
      <c r="AF86" s="179" t="e">
        <f>ROUND(AE86*(1+#REF!)/1000,0)*1000</f>
        <v>#REF!</v>
      </c>
      <c r="AG86" s="179" t="e">
        <f>ROUND(AF86*(1+#REF!)/1000,0)*1000</f>
        <v>#REF!</v>
      </c>
    </row>
    <row r="87" spans="1:35">
      <c r="A87" s="290" t="s">
        <v>314</v>
      </c>
      <c r="B87" s="173" t="s">
        <v>309</v>
      </c>
      <c r="C87" s="179" t="e">
        <f t="shared" ref="C87:AG87" si="36">C39*$C$82</f>
        <v>#REF!</v>
      </c>
      <c r="D87" s="179" t="e">
        <f t="shared" si="36"/>
        <v>#REF!</v>
      </c>
      <c r="E87" s="179" t="e">
        <f t="shared" si="36"/>
        <v>#REF!</v>
      </c>
      <c r="F87" s="179" t="e">
        <f t="shared" si="36"/>
        <v>#REF!</v>
      </c>
      <c r="G87" s="179" t="e">
        <f t="shared" si="36"/>
        <v>#REF!</v>
      </c>
      <c r="H87" s="179" t="e">
        <f t="shared" si="36"/>
        <v>#REF!</v>
      </c>
      <c r="I87" s="179" t="e">
        <f t="shared" si="36"/>
        <v>#REF!</v>
      </c>
      <c r="J87" s="179" t="e">
        <f t="shared" si="36"/>
        <v>#REF!</v>
      </c>
      <c r="K87" s="179" t="e">
        <f t="shared" si="36"/>
        <v>#REF!</v>
      </c>
      <c r="L87" s="179" t="e">
        <f t="shared" si="36"/>
        <v>#REF!</v>
      </c>
      <c r="M87" s="179" t="e">
        <f t="shared" si="36"/>
        <v>#REF!</v>
      </c>
      <c r="N87" s="179" t="e">
        <f t="shared" si="36"/>
        <v>#REF!</v>
      </c>
      <c r="O87" s="179" t="e">
        <f t="shared" si="36"/>
        <v>#REF!</v>
      </c>
      <c r="P87" s="179" t="e">
        <f t="shared" si="36"/>
        <v>#REF!</v>
      </c>
      <c r="Q87" s="179" t="e">
        <f t="shared" si="36"/>
        <v>#REF!</v>
      </c>
      <c r="R87" s="179" t="e">
        <f t="shared" si="36"/>
        <v>#REF!</v>
      </c>
      <c r="S87" s="179" t="e">
        <f t="shared" si="36"/>
        <v>#REF!</v>
      </c>
      <c r="T87" s="179" t="e">
        <f t="shared" si="36"/>
        <v>#REF!</v>
      </c>
      <c r="U87" s="179" t="e">
        <f t="shared" si="36"/>
        <v>#REF!</v>
      </c>
      <c r="V87" s="179" t="e">
        <f t="shared" si="36"/>
        <v>#REF!</v>
      </c>
      <c r="W87" s="179" t="e">
        <f t="shared" si="36"/>
        <v>#REF!</v>
      </c>
      <c r="X87" s="179" t="e">
        <f t="shared" si="36"/>
        <v>#REF!</v>
      </c>
      <c r="Y87" s="179" t="e">
        <f t="shared" si="36"/>
        <v>#REF!</v>
      </c>
      <c r="Z87" s="179" t="e">
        <f t="shared" si="36"/>
        <v>#REF!</v>
      </c>
      <c r="AA87" s="179" t="e">
        <f t="shared" si="36"/>
        <v>#REF!</v>
      </c>
      <c r="AB87" s="179" t="e">
        <f t="shared" si="36"/>
        <v>#REF!</v>
      </c>
      <c r="AC87" s="179" t="e">
        <f t="shared" si="36"/>
        <v>#REF!</v>
      </c>
      <c r="AD87" s="179" t="e">
        <f t="shared" si="36"/>
        <v>#REF!</v>
      </c>
      <c r="AE87" s="179" t="e">
        <f t="shared" si="36"/>
        <v>#REF!</v>
      </c>
      <c r="AF87" s="179" t="e">
        <f t="shared" si="36"/>
        <v>#REF!</v>
      </c>
      <c r="AG87" s="179" t="e">
        <f t="shared" si="36"/>
        <v>#REF!</v>
      </c>
    </row>
    <row r="88" spans="1:35">
      <c r="A88" s="290" t="s">
        <v>315</v>
      </c>
      <c r="B88" s="173" t="s">
        <v>309</v>
      </c>
      <c r="C88" s="238" t="e">
        <f>$C$82*$AH$88*C40</f>
        <v>#REF!</v>
      </c>
      <c r="D88" s="238" t="e">
        <f>$C$82*$AH$88*D40</f>
        <v>#REF!</v>
      </c>
      <c r="E88" s="238" t="e">
        <f t="shared" ref="E88:AG88" si="37">$C$82*$AH$88*E40</f>
        <v>#REF!</v>
      </c>
      <c r="F88" s="238" t="e">
        <f t="shared" si="37"/>
        <v>#REF!</v>
      </c>
      <c r="G88" s="238" t="e">
        <f t="shared" si="37"/>
        <v>#REF!</v>
      </c>
      <c r="H88" s="238" t="e">
        <f t="shared" si="37"/>
        <v>#REF!</v>
      </c>
      <c r="I88" s="238" t="e">
        <f t="shared" si="37"/>
        <v>#REF!</v>
      </c>
      <c r="J88" s="238" t="e">
        <f t="shared" si="37"/>
        <v>#REF!</v>
      </c>
      <c r="K88" s="238" t="e">
        <f t="shared" si="37"/>
        <v>#REF!</v>
      </c>
      <c r="L88" s="238" t="e">
        <f t="shared" si="37"/>
        <v>#REF!</v>
      </c>
      <c r="M88" s="238" t="e">
        <f t="shared" si="37"/>
        <v>#REF!</v>
      </c>
      <c r="N88" s="238" t="e">
        <f t="shared" si="37"/>
        <v>#REF!</v>
      </c>
      <c r="O88" s="238" t="e">
        <f t="shared" si="37"/>
        <v>#REF!</v>
      </c>
      <c r="P88" s="238" t="e">
        <f t="shared" si="37"/>
        <v>#REF!</v>
      </c>
      <c r="Q88" s="238" t="e">
        <f t="shared" si="37"/>
        <v>#REF!</v>
      </c>
      <c r="R88" s="238" t="e">
        <f t="shared" si="37"/>
        <v>#REF!</v>
      </c>
      <c r="S88" s="238" t="e">
        <f t="shared" si="37"/>
        <v>#REF!</v>
      </c>
      <c r="T88" s="238" t="e">
        <f t="shared" si="37"/>
        <v>#REF!</v>
      </c>
      <c r="U88" s="238" t="e">
        <f t="shared" si="37"/>
        <v>#REF!</v>
      </c>
      <c r="V88" s="238" t="e">
        <f t="shared" si="37"/>
        <v>#REF!</v>
      </c>
      <c r="W88" s="238" t="e">
        <f t="shared" si="37"/>
        <v>#REF!</v>
      </c>
      <c r="X88" s="238" t="e">
        <f t="shared" si="37"/>
        <v>#REF!</v>
      </c>
      <c r="Y88" s="238" t="e">
        <f t="shared" si="37"/>
        <v>#REF!</v>
      </c>
      <c r="Z88" s="238" t="e">
        <f t="shared" si="37"/>
        <v>#REF!</v>
      </c>
      <c r="AA88" s="238" t="e">
        <f t="shared" si="37"/>
        <v>#REF!</v>
      </c>
      <c r="AB88" s="238" t="e">
        <f t="shared" si="37"/>
        <v>#REF!</v>
      </c>
      <c r="AC88" s="238" t="e">
        <f t="shared" si="37"/>
        <v>#REF!</v>
      </c>
      <c r="AD88" s="238" t="e">
        <f t="shared" si="37"/>
        <v>#REF!</v>
      </c>
      <c r="AE88" s="238" t="e">
        <f t="shared" si="37"/>
        <v>#REF!</v>
      </c>
      <c r="AF88" s="238" t="e">
        <f t="shared" si="37"/>
        <v>#REF!</v>
      </c>
      <c r="AG88" s="238" t="e">
        <f t="shared" si="37"/>
        <v>#REF!</v>
      </c>
      <c r="AH88" s="269" t="e">
        <f>#REF!</f>
        <v>#REF!</v>
      </c>
      <c r="AI88" s="173" t="s">
        <v>316</v>
      </c>
    </row>
    <row r="89" spans="1:35">
      <c r="A89" s="173" t="s">
        <v>317</v>
      </c>
      <c r="B89" s="173" t="s">
        <v>309</v>
      </c>
      <c r="C89" s="179" t="e">
        <f t="shared" ref="C89:AG89" si="38">$C$28*$C$27*C65</f>
        <v>#REF!</v>
      </c>
      <c r="D89" s="179" t="e">
        <f t="shared" si="38"/>
        <v>#REF!</v>
      </c>
      <c r="E89" s="179" t="e">
        <f t="shared" si="38"/>
        <v>#REF!</v>
      </c>
      <c r="F89" s="179" t="e">
        <f t="shared" si="38"/>
        <v>#REF!</v>
      </c>
      <c r="G89" s="179" t="e">
        <f t="shared" si="38"/>
        <v>#REF!</v>
      </c>
      <c r="H89" s="179" t="e">
        <f t="shared" si="38"/>
        <v>#REF!</v>
      </c>
      <c r="I89" s="179" t="e">
        <f t="shared" si="38"/>
        <v>#REF!</v>
      </c>
      <c r="J89" s="179" t="e">
        <f t="shared" si="38"/>
        <v>#REF!</v>
      </c>
      <c r="K89" s="179" t="e">
        <f t="shared" si="38"/>
        <v>#REF!</v>
      </c>
      <c r="L89" s="179" t="e">
        <f t="shared" si="38"/>
        <v>#REF!</v>
      </c>
      <c r="M89" s="179" t="e">
        <f t="shared" si="38"/>
        <v>#REF!</v>
      </c>
      <c r="N89" s="179" t="e">
        <f t="shared" si="38"/>
        <v>#REF!</v>
      </c>
      <c r="O89" s="179" t="e">
        <f t="shared" si="38"/>
        <v>#REF!</v>
      </c>
      <c r="P89" s="179" t="e">
        <f t="shared" si="38"/>
        <v>#REF!</v>
      </c>
      <c r="Q89" s="179" t="e">
        <f t="shared" si="38"/>
        <v>#REF!</v>
      </c>
      <c r="R89" s="179" t="e">
        <f t="shared" si="38"/>
        <v>#REF!</v>
      </c>
      <c r="S89" s="179" t="e">
        <f t="shared" si="38"/>
        <v>#REF!</v>
      </c>
      <c r="T89" s="179" t="e">
        <f t="shared" si="38"/>
        <v>#REF!</v>
      </c>
      <c r="U89" s="179" t="e">
        <f t="shared" si="38"/>
        <v>#REF!</v>
      </c>
      <c r="V89" s="179" t="e">
        <f t="shared" si="38"/>
        <v>#REF!</v>
      </c>
      <c r="W89" s="179" t="e">
        <f t="shared" si="38"/>
        <v>#REF!</v>
      </c>
      <c r="X89" s="179" t="e">
        <f t="shared" si="38"/>
        <v>#REF!</v>
      </c>
      <c r="Y89" s="179" t="e">
        <f t="shared" si="38"/>
        <v>#REF!</v>
      </c>
      <c r="Z89" s="179" t="e">
        <f t="shared" si="38"/>
        <v>#REF!</v>
      </c>
      <c r="AA89" s="179" t="e">
        <f t="shared" si="38"/>
        <v>#REF!</v>
      </c>
      <c r="AB89" s="179" t="e">
        <f t="shared" si="38"/>
        <v>#REF!</v>
      </c>
      <c r="AC89" s="179" t="e">
        <f t="shared" si="38"/>
        <v>#REF!</v>
      </c>
      <c r="AD89" s="179" t="e">
        <f t="shared" si="38"/>
        <v>#REF!</v>
      </c>
      <c r="AE89" s="179" t="e">
        <f t="shared" si="38"/>
        <v>#REF!</v>
      </c>
      <c r="AF89" s="179" t="e">
        <f t="shared" si="38"/>
        <v>#REF!</v>
      </c>
      <c r="AG89" s="179" t="e">
        <f t="shared" si="38"/>
        <v>#REF!</v>
      </c>
    </row>
    <row r="90" spans="1:35">
      <c r="A90" s="173" t="s">
        <v>413</v>
      </c>
      <c r="B90" s="173" t="s">
        <v>309</v>
      </c>
      <c r="C90" s="179" t="e">
        <f t="shared" ref="C90:AG90" si="39">C70</f>
        <v>#REF!</v>
      </c>
      <c r="D90" s="179" t="e">
        <f t="shared" si="39"/>
        <v>#REF!</v>
      </c>
      <c r="E90" s="179" t="e">
        <f t="shared" si="39"/>
        <v>#REF!</v>
      </c>
      <c r="F90" s="179" t="e">
        <f t="shared" si="39"/>
        <v>#REF!</v>
      </c>
      <c r="G90" s="179" t="e">
        <f t="shared" si="39"/>
        <v>#REF!</v>
      </c>
      <c r="H90" s="179" t="e">
        <f t="shared" si="39"/>
        <v>#REF!</v>
      </c>
      <c r="I90" s="179" t="e">
        <f t="shared" si="39"/>
        <v>#REF!</v>
      </c>
      <c r="J90" s="179" t="e">
        <f t="shared" si="39"/>
        <v>#REF!</v>
      </c>
      <c r="K90" s="179" t="e">
        <f t="shared" si="39"/>
        <v>#REF!</v>
      </c>
      <c r="L90" s="179" t="e">
        <f t="shared" si="39"/>
        <v>#REF!</v>
      </c>
      <c r="M90" s="179" t="e">
        <f t="shared" si="39"/>
        <v>#REF!</v>
      </c>
      <c r="N90" s="179" t="e">
        <f t="shared" si="39"/>
        <v>#REF!</v>
      </c>
      <c r="O90" s="179" t="e">
        <f t="shared" si="39"/>
        <v>#REF!</v>
      </c>
      <c r="P90" s="179" t="e">
        <f t="shared" si="39"/>
        <v>#REF!</v>
      </c>
      <c r="Q90" s="179" t="e">
        <f t="shared" si="39"/>
        <v>#REF!</v>
      </c>
      <c r="R90" s="179" t="e">
        <f t="shared" si="39"/>
        <v>#REF!</v>
      </c>
      <c r="S90" s="179" t="e">
        <f t="shared" si="39"/>
        <v>#REF!</v>
      </c>
      <c r="T90" s="179" t="e">
        <f t="shared" si="39"/>
        <v>#REF!</v>
      </c>
      <c r="U90" s="179" t="e">
        <f t="shared" si="39"/>
        <v>#REF!</v>
      </c>
      <c r="V90" s="179" t="e">
        <f t="shared" si="39"/>
        <v>#REF!</v>
      </c>
      <c r="W90" s="179" t="e">
        <f t="shared" si="39"/>
        <v>#REF!</v>
      </c>
      <c r="X90" s="179" t="e">
        <f t="shared" si="39"/>
        <v>#REF!</v>
      </c>
      <c r="Y90" s="179" t="e">
        <f t="shared" si="39"/>
        <v>#REF!</v>
      </c>
      <c r="Z90" s="179" t="e">
        <f t="shared" si="39"/>
        <v>#REF!</v>
      </c>
      <c r="AA90" s="179" t="e">
        <f t="shared" si="39"/>
        <v>#REF!</v>
      </c>
      <c r="AB90" s="179" t="e">
        <f t="shared" si="39"/>
        <v>#REF!</v>
      </c>
      <c r="AC90" s="179" t="e">
        <f t="shared" si="39"/>
        <v>#REF!</v>
      </c>
      <c r="AD90" s="179" t="e">
        <f t="shared" si="39"/>
        <v>#REF!</v>
      </c>
      <c r="AE90" s="179" t="e">
        <f t="shared" si="39"/>
        <v>#REF!</v>
      </c>
      <c r="AF90" s="179" t="e">
        <f t="shared" si="39"/>
        <v>#REF!</v>
      </c>
      <c r="AG90" s="179" t="e">
        <f t="shared" si="39"/>
        <v>#REF!</v>
      </c>
    </row>
    <row r="91" spans="1:35">
      <c r="A91" s="173" t="s">
        <v>319</v>
      </c>
      <c r="B91" s="173" t="s">
        <v>309</v>
      </c>
      <c r="C91" s="179" t="e">
        <f t="shared" ref="C91:AG91" si="40">C86*$C$34</f>
        <v>#REF!</v>
      </c>
      <c r="D91" s="179" t="e">
        <f t="shared" si="40"/>
        <v>#REF!</v>
      </c>
      <c r="E91" s="179" t="e">
        <f t="shared" si="40"/>
        <v>#REF!</v>
      </c>
      <c r="F91" s="179" t="e">
        <f t="shared" si="40"/>
        <v>#REF!</v>
      </c>
      <c r="G91" s="179" t="e">
        <f t="shared" si="40"/>
        <v>#REF!</v>
      </c>
      <c r="H91" s="179" t="e">
        <f t="shared" si="40"/>
        <v>#REF!</v>
      </c>
      <c r="I91" s="179" t="e">
        <f t="shared" si="40"/>
        <v>#REF!</v>
      </c>
      <c r="J91" s="179" t="e">
        <f t="shared" si="40"/>
        <v>#REF!</v>
      </c>
      <c r="K91" s="179" t="e">
        <f t="shared" si="40"/>
        <v>#REF!</v>
      </c>
      <c r="L91" s="179" t="e">
        <f t="shared" si="40"/>
        <v>#REF!</v>
      </c>
      <c r="M91" s="179" t="e">
        <f t="shared" si="40"/>
        <v>#REF!</v>
      </c>
      <c r="N91" s="179" t="e">
        <f t="shared" si="40"/>
        <v>#REF!</v>
      </c>
      <c r="O91" s="179" t="e">
        <f t="shared" si="40"/>
        <v>#REF!</v>
      </c>
      <c r="P91" s="179" t="e">
        <f t="shared" si="40"/>
        <v>#REF!</v>
      </c>
      <c r="Q91" s="179" t="e">
        <f t="shared" si="40"/>
        <v>#REF!</v>
      </c>
      <c r="R91" s="179" t="e">
        <f t="shared" si="40"/>
        <v>#REF!</v>
      </c>
      <c r="S91" s="179" t="e">
        <f t="shared" si="40"/>
        <v>#REF!</v>
      </c>
      <c r="T91" s="179" t="e">
        <f t="shared" si="40"/>
        <v>#REF!</v>
      </c>
      <c r="U91" s="179" t="e">
        <f t="shared" si="40"/>
        <v>#REF!</v>
      </c>
      <c r="V91" s="179" t="e">
        <f t="shared" si="40"/>
        <v>#REF!</v>
      </c>
      <c r="W91" s="179" t="e">
        <f t="shared" si="40"/>
        <v>#REF!</v>
      </c>
      <c r="X91" s="179" t="e">
        <f t="shared" si="40"/>
        <v>#REF!</v>
      </c>
      <c r="Y91" s="179" t="e">
        <f t="shared" si="40"/>
        <v>#REF!</v>
      </c>
      <c r="Z91" s="179" t="e">
        <f t="shared" si="40"/>
        <v>#REF!</v>
      </c>
      <c r="AA91" s="179" t="e">
        <f t="shared" si="40"/>
        <v>#REF!</v>
      </c>
      <c r="AB91" s="179" t="e">
        <f t="shared" si="40"/>
        <v>#REF!</v>
      </c>
      <c r="AC91" s="179" t="e">
        <f t="shared" si="40"/>
        <v>#REF!</v>
      </c>
      <c r="AD91" s="179" t="e">
        <f t="shared" si="40"/>
        <v>#REF!</v>
      </c>
      <c r="AE91" s="179" t="e">
        <f t="shared" si="40"/>
        <v>#REF!</v>
      </c>
      <c r="AF91" s="179" t="e">
        <f t="shared" si="40"/>
        <v>#REF!</v>
      </c>
      <c r="AG91" s="179" t="e">
        <f t="shared" si="40"/>
        <v>#REF!</v>
      </c>
    </row>
    <row r="92" spans="1:35" s="247" customFormat="1" ht="11.85" customHeight="1">
      <c r="A92" s="270" t="s">
        <v>414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5">
      <c r="A93" s="173" t="s">
        <v>312</v>
      </c>
      <c r="B93" s="173" t="s">
        <v>313</v>
      </c>
      <c r="C93" s="179" t="e">
        <f t="shared" ref="C93:AG93" si="41">-PMT($C$33,$C$31,C86)</f>
        <v>#REF!</v>
      </c>
      <c r="D93" s="179" t="e">
        <f t="shared" si="41"/>
        <v>#REF!</v>
      </c>
      <c r="E93" s="179" t="e">
        <f t="shared" si="41"/>
        <v>#REF!</v>
      </c>
      <c r="F93" s="179" t="e">
        <f t="shared" si="41"/>
        <v>#REF!</v>
      </c>
      <c r="G93" s="179" t="e">
        <f t="shared" si="41"/>
        <v>#REF!</v>
      </c>
      <c r="H93" s="179" t="e">
        <f t="shared" si="41"/>
        <v>#REF!</v>
      </c>
      <c r="I93" s="179" t="e">
        <f t="shared" si="41"/>
        <v>#REF!</v>
      </c>
      <c r="J93" s="179" t="e">
        <f t="shared" si="41"/>
        <v>#REF!</v>
      </c>
      <c r="K93" s="179" t="e">
        <f t="shared" si="41"/>
        <v>#REF!</v>
      </c>
      <c r="L93" s="179" t="e">
        <f t="shared" si="41"/>
        <v>#REF!</v>
      </c>
      <c r="M93" s="179" t="e">
        <f t="shared" si="41"/>
        <v>#REF!</v>
      </c>
      <c r="N93" s="179" t="e">
        <f t="shared" si="41"/>
        <v>#REF!</v>
      </c>
      <c r="O93" s="179" t="e">
        <f t="shared" si="41"/>
        <v>#REF!</v>
      </c>
      <c r="P93" s="179" t="e">
        <f t="shared" si="41"/>
        <v>#REF!</v>
      </c>
      <c r="Q93" s="179" t="e">
        <f t="shared" si="41"/>
        <v>#REF!</v>
      </c>
      <c r="R93" s="179" t="e">
        <f t="shared" si="41"/>
        <v>#REF!</v>
      </c>
      <c r="S93" s="179" t="e">
        <f t="shared" si="41"/>
        <v>#REF!</v>
      </c>
      <c r="T93" s="179" t="e">
        <f t="shared" si="41"/>
        <v>#REF!</v>
      </c>
      <c r="U93" s="179" t="e">
        <f t="shared" si="41"/>
        <v>#REF!</v>
      </c>
      <c r="V93" s="179" t="e">
        <f t="shared" si="41"/>
        <v>#REF!</v>
      </c>
      <c r="W93" s="179" t="e">
        <f t="shared" si="41"/>
        <v>#REF!</v>
      </c>
      <c r="X93" s="179" t="e">
        <f t="shared" si="41"/>
        <v>#REF!</v>
      </c>
      <c r="Y93" s="179" t="e">
        <f t="shared" si="41"/>
        <v>#REF!</v>
      </c>
      <c r="Z93" s="179" t="e">
        <f t="shared" si="41"/>
        <v>#REF!</v>
      </c>
      <c r="AA93" s="179" t="e">
        <f t="shared" si="41"/>
        <v>#REF!</v>
      </c>
      <c r="AB93" s="179" t="e">
        <f t="shared" si="41"/>
        <v>#REF!</v>
      </c>
      <c r="AC93" s="179" t="e">
        <f t="shared" si="41"/>
        <v>#REF!</v>
      </c>
      <c r="AD93" s="179" t="e">
        <f t="shared" si="41"/>
        <v>#REF!</v>
      </c>
      <c r="AE93" s="179" t="e">
        <f t="shared" si="41"/>
        <v>#REF!</v>
      </c>
      <c r="AF93" s="179" t="e">
        <f t="shared" si="41"/>
        <v>#REF!</v>
      </c>
      <c r="AG93" s="179" t="e">
        <f t="shared" si="41"/>
        <v>#REF!</v>
      </c>
    </row>
    <row r="94" spans="1:35">
      <c r="A94" s="173" t="s">
        <v>321</v>
      </c>
      <c r="B94" s="173" t="s">
        <v>313</v>
      </c>
      <c r="C94" s="179" t="e">
        <f t="shared" ref="C94:AG98" si="42">C87</f>
        <v>#REF!</v>
      </c>
      <c r="D94" s="179" t="e">
        <f t="shared" si="42"/>
        <v>#REF!</v>
      </c>
      <c r="E94" s="179" t="e">
        <f t="shared" si="42"/>
        <v>#REF!</v>
      </c>
      <c r="F94" s="179" t="e">
        <f t="shared" si="42"/>
        <v>#REF!</v>
      </c>
      <c r="G94" s="179" t="e">
        <f t="shared" si="42"/>
        <v>#REF!</v>
      </c>
      <c r="H94" s="179" t="e">
        <f t="shared" si="42"/>
        <v>#REF!</v>
      </c>
      <c r="I94" s="179" t="e">
        <f t="shared" si="42"/>
        <v>#REF!</v>
      </c>
      <c r="J94" s="179" t="e">
        <f t="shared" si="42"/>
        <v>#REF!</v>
      </c>
      <c r="K94" s="179" t="e">
        <f t="shared" si="42"/>
        <v>#REF!</v>
      </c>
      <c r="L94" s="179" t="e">
        <f t="shared" si="42"/>
        <v>#REF!</v>
      </c>
      <c r="M94" s="179" t="e">
        <f t="shared" si="42"/>
        <v>#REF!</v>
      </c>
      <c r="N94" s="179" t="e">
        <f t="shared" si="42"/>
        <v>#REF!</v>
      </c>
      <c r="O94" s="179" t="e">
        <f t="shared" si="42"/>
        <v>#REF!</v>
      </c>
      <c r="P94" s="179" t="e">
        <f t="shared" si="42"/>
        <v>#REF!</v>
      </c>
      <c r="Q94" s="179" t="e">
        <f t="shared" si="42"/>
        <v>#REF!</v>
      </c>
      <c r="R94" s="179" t="e">
        <f t="shared" si="42"/>
        <v>#REF!</v>
      </c>
      <c r="S94" s="179" t="e">
        <f t="shared" si="42"/>
        <v>#REF!</v>
      </c>
      <c r="T94" s="179" t="e">
        <f t="shared" si="42"/>
        <v>#REF!</v>
      </c>
      <c r="U94" s="179" t="e">
        <f t="shared" si="42"/>
        <v>#REF!</v>
      </c>
      <c r="V94" s="179" t="e">
        <f t="shared" si="42"/>
        <v>#REF!</v>
      </c>
      <c r="W94" s="179" t="e">
        <f t="shared" si="42"/>
        <v>#REF!</v>
      </c>
      <c r="X94" s="179" t="e">
        <f t="shared" si="42"/>
        <v>#REF!</v>
      </c>
      <c r="Y94" s="179" t="e">
        <f t="shared" si="42"/>
        <v>#REF!</v>
      </c>
      <c r="Z94" s="179" t="e">
        <f t="shared" si="42"/>
        <v>#REF!</v>
      </c>
      <c r="AA94" s="179" t="e">
        <f t="shared" si="42"/>
        <v>#REF!</v>
      </c>
      <c r="AB94" s="179" t="e">
        <f t="shared" si="42"/>
        <v>#REF!</v>
      </c>
      <c r="AC94" s="179" t="e">
        <f t="shared" si="42"/>
        <v>#REF!</v>
      </c>
      <c r="AD94" s="179" t="e">
        <f t="shared" si="42"/>
        <v>#REF!</v>
      </c>
      <c r="AE94" s="179" t="e">
        <f t="shared" si="42"/>
        <v>#REF!</v>
      </c>
      <c r="AF94" s="179" t="e">
        <f t="shared" si="42"/>
        <v>#REF!</v>
      </c>
      <c r="AG94" s="179" t="e">
        <f t="shared" si="42"/>
        <v>#REF!</v>
      </c>
    </row>
    <row r="95" spans="1:35">
      <c r="A95" s="173" t="s">
        <v>315</v>
      </c>
      <c r="B95" s="173" t="s">
        <v>313</v>
      </c>
      <c r="C95" s="179" t="e">
        <f t="shared" si="42"/>
        <v>#REF!</v>
      </c>
      <c r="D95" s="179" t="e">
        <f t="shared" si="42"/>
        <v>#REF!</v>
      </c>
      <c r="E95" s="179" t="e">
        <f t="shared" si="42"/>
        <v>#REF!</v>
      </c>
      <c r="F95" s="179" t="e">
        <f t="shared" si="42"/>
        <v>#REF!</v>
      </c>
      <c r="G95" s="179" t="e">
        <f t="shared" si="42"/>
        <v>#REF!</v>
      </c>
      <c r="H95" s="179" t="e">
        <f t="shared" si="42"/>
        <v>#REF!</v>
      </c>
      <c r="I95" s="179" t="e">
        <f t="shared" si="42"/>
        <v>#REF!</v>
      </c>
      <c r="J95" s="179" t="e">
        <f t="shared" si="42"/>
        <v>#REF!</v>
      </c>
      <c r="K95" s="179" t="e">
        <f t="shared" si="42"/>
        <v>#REF!</v>
      </c>
      <c r="L95" s="179" t="e">
        <f t="shared" si="42"/>
        <v>#REF!</v>
      </c>
      <c r="M95" s="179" t="e">
        <f t="shared" si="42"/>
        <v>#REF!</v>
      </c>
      <c r="N95" s="179" t="e">
        <f t="shared" si="42"/>
        <v>#REF!</v>
      </c>
      <c r="O95" s="179" t="e">
        <f t="shared" si="42"/>
        <v>#REF!</v>
      </c>
      <c r="P95" s="179" t="e">
        <f t="shared" si="42"/>
        <v>#REF!</v>
      </c>
      <c r="Q95" s="179" t="e">
        <f t="shared" si="42"/>
        <v>#REF!</v>
      </c>
      <c r="R95" s="179" t="e">
        <f t="shared" si="42"/>
        <v>#REF!</v>
      </c>
      <c r="S95" s="179" t="e">
        <f t="shared" si="42"/>
        <v>#REF!</v>
      </c>
      <c r="T95" s="179" t="e">
        <f t="shared" si="42"/>
        <v>#REF!</v>
      </c>
      <c r="U95" s="179" t="e">
        <f t="shared" si="42"/>
        <v>#REF!</v>
      </c>
      <c r="V95" s="179" t="e">
        <f t="shared" si="42"/>
        <v>#REF!</v>
      </c>
      <c r="W95" s="179" t="e">
        <f t="shared" si="42"/>
        <v>#REF!</v>
      </c>
      <c r="X95" s="179" t="e">
        <f t="shared" si="42"/>
        <v>#REF!</v>
      </c>
      <c r="Y95" s="179" t="e">
        <f t="shared" si="42"/>
        <v>#REF!</v>
      </c>
      <c r="Z95" s="179" t="e">
        <f t="shared" si="42"/>
        <v>#REF!</v>
      </c>
      <c r="AA95" s="179" t="e">
        <f t="shared" si="42"/>
        <v>#REF!</v>
      </c>
      <c r="AB95" s="179" t="e">
        <f t="shared" si="42"/>
        <v>#REF!</v>
      </c>
      <c r="AC95" s="179" t="e">
        <f t="shared" si="42"/>
        <v>#REF!</v>
      </c>
      <c r="AD95" s="179" t="e">
        <f t="shared" si="42"/>
        <v>#REF!</v>
      </c>
      <c r="AE95" s="179" t="e">
        <f t="shared" si="42"/>
        <v>#REF!</v>
      </c>
      <c r="AF95" s="179" t="e">
        <f t="shared" si="42"/>
        <v>#REF!</v>
      </c>
      <c r="AG95" s="179" t="e">
        <f t="shared" si="42"/>
        <v>#REF!</v>
      </c>
    </row>
    <row r="96" spans="1:35">
      <c r="A96" s="173" t="str">
        <f>A89</f>
        <v>Maintenance</v>
      </c>
      <c r="B96" s="173" t="s">
        <v>313</v>
      </c>
      <c r="C96" s="179" t="e">
        <f t="shared" si="42"/>
        <v>#REF!</v>
      </c>
      <c r="D96" s="179" t="e">
        <f t="shared" si="42"/>
        <v>#REF!</v>
      </c>
      <c r="E96" s="179" t="e">
        <f t="shared" si="42"/>
        <v>#REF!</v>
      </c>
      <c r="F96" s="179" t="e">
        <f t="shared" si="42"/>
        <v>#REF!</v>
      </c>
      <c r="G96" s="179" t="e">
        <f t="shared" si="42"/>
        <v>#REF!</v>
      </c>
      <c r="H96" s="179" t="e">
        <f t="shared" si="42"/>
        <v>#REF!</v>
      </c>
      <c r="I96" s="179" t="e">
        <f t="shared" si="42"/>
        <v>#REF!</v>
      </c>
      <c r="J96" s="179" t="e">
        <f t="shared" si="42"/>
        <v>#REF!</v>
      </c>
      <c r="K96" s="179" t="e">
        <f t="shared" si="42"/>
        <v>#REF!</v>
      </c>
      <c r="L96" s="179" t="e">
        <f t="shared" si="42"/>
        <v>#REF!</v>
      </c>
      <c r="M96" s="179" t="e">
        <f t="shared" si="42"/>
        <v>#REF!</v>
      </c>
      <c r="N96" s="179" t="e">
        <f t="shared" si="42"/>
        <v>#REF!</v>
      </c>
      <c r="O96" s="179" t="e">
        <f t="shared" si="42"/>
        <v>#REF!</v>
      </c>
      <c r="P96" s="179" t="e">
        <f t="shared" si="42"/>
        <v>#REF!</v>
      </c>
      <c r="Q96" s="179" t="e">
        <f t="shared" si="42"/>
        <v>#REF!</v>
      </c>
      <c r="R96" s="179" t="e">
        <f t="shared" si="42"/>
        <v>#REF!</v>
      </c>
      <c r="S96" s="179" t="e">
        <f t="shared" si="42"/>
        <v>#REF!</v>
      </c>
      <c r="T96" s="179" t="e">
        <f t="shared" si="42"/>
        <v>#REF!</v>
      </c>
      <c r="U96" s="179" t="e">
        <f t="shared" si="42"/>
        <v>#REF!</v>
      </c>
      <c r="V96" s="179" t="e">
        <f t="shared" si="42"/>
        <v>#REF!</v>
      </c>
      <c r="W96" s="179" t="e">
        <f t="shared" si="42"/>
        <v>#REF!</v>
      </c>
      <c r="X96" s="179" t="e">
        <f t="shared" si="42"/>
        <v>#REF!</v>
      </c>
      <c r="Y96" s="179" t="e">
        <f t="shared" si="42"/>
        <v>#REF!</v>
      </c>
      <c r="Z96" s="179" t="e">
        <f t="shared" si="42"/>
        <v>#REF!</v>
      </c>
      <c r="AA96" s="179" t="e">
        <f t="shared" si="42"/>
        <v>#REF!</v>
      </c>
      <c r="AB96" s="179" t="e">
        <f t="shared" si="42"/>
        <v>#REF!</v>
      </c>
      <c r="AC96" s="179" t="e">
        <f t="shared" si="42"/>
        <v>#REF!</v>
      </c>
      <c r="AD96" s="179" t="e">
        <f t="shared" si="42"/>
        <v>#REF!</v>
      </c>
      <c r="AE96" s="179" t="e">
        <f t="shared" si="42"/>
        <v>#REF!</v>
      </c>
      <c r="AF96" s="179" t="e">
        <f t="shared" si="42"/>
        <v>#REF!</v>
      </c>
      <c r="AG96" s="179" t="e">
        <f t="shared" si="42"/>
        <v>#REF!</v>
      </c>
    </row>
    <row r="97" spans="1:33">
      <c r="A97" s="173" t="str">
        <f>A90</f>
        <v>Toll Tax</v>
      </c>
      <c r="B97" s="173" t="s">
        <v>313</v>
      </c>
      <c r="C97" s="179" t="e">
        <f t="shared" si="42"/>
        <v>#REF!</v>
      </c>
      <c r="D97" s="179" t="e">
        <f t="shared" si="42"/>
        <v>#REF!</v>
      </c>
      <c r="E97" s="179" t="e">
        <f t="shared" si="42"/>
        <v>#REF!</v>
      </c>
      <c r="F97" s="179" t="e">
        <f t="shared" si="42"/>
        <v>#REF!</v>
      </c>
      <c r="G97" s="179" t="e">
        <f t="shared" si="42"/>
        <v>#REF!</v>
      </c>
      <c r="H97" s="179" t="e">
        <f t="shared" si="42"/>
        <v>#REF!</v>
      </c>
      <c r="I97" s="179" t="e">
        <f t="shared" si="42"/>
        <v>#REF!</v>
      </c>
      <c r="J97" s="179" t="e">
        <f t="shared" si="42"/>
        <v>#REF!</v>
      </c>
      <c r="K97" s="179" t="e">
        <f t="shared" si="42"/>
        <v>#REF!</v>
      </c>
      <c r="L97" s="179" t="e">
        <f t="shared" si="42"/>
        <v>#REF!</v>
      </c>
      <c r="M97" s="179" t="e">
        <f t="shared" si="42"/>
        <v>#REF!</v>
      </c>
      <c r="N97" s="179" t="e">
        <f t="shared" si="42"/>
        <v>#REF!</v>
      </c>
      <c r="O97" s="179" t="e">
        <f t="shared" si="42"/>
        <v>#REF!</v>
      </c>
      <c r="P97" s="179" t="e">
        <f t="shared" si="42"/>
        <v>#REF!</v>
      </c>
      <c r="Q97" s="179" t="e">
        <f t="shared" si="42"/>
        <v>#REF!</v>
      </c>
      <c r="R97" s="179" t="e">
        <f t="shared" si="42"/>
        <v>#REF!</v>
      </c>
      <c r="S97" s="179" t="e">
        <f t="shared" si="42"/>
        <v>#REF!</v>
      </c>
      <c r="T97" s="179" t="e">
        <f t="shared" si="42"/>
        <v>#REF!</v>
      </c>
      <c r="U97" s="179" t="e">
        <f t="shared" si="42"/>
        <v>#REF!</v>
      </c>
      <c r="V97" s="179" t="e">
        <f t="shared" si="42"/>
        <v>#REF!</v>
      </c>
      <c r="W97" s="179" t="e">
        <f t="shared" si="42"/>
        <v>#REF!</v>
      </c>
      <c r="X97" s="179" t="e">
        <f t="shared" si="42"/>
        <v>#REF!</v>
      </c>
      <c r="Y97" s="179" t="e">
        <f t="shared" si="42"/>
        <v>#REF!</v>
      </c>
      <c r="Z97" s="179" t="e">
        <f t="shared" si="42"/>
        <v>#REF!</v>
      </c>
      <c r="AA97" s="179" t="e">
        <f t="shared" si="42"/>
        <v>#REF!</v>
      </c>
      <c r="AB97" s="179" t="e">
        <f t="shared" si="42"/>
        <v>#REF!</v>
      </c>
      <c r="AC97" s="179" t="e">
        <f t="shared" si="42"/>
        <v>#REF!</v>
      </c>
      <c r="AD97" s="179" t="e">
        <f t="shared" si="42"/>
        <v>#REF!</v>
      </c>
      <c r="AE97" s="179" t="e">
        <f t="shared" si="42"/>
        <v>#REF!</v>
      </c>
      <c r="AF97" s="179" t="e">
        <f t="shared" si="42"/>
        <v>#REF!</v>
      </c>
      <c r="AG97" s="179" t="e">
        <f t="shared" si="42"/>
        <v>#REF!</v>
      </c>
    </row>
    <row r="98" spans="1:33">
      <c r="A98" s="173" t="s">
        <v>319</v>
      </c>
      <c r="B98" s="173" t="s">
        <v>313</v>
      </c>
      <c r="C98" s="179" t="e">
        <f t="shared" si="42"/>
        <v>#REF!</v>
      </c>
      <c r="D98" s="179" t="e">
        <f t="shared" si="42"/>
        <v>#REF!</v>
      </c>
      <c r="E98" s="179" t="e">
        <f t="shared" si="42"/>
        <v>#REF!</v>
      </c>
      <c r="F98" s="179" t="e">
        <f t="shared" si="42"/>
        <v>#REF!</v>
      </c>
      <c r="G98" s="179" t="e">
        <f t="shared" si="42"/>
        <v>#REF!</v>
      </c>
      <c r="H98" s="179" t="e">
        <f t="shared" si="42"/>
        <v>#REF!</v>
      </c>
      <c r="I98" s="179" t="e">
        <f t="shared" si="42"/>
        <v>#REF!</v>
      </c>
      <c r="J98" s="179" t="e">
        <f t="shared" si="42"/>
        <v>#REF!</v>
      </c>
      <c r="K98" s="179" t="e">
        <f t="shared" si="42"/>
        <v>#REF!</v>
      </c>
      <c r="L98" s="179" t="e">
        <f t="shared" si="42"/>
        <v>#REF!</v>
      </c>
      <c r="M98" s="179" t="e">
        <f t="shared" si="42"/>
        <v>#REF!</v>
      </c>
      <c r="N98" s="179" t="e">
        <f t="shared" si="42"/>
        <v>#REF!</v>
      </c>
      <c r="O98" s="179" t="e">
        <f t="shared" si="42"/>
        <v>#REF!</v>
      </c>
      <c r="P98" s="179" t="e">
        <f t="shared" si="42"/>
        <v>#REF!</v>
      </c>
      <c r="Q98" s="179" t="e">
        <f t="shared" si="42"/>
        <v>#REF!</v>
      </c>
      <c r="R98" s="179" t="e">
        <f t="shared" si="42"/>
        <v>#REF!</v>
      </c>
      <c r="S98" s="179" t="e">
        <f t="shared" si="42"/>
        <v>#REF!</v>
      </c>
      <c r="T98" s="179" t="e">
        <f t="shared" si="42"/>
        <v>#REF!</v>
      </c>
      <c r="U98" s="179" t="e">
        <f t="shared" si="42"/>
        <v>#REF!</v>
      </c>
      <c r="V98" s="179" t="e">
        <f t="shared" si="42"/>
        <v>#REF!</v>
      </c>
      <c r="W98" s="179" t="e">
        <f t="shared" si="42"/>
        <v>#REF!</v>
      </c>
      <c r="X98" s="179" t="e">
        <f t="shared" si="42"/>
        <v>#REF!</v>
      </c>
      <c r="Y98" s="179" t="e">
        <f t="shared" si="42"/>
        <v>#REF!</v>
      </c>
      <c r="Z98" s="179" t="e">
        <f t="shared" si="42"/>
        <v>#REF!</v>
      </c>
      <c r="AA98" s="179" t="e">
        <f t="shared" si="42"/>
        <v>#REF!</v>
      </c>
      <c r="AB98" s="179" t="e">
        <f t="shared" si="42"/>
        <v>#REF!</v>
      </c>
      <c r="AC98" s="179" t="e">
        <f t="shared" si="42"/>
        <v>#REF!</v>
      </c>
      <c r="AD98" s="179" t="e">
        <f t="shared" si="42"/>
        <v>#REF!</v>
      </c>
      <c r="AE98" s="179" t="e">
        <f t="shared" si="42"/>
        <v>#REF!</v>
      </c>
      <c r="AF98" s="179" t="e">
        <f t="shared" si="42"/>
        <v>#REF!</v>
      </c>
      <c r="AG98" s="179" t="e">
        <f t="shared" si="42"/>
        <v>#REF!</v>
      </c>
    </row>
    <row r="99" spans="1:33" s="247" customFormat="1" ht="11.85" customHeight="1">
      <c r="A99" s="270" t="s">
        <v>320</v>
      </c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</row>
    <row r="100" spans="1:33">
      <c r="A100" s="173" t="s">
        <v>312</v>
      </c>
      <c r="B100" s="173" t="s">
        <v>300</v>
      </c>
      <c r="C100" s="179" t="e">
        <f t="shared" ref="C100:AG100" si="43">C93/($C$28*$C$27)</f>
        <v>#REF!</v>
      </c>
      <c r="D100" s="179" t="e">
        <f t="shared" si="43"/>
        <v>#REF!</v>
      </c>
      <c r="E100" s="179" t="e">
        <f t="shared" si="43"/>
        <v>#REF!</v>
      </c>
      <c r="F100" s="179" t="e">
        <f t="shared" si="43"/>
        <v>#REF!</v>
      </c>
      <c r="G100" s="179" t="e">
        <f t="shared" si="43"/>
        <v>#REF!</v>
      </c>
      <c r="H100" s="179" t="e">
        <f t="shared" si="43"/>
        <v>#REF!</v>
      </c>
      <c r="I100" s="179" t="e">
        <f t="shared" si="43"/>
        <v>#REF!</v>
      </c>
      <c r="J100" s="179" t="e">
        <f t="shared" si="43"/>
        <v>#REF!</v>
      </c>
      <c r="K100" s="179" t="e">
        <f t="shared" si="43"/>
        <v>#REF!</v>
      </c>
      <c r="L100" s="179" t="e">
        <f t="shared" si="43"/>
        <v>#REF!</v>
      </c>
      <c r="M100" s="179" t="e">
        <f t="shared" si="43"/>
        <v>#REF!</v>
      </c>
      <c r="N100" s="179" t="e">
        <f t="shared" si="43"/>
        <v>#REF!</v>
      </c>
      <c r="O100" s="179" t="e">
        <f t="shared" si="43"/>
        <v>#REF!</v>
      </c>
      <c r="P100" s="179" t="e">
        <f t="shared" si="43"/>
        <v>#REF!</v>
      </c>
      <c r="Q100" s="179" t="e">
        <f t="shared" si="43"/>
        <v>#REF!</v>
      </c>
      <c r="R100" s="179" t="e">
        <f t="shared" si="43"/>
        <v>#REF!</v>
      </c>
      <c r="S100" s="179" t="e">
        <f t="shared" si="43"/>
        <v>#REF!</v>
      </c>
      <c r="T100" s="179" t="e">
        <f t="shared" si="43"/>
        <v>#REF!</v>
      </c>
      <c r="U100" s="179" t="e">
        <f t="shared" si="43"/>
        <v>#REF!</v>
      </c>
      <c r="V100" s="179" t="e">
        <f t="shared" si="43"/>
        <v>#REF!</v>
      </c>
      <c r="W100" s="179" t="e">
        <f t="shared" si="43"/>
        <v>#REF!</v>
      </c>
      <c r="X100" s="179" t="e">
        <f t="shared" si="43"/>
        <v>#REF!</v>
      </c>
      <c r="Y100" s="179" t="e">
        <f t="shared" si="43"/>
        <v>#REF!</v>
      </c>
      <c r="Z100" s="179" t="e">
        <f t="shared" si="43"/>
        <v>#REF!</v>
      </c>
      <c r="AA100" s="179" t="e">
        <f t="shared" si="43"/>
        <v>#REF!</v>
      </c>
      <c r="AB100" s="179" t="e">
        <f t="shared" si="43"/>
        <v>#REF!</v>
      </c>
      <c r="AC100" s="179" t="e">
        <f t="shared" si="43"/>
        <v>#REF!</v>
      </c>
      <c r="AD100" s="179" t="e">
        <f t="shared" si="43"/>
        <v>#REF!</v>
      </c>
      <c r="AE100" s="179" t="e">
        <f t="shared" si="43"/>
        <v>#REF!</v>
      </c>
      <c r="AF100" s="179" t="e">
        <f t="shared" si="43"/>
        <v>#REF!</v>
      </c>
      <c r="AG100" s="179" t="e">
        <f t="shared" si="43"/>
        <v>#REF!</v>
      </c>
    </row>
    <row r="101" spans="1:33">
      <c r="A101" s="173" t="s">
        <v>321</v>
      </c>
      <c r="B101" s="173" t="s">
        <v>300</v>
      </c>
      <c r="C101" s="179" t="e">
        <f t="shared" ref="C101:AG101" si="44">(C94+C95)/($C$28*$C$27)</f>
        <v>#REF!</v>
      </c>
      <c r="D101" s="179" t="e">
        <f t="shared" si="44"/>
        <v>#REF!</v>
      </c>
      <c r="E101" s="179" t="e">
        <f t="shared" si="44"/>
        <v>#REF!</v>
      </c>
      <c r="F101" s="179" t="e">
        <f t="shared" si="44"/>
        <v>#REF!</v>
      </c>
      <c r="G101" s="179" t="e">
        <f t="shared" si="44"/>
        <v>#REF!</v>
      </c>
      <c r="H101" s="179" t="e">
        <f t="shared" si="44"/>
        <v>#REF!</v>
      </c>
      <c r="I101" s="179" t="e">
        <f t="shared" si="44"/>
        <v>#REF!</v>
      </c>
      <c r="J101" s="179" t="e">
        <f t="shared" si="44"/>
        <v>#REF!</v>
      </c>
      <c r="K101" s="179" t="e">
        <f t="shared" si="44"/>
        <v>#REF!</v>
      </c>
      <c r="L101" s="179" t="e">
        <f t="shared" si="44"/>
        <v>#REF!</v>
      </c>
      <c r="M101" s="179" t="e">
        <f t="shared" si="44"/>
        <v>#REF!</v>
      </c>
      <c r="N101" s="179" t="e">
        <f t="shared" si="44"/>
        <v>#REF!</v>
      </c>
      <c r="O101" s="179" t="e">
        <f t="shared" si="44"/>
        <v>#REF!</v>
      </c>
      <c r="P101" s="179" t="e">
        <f t="shared" si="44"/>
        <v>#REF!</v>
      </c>
      <c r="Q101" s="179" t="e">
        <f t="shared" si="44"/>
        <v>#REF!</v>
      </c>
      <c r="R101" s="179" t="e">
        <f t="shared" si="44"/>
        <v>#REF!</v>
      </c>
      <c r="S101" s="179" t="e">
        <f t="shared" si="44"/>
        <v>#REF!</v>
      </c>
      <c r="T101" s="179" t="e">
        <f t="shared" si="44"/>
        <v>#REF!</v>
      </c>
      <c r="U101" s="179" t="e">
        <f t="shared" si="44"/>
        <v>#REF!</v>
      </c>
      <c r="V101" s="179" t="e">
        <f t="shared" si="44"/>
        <v>#REF!</v>
      </c>
      <c r="W101" s="179" t="e">
        <f t="shared" si="44"/>
        <v>#REF!</v>
      </c>
      <c r="X101" s="179" t="e">
        <f t="shared" si="44"/>
        <v>#REF!</v>
      </c>
      <c r="Y101" s="179" t="e">
        <f t="shared" si="44"/>
        <v>#REF!</v>
      </c>
      <c r="Z101" s="179" t="e">
        <f t="shared" si="44"/>
        <v>#REF!</v>
      </c>
      <c r="AA101" s="179" t="e">
        <f t="shared" si="44"/>
        <v>#REF!</v>
      </c>
      <c r="AB101" s="179" t="e">
        <f t="shared" si="44"/>
        <v>#REF!</v>
      </c>
      <c r="AC101" s="179" t="e">
        <f t="shared" si="44"/>
        <v>#REF!</v>
      </c>
      <c r="AD101" s="179" t="e">
        <f t="shared" si="44"/>
        <v>#REF!</v>
      </c>
      <c r="AE101" s="179" t="e">
        <f t="shared" si="44"/>
        <v>#REF!</v>
      </c>
      <c r="AF101" s="179" t="e">
        <f t="shared" si="44"/>
        <v>#REF!</v>
      </c>
      <c r="AG101" s="179" t="e">
        <f t="shared" si="44"/>
        <v>#REF!</v>
      </c>
    </row>
    <row r="102" spans="1:33">
      <c r="A102" s="173" t="s">
        <v>322</v>
      </c>
      <c r="B102" s="173" t="s">
        <v>300</v>
      </c>
      <c r="C102" s="179" t="e">
        <f t="shared" ref="C102:AG102" si="45">(C96+C98+C70)/($C$28*$C$27)+C63</f>
        <v>#REF!</v>
      </c>
      <c r="D102" s="179" t="e">
        <f t="shared" si="45"/>
        <v>#REF!</v>
      </c>
      <c r="E102" s="179" t="e">
        <f t="shared" si="45"/>
        <v>#REF!</v>
      </c>
      <c r="F102" s="179" t="e">
        <f t="shared" si="45"/>
        <v>#REF!</v>
      </c>
      <c r="G102" s="179" t="e">
        <f t="shared" si="45"/>
        <v>#REF!</v>
      </c>
      <c r="H102" s="179" t="e">
        <f t="shared" si="45"/>
        <v>#REF!</v>
      </c>
      <c r="I102" s="179" t="e">
        <f t="shared" si="45"/>
        <v>#REF!</v>
      </c>
      <c r="J102" s="179" t="e">
        <f t="shared" si="45"/>
        <v>#REF!</v>
      </c>
      <c r="K102" s="179" t="e">
        <f t="shared" si="45"/>
        <v>#REF!</v>
      </c>
      <c r="L102" s="179" t="e">
        <f t="shared" si="45"/>
        <v>#REF!</v>
      </c>
      <c r="M102" s="179" t="e">
        <f t="shared" si="45"/>
        <v>#REF!</v>
      </c>
      <c r="N102" s="179" t="e">
        <f t="shared" si="45"/>
        <v>#REF!</v>
      </c>
      <c r="O102" s="179" t="e">
        <f t="shared" si="45"/>
        <v>#REF!</v>
      </c>
      <c r="P102" s="179" t="e">
        <f t="shared" si="45"/>
        <v>#REF!</v>
      </c>
      <c r="Q102" s="179" t="e">
        <f t="shared" si="45"/>
        <v>#REF!</v>
      </c>
      <c r="R102" s="179" t="e">
        <f t="shared" si="45"/>
        <v>#REF!</v>
      </c>
      <c r="S102" s="179" t="e">
        <f t="shared" si="45"/>
        <v>#REF!</v>
      </c>
      <c r="T102" s="179" t="e">
        <f t="shared" si="45"/>
        <v>#REF!</v>
      </c>
      <c r="U102" s="179" t="e">
        <f t="shared" si="45"/>
        <v>#REF!</v>
      </c>
      <c r="V102" s="179" t="e">
        <f t="shared" si="45"/>
        <v>#REF!</v>
      </c>
      <c r="W102" s="179" t="e">
        <f t="shared" si="45"/>
        <v>#REF!</v>
      </c>
      <c r="X102" s="179" t="e">
        <f t="shared" si="45"/>
        <v>#REF!</v>
      </c>
      <c r="Y102" s="179" t="e">
        <f t="shared" si="45"/>
        <v>#REF!</v>
      </c>
      <c r="Z102" s="179" t="e">
        <f t="shared" si="45"/>
        <v>#REF!</v>
      </c>
      <c r="AA102" s="179" t="e">
        <f t="shared" si="45"/>
        <v>#REF!</v>
      </c>
      <c r="AB102" s="179" t="e">
        <f t="shared" si="45"/>
        <v>#REF!</v>
      </c>
      <c r="AC102" s="179" t="e">
        <f t="shared" si="45"/>
        <v>#REF!</v>
      </c>
      <c r="AD102" s="179" t="e">
        <f t="shared" si="45"/>
        <v>#REF!</v>
      </c>
      <c r="AE102" s="179" t="e">
        <f t="shared" si="45"/>
        <v>#REF!</v>
      </c>
      <c r="AF102" s="179" t="e">
        <f t="shared" si="45"/>
        <v>#REF!</v>
      </c>
      <c r="AG102" s="179" t="e">
        <f t="shared" si="45"/>
        <v>#REF!</v>
      </c>
    </row>
    <row r="103" spans="1:33">
      <c r="C103" s="271" t="e">
        <f t="shared" ref="C103:AG103" si="46">SUM(C100:C102)</f>
        <v>#REF!</v>
      </c>
      <c r="D103" s="271" t="e">
        <f t="shared" si="46"/>
        <v>#REF!</v>
      </c>
      <c r="E103" s="271" t="e">
        <f t="shared" si="46"/>
        <v>#REF!</v>
      </c>
      <c r="F103" s="271" t="e">
        <f t="shared" si="46"/>
        <v>#REF!</v>
      </c>
      <c r="G103" s="271" t="e">
        <f t="shared" si="46"/>
        <v>#REF!</v>
      </c>
      <c r="H103" s="271" t="e">
        <f t="shared" si="46"/>
        <v>#REF!</v>
      </c>
      <c r="I103" s="271" t="e">
        <f t="shared" si="46"/>
        <v>#REF!</v>
      </c>
      <c r="J103" s="271" t="e">
        <f t="shared" si="46"/>
        <v>#REF!</v>
      </c>
      <c r="K103" s="271" t="e">
        <f t="shared" si="46"/>
        <v>#REF!</v>
      </c>
      <c r="L103" s="271" t="e">
        <f t="shared" si="46"/>
        <v>#REF!</v>
      </c>
      <c r="M103" s="271" t="e">
        <f t="shared" si="46"/>
        <v>#REF!</v>
      </c>
      <c r="N103" s="271" t="e">
        <f t="shared" si="46"/>
        <v>#REF!</v>
      </c>
      <c r="O103" s="271" t="e">
        <f t="shared" si="46"/>
        <v>#REF!</v>
      </c>
      <c r="P103" s="271" t="e">
        <f t="shared" si="46"/>
        <v>#REF!</v>
      </c>
      <c r="Q103" s="271" t="e">
        <f t="shared" si="46"/>
        <v>#REF!</v>
      </c>
      <c r="R103" s="271" t="e">
        <f t="shared" si="46"/>
        <v>#REF!</v>
      </c>
      <c r="S103" s="271" t="e">
        <f t="shared" si="46"/>
        <v>#REF!</v>
      </c>
      <c r="T103" s="271" t="e">
        <f t="shared" si="46"/>
        <v>#REF!</v>
      </c>
      <c r="U103" s="271" t="e">
        <f t="shared" si="46"/>
        <v>#REF!</v>
      </c>
      <c r="V103" s="271" t="e">
        <f t="shared" si="46"/>
        <v>#REF!</v>
      </c>
      <c r="W103" s="271" t="e">
        <f t="shared" si="46"/>
        <v>#REF!</v>
      </c>
      <c r="X103" s="271" t="e">
        <f t="shared" si="46"/>
        <v>#REF!</v>
      </c>
      <c r="Y103" s="271" t="e">
        <f t="shared" si="46"/>
        <v>#REF!</v>
      </c>
      <c r="Z103" s="271" t="e">
        <f t="shared" si="46"/>
        <v>#REF!</v>
      </c>
      <c r="AA103" s="271" t="e">
        <f t="shared" si="46"/>
        <v>#REF!</v>
      </c>
      <c r="AB103" s="271" t="e">
        <f t="shared" si="46"/>
        <v>#REF!</v>
      </c>
      <c r="AC103" s="271" t="e">
        <f t="shared" si="46"/>
        <v>#REF!</v>
      </c>
      <c r="AD103" s="271" t="e">
        <f t="shared" si="46"/>
        <v>#REF!</v>
      </c>
      <c r="AE103" s="271" t="e">
        <f t="shared" si="46"/>
        <v>#REF!</v>
      </c>
      <c r="AF103" s="271" t="e">
        <f t="shared" si="46"/>
        <v>#REF!</v>
      </c>
      <c r="AG103" s="271" t="e">
        <f t="shared" si="46"/>
        <v>#REF!</v>
      </c>
    </row>
    <row r="104" spans="1:33" s="225" customFormat="1">
      <c r="A104" s="223" t="s">
        <v>179</v>
      </c>
      <c r="B104" s="223"/>
      <c r="H104" s="272" t="e">
        <f>H107/K69</f>
        <v>#REF!</v>
      </c>
      <c r="AB104" s="272" t="e">
        <f>AB107/AE69</f>
        <v>#REF!</v>
      </c>
    </row>
    <row r="105" spans="1:33">
      <c r="A105" s="235" t="s">
        <v>41</v>
      </c>
      <c r="B105" s="235"/>
      <c r="C105" s="235">
        <v>2025</v>
      </c>
      <c r="D105" s="235">
        <f t="shared" ref="D105:AG105" si="47">C105+1</f>
        <v>2026</v>
      </c>
      <c r="E105" s="235">
        <f t="shared" si="47"/>
        <v>2027</v>
      </c>
      <c r="F105" s="235">
        <f t="shared" si="47"/>
        <v>2028</v>
      </c>
      <c r="G105" s="235">
        <f t="shared" si="47"/>
        <v>2029</v>
      </c>
      <c r="H105" s="235">
        <f t="shared" si="47"/>
        <v>2030</v>
      </c>
      <c r="I105" s="235">
        <f t="shared" si="47"/>
        <v>2031</v>
      </c>
      <c r="J105" s="235">
        <f t="shared" si="47"/>
        <v>2032</v>
      </c>
      <c r="K105" s="235">
        <f t="shared" si="47"/>
        <v>2033</v>
      </c>
      <c r="L105" s="235">
        <f t="shared" si="47"/>
        <v>2034</v>
      </c>
      <c r="M105" s="235">
        <f t="shared" si="47"/>
        <v>2035</v>
      </c>
      <c r="N105" s="235">
        <f t="shared" si="47"/>
        <v>2036</v>
      </c>
      <c r="O105" s="235">
        <f t="shared" si="47"/>
        <v>2037</v>
      </c>
      <c r="P105" s="235">
        <f t="shared" si="47"/>
        <v>2038</v>
      </c>
      <c r="Q105" s="235">
        <f t="shared" si="47"/>
        <v>2039</v>
      </c>
      <c r="R105" s="235">
        <f t="shared" si="47"/>
        <v>2040</v>
      </c>
      <c r="S105" s="235">
        <f t="shared" si="47"/>
        <v>2041</v>
      </c>
      <c r="T105" s="235">
        <f t="shared" si="47"/>
        <v>2042</v>
      </c>
      <c r="U105" s="235">
        <f t="shared" si="47"/>
        <v>2043</v>
      </c>
      <c r="V105" s="235">
        <f t="shared" si="47"/>
        <v>2044</v>
      </c>
      <c r="W105" s="235">
        <f t="shared" si="47"/>
        <v>2045</v>
      </c>
      <c r="X105" s="235">
        <f t="shared" si="47"/>
        <v>2046</v>
      </c>
      <c r="Y105" s="235">
        <f t="shared" si="47"/>
        <v>2047</v>
      </c>
      <c r="Z105" s="235">
        <f t="shared" si="47"/>
        <v>2048</v>
      </c>
      <c r="AA105" s="235">
        <f t="shared" si="47"/>
        <v>2049</v>
      </c>
      <c r="AB105" s="235">
        <f t="shared" si="47"/>
        <v>2050</v>
      </c>
      <c r="AC105" s="235">
        <f t="shared" si="47"/>
        <v>2051</v>
      </c>
      <c r="AD105" s="235">
        <f t="shared" si="47"/>
        <v>2052</v>
      </c>
      <c r="AE105" s="235">
        <f t="shared" si="47"/>
        <v>2053</v>
      </c>
      <c r="AF105" s="235">
        <f t="shared" si="47"/>
        <v>2054</v>
      </c>
      <c r="AG105" s="235">
        <f t="shared" si="47"/>
        <v>2055</v>
      </c>
    </row>
    <row r="106" spans="1:33">
      <c r="A106" s="290" t="s">
        <v>415</v>
      </c>
      <c r="B106" s="173" t="s">
        <v>309</v>
      </c>
      <c r="C106" s="309" t="e">
        <f>#REF!</f>
        <v>#REF!</v>
      </c>
      <c r="D106" s="179" t="e">
        <f>ROUND((C106*(1+#REF!))/1000,0)*1000</f>
        <v>#REF!</v>
      </c>
      <c r="E106" s="179" t="e">
        <f>ROUND((D106*(1+#REF!))/1000,0)*1000</f>
        <v>#REF!</v>
      </c>
      <c r="F106" s="179" t="e">
        <f>ROUND((E106*(1+#REF!))/1000,0)*1000</f>
        <v>#REF!</v>
      </c>
      <c r="G106" s="179" t="e">
        <f>ROUND((F106*(1+#REF!))/1000,0)*1000</f>
        <v>#REF!</v>
      </c>
      <c r="H106" s="179" t="e">
        <f>ROUND((G106*(1+#REF!))/1000,0)*1000</f>
        <v>#REF!</v>
      </c>
      <c r="I106" s="179" t="e">
        <f>ROUND((H106*(1+#REF!))/1000,0)*1000</f>
        <v>#REF!</v>
      </c>
      <c r="J106" s="179" t="e">
        <f>ROUND((I106*(1+#REF!))/1000,0)*1000</f>
        <v>#REF!</v>
      </c>
      <c r="K106" s="179" t="e">
        <f>ROUND((J106*(1+#REF!))/1000,0)*1000</f>
        <v>#REF!</v>
      </c>
      <c r="L106" s="179" t="e">
        <f>ROUND((K106*(1+#REF!))/1000,0)*1000</f>
        <v>#REF!</v>
      </c>
      <c r="M106" s="179" t="e">
        <f>ROUND((L106*(1+#REF!))/1000,0)*1000</f>
        <v>#REF!</v>
      </c>
      <c r="N106" s="179" t="e">
        <f>ROUND((M106*(1+#REF!))/1000,0)*1000</f>
        <v>#REF!</v>
      </c>
      <c r="O106" s="179" t="e">
        <f>ROUND((N106*(1+#REF!))/1000,0)*1000</f>
        <v>#REF!</v>
      </c>
      <c r="P106" s="179" t="e">
        <f>ROUND((O106*(1+#REF!))/1000,0)*1000</f>
        <v>#REF!</v>
      </c>
      <c r="Q106" s="179" t="e">
        <f>ROUND((P106*(1+#REF!))/1000,0)*1000</f>
        <v>#REF!</v>
      </c>
      <c r="R106" s="179" t="e">
        <f>ROUND((Q106*(1+#REF!))/1000,0)*1000</f>
        <v>#REF!</v>
      </c>
      <c r="S106" s="179" t="e">
        <f>ROUND((R106*(1+#REF!))/1000,0)*1000</f>
        <v>#REF!</v>
      </c>
      <c r="T106" s="179" t="e">
        <f>ROUND((S106*(1+#REF!))/1000,0)*1000</f>
        <v>#REF!</v>
      </c>
      <c r="U106" s="179" t="e">
        <f>ROUND((T106*(1+#REF!))/1000,0)*1000</f>
        <v>#REF!</v>
      </c>
      <c r="V106" s="179" t="e">
        <f>ROUND((U106*(1+#REF!))/1000,0)*1000</f>
        <v>#REF!</v>
      </c>
      <c r="W106" s="179" t="e">
        <f>ROUND((V106*(1+#REF!))/1000,0)*1000</f>
        <v>#REF!</v>
      </c>
      <c r="X106" s="179" t="e">
        <f>ROUND((W106*(1+#REF!))/1000,0)*1000</f>
        <v>#REF!</v>
      </c>
      <c r="Y106" s="179" t="e">
        <f>ROUND((X106*(1+#REF!))/1000,0)*1000</f>
        <v>#REF!</v>
      </c>
      <c r="Z106" s="179" t="e">
        <f>ROUND((Y106*(1+#REF!))/1000,0)*1000</f>
        <v>#REF!</v>
      </c>
      <c r="AA106" s="179" t="e">
        <f>ROUND((Z106*(1+#REF!))/1000,0)*1000</f>
        <v>#REF!</v>
      </c>
      <c r="AB106" s="179" t="e">
        <f>ROUND((AA106*(1+#REF!))/1000,0)*1000</f>
        <v>#REF!</v>
      </c>
      <c r="AC106" s="179" t="e">
        <f>ROUND((AB106*(1+#REF!))/1000,0)*1000</f>
        <v>#REF!</v>
      </c>
      <c r="AD106" s="179" t="e">
        <f>ROUND((AC106*(1+#REF!))/1000,0)*1000</f>
        <v>#REF!</v>
      </c>
      <c r="AE106" s="179" t="e">
        <f>ROUND((AD106*(1+#REF!))/1000,0)*1000</f>
        <v>#REF!</v>
      </c>
      <c r="AF106" s="179" t="e">
        <f>ROUND((AE106*(1+#REF!))/1000,0)*1000</f>
        <v>#REF!</v>
      </c>
      <c r="AG106" s="179" t="e">
        <f>ROUND((AF106*(1+#REF!))/1000,0)*1000</f>
        <v>#REF!</v>
      </c>
    </row>
    <row r="107" spans="1:33">
      <c r="A107" s="290" t="s">
        <v>324</v>
      </c>
      <c r="B107" s="173" t="s">
        <v>309</v>
      </c>
      <c r="C107" s="309" t="e">
        <f>C86+C106</f>
        <v>#REF!</v>
      </c>
      <c r="D107" s="309" t="e">
        <f>D86+D106</f>
        <v>#REF!</v>
      </c>
      <c r="E107" s="309" t="e">
        <f>E86+E106</f>
        <v>#REF!</v>
      </c>
      <c r="F107" s="309" t="e">
        <f t="shared" ref="F107:AG107" si="48">F86+F106</f>
        <v>#REF!</v>
      </c>
      <c r="G107" s="309" t="e">
        <f t="shared" si="48"/>
        <v>#REF!</v>
      </c>
      <c r="H107" s="309" t="e">
        <f t="shared" si="48"/>
        <v>#REF!</v>
      </c>
      <c r="I107" s="309" t="e">
        <f t="shared" si="48"/>
        <v>#REF!</v>
      </c>
      <c r="J107" s="309" t="e">
        <f t="shared" si="48"/>
        <v>#REF!</v>
      </c>
      <c r="K107" s="309" t="e">
        <f t="shared" si="48"/>
        <v>#REF!</v>
      </c>
      <c r="L107" s="309" t="e">
        <f t="shared" si="48"/>
        <v>#REF!</v>
      </c>
      <c r="M107" s="309" t="e">
        <f t="shared" si="48"/>
        <v>#REF!</v>
      </c>
      <c r="N107" s="309" t="e">
        <f t="shared" si="48"/>
        <v>#REF!</v>
      </c>
      <c r="O107" s="309" t="e">
        <f t="shared" si="48"/>
        <v>#REF!</v>
      </c>
      <c r="P107" s="309" t="e">
        <f t="shared" si="48"/>
        <v>#REF!</v>
      </c>
      <c r="Q107" s="309" t="e">
        <f t="shared" si="48"/>
        <v>#REF!</v>
      </c>
      <c r="R107" s="309" t="e">
        <f t="shared" si="48"/>
        <v>#REF!</v>
      </c>
      <c r="S107" s="309" t="e">
        <f t="shared" si="48"/>
        <v>#REF!</v>
      </c>
      <c r="T107" s="309" t="e">
        <f t="shared" si="48"/>
        <v>#REF!</v>
      </c>
      <c r="U107" s="309" t="e">
        <f t="shared" si="48"/>
        <v>#REF!</v>
      </c>
      <c r="V107" s="309" t="e">
        <f t="shared" si="48"/>
        <v>#REF!</v>
      </c>
      <c r="W107" s="309" t="e">
        <f t="shared" si="48"/>
        <v>#REF!</v>
      </c>
      <c r="X107" s="309" t="e">
        <f t="shared" si="48"/>
        <v>#REF!</v>
      </c>
      <c r="Y107" s="309" t="e">
        <f t="shared" si="48"/>
        <v>#REF!</v>
      </c>
      <c r="Z107" s="309" t="e">
        <f t="shared" si="48"/>
        <v>#REF!</v>
      </c>
      <c r="AA107" s="309" t="e">
        <f t="shared" si="48"/>
        <v>#REF!</v>
      </c>
      <c r="AB107" s="309" t="e">
        <f t="shared" si="48"/>
        <v>#REF!</v>
      </c>
      <c r="AC107" s="309" t="e">
        <f t="shared" si="48"/>
        <v>#REF!</v>
      </c>
      <c r="AD107" s="309" t="e">
        <f t="shared" si="48"/>
        <v>#REF!</v>
      </c>
      <c r="AE107" s="309" t="e">
        <f t="shared" si="48"/>
        <v>#REF!</v>
      </c>
      <c r="AF107" s="309" t="e">
        <f t="shared" si="48"/>
        <v>#REF!</v>
      </c>
      <c r="AG107" s="309" t="e">
        <f t="shared" si="48"/>
        <v>#REF!</v>
      </c>
    </row>
    <row r="108" spans="1:33">
      <c r="A108" s="173" t="s">
        <v>321</v>
      </c>
      <c r="B108" s="173" t="s">
        <v>309</v>
      </c>
      <c r="C108" s="179" t="e">
        <f t="shared" ref="C108:AG108" si="49">C41*$D$82</f>
        <v>#REF!</v>
      </c>
      <c r="D108" s="179" t="e">
        <f t="shared" si="49"/>
        <v>#REF!</v>
      </c>
      <c r="E108" s="179" t="e">
        <f t="shared" si="49"/>
        <v>#REF!</v>
      </c>
      <c r="F108" s="179" t="e">
        <f t="shared" si="49"/>
        <v>#REF!</v>
      </c>
      <c r="G108" s="179" t="e">
        <f t="shared" si="49"/>
        <v>#REF!</v>
      </c>
      <c r="H108" s="179" t="e">
        <f t="shared" si="49"/>
        <v>#REF!</v>
      </c>
      <c r="I108" s="179" t="e">
        <f t="shared" si="49"/>
        <v>#REF!</v>
      </c>
      <c r="J108" s="179" t="e">
        <f t="shared" si="49"/>
        <v>#REF!</v>
      </c>
      <c r="K108" s="179" t="e">
        <f t="shared" si="49"/>
        <v>#REF!</v>
      </c>
      <c r="L108" s="179" t="e">
        <f t="shared" si="49"/>
        <v>#REF!</v>
      </c>
      <c r="M108" s="179" t="e">
        <f t="shared" si="49"/>
        <v>#REF!</v>
      </c>
      <c r="N108" s="179" t="e">
        <f t="shared" si="49"/>
        <v>#REF!</v>
      </c>
      <c r="O108" s="179" t="e">
        <f t="shared" si="49"/>
        <v>#REF!</v>
      </c>
      <c r="P108" s="179" t="e">
        <f t="shared" si="49"/>
        <v>#REF!</v>
      </c>
      <c r="Q108" s="179" t="e">
        <f t="shared" si="49"/>
        <v>#REF!</v>
      </c>
      <c r="R108" s="179" t="e">
        <f t="shared" si="49"/>
        <v>#REF!</v>
      </c>
      <c r="S108" s="179" t="e">
        <f t="shared" si="49"/>
        <v>#REF!</v>
      </c>
      <c r="T108" s="179" t="e">
        <f t="shared" si="49"/>
        <v>#REF!</v>
      </c>
      <c r="U108" s="179" t="e">
        <f t="shared" si="49"/>
        <v>#REF!</v>
      </c>
      <c r="V108" s="179" t="e">
        <f t="shared" si="49"/>
        <v>#REF!</v>
      </c>
      <c r="W108" s="179" t="e">
        <f t="shared" si="49"/>
        <v>#REF!</v>
      </c>
      <c r="X108" s="179" t="e">
        <f t="shared" si="49"/>
        <v>#REF!</v>
      </c>
      <c r="Y108" s="179" t="e">
        <f t="shared" si="49"/>
        <v>#REF!</v>
      </c>
      <c r="Z108" s="179" t="e">
        <f t="shared" si="49"/>
        <v>#REF!</v>
      </c>
      <c r="AA108" s="179" t="e">
        <f t="shared" si="49"/>
        <v>#REF!</v>
      </c>
      <c r="AB108" s="179" t="e">
        <f t="shared" si="49"/>
        <v>#REF!</v>
      </c>
      <c r="AC108" s="179" t="e">
        <f t="shared" si="49"/>
        <v>#REF!</v>
      </c>
      <c r="AD108" s="179" t="e">
        <f t="shared" si="49"/>
        <v>#REF!</v>
      </c>
      <c r="AE108" s="179" t="e">
        <f t="shared" si="49"/>
        <v>#REF!</v>
      </c>
      <c r="AF108" s="179" t="e">
        <f t="shared" si="49"/>
        <v>#REF!</v>
      </c>
      <c r="AG108" s="179" t="e">
        <f t="shared" si="49"/>
        <v>#REF!</v>
      </c>
    </row>
    <row r="109" spans="1:33">
      <c r="A109" s="173" t="s">
        <v>317</v>
      </c>
      <c r="B109" s="173" t="s">
        <v>309</v>
      </c>
      <c r="C109" s="309" t="e">
        <f t="shared" ref="C109:AG109" si="50">C66*$C$27*$C$28</f>
        <v>#REF!</v>
      </c>
      <c r="D109" s="309" t="e">
        <f t="shared" si="50"/>
        <v>#REF!</v>
      </c>
      <c r="E109" s="309" t="e">
        <f t="shared" si="50"/>
        <v>#REF!</v>
      </c>
      <c r="F109" s="309" t="e">
        <f t="shared" si="50"/>
        <v>#REF!</v>
      </c>
      <c r="G109" s="309" t="e">
        <f t="shared" si="50"/>
        <v>#REF!</v>
      </c>
      <c r="H109" s="309" t="e">
        <f t="shared" si="50"/>
        <v>#REF!</v>
      </c>
      <c r="I109" s="309" t="e">
        <f t="shared" si="50"/>
        <v>#REF!</v>
      </c>
      <c r="J109" s="309" t="e">
        <f t="shared" si="50"/>
        <v>#REF!</v>
      </c>
      <c r="K109" s="309" t="e">
        <f t="shared" si="50"/>
        <v>#REF!</v>
      </c>
      <c r="L109" s="309" t="e">
        <f t="shared" si="50"/>
        <v>#REF!</v>
      </c>
      <c r="M109" s="309" t="e">
        <f t="shared" si="50"/>
        <v>#REF!</v>
      </c>
      <c r="N109" s="309" t="e">
        <f t="shared" si="50"/>
        <v>#REF!</v>
      </c>
      <c r="O109" s="309" t="e">
        <f t="shared" si="50"/>
        <v>#REF!</v>
      </c>
      <c r="P109" s="309" t="e">
        <f t="shared" si="50"/>
        <v>#REF!</v>
      </c>
      <c r="Q109" s="309" t="e">
        <f t="shared" si="50"/>
        <v>#REF!</v>
      </c>
      <c r="R109" s="309" t="e">
        <f t="shared" si="50"/>
        <v>#REF!</v>
      </c>
      <c r="S109" s="309" t="e">
        <f t="shared" si="50"/>
        <v>#REF!</v>
      </c>
      <c r="T109" s="309" t="e">
        <f t="shared" si="50"/>
        <v>#REF!</v>
      </c>
      <c r="U109" s="309" t="e">
        <f t="shared" si="50"/>
        <v>#REF!</v>
      </c>
      <c r="V109" s="309" t="e">
        <f t="shared" si="50"/>
        <v>#REF!</v>
      </c>
      <c r="W109" s="309" t="e">
        <f t="shared" si="50"/>
        <v>#REF!</v>
      </c>
      <c r="X109" s="309" t="e">
        <f t="shared" si="50"/>
        <v>#REF!</v>
      </c>
      <c r="Y109" s="309" t="e">
        <f t="shared" si="50"/>
        <v>#REF!</v>
      </c>
      <c r="Z109" s="309" t="e">
        <f t="shared" si="50"/>
        <v>#REF!</v>
      </c>
      <c r="AA109" s="309" t="e">
        <f t="shared" si="50"/>
        <v>#REF!</v>
      </c>
      <c r="AB109" s="309" t="e">
        <f t="shared" si="50"/>
        <v>#REF!</v>
      </c>
      <c r="AC109" s="309" t="e">
        <f t="shared" si="50"/>
        <v>#REF!</v>
      </c>
      <c r="AD109" s="309" t="e">
        <f t="shared" si="50"/>
        <v>#REF!</v>
      </c>
      <c r="AE109" s="309" t="e">
        <f t="shared" si="50"/>
        <v>#REF!</v>
      </c>
      <c r="AF109" s="309" t="e">
        <f t="shared" si="50"/>
        <v>#REF!</v>
      </c>
      <c r="AG109" s="309" t="e">
        <f t="shared" si="50"/>
        <v>#REF!</v>
      </c>
    </row>
    <row r="110" spans="1:33">
      <c r="A110" s="173" t="s">
        <v>319</v>
      </c>
      <c r="B110" s="173" t="s">
        <v>309</v>
      </c>
      <c r="C110" s="179" t="e">
        <f t="shared" ref="C110:AG110" si="51">C107*$C$34</f>
        <v>#REF!</v>
      </c>
      <c r="D110" s="179" t="e">
        <f t="shared" si="51"/>
        <v>#REF!</v>
      </c>
      <c r="E110" s="179" t="e">
        <f t="shared" si="51"/>
        <v>#REF!</v>
      </c>
      <c r="F110" s="179" t="e">
        <f t="shared" si="51"/>
        <v>#REF!</v>
      </c>
      <c r="G110" s="179" t="e">
        <f t="shared" si="51"/>
        <v>#REF!</v>
      </c>
      <c r="H110" s="179" t="e">
        <f t="shared" si="51"/>
        <v>#REF!</v>
      </c>
      <c r="I110" s="179" t="e">
        <f t="shared" si="51"/>
        <v>#REF!</v>
      </c>
      <c r="J110" s="179" t="e">
        <f t="shared" si="51"/>
        <v>#REF!</v>
      </c>
      <c r="K110" s="179" t="e">
        <f t="shared" si="51"/>
        <v>#REF!</v>
      </c>
      <c r="L110" s="179" t="e">
        <f t="shared" si="51"/>
        <v>#REF!</v>
      </c>
      <c r="M110" s="179" t="e">
        <f t="shared" si="51"/>
        <v>#REF!</v>
      </c>
      <c r="N110" s="179" t="e">
        <f t="shared" si="51"/>
        <v>#REF!</v>
      </c>
      <c r="O110" s="179" t="e">
        <f t="shared" si="51"/>
        <v>#REF!</v>
      </c>
      <c r="P110" s="179" t="e">
        <f t="shared" si="51"/>
        <v>#REF!</v>
      </c>
      <c r="Q110" s="179" t="e">
        <f t="shared" si="51"/>
        <v>#REF!</v>
      </c>
      <c r="R110" s="179" t="e">
        <f t="shared" si="51"/>
        <v>#REF!</v>
      </c>
      <c r="S110" s="179" t="e">
        <f t="shared" si="51"/>
        <v>#REF!</v>
      </c>
      <c r="T110" s="179" t="e">
        <f t="shared" si="51"/>
        <v>#REF!</v>
      </c>
      <c r="U110" s="179" t="e">
        <f t="shared" si="51"/>
        <v>#REF!</v>
      </c>
      <c r="V110" s="179" t="e">
        <f t="shared" si="51"/>
        <v>#REF!</v>
      </c>
      <c r="W110" s="179" t="e">
        <f t="shared" si="51"/>
        <v>#REF!</v>
      </c>
      <c r="X110" s="179" t="e">
        <f t="shared" si="51"/>
        <v>#REF!</v>
      </c>
      <c r="Y110" s="179" t="e">
        <f t="shared" si="51"/>
        <v>#REF!</v>
      </c>
      <c r="Z110" s="179" t="e">
        <f t="shared" si="51"/>
        <v>#REF!</v>
      </c>
      <c r="AA110" s="179" t="e">
        <f t="shared" si="51"/>
        <v>#REF!</v>
      </c>
      <c r="AB110" s="179" t="e">
        <f t="shared" si="51"/>
        <v>#REF!</v>
      </c>
      <c r="AC110" s="179" t="e">
        <f t="shared" si="51"/>
        <v>#REF!</v>
      </c>
      <c r="AD110" s="179" t="e">
        <f t="shared" si="51"/>
        <v>#REF!</v>
      </c>
      <c r="AE110" s="179" t="e">
        <f t="shared" si="51"/>
        <v>#REF!</v>
      </c>
      <c r="AF110" s="179" t="e">
        <f t="shared" si="51"/>
        <v>#REF!</v>
      </c>
      <c r="AG110" s="179" t="e">
        <f t="shared" si="51"/>
        <v>#REF!</v>
      </c>
    </row>
    <row r="111" spans="1:33" s="247" customFormat="1" ht="11.85" customHeight="1">
      <c r="A111" s="270" t="s">
        <v>414</v>
      </c>
    </row>
    <row r="112" spans="1:33">
      <c r="A112" s="173" t="s">
        <v>325</v>
      </c>
      <c r="B112" s="173" t="s">
        <v>313</v>
      </c>
      <c r="C112" s="179" t="e">
        <f t="shared" ref="C112:AG112" si="52">-PMT($C$33,$C$31,C107)</f>
        <v>#REF!</v>
      </c>
      <c r="D112" s="179" t="e">
        <f t="shared" si="52"/>
        <v>#REF!</v>
      </c>
      <c r="E112" s="179" t="e">
        <f t="shared" si="52"/>
        <v>#REF!</v>
      </c>
      <c r="F112" s="179" t="e">
        <f t="shared" si="52"/>
        <v>#REF!</v>
      </c>
      <c r="G112" s="179" t="e">
        <f t="shared" si="52"/>
        <v>#REF!</v>
      </c>
      <c r="H112" s="179" t="e">
        <f t="shared" si="52"/>
        <v>#REF!</v>
      </c>
      <c r="I112" s="179" t="e">
        <f t="shared" si="52"/>
        <v>#REF!</v>
      </c>
      <c r="J112" s="179" t="e">
        <f t="shared" si="52"/>
        <v>#REF!</v>
      </c>
      <c r="K112" s="179" t="e">
        <f t="shared" si="52"/>
        <v>#REF!</v>
      </c>
      <c r="L112" s="179" t="e">
        <f t="shared" si="52"/>
        <v>#REF!</v>
      </c>
      <c r="M112" s="179" t="e">
        <f t="shared" si="52"/>
        <v>#REF!</v>
      </c>
      <c r="N112" s="179" t="e">
        <f t="shared" si="52"/>
        <v>#REF!</v>
      </c>
      <c r="O112" s="179" t="e">
        <f t="shared" si="52"/>
        <v>#REF!</v>
      </c>
      <c r="P112" s="179" t="e">
        <f t="shared" si="52"/>
        <v>#REF!</v>
      </c>
      <c r="Q112" s="179" t="e">
        <f t="shared" si="52"/>
        <v>#REF!</v>
      </c>
      <c r="R112" s="179" t="e">
        <f t="shared" si="52"/>
        <v>#REF!</v>
      </c>
      <c r="S112" s="179" t="e">
        <f t="shared" si="52"/>
        <v>#REF!</v>
      </c>
      <c r="T112" s="179" t="e">
        <f t="shared" si="52"/>
        <v>#REF!</v>
      </c>
      <c r="U112" s="179" t="e">
        <f t="shared" si="52"/>
        <v>#REF!</v>
      </c>
      <c r="V112" s="179" t="e">
        <f t="shared" si="52"/>
        <v>#REF!</v>
      </c>
      <c r="W112" s="179" t="e">
        <f t="shared" si="52"/>
        <v>#REF!</v>
      </c>
      <c r="X112" s="179" t="e">
        <f t="shared" si="52"/>
        <v>#REF!</v>
      </c>
      <c r="Y112" s="179" t="e">
        <f t="shared" si="52"/>
        <v>#REF!</v>
      </c>
      <c r="Z112" s="179" t="e">
        <f t="shared" si="52"/>
        <v>#REF!</v>
      </c>
      <c r="AA112" s="179" t="e">
        <f t="shared" si="52"/>
        <v>#REF!</v>
      </c>
      <c r="AB112" s="179" t="e">
        <f t="shared" si="52"/>
        <v>#REF!</v>
      </c>
      <c r="AC112" s="179" t="e">
        <f t="shared" si="52"/>
        <v>#REF!</v>
      </c>
      <c r="AD112" s="179" t="e">
        <f t="shared" si="52"/>
        <v>#REF!</v>
      </c>
      <c r="AE112" s="179" t="e">
        <f t="shared" si="52"/>
        <v>#REF!</v>
      </c>
      <c r="AF112" s="179" t="e">
        <f t="shared" si="52"/>
        <v>#REF!</v>
      </c>
      <c r="AG112" s="179" t="e">
        <f t="shared" si="52"/>
        <v>#REF!</v>
      </c>
    </row>
    <row r="113" spans="1:33">
      <c r="A113" s="173" t="s">
        <v>321</v>
      </c>
      <c r="B113" s="173" t="s">
        <v>313</v>
      </c>
      <c r="C113" s="179" t="e">
        <f t="shared" ref="C113:AG115" si="53">C108</f>
        <v>#REF!</v>
      </c>
      <c r="D113" s="179" t="e">
        <f t="shared" si="53"/>
        <v>#REF!</v>
      </c>
      <c r="E113" s="179" t="e">
        <f t="shared" si="53"/>
        <v>#REF!</v>
      </c>
      <c r="F113" s="179" t="e">
        <f t="shared" si="53"/>
        <v>#REF!</v>
      </c>
      <c r="G113" s="179" t="e">
        <f t="shared" si="53"/>
        <v>#REF!</v>
      </c>
      <c r="H113" s="179" t="e">
        <f t="shared" si="53"/>
        <v>#REF!</v>
      </c>
      <c r="I113" s="179" t="e">
        <f t="shared" si="53"/>
        <v>#REF!</v>
      </c>
      <c r="J113" s="179" t="e">
        <f t="shared" si="53"/>
        <v>#REF!</v>
      </c>
      <c r="K113" s="179" t="e">
        <f t="shared" si="53"/>
        <v>#REF!</v>
      </c>
      <c r="L113" s="179" t="e">
        <f t="shared" si="53"/>
        <v>#REF!</v>
      </c>
      <c r="M113" s="179" t="e">
        <f t="shared" si="53"/>
        <v>#REF!</v>
      </c>
      <c r="N113" s="179" t="e">
        <f t="shared" si="53"/>
        <v>#REF!</v>
      </c>
      <c r="O113" s="179" t="e">
        <f t="shared" si="53"/>
        <v>#REF!</v>
      </c>
      <c r="P113" s="179" t="e">
        <f t="shared" si="53"/>
        <v>#REF!</v>
      </c>
      <c r="Q113" s="179" t="e">
        <f t="shared" si="53"/>
        <v>#REF!</v>
      </c>
      <c r="R113" s="179" t="e">
        <f t="shared" si="53"/>
        <v>#REF!</v>
      </c>
      <c r="S113" s="179" t="e">
        <f t="shared" si="53"/>
        <v>#REF!</v>
      </c>
      <c r="T113" s="179" t="e">
        <f t="shared" si="53"/>
        <v>#REF!</v>
      </c>
      <c r="U113" s="179" t="e">
        <f t="shared" si="53"/>
        <v>#REF!</v>
      </c>
      <c r="V113" s="179" t="e">
        <f t="shared" si="53"/>
        <v>#REF!</v>
      </c>
      <c r="W113" s="179" t="e">
        <f t="shared" si="53"/>
        <v>#REF!</v>
      </c>
      <c r="X113" s="179" t="e">
        <f t="shared" si="53"/>
        <v>#REF!</v>
      </c>
      <c r="Y113" s="179" t="e">
        <f t="shared" si="53"/>
        <v>#REF!</v>
      </c>
      <c r="Z113" s="179" t="e">
        <f t="shared" si="53"/>
        <v>#REF!</v>
      </c>
      <c r="AA113" s="179" t="e">
        <f t="shared" si="53"/>
        <v>#REF!</v>
      </c>
      <c r="AB113" s="179" t="e">
        <f t="shared" si="53"/>
        <v>#REF!</v>
      </c>
      <c r="AC113" s="179" t="e">
        <f t="shared" si="53"/>
        <v>#REF!</v>
      </c>
      <c r="AD113" s="179" t="e">
        <f t="shared" si="53"/>
        <v>#REF!</v>
      </c>
      <c r="AE113" s="179" t="e">
        <f t="shared" si="53"/>
        <v>#REF!</v>
      </c>
      <c r="AF113" s="179" t="e">
        <f t="shared" si="53"/>
        <v>#REF!</v>
      </c>
      <c r="AG113" s="179" t="e">
        <f t="shared" si="53"/>
        <v>#REF!</v>
      </c>
    </row>
    <row r="114" spans="1:33">
      <c r="A114" s="173" t="s">
        <v>317</v>
      </c>
      <c r="B114" s="173" t="s">
        <v>313</v>
      </c>
      <c r="C114" s="179" t="e">
        <f>C109</f>
        <v>#REF!</v>
      </c>
      <c r="D114" s="179" t="e">
        <f t="shared" si="53"/>
        <v>#REF!</v>
      </c>
      <c r="E114" s="179" t="e">
        <f t="shared" si="53"/>
        <v>#REF!</v>
      </c>
      <c r="F114" s="179" t="e">
        <f t="shared" si="53"/>
        <v>#REF!</v>
      </c>
      <c r="G114" s="179" t="e">
        <f t="shared" si="53"/>
        <v>#REF!</v>
      </c>
      <c r="H114" s="179" t="e">
        <f t="shared" si="53"/>
        <v>#REF!</v>
      </c>
      <c r="I114" s="179" t="e">
        <f t="shared" si="53"/>
        <v>#REF!</v>
      </c>
      <c r="J114" s="179" t="e">
        <f t="shared" si="53"/>
        <v>#REF!</v>
      </c>
      <c r="K114" s="179" t="e">
        <f t="shared" si="53"/>
        <v>#REF!</v>
      </c>
      <c r="L114" s="179" t="e">
        <f t="shared" si="53"/>
        <v>#REF!</v>
      </c>
      <c r="M114" s="179" t="e">
        <f t="shared" si="53"/>
        <v>#REF!</v>
      </c>
      <c r="N114" s="179" t="e">
        <f t="shared" si="53"/>
        <v>#REF!</v>
      </c>
      <c r="O114" s="179" t="e">
        <f t="shared" si="53"/>
        <v>#REF!</v>
      </c>
      <c r="P114" s="179" t="e">
        <f t="shared" si="53"/>
        <v>#REF!</v>
      </c>
      <c r="Q114" s="179" t="e">
        <f t="shared" si="53"/>
        <v>#REF!</v>
      </c>
      <c r="R114" s="179" t="e">
        <f t="shared" si="53"/>
        <v>#REF!</v>
      </c>
      <c r="S114" s="179" t="e">
        <f t="shared" si="53"/>
        <v>#REF!</v>
      </c>
      <c r="T114" s="179" t="e">
        <f t="shared" si="53"/>
        <v>#REF!</v>
      </c>
      <c r="U114" s="179" t="e">
        <f t="shared" si="53"/>
        <v>#REF!</v>
      </c>
      <c r="V114" s="179" t="e">
        <f t="shared" si="53"/>
        <v>#REF!</v>
      </c>
      <c r="W114" s="179" t="e">
        <f t="shared" si="53"/>
        <v>#REF!</v>
      </c>
      <c r="X114" s="179" t="e">
        <f t="shared" si="53"/>
        <v>#REF!</v>
      </c>
      <c r="Y114" s="179" t="e">
        <f t="shared" si="53"/>
        <v>#REF!</v>
      </c>
      <c r="Z114" s="179" t="e">
        <f t="shared" si="53"/>
        <v>#REF!</v>
      </c>
      <c r="AA114" s="179" t="e">
        <f t="shared" si="53"/>
        <v>#REF!</v>
      </c>
      <c r="AB114" s="179" t="e">
        <f t="shared" si="53"/>
        <v>#REF!</v>
      </c>
      <c r="AC114" s="179" t="e">
        <f t="shared" si="53"/>
        <v>#REF!</v>
      </c>
      <c r="AD114" s="179" t="e">
        <f t="shared" si="53"/>
        <v>#REF!</v>
      </c>
      <c r="AE114" s="179" t="e">
        <f t="shared" si="53"/>
        <v>#REF!</v>
      </c>
      <c r="AF114" s="179" t="e">
        <f t="shared" si="53"/>
        <v>#REF!</v>
      </c>
      <c r="AG114" s="179" t="e">
        <f t="shared" si="53"/>
        <v>#REF!</v>
      </c>
    </row>
    <row r="115" spans="1:33">
      <c r="A115" s="173" t="s">
        <v>319</v>
      </c>
      <c r="B115" s="173" t="s">
        <v>313</v>
      </c>
      <c r="C115" s="179" t="e">
        <f>C110</f>
        <v>#REF!</v>
      </c>
      <c r="D115" s="179" t="e">
        <f t="shared" si="53"/>
        <v>#REF!</v>
      </c>
      <c r="E115" s="179" t="e">
        <f t="shared" si="53"/>
        <v>#REF!</v>
      </c>
      <c r="F115" s="179" t="e">
        <f t="shared" si="53"/>
        <v>#REF!</v>
      </c>
      <c r="G115" s="179" t="e">
        <f t="shared" si="53"/>
        <v>#REF!</v>
      </c>
      <c r="H115" s="179" t="e">
        <f t="shared" si="53"/>
        <v>#REF!</v>
      </c>
      <c r="I115" s="179" t="e">
        <f t="shared" si="53"/>
        <v>#REF!</v>
      </c>
      <c r="J115" s="179" t="e">
        <f t="shared" si="53"/>
        <v>#REF!</v>
      </c>
      <c r="K115" s="179" t="e">
        <f t="shared" si="53"/>
        <v>#REF!</v>
      </c>
      <c r="L115" s="179" t="e">
        <f t="shared" si="53"/>
        <v>#REF!</v>
      </c>
      <c r="M115" s="179" t="e">
        <f t="shared" si="53"/>
        <v>#REF!</v>
      </c>
      <c r="N115" s="179" t="e">
        <f t="shared" si="53"/>
        <v>#REF!</v>
      </c>
      <c r="O115" s="179" t="e">
        <f t="shared" si="53"/>
        <v>#REF!</v>
      </c>
      <c r="P115" s="179" t="e">
        <f t="shared" si="53"/>
        <v>#REF!</v>
      </c>
      <c r="Q115" s="179" t="e">
        <f t="shared" si="53"/>
        <v>#REF!</v>
      </c>
      <c r="R115" s="179" t="e">
        <f t="shared" si="53"/>
        <v>#REF!</v>
      </c>
      <c r="S115" s="179" t="e">
        <f t="shared" si="53"/>
        <v>#REF!</v>
      </c>
      <c r="T115" s="179" t="e">
        <f t="shared" si="53"/>
        <v>#REF!</v>
      </c>
      <c r="U115" s="179" t="e">
        <f t="shared" si="53"/>
        <v>#REF!</v>
      </c>
      <c r="V115" s="179" t="e">
        <f t="shared" si="53"/>
        <v>#REF!</v>
      </c>
      <c r="W115" s="179" t="e">
        <f t="shared" si="53"/>
        <v>#REF!</v>
      </c>
      <c r="X115" s="179" t="e">
        <f t="shared" si="53"/>
        <v>#REF!</v>
      </c>
      <c r="Y115" s="179" t="e">
        <f t="shared" si="53"/>
        <v>#REF!</v>
      </c>
      <c r="Z115" s="179" t="e">
        <f t="shared" si="53"/>
        <v>#REF!</v>
      </c>
      <c r="AA115" s="179" t="e">
        <f t="shared" si="53"/>
        <v>#REF!</v>
      </c>
      <c r="AB115" s="179" t="e">
        <f t="shared" si="53"/>
        <v>#REF!</v>
      </c>
      <c r="AC115" s="179" t="e">
        <f t="shared" si="53"/>
        <v>#REF!</v>
      </c>
      <c r="AD115" s="179" t="e">
        <f t="shared" si="53"/>
        <v>#REF!</v>
      </c>
      <c r="AE115" s="179" t="e">
        <f t="shared" si="53"/>
        <v>#REF!</v>
      </c>
      <c r="AF115" s="179" t="e">
        <f t="shared" si="53"/>
        <v>#REF!</v>
      </c>
      <c r="AG115" s="179" t="e">
        <f t="shared" si="53"/>
        <v>#REF!</v>
      </c>
    </row>
    <row r="116" spans="1:33" s="247" customFormat="1" ht="11.85" customHeight="1">
      <c r="A116" s="270" t="s">
        <v>320</v>
      </c>
    </row>
    <row r="117" spans="1:33">
      <c r="A117" s="173" t="s">
        <v>325</v>
      </c>
      <c r="B117" s="173" t="s">
        <v>300</v>
      </c>
      <c r="C117" s="179" t="e">
        <f t="shared" ref="C117:AG118" si="54">C112/($C$28*$C$27)</f>
        <v>#REF!</v>
      </c>
      <c r="D117" s="179" t="e">
        <f t="shared" si="54"/>
        <v>#REF!</v>
      </c>
      <c r="E117" s="179" t="e">
        <f t="shared" si="54"/>
        <v>#REF!</v>
      </c>
      <c r="F117" s="179" t="e">
        <f t="shared" si="54"/>
        <v>#REF!</v>
      </c>
      <c r="G117" s="179" t="e">
        <f t="shared" si="54"/>
        <v>#REF!</v>
      </c>
      <c r="H117" s="179" t="e">
        <f t="shared" si="54"/>
        <v>#REF!</v>
      </c>
      <c r="I117" s="179" t="e">
        <f t="shared" si="54"/>
        <v>#REF!</v>
      </c>
      <c r="J117" s="179" t="e">
        <f t="shared" si="54"/>
        <v>#REF!</v>
      </c>
      <c r="K117" s="179" t="e">
        <f t="shared" si="54"/>
        <v>#REF!</v>
      </c>
      <c r="L117" s="179" t="e">
        <f t="shared" si="54"/>
        <v>#REF!</v>
      </c>
      <c r="M117" s="179" t="e">
        <f t="shared" si="54"/>
        <v>#REF!</v>
      </c>
      <c r="N117" s="179" t="e">
        <f t="shared" si="54"/>
        <v>#REF!</v>
      </c>
      <c r="O117" s="179" t="e">
        <f t="shared" si="54"/>
        <v>#REF!</v>
      </c>
      <c r="P117" s="179" t="e">
        <f t="shared" si="54"/>
        <v>#REF!</v>
      </c>
      <c r="Q117" s="179" t="e">
        <f t="shared" si="54"/>
        <v>#REF!</v>
      </c>
      <c r="R117" s="179" t="e">
        <f t="shared" si="54"/>
        <v>#REF!</v>
      </c>
      <c r="S117" s="179" t="e">
        <f t="shared" si="54"/>
        <v>#REF!</v>
      </c>
      <c r="T117" s="179" t="e">
        <f t="shared" si="54"/>
        <v>#REF!</v>
      </c>
      <c r="U117" s="179" t="e">
        <f t="shared" si="54"/>
        <v>#REF!</v>
      </c>
      <c r="V117" s="179" t="e">
        <f t="shared" si="54"/>
        <v>#REF!</v>
      </c>
      <c r="W117" s="179" t="e">
        <f t="shared" si="54"/>
        <v>#REF!</v>
      </c>
      <c r="X117" s="179" t="e">
        <f t="shared" si="54"/>
        <v>#REF!</v>
      </c>
      <c r="Y117" s="179" t="e">
        <f t="shared" si="54"/>
        <v>#REF!</v>
      </c>
      <c r="Z117" s="179" t="e">
        <f t="shared" si="54"/>
        <v>#REF!</v>
      </c>
      <c r="AA117" s="179" t="e">
        <f t="shared" si="54"/>
        <v>#REF!</v>
      </c>
      <c r="AB117" s="179" t="e">
        <f t="shared" si="54"/>
        <v>#REF!</v>
      </c>
      <c r="AC117" s="179" t="e">
        <f t="shared" si="54"/>
        <v>#REF!</v>
      </c>
      <c r="AD117" s="179" t="e">
        <f t="shared" si="54"/>
        <v>#REF!</v>
      </c>
      <c r="AE117" s="179" t="e">
        <f t="shared" si="54"/>
        <v>#REF!</v>
      </c>
      <c r="AF117" s="179" t="e">
        <f t="shared" si="54"/>
        <v>#REF!</v>
      </c>
      <c r="AG117" s="179" t="e">
        <f t="shared" si="54"/>
        <v>#REF!</v>
      </c>
    </row>
    <row r="118" spans="1:33">
      <c r="A118" s="173" t="s">
        <v>321</v>
      </c>
      <c r="B118" s="173" t="s">
        <v>300</v>
      </c>
      <c r="C118" s="179" t="e">
        <f t="shared" si="54"/>
        <v>#REF!</v>
      </c>
      <c r="D118" s="179" t="e">
        <f t="shared" si="54"/>
        <v>#REF!</v>
      </c>
      <c r="E118" s="179" t="e">
        <f t="shared" si="54"/>
        <v>#REF!</v>
      </c>
      <c r="F118" s="179" t="e">
        <f t="shared" si="54"/>
        <v>#REF!</v>
      </c>
      <c r="G118" s="179" t="e">
        <f t="shared" si="54"/>
        <v>#REF!</v>
      </c>
      <c r="H118" s="179" t="e">
        <f t="shared" si="54"/>
        <v>#REF!</v>
      </c>
      <c r="I118" s="179" t="e">
        <f t="shared" si="54"/>
        <v>#REF!</v>
      </c>
      <c r="J118" s="179" t="e">
        <f t="shared" si="54"/>
        <v>#REF!</v>
      </c>
      <c r="K118" s="179" t="e">
        <f t="shared" si="54"/>
        <v>#REF!</v>
      </c>
      <c r="L118" s="179" t="e">
        <f t="shared" si="54"/>
        <v>#REF!</v>
      </c>
      <c r="M118" s="179" t="e">
        <f t="shared" si="54"/>
        <v>#REF!</v>
      </c>
      <c r="N118" s="179" t="e">
        <f t="shared" si="54"/>
        <v>#REF!</v>
      </c>
      <c r="O118" s="179" t="e">
        <f t="shared" si="54"/>
        <v>#REF!</v>
      </c>
      <c r="P118" s="179" t="e">
        <f t="shared" si="54"/>
        <v>#REF!</v>
      </c>
      <c r="Q118" s="179" t="e">
        <f t="shared" si="54"/>
        <v>#REF!</v>
      </c>
      <c r="R118" s="179" t="e">
        <f t="shared" si="54"/>
        <v>#REF!</v>
      </c>
      <c r="S118" s="179" t="e">
        <f t="shared" si="54"/>
        <v>#REF!</v>
      </c>
      <c r="T118" s="179" t="e">
        <f t="shared" si="54"/>
        <v>#REF!</v>
      </c>
      <c r="U118" s="179" t="e">
        <f t="shared" si="54"/>
        <v>#REF!</v>
      </c>
      <c r="V118" s="179" t="e">
        <f t="shared" si="54"/>
        <v>#REF!</v>
      </c>
      <c r="W118" s="179" t="e">
        <f t="shared" si="54"/>
        <v>#REF!</v>
      </c>
      <c r="X118" s="179" t="e">
        <f t="shared" si="54"/>
        <v>#REF!</v>
      </c>
      <c r="Y118" s="179" t="e">
        <f t="shared" si="54"/>
        <v>#REF!</v>
      </c>
      <c r="Z118" s="179" t="e">
        <f t="shared" si="54"/>
        <v>#REF!</v>
      </c>
      <c r="AA118" s="179" t="e">
        <f t="shared" si="54"/>
        <v>#REF!</v>
      </c>
      <c r="AB118" s="179" t="e">
        <f t="shared" si="54"/>
        <v>#REF!</v>
      </c>
      <c r="AC118" s="179" t="e">
        <f t="shared" si="54"/>
        <v>#REF!</v>
      </c>
      <c r="AD118" s="179" t="e">
        <f t="shared" si="54"/>
        <v>#REF!</v>
      </c>
      <c r="AE118" s="179" t="e">
        <f t="shared" si="54"/>
        <v>#REF!</v>
      </c>
      <c r="AF118" s="179" t="e">
        <f t="shared" si="54"/>
        <v>#REF!</v>
      </c>
      <c r="AG118" s="179" t="e">
        <f t="shared" si="54"/>
        <v>#REF!</v>
      </c>
    </row>
    <row r="119" spans="1:33">
      <c r="A119" s="173" t="s">
        <v>322</v>
      </c>
      <c r="B119" s="173" t="s">
        <v>300</v>
      </c>
      <c r="C119" s="179" t="e">
        <f t="shared" ref="C119:AG119" si="55">(C114+C115+C70)/($C$28*$C$27)+C63</f>
        <v>#REF!</v>
      </c>
      <c r="D119" s="179" t="e">
        <f t="shared" si="55"/>
        <v>#REF!</v>
      </c>
      <c r="E119" s="179" t="e">
        <f t="shared" si="55"/>
        <v>#REF!</v>
      </c>
      <c r="F119" s="179" t="e">
        <f t="shared" si="55"/>
        <v>#REF!</v>
      </c>
      <c r="G119" s="179" t="e">
        <f t="shared" si="55"/>
        <v>#REF!</v>
      </c>
      <c r="H119" s="179" t="e">
        <f t="shared" si="55"/>
        <v>#REF!</v>
      </c>
      <c r="I119" s="179" t="e">
        <f t="shared" si="55"/>
        <v>#REF!</v>
      </c>
      <c r="J119" s="179" t="e">
        <f t="shared" si="55"/>
        <v>#REF!</v>
      </c>
      <c r="K119" s="179" t="e">
        <f t="shared" si="55"/>
        <v>#REF!</v>
      </c>
      <c r="L119" s="179" t="e">
        <f t="shared" si="55"/>
        <v>#REF!</v>
      </c>
      <c r="M119" s="179" t="e">
        <f t="shared" si="55"/>
        <v>#REF!</v>
      </c>
      <c r="N119" s="179" t="e">
        <f t="shared" si="55"/>
        <v>#REF!</v>
      </c>
      <c r="O119" s="179" t="e">
        <f t="shared" si="55"/>
        <v>#REF!</v>
      </c>
      <c r="P119" s="179" t="e">
        <f t="shared" si="55"/>
        <v>#REF!</v>
      </c>
      <c r="Q119" s="179" t="e">
        <f t="shared" si="55"/>
        <v>#REF!</v>
      </c>
      <c r="R119" s="179" t="e">
        <f t="shared" si="55"/>
        <v>#REF!</v>
      </c>
      <c r="S119" s="179" t="e">
        <f t="shared" si="55"/>
        <v>#REF!</v>
      </c>
      <c r="T119" s="179" t="e">
        <f t="shared" si="55"/>
        <v>#REF!</v>
      </c>
      <c r="U119" s="179" t="e">
        <f t="shared" si="55"/>
        <v>#REF!</v>
      </c>
      <c r="V119" s="179" t="e">
        <f t="shared" si="55"/>
        <v>#REF!</v>
      </c>
      <c r="W119" s="179" t="e">
        <f t="shared" si="55"/>
        <v>#REF!</v>
      </c>
      <c r="X119" s="179" t="e">
        <f t="shared" si="55"/>
        <v>#REF!</v>
      </c>
      <c r="Y119" s="179" t="e">
        <f t="shared" si="55"/>
        <v>#REF!</v>
      </c>
      <c r="Z119" s="179" t="e">
        <f t="shared" si="55"/>
        <v>#REF!</v>
      </c>
      <c r="AA119" s="179" t="e">
        <f t="shared" si="55"/>
        <v>#REF!</v>
      </c>
      <c r="AB119" s="179" t="e">
        <f t="shared" si="55"/>
        <v>#REF!</v>
      </c>
      <c r="AC119" s="179" t="e">
        <f t="shared" si="55"/>
        <v>#REF!</v>
      </c>
      <c r="AD119" s="179" t="e">
        <f t="shared" si="55"/>
        <v>#REF!</v>
      </c>
      <c r="AE119" s="179" t="e">
        <f t="shared" si="55"/>
        <v>#REF!</v>
      </c>
      <c r="AF119" s="179" t="e">
        <f t="shared" si="55"/>
        <v>#REF!</v>
      </c>
      <c r="AG119" s="179" t="e">
        <f t="shared" si="55"/>
        <v>#REF!</v>
      </c>
    </row>
    <row r="120" spans="1:33">
      <c r="C120" s="274" t="e">
        <f t="shared" ref="C120:AG120" si="56">SUM(C117:C119)</f>
        <v>#REF!</v>
      </c>
      <c r="D120" s="274" t="e">
        <f t="shared" si="56"/>
        <v>#REF!</v>
      </c>
      <c r="E120" s="274" t="e">
        <f t="shared" si="56"/>
        <v>#REF!</v>
      </c>
      <c r="F120" s="274" t="e">
        <f t="shared" si="56"/>
        <v>#REF!</v>
      </c>
      <c r="G120" s="274" t="e">
        <f t="shared" si="56"/>
        <v>#REF!</v>
      </c>
      <c r="H120" s="274" t="e">
        <f t="shared" si="56"/>
        <v>#REF!</v>
      </c>
      <c r="I120" s="274" t="e">
        <f t="shared" si="56"/>
        <v>#REF!</v>
      </c>
      <c r="J120" s="274" t="e">
        <f t="shared" si="56"/>
        <v>#REF!</v>
      </c>
      <c r="K120" s="274" t="e">
        <f t="shared" si="56"/>
        <v>#REF!</v>
      </c>
      <c r="L120" s="274" t="e">
        <f t="shared" si="56"/>
        <v>#REF!</v>
      </c>
      <c r="M120" s="274" t="e">
        <f t="shared" si="56"/>
        <v>#REF!</v>
      </c>
      <c r="N120" s="274" t="e">
        <f t="shared" si="56"/>
        <v>#REF!</v>
      </c>
      <c r="O120" s="274" t="e">
        <f t="shared" si="56"/>
        <v>#REF!</v>
      </c>
      <c r="P120" s="274" t="e">
        <f t="shared" si="56"/>
        <v>#REF!</v>
      </c>
      <c r="Q120" s="274" t="e">
        <f t="shared" si="56"/>
        <v>#REF!</v>
      </c>
      <c r="R120" s="274" t="e">
        <f t="shared" si="56"/>
        <v>#REF!</v>
      </c>
      <c r="S120" s="274" t="e">
        <f t="shared" si="56"/>
        <v>#REF!</v>
      </c>
      <c r="T120" s="274" t="e">
        <f t="shared" si="56"/>
        <v>#REF!</v>
      </c>
      <c r="U120" s="274" t="e">
        <f t="shared" si="56"/>
        <v>#REF!</v>
      </c>
      <c r="V120" s="274" t="e">
        <f t="shared" si="56"/>
        <v>#REF!</v>
      </c>
      <c r="W120" s="274" t="e">
        <f t="shared" si="56"/>
        <v>#REF!</v>
      </c>
      <c r="X120" s="274" t="e">
        <f t="shared" si="56"/>
        <v>#REF!</v>
      </c>
      <c r="Y120" s="274" t="e">
        <f t="shared" si="56"/>
        <v>#REF!</v>
      </c>
      <c r="Z120" s="274" t="e">
        <f t="shared" si="56"/>
        <v>#REF!</v>
      </c>
      <c r="AA120" s="274" t="e">
        <f t="shared" si="56"/>
        <v>#REF!</v>
      </c>
      <c r="AB120" s="274" t="e">
        <f t="shared" si="56"/>
        <v>#REF!</v>
      </c>
      <c r="AC120" s="274" t="e">
        <f t="shared" si="56"/>
        <v>#REF!</v>
      </c>
      <c r="AD120" s="274" t="e">
        <f t="shared" si="56"/>
        <v>#REF!</v>
      </c>
      <c r="AE120" s="274" t="e">
        <f t="shared" si="56"/>
        <v>#REF!</v>
      </c>
      <c r="AF120" s="274" t="e">
        <f t="shared" si="56"/>
        <v>#REF!</v>
      </c>
      <c r="AG120" s="274" t="e">
        <f t="shared" si="56"/>
        <v>#REF!</v>
      </c>
    </row>
    <row r="121" spans="1:33" s="225" customFormat="1">
      <c r="A121" s="223" t="s">
        <v>180</v>
      </c>
      <c r="B121" s="223"/>
      <c r="H121" s="272" t="e">
        <f>H124/H86</f>
        <v>#REF!</v>
      </c>
      <c r="AB121" s="272" t="e">
        <f>AB124/AB86</f>
        <v>#REF!</v>
      </c>
    </row>
    <row r="122" spans="1:33">
      <c r="A122" s="235" t="s">
        <v>41</v>
      </c>
      <c r="B122" s="235"/>
      <c r="C122" s="235">
        <v>2025</v>
      </c>
      <c r="D122" s="235">
        <f t="shared" ref="D122:AG122" si="57">C122+1</f>
        <v>2026</v>
      </c>
      <c r="E122" s="235">
        <f t="shared" si="57"/>
        <v>2027</v>
      </c>
      <c r="F122" s="235">
        <f t="shared" si="57"/>
        <v>2028</v>
      </c>
      <c r="G122" s="235">
        <f t="shared" si="57"/>
        <v>2029</v>
      </c>
      <c r="H122" s="235">
        <f t="shared" si="57"/>
        <v>2030</v>
      </c>
      <c r="I122" s="235">
        <f t="shared" si="57"/>
        <v>2031</v>
      </c>
      <c r="J122" s="235">
        <f t="shared" si="57"/>
        <v>2032</v>
      </c>
      <c r="K122" s="235">
        <f t="shared" si="57"/>
        <v>2033</v>
      </c>
      <c r="L122" s="235">
        <f t="shared" si="57"/>
        <v>2034</v>
      </c>
      <c r="M122" s="235">
        <f t="shared" si="57"/>
        <v>2035</v>
      </c>
      <c r="N122" s="235">
        <f t="shared" si="57"/>
        <v>2036</v>
      </c>
      <c r="O122" s="235">
        <f t="shared" si="57"/>
        <v>2037</v>
      </c>
      <c r="P122" s="235">
        <f t="shared" si="57"/>
        <v>2038</v>
      </c>
      <c r="Q122" s="235">
        <f t="shared" si="57"/>
        <v>2039</v>
      </c>
      <c r="R122" s="235">
        <f t="shared" si="57"/>
        <v>2040</v>
      </c>
      <c r="S122" s="235">
        <f t="shared" si="57"/>
        <v>2041</v>
      </c>
      <c r="T122" s="235">
        <f t="shared" si="57"/>
        <v>2042</v>
      </c>
      <c r="U122" s="235">
        <f t="shared" si="57"/>
        <v>2043</v>
      </c>
      <c r="V122" s="235">
        <f t="shared" si="57"/>
        <v>2044</v>
      </c>
      <c r="W122" s="235">
        <f t="shared" si="57"/>
        <v>2045</v>
      </c>
      <c r="X122" s="235">
        <f t="shared" si="57"/>
        <v>2046</v>
      </c>
      <c r="Y122" s="235">
        <f t="shared" si="57"/>
        <v>2047</v>
      </c>
      <c r="Z122" s="235">
        <f t="shared" si="57"/>
        <v>2048</v>
      </c>
      <c r="AA122" s="235">
        <f t="shared" si="57"/>
        <v>2049</v>
      </c>
      <c r="AB122" s="235">
        <f t="shared" si="57"/>
        <v>2050</v>
      </c>
      <c r="AC122" s="235">
        <f t="shared" si="57"/>
        <v>2051</v>
      </c>
      <c r="AD122" s="235">
        <f t="shared" si="57"/>
        <v>2052</v>
      </c>
      <c r="AE122" s="235">
        <f t="shared" si="57"/>
        <v>2053</v>
      </c>
      <c r="AF122" s="235">
        <f t="shared" si="57"/>
        <v>2054</v>
      </c>
      <c r="AG122" s="235">
        <f t="shared" si="57"/>
        <v>2055</v>
      </c>
    </row>
    <row r="123" spans="1:33">
      <c r="A123" s="290" t="s">
        <v>417</v>
      </c>
      <c r="B123" s="173" t="s">
        <v>309</v>
      </c>
      <c r="C123" s="179" t="e">
        <f>ROUND(($E$73*C59)/1000,0)*1000</f>
        <v>#REF!</v>
      </c>
      <c r="D123" s="179" t="e">
        <f t="shared" ref="D123:AG123" si="58">ROUND(($E$73*D59)/1000,0)*1000</f>
        <v>#REF!</v>
      </c>
      <c r="E123" s="179" t="e">
        <f t="shared" si="58"/>
        <v>#REF!</v>
      </c>
      <c r="F123" s="179" t="e">
        <f t="shared" si="58"/>
        <v>#REF!</v>
      </c>
      <c r="G123" s="179" t="e">
        <f t="shared" si="58"/>
        <v>#REF!</v>
      </c>
      <c r="H123" s="179" t="e">
        <f t="shared" si="58"/>
        <v>#REF!</v>
      </c>
      <c r="I123" s="179" t="e">
        <f t="shared" si="58"/>
        <v>#REF!</v>
      </c>
      <c r="J123" s="179" t="e">
        <f t="shared" si="58"/>
        <v>#REF!</v>
      </c>
      <c r="K123" s="179" t="e">
        <f t="shared" si="58"/>
        <v>#REF!</v>
      </c>
      <c r="L123" s="179" t="e">
        <f t="shared" si="58"/>
        <v>#REF!</v>
      </c>
      <c r="M123" s="179" t="e">
        <f t="shared" si="58"/>
        <v>#REF!</v>
      </c>
      <c r="N123" s="179" t="e">
        <f t="shared" si="58"/>
        <v>#REF!</v>
      </c>
      <c r="O123" s="179" t="e">
        <f t="shared" si="58"/>
        <v>#REF!</v>
      </c>
      <c r="P123" s="179" t="e">
        <f t="shared" si="58"/>
        <v>#REF!</v>
      </c>
      <c r="Q123" s="179" t="e">
        <f t="shared" si="58"/>
        <v>#REF!</v>
      </c>
      <c r="R123" s="179" t="e">
        <f t="shared" si="58"/>
        <v>#REF!</v>
      </c>
      <c r="S123" s="179" t="e">
        <f t="shared" si="58"/>
        <v>#REF!</v>
      </c>
      <c r="T123" s="179" t="e">
        <f t="shared" si="58"/>
        <v>#REF!</v>
      </c>
      <c r="U123" s="179" t="e">
        <f t="shared" si="58"/>
        <v>#REF!</v>
      </c>
      <c r="V123" s="179" t="e">
        <f t="shared" si="58"/>
        <v>#REF!</v>
      </c>
      <c r="W123" s="179" t="e">
        <f t="shared" si="58"/>
        <v>#REF!</v>
      </c>
      <c r="X123" s="179" t="e">
        <f t="shared" si="58"/>
        <v>#REF!</v>
      </c>
      <c r="Y123" s="179" t="e">
        <f t="shared" si="58"/>
        <v>#REF!</v>
      </c>
      <c r="Z123" s="179" t="e">
        <f t="shared" si="58"/>
        <v>#REF!</v>
      </c>
      <c r="AA123" s="179" t="e">
        <f t="shared" si="58"/>
        <v>#REF!</v>
      </c>
      <c r="AB123" s="179" t="e">
        <f t="shared" si="58"/>
        <v>#REF!</v>
      </c>
      <c r="AC123" s="179" t="e">
        <f t="shared" si="58"/>
        <v>#REF!</v>
      </c>
      <c r="AD123" s="179" t="e">
        <f t="shared" si="58"/>
        <v>#REF!</v>
      </c>
      <c r="AE123" s="179" t="e">
        <f t="shared" si="58"/>
        <v>#REF!</v>
      </c>
      <c r="AF123" s="179" t="e">
        <f t="shared" si="58"/>
        <v>#REF!</v>
      </c>
      <c r="AG123" s="179" t="e">
        <f t="shared" si="58"/>
        <v>#REF!</v>
      </c>
    </row>
    <row r="124" spans="1:33">
      <c r="A124" s="290" t="s">
        <v>326</v>
      </c>
      <c r="B124" s="173" t="s">
        <v>309</v>
      </c>
      <c r="C124" s="179" t="e">
        <f t="shared" ref="C124:AG124" si="59">C123+C86</f>
        <v>#REF!</v>
      </c>
      <c r="D124" s="179" t="e">
        <f t="shared" si="59"/>
        <v>#REF!</v>
      </c>
      <c r="E124" s="179" t="e">
        <f t="shared" si="59"/>
        <v>#REF!</v>
      </c>
      <c r="F124" s="179" t="e">
        <f t="shared" si="59"/>
        <v>#REF!</v>
      </c>
      <c r="G124" s="179" t="e">
        <f t="shared" si="59"/>
        <v>#REF!</v>
      </c>
      <c r="H124" s="179" t="e">
        <f t="shared" si="59"/>
        <v>#REF!</v>
      </c>
      <c r="I124" s="179" t="e">
        <f t="shared" si="59"/>
        <v>#REF!</v>
      </c>
      <c r="J124" s="179" t="e">
        <f t="shared" si="59"/>
        <v>#REF!</v>
      </c>
      <c r="K124" s="179" t="e">
        <f t="shared" si="59"/>
        <v>#REF!</v>
      </c>
      <c r="L124" s="179" t="e">
        <f t="shared" si="59"/>
        <v>#REF!</v>
      </c>
      <c r="M124" s="179" t="e">
        <f t="shared" si="59"/>
        <v>#REF!</v>
      </c>
      <c r="N124" s="179" t="e">
        <f t="shared" si="59"/>
        <v>#REF!</v>
      </c>
      <c r="O124" s="179" t="e">
        <f t="shared" si="59"/>
        <v>#REF!</v>
      </c>
      <c r="P124" s="179" t="e">
        <f t="shared" si="59"/>
        <v>#REF!</v>
      </c>
      <c r="Q124" s="179" t="e">
        <f t="shared" si="59"/>
        <v>#REF!</v>
      </c>
      <c r="R124" s="179" t="e">
        <f t="shared" si="59"/>
        <v>#REF!</v>
      </c>
      <c r="S124" s="179" t="e">
        <f t="shared" si="59"/>
        <v>#REF!</v>
      </c>
      <c r="T124" s="179" t="e">
        <f t="shared" si="59"/>
        <v>#REF!</v>
      </c>
      <c r="U124" s="179" t="e">
        <f t="shared" si="59"/>
        <v>#REF!</v>
      </c>
      <c r="V124" s="179" t="e">
        <f t="shared" si="59"/>
        <v>#REF!</v>
      </c>
      <c r="W124" s="179" t="e">
        <f t="shared" si="59"/>
        <v>#REF!</v>
      </c>
      <c r="X124" s="179" t="e">
        <f t="shared" si="59"/>
        <v>#REF!</v>
      </c>
      <c r="Y124" s="179" t="e">
        <f t="shared" si="59"/>
        <v>#REF!</v>
      </c>
      <c r="Z124" s="179" t="e">
        <f t="shared" si="59"/>
        <v>#REF!</v>
      </c>
      <c r="AA124" s="179" t="e">
        <f t="shared" si="59"/>
        <v>#REF!</v>
      </c>
      <c r="AB124" s="179" t="e">
        <f t="shared" si="59"/>
        <v>#REF!</v>
      </c>
      <c r="AC124" s="179" t="e">
        <f t="shared" si="59"/>
        <v>#REF!</v>
      </c>
      <c r="AD124" s="179" t="e">
        <f t="shared" si="59"/>
        <v>#REF!</v>
      </c>
      <c r="AE124" s="179" t="e">
        <f t="shared" si="59"/>
        <v>#REF!</v>
      </c>
      <c r="AF124" s="179" t="e">
        <f t="shared" si="59"/>
        <v>#REF!</v>
      </c>
      <c r="AG124" s="179" t="e">
        <f t="shared" si="59"/>
        <v>#REF!</v>
      </c>
    </row>
    <row r="125" spans="1:33">
      <c r="A125" s="173" t="s">
        <v>321</v>
      </c>
      <c r="B125" s="173" t="s">
        <v>309</v>
      </c>
      <c r="C125" s="179" t="e">
        <f t="shared" ref="C125:AG125" si="60">$E$82*C42</f>
        <v>#REF!</v>
      </c>
      <c r="D125" s="179" t="e">
        <f t="shared" si="60"/>
        <v>#REF!</v>
      </c>
      <c r="E125" s="179" t="e">
        <f t="shared" si="60"/>
        <v>#REF!</v>
      </c>
      <c r="F125" s="179" t="e">
        <f t="shared" si="60"/>
        <v>#REF!</v>
      </c>
      <c r="G125" s="179" t="e">
        <f t="shared" si="60"/>
        <v>#REF!</v>
      </c>
      <c r="H125" s="179" t="e">
        <f t="shared" si="60"/>
        <v>#REF!</v>
      </c>
      <c r="I125" s="179" t="e">
        <f t="shared" si="60"/>
        <v>#REF!</v>
      </c>
      <c r="J125" s="179" t="e">
        <f t="shared" si="60"/>
        <v>#REF!</v>
      </c>
      <c r="K125" s="179" t="e">
        <f t="shared" si="60"/>
        <v>#REF!</v>
      </c>
      <c r="L125" s="179" t="e">
        <f t="shared" si="60"/>
        <v>#REF!</v>
      </c>
      <c r="M125" s="179" t="e">
        <f t="shared" si="60"/>
        <v>#REF!</v>
      </c>
      <c r="N125" s="179" t="e">
        <f t="shared" si="60"/>
        <v>#REF!</v>
      </c>
      <c r="O125" s="179" t="e">
        <f t="shared" si="60"/>
        <v>#REF!</v>
      </c>
      <c r="P125" s="179" t="e">
        <f t="shared" si="60"/>
        <v>#REF!</v>
      </c>
      <c r="Q125" s="179" t="e">
        <f t="shared" si="60"/>
        <v>#REF!</v>
      </c>
      <c r="R125" s="179" t="e">
        <f t="shared" si="60"/>
        <v>#REF!</v>
      </c>
      <c r="S125" s="179" t="e">
        <f t="shared" si="60"/>
        <v>#REF!</v>
      </c>
      <c r="T125" s="179" t="e">
        <f t="shared" si="60"/>
        <v>#REF!</v>
      </c>
      <c r="U125" s="179" t="e">
        <f t="shared" si="60"/>
        <v>#REF!</v>
      </c>
      <c r="V125" s="179" t="e">
        <f t="shared" si="60"/>
        <v>#REF!</v>
      </c>
      <c r="W125" s="179" t="e">
        <f t="shared" si="60"/>
        <v>#REF!</v>
      </c>
      <c r="X125" s="179" t="e">
        <f t="shared" si="60"/>
        <v>#REF!</v>
      </c>
      <c r="Y125" s="179" t="e">
        <f t="shared" si="60"/>
        <v>#REF!</v>
      </c>
      <c r="Z125" s="179" t="e">
        <f t="shared" si="60"/>
        <v>#REF!</v>
      </c>
      <c r="AA125" s="179" t="e">
        <f t="shared" si="60"/>
        <v>#REF!</v>
      </c>
      <c r="AB125" s="179" t="e">
        <f t="shared" si="60"/>
        <v>#REF!</v>
      </c>
      <c r="AC125" s="179" t="e">
        <f t="shared" si="60"/>
        <v>#REF!</v>
      </c>
      <c r="AD125" s="179" t="e">
        <f t="shared" si="60"/>
        <v>#REF!</v>
      </c>
      <c r="AE125" s="179" t="e">
        <f t="shared" si="60"/>
        <v>#REF!</v>
      </c>
      <c r="AF125" s="179" t="e">
        <f t="shared" si="60"/>
        <v>#REF!</v>
      </c>
      <c r="AG125" s="179" t="e">
        <f t="shared" si="60"/>
        <v>#REF!</v>
      </c>
    </row>
    <row r="126" spans="1:33">
      <c r="A126" s="173" t="s">
        <v>317</v>
      </c>
      <c r="B126" s="173" t="s">
        <v>309</v>
      </c>
      <c r="C126" s="179" t="e">
        <f t="shared" ref="C126:AG126" si="61">C66*$C$27*$C$28</f>
        <v>#REF!</v>
      </c>
      <c r="D126" s="179" t="e">
        <f t="shared" si="61"/>
        <v>#REF!</v>
      </c>
      <c r="E126" s="179" t="e">
        <f t="shared" si="61"/>
        <v>#REF!</v>
      </c>
      <c r="F126" s="179" t="e">
        <f t="shared" si="61"/>
        <v>#REF!</v>
      </c>
      <c r="G126" s="179" t="e">
        <f t="shared" si="61"/>
        <v>#REF!</v>
      </c>
      <c r="H126" s="179" t="e">
        <f t="shared" si="61"/>
        <v>#REF!</v>
      </c>
      <c r="I126" s="179" t="e">
        <f t="shared" si="61"/>
        <v>#REF!</v>
      </c>
      <c r="J126" s="179" t="e">
        <f t="shared" si="61"/>
        <v>#REF!</v>
      </c>
      <c r="K126" s="179" t="e">
        <f t="shared" si="61"/>
        <v>#REF!</v>
      </c>
      <c r="L126" s="179" t="e">
        <f t="shared" si="61"/>
        <v>#REF!</v>
      </c>
      <c r="M126" s="179" t="e">
        <f t="shared" si="61"/>
        <v>#REF!</v>
      </c>
      <c r="N126" s="179" t="e">
        <f t="shared" si="61"/>
        <v>#REF!</v>
      </c>
      <c r="O126" s="179" t="e">
        <f t="shared" si="61"/>
        <v>#REF!</v>
      </c>
      <c r="P126" s="179" t="e">
        <f t="shared" si="61"/>
        <v>#REF!</v>
      </c>
      <c r="Q126" s="179" t="e">
        <f t="shared" si="61"/>
        <v>#REF!</v>
      </c>
      <c r="R126" s="179" t="e">
        <f t="shared" si="61"/>
        <v>#REF!</v>
      </c>
      <c r="S126" s="179" t="e">
        <f t="shared" si="61"/>
        <v>#REF!</v>
      </c>
      <c r="T126" s="179" t="e">
        <f t="shared" si="61"/>
        <v>#REF!</v>
      </c>
      <c r="U126" s="179" t="e">
        <f t="shared" si="61"/>
        <v>#REF!</v>
      </c>
      <c r="V126" s="179" t="e">
        <f t="shared" si="61"/>
        <v>#REF!</v>
      </c>
      <c r="W126" s="179" t="e">
        <f t="shared" si="61"/>
        <v>#REF!</v>
      </c>
      <c r="X126" s="179" t="e">
        <f t="shared" si="61"/>
        <v>#REF!</v>
      </c>
      <c r="Y126" s="179" t="e">
        <f t="shared" si="61"/>
        <v>#REF!</v>
      </c>
      <c r="Z126" s="179" t="e">
        <f t="shared" si="61"/>
        <v>#REF!</v>
      </c>
      <c r="AA126" s="179" t="e">
        <f t="shared" si="61"/>
        <v>#REF!</v>
      </c>
      <c r="AB126" s="179" t="e">
        <f t="shared" si="61"/>
        <v>#REF!</v>
      </c>
      <c r="AC126" s="179" t="e">
        <f t="shared" si="61"/>
        <v>#REF!</v>
      </c>
      <c r="AD126" s="179" t="e">
        <f t="shared" si="61"/>
        <v>#REF!</v>
      </c>
      <c r="AE126" s="179" t="e">
        <f t="shared" si="61"/>
        <v>#REF!</v>
      </c>
      <c r="AF126" s="179" t="e">
        <f t="shared" si="61"/>
        <v>#REF!</v>
      </c>
      <c r="AG126" s="179" t="e">
        <f t="shared" si="61"/>
        <v>#REF!</v>
      </c>
    </row>
    <row r="127" spans="1:33">
      <c r="A127" s="173" t="s">
        <v>319</v>
      </c>
      <c r="B127" s="173" t="s">
        <v>309</v>
      </c>
      <c r="C127" s="179" t="e">
        <f t="shared" ref="C127:AG127" si="62">C124*$C$34</f>
        <v>#REF!</v>
      </c>
      <c r="D127" s="179" t="e">
        <f t="shared" si="62"/>
        <v>#REF!</v>
      </c>
      <c r="E127" s="179" t="e">
        <f t="shared" si="62"/>
        <v>#REF!</v>
      </c>
      <c r="F127" s="179" t="e">
        <f t="shared" si="62"/>
        <v>#REF!</v>
      </c>
      <c r="G127" s="179" t="e">
        <f t="shared" si="62"/>
        <v>#REF!</v>
      </c>
      <c r="H127" s="179" t="e">
        <f t="shared" si="62"/>
        <v>#REF!</v>
      </c>
      <c r="I127" s="179" t="e">
        <f t="shared" si="62"/>
        <v>#REF!</v>
      </c>
      <c r="J127" s="179" t="e">
        <f t="shared" si="62"/>
        <v>#REF!</v>
      </c>
      <c r="K127" s="179" t="e">
        <f t="shared" si="62"/>
        <v>#REF!</v>
      </c>
      <c r="L127" s="179" t="e">
        <f t="shared" si="62"/>
        <v>#REF!</v>
      </c>
      <c r="M127" s="179" t="e">
        <f t="shared" si="62"/>
        <v>#REF!</v>
      </c>
      <c r="N127" s="179" t="e">
        <f t="shared" si="62"/>
        <v>#REF!</v>
      </c>
      <c r="O127" s="179" t="e">
        <f t="shared" si="62"/>
        <v>#REF!</v>
      </c>
      <c r="P127" s="179" t="e">
        <f t="shared" si="62"/>
        <v>#REF!</v>
      </c>
      <c r="Q127" s="179" t="e">
        <f t="shared" si="62"/>
        <v>#REF!</v>
      </c>
      <c r="R127" s="179" t="e">
        <f t="shared" si="62"/>
        <v>#REF!</v>
      </c>
      <c r="S127" s="179" t="e">
        <f t="shared" si="62"/>
        <v>#REF!</v>
      </c>
      <c r="T127" s="179" t="e">
        <f t="shared" si="62"/>
        <v>#REF!</v>
      </c>
      <c r="U127" s="179" t="e">
        <f t="shared" si="62"/>
        <v>#REF!</v>
      </c>
      <c r="V127" s="179" t="e">
        <f t="shared" si="62"/>
        <v>#REF!</v>
      </c>
      <c r="W127" s="179" t="e">
        <f t="shared" si="62"/>
        <v>#REF!</v>
      </c>
      <c r="X127" s="179" t="e">
        <f t="shared" si="62"/>
        <v>#REF!</v>
      </c>
      <c r="Y127" s="179" t="e">
        <f t="shared" si="62"/>
        <v>#REF!</v>
      </c>
      <c r="Z127" s="179" t="e">
        <f t="shared" si="62"/>
        <v>#REF!</v>
      </c>
      <c r="AA127" s="179" t="e">
        <f t="shared" si="62"/>
        <v>#REF!</v>
      </c>
      <c r="AB127" s="179" t="e">
        <f t="shared" si="62"/>
        <v>#REF!</v>
      </c>
      <c r="AC127" s="179" t="e">
        <f t="shared" si="62"/>
        <v>#REF!</v>
      </c>
      <c r="AD127" s="179" t="e">
        <f t="shared" si="62"/>
        <v>#REF!</v>
      </c>
      <c r="AE127" s="179" t="e">
        <f t="shared" si="62"/>
        <v>#REF!</v>
      </c>
      <c r="AF127" s="179" t="e">
        <f t="shared" si="62"/>
        <v>#REF!</v>
      </c>
      <c r="AG127" s="179" t="e">
        <f t="shared" si="62"/>
        <v>#REF!</v>
      </c>
    </row>
    <row r="128" spans="1:33" s="247" customFormat="1" ht="11.85" customHeight="1">
      <c r="A128" s="270" t="s">
        <v>414</v>
      </c>
    </row>
    <row r="129" spans="1:33">
      <c r="A129" s="173" t="s">
        <v>325</v>
      </c>
      <c r="B129" s="173" t="s">
        <v>313</v>
      </c>
      <c r="C129" s="179" t="e">
        <f t="shared" ref="C129:AG129" si="63">-PMT($C$33,$C$31,C124)</f>
        <v>#REF!</v>
      </c>
      <c r="D129" s="179" t="e">
        <f t="shared" si="63"/>
        <v>#REF!</v>
      </c>
      <c r="E129" s="179" t="e">
        <f t="shared" si="63"/>
        <v>#REF!</v>
      </c>
      <c r="F129" s="179" t="e">
        <f t="shared" si="63"/>
        <v>#REF!</v>
      </c>
      <c r="G129" s="179" t="e">
        <f t="shared" si="63"/>
        <v>#REF!</v>
      </c>
      <c r="H129" s="179" t="e">
        <f t="shared" si="63"/>
        <v>#REF!</v>
      </c>
      <c r="I129" s="179" t="e">
        <f t="shared" si="63"/>
        <v>#REF!</v>
      </c>
      <c r="J129" s="179" t="e">
        <f t="shared" si="63"/>
        <v>#REF!</v>
      </c>
      <c r="K129" s="179" t="e">
        <f t="shared" si="63"/>
        <v>#REF!</v>
      </c>
      <c r="L129" s="179" t="e">
        <f t="shared" si="63"/>
        <v>#REF!</v>
      </c>
      <c r="M129" s="179" t="e">
        <f t="shared" si="63"/>
        <v>#REF!</v>
      </c>
      <c r="N129" s="179" t="e">
        <f t="shared" si="63"/>
        <v>#REF!</v>
      </c>
      <c r="O129" s="179" t="e">
        <f t="shared" si="63"/>
        <v>#REF!</v>
      </c>
      <c r="P129" s="179" t="e">
        <f t="shared" si="63"/>
        <v>#REF!</v>
      </c>
      <c r="Q129" s="179" t="e">
        <f t="shared" si="63"/>
        <v>#REF!</v>
      </c>
      <c r="R129" s="179" t="e">
        <f t="shared" si="63"/>
        <v>#REF!</v>
      </c>
      <c r="S129" s="179" t="e">
        <f t="shared" si="63"/>
        <v>#REF!</v>
      </c>
      <c r="T129" s="179" t="e">
        <f t="shared" si="63"/>
        <v>#REF!</v>
      </c>
      <c r="U129" s="179" t="e">
        <f t="shared" si="63"/>
        <v>#REF!</v>
      </c>
      <c r="V129" s="179" t="e">
        <f t="shared" si="63"/>
        <v>#REF!</v>
      </c>
      <c r="W129" s="179" t="e">
        <f t="shared" si="63"/>
        <v>#REF!</v>
      </c>
      <c r="X129" s="179" t="e">
        <f t="shared" si="63"/>
        <v>#REF!</v>
      </c>
      <c r="Y129" s="179" t="e">
        <f t="shared" si="63"/>
        <v>#REF!</v>
      </c>
      <c r="Z129" s="179" t="e">
        <f t="shared" si="63"/>
        <v>#REF!</v>
      </c>
      <c r="AA129" s="179" t="e">
        <f t="shared" si="63"/>
        <v>#REF!</v>
      </c>
      <c r="AB129" s="179" t="e">
        <f t="shared" si="63"/>
        <v>#REF!</v>
      </c>
      <c r="AC129" s="179" t="e">
        <f t="shared" si="63"/>
        <v>#REF!</v>
      </c>
      <c r="AD129" s="179" t="e">
        <f t="shared" si="63"/>
        <v>#REF!</v>
      </c>
      <c r="AE129" s="179" t="e">
        <f t="shared" si="63"/>
        <v>#REF!</v>
      </c>
      <c r="AF129" s="179" t="e">
        <f t="shared" si="63"/>
        <v>#REF!</v>
      </c>
      <c r="AG129" s="179" t="e">
        <f t="shared" si="63"/>
        <v>#REF!</v>
      </c>
    </row>
    <row r="130" spans="1:33">
      <c r="A130" s="173" t="s">
        <v>321</v>
      </c>
      <c r="B130" s="173" t="s">
        <v>313</v>
      </c>
      <c r="C130" s="179" t="e">
        <f t="shared" ref="C130:AG131" si="64">C125</f>
        <v>#REF!</v>
      </c>
      <c r="D130" s="179" t="e">
        <f t="shared" si="64"/>
        <v>#REF!</v>
      </c>
      <c r="E130" s="179" t="e">
        <f t="shared" si="64"/>
        <v>#REF!</v>
      </c>
      <c r="F130" s="179" t="e">
        <f t="shared" si="64"/>
        <v>#REF!</v>
      </c>
      <c r="G130" s="179" t="e">
        <f t="shared" si="64"/>
        <v>#REF!</v>
      </c>
      <c r="H130" s="179" t="e">
        <f t="shared" si="64"/>
        <v>#REF!</v>
      </c>
      <c r="I130" s="179" t="e">
        <f t="shared" si="64"/>
        <v>#REF!</v>
      </c>
      <c r="J130" s="179" t="e">
        <f t="shared" si="64"/>
        <v>#REF!</v>
      </c>
      <c r="K130" s="179" t="e">
        <f t="shared" si="64"/>
        <v>#REF!</v>
      </c>
      <c r="L130" s="179" t="e">
        <f t="shared" si="64"/>
        <v>#REF!</v>
      </c>
      <c r="M130" s="179" t="e">
        <f t="shared" si="64"/>
        <v>#REF!</v>
      </c>
      <c r="N130" s="179" t="e">
        <f t="shared" si="64"/>
        <v>#REF!</v>
      </c>
      <c r="O130" s="179" t="e">
        <f t="shared" si="64"/>
        <v>#REF!</v>
      </c>
      <c r="P130" s="179" t="e">
        <f t="shared" si="64"/>
        <v>#REF!</v>
      </c>
      <c r="Q130" s="179" t="e">
        <f t="shared" si="64"/>
        <v>#REF!</v>
      </c>
      <c r="R130" s="179" t="e">
        <f t="shared" si="64"/>
        <v>#REF!</v>
      </c>
      <c r="S130" s="179" t="e">
        <f t="shared" si="64"/>
        <v>#REF!</v>
      </c>
      <c r="T130" s="179" t="e">
        <f t="shared" si="64"/>
        <v>#REF!</v>
      </c>
      <c r="U130" s="179" t="e">
        <f t="shared" si="64"/>
        <v>#REF!</v>
      </c>
      <c r="V130" s="179" t="e">
        <f t="shared" si="64"/>
        <v>#REF!</v>
      </c>
      <c r="W130" s="179" t="e">
        <f t="shared" si="64"/>
        <v>#REF!</v>
      </c>
      <c r="X130" s="179" t="e">
        <f t="shared" si="64"/>
        <v>#REF!</v>
      </c>
      <c r="Y130" s="179" t="e">
        <f t="shared" si="64"/>
        <v>#REF!</v>
      </c>
      <c r="Z130" s="179" t="e">
        <f t="shared" si="64"/>
        <v>#REF!</v>
      </c>
      <c r="AA130" s="179" t="e">
        <f t="shared" si="64"/>
        <v>#REF!</v>
      </c>
      <c r="AB130" s="179" t="e">
        <f t="shared" si="64"/>
        <v>#REF!</v>
      </c>
      <c r="AC130" s="179" t="e">
        <f t="shared" si="64"/>
        <v>#REF!</v>
      </c>
      <c r="AD130" s="179" t="e">
        <f t="shared" si="64"/>
        <v>#REF!</v>
      </c>
      <c r="AE130" s="179" t="e">
        <f t="shared" si="64"/>
        <v>#REF!</v>
      </c>
      <c r="AF130" s="179" t="e">
        <f t="shared" si="64"/>
        <v>#REF!</v>
      </c>
      <c r="AG130" s="179" t="e">
        <f t="shared" si="64"/>
        <v>#REF!</v>
      </c>
    </row>
    <row r="131" spans="1:33">
      <c r="A131" s="173" t="s">
        <v>317</v>
      </c>
      <c r="B131" s="173" t="s">
        <v>313</v>
      </c>
      <c r="C131" s="179" t="e">
        <f>C126</f>
        <v>#REF!</v>
      </c>
      <c r="D131" s="179" t="e">
        <f t="shared" si="64"/>
        <v>#REF!</v>
      </c>
      <c r="E131" s="179" t="e">
        <f t="shared" si="64"/>
        <v>#REF!</v>
      </c>
      <c r="F131" s="179" t="e">
        <f t="shared" si="64"/>
        <v>#REF!</v>
      </c>
      <c r="G131" s="179" t="e">
        <f t="shared" si="64"/>
        <v>#REF!</v>
      </c>
      <c r="H131" s="179" t="e">
        <f t="shared" si="64"/>
        <v>#REF!</v>
      </c>
      <c r="I131" s="179" t="e">
        <f t="shared" si="64"/>
        <v>#REF!</v>
      </c>
      <c r="J131" s="179" t="e">
        <f t="shared" si="64"/>
        <v>#REF!</v>
      </c>
      <c r="K131" s="179" t="e">
        <f t="shared" si="64"/>
        <v>#REF!</v>
      </c>
      <c r="L131" s="179" t="e">
        <f t="shared" si="64"/>
        <v>#REF!</v>
      </c>
      <c r="M131" s="179" t="e">
        <f t="shared" si="64"/>
        <v>#REF!</v>
      </c>
      <c r="N131" s="179" t="e">
        <f t="shared" si="64"/>
        <v>#REF!</v>
      </c>
      <c r="O131" s="179" t="e">
        <f t="shared" si="64"/>
        <v>#REF!</v>
      </c>
      <c r="P131" s="179" t="e">
        <f t="shared" si="64"/>
        <v>#REF!</v>
      </c>
      <c r="Q131" s="179" t="e">
        <f t="shared" si="64"/>
        <v>#REF!</v>
      </c>
      <c r="R131" s="179" t="e">
        <f t="shared" si="64"/>
        <v>#REF!</v>
      </c>
      <c r="S131" s="179" t="e">
        <f t="shared" si="64"/>
        <v>#REF!</v>
      </c>
      <c r="T131" s="179" t="e">
        <f t="shared" si="64"/>
        <v>#REF!</v>
      </c>
      <c r="U131" s="179" t="e">
        <f t="shared" si="64"/>
        <v>#REF!</v>
      </c>
      <c r="V131" s="179" t="e">
        <f t="shared" si="64"/>
        <v>#REF!</v>
      </c>
      <c r="W131" s="179" t="e">
        <f t="shared" si="64"/>
        <v>#REF!</v>
      </c>
      <c r="X131" s="179" t="e">
        <f t="shared" si="64"/>
        <v>#REF!</v>
      </c>
      <c r="Y131" s="179" t="e">
        <f t="shared" si="64"/>
        <v>#REF!</v>
      </c>
      <c r="Z131" s="179" t="e">
        <f t="shared" si="64"/>
        <v>#REF!</v>
      </c>
      <c r="AA131" s="179" t="e">
        <f t="shared" si="64"/>
        <v>#REF!</v>
      </c>
      <c r="AB131" s="179" t="e">
        <f t="shared" si="64"/>
        <v>#REF!</v>
      </c>
      <c r="AC131" s="179" t="e">
        <f t="shared" si="64"/>
        <v>#REF!</v>
      </c>
      <c r="AD131" s="179" t="e">
        <f t="shared" si="64"/>
        <v>#REF!</v>
      </c>
      <c r="AE131" s="179" t="e">
        <f t="shared" si="64"/>
        <v>#REF!</v>
      </c>
      <c r="AF131" s="179" t="e">
        <f t="shared" si="64"/>
        <v>#REF!</v>
      </c>
      <c r="AG131" s="179" t="e">
        <f t="shared" si="64"/>
        <v>#REF!</v>
      </c>
    </row>
    <row r="132" spans="1:33">
      <c r="A132" s="173" t="s">
        <v>319</v>
      </c>
      <c r="B132" s="173" t="s">
        <v>313</v>
      </c>
      <c r="C132" s="179" t="e">
        <f>C127</f>
        <v>#REF!</v>
      </c>
      <c r="D132" s="179" t="e">
        <f t="shared" ref="D132:AG132" si="65">D127</f>
        <v>#REF!</v>
      </c>
      <c r="E132" s="179" t="e">
        <f t="shared" si="65"/>
        <v>#REF!</v>
      </c>
      <c r="F132" s="179" t="e">
        <f t="shared" si="65"/>
        <v>#REF!</v>
      </c>
      <c r="G132" s="179" t="e">
        <f t="shared" si="65"/>
        <v>#REF!</v>
      </c>
      <c r="H132" s="179" t="e">
        <f t="shared" si="65"/>
        <v>#REF!</v>
      </c>
      <c r="I132" s="179" t="e">
        <f t="shared" si="65"/>
        <v>#REF!</v>
      </c>
      <c r="J132" s="179" t="e">
        <f t="shared" si="65"/>
        <v>#REF!</v>
      </c>
      <c r="K132" s="179" t="e">
        <f t="shared" si="65"/>
        <v>#REF!</v>
      </c>
      <c r="L132" s="179" t="e">
        <f t="shared" si="65"/>
        <v>#REF!</v>
      </c>
      <c r="M132" s="179" t="e">
        <f t="shared" si="65"/>
        <v>#REF!</v>
      </c>
      <c r="N132" s="179" t="e">
        <f t="shared" si="65"/>
        <v>#REF!</v>
      </c>
      <c r="O132" s="179" t="e">
        <f t="shared" si="65"/>
        <v>#REF!</v>
      </c>
      <c r="P132" s="179" t="e">
        <f t="shared" si="65"/>
        <v>#REF!</v>
      </c>
      <c r="Q132" s="179" t="e">
        <f t="shared" si="65"/>
        <v>#REF!</v>
      </c>
      <c r="R132" s="179" t="e">
        <f t="shared" si="65"/>
        <v>#REF!</v>
      </c>
      <c r="S132" s="179" t="e">
        <f t="shared" si="65"/>
        <v>#REF!</v>
      </c>
      <c r="T132" s="179" t="e">
        <f t="shared" si="65"/>
        <v>#REF!</v>
      </c>
      <c r="U132" s="179" t="e">
        <f t="shared" si="65"/>
        <v>#REF!</v>
      </c>
      <c r="V132" s="179" t="e">
        <f t="shared" si="65"/>
        <v>#REF!</v>
      </c>
      <c r="W132" s="179" t="e">
        <f t="shared" si="65"/>
        <v>#REF!</v>
      </c>
      <c r="X132" s="179" t="e">
        <f t="shared" si="65"/>
        <v>#REF!</v>
      </c>
      <c r="Y132" s="179" t="e">
        <f t="shared" si="65"/>
        <v>#REF!</v>
      </c>
      <c r="Z132" s="179" t="e">
        <f t="shared" si="65"/>
        <v>#REF!</v>
      </c>
      <c r="AA132" s="179" t="e">
        <f t="shared" si="65"/>
        <v>#REF!</v>
      </c>
      <c r="AB132" s="179" t="e">
        <f t="shared" si="65"/>
        <v>#REF!</v>
      </c>
      <c r="AC132" s="179" t="e">
        <f t="shared" si="65"/>
        <v>#REF!</v>
      </c>
      <c r="AD132" s="179" t="e">
        <f t="shared" si="65"/>
        <v>#REF!</v>
      </c>
      <c r="AE132" s="179" t="e">
        <f t="shared" si="65"/>
        <v>#REF!</v>
      </c>
      <c r="AF132" s="179" t="e">
        <f t="shared" si="65"/>
        <v>#REF!</v>
      </c>
      <c r="AG132" s="179" t="e">
        <f t="shared" si="65"/>
        <v>#REF!</v>
      </c>
    </row>
    <row r="133" spans="1:33" s="247" customFormat="1" ht="11.85" customHeight="1">
      <c r="A133" s="270" t="s">
        <v>320</v>
      </c>
    </row>
    <row r="134" spans="1:33">
      <c r="A134" s="173" t="s">
        <v>325</v>
      </c>
      <c r="B134" s="173" t="s">
        <v>300</v>
      </c>
      <c r="C134" s="179" t="e">
        <f t="shared" ref="C134:AG135" si="66">C129/($C$28*$C$27)</f>
        <v>#REF!</v>
      </c>
      <c r="D134" s="179" t="e">
        <f t="shared" si="66"/>
        <v>#REF!</v>
      </c>
      <c r="E134" s="179" t="e">
        <f t="shared" si="66"/>
        <v>#REF!</v>
      </c>
      <c r="F134" s="179" t="e">
        <f t="shared" si="66"/>
        <v>#REF!</v>
      </c>
      <c r="G134" s="179" t="e">
        <f t="shared" si="66"/>
        <v>#REF!</v>
      </c>
      <c r="H134" s="179" t="e">
        <f t="shared" si="66"/>
        <v>#REF!</v>
      </c>
      <c r="I134" s="179" t="e">
        <f t="shared" si="66"/>
        <v>#REF!</v>
      </c>
      <c r="J134" s="179" t="e">
        <f t="shared" si="66"/>
        <v>#REF!</v>
      </c>
      <c r="K134" s="179" t="e">
        <f t="shared" si="66"/>
        <v>#REF!</v>
      </c>
      <c r="L134" s="179" t="e">
        <f t="shared" si="66"/>
        <v>#REF!</v>
      </c>
      <c r="M134" s="179" t="e">
        <f t="shared" si="66"/>
        <v>#REF!</v>
      </c>
      <c r="N134" s="179" t="e">
        <f t="shared" si="66"/>
        <v>#REF!</v>
      </c>
      <c r="O134" s="179" t="e">
        <f t="shared" si="66"/>
        <v>#REF!</v>
      </c>
      <c r="P134" s="179" t="e">
        <f t="shared" si="66"/>
        <v>#REF!</v>
      </c>
      <c r="Q134" s="179" t="e">
        <f t="shared" si="66"/>
        <v>#REF!</v>
      </c>
      <c r="R134" s="179" t="e">
        <f t="shared" si="66"/>
        <v>#REF!</v>
      </c>
      <c r="S134" s="179" t="e">
        <f t="shared" si="66"/>
        <v>#REF!</v>
      </c>
      <c r="T134" s="179" t="e">
        <f t="shared" si="66"/>
        <v>#REF!</v>
      </c>
      <c r="U134" s="179" t="e">
        <f t="shared" si="66"/>
        <v>#REF!</v>
      </c>
      <c r="V134" s="179" t="e">
        <f t="shared" si="66"/>
        <v>#REF!</v>
      </c>
      <c r="W134" s="179" t="e">
        <f t="shared" si="66"/>
        <v>#REF!</v>
      </c>
      <c r="X134" s="179" t="e">
        <f t="shared" si="66"/>
        <v>#REF!</v>
      </c>
      <c r="Y134" s="179" t="e">
        <f t="shared" si="66"/>
        <v>#REF!</v>
      </c>
      <c r="Z134" s="179" t="e">
        <f t="shared" si="66"/>
        <v>#REF!</v>
      </c>
      <c r="AA134" s="179" t="e">
        <f t="shared" si="66"/>
        <v>#REF!</v>
      </c>
      <c r="AB134" s="179" t="e">
        <f t="shared" si="66"/>
        <v>#REF!</v>
      </c>
      <c r="AC134" s="179" t="e">
        <f t="shared" si="66"/>
        <v>#REF!</v>
      </c>
      <c r="AD134" s="179" t="e">
        <f t="shared" si="66"/>
        <v>#REF!</v>
      </c>
      <c r="AE134" s="179" t="e">
        <f t="shared" si="66"/>
        <v>#REF!</v>
      </c>
      <c r="AF134" s="179" t="e">
        <f t="shared" si="66"/>
        <v>#REF!</v>
      </c>
      <c r="AG134" s="179" t="e">
        <f t="shared" si="66"/>
        <v>#REF!</v>
      </c>
    </row>
    <row r="135" spans="1:33">
      <c r="A135" s="173" t="s">
        <v>321</v>
      </c>
      <c r="B135" s="173" t="s">
        <v>300</v>
      </c>
      <c r="C135" s="179" t="e">
        <f t="shared" si="66"/>
        <v>#REF!</v>
      </c>
      <c r="D135" s="179" t="e">
        <f t="shared" si="66"/>
        <v>#REF!</v>
      </c>
      <c r="E135" s="179" t="e">
        <f t="shared" si="66"/>
        <v>#REF!</v>
      </c>
      <c r="F135" s="179" t="e">
        <f t="shared" si="66"/>
        <v>#REF!</v>
      </c>
      <c r="G135" s="179" t="e">
        <f t="shared" si="66"/>
        <v>#REF!</v>
      </c>
      <c r="H135" s="179" t="e">
        <f t="shared" si="66"/>
        <v>#REF!</v>
      </c>
      <c r="I135" s="179" t="e">
        <f t="shared" si="66"/>
        <v>#REF!</v>
      </c>
      <c r="J135" s="179" t="e">
        <f t="shared" si="66"/>
        <v>#REF!</v>
      </c>
      <c r="K135" s="179" t="e">
        <f t="shared" si="66"/>
        <v>#REF!</v>
      </c>
      <c r="L135" s="179" t="e">
        <f t="shared" si="66"/>
        <v>#REF!</v>
      </c>
      <c r="M135" s="179" t="e">
        <f t="shared" si="66"/>
        <v>#REF!</v>
      </c>
      <c r="N135" s="179" t="e">
        <f t="shared" si="66"/>
        <v>#REF!</v>
      </c>
      <c r="O135" s="179" t="e">
        <f t="shared" si="66"/>
        <v>#REF!</v>
      </c>
      <c r="P135" s="179" t="e">
        <f t="shared" si="66"/>
        <v>#REF!</v>
      </c>
      <c r="Q135" s="179" t="e">
        <f t="shared" si="66"/>
        <v>#REF!</v>
      </c>
      <c r="R135" s="179" t="e">
        <f t="shared" si="66"/>
        <v>#REF!</v>
      </c>
      <c r="S135" s="179" t="e">
        <f t="shared" si="66"/>
        <v>#REF!</v>
      </c>
      <c r="T135" s="179" t="e">
        <f t="shared" si="66"/>
        <v>#REF!</v>
      </c>
      <c r="U135" s="179" t="e">
        <f t="shared" si="66"/>
        <v>#REF!</v>
      </c>
      <c r="V135" s="179" t="e">
        <f t="shared" si="66"/>
        <v>#REF!</v>
      </c>
      <c r="W135" s="179" t="e">
        <f t="shared" si="66"/>
        <v>#REF!</v>
      </c>
      <c r="X135" s="179" t="e">
        <f t="shared" si="66"/>
        <v>#REF!</v>
      </c>
      <c r="Y135" s="179" t="e">
        <f t="shared" si="66"/>
        <v>#REF!</v>
      </c>
      <c r="Z135" s="179" t="e">
        <f t="shared" si="66"/>
        <v>#REF!</v>
      </c>
      <c r="AA135" s="179" t="e">
        <f t="shared" si="66"/>
        <v>#REF!</v>
      </c>
      <c r="AB135" s="179" t="e">
        <f t="shared" si="66"/>
        <v>#REF!</v>
      </c>
      <c r="AC135" s="179" t="e">
        <f t="shared" si="66"/>
        <v>#REF!</v>
      </c>
      <c r="AD135" s="179" t="e">
        <f t="shared" si="66"/>
        <v>#REF!</v>
      </c>
      <c r="AE135" s="179" t="e">
        <f t="shared" si="66"/>
        <v>#REF!</v>
      </c>
      <c r="AF135" s="179" t="e">
        <f t="shared" si="66"/>
        <v>#REF!</v>
      </c>
      <c r="AG135" s="179" t="e">
        <f t="shared" si="66"/>
        <v>#REF!</v>
      </c>
    </row>
    <row r="136" spans="1:33">
      <c r="A136" s="173" t="s">
        <v>322</v>
      </c>
      <c r="B136" s="173" t="s">
        <v>300</v>
      </c>
      <c r="C136" s="179" t="e">
        <f t="shared" ref="C136:AG136" si="67">(C131+C132+C70)/($C$28*$C$27)+C63</f>
        <v>#REF!</v>
      </c>
      <c r="D136" s="179" t="e">
        <f t="shared" si="67"/>
        <v>#REF!</v>
      </c>
      <c r="E136" s="179" t="e">
        <f t="shared" si="67"/>
        <v>#REF!</v>
      </c>
      <c r="F136" s="179" t="e">
        <f t="shared" si="67"/>
        <v>#REF!</v>
      </c>
      <c r="G136" s="179" t="e">
        <f t="shared" si="67"/>
        <v>#REF!</v>
      </c>
      <c r="H136" s="179" t="e">
        <f t="shared" si="67"/>
        <v>#REF!</v>
      </c>
      <c r="I136" s="179" t="e">
        <f t="shared" si="67"/>
        <v>#REF!</v>
      </c>
      <c r="J136" s="179" t="e">
        <f t="shared" si="67"/>
        <v>#REF!</v>
      </c>
      <c r="K136" s="179" t="e">
        <f t="shared" si="67"/>
        <v>#REF!</v>
      </c>
      <c r="L136" s="179" t="e">
        <f t="shared" si="67"/>
        <v>#REF!</v>
      </c>
      <c r="M136" s="179" t="e">
        <f t="shared" si="67"/>
        <v>#REF!</v>
      </c>
      <c r="N136" s="179" t="e">
        <f t="shared" si="67"/>
        <v>#REF!</v>
      </c>
      <c r="O136" s="179" t="e">
        <f t="shared" si="67"/>
        <v>#REF!</v>
      </c>
      <c r="P136" s="179" t="e">
        <f t="shared" si="67"/>
        <v>#REF!</v>
      </c>
      <c r="Q136" s="179" t="e">
        <f t="shared" si="67"/>
        <v>#REF!</v>
      </c>
      <c r="R136" s="179" t="e">
        <f t="shared" si="67"/>
        <v>#REF!</v>
      </c>
      <c r="S136" s="179" t="e">
        <f t="shared" si="67"/>
        <v>#REF!</v>
      </c>
      <c r="T136" s="179" t="e">
        <f t="shared" si="67"/>
        <v>#REF!</v>
      </c>
      <c r="U136" s="179" t="e">
        <f t="shared" si="67"/>
        <v>#REF!</v>
      </c>
      <c r="V136" s="179" t="e">
        <f t="shared" si="67"/>
        <v>#REF!</v>
      </c>
      <c r="W136" s="179" t="e">
        <f t="shared" si="67"/>
        <v>#REF!</v>
      </c>
      <c r="X136" s="179" t="e">
        <f t="shared" si="67"/>
        <v>#REF!</v>
      </c>
      <c r="Y136" s="179" t="e">
        <f t="shared" si="67"/>
        <v>#REF!</v>
      </c>
      <c r="Z136" s="179" t="e">
        <f t="shared" si="67"/>
        <v>#REF!</v>
      </c>
      <c r="AA136" s="179" t="e">
        <f t="shared" si="67"/>
        <v>#REF!</v>
      </c>
      <c r="AB136" s="179" t="e">
        <f t="shared" si="67"/>
        <v>#REF!</v>
      </c>
      <c r="AC136" s="179" t="e">
        <f t="shared" si="67"/>
        <v>#REF!</v>
      </c>
      <c r="AD136" s="179" t="e">
        <f t="shared" si="67"/>
        <v>#REF!</v>
      </c>
      <c r="AE136" s="179" t="e">
        <f t="shared" si="67"/>
        <v>#REF!</v>
      </c>
      <c r="AF136" s="179" t="e">
        <f t="shared" si="67"/>
        <v>#REF!</v>
      </c>
      <c r="AG136" s="179" t="e">
        <f t="shared" si="67"/>
        <v>#REF!</v>
      </c>
    </row>
    <row r="137" spans="1:33">
      <c r="C137" s="274" t="e">
        <f t="shared" ref="C137:AG137" si="68">SUM(C134:C136)</f>
        <v>#REF!</v>
      </c>
      <c r="D137" s="274" t="e">
        <f t="shared" si="68"/>
        <v>#REF!</v>
      </c>
      <c r="E137" s="274" t="e">
        <f t="shared" si="68"/>
        <v>#REF!</v>
      </c>
      <c r="F137" s="274" t="e">
        <f t="shared" si="68"/>
        <v>#REF!</v>
      </c>
      <c r="G137" s="274" t="e">
        <f t="shared" si="68"/>
        <v>#REF!</v>
      </c>
      <c r="H137" s="274" t="e">
        <f t="shared" si="68"/>
        <v>#REF!</v>
      </c>
      <c r="I137" s="274" t="e">
        <f t="shared" si="68"/>
        <v>#REF!</v>
      </c>
      <c r="J137" s="274" t="e">
        <f t="shared" si="68"/>
        <v>#REF!</v>
      </c>
      <c r="K137" s="274" t="e">
        <f t="shared" si="68"/>
        <v>#REF!</v>
      </c>
      <c r="L137" s="274" t="e">
        <f t="shared" si="68"/>
        <v>#REF!</v>
      </c>
      <c r="M137" s="274" t="e">
        <f t="shared" si="68"/>
        <v>#REF!</v>
      </c>
      <c r="N137" s="274" t="e">
        <f t="shared" si="68"/>
        <v>#REF!</v>
      </c>
      <c r="O137" s="274" t="e">
        <f t="shared" si="68"/>
        <v>#REF!</v>
      </c>
      <c r="P137" s="274" t="e">
        <f t="shared" si="68"/>
        <v>#REF!</v>
      </c>
      <c r="Q137" s="274" t="e">
        <f t="shared" si="68"/>
        <v>#REF!</v>
      </c>
      <c r="R137" s="274" t="e">
        <f t="shared" si="68"/>
        <v>#REF!</v>
      </c>
      <c r="S137" s="274" t="e">
        <f t="shared" si="68"/>
        <v>#REF!</v>
      </c>
      <c r="T137" s="274" t="e">
        <f t="shared" si="68"/>
        <v>#REF!</v>
      </c>
      <c r="U137" s="274" t="e">
        <f t="shared" si="68"/>
        <v>#REF!</v>
      </c>
      <c r="V137" s="274" t="e">
        <f t="shared" si="68"/>
        <v>#REF!</v>
      </c>
      <c r="W137" s="274" t="e">
        <f t="shared" si="68"/>
        <v>#REF!</v>
      </c>
      <c r="X137" s="274" t="e">
        <f t="shared" si="68"/>
        <v>#REF!</v>
      </c>
      <c r="Y137" s="274" t="e">
        <f t="shared" si="68"/>
        <v>#REF!</v>
      </c>
      <c r="Z137" s="274" t="e">
        <f t="shared" si="68"/>
        <v>#REF!</v>
      </c>
      <c r="AA137" s="274" t="e">
        <f t="shared" si="68"/>
        <v>#REF!</v>
      </c>
      <c r="AB137" s="274" t="e">
        <f t="shared" si="68"/>
        <v>#REF!</v>
      </c>
      <c r="AC137" s="274" t="e">
        <f t="shared" si="68"/>
        <v>#REF!</v>
      </c>
      <c r="AD137" s="274" t="e">
        <f t="shared" si="68"/>
        <v>#REF!</v>
      </c>
      <c r="AE137" s="274" t="e">
        <f t="shared" si="68"/>
        <v>#REF!</v>
      </c>
      <c r="AF137" s="274" t="e">
        <f t="shared" si="68"/>
        <v>#REF!</v>
      </c>
      <c r="AG137" s="274" t="e">
        <f t="shared" si="68"/>
        <v>#REF!</v>
      </c>
    </row>
    <row r="138" spans="1:33" s="225" customFormat="1">
      <c r="A138" s="223" t="s">
        <v>327</v>
      </c>
      <c r="B138" s="223"/>
      <c r="H138" s="272" t="e">
        <f>H141/H86</f>
        <v>#REF!</v>
      </c>
      <c r="AB138" s="272" t="e">
        <f>AB141/AB86</f>
        <v>#REF!</v>
      </c>
    </row>
    <row r="139" spans="1:33">
      <c r="A139" s="235" t="s">
        <v>41</v>
      </c>
      <c r="B139" s="235"/>
      <c r="C139" s="235">
        <v>2025</v>
      </c>
      <c r="D139" s="235">
        <f t="shared" ref="D139:AG139" si="69">C139+1</f>
        <v>2026</v>
      </c>
      <c r="E139" s="235">
        <f t="shared" si="69"/>
        <v>2027</v>
      </c>
      <c r="F139" s="235">
        <f t="shared" si="69"/>
        <v>2028</v>
      </c>
      <c r="G139" s="235">
        <f t="shared" si="69"/>
        <v>2029</v>
      </c>
      <c r="H139" s="235">
        <f t="shared" si="69"/>
        <v>2030</v>
      </c>
      <c r="I139" s="235">
        <f t="shared" si="69"/>
        <v>2031</v>
      </c>
      <c r="J139" s="235">
        <f t="shared" si="69"/>
        <v>2032</v>
      </c>
      <c r="K139" s="235">
        <f t="shared" si="69"/>
        <v>2033</v>
      </c>
      <c r="L139" s="235">
        <f t="shared" si="69"/>
        <v>2034</v>
      </c>
      <c r="M139" s="235">
        <f t="shared" si="69"/>
        <v>2035</v>
      </c>
      <c r="N139" s="235">
        <f t="shared" si="69"/>
        <v>2036</v>
      </c>
      <c r="O139" s="235">
        <f t="shared" si="69"/>
        <v>2037</v>
      </c>
      <c r="P139" s="235">
        <f t="shared" si="69"/>
        <v>2038</v>
      </c>
      <c r="Q139" s="235">
        <f t="shared" si="69"/>
        <v>2039</v>
      </c>
      <c r="R139" s="235">
        <f t="shared" si="69"/>
        <v>2040</v>
      </c>
      <c r="S139" s="235">
        <f t="shared" si="69"/>
        <v>2041</v>
      </c>
      <c r="T139" s="235">
        <f t="shared" si="69"/>
        <v>2042</v>
      </c>
      <c r="U139" s="235">
        <f t="shared" si="69"/>
        <v>2043</v>
      </c>
      <c r="V139" s="235">
        <f t="shared" si="69"/>
        <v>2044</v>
      </c>
      <c r="W139" s="235">
        <f t="shared" si="69"/>
        <v>2045</v>
      </c>
      <c r="X139" s="235">
        <f t="shared" si="69"/>
        <v>2046</v>
      </c>
      <c r="Y139" s="235">
        <f t="shared" si="69"/>
        <v>2047</v>
      </c>
      <c r="Z139" s="235">
        <f t="shared" si="69"/>
        <v>2048</v>
      </c>
      <c r="AA139" s="235">
        <f t="shared" si="69"/>
        <v>2049</v>
      </c>
      <c r="AB139" s="235">
        <f t="shared" si="69"/>
        <v>2050</v>
      </c>
      <c r="AC139" s="235">
        <f t="shared" si="69"/>
        <v>2051</v>
      </c>
      <c r="AD139" s="235">
        <f t="shared" si="69"/>
        <v>2052</v>
      </c>
      <c r="AE139" s="235">
        <f t="shared" si="69"/>
        <v>2053</v>
      </c>
      <c r="AF139" s="235">
        <f t="shared" si="69"/>
        <v>2054</v>
      </c>
      <c r="AG139" s="235">
        <f t="shared" si="69"/>
        <v>2055</v>
      </c>
    </row>
    <row r="140" spans="1:33">
      <c r="A140" s="173" t="s">
        <v>418</v>
      </c>
      <c r="B140" s="173" t="s">
        <v>309</v>
      </c>
      <c r="C140" s="179" t="e">
        <f>ROUND(($F$73*C60)/1000,0)*1000</f>
        <v>#REF!</v>
      </c>
      <c r="D140" s="179" t="e">
        <f>ROUND(($F$73*D60)/1000,0)*1000</f>
        <v>#REF!</v>
      </c>
      <c r="E140" s="179" t="e">
        <f>ROUND(($F$73*E60)/1000,0)*1000</f>
        <v>#REF!</v>
      </c>
      <c r="F140" s="179" t="e">
        <f t="shared" ref="F140:AG140" si="70">ROUND(($F$73*F60)/1000,0)*1000</f>
        <v>#REF!</v>
      </c>
      <c r="G140" s="179" t="e">
        <f t="shared" si="70"/>
        <v>#REF!</v>
      </c>
      <c r="H140" s="179" t="e">
        <f t="shared" si="70"/>
        <v>#REF!</v>
      </c>
      <c r="I140" s="179" t="e">
        <f t="shared" si="70"/>
        <v>#REF!</v>
      </c>
      <c r="J140" s="179" t="e">
        <f t="shared" si="70"/>
        <v>#REF!</v>
      </c>
      <c r="K140" s="179" t="e">
        <f t="shared" si="70"/>
        <v>#REF!</v>
      </c>
      <c r="L140" s="179" t="e">
        <f t="shared" si="70"/>
        <v>#REF!</v>
      </c>
      <c r="M140" s="179" t="e">
        <f t="shared" si="70"/>
        <v>#REF!</v>
      </c>
      <c r="N140" s="179" t="e">
        <f t="shared" si="70"/>
        <v>#REF!</v>
      </c>
      <c r="O140" s="179" t="e">
        <f t="shared" si="70"/>
        <v>#REF!</v>
      </c>
      <c r="P140" s="179" t="e">
        <f t="shared" si="70"/>
        <v>#REF!</v>
      </c>
      <c r="Q140" s="179" t="e">
        <f t="shared" si="70"/>
        <v>#REF!</v>
      </c>
      <c r="R140" s="179" t="e">
        <f t="shared" si="70"/>
        <v>#REF!</v>
      </c>
      <c r="S140" s="179" t="e">
        <f t="shared" si="70"/>
        <v>#REF!</v>
      </c>
      <c r="T140" s="179" t="e">
        <f t="shared" si="70"/>
        <v>#REF!</v>
      </c>
      <c r="U140" s="179" t="e">
        <f t="shared" si="70"/>
        <v>#REF!</v>
      </c>
      <c r="V140" s="179" t="e">
        <f t="shared" si="70"/>
        <v>#REF!</v>
      </c>
      <c r="W140" s="179" t="e">
        <f t="shared" si="70"/>
        <v>#REF!</v>
      </c>
      <c r="X140" s="179" t="e">
        <f t="shared" si="70"/>
        <v>#REF!</v>
      </c>
      <c r="Y140" s="179" t="e">
        <f t="shared" si="70"/>
        <v>#REF!</v>
      </c>
      <c r="Z140" s="179" t="e">
        <f t="shared" si="70"/>
        <v>#REF!</v>
      </c>
      <c r="AA140" s="179" t="e">
        <f t="shared" si="70"/>
        <v>#REF!</v>
      </c>
      <c r="AB140" s="179" t="e">
        <f t="shared" si="70"/>
        <v>#REF!</v>
      </c>
      <c r="AC140" s="179" t="e">
        <f t="shared" si="70"/>
        <v>#REF!</v>
      </c>
      <c r="AD140" s="179" t="e">
        <f t="shared" si="70"/>
        <v>#REF!</v>
      </c>
      <c r="AE140" s="179" t="e">
        <f t="shared" si="70"/>
        <v>#REF!</v>
      </c>
      <c r="AF140" s="179" t="e">
        <f t="shared" si="70"/>
        <v>#REF!</v>
      </c>
      <c r="AG140" s="179" t="e">
        <f t="shared" si="70"/>
        <v>#REF!</v>
      </c>
    </row>
    <row r="141" spans="1:33">
      <c r="A141" s="290" t="s">
        <v>328</v>
      </c>
      <c r="B141" s="173" t="s">
        <v>309</v>
      </c>
      <c r="C141" s="179" t="e">
        <f t="shared" ref="C141:AG141" si="71">C86+C140</f>
        <v>#REF!</v>
      </c>
      <c r="D141" s="179" t="e">
        <f t="shared" si="71"/>
        <v>#REF!</v>
      </c>
      <c r="E141" s="179" t="e">
        <f t="shared" si="71"/>
        <v>#REF!</v>
      </c>
      <c r="F141" s="179" t="e">
        <f t="shared" si="71"/>
        <v>#REF!</v>
      </c>
      <c r="G141" s="179" t="e">
        <f t="shared" si="71"/>
        <v>#REF!</v>
      </c>
      <c r="H141" s="179" t="e">
        <f t="shared" si="71"/>
        <v>#REF!</v>
      </c>
      <c r="I141" s="179" t="e">
        <f t="shared" si="71"/>
        <v>#REF!</v>
      </c>
      <c r="J141" s="179" t="e">
        <f t="shared" si="71"/>
        <v>#REF!</v>
      </c>
      <c r="K141" s="179" t="e">
        <f t="shared" si="71"/>
        <v>#REF!</v>
      </c>
      <c r="L141" s="179" t="e">
        <f t="shared" si="71"/>
        <v>#REF!</v>
      </c>
      <c r="M141" s="179" t="e">
        <f t="shared" si="71"/>
        <v>#REF!</v>
      </c>
      <c r="N141" s="179" t="e">
        <f t="shared" si="71"/>
        <v>#REF!</v>
      </c>
      <c r="O141" s="179" t="e">
        <f t="shared" si="71"/>
        <v>#REF!</v>
      </c>
      <c r="P141" s="179" t="e">
        <f t="shared" si="71"/>
        <v>#REF!</v>
      </c>
      <c r="Q141" s="179" t="e">
        <f t="shared" si="71"/>
        <v>#REF!</v>
      </c>
      <c r="R141" s="179" t="e">
        <f t="shared" si="71"/>
        <v>#REF!</v>
      </c>
      <c r="S141" s="179" t="e">
        <f t="shared" si="71"/>
        <v>#REF!</v>
      </c>
      <c r="T141" s="179" t="e">
        <f t="shared" si="71"/>
        <v>#REF!</v>
      </c>
      <c r="U141" s="179" t="e">
        <f t="shared" si="71"/>
        <v>#REF!</v>
      </c>
      <c r="V141" s="179" t="e">
        <f t="shared" si="71"/>
        <v>#REF!</v>
      </c>
      <c r="W141" s="179" t="e">
        <f t="shared" si="71"/>
        <v>#REF!</v>
      </c>
      <c r="X141" s="179" t="e">
        <f t="shared" si="71"/>
        <v>#REF!</v>
      </c>
      <c r="Y141" s="179" t="e">
        <f t="shared" si="71"/>
        <v>#REF!</v>
      </c>
      <c r="Z141" s="179" t="e">
        <f t="shared" si="71"/>
        <v>#REF!</v>
      </c>
      <c r="AA141" s="179" t="e">
        <f t="shared" si="71"/>
        <v>#REF!</v>
      </c>
      <c r="AB141" s="179" t="e">
        <f t="shared" si="71"/>
        <v>#REF!</v>
      </c>
      <c r="AC141" s="179" t="e">
        <f t="shared" si="71"/>
        <v>#REF!</v>
      </c>
      <c r="AD141" s="179" t="e">
        <f t="shared" si="71"/>
        <v>#REF!</v>
      </c>
      <c r="AE141" s="179" t="e">
        <f t="shared" si="71"/>
        <v>#REF!</v>
      </c>
      <c r="AF141" s="179" t="e">
        <f t="shared" si="71"/>
        <v>#REF!</v>
      </c>
      <c r="AG141" s="179" t="e">
        <f t="shared" si="71"/>
        <v>#REF!</v>
      </c>
    </row>
    <row r="142" spans="1:33">
      <c r="A142" s="173" t="s">
        <v>321</v>
      </c>
      <c r="B142" s="173" t="s">
        <v>309</v>
      </c>
      <c r="C142" s="179" t="e">
        <f t="shared" ref="C142:AG142" si="72">$F$82*C50</f>
        <v>#REF!</v>
      </c>
      <c r="D142" s="179" t="e">
        <f t="shared" si="72"/>
        <v>#REF!</v>
      </c>
      <c r="E142" s="179" t="e">
        <f t="shared" si="72"/>
        <v>#REF!</v>
      </c>
      <c r="F142" s="179" t="e">
        <f t="shared" si="72"/>
        <v>#REF!</v>
      </c>
      <c r="G142" s="179" t="e">
        <f t="shared" si="72"/>
        <v>#REF!</v>
      </c>
      <c r="H142" s="179" t="e">
        <f t="shared" si="72"/>
        <v>#REF!</v>
      </c>
      <c r="I142" s="179" t="e">
        <f t="shared" si="72"/>
        <v>#REF!</v>
      </c>
      <c r="J142" s="179" t="e">
        <f t="shared" si="72"/>
        <v>#REF!</v>
      </c>
      <c r="K142" s="179" t="e">
        <f t="shared" si="72"/>
        <v>#REF!</v>
      </c>
      <c r="L142" s="179" t="e">
        <f t="shared" si="72"/>
        <v>#REF!</v>
      </c>
      <c r="M142" s="179" t="e">
        <f t="shared" si="72"/>
        <v>#REF!</v>
      </c>
      <c r="N142" s="179" t="e">
        <f t="shared" si="72"/>
        <v>#REF!</v>
      </c>
      <c r="O142" s="179" t="e">
        <f t="shared" si="72"/>
        <v>#REF!</v>
      </c>
      <c r="P142" s="179" t="e">
        <f t="shared" si="72"/>
        <v>#REF!</v>
      </c>
      <c r="Q142" s="179" t="e">
        <f t="shared" si="72"/>
        <v>#REF!</v>
      </c>
      <c r="R142" s="179" t="e">
        <f t="shared" si="72"/>
        <v>#REF!</v>
      </c>
      <c r="S142" s="179" t="e">
        <f t="shared" si="72"/>
        <v>#REF!</v>
      </c>
      <c r="T142" s="179" t="e">
        <f t="shared" si="72"/>
        <v>#REF!</v>
      </c>
      <c r="U142" s="179" t="e">
        <f t="shared" si="72"/>
        <v>#REF!</v>
      </c>
      <c r="V142" s="179" t="e">
        <f t="shared" si="72"/>
        <v>#REF!</v>
      </c>
      <c r="W142" s="179" t="e">
        <f t="shared" si="72"/>
        <v>#REF!</v>
      </c>
      <c r="X142" s="179" t="e">
        <f t="shared" si="72"/>
        <v>#REF!</v>
      </c>
      <c r="Y142" s="179" t="e">
        <f t="shared" si="72"/>
        <v>#REF!</v>
      </c>
      <c r="Z142" s="179" t="e">
        <f t="shared" si="72"/>
        <v>#REF!</v>
      </c>
      <c r="AA142" s="179" t="e">
        <f t="shared" si="72"/>
        <v>#REF!</v>
      </c>
      <c r="AB142" s="179" t="e">
        <f t="shared" si="72"/>
        <v>#REF!</v>
      </c>
      <c r="AC142" s="179" t="e">
        <f t="shared" si="72"/>
        <v>#REF!</v>
      </c>
      <c r="AD142" s="179" t="e">
        <f t="shared" si="72"/>
        <v>#REF!</v>
      </c>
      <c r="AE142" s="179" t="e">
        <f t="shared" si="72"/>
        <v>#REF!</v>
      </c>
      <c r="AF142" s="179" t="e">
        <f t="shared" si="72"/>
        <v>#REF!</v>
      </c>
      <c r="AG142" s="179" t="e">
        <f t="shared" si="72"/>
        <v>#REF!</v>
      </c>
    </row>
    <row r="143" spans="1:33">
      <c r="A143" s="173" t="s">
        <v>317</v>
      </c>
      <c r="B143" s="173" t="s">
        <v>309</v>
      </c>
      <c r="C143" s="179" t="e">
        <f t="shared" ref="C143:AG143" si="73">$C$28*$C$27*C66</f>
        <v>#REF!</v>
      </c>
      <c r="D143" s="179" t="e">
        <f t="shared" si="73"/>
        <v>#REF!</v>
      </c>
      <c r="E143" s="179" t="e">
        <f t="shared" si="73"/>
        <v>#REF!</v>
      </c>
      <c r="F143" s="179" t="e">
        <f t="shared" si="73"/>
        <v>#REF!</v>
      </c>
      <c r="G143" s="179" t="e">
        <f t="shared" si="73"/>
        <v>#REF!</v>
      </c>
      <c r="H143" s="179" t="e">
        <f t="shared" si="73"/>
        <v>#REF!</v>
      </c>
      <c r="I143" s="179" t="e">
        <f t="shared" si="73"/>
        <v>#REF!</v>
      </c>
      <c r="J143" s="179" t="e">
        <f t="shared" si="73"/>
        <v>#REF!</v>
      </c>
      <c r="K143" s="179" t="e">
        <f t="shared" si="73"/>
        <v>#REF!</v>
      </c>
      <c r="L143" s="179" t="e">
        <f t="shared" si="73"/>
        <v>#REF!</v>
      </c>
      <c r="M143" s="179" t="e">
        <f t="shared" si="73"/>
        <v>#REF!</v>
      </c>
      <c r="N143" s="179" t="e">
        <f t="shared" si="73"/>
        <v>#REF!</v>
      </c>
      <c r="O143" s="179" t="e">
        <f t="shared" si="73"/>
        <v>#REF!</v>
      </c>
      <c r="P143" s="179" t="e">
        <f t="shared" si="73"/>
        <v>#REF!</v>
      </c>
      <c r="Q143" s="179" t="e">
        <f t="shared" si="73"/>
        <v>#REF!</v>
      </c>
      <c r="R143" s="179" t="e">
        <f t="shared" si="73"/>
        <v>#REF!</v>
      </c>
      <c r="S143" s="179" t="e">
        <f t="shared" si="73"/>
        <v>#REF!</v>
      </c>
      <c r="T143" s="179" t="e">
        <f t="shared" si="73"/>
        <v>#REF!</v>
      </c>
      <c r="U143" s="179" t="e">
        <f t="shared" si="73"/>
        <v>#REF!</v>
      </c>
      <c r="V143" s="179" t="e">
        <f t="shared" si="73"/>
        <v>#REF!</v>
      </c>
      <c r="W143" s="179" t="e">
        <f t="shared" si="73"/>
        <v>#REF!</v>
      </c>
      <c r="X143" s="179" t="e">
        <f t="shared" si="73"/>
        <v>#REF!</v>
      </c>
      <c r="Y143" s="179" t="e">
        <f t="shared" si="73"/>
        <v>#REF!</v>
      </c>
      <c r="Z143" s="179" t="e">
        <f t="shared" si="73"/>
        <v>#REF!</v>
      </c>
      <c r="AA143" s="179" t="e">
        <f t="shared" si="73"/>
        <v>#REF!</v>
      </c>
      <c r="AB143" s="179" t="e">
        <f t="shared" si="73"/>
        <v>#REF!</v>
      </c>
      <c r="AC143" s="179" t="e">
        <f t="shared" si="73"/>
        <v>#REF!</v>
      </c>
      <c r="AD143" s="179" t="e">
        <f t="shared" si="73"/>
        <v>#REF!</v>
      </c>
      <c r="AE143" s="179" t="e">
        <f t="shared" si="73"/>
        <v>#REF!</v>
      </c>
      <c r="AF143" s="179" t="e">
        <f t="shared" si="73"/>
        <v>#REF!</v>
      </c>
      <c r="AG143" s="179" t="e">
        <f t="shared" si="73"/>
        <v>#REF!</v>
      </c>
    </row>
    <row r="144" spans="1:33">
      <c r="A144" s="173" t="s">
        <v>319</v>
      </c>
      <c r="B144" s="173" t="s">
        <v>309</v>
      </c>
      <c r="C144" s="179" t="e">
        <f t="shared" ref="C144:AG144" si="74">C141*$C$34</f>
        <v>#REF!</v>
      </c>
      <c r="D144" s="179" t="e">
        <f t="shared" si="74"/>
        <v>#REF!</v>
      </c>
      <c r="E144" s="179" t="e">
        <f t="shared" si="74"/>
        <v>#REF!</v>
      </c>
      <c r="F144" s="179" t="e">
        <f t="shared" si="74"/>
        <v>#REF!</v>
      </c>
      <c r="G144" s="179" t="e">
        <f t="shared" si="74"/>
        <v>#REF!</v>
      </c>
      <c r="H144" s="179" t="e">
        <f t="shared" si="74"/>
        <v>#REF!</v>
      </c>
      <c r="I144" s="179" t="e">
        <f t="shared" si="74"/>
        <v>#REF!</v>
      </c>
      <c r="J144" s="179" t="e">
        <f t="shared" si="74"/>
        <v>#REF!</v>
      </c>
      <c r="K144" s="179" t="e">
        <f t="shared" si="74"/>
        <v>#REF!</v>
      </c>
      <c r="L144" s="179" t="e">
        <f t="shared" si="74"/>
        <v>#REF!</v>
      </c>
      <c r="M144" s="179" t="e">
        <f t="shared" si="74"/>
        <v>#REF!</v>
      </c>
      <c r="N144" s="179" t="e">
        <f t="shared" si="74"/>
        <v>#REF!</v>
      </c>
      <c r="O144" s="179" t="e">
        <f t="shared" si="74"/>
        <v>#REF!</v>
      </c>
      <c r="P144" s="179" t="e">
        <f t="shared" si="74"/>
        <v>#REF!</v>
      </c>
      <c r="Q144" s="179" t="e">
        <f t="shared" si="74"/>
        <v>#REF!</v>
      </c>
      <c r="R144" s="179" t="e">
        <f t="shared" si="74"/>
        <v>#REF!</v>
      </c>
      <c r="S144" s="179" t="e">
        <f t="shared" si="74"/>
        <v>#REF!</v>
      </c>
      <c r="T144" s="179" t="e">
        <f t="shared" si="74"/>
        <v>#REF!</v>
      </c>
      <c r="U144" s="179" t="e">
        <f t="shared" si="74"/>
        <v>#REF!</v>
      </c>
      <c r="V144" s="179" t="e">
        <f t="shared" si="74"/>
        <v>#REF!</v>
      </c>
      <c r="W144" s="179" t="e">
        <f t="shared" si="74"/>
        <v>#REF!</v>
      </c>
      <c r="X144" s="179" t="e">
        <f t="shared" si="74"/>
        <v>#REF!</v>
      </c>
      <c r="Y144" s="179" t="e">
        <f t="shared" si="74"/>
        <v>#REF!</v>
      </c>
      <c r="Z144" s="179" t="e">
        <f t="shared" si="74"/>
        <v>#REF!</v>
      </c>
      <c r="AA144" s="179" t="e">
        <f t="shared" si="74"/>
        <v>#REF!</v>
      </c>
      <c r="AB144" s="179" t="e">
        <f t="shared" si="74"/>
        <v>#REF!</v>
      </c>
      <c r="AC144" s="179" t="e">
        <f t="shared" si="74"/>
        <v>#REF!</v>
      </c>
      <c r="AD144" s="179" t="e">
        <f t="shared" si="74"/>
        <v>#REF!</v>
      </c>
      <c r="AE144" s="179" t="e">
        <f t="shared" si="74"/>
        <v>#REF!</v>
      </c>
      <c r="AF144" s="179" t="e">
        <f t="shared" si="74"/>
        <v>#REF!</v>
      </c>
      <c r="AG144" s="179" t="e">
        <f t="shared" si="74"/>
        <v>#REF!</v>
      </c>
    </row>
    <row r="145" spans="1:34" s="247" customFormat="1" ht="11.85" customHeight="1">
      <c r="A145" s="270" t="s">
        <v>414</v>
      </c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</row>
    <row r="146" spans="1:34">
      <c r="A146" s="173" t="s">
        <v>325</v>
      </c>
      <c r="B146" s="173" t="s">
        <v>313</v>
      </c>
      <c r="C146" s="179" t="e">
        <f t="shared" ref="C146:AG146" si="75">-PMT($C$33,$C$31,C141)</f>
        <v>#REF!</v>
      </c>
      <c r="D146" s="179" t="e">
        <f t="shared" si="75"/>
        <v>#REF!</v>
      </c>
      <c r="E146" s="179" t="e">
        <f t="shared" si="75"/>
        <v>#REF!</v>
      </c>
      <c r="F146" s="179" t="e">
        <f t="shared" si="75"/>
        <v>#REF!</v>
      </c>
      <c r="G146" s="179" t="e">
        <f t="shared" si="75"/>
        <v>#REF!</v>
      </c>
      <c r="H146" s="179" t="e">
        <f t="shared" si="75"/>
        <v>#REF!</v>
      </c>
      <c r="I146" s="179" t="e">
        <f t="shared" si="75"/>
        <v>#REF!</v>
      </c>
      <c r="J146" s="179" t="e">
        <f t="shared" si="75"/>
        <v>#REF!</v>
      </c>
      <c r="K146" s="179" t="e">
        <f t="shared" si="75"/>
        <v>#REF!</v>
      </c>
      <c r="L146" s="179" t="e">
        <f t="shared" si="75"/>
        <v>#REF!</v>
      </c>
      <c r="M146" s="179" t="e">
        <f t="shared" si="75"/>
        <v>#REF!</v>
      </c>
      <c r="N146" s="179" t="e">
        <f t="shared" si="75"/>
        <v>#REF!</v>
      </c>
      <c r="O146" s="179" t="e">
        <f t="shared" si="75"/>
        <v>#REF!</v>
      </c>
      <c r="P146" s="179" t="e">
        <f t="shared" si="75"/>
        <v>#REF!</v>
      </c>
      <c r="Q146" s="179" t="e">
        <f t="shared" si="75"/>
        <v>#REF!</v>
      </c>
      <c r="R146" s="179" t="e">
        <f t="shared" si="75"/>
        <v>#REF!</v>
      </c>
      <c r="S146" s="179" t="e">
        <f t="shared" si="75"/>
        <v>#REF!</v>
      </c>
      <c r="T146" s="179" t="e">
        <f t="shared" si="75"/>
        <v>#REF!</v>
      </c>
      <c r="U146" s="179" t="e">
        <f t="shared" si="75"/>
        <v>#REF!</v>
      </c>
      <c r="V146" s="179" t="e">
        <f t="shared" si="75"/>
        <v>#REF!</v>
      </c>
      <c r="W146" s="179" t="e">
        <f t="shared" si="75"/>
        <v>#REF!</v>
      </c>
      <c r="X146" s="179" t="e">
        <f t="shared" si="75"/>
        <v>#REF!</v>
      </c>
      <c r="Y146" s="179" t="e">
        <f t="shared" si="75"/>
        <v>#REF!</v>
      </c>
      <c r="Z146" s="179" t="e">
        <f t="shared" si="75"/>
        <v>#REF!</v>
      </c>
      <c r="AA146" s="179" t="e">
        <f t="shared" si="75"/>
        <v>#REF!</v>
      </c>
      <c r="AB146" s="179" t="e">
        <f t="shared" si="75"/>
        <v>#REF!</v>
      </c>
      <c r="AC146" s="179" t="e">
        <f t="shared" si="75"/>
        <v>#REF!</v>
      </c>
      <c r="AD146" s="179" t="e">
        <f t="shared" si="75"/>
        <v>#REF!</v>
      </c>
      <c r="AE146" s="179" t="e">
        <f t="shared" si="75"/>
        <v>#REF!</v>
      </c>
      <c r="AF146" s="179" t="e">
        <f t="shared" si="75"/>
        <v>#REF!</v>
      </c>
      <c r="AG146" s="179" t="e">
        <f t="shared" si="75"/>
        <v>#REF!</v>
      </c>
    </row>
    <row r="147" spans="1:34">
      <c r="A147" s="173" t="s">
        <v>321</v>
      </c>
      <c r="B147" s="173" t="s">
        <v>313</v>
      </c>
      <c r="C147" s="179" t="e">
        <f t="shared" ref="C147:AG149" si="76">C142</f>
        <v>#REF!</v>
      </c>
      <c r="D147" s="179" t="e">
        <f t="shared" si="76"/>
        <v>#REF!</v>
      </c>
      <c r="E147" s="179" t="e">
        <f t="shared" si="76"/>
        <v>#REF!</v>
      </c>
      <c r="F147" s="179" t="e">
        <f t="shared" si="76"/>
        <v>#REF!</v>
      </c>
      <c r="G147" s="179" t="e">
        <f t="shared" si="76"/>
        <v>#REF!</v>
      </c>
      <c r="H147" s="179" t="e">
        <f t="shared" si="76"/>
        <v>#REF!</v>
      </c>
      <c r="I147" s="179" t="e">
        <f t="shared" si="76"/>
        <v>#REF!</v>
      </c>
      <c r="J147" s="179" t="e">
        <f t="shared" si="76"/>
        <v>#REF!</v>
      </c>
      <c r="K147" s="179" t="e">
        <f t="shared" si="76"/>
        <v>#REF!</v>
      </c>
      <c r="L147" s="179" t="e">
        <f t="shared" si="76"/>
        <v>#REF!</v>
      </c>
      <c r="M147" s="179" t="e">
        <f t="shared" si="76"/>
        <v>#REF!</v>
      </c>
      <c r="N147" s="179" t="e">
        <f t="shared" si="76"/>
        <v>#REF!</v>
      </c>
      <c r="O147" s="179" t="e">
        <f t="shared" si="76"/>
        <v>#REF!</v>
      </c>
      <c r="P147" s="179" t="e">
        <f t="shared" si="76"/>
        <v>#REF!</v>
      </c>
      <c r="Q147" s="179" t="e">
        <f t="shared" si="76"/>
        <v>#REF!</v>
      </c>
      <c r="R147" s="179" t="e">
        <f t="shared" si="76"/>
        <v>#REF!</v>
      </c>
      <c r="S147" s="179" t="e">
        <f t="shared" si="76"/>
        <v>#REF!</v>
      </c>
      <c r="T147" s="179" t="e">
        <f t="shared" si="76"/>
        <v>#REF!</v>
      </c>
      <c r="U147" s="179" t="e">
        <f t="shared" si="76"/>
        <v>#REF!</v>
      </c>
      <c r="V147" s="179" t="e">
        <f t="shared" si="76"/>
        <v>#REF!</v>
      </c>
      <c r="W147" s="179" t="e">
        <f t="shared" si="76"/>
        <v>#REF!</v>
      </c>
      <c r="X147" s="179" t="e">
        <f t="shared" si="76"/>
        <v>#REF!</v>
      </c>
      <c r="Y147" s="179" t="e">
        <f t="shared" si="76"/>
        <v>#REF!</v>
      </c>
      <c r="Z147" s="179" t="e">
        <f t="shared" si="76"/>
        <v>#REF!</v>
      </c>
      <c r="AA147" s="179" t="e">
        <f t="shared" si="76"/>
        <v>#REF!</v>
      </c>
      <c r="AB147" s="179" t="e">
        <f t="shared" si="76"/>
        <v>#REF!</v>
      </c>
      <c r="AC147" s="179" t="e">
        <f t="shared" si="76"/>
        <v>#REF!</v>
      </c>
      <c r="AD147" s="179" t="e">
        <f t="shared" si="76"/>
        <v>#REF!</v>
      </c>
      <c r="AE147" s="179" t="e">
        <f t="shared" si="76"/>
        <v>#REF!</v>
      </c>
      <c r="AF147" s="179" t="e">
        <f t="shared" si="76"/>
        <v>#REF!</v>
      </c>
      <c r="AG147" s="179" t="e">
        <f t="shared" si="76"/>
        <v>#REF!</v>
      </c>
    </row>
    <row r="148" spans="1:34">
      <c r="A148" s="173" t="s">
        <v>317</v>
      </c>
      <c r="B148" s="173" t="s">
        <v>313</v>
      </c>
      <c r="C148" s="179" t="e">
        <f>C143</f>
        <v>#REF!</v>
      </c>
      <c r="D148" s="179" t="e">
        <f t="shared" si="76"/>
        <v>#REF!</v>
      </c>
      <c r="E148" s="179" t="e">
        <f t="shared" si="76"/>
        <v>#REF!</v>
      </c>
      <c r="F148" s="179" t="e">
        <f t="shared" si="76"/>
        <v>#REF!</v>
      </c>
      <c r="G148" s="179" t="e">
        <f t="shared" si="76"/>
        <v>#REF!</v>
      </c>
      <c r="H148" s="179" t="e">
        <f t="shared" si="76"/>
        <v>#REF!</v>
      </c>
      <c r="I148" s="179" t="e">
        <f t="shared" si="76"/>
        <v>#REF!</v>
      </c>
      <c r="J148" s="179" t="e">
        <f t="shared" si="76"/>
        <v>#REF!</v>
      </c>
      <c r="K148" s="179" t="e">
        <f t="shared" si="76"/>
        <v>#REF!</v>
      </c>
      <c r="L148" s="179" t="e">
        <f t="shared" si="76"/>
        <v>#REF!</v>
      </c>
      <c r="M148" s="179" t="e">
        <f t="shared" si="76"/>
        <v>#REF!</v>
      </c>
      <c r="N148" s="179" t="e">
        <f t="shared" si="76"/>
        <v>#REF!</v>
      </c>
      <c r="O148" s="179" t="e">
        <f t="shared" si="76"/>
        <v>#REF!</v>
      </c>
      <c r="P148" s="179" t="e">
        <f t="shared" si="76"/>
        <v>#REF!</v>
      </c>
      <c r="Q148" s="179" t="e">
        <f t="shared" si="76"/>
        <v>#REF!</v>
      </c>
      <c r="R148" s="179" t="e">
        <f t="shared" si="76"/>
        <v>#REF!</v>
      </c>
      <c r="S148" s="179" t="e">
        <f t="shared" si="76"/>
        <v>#REF!</v>
      </c>
      <c r="T148" s="179" t="e">
        <f t="shared" si="76"/>
        <v>#REF!</v>
      </c>
      <c r="U148" s="179" t="e">
        <f t="shared" si="76"/>
        <v>#REF!</v>
      </c>
      <c r="V148" s="179" t="e">
        <f t="shared" si="76"/>
        <v>#REF!</v>
      </c>
      <c r="W148" s="179" t="e">
        <f t="shared" si="76"/>
        <v>#REF!</v>
      </c>
      <c r="X148" s="179" t="e">
        <f t="shared" si="76"/>
        <v>#REF!</v>
      </c>
      <c r="Y148" s="179" t="e">
        <f t="shared" si="76"/>
        <v>#REF!</v>
      </c>
      <c r="Z148" s="179" t="e">
        <f t="shared" si="76"/>
        <v>#REF!</v>
      </c>
      <c r="AA148" s="179" t="e">
        <f t="shared" si="76"/>
        <v>#REF!</v>
      </c>
      <c r="AB148" s="179" t="e">
        <f t="shared" si="76"/>
        <v>#REF!</v>
      </c>
      <c r="AC148" s="179" t="e">
        <f t="shared" si="76"/>
        <v>#REF!</v>
      </c>
      <c r="AD148" s="179" t="e">
        <f t="shared" si="76"/>
        <v>#REF!</v>
      </c>
      <c r="AE148" s="179" t="e">
        <f t="shared" si="76"/>
        <v>#REF!</v>
      </c>
      <c r="AF148" s="179" t="e">
        <f t="shared" si="76"/>
        <v>#REF!</v>
      </c>
      <c r="AG148" s="179" t="e">
        <f t="shared" si="76"/>
        <v>#REF!</v>
      </c>
    </row>
    <row r="149" spans="1:34">
      <c r="A149" s="173" t="s">
        <v>319</v>
      </c>
      <c r="B149" s="173" t="s">
        <v>313</v>
      </c>
      <c r="C149" s="179" t="e">
        <f>C144</f>
        <v>#REF!</v>
      </c>
      <c r="D149" s="179" t="e">
        <f t="shared" si="76"/>
        <v>#REF!</v>
      </c>
      <c r="E149" s="179" t="e">
        <f t="shared" si="76"/>
        <v>#REF!</v>
      </c>
      <c r="F149" s="179" t="e">
        <f t="shared" si="76"/>
        <v>#REF!</v>
      </c>
      <c r="G149" s="179" t="e">
        <f t="shared" si="76"/>
        <v>#REF!</v>
      </c>
      <c r="H149" s="179" t="e">
        <f t="shared" si="76"/>
        <v>#REF!</v>
      </c>
      <c r="I149" s="179" t="e">
        <f t="shared" si="76"/>
        <v>#REF!</v>
      </c>
      <c r="J149" s="179" t="e">
        <f t="shared" si="76"/>
        <v>#REF!</v>
      </c>
      <c r="K149" s="179" t="e">
        <f t="shared" si="76"/>
        <v>#REF!</v>
      </c>
      <c r="L149" s="179" t="e">
        <f t="shared" si="76"/>
        <v>#REF!</v>
      </c>
      <c r="M149" s="179" t="e">
        <f t="shared" si="76"/>
        <v>#REF!</v>
      </c>
      <c r="N149" s="179" t="e">
        <f t="shared" si="76"/>
        <v>#REF!</v>
      </c>
      <c r="O149" s="179" t="e">
        <f t="shared" si="76"/>
        <v>#REF!</v>
      </c>
      <c r="P149" s="179" t="e">
        <f t="shared" si="76"/>
        <v>#REF!</v>
      </c>
      <c r="Q149" s="179" t="e">
        <f t="shared" si="76"/>
        <v>#REF!</v>
      </c>
      <c r="R149" s="179" t="e">
        <f t="shared" si="76"/>
        <v>#REF!</v>
      </c>
      <c r="S149" s="179" t="e">
        <f t="shared" si="76"/>
        <v>#REF!</v>
      </c>
      <c r="T149" s="179" t="e">
        <f t="shared" si="76"/>
        <v>#REF!</v>
      </c>
      <c r="U149" s="179" t="e">
        <f t="shared" si="76"/>
        <v>#REF!</v>
      </c>
      <c r="V149" s="179" t="e">
        <f t="shared" si="76"/>
        <v>#REF!</v>
      </c>
      <c r="W149" s="179" t="e">
        <f t="shared" si="76"/>
        <v>#REF!</v>
      </c>
      <c r="X149" s="179" t="e">
        <f t="shared" si="76"/>
        <v>#REF!</v>
      </c>
      <c r="Y149" s="179" t="e">
        <f t="shared" si="76"/>
        <v>#REF!</v>
      </c>
      <c r="Z149" s="179" t="e">
        <f t="shared" si="76"/>
        <v>#REF!</v>
      </c>
      <c r="AA149" s="179" t="e">
        <f t="shared" si="76"/>
        <v>#REF!</v>
      </c>
      <c r="AB149" s="179" t="e">
        <f t="shared" si="76"/>
        <v>#REF!</v>
      </c>
      <c r="AC149" s="179" t="e">
        <f t="shared" si="76"/>
        <v>#REF!</v>
      </c>
      <c r="AD149" s="179" t="e">
        <f t="shared" si="76"/>
        <v>#REF!</v>
      </c>
      <c r="AE149" s="179" t="e">
        <f t="shared" si="76"/>
        <v>#REF!</v>
      </c>
      <c r="AF149" s="179" t="e">
        <f t="shared" si="76"/>
        <v>#REF!</v>
      </c>
      <c r="AG149" s="179" t="e">
        <f t="shared" si="76"/>
        <v>#REF!</v>
      </c>
    </row>
    <row r="150" spans="1:34" s="247" customFormat="1" ht="11.85" customHeight="1">
      <c r="A150" s="270" t="s">
        <v>320</v>
      </c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</row>
    <row r="151" spans="1:34">
      <c r="A151" s="173" t="s">
        <v>325</v>
      </c>
      <c r="B151" s="173" t="s">
        <v>300</v>
      </c>
      <c r="C151" s="179" t="e">
        <f t="shared" ref="C151:AG152" si="77">C146/($C$28*$C$27)</f>
        <v>#REF!</v>
      </c>
      <c r="D151" s="179" t="e">
        <f t="shared" si="77"/>
        <v>#REF!</v>
      </c>
      <c r="E151" s="179" t="e">
        <f t="shared" si="77"/>
        <v>#REF!</v>
      </c>
      <c r="F151" s="179" t="e">
        <f t="shared" si="77"/>
        <v>#REF!</v>
      </c>
      <c r="G151" s="179" t="e">
        <f t="shared" si="77"/>
        <v>#REF!</v>
      </c>
      <c r="H151" s="179" t="e">
        <f t="shared" si="77"/>
        <v>#REF!</v>
      </c>
      <c r="I151" s="179" t="e">
        <f t="shared" si="77"/>
        <v>#REF!</v>
      </c>
      <c r="J151" s="179" t="e">
        <f t="shared" si="77"/>
        <v>#REF!</v>
      </c>
      <c r="K151" s="179" t="e">
        <f t="shared" si="77"/>
        <v>#REF!</v>
      </c>
      <c r="L151" s="179" t="e">
        <f t="shared" si="77"/>
        <v>#REF!</v>
      </c>
      <c r="M151" s="179" t="e">
        <f t="shared" si="77"/>
        <v>#REF!</v>
      </c>
      <c r="N151" s="179" t="e">
        <f t="shared" si="77"/>
        <v>#REF!</v>
      </c>
      <c r="O151" s="179" t="e">
        <f t="shared" si="77"/>
        <v>#REF!</v>
      </c>
      <c r="P151" s="179" t="e">
        <f t="shared" si="77"/>
        <v>#REF!</v>
      </c>
      <c r="Q151" s="179" t="e">
        <f t="shared" si="77"/>
        <v>#REF!</v>
      </c>
      <c r="R151" s="179" t="e">
        <f t="shared" si="77"/>
        <v>#REF!</v>
      </c>
      <c r="S151" s="179" t="e">
        <f t="shared" si="77"/>
        <v>#REF!</v>
      </c>
      <c r="T151" s="179" t="e">
        <f t="shared" si="77"/>
        <v>#REF!</v>
      </c>
      <c r="U151" s="179" t="e">
        <f t="shared" si="77"/>
        <v>#REF!</v>
      </c>
      <c r="V151" s="179" t="e">
        <f t="shared" si="77"/>
        <v>#REF!</v>
      </c>
      <c r="W151" s="179" t="e">
        <f t="shared" si="77"/>
        <v>#REF!</v>
      </c>
      <c r="X151" s="179" t="e">
        <f t="shared" si="77"/>
        <v>#REF!</v>
      </c>
      <c r="Y151" s="179" t="e">
        <f t="shared" si="77"/>
        <v>#REF!</v>
      </c>
      <c r="Z151" s="179" t="e">
        <f t="shared" si="77"/>
        <v>#REF!</v>
      </c>
      <c r="AA151" s="179" t="e">
        <f t="shared" si="77"/>
        <v>#REF!</v>
      </c>
      <c r="AB151" s="179" t="e">
        <f t="shared" si="77"/>
        <v>#REF!</v>
      </c>
      <c r="AC151" s="179" t="e">
        <f t="shared" si="77"/>
        <v>#REF!</v>
      </c>
      <c r="AD151" s="179" t="e">
        <f t="shared" si="77"/>
        <v>#REF!</v>
      </c>
      <c r="AE151" s="179" t="e">
        <f t="shared" si="77"/>
        <v>#REF!</v>
      </c>
      <c r="AF151" s="179" t="e">
        <f t="shared" si="77"/>
        <v>#REF!</v>
      </c>
      <c r="AG151" s="179" t="e">
        <f t="shared" si="77"/>
        <v>#REF!</v>
      </c>
    </row>
    <row r="152" spans="1:34">
      <c r="A152" s="173" t="s">
        <v>321</v>
      </c>
      <c r="B152" s="173" t="s">
        <v>300</v>
      </c>
      <c r="C152" s="179" t="e">
        <f t="shared" si="77"/>
        <v>#REF!</v>
      </c>
      <c r="D152" s="179" t="e">
        <f t="shared" si="77"/>
        <v>#REF!</v>
      </c>
      <c r="E152" s="179" t="e">
        <f t="shared" si="77"/>
        <v>#REF!</v>
      </c>
      <c r="F152" s="179" t="e">
        <f t="shared" si="77"/>
        <v>#REF!</v>
      </c>
      <c r="G152" s="179" t="e">
        <f t="shared" si="77"/>
        <v>#REF!</v>
      </c>
      <c r="H152" s="179" t="e">
        <f t="shared" si="77"/>
        <v>#REF!</v>
      </c>
      <c r="I152" s="179" t="e">
        <f t="shared" si="77"/>
        <v>#REF!</v>
      </c>
      <c r="J152" s="179" t="e">
        <f t="shared" si="77"/>
        <v>#REF!</v>
      </c>
      <c r="K152" s="179" t="e">
        <f t="shared" si="77"/>
        <v>#REF!</v>
      </c>
      <c r="L152" s="179" t="e">
        <f t="shared" si="77"/>
        <v>#REF!</v>
      </c>
      <c r="M152" s="179" t="e">
        <f t="shared" si="77"/>
        <v>#REF!</v>
      </c>
      <c r="N152" s="179" t="e">
        <f t="shared" si="77"/>
        <v>#REF!</v>
      </c>
      <c r="O152" s="179" t="e">
        <f t="shared" si="77"/>
        <v>#REF!</v>
      </c>
      <c r="P152" s="179" t="e">
        <f t="shared" si="77"/>
        <v>#REF!</v>
      </c>
      <c r="Q152" s="179" t="e">
        <f t="shared" si="77"/>
        <v>#REF!</v>
      </c>
      <c r="R152" s="179" t="e">
        <f t="shared" si="77"/>
        <v>#REF!</v>
      </c>
      <c r="S152" s="179" t="e">
        <f t="shared" si="77"/>
        <v>#REF!</v>
      </c>
      <c r="T152" s="179" t="e">
        <f t="shared" si="77"/>
        <v>#REF!</v>
      </c>
      <c r="U152" s="179" t="e">
        <f t="shared" si="77"/>
        <v>#REF!</v>
      </c>
      <c r="V152" s="179" t="e">
        <f t="shared" si="77"/>
        <v>#REF!</v>
      </c>
      <c r="W152" s="179" t="e">
        <f t="shared" si="77"/>
        <v>#REF!</v>
      </c>
      <c r="X152" s="179" t="e">
        <f t="shared" si="77"/>
        <v>#REF!</v>
      </c>
      <c r="Y152" s="179" t="e">
        <f t="shared" si="77"/>
        <v>#REF!</v>
      </c>
      <c r="Z152" s="179" t="e">
        <f t="shared" si="77"/>
        <v>#REF!</v>
      </c>
      <c r="AA152" s="179" t="e">
        <f t="shared" si="77"/>
        <v>#REF!</v>
      </c>
      <c r="AB152" s="179" t="e">
        <f t="shared" si="77"/>
        <v>#REF!</v>
      </c>
      <c r="AC152" s="179" t="e">
        <f t="shared" si="77"/>
        <v>#REF!</v>
      </c>
      <c r="AD152" s="179" t="e">
        <f t="shared" si="77"/>
        <v>#REF!</v>
      </c>
      <c r="AE152" s="179" t="e">
        <f t="shared" si="77"/>
        <v>#REF!</v>
      </c>
      <c r="AF152" s="179" t="e">
        <f t="shared" si="77"/>
        <v>#REF!</v>
      </c>
      <c r="AG152" s="179" t="e">
        <f t="shared" si="77"/>
        <v>#REF!</v>
      </c>
    </row>
    <row r="153" spans="1:34">
      <c r="A153" s="173" t="s">
        <v>322</v>
      </c>
      <c r="B153" s="173" t="s">
        <v>300</v>
      </c>
      <c r="C153" s="179" t="e">
        <f t="shared" ref="C153:AG153" si="78">(C148+C149+C70)/($C$28*$C$27)+C63</f>
        <v>#REF!</v>
      </c>
      <c r="D153" s="179" t="e">
        <f t="shared" si="78"/>
        <v>#REF!</v>
      </c>
      <c r="E153" s="179" t="e">
        <f t="shared" si="78"/>
        <v>#REF!</v>
      </c>
      <c r="F153" s="179" t="e">
        <f t="shared" si="78"/>
        <v>#REF!</v>
      </c>
      <c r="G153" s="179" t="e">
        <f t="shared" si="78"/>
        <v>#REF!</v>
      </c>
      <c r="H153" s="179" t="e">
        <f t="shared" si="78"/>
        <v>#REF!</v>
      </c>
      <c r="I153" s="179" t="e">
        <f t="shared" si="78"/>
        <v>#REF!</v>
      </c>
      <c r="J153" s="179" t="e">
        <f t="shared" si="78"/>
        <v>#REF!</v>
      </c>
      <c r="K153" s="179" t="e">
        <f t="shared" si="78"/>
        <v>#REF!</v>
      </c>
      <c r="L153" s="179" t="e">
        <f t="shared" si="78"/>
        <v>#REF!</v>
      </c>
      <c r="M153" s="179" t="e">
        <f t="shared" si="78"/>
        <v>#REF!</v>
      </c>
      <c r="N153" s="179" t="e">
        <f t="shared" si="78"/>
        <v>#REF!</v>
      </c>
      <c r="O153" s="179" t="e">
        <f t="shared" si="78"/>
        <v>#REF!</v>
      </c>
      <c r="P153" s="179" t="e">
        <f t="shared" si="78"/>
        <v>#REF!</v>
      </c>
      <c r="Q153" s="179" t="e">
        <f t="shared" si="78"/>
        <v>#REF!</v>
      </c>
      <c r="R153" s="179" t="e">
        <f t="shared" si="78"/>
        <v>#REF!</v>
      </c>
      <c r="S153" s="179" t="e">
        <f t="shared" si="78"/>
        <v>#REF!</v>
      </c>
      <c r="T153" s="179" t="e">
        <f t="shared" si="78"/>
        <v>#REF!</v>
      </c>
      <c r="U153" s="179" t="e">
        <f t="shared" si="78"/>
        <v>#REF!</v>
      </c>
      <c r="V153" s="179" t="e">
        <f t="shared" si="78"/>
        <v>#REF!</v>
      </c>
      <c r="W153" s="179" t="e">
        <f t="shared" si="78"/>
        <v>#REF!</v>
      </c>
      <c r="X153" s="179" t="e">
        <f t="shared" si="78"/>
        <v>#REF!</v>
      </c>
      <c r="Y153" s="179" t="e">
        <f t="shared" si="78"/>
        <v>#REF!</v>
      </c>
      <c r="Z153" s="179" t="e">
        <f t="shared" si="78"/>
        <v>#REF!</v>
      </c>
      <c r="AA153" s="179" t="e">
        <f t="shared" si="78"/>
        <v>#REF!</v>
      </c>
      <c r="AB153" s="179" t="e">
        <f t="shared" si="78"/>
        <v>#REF!</v>
      </c>
      <c r="AC153" s="179" t="e">
        <f t="shared" si="78"/>
        <v>#REF!</v>
      </c>
      <c r="AD153" s="179" t="e">
        <f t="shared" si="78"/>
        <v>#REF!</v>
      </c>
      <c r="AE153" s="179" t="e">
        <f t="shared" si="78"/>
        <v>#REF!</v>
      </c>
      <c r="AF153" s="179" t="e">
        <f t="shared" si="78"/>
        <v>#REF!</v>
      </c>
      <c r="AG153" s="179" t="e">
        <f t="shared" si="78"/>
        <v>#REF!</v>
      </c>
    </row>
    <row r="154" spans="1:34">
      <c r="C154" s="295" t="e">
        <f>SUM(C151:C153)</f>
        <v>#REF!</v>
      </c>
      <c r="D154" s="295" t="e">
        <f t="shared" ref="D154:AG154" si="79">SUM(D151:D153)</f>
        <v>#REF!</v>
      </c>
      <c r="E154" s="295" t="e">
        <f t="shared" si="79"/>
        <v>#REF!</v>
      </c>
      <c r="F154" s="295" t="e">
        <f t="shared" si="79"/>
        <v>#REF!</v>
      </c>
      <c r="G154" s="295" t="e">
        <f t="shared" si="79"/>
        <v>#REF!</v>
      </c>
      <c r="H154" s="295" t="e">
        <f t="shared" si="79"/>
        <v>#REF!</v>
      </c>
      <c r="I154" s="295" t="e">
        <f t="shared" si="79"/>
        <v>#REF!</v>
      </c>
      <c r="J154" s="295" t="e">
        <f t="shared" si="79"/>
        <v>#REF!</v>
      </c>
      <c r="K154" s="295" t="e">
        <f t="shared" si="79"/>
        <v>#REF!</v>
      </c>
      <c r="L154" s="295" t="e">
        <f t="shared" si="79"/>
        <v>#REF!</v>
      </c>
      <c r="M154" s="295" t="e">
        <f t="shared" si="79"/>
        <v>#REF!</v>
      </c>
      <c r="N154" s="295" t="e">
        <f t="shared" si="79"/>
        <v>#REF!</v>
      </c>
      <c r="O154" s="295" t="e">
        <f t="shared" si="79"/>
        <v>#REF!</v>
      </c>
      <c r="P154" s="295" t="e">
        <f t="shared" si="79"/>
        <v>#REF!</v>
      </c>
      <c r="Q154" s="295" t="e">
        <f t="shared" si="79"/>
        <v>#REF!</v>
      </c>
      <c r="R154" s="295" t="e">
        <f t="shared" si="79"/>
        <v>#REF!</v>
      </c>
      <c r="S154" s="295" t="e">
        <f t="shared" si="79"/>
        <v>#REF!</v>
      </c>
      <c r="T154" s="295" t="e">
        <f t="shared" si="79"/>
        <v>#REF!</v>
      </c>
      <c r="U154" s="295" t="e">
        <f t="shared" si="79"/>
        <v>#REF!</v>
      </c>
      <c r="V154" s="295" t="e">
        <f t="shared" si="79"/>
        <v>#REF!</v>
      </c>
      <c r="W154" s="295" t="e">
        <f t="shared" si="79"/>
        <v>#REF!</v>
      </c>
      <c r="X154" s="295" t="e">
        <f t="shared" si="79"/>
        <v>#REF!</v>
      </c>
      <c r="Y154" s="295" t="e">
        <f t="shared" si="79"/>
        <v>#REF!</v>
      </c>
      <c r="Z154" s="295" t="e">
        <f t="shared" si="79"/>
        <v>#REF!</v>
      </c>
      <c r="AA154" s="295" t="e">
        <f t="shared" si="79"/>
        <v>#REF!</v>
      </c>
      <c r="AB154" s="295" t="e">
        <f t="shared" si="79"/>
        <v>#REF!</v>
      </c>
      <c r="AC154" s="295" t="e">
        <f t="shared" si="79"/>
        <v>#REF!</v>
      </c>
      <c r="AD154" s="295" t="e">
        <f t="shared" si="79"/>
        <v>#REF!</v>
      </c>
      <c r="AE154" s="295" t="e">
        <f t="shared" si="79"/>
        <v>#REF!</v>
      </c>
      <c r="AF154" s="295" t="e">
        <f t="shared" si="79"/>
        <v>#REF!</v>
      </c>
      <c r="AG154" s="295" t="e">
        <f t="shared" si="79"/>
        <v>#REF!</v>
      </c>
    </row>
    <row r="155" spans="1:34" s="225" customFormat="1">
      <c r="A155" s="223" t="s">
        <v>182</v>
      </c>
      <c r="B155" s="223"/>
      <c r="H155" s="275" t="e">
        <f>SUM(H157:H160)/H86</f>
        <v>#REF!</v>
      </c>
      <c r="AB155" s="275" t="e">
        <f>SUM(AB157:AB160)/AB86</f>
        <v>#REF!</v>
      </c>
    </row>
    <row r="156" spans="1:34">
      <c r="A156" s="235" t="s">
        <v>41</v>
      </c>
      <c r="B156" s="235"/>
      <c r="C156" s="235">
        <v>2025</v>
      </c>
      <c r="D156" s="235">
        <f t="shared" ref="D156:AG156" si="80">C156+1</f>
        <v>2026</v>
      </c>
      <c r="E156" s="235">
        <f t="shared" si="80"/>
        <v>2027</v>
      </c>
      <c r="F156" s="235">
        <f t="shared" si="80"/>
        <v>2028</v>
      </c>
      <c r="G156" s="235">
        <f t="shared" si="80"/>
        <v>2029</v>
      </c>
      <c r="H156" s="235">
        <f t="shared" si="80"/>
        <v>2030</v>
      </c>
      <c r="I156" s="235">
        <f t="shared" si="80"/>
        <v>2031</v>
      </c>
      <c r="J156" s="235">
        <f t="shared" si="80"/>
        <v>2032</v>
      </c>
      <c r="K156" s="235">
        <f t="shared" si="80"/>
        <v>2033</v>
      </c>
      <c r="L156" s="235">
        <f t="shared" si="80"/>
        <v>2034</v>
      </c>
      <c r="M156" s="235">
        <f t="shared" si="80"/>
        <v>2035</v>
      </c>
      <c r="N156" s="235">
        <f t="shared" si="80"/>
        <v>2036</v>
      </c>
      <c r="O156" s="235">
        <f t="shared" si="80"/>
        <v>2037</v>
      </c>
      <c r="P156" s="235">
        <f t="shared" si="80"/>
        <v>2038</v>
      </c>
      <c r="Q156" s="235">
        <f t="shared" si="80"/>
        <v>2039</v>
      </c>
      <c r="R156" s="235">
        <f t="shared" si="80"/>
        <v>2040</v>
      </c>
      <c r="S156" s="235">
        <f t="shared" si="80"/>
        <v>2041</v>
      </c>
      <c r="T156" s="235">
        <f t="shared" si="80"/>
        <v>2042</v>
      </c>
      <c r="U156" s="235">
        <f t="shared" si="80"/>
        <v>2043</v>
      </c>
      <c r="V156" s="235">
        <f t="shared" si="80"/>
        <v>2044</v>
      </c>
      <c r="W156" s="235">
        <f t="shared" si="80"/>
        <v>2045</v>
      </c>
      <c r="X156" s="235">
        <f t="shared" si="80"/>
        <v>2046</v>
      </c>
      <c r="Y156" s="235">
        <f t="shared" si="80"/>
        <v>2047</v>
      </c>
      <c r="Z156" s="235">
        <f t="shared" si="80"/>
        <v>2048</v>
      </c>
      <c r="AA156" s="235">
        <f t="shared" si="80"/>
        <v>2049</v>
      </c>
      <c r="AB156" s="235">
        <f t="shared" si="80"/>
        <v>2050</v>
      </c>
      <c r="AC156" s="235">
        <f t="shared" si="80"/>
        <v>2051</v>
      </c>
      <c r="AD156" s="235">
        <f t="shared" si="80"/>
        <v>2052</v>
      </c>
      <c r="AE156" s="235">
        <f t="shared" si="80"/>
        <v>2053</v>
      </c>
      <c r="AF156" s="235">
        <f t="shared" si="80"/>
        <v>2054</v>
      </c>
      <c r="AG156" s="235">
        <f t="shared" si="80"/>
        <v>2055</v>
      </c>
    </row>
    <row r="157" spans="1:34">
      <c r="A157" s="290" t="s">
        <v>419</v>
      </c>
      <c r="B157" s="173" t="s">
        <v>309</v>
      </c>
      <c r="C157" s="238" t="e">
        <f>ROUND(($G$81*C56)/1000,0)*1000</f>
        <v>#REF!</v>
      </c>
      <c r="D157" s="238" t="e">
        <f>ROUND(($G$81*D56)/1000,0)*1000</f>
        <v>#REF!</v>
      </c>
      <c r="E157" s="238" t="e">
        <f>ROUND(($G$81*E56)/1000,0)*1000</f>
        <v>#REF!</v>
      </c>
      <c r="F157" s="238" t="e">
        <f t="shared" ref="F157:AG157" si="81">ROUND(($G$81*F56)/1000,0)*1000</f>
        <v>#REF!</v>
      </c>
      <c r="G157" s="238" t="e">
        <f t="shared" si="81"/>
        <v>#REF!</v>
      </c>
      <c r="H157" s="238" t="e">
        <f t="shared" si="81"/>
        <v>#REF!</v>
      </c>
      <c r="I157" s="238" t="e">
        <f t="shared" si="81"/>
        <v>#REF!</v>
      </c>
      <c r="J157" s="238" t="e">
        <f t="shared" si="81"/>
        <v>#REF!</v>
      </c>
      <c r="K157" s="238" t="e">
        <f t="shared" si="81"/>
        <v>#REF!</v>
      </c>
      <c r="L157" s="238" t="e">
        <f t="shared" si="81"/>
        <v>#REF!</v>
      </c>
      <c r="M157" s="238" t="e">
        <f t="shared" si="81"/>
        <v>#REF!</v>
      </c>
      <c r="N157" s="238" t="e">
        <f t="shared" si="81"/>
        <v>#REF!</v>
      </c>
      <c r="O157" s="238" t="e">
        <f t="shared" si="81"/>
        <v>#REF!</v>
      </c>
      <c r="P157" s="238" t="e">
        <f t="shared" si="81"/>
        <v>#REF!</v>
      </c>
      <c r="Q157" s="238" t="e">
        <f t="shared" si="81"/>
        <v>#REF!</v>
      </c>
      <c r="R157" s="238" t="e">
        <f t="shared" si="81"/>
        <v>#REF!</v>
      </c>
      <c r="S157" s="238" t="e">
        <f t="shared" si="81"/>
        <v>#REF!</v>
      </c>
      <c r="T157" s="238" t="e">
        <f t="shared" si="81"/>
        <v>#REF!</v>
      </c>
      <c r="U157" s="238" t="e">
        <f t="shared" si="81"/>
        <v>#REF!</v>
      </c>
      <c r="V157" s="238" t="e">
        <f t="shared" si="81"/>
        <v>#REF!</v>
      </c>
      <c r="W157" s="238" t="e">
        <f t="shared" si="81"/>
        <v>#REF!</v>
      </c>
      <c r="X157" s="238" t="e">
        <f t="shared" si="81"/>
        <v>#REF!</v>
      </c>
      <c r="Y157" s="238" t="e">
        <f t="shared" si="81"/>
        <v>#REF!</v>
      </c>
      <c r="Z157" s="238" t="e">
        <f t="shared" si="81"/>
        <v>#REF!</v>
      </c>
      <c r="AA157" s="238" t="e">
        <f t="shared" si="81"/>
        <v>#REF!</v>
      </c>
      <c r="AB157" s="238" t="e">
        <f t="shared" si="81"/>
        <v>#REF!</v>
      </c>
      <c r="AC157" s="238" t="e">
        <f t="shared" si="81"/>
        <v>#REF!</v>
      </c>
      <c r="AD157" s="238" t="e">
        <f t="shared" si="81"/>
        <v>#REF!</v>
      </c>
      <c r="AE157" s="238" t="e">
        <f t="shared" si="81"/>
        <v>#REF!</v>
      </c>
      <c r="AF157" s="238" t="e">
        <f t="shared" si="81"/>
        <v>#REF!</v>
      </c>
      <c r="AG157" s="238" t="e">
        <f t="shared" si="81"/>
        <v>#REF!</v>
      </c>
    </row>
    <row r="158" spans="1:34">
      <c r="A158" s="290" t="s">
        <v>420</v>
      </c>
      <c r="B158" s="173" t="s">
        <v>309</v>
      </c>
      <c r="C158" s="179" t="e">
        <f t="shared" ref="C158:AG158" si="82">C61</f>
        <v>#REF!</v>
      </c>
      <c r="D158" s="179" t="e">
        <f t="shared" si="82"/>
        <v>#REF!</v>
      </c>
      <c r="E158" s="179" t="e">
        <f t="shared" si="82"/>
        <v>#REF!</v>
      </c>
      <c r="F158" s="179" t="e">
        <f t="shared" si="82"/>
        <v>#REF!</v>
      </c>
      <c r="G158" s="179" t="e">
        <f t="shared" si="82"/>
        <v>#REF!</v>
      </c>
      <c r="H158" s="179" t="e">
        <f t="shared" si="82"/>
        <v>#REF!</v>
      </c>
      <c r="I158" s="179" t="e">
        <f t="shared" si="82"/>
        <v>#REF!</v>
      </c>
      <c r="J158" s="179" t="e">
        <f t="shared" si="82"/>
        <v>#REF!</v>
      </c>
      <c r="K158" s="179" t="e">
        <f t="shared" si="82"/>
        <v>#REF!</v>
      </c>
      <c r="L158" s="179" t="e">
        <f t="shared" si="82"/>
        <v>#REF!</v>
      </c>
      <c r="M158" s="179" t="e">
        <f t="shared" si="82"/>
        <v>#REF!</v>
      </c>
      <c r="N158" s="179" t="e">
        <f t="shared" si="82"/>
        <v>#REF!</v>
      </c>
      <c r="O158" s="179" t="e">
        <f t="shared" si="82"/>
        <v>#REF!</v>
      </c>
      <c r="P158" s="179" t="e">
        <f t="shared" si="82"/>
        <v>#REF!</v>
      </c>
      <c r="Q158" s="179" t="e">
        <f t="shared" si="82"/>
        <v>#REF!</v>
      </c>
      <c r="R158" s="179" t="e">
        <f t="shared" si="82"/>
        <v>#REF!</v>
      </c>
      <c r="S158" s="179" t="e">
        <f t="shared" si="82"/>
        <v>#REF!</v>
      </c>
      <c r="T158" s="179" t="e">
        <f t="shared" si="82"/>
        <v>#REF!</v>
      </c>
      <c r="U158" s="179" t="e">
        <f t="shared" si="82"/>
        <v>#REF!</v>
      </c>
      <c r="V158" s="179" t="e">
        <f t="shared" si="82"/>
        <v>#REF!</v>
      </c>
      <c r="W158" s="179" t="e">
        <f t="shared" si="82"/>
        <v>#REF!</v>
      </c>
      <c r="X158" s="179" t="e">
        <f t="shared" si="82"/>
        <v>#REF!</v>
      </c>
      <c r="Y158" s="179" t="e">
        <f t="shared" si="82"/>
        <v>#REF!</v>
      </c>
      <c r="Z158" s="179" t="e">
        <f t="shared" si="82"/>
        <v>#REF!</v>
      </c>
      <c r="AA158" s="179" t="e">
        <f t="shared" si="82"/>
        <v>#REF!</v>
      </c>
      <c r="AB158" s="179" t="e">
        <f t="shared" si="82"/>
        <v>#REF!</v>
      </c>
      <c r="AC158" s="179" t="e">
        <f t="shared" si="82"/>
        <v>#REF!</v>
      </c>
      <c r="AD158" s="179" t="e">
        <f t="shared" si="82"/>
        <v>#REF!</v>
      </c>
      <c r="AE158" s="179" t="e">
        <f t="shared" si="82"/>
        <v>#REF!</v>
      </c>
      <c r="AF158" s="179" t="e">
        <f t="shared" si="82"/>
        <v>#REF!</v>
      </c>
      <c r="AG158" s="179" t="e">
        <f t="shared" si="82"/>
        <v>#REF!</v>
      </c>
    </row>
    <row r="159" spans="1:34">
      <c r="A159" s="291" t="s">
        <v>421</v>
      </c>
      <c r="B159" s="229"/>
      <c r="C159" s="238" t="e">
        <f>C12</f>
        <v>#REF!</v>
      </c>
      <c r="D159" s="238" t="e">
        <f>ROUND((C159*(1+$AH159))/1000,0)*1000</f>
        <v>#REF!</v>
      </c>
      <c r="E159" s="238" t="e">
        <f>ROUND((D159*(1+$AH159))/1000,0)*1000</f>
        <v>#REF!</v>
      </c>
      <c r="F159" s="238" t="e">
        <f>ROUND((E159*(1+$AH159))/1000,0)*1000</f>
        <v>#REF!</v>
      </c>
      <c r="G159" s="238" t="e">
        <f>ROUND((F159*(1+$AH159))/1000,0)*1000</f>
        <v>#REF!</v>
      </c>
      <c r="H159" s="238" t="e">
        <f t="shared" ref="H159:AG159" si="83">ROUND((G159*(1+$AH159))/1000,0)*1000</f>
        <v>#REF!</v>
      </c>
      <c r="I159" s="238" t="e">
        <f t="shared" si="83"/>
        <v>#REF!</v>
      </c>
      <c r="J159" s="238" t="e">
        <f t="shared" si="83"/>
        <v>#REF!</v>
      </c>
      <c r="K159" s="238" t="e">
        <f t="shared" si="83"/>
        <v>#REF!</v>
      </c>
      <c r="L159" s="238" t="e">
        <f t="shared" si="83"/>
        <v>#REF!</v>
      </c>
      <c r="M159" s="238" t="e">
        <f t="shared" si="83"/>
        <v>#REF!</v>
      </c>
      <c r="N159" s="238" t="e">
        <f t="shared" si="83"/>
        <v>#REF!</v>
      </c>
      <c r="O159" s="238" t="e">
        <f t="shared" si="83"/>
        <v>#REF!</v>
      </c>
      <c r="P159" s="238" t="e">
        <f t="shared" si="83"/>
        <v>#REF!</v>
      </c>
      <c r="Q159" s="238" t="e">
        <f t="shared" si="83"/>
        <v>#REF!</v>
      </c>
      <c r="R159" s="238" t="e">
        <f t="shared" si="83"/>
        <v>#REF!</v>
      </c>
      <c r="S159" s="238" t="e">
        <f t="shared" si="83"/>
        <v>#REF!</v>
      </c>
      <c r="T159" s="238" t="e">
        <f t="shared" si="83"/>
        <v>#REF!</v>
      </c>
      <c r="U159" s="238" t="e">
        <f t="shared" si="83"/>
        <v>#REF!</v>
      </c>
      <c r="V159" s="238" t="e">
        <f t="shared" si="83"/>
        <v>#REF!</v>
      </c>
      <c r="W159" s="238" t="e">
        <f t="shared" si="83"/>
        <v>#REF!</v>
      </c>
      <c r="X159" s="238" t="e">
        <f t="shared" si="83"/>
        <v>#REF!</v>
      </c>
      <c r="Y159" s="238" t="e">
        <f t="shared" si="83"/>
        <v>#REF!</v>
      </c>
      <c r="Z159" s="238" t="e">
        <f t="shared" si="83"/>
        <v>#REF!</v>
      </c>
      <c r="AA159" s="238" t="e">
        <f t="shared" si="83"/>
        <v>#REF!</v>
      </c>
      <c r="AB159" s="238" t="e">
        <f t="shared" si="83"/>
        <v>#REF!</v>
      </c>
      <c r="AC159" s="238" t="e">
        <f t="shared" si="83"/>
        <v>#REF!</v>
      </c>
      <c r="AD159" s="238" t="e">
        <f t="shared" si="83"/>
        <v>#REF!</v>
      </c>
      <c r="AE159" s="238" t="e">
        <f t="shared" si="83"/>
        <v>#REF!</v>
      </c>
      <c r="AF159" s="238" t="e">
        <f t="shared" si="83"/>
        <v>#REF!</v>
      </c>
      <c r="AG159" s="238" t="e">
        <f t="shared" si="83"/>
        <v>#REF!</v>
      </c>
      <c r="AH159" s="237">
        <v>1.4999999999999999E-2</v>
      </c>
    </row>
    <row r="160" spans="1:34">
      <c r="A160" s="290" t="s">
        <v>422</v>
      </c>
      <c r="B160" s="173" t="s">
        <v>309</v>
      </c>
      <c r="C160" s="238" t="e">
        <f t="shared" ref="C160:AG160" si="84">(C86-C159+(C158))</f>
        <v>#REF!</v>
      </c>
      <c r="D160" s="238" t="e">
        <f t="shared" si="84"/>
        <v>#REF!</v>
      </c>
      <c r="E160" s="238" t="e">
        <f t="shared" si="84"/>
        <v>#REF!</v>
      </c>
      <c r="F160" s="238" t="e">
        <f t="shared" si="84"/>
        <v>#REF!</v>
      </c>
      <c r="G160" s="238" t="e">
        <f t="shared" si="84"/>
        <v>#REF!</v>
      </c>
      <c r="H160" s="238" t="e">
        <f t="shared" si="84"/>
        <v>#REF!</v>
      </c>
      <c r="I160" s="238" t="e">
        <f t="shared" si="84"/>
        <v>#REF!</v>
      </c>
      <c r="J160" s="238" t="e">
        <f t="shared" si="84"/>
        <v>#REF!</v>
      </c>
      <c r="K160" s="238" t="e">
        <f t="shared" si="84"/>
        <v>#REF!</v>
      </c>
      <c r="L160" s="238" t="e">
        <f t="shared" si="84"/>
        <v>#REF!</v>
      </c>
      <c r="M160" s="238" t="e">
        <f t="shared" si="84"/>
        <v>#REF!</v>
      </c>
      <c r="N160" s="238" t="e">
        <f t="shared" si="84"/>
        <v>#REF!</v>
      </c>
      <c r="O160" s="238" t="e">
        <f t="shared" si="84"/>
        <v>#REF!</v>
      </c>
      <c r="P160" s="238" t="e">
        <f t="shared" si="84"/>
        <v>#REF!</v>
      </c>
      <c r="Q160" s="238" t="e">
        <f t="shared" si="84"/>
        <v>#REF!</v>
      </c>
      <c r="R160" s="238" t="e">
        <f t="shared" si="84"/>
        <v>#REF!</v>
      </c>
      <c r="S160" s="238" t="e">
        <f t="shared" si="84"/>
        <v>#REF!</v>
      </c>
      <c r="T160" s="238" t="e">
        <f t="shared" si="84"/>
        <v>#REF!</v>
      </c>
      <c r="U160" s="238" t="e">
        <f t="shared" si="84"/>
        <v>#REF!</v>
      </c>
      <c r="V160" s="238" t="e">
        <f t="shared" si="84"/>
        <v>#REF!</v>
      </c>
      <c r="W160" s="238" t="e">
        <f t="shared" si="84"/>
        <v>#REF!</v>
      </c>
      <c r="X160" s="238" t="e">
        <f t="shared" si="84"/>
        <v>#REF!</v>
      </c>
      <c r="Y160" s="238" t="e">
        <f t="shared" si="84"/>
        <v>#REF!</v>
      </c>
      <c r="Z160" s="238" t="e">
        <f t="shared" si="84"/>
        <v>#REF!</v>
      </c>
      <c r="AA160" s="238" t="e">
        <f t="shared" si="84"/>
        <v>#REF!</v>
      </c>
      <c r="AB160" s="238" t="e">
        <f t="shared" si="84"/>
        <v>#REF!</v>
      </c>
      <c r="AC160" s="238" t="e">
        <f t="shared" si="84"/>
        <v>#REF!</v>
      </c>
      <c r="AD160" s="238" t="e">
        <f t="shared" si="84"/>
        <v>#REF!</v>
      </c>
      <c r="AE160" s="238" t="e">
        <f t="shared" si="84"/>
        <v>#REF!</v>
      </c>
      <c r="AF160" s="238" t="e">
        <f t="shared" si="84"/>
        <v>#REF!</v>
      </c>
      <c r="AG160" s="238" t="e">
        <f t="shared" si="84"/>
        <v>#REF!</v>
      </c>
    </row>
    <row r="161" spans="1:33">
      <c r="A161" s="173" t="s">
        <v>423</v>
      </c>
      <c r="B161" s="173" t="s">
        <v>309</v>
      </c>
      <c r="C161" s="238" t="e">
        <f t="shared" ref="C161:AG161" si="85">$C$35*C157</f>
        <v>#REF!</v>
      </c>
      <c r="D161" s="238" t="e">
        <f t="shared" si="85"/>
        <v>#REF!</v>
      </c>
      <c r="E161" s="238" t="e">
        <f t="shared" si="85"/>
        <v>#REF!</v>
      </c>
      <c r="F161" s="238" t="e">
        <f t="shared" si="85"/>
        <v>#REF!</v>
      </c>
      <c r="G161" s="238" t="e">
        <f t="shared" si="85"/>
        <v>#REF!</v>
      </c>
      <c r="H161" s="238" t="e">
        <f t="shared" si="85"/>
        <v>#REF!</v>
      </c>
      <c r="I161" s="238" t="e">
        <f t="shared" si="85"/>
        <v>#REF!</v>
      </c>
      <c r="J161" s="238" t="e">
        <f t="shared" si="85"/>
        <v>#REF!</v>
      </c>
      <c r="K161" s="238" t="e">
        <f t="shared" si="85"/>
        <v>#REF!</v>
      </c>
      <c r="L161" s="238" t="e">
        <f t="shared" si="85"/>
        <v>#REF!</v>
      </c>
      <c r="M161" s="238" t="e">
        <f t="shared" si="85"/>
        <v>#REF!</v>
      </c>
      <c r="N161" s="238" t="e">
        <f t="shared" si="85"/>
        <v>#REF!</v>
      </c>
      <c r="O161" s="238" t="e">
        <f t="shared" si="85"/>
        <v>#REF!</v>
      </c>
      <c r="P161" s="238" t="e">
        <f t="shared" si="85"/>
        <v>#REF!</v>
      </c>
      <c r="Q161" s="238" t="e">
        <f t="shared" si="85"/>
        <v>#REF!</v>
      </c>
      <c r="R161" s="238" t="e">
        <f t="shared" si="85"/>
        <v>#REF!</v>
      </c>
      <c r="S161" s="238" t="e">
        <f t="shared" si="85"/>
        <v>#REF!</v>
      </c>
      <c r="T161" s="238" t="e">
        <f t="shared" si="85"/>
        <v>#REF!</v>
      </c>
      <c r="U161" s="238" t="e">
        <f t="shared" si="85"/>
        <v>#REF!</v>
      </c>
      <c r="V161" s="238" t="e">
        <f t="shared" si="85"/>
        <v>#REF!</v>
      </c>
      <c r="W161" s="238" t="e">
        <f t="shared" si="85"/>
        <v>#REF!</v>
      </c>
      <c r="X161" s="238" t="e">
        <f t="shared" si="85"/>
        <v>#REF!</v>
      </c>
      <c r="Y161" s="238" t="e">
        <f t="shared" si="85"/>
        <v>#REF!</v>
      </c>
      <c r="Z161" s="238" t="e">
        <f t="shared" si="85"/>
        <v>#REF!</v>
      </c>
      <c r="AA161" s="238" t="e">
        <f t="shared" si="85"/>
        <v>#REF!</v>
      </c>
      <c r="AB161" s="238" t="e">
        <f t="shared" si="85"/>
        <v>#REF!</v>
      </c>
      <c r="AC161" s="238" t="e">
        <f t="shared" si="85"/>
        <v>#REF!</v>
      </c>
      <c r="AD161" s="238" t="e">
        <f t="shared" si="85"/>
        <v>#REF!</v>
      </c>
      <c r="AE161" s="238" t="e">
        <f t="shared" si="85"/>
        <v>#REF!</v>
      </c>
      <c r="AF161" s="238" t="e">
        <f t="shared" si="85"/>
        <v>#REF!</v>
      </c>
      <c r="AG161" s="238" t="e">
        <f t="shared" si="85"/>
        <v>#REF!</v>
      </c>
    </row>
    <row r="162" spans="1:33">
      <c r="A162" s="290" t="s">
        <v>329</v>
      </c>
      <c r="B162" s="173" t="s">
        <v>309</v>
      </c>
      <c r="C162" s="179" t="e">
        <f t="shared" ref="C162:AG162" si="86">C160+C157+C161</f>
        <v>#REF!</v>
      </c>
      <c r="D162" s="179" t="e">
        <f t="shared" si="86"/>
        <v>#REF!</v>
      </c>
      <c r="E162" s="179" t="e">
        <f t="shared" si="86"/>
        <v>#REF!</v>
      </c>
      <c r="F162" s="179" t="e">
        <f t="shared" si="86"/>
        <v>#REF!</v>
      </c>
      <c r="G162" s="179" t="e">
        <f t="shared" si="86"/>
        <v>#REF!</v>
      </c>
      <c r="H162" s="179" t="e">
        <f t="shared" si="86"/>
        <v>#REF!</v>
      </c>
      <c r="I162" s="179" t="e">
        <f t="shared" si="86"/>
        <v>#REF!</v>
      </c>
      <c r="J162" s="179" t="e">
        <f t="shared" si="86"/>
        <v>#REF!</v>
      </c>
      <c r="K162" s="179" t="e">
        <f t="shared" si="86"/>
        <v>#REF!</v>
      </c>
      <c r="L162" s="179" t="e">
        <f t="shared" si="86"/>
        <v>#REF!</v>
      </c>
      <c r="M162" s="179" t="e">
        <f t="shared" si="86"/>
        <v>#REF!</v>
      </c>
      <c r="N162" s="179" t="e">
        <f t="shared" si="86"/>
        <v>#REF!</v>
      </c>
      <c r="O162" s="179" t="e">
        <f t="shared" si="86"/>
        <v>#REF!</v>
      </c>
      <c r="P162" s="179" t="e">
        <f t="shared" si="86"/>
        <v>#REF!</v>
      </c>
      <c r="Q162" s="179" t="e">
        <f t="shared" si="86"/>
        <v>#REF!</v>
      </c>
      <c r="R162" s="179" t="e">
        <f t="shared" si="86"/>
        <v>#REF!</v>
      </c>
      <c r="S162" s="179" t="e">
        <f t="shared" si="86"/>
        <v>#REF!</v>
      </c>
      <c r="T162" s="179" t="e">
        <f t="shared" si="86"/>
        <v>#REF!</v>
      </c>
      <c r="U162" s="179" t="e">
        <f t="shared" si="86"/>
        <v>#REF!</v>
      </c>
      <c r="V162" s="179" t="e">
        <f t="shared" si="86"/>
        <v>#REF!</v>
      </c>
      <c r="W162" s="179" t="e">
        <f t="shared" si="86"/>
        <v>#REF!</v>
      </c>
      <c r="X162" s="179" t="e">
        <f t="shared" si="86"/>
        <v>#REF!</v>
      </c>
      <c r="Y162" s="179" t="e">
        <f t="shared" si="86"/>
        <v>#REF!</v>
      </c>
      <c r="Z162" s="179" t="e">
        <f t="shared" si="86"/>
        <v>#REF!</v>
      </c>
      <c r="AA162" s="179" t="e">
        <f t="shared" si="86"/>
        <v>#REF!</v>
      </c>
      <c r="AB162" s="179" t="e">
        <f t="shared" si="86"/>
        <v>#REF!</v>
      </c>
      <c r="AC162" s="179" t="e">
        <f t="shared" si="86"/>
        <v>#REF!</v>
      </c>
      <c r="AD162" s="179" t="e">
        <f t="shared" si="86"/>
        <v>#REF!</v>
      </c>
      <c r="AE162" s="179" t="e">
        <f t="shared" si="86"/>
        <v>#REF!</v>
      </c>
      <c r="AF162" s="179" t="e">
        <f t="shared" si="86"/>
        <v>#REF!</v>
      </c>
      <c r="AG162" s="179" t="e">
        <f t="shared" si="86"/>
        <v>#REF!</v>
      </c>
    </row>
    <row r="163" spans="1:33">
      <c r="A163" s="173" t="s">
        <v>340</v>
      </c>
      <c r="B163" s="173" t="s">
        <v>309</v>
      </c>
      <c r="C163" s="179">
        <f t="shared" ref="C163:F163" si="87">IF($B$5="Yes",MIN(10000*$G$81,3000000),0)</f>
        <v>0</v>
      </c>
      <c r="D163" s="179">
        <f t="shared" si="87"/>
        <v>0</v>
      </c>
      <c r="E163" s="179">
        <f t="shared" si="87"/>
        <v>0</v>
      </c>
      <c r="F163" s="179">
        <f t="shared" si="87"/>
        <v>0</v>
      </c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</row>
    <row r="164" spans="1:33">
      <c r="A164" s="173" t="s">
        <v>424</v>
      </c>
      <c r="B164" s="173" t="s">
        <v>41</v>
      </c>
      <c r="C164" s="276" t="e">
        <f>$C$10/($G$82/$G$81)</f>
        <v>#REF!</v>
      </c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</row>
    <row r="165" spans="1:33">
      <c r="A165" s="173" t="s">
        <v>330</v>
      </c>
      <c r="B165" s="173" t="s">
        <v>309</v>
      </c>
      <c r="C165" s="179" t="e">
        <f t="shared" ref="C165:AG165" si="88">$G$82*C55</f>
        <v>#REF!</v>
      </c>
      <c r="D165" s="179" t="e">
        <f t="shared" si="88"/>
        <v>#REF!</v>
      </c>
      <c r="E165" s="179" t="e">
        <f t="shared" si="88"/>
        <v>#REF!</v>
      </c>
      <c r="F165" s="179" t="e">
        <f t="shared" si="88"/>
        <v>#REF!</v>
      </c>
      <c r="G165" s="179" t="e">
        <f t="shared" si="88"/>
        <v>#REF!</v>
      </c>
      <c r="H165" s="179" t="e">
        <f t="shared" si="88"/>
        <v>#REF!</v>
      </c>
      <c r="I165" s="179" t="e">
        <f t="shared" si="88"/>
        <v>#REF!</v>
      </c>
      <c r="J165" s="179" t="e">
        <f t="shared" si="88"/>
        <v>#REF!</v>
      </c>
      <c r="K165" s="179" t="e">
        <f t="shared" si="88"/>
        <v>#REF!</v>
      </c>
      <c r="L165" s="179" t="e">
        <f t="shared" si="88"/>
        <v>#REF!</v>
      </c>
      <c r="M165" s="179" t="e">
        <f t="shared" si="88"/>
        <v>#REF!</v>
      </c>
      <c r="N165" s="179" t="e">
        <f t="shared" si="88"/>
        <v>#REF!</v>
      </c>
      <c r="O165" s="179" t="e">
        <f t="shared" si="88"/>
        <v>#REF!</v>
      </c>
      <c r="P165" s="179" t="e">
        <f t="shared" si="88"/>
        <v>#REF!</v>
      </c>
      <c r="Q165" s="179" t="e">
        <f t="shared" si="88"/>
        <v>#REF!</v>
      </c>
      <c r="R165" s="179" t="e">
        <f t="shared" si="88"/>
        <v>#REF!</v>
      </c>
      <c r="S165" s="179" t="e">
        <f t="shared" si="88"/>
        <v>#REF!</v>
      </c>
      <c r="T165" s="179" t="e">
        <f t="shared" si="88"/>
        <v>#REF!</v>
      </c>
      <c r="U165" s="179" t="e">
        <f t="shared" si="88"/>
        <v>#REF!</v>
      </c>
      <c r="V165" s="179" t="e">
        <f t="shared" si="88"/>
        <v>#REF!</v>
      </c>
      <c r="W165" s="179" t="e">
        <f t="shared" si="88"/>
        <v>#REF!</v>
      </c>
      <c r="X165" s="179" t="e">
        <f t="shared" si="88"/>
        <v>#REF!</v>
      </c>
      <c r="Y165" s="179" t="e">
        <f t="shared" si="88"/>
        <v>#REF!</v>
      </c>
      <c r="Z165" s="179" t="e">
        <f t="shared" si="88"/>
        <v>#REF!</v>
      </c>
      <c r="AA165" s="179" t="e">
        <f t="shared" si="88"/>
        <v>#REF!</v>
      </c>
      <c r="AB165" s="179" t="e">
        <f t="shared" si="88"/>
        <v>#REF!</v>
      </c>
      <c r="AC165" s="179" t="e">
        <f t="shared" si="88"/>
        <v>#REF!</v>
      </c>
      <c r="AD165" s="179" t="e">
        <f t="shared" si="88"/>
        <v>#REF!</v>
      </c>
      <c r="AE165" s="179" t="e">
        <f t="shared" si="88"/>
        <v>#REF!</v>
      </c>
      <c r="AF165" s="179" t="e">
        <f t="shared" si="88"/>
        <v>#REF!</v>
      </c>
      <c r="AG165" s="179" t="e">
        <f t="shared" si="88"/>
        <v>#REF!</v>
      </c>
    </row>
    <row r="166" spans="1:33">
      <c r="A166" s="173" t="str">
        <f>A96</f>
        <v>Maintenance</v>
      </c>
      <c r="B166" s="173" t="s">
        <v>309</v>
      </c>
      <c r="C166" s="179" t="e">
        <f t="shared" ref="C166:AG166" si="89">$C$28*$C$27*C67</f>
        <v>#REF!</v>
      </c>
      <c r="D166" s="179" t="e">
        <f t="shared" si="89"/>
        <v>#REF!</v>
      </c>
      <c r="E166" s="179" t="e">
        <f t="shared" si="89"/>
        <v>#REF!</v>
      </c>
      <c r="F166" s="179" t="e">
        <f t="shared" si="89"/>
        <v>#REF!</v>
      </c>
      <c r="G166" s="179" t="e">
        <f t="shared" si="89"/>
        <v>#REF!</v>
      </c>
      <c r="H166" s="179" t="e">
        <f t="shared" si="89"/>
        <v>#REF!</v>
      </c>
      <c r="I166" s="179" t="e">
        <f t="shared" si="89"/>
        <v>#REF!</v>
      </c>
      <c r="J166" s="179" t="e">
        <f t="shared" si="89"/>
        <v>#REF!</v>
      </c>
      <c r="K166" s="179" t="e">
        <f t="shared" si="89"/>
        <v>#REF!</v>
      </c>
      <c r="L166" s="179" t="e">
        <f t="shared" si="89"/>
        <v>#REF!</v>
      </c>
      <c r="M166" s="179" t="e">
        <f t="shared" si="89"/>
        <v>#REF!</v>
      </c>
      <c r="N166" s="179" t="e">
        <f t="shared" si="89"/>
        <v>#REF!</v>
      </c>
      <c r="O166" s="179" t="e">
        <f t="shared" si="89"/>
        <v>#REF!</v>
      </c>
      <c r="P166" s="179" t="e">
        <f t="shared" si="89"/>
        <v>#REF!</v>
      </c>
      <c r="Q166" s="179" t="e">
        <f t="shared" si="89"/>
        <v>#REF!</v>
      </c>
      <c r="R166" s="179" t="e">
        <f t="shared" si="89"/>
        <v>#REF!</v>
      </c>
      <c r="S166" s="179" t="e">
        <f t="shared" si="89"/>
        <v>#REF!</v>
      </c>
      <c r="T166" s="179" t="e">
        <f t="shared" si="89"/>
        <v>#REF!</v>
      </c>
      <c r="U166" s="179" t="e">
        <f t="shared" si="89"/>
        <v>#REF!</v>
      </c>
      <c r="V166" s="179" t="e">
        <f t="shared" si="89"/>
        <v>#REF!</v>
      </c>
      <c r="W166" s="179" t="e">
        <f t="shared" si="89"/>
        <v>#REF!</v>
      </c>
      <c r="X166" s="179" t="e">
        <f t="shared" si="89"/>
        <v>#REF!</v>
      </c>
      <c r="Y166" s="179" t="e">
        <f t="shared" si="89"/>
        <v>#REF!</v>
      </c>
      <c r="Z166" s="179" t="e">
        <f t="shared" si="89"/>
        <v>#REF!</v>
      </c>
      <c r="AA166" s="179" t="e">
        <f t="shared" si="89"/>
        <v>#REF!</v>
      </c>
      <c r="AB166" s="179" t="e">
        <f t="shared" si="89"/>
        <v>#REF!</v>
      </c>
      <c r="AC166" s="179" t="e">
        <f t="shared" si="89"/>
        <v>#REF!</v>
      </c>
      <c r="AD166" s="179" t="e">
        <f t="shared" si="89"/>
        <v>#REF!</v>
      </c>
      <c r="AE166" s="179" t="e">
        <f t="shared" si="89"/>
        <v>#REF!</v>
      </c>
      <c r="AF166" s="179" t="e">
        <f t="shared" si="89"/>
        <v>#REF!</v>
      </c>
      <c r="AG166" s="179" t="e">
        <f t="shared" si="89"/>
        <v>#REF!</v>
      </c>
    </row>
    <row r="167" spans="1:33">
      <c r="A167" s="173" t="s">
        <v>339</v>
      </c>
      <c r="B167" s="173" t="str">
        <f>B166</f>
        <v>INR</v>
      </c>
      <c r="C167" s="179" t="e">
        <f t="shared" ref="C167:AG167" si="90">$C$16*$C$27*$C$28</f>
        <v>#REF!</v>
      </c>
      <c r="D167" s="179" t="e">
        <f t="shared" si="90"/>
        <v>#REF!</v>
      </c>
      <c r="E167" s="179" t="e">
        <f t="shared" si="90"/>
        <v>#REF!</v>
      </c>
      <c r="F167" s="179" t="e">
        <f t="shared" si="90"/>
        <v>#REF!</v>
      </c>
      <c r="G167" s="179" t="e">
        <f t="shared" si="90"/>
        <v>#REF!</v>
      </c>
      <c r="H167" s="179" t="e">
        <f t="shared" si="90"/>
        <v>#REF!</v>
      </c>
      <c r="I167" s="179" t="e">
        <f t="shared" si="90"/>
        <v>#REF!</v>
      </c>
      <c r="J167" s="179" t="e">
        <f t="shared" si="90"/>
        <v>#REF!</v>
      </c>
      <c r="K167" s="179" t="e">
        <f t="shared" si="90"/>
        <v>#REF!</v>
      </c>
      <c r="L167" s="179" t="e">
        <f t="shared" si="90"/>
        <v>#REF!</v>
      </c>
      <c r="M167" s="179" t="e">
        <f t="shared" si="90"/>
        <v>#REF!</v>
      </c>
      <c r="N167" s="179" t="e">
        <f t="shared" si="90"/>
        <v>#REF!</v>
      </c>
      <c r="O167" s="179" t="e">
        <f t="shared" si="90"/>
        <v>#REF!</v>
      </c>
      <c r="P167" s="179" t="e">
        <f t="shared" si="90"/>
        <v>#REF!</v>
      </c>
      <c r="Q167" s="179" t="e">
        <f t="shared" si="90"/>
        <v>#REF!</v>
      </c>
      <c r="R167" s="179" t="e">
        <f t="shared" si="90"/>
        <v>#REF!</v>
      </c>
      <c r="S167" s="179" t="e">
        <f t="shared" si="90"/>
        <v>#REF!</v>
      </c>
      <c r="T167" s="179" t="e">
        <f t="shared" si="90"/>
        <v>#REF!</v>
      </c>
      <c r="U167" s="179" t="e">
        <f t="shared" si="90"/>
        <v>#REF!</v>
      </c>
      <c r="V167" s="179" t="e">
        <f t="shared" si="90"/>
        <v>#REF!</v>
      </c>
      <c r="W167" s="179" t="e">
        <f t="shared" si="90"/>
        <v>#REF!</v>
      </c>
      <c r="X167" s="179" t="e">
        <f t="shared" si="90"/>
        <v>#REF!</v>
      </c>
      <c r="Y167" s="179" t="e">
        <f t="shared" si="90"/>
        <v>#REF!</v>
      </c>
      <c r="Z167" s="179" t="e">
        <f t="shared" si="90"/>
        <v>#REF!</v>
      </c>
      <c r="AA167" s="179" t="e">
        <f t="shared" si="90"/>
        <v>#REF!</v>
      </c>
      <c r="AB167" s="179" t="e">
        <f t="shared" si="90"/>
        <v>#REF!</v>
      </c>
      <c r="AC167" s="179" t="e">
        <f t="shared" si="90"/>
        <v>#REF!</v>
      </c>
      <c r="AD167" s="179" t="e">
        <f t="shared" si="90"/>
        <v>#REF!</v>
      </c>
      <c r="AE167" s="179" t="e">
        <f t="shared" si="90"/>
        <v>#REF!</v>
      </c>
      <c r="AF167" s="179" t="e">
        <f t="shared" si="90"/>
        <v>#REF!</v>
      </c>
      <c r="AG167" s="179" t="e">
        <f t="shared" si="90"/>
        <v>#REF!</v>
      </c>
    </row>
    <row r="168" spans="1:33">
      <c r="A168" s="173" t="s">
        <v>425</v>
      </c>
      <c r="B168" s="173" t="s">
        <v>309</v>
      </c>
      <c r="C168" s="179">
        <v>0</v>
      </c>
      <c r="D168" s="179">
        <v>0</v>
      </c>
      <c r="E168" s="179">
        <v>0</v>
      </c>
      <c r="F168" s="179">
        <v>0</v>
      </c>
      <c r="G168" s="179">
        <v>367500</v>
      </c>
      <c r="H168" s="179">
        <v>367500</v>
      </c>
      <c r="I168" s="179">
        <v>367500</v>
      </c>
      <c r="J168" s="179">
        <v>367500</v>
      </c>
      <c r="K168" s="179">
        <v>367500</v>
      </c>
      <c r="L168" s="179">
        <v>735000</v>
      </c>
      <c r="M168" s="179">
        <v>735000</v>
      </c>
      <c r="N168" s="179">
        <v>735000</v>
      </c>
      <c r="O168" s="179">
        <v>735000</v>
      </c>
      <c r="P168" s="179">
        <v>735000</v>
      </c>
      <c r="Q168" s="179">
        <v>735000</v>
      </c>
      <c r="R168" s="179">
        <v>735000</v>
      </c>
      <c r="S168" s="179">
        <v>735000</v>
      </c>
      <c r="T168" s="179">
        <v>735000</v>
      </c>
      <c r="U168" s="179">
        <v>735000</v>
      </c>
      <c r="V168" s="179">
        <v>735000</v>
      </c>
      <c r="W168" s="179">
        <v>735000</v>
      </c>
      <c r="X168" s="179">
        <v>735000</v>
      </c>
      <c r="Y168" s="179">
        <v>735000</v>
      </c>
      <c r="Z168" s="179">
        <v>735000</v>
      </c>
      <c r="AA168" s="179">
        <v>735000</v>
      </c>
      <c r="AB168" s="179">
        <v>735000</v>
      </c>
      <c r="AC168" s="179">
        <v>735000</v>
      </c>
      <c r="AD168" s="179">
        <v>735000</v>
      </c>
      <c r="AE168" s="179">
        <v>735000</v>
      </c>
      <c r="AF168" s="179">
        <v>735000</v>
      </c>
      <c r="AG168" s="179">
        <v>735000</v>
      </c>
    </row>
    <row r="169" spans="1:33">
      <c r="A169" s="173" t="s">
        <v>319</v>
      </c>
      <c r="B169" s="173" t="s">
        <v>309</v>
      </c>
      <c r="C169" s="277" t="e">
        <f>((C162)*$C$34)</f>
        <v>#REF!</v>
      </c>
      <c r="D169" s="277" t="e">
        <f t="shared" ref="D169:AG169" si="91">((D162)*$C$34)</f>
        <v>#REF!</v>
      </c>
      <c r="E169" s="277" t="e">
        <f t="shared" si="91"/>
        <v>#REF!</v>
      </c>
      <c r="F169" s="277" t="e">
        <f t="shared" si="91"/>
        <v>#REF!</v>
      </c>
      <c r="G169" s="277" t="e">
        <f t="shared" si="91"/>
        <v>#REF!</v>
      </c>
      <c r="H169" s="277" t="e">
        <f t="shared" si="91"/>
        <v>#REF!</v>
      </c>
      <c r="I169" s="277" t="e">
        <f t="shared" si="91"/>
        <v>#REF!</v>
      </c>
      <c r="J169" s="277" t="e">
        <f t="shared" si="91"/>
        <v>#REF!</v>
      </c>
      <c r="K169" s="277" t="e">
        <f t="shared" si="91"/>
        <v>#REF!</v>
      </c>
      <c r="L169" s="277" t="e">
        <f t="shared" si="91"/>
        <v>#REF!</v>
      </c>
      <c r="M169" s="277" t="e">
        <f t="shared" si="91"/>
        <v>#REF!</v>
      </c>
      <c r="N169" s="277" t="e">
        <f t="shared" si="91"/>
        <v>#REF!</v>
      </c>
      <c r="O169" s="277" t="e">
        <f t="shared" si="91"/>
        <v>#REF!</v>
      </c>
      <c r="P169" s="277" t="e">
        <f t="shared" si="91"/>
        <v>#REF!</v>
      </c>
      <c r="Q169" s="277" t="e">
        <f t="shared" si="91"/>
        <v>#REF!</v>
      </c>
      <c r="R169" s="277" t="e">
        <f t="shared" si="91"/>
        <v>#REF!</v>
      </c>
      <c r="S169" s="277" t="e">
        <f t="shared" si="91"/>
        <v>#REF!</v>
      </c>
      <c r="T169" s="277" t="e">
        <f t="shared" si="91"/>
        <v>#REF!</v>
      </c>
      <c r="U169" s="277" t="e">
        <f t="shared" si="91"/>
        <v>#REF!</v>
      </c>
      <c r="V169" s="277" t="e">
        <f t="shared" si="91"/>
        <v>#REF!</v>
      </c>
      <c r="W169" s="277" t="e">
        <f t="shared" si="91"/>
        <v>#REF!</v>
      </c>
      <c r="X169" s="277" t="e">
        <f t="shared" si="91"/>
        <v>#REF!</v>
      </c>
      <c r="Y169" s="277" t="e">
        <f t="shared" si="91"/>
        <v>#REF!</v>
      </c>
      <c r="Z169" s="277" t="e">
        <f t="shared" si="91"/>
        <v>#REF!</v>
      </c>
      <c r="AA169" s="277" t="e">
        <f t="shared" si="91"/>
        <v>#REF!</v>
      </c>
      <c r="AB169" s="277" t="e">
        <f t="shared" si="91"/>
        <v>#REF!</v>
      </c>
      <c r="AC169" s="277" t="e">
        <f t="shared" si="91"/>
        <v>#REF!</v>
      </c>
      <c r="AD169" s="277" t="e">
        <f t="shared" si="91"/>
        <v>#REF!</v>
      </c>
      <c r="AE169" s="277" t="e">
        <f t="shared" si="91"/>
        <v>#REF!</v>
      </c>
      <c r="AF169" s="277" t="e">
        <f t="shared" si="91"/>
        <v>#REF!</v>
      </c>
      <c r="AG169" s="277" t="e">
        <f t="shared" si="91"/>
        <v>#REF!</v>
      </c>
    </row>
    <row r="170" spans="1:33" s="247" customFormat="1" ht="11.85" customHeight="1">
      <c r="A170" s="270" t="s">
        <v>414</v>
      </c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</row>
    <row r="171" spans="1:33">
      <c r="A171" s="173" t="s">
        <v>325</v>
      </c>
      <c r="B171" s="173" t="s">
        <v>313</v>
      </c>
      <c r="C171" s="179" t="e">
        <f t="shared" ref="C171:AG171" si="92">-PMT($C$33,$C$31,C160-C163)</f>
        <v>#REF!</v>
      </c>
      <c r="D171" s="179" t="e">
        <f t="shared" si="92"/>
        <v>#REF!</v>
      </c>
      <c r="E171" s="179" t="e">
        <f t="shared" si="92"/>
        <v>#REF!</v>
      </c>
      <c r="F171" s="179" t="e">
        <f t="shared" si="92"/>
        <v>#REF!</v>
      </c>
      <c r="G171" s="179" t="e">
        <f t="shared" si="92"/>
        <v>#REF!</v>
      </c>
      <c r="H171" s="179" t="e">
        <f t="shared" si="92"/>
        <v>#REF!</v>
      </c>
      <c r="I171" s="179" t="e">
        <f t="shared" si="92"/>
        <v>#REF!</v>
      </c>
      <c r="J171" s="179" t="e">
        <f t="shared" si="92"/>
        <v>#REF!</v>
      </c>
      <c r="K171" s="179" t="e">
        <f t="shared" si="92"/>
        <v>#REF!</v>
      </c>
      <c r="L171" s="179" t="e">
        <f t="shared" si="92"/>
        <v>#REF!</v>
      </c>
      <c r="M171" s="179" t="e">
        <f t="shared" si="92"/>
        <v>#REF!</v>
      </c>
      <c r="N171" s="179" t="e">
        <f t="shared" si="92"/>
        <v>#REF!</v>
      </c>
      <c r="O171" s="179" t="e">
        <f t="shared" si="92"/>
        <v>#REF!</v>
      </c>
      <c r="P171" s="179" t="e">
        <f t="shared" si="92"/>
        <v>#REF!</v>
      </c>
      <c r="Q171" s="179" t="e">
        <f t="shared" si="92"/>
        <v>#REF!</v>
      </c>
      <c r="R171" s="179" t="e">
        <f t="shared" si="92"/>
        <v>#REF!</v>
      </c>
      <c r="S171" s="179" t="e">
        <f t="shared" si="92"/>
        <v>#REF!</v>
      </c>
      <c r="T171" s="179" t="e">
        <f t="shared" si="92"/>
        <v>#REF!</v>
      </c>
      <c r="U171" s="179" t="e">
        <f t="shared" si="92"/>
        <v>#REF!</v>
      </c>
      <c r="V171" s="179" t="e">
        <f t="shared" si="92"/>
        <v>#REF!</v>
      </c>
      <c r="W171" s="179" t="e">
        <f t="shared" si="92"/>
        <v>#REF!</v>
      </c>
      <c r="X171" s="179" t="e">
        <f t="shared" si="92"/>
        <v>#REF!</v>
      </c>
      <c r="Y171" s="179" t="e">
        <f t="shared" si="92"/>
        <v>#REF!</v>
      </c>
      <c r="Z171" s="179" t="e">
        <f t="shared" si="92"/>
        <v>#REF!</v>
      </c>
      <c r="AA171" s="179" t="e">
        <f t="shared" si="92"/>
        <v>#REF!</v>
      </c>
      <c r="AB171" s="179" t="e">
        <f t="shared" si="92"/>
        <v>#REF!</v>
      </c>
      <c r="AC171" s="179" t="e">
        <f t="shared" si="92"/>
        <v>#REF!</v>
      </c>
      <c r="AD171" s="179" t="e">
        <f t="shared" si="92"/>
        <v>#REF!</v>
      </c>
      <c r="AE171" s="179" t="e">
        <f t="shared" si="92"/>
        <v>#REF!</v>
      </c>
      <c r="AF171" s="179" t="e">
        <f t="shared" si="92"/>
        <v>#REF!</v>
      </c>
      <c r="AG171" s="179" t="e">
        <f t="shared" si="92"/>
        <v>#REF!</v>
      </c>
    </row>
    <row r="172" spans="1:33">
      <c r="A172" s="173" t="s">
        <v>426</v>
      </c>
      <c r="B172" s="173" t="s">
        <v>313</v>
      </c>
      <c r="C172" s="179" t="e">
        <f t="shared" ref="C172:AG172" si="93">-PMT($C$33,$C$164,C157)</f>
        <v>#REF!</v>
      </c>
      <c r="D172" s="179" t="e">
        <f t="shared" si="93"/>
        <v>#REF!</v>
      </c>
      <c r="E172" s="179" t="e">
        <f t="shared" si="93"/>
        <v>#REF!</v>
      </c>
      <c r="F172" s="179" t="e">
        <f t="shared" si="93"/>
        <v>#REF!</v>
      </c>
      <c r="G172" s="179" t="e">
        <f t="shared" si="93"/>
        <v>#REF!</v>
      </c>
      <c r="H172" s="179" t="e">
        <f t="shared" si="93"/>
        <v>#REF!</v>
      </c>
      <c r="I172" s="179" t="e">
        <f t="shared" si="93"/>
        <v>#REF!</v>
      </c>
      <c r="J172" s="179" t="e">
        <f t="shared" si="93"/>
        <v>#REF!</v>
      </c>
      <c r="K172" s="179" t="e">
        <f t="shared" si="93"/>
        <v>#REF!</v>
      </c>
      <c r="L172" s="179" t="e">
        <f t="shared" si="93"/>
        <v>#REF!</v>
      </c>
      <c r="M172" s="179" t="e">
        <f t="shared" si="93"/>
        <v>#REF!</v>
      </c>
      <c r="N172" s="179" t="e">
        <f t="shared" si="93"/>
        <v>#REF!</v>
      </c>
      <c r="O172" s="179" t="e">
        <f t="shared" si="93"/>
        <v>#REF!</v>
      </c>
      <c r="P172" s="179" t="e">
        <f t="shared" si="93"/>
        <v>#REF!</v>
      </c>
      <c r="Q172" s="179" t="e">
        <f t="shared" si="93"/>
        <v>#REF!</v>
      </c>
      <c r="R172" s="179" t="e">
        <f t="shared" si="93"/>
        <v>#REF!</v>
      </c>
      <c r="S172" s="179" t="e">
        <f t="shared" si="93"/>
        <v>#REF!</v>
      </c>
      <c r="T172" s="179" t="e">
        <f t="shared" si="93"/>
        <v>#REF!</v>
      </c>
      <c r="U172" s="179" t="e">
        <f t="shared" si="93"/>
        <v>#REF!</v>
      </c>
      <c r="V172" s="179" t="e">
        <f t="shared" si="93"/>
        <v>#REF!</v>
      </c>
      <c r="W172" s="179" t="e">
        <f t="shared" si="93"/>
        <v>#REF!</v>
      </c>
      <c r="X172" s="179" t="e">
        <f t="shared" si="93"/>
        <v>#REF!</v>
      </c>
      <c r="Y172" s="179" t="e">
        <f t="shared" si="93"/>
        <v>#REF!</v>
      </c>
      <c r="Z172" s="179" t="e">
        <f t="shared" si="93"/>
        <v>#REF!</v>
      </c>
      <c r="AA172" s="179" t="e">
        <f t="shared" si="93"/>
        <v>#REF!</v>
      </c>
      <c r="AB172" s="179" t="e">
        <f t="shared" si="93"/>
        <v>#REF!</v>
      </c>
      <c r="AC172" s="179" t="e">
        <f t="shared" si="93"/>
        <v>#REF!</v>
      </c>
      <c r="AD172" s="179" t="e">
        <f t="shared" si="93"/>
        <v>#REF!</v>
      </c>
      <c r="AE172" s="179" t="e">
        <f t="shared" si="93"/>
        <v>#REF!</v>
      </c>
      <c r="AF172" s="179" t="e">
        <f t="shared" si="93"/>
        <v>#REF!</v>
      </c>
      <c r="AG172" s="179" t="e">
        <f t="shared" si="93"/>
        <v>#REF!</v>
      </c>
    </row>
    <row r="173" spans="1:33">
      <c r="A173" s="173" t="s">
        <v>330</v>
      </c>
      <c r="B173" s="173" t="s">
        <v>313</v>
      </c>
      <c r="C173" s="179" t="e">
        <f t="shared" ref="C173:AG174" si="94">C165</f>
        <v>#REF!</v>
      </c>
      <c r="D173" s="179" t="e">
        <f t="shared" si="94"/>
        <v>#REF!</v>
      </c>
      <c r="E173" s="179" t="e">
        <f t="shared" si="94"/>
        <v>#REF!</v>
      </c>
      <c r="F173" s="179" t="e">
        <f t="shared" si="94"/>
        <v>#REF!</v>
      </c>
      <c r="G173" s="179" t="e">
        <f t="shared" si="94"/>
        <v>#REF!</v>
      </c>
      <c r="H173" s="179" t="e">
        <f t="shared" si="94"/>
        <v>#REF!</v>
      </c>
      <c r="I173" s="179" t="e">
        <f t="shared" si="94"/>
        <v>#REF!</v>
      </c>
      <c r="J173" s="179" t="e">
        <f t="shared" si="94"/>
        <v>#REF!</v>
      </c>
      <c r="K173" s="179" t="e">
        <f t="shared" si="94"/>
        <v>#REF!</v>
      </c>
      <c r="L173" s="179" t="e">
        <f t="shared" si="94"/>
        <v>#REF!</v>
      </c>
      <c r="M173" s="179" t="e">
        <f t="shared" si="94"/>
        <v>#REF!</v>
      </c>
      <c r="N173" s="179" t="e">
        <f t="shared" si="94"/>
        <v>#REF!</v>
      </c>
      <c r="O173" s="179" t="e">
        <f t="shared" si="94"/>
        <v>#REF!</v>
      </c>
      <c r="P173" s="179" t="e">
        <f t="shared" si="94"/>
        <v>#REF!</v>
      </c>
      <c r="Q173" s="179" t="e">
        <f t="shared" si="94"/>
        <v>#REF!</v>
      </c>
      <c r="R173" s="179" t="e">
        <f t="shared" si="94"/>
        <v>#REF!</v>
      </c>
      <c r="S173" s="179" t="e">
        <f t="shared" si="94"/>
        <v>#REF!</v>
      </c>
      <c r="T173" s="179" t="e">
        <f t="shared" si="94"/>
        <v>#REF!</v>
      </c>
      <c r="U173" s="179" t="e">
        <f t="shared" si="94"/>
        <v>#REF!</v>
      </c>
      <c r="V173" s="179" t="e">
        <f t="shared" si="94"/>
        <v>#REF!</v>
      </c>
      <c r="W173" s="179" t="e">
        <f t="shared" si="94"/>
        <v>#REF!</v>
      </c>
      <c r="X173" s="179" t="e">
        <f t="shared" si="94"/>
        <v>#REF!</v>
      </c>
      <c r="Y173" s="179" t="e">
        <f t="shared" si="94"/>
        <v>#REF!</v>
      </c>
      <c r="Z173" s="179" t="e">
        <f t="shared" si="94"/>
        <v>#REF!</v>
      </c>
      <c r="AA173" s="179" t="e">
        <f t="shared" si="94"/>
        <v>#REF!</v>
      </c>
      <c r="AB173" s="179" t="e">
        <f t="shared" si="94"/>
        <v>#REF!</v>
      </c>
      <c r="AC173" s="179" t="e">
        <f t="shared" si="94"/>
        <v>#REF!</v>
      </c>
      <c r="AD173" s="179" t="e">
        <f t="shared" si="94"/>
        <v>#REF!</v>
      </c>
      <c r="AE173" s="179" t="e">
        <f t="shared" si="94"/>
        <v>#REF!</v>
      </c>
      <c r="AF173" s="179" t="e">
        <f t="shared" si="94"/>
        <v>#REF!</v>
      </c>
      <c r="AG173" s="179" t="e">
        <f t="shared" si="94"/>
        <v>#REF!</v>
      </c>
    </row>
    <row r="174" spans="1:33">
      <c r="A174" s="173" t="str">
        <f>A166</f>
        <v>Maintenance</v>
      </c>
      <c r="B174" s="173" t="s">
        <v>309</v>
      </c>
      <c r="C174" s="179" t="e">
        <f t="shared" si="94"/>
        <v>#REF!</v>
      </c>
      <c r="D174" s="179" t="e">
        <f t="shared" si="94"/>
        <v>#REF!</v>
      </c>
      <c r="E174" s="179" t="e">
        <f t="shared" si="94"/>
        <v>#REF!</v>
      </c>
      <c r="F174" s="179" t="e">
        <f t="shared" si="94"/>
        <v>#REF!</v>
      </c>
      <c r="G174" s="179" t="e">
        <f t="shared" si="94"/>
        <v>#REF!</v>
      </c>
      <c r="H174" s="179" t="e">
        <f t="shared" si="94"/>
        <v>#REF!</v>
      </c>
      <c r="I174" s="179" t="e">
        <f t="shared" si="94"/>
        <v>#REF!</v>
      </c>
      <c r="J174" s="179" t="e">
        <f t="shared" si="94"/>
        <v>#REF!</v>
      </c>
      <c r="K174" s="179" t="e">
        <f t="shared" si="94"/>
        <v>#REF!</v>
      </c>
      <c r="L174" s="179" t="e">
        <f t="shared" si="94"/>
        <v>#REF!</v>
      </c>
      <c r="M174" s="179" t="e">
        <f t="shared" si="94"/>
        <v>#REF!</v>
      </c>
      <c r="N174" s="179" t="e">
        <f t="shared" si="94"/>
        <v>#REF!</v>
      </c>
      <c r="O174" s="179" t="e">
        <f t="shared" si="94"/>
        <v>#REF!</v>
      </c>
      <c r="P174" s="179" t="e">
        <f t="shared" si="94"/>
        <v>#REF!</v>
      </c>
      <c r="Q174" s="179" t="e">
        <f t="shared" si="94"/>
        <v>#REF!</v>
      </c>
      <c r="R174" s="179" t="e">
        <f t="shared" si="94"/>
        <v>#REF!</v>
      </c>
      <c r="S174" s="179" t="e">
        <f t="shared" si="94"/>
        <v>#REF!</v>
      </c>
      <c r="T174" s="179" t="e">
        <f t="shared" si="94"/>
        <v>#REF!</v>
      </c>
      <c r="U174" s="179" t="e">
        <f t="shared" si="94"/>
        <v>#REF!</v>
      </c>
      <c r="V174" s="179" t="e">
        <f t="shared" si="94"/>
        <v>#REF!</v>
      </c>
      <c r="W174" s="179" t="e">
        <f t="shared" si="94"/>
        <v>#REF!</v>
      </c>
      <c r="X174" s="179" t="e">
        <f t="shared" si="94"/>
        <v>#REF!</v>
      </c>
      <c r="Y174" s="179" t="e">
        <f t="shared" si="94"/>
        <v>#REF!</v>
      </c>
      <c r="Z174" s="179" t="e">
        <f t="shared" si="94"/>
        <v>#REF!</v>
      </c>
      <c r="AA174" s="179" t="e">
        <f t="shared" si="94"/>
        <v>#REF!</v>
      </c>
      <c r="AB174" s="179" t="e">
        <f t="shared" si="94"/>
        <v>#REF!</v>
      </c>
      <c r="AC174" s="179" t="e">
        <f t="shared" si="94"/>
        <v>#REF!</v>
      </c>
      <c r="AD174" s="179" t="e">
        <f t="shared" si="94"/>
        <v>#REF!</v>
      </c>
      <c r="AE174" s="179" t="e">
        <f t="shared" si="94"/>
        <v>#REF!</v>
      </c>
      <c r="AF174" s="179" t="e">
        <f t="shared" si="94"/>
        <v>#REF!</v>
      </c>
      <c r="AG174" s="179" t="e">
        <f t="shared" si="94"/>
        <v>#REF!</v>
      </c>
    </row>
    <row r="175" spans="1:33">
      <c r="A175" s="173" t="str">
        <f>A167</f>
        <v>Toll Tax without waiver</v>
      </c>
      <c r="B175" s="173" t="str">
        <f>B167</f>
        <v>INR</v>
      </c>
      <c r="C175" s="179" t="e">
        <f t="shared" ref="C175:AG175" si="95">$C$16*$C$27*$C$28</f>
        <v>#REF!</v>
      </c>
      <c r="D175" s="179" t="e">
        <f t="shared" si="95"/>
        <v>#REF!</v>
      </c>
      <c r="E175" s="179" t="e">
        <f t="shared" si="95"/>
        <v>#REF!</v>
      </c>
      <c r="F175" s="179" t="e">
        <f t="shared" si="95"/>
        <v>#REF!</v>
      </c>
      <c r="G175" s="179" t="e">
        <f t="shared" si="95"/>
        <v>#REF!</v>
      </c>
      <c r="H175" s="179" t="e">
        <f t="shared" si="95"/>
        <v>#REF!</v>
      </c>
      <c r="I175" s="179" t="e">
        <f t="shared" si="95"/>
        <v>#REF!</v>
      </c>
      <c r="J175" s="179" t="e">
        <f t="shared" si="95"/>
        <v>#REF!</v>
      </c>
      <c r="K175" s="179" t="e">
        <f t="shared" si="95"/>
        <v>#REF!</v>
      </c>
      <c r="L175" s="179" t="e">
        <f t="shared" si="95"/>
        <v>#REF!</v>
      </c>
      <c r="M175" s="179" t="e">
        <f t="shared" si="95"/>
        <v>#REF!</v>
      </c>
      <c r="N175" s="179" t="e">
        <f t="shared" si="95"/>
        <v>#REF!</v>
      </c>
      <c r="O175" s="179" t="e">
        <f t="shared" si="95"/>
        <v>#REF!</v>
      </c>
      <c r="P175" s="179" t="e">
        <f t="shared" si="95"/>
        <v>#REF!</v>
      </c>
      <c r="Q175" s="179" t="e">
        <f t="shared" si="95"/>
        <v>#REF!</v>
      </c>
      <c r="R175" s="179" t="e">
        <f t="shared" si="95"/>
        <v>#REF!</v>
      </c>
      <c r="S175" s="179" t="e">
        <f t="shared" si="95"/>
        <v>#REF!</v>
      </c>
      <c r="T175" s="179" t="e">
        <f t="shared" si="95"/>
        <v>#REF!</v>
      </c>
      <c r="U175" s="179" t="e">
        <f t="shared" si="95"/>
        <v>#REF!</v>
      </c>
      <c r="V175" s="179" t="e">
        <f t="shared" si="95"/>
        <v>#REF!</v>
      </c>
      <c r="W175" s="179" t="e">
        <f t="shared" si="95"/>
        <v>#REF!</v>
      </c>
      <c r="X175" s="179" t="e">
        <f t="shared" si="95"/>
        <v>#REF!</v>
      </c>
      <c r="Y175" s="179" t="e">
        <f t="shared" si="95"/>
        <v>#REF!</v>
      </c>
      <c r="Z175" s="179" t="e">
        <f t="shared" si="95"/>
        <v>#REF!</v>
      </c>
      <c r="AA175" s="179" t="e">
        <f t="shared" si="95"/>
        <v>#REF!</v>
      </c>
      <c r="AB175" s="179" t="e">
        <f t="shared" si="95"/>
        <v>#REF!</v>
      </c>
      <c r="AC175" s="179" t="e">
        <f t="shared" si="95"/>
        <v>#REF!</v>
      </c>
      <c r="AD175" s="179" t="e">
        <f t="shared" si="95"/>
        <v>#REF!</v>
      </c>
      <c r="AE175" s="179" t="e">
        <f t="shared" si="95"/>
        <v>#REF!</v>
      </c>
      <c r="AF175" s="179" t="e">
        <f t="shared" si="95"/>
        <v>#REF!</v>
      </c>
      <c r="AG175" s="179" t="e">
        <f t="shared" si="95"/>
        <v>#REF!</v>
      </c>
    </row>
    <row r="176" spans="1:33">
      <c r="A176" s="173" t="s">
        <v>319</v>
      </c>
      <c r="B176" s="173" t="s">
        <v>309</v>
      </c>
      <c r="C176" s="179" t="e">
        <f t="shared" ref="C176:AG176" si="96">C169</f>
        <v>#REF!</v>
      </c>
      <c r="D176" s="179" t="e">
        <f t="shared" si="96"/>
        <v>#REF!</v>
      </c>
      <c r="E176" s="179" t="e">
        <f t="shared" si="96"/>
        <v>#REF!</v>
      </c>
      <c r="F176" s="179" t="e">
        <f t="shared" si="96"/>
        <v>#REF!</v>
      </c>
      <c r="G176" s="179" t="e">
        <f t="shared" si="96"/>
        <v>#REF!</v>
      </c>
      <c r="H176" s="179" t="e">
        <f t="shared" si="96"/>
        <v>#REF!</v>
      </c>
      <c r="I176" s="179" t="e">
        <f t="shared" si="96"/>
        <v>#REF!</v>
      </c>
      <c r="J176" s="179" t="e">
        <f t="shared" si="96"/>
        <v>#REF!</v>
      </c>
      <c r="K176" s="179" t="e">
        <f t="shared" si="96"/>
        <v>#REF!</v>
      </c>
      <c r="L176" s="179" t="e">
        <f t="shared" si="96"/>
        <v>#REF!</v>
      </c>
      <c r="M176" s="179" t="e">
        <f t="shared" si="96"/>
        <v>#REF!</v>
      </c>
      <c r="N176" s="179" t="e">
        <f t="shared" si="96"/>
        <v>#REF!</v>
      </c>
      <c r="O176" s="179" t="e">
        <f t="shared" si="96"/>
        <v>#REF!</v>
      </c>
      <c r="P176" s="179" t="e">
        <f t="shared" si="96"/>
        <v>#REF!</v>
      </c>
      <c r="Q176" s="179" t="e">
        <f t="shared" si="96"/>
        <v>#REF!</v>
      </c>
      <c r="R176" s="179" t="e">
        <f t="shared" si="96"/>
        <v>#REF!</v>
      </c>
      <c r="S176" s="179" t="e">
        <f t="shared" si="96"/>
        <v>#REF!</v>
      </c>
      <c r="T176" s="179" t="e">
        <f t="shared" si="96"/>
        <v>#REF!</v>
      </c>
      <c r="U176" s="179" t="e">
        <f t="shared" si="96"/>
        <v>#REF!</v>
      </c>
      <c r="V176" s="179" t="e">
        <f t="shared" si="96"/>
        <v>#REF!</v>
      </c>
      <c r="W176" s="179" t="e">
        <f t="shared" si="96"/>
        <v>#REF!</v>
      </c>
      <c r="X176" s="179" t="e">
        <f t="shared" si="96"/>
        <v>#REF!</v>
      </c>
      <c r="Y176" s="179" t="e">
        <f t="shared" si="96"/>
        <v>#REF!</v>
      </c>
      <c r="Z176" s="179" t="e">
        <f t="shared" si="96"/>
        <v>#REF!</v>
      </c>
      <c r="AA176" s="179" t="e">
        <f t="shared" si="96"/>
        <v>#REF!</v>
      </c>
      <c r="AB176" s="179" t="e">
        <f t="shared" si="96"/>
        <v>#REF!</v>
      </c>
      <c r="AC176" s="179" t="e">
        <f t="shared" si="96"/>
        <v>#REF!</v>
      </c>
      <c r="AD176" s="179" t="e">
        <f t="shared" si="96"/>
        <v>#REF!</v>
      </c>
      <c r="AE176" s="179" t="e">
        <f t="shared" si="96"/>
        <v>#REF!</v>
      </c>
      <c r="AF176" s="179" t="e">
        <f t="shared" si="96"/>
        <v>#REF!</v>
      </c>
      <c r="AG176" s="179" t="e">
        <f t="shared" si="96"/>
        <v>#REF!</v>
      </c>
    </row>
    <row r="177" spans="1:33" s="247" customFormat="1" ht="11.85" customHeight="1">
      <c r="A177" s="270" t="s">
        <v>320</v>
      </c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</row>
    <row r="178" spans="1:33">
      <c r="A178" s="173" t="s">
        <v>427</v>
      </c>
      <c r="B178" s="173" t="s">
        <v>300</v>
      </c>
      <c r="C178" s="179" t="e">
        <f t="shared" ref="C178:AG178" si="97">(C171+C172)/($C$28*$C$27)</f>
        <v>#REF!</v>
      </c>
      <c r="D178" s="179" t="e">
        <f t="shared" si="97"/>
        <v>#REF!</v>
      </c>
      <c r="E178" s="179" t="e">
        <f t="shared" si="97"/>
        <v>#REF!</v>
      </c>
      <c r="F178" s="179" t="e">
        <f t="shared" si="97"/>
        <v>#REF!</v>
      </c>
      <c r="G178" s="279" t="e">
        <f t="shared" si="97"/>
        <v>#REF!</v>
      </c>
      <c r="H178" s="279" t="e">
        <f t="shared" si="97"/>
        <v>#REF!</v>
      </c>
      <c r="I178" s="279" t="e">
        <f t="shared" si="97"/>
        <v>#REF!</v>
      </c>
      <c r="J178" s="179" t="e">
        <f t="shared" si="97"/>
        <v>#REF!</v>
      </c>
      <c r="K178" s="179" t="e">
        <f t="shared" si="97"/>
        <v>#REF!</v>
      </c>
      <c r="L178" s="179" t="e">
        <f t="shared" si="97"/>
        <v>#REF!</v>
      </c>
      <c r="M178" s="179" t="e">
        <f t="shared" si="97"/>
        <v>#REF!</v>
      </c>
      <c r="N178" s="179" t="e">
        <f t="shared" si="97"/>
        <v>#REF!</v>
      </c>
      <c r="O178" s="179" t="e">
        <f t="shared" si="97"/>
        <v>#REF!</v>
      </c>
      <c r="P178" s="179" t="e">
        <f t="shared" si="97"/>
        <v>#REF!</v>
      </c>
      <c r="Q178" s="179" t="e">
        <f t="shared" si="97"/>
        <v>#REF!</v>
      </c>
      <c r="R178" s="179" t="e">
        <f t="shared" si="97"/>
        <v>#REF!</v>
      </c>
      <c r="S178" s="179" t="e">
        <f t="shared" si="97"/>
        <v>#REF!</v>
      </c>
      <c r="T178" s="179" t="e">
        <f t="shared" si="97"/>
        <v>#REF!</v>
      </c>
      <c r="U178" s="179" t="e">
        <f t="shared" si="97"/>
        <v>#REF!</v>
      </c>
      <c r="V178" s="179" t="e">
        <f t="shared" si="97"/>
        <v>#REF!</v>
      </c>
      <c r="W178" s="179" t="e">
        <f t="shared" si="97"/>
        <v>#REF!</v>
      </c>
      <c r="X178" s="179" t="e">
        <f t="shared" si="97"/>
        <v>#REF!</v>
      </c>
      <c r="Y178" s="179" t="e">
        <f t="shared" si="97"/>
        <v>#REF!</v>
      </c>
      <c r="Z178" s="179" t="e">
        <f t="shared" si="97"/>
        <v>#REF!</v>
      </c>
      <c r="AA178" s="179" t="e">
        <f t="shared" si="97"/>
        <v>#REF!</v>
      </c>
      <c r="AB178" s="179" t="e">
        <f t="shared" si="97"/>
        <v>#REF!</v>
      </c>
      <c r="AC178" s="179" t="e">
        <f t="shared" si="97"/>
        <v>#REF!</v>
      </c>
      <c r="AD178" s="179" t="e">
        <f t="shared" si="97"/>
        <v>#REF!</v>
      </c>
      <c r="AE178" s="179" t="e">
        <f t="shared" si="97"/>
        <v>#REF!</v>
      </c>
      <c r="AF178" s="179" t="e">
        <f t="shared" si="97"/>
        <v>#REF!</v>
      </c>
      <c r="AG178" s="179" t="e">
        <f t="shared" si="97"/>
        <v>#REF!</v>
      </c>
    </row>
    <row r="179" spans="1:33">
      <c r="A179" s="173" t="s">
        <v>321</v>
      </c>
      <c r="B179" s="173" t="s">
        <v>300</v>
      </c>
      <c r="C179" s="179" t="e">
        <f t="shared" ref="C179:AG179" si="98">C173/($C$28*$C$27)</f>
        <v>#REF!</v>
      </c>
      <c r="D179" s="179" t="e">
        <f t="shared" si="98"/>
        <v>#REF!</v>
      </c>
      <c r="E179" s="179" t="e">
        <f t="shared" si="98"/>
        <v>#REF!</v>
      </c>
      <c r="F179" s="179" t="e">
        <f t="shared" si="98"/>
        <v>#REF!</v>
      </c>
      <c r="G179" s="279" t="e">
        <f t="shared" si="98"/>
        <v>#REF!</v>
      </c>
      <c r="H179" s="279" t="e">
        <f t="shared" si="98"/>
        <v>#REF!</v>
      </c>
      <c r="I179" s="279" t="e">
        <f t="shared" si="98"/>
        <v>#REF!</v>
      </c>
      <c r="J179" s="179" t="e">
        <f t="shared" si="98"/>
        <v>#REF!</v>
      </c>
      <c r="K179" s="179" t="e">
        <f t="shared" si="98"/>
        <v>#REF!</v>
      </c>
      <c r="L179" s="179" t="e">
        <f t="shared" si="98"/>
        <v>#REF!</v>
      </c>
      <c r="M179" s="179" t="e">
        <f t="shared" si="98"/>
        <v>#REF!</v>
      </c>
      <c r="N179" s="179" t="e">
        <f t="shared" si="98"/>
        <v>#REF!</v>
      </c>
      <c r="O179" s="179" t="e">
        <f t="shared" si="98"/>
        <v>#REF!</v>
      </c>
      <c r="P179" s="179" t="e">
        <f t="shared" si="98"/>
        <v>#REF!</v>
      </c>
      <c r="Q179" s="179" t="e">
        <f t="shared" si="98"/>
        <v>#REF!</v>
      </c>
      <c r="R179" s="179" t="e">
        <f t="shared" si="98"/>
        <v>#REF!</v>
      </c>
      <c r="S179" s="179" t="e">
        <f t="shared" si="98"/>
        <v>#REF!</v>
      </c>
      <c r="T179" s="179" t="e">
        <f t="shared" si="98"/>
        <v>#REF!</v>
      </c>
      <c r="U179" s="179" t="e">
        <f t="shared" si="98"/>
        <v>#REF!</v>
      </c>
      <c r="V179" s="179" t="e">
        <f t="shared" si="98"/>
        <v>#REF!</v>
      </c>
      <c r="W179" s="179" t="e">
        <f t="shared" si="98"/>
        <v>#REF!</v>
      </c>
      <c r="X179" s="179" t="e">
        <f t="shared" si="98"/>
        <v>#REF!</v>
      </c>
      <c r="Y179" s="179" t="e">
        <f t="shared" si="98"/>
        <v>#REF!</v>
      </c>
      <c r="Z179" s="179" t="e">
        <f t="shared" si="98"/>
        <v>#REF!</v>
      </c>
      <c r="AA179" s="179" t="e">
        <f t="shared" si="98"/>
        <v>#REF!</v>
      </c>
      <c r="AB179" s="179" t="e">
        <f t="shared" si="98"/>
        <v>#REF!</v>
      </c>
      <c r="AC179" s="179" t="e">
        <f t="shared" si="98"/>
        <v>#REF!</v>
      </c>
      <c r="AD179" s="179" t="e">
        <f t="shared" si="98"/>
        <v>#REF!</v>
      </c>
      <c r="AE179" s="179" t="e">
        <f t="shared" si="98"/>
        <v>#REF!</v>
      </c>
      <c r="AF179" s="179" t="e">
        <f t="shared" si="98"/>
        <v>#REF!</v>
      </c>
      <c r="AG179" s="179" t="e">
        <f t="shared" si="98"/>
        <v>#REF!</v>
      </c>
    </row>
    <row r="180" spans="1:33">
      <c r="A180" s="173" t="s">
        <v>322</v>
      </c>
      <c r="B180" s="173" t="s">
        <v>300</v>
      </c>
      <c r="C180" s="179" t="e">
        <f t="shared" ref="C180:AG180" si="99">(C166+C169+C70)/($C$28*$C$27)+C63</f>
        <v>#REF!</v>
      </c>
      <c r="D180" s="179" t="e">
        <f t="shared" si="99"/>
        <v>#REF!</v>
      </c>
      <c r="E180" s="179" t="e">
        <f t="shared" si="99"/>
        <v>#REF!</v>
      </c>
      <c r="F180" s="179" t="e">
        <f t="shared" si="99"/>
        <v>#REF!</v>
      </c>
      <c r="G180" s="179" t="e">
        <f t="shared" si="99"/>
        <v>#REF!</v>
      </c>
      <c r="H180" s="179" t="e">
        <f t="shared" si="99"/>
        <v>#REF!</v>
      </c>
      <c r="I180" s="179" t="e">
        <f t="shared" si="99"/>
        <v>#REF!</v>
      </c>
      <c r="J180" s="179" t="e">
        <f t="shared" si="99"/>
        <v>#REF!</v>
      </c>
      <c r="K180" s="179" t="e">
        <f t="shared" si="99"/>
        <v>#REF!</v>
      </c>
      <c r="L180" s="179" t="e">
        <f t="shared" si="99"/>
        <v>#REF!</v>
      </c>
      <c r="M180" s="179" t="e">
        <f t="shared" si="99"/>
        <v>#REF!</v>
      </c>
      <c r="N180" s="179" t="e">
        <f t="shared" si="99"/>
        <v>#REF!</v>
      </c>
      <c r="O180" s="179" t="e">
        <f t="shared" si="99"/>
        <v>#REF!</v>
      </c>
      <c r="P180" s="179" t="e">
        <f t="shared" si="99"/>
        <v>#REF!</v>
      </c>
      <c r="Q180" s="179" t="e">
        <f t="shared" si="99"/>
        <v>#REF!</v>
      </c>
      <c r="R180" s="179" t="e">
        <f t="shared" si="99"/>
        <v>#REF!</v>
      </c>
      <c r="S180" s="179" t="e">
        <f t="shared" si="99"/>
        <v>#REF!</v>
      </c>
      <c r="T180" s="179" t="e">
        <f t="shared" si="99"/>
        <v>#REF!</v>
      </c>
      <c r="U180" s="179" t="e">
        <f t="shared" si="99"/>
        <v>#REF!</v>
      </c>
      <c r="V180" s="179" t="e">
        <f t="shared" si="99"/>
        <v>#REF!</v>
      </c>
      <c r="W180" s="179" t="e">
        <f t="shared" si="99"/>
        <v>#REF!</v>
      </c>
      <c r="X180" s="179" t="e">
        <f t="shared" si="99"/>
        <v>#REF!</v>
      </c>
      <c r="Y180" s="179" t="e">
        <f t="shared" si="99"/>
        <v>#REF!</v>
      </c>
      <c r="Z180" s="179" t="e">
        <f t="shared" si="99"/>
        <v>#REF!</v>
      </c>
      <c r="AA180" s="179" t="e">
        <f t="shared" si="99"/>
        <v>#REF!</v>
      </c>
      <c r="AB180" s="179" t="e">
        <f t="shared" si="99"/>
        <v>#REF!</v>
      </c>
      <c r="AC180" s="179" t="e">
        <f t="shared" si="99"/>
        <v>#REF!</v>
      </c>
      <c r="AD180" s="179" t="e">
        <f t="shared" si="99"/>
        <v>#REF!</v>
      </c>
      <c r="AE180" s="179" t="e">
        <f t="shared" si="99"/>
        <v>#REF!</v>
      </c>
      <c r="AF180" s="179" t="e">
        <f t="shared" si="99"/>
        <v>#REF!</v>
      </c>
      <c r="AG180" s="179" t="e">
        <f t="shared" si="99"/>
        <v>#REF!</v>
      </c>
    </row>
    <row r="181" spans="1:33">
      <c r="C181" s="274" t="e">
        <f t="shared" ref="C181:AG181" si="100">SUM(C178:C180)</f>
        <v>#REF!</v>
      </c>
      <c r="D181" s="274" t="e">
        <f t="shared" si="100"/>
        <v>#REF!</v>
      </c>
      <c r="E181" s="274" t="e">
        <f t="shared" si="100"/>
        <v>#REF!</v>
      </c>
      <c r="F181" s="274" t="e">
        <f t="shared" si="100"/>
        <v>#REF!</v>
      </c>
      <c r="G181" s="274" t="e">
        <f t="shared" si="100"/>
        <v>#REF!</v>
      </c>
      <c r="H181" s="274" t="e">
        <f t="shared" si="100"/>
        <v>#REF!</v>
      </c>
      <c r="I181" s="274" t="e">
        <f t="shared" si="100"/>
        <v>#REF!</v>
      </c>
      <c r="J181" s="274" t="e">
        <f t="shared" si="100"/>
        <v>#REF!</v>
      </c>
      <c r="K181" s="274" t="e">
        <f t="shared" si="100"/>
        <v>#REF!</v>
      </c>
      <c r="L181" s="274" t="e">
        <f t="shared" si="100"/>
        <v>#REF!</v>
      </c>
      <c r="M181" s="274" t="e">
        <f t="shared" si="100"/>
        <v>#REF!</v>
      </c>
      <c r="N181" s="274" t="e">
        <f t="shared" si="100"/>
        <v>#REF!</v>
      </c>
      <c r="O181" s="274" t="e">
        <f t="shared" si="100"/>
        <v>#REF!</v>
      </c>
      <c r="P181" s="274" t="e">
        <f t="shared" si="100"/>
        <v>#REF!</v>
      </c>
      <c r="Q181" s="274" t="e">
        <f t="shared" si="100"/>
        <v>#REF!</v>
      </c>
      <c r="R181" s="274" t="e">
        <f t="shared" si="100"/>
        <v>#REF!</v>
      </c>
      <c r="S181" s="274" t="e">
        <f t="shared" si="100"/>
        <v>#REF!</v>
      </c>
      <c r="T181" s="274" t="e">
        <f t="shared" si="100"/>
        <v>#REF!</v>
      </c>
      <c r="U181" s="274" t="e">
        <f t="shared" si="100"/>
        <v>#REF!</v>
      </c>
      <c r="V181" s="274" t="e">
        <f t="shared" si="100"/>
        <v>#REF!</v>
      </c>
      <c r="W181" s="274" t="e">
        <f t="shared" si="100"/>
        <v>#REF!</v>
      </c>
      <c r="X181" s="274" t="e">
        <f t="shared" si="100"/>
        <v>#REF!</v>
      </c>
      <c r="Y181" s="274" t="e">
        <f t="shared" si="100"/>
        <v>#REF!</v>
      </c>
      <c r="Z181" s="274" t="e">
        <f t="shared" si="100"/>
        <v>#REF!</v>
      </c>
      <c r="AA181" s="274" t="e">
        <f t="shared" si="100"/>
        <v>#REF!</v>
      </c>
      <c r="AB181" s="274" t="e">
        <f t="shared" si="100"/>
        <v>#REF!</v>
      </c>
      <c r="AC181" s="274" t="e">
        <f t="shared" si="100"/>
        <v>#REF!</v>
      </c>
      <c r="AD181" s="274" t="e">
        <f t="shared" si="100"/>
        <v>#REF!</v>
      </c>
      <c r="AE181" s="274" t="e">
        <f t="shared" si="100"/>
        <v>#REF!</v>
      </c>
      <c r="AF181" s="274" t="e">
        <f t="shared" si="100"/>
        <v>#REF!</v>
      </c>
      <c r="AG181" s="274" t="e">
        <f t="shared" si="100"/>
        <v>#REF!</v>
      </c>
    </row>
    <row r="182" spans="1:33" s="225" customFormat="1">
      <c r="A182" s="223" t="s">
        <v>331</v>
      </c>
      <c r="B182" s="223"/>
      <c r="H182" s="275" t="e">
        <f>H189/H86</f>
        <v>#REF!</v>
      </c>
      <c r="AB182" s="275" t="e">
        <f>AB189/AB86</f>
        <v>#REF!</v>
      </c>
    </row>
    <row r="183" spans="1:33">
      <c r="A183" s="235" t="s">
        <v>41</v>
      </c>
      <c r="B183" s="235"/>
      <c r="C183" s="235">
        <v>2025</v>
      </c>
      <c r="D183" s="235">
        <f t="shared" ref="D183:AG183" si="101">C183+1</f>
        <v>2026</v>
      </c>
      <c r="E183" s="235">
        <f t="shared" si="101"/>
        <v>2027</v>
      </c>
      <c r="F183" s="235">
        <f t="shared" si="101"/>
        <v>2028</v>
      </c>
      <c r="G183" s="235">
        <f t="shared" si="101"/>
        <v>2029</v>
      </c>
      <c r="H183" s="235">
        <f t="shared" si="101"/>
        <v>2030</v>
      </c>
      <c r="I183" s="235">
        <f t="shared" si="101"/>
        <v>2031</v>
      </c>
      <c r="J183" s="235">
        <f t="shared" si="101"/>
        <v>2032</v>
      </c>
      <c r="K183" s="235">
        <f t="shared" si="101"/>
        <v>2033</v>
      </c>
      <c r="L183" s="235">
        <f t="shared" si="101"/>
        <v>2034</v>
      </c>
      <c r="M183" s="235">
        <f t="shared" si="101"/>
        <v>2035</v>
      </c>
      <c r="N183" s="235">
        <f t="shared" si="101"/>
        <v>2036</v>
      </c>
      <c r="O183" s="235">
        <f t="shared" si="101"/>
        <v>2037</v>
      </c>
      <c r="P183" s="235">
        <f t="shared" si="101"/>
        <v>2038</v>
      </c>
      <c r="Q183" s="235">
        <f t="shared" si="101"/>
        <v>2039</v>
      </c>
      <c r="R183" s="235">
        <f t="shared" si="101"/>
        <v>2040</v>
      </c>
      <c r="S183" s="235">
        <f t="shared" si="101"/>
        <v>2041</v>
      </c>
      <c r="T183" s="235">
        <f t="shared" si="101"/>
        <v>2042</v>
      </c>
      <c r="U183" s="235">
        <f t="shared" si="101"/>
        <v>2043</v>
      </c>
      <c r="V183" s="235">
        <f t="shared" si="101"/>
        <v>2044</v>
      </c>
      <c r="W183" s="235">
        <f t="shared" si="101"/>
        <v>2045</v>
      </c>
      <c r="X183" s="235">
        <f t="shared" si="101"/>
        <v>2046</v>
      </c>
      <c r="Y183" s="235">
        <f t="shared" si="101"/>
        <v>2047</v>
      </c>
      <c r="Z183" s="235">
        <f t="shared" si="101"/>
        <v>2048</v>
      </c>
      <c r="AA183" s="235">
        <f t="shared" si="101"/>
        <v>2049</v>
      </c>
      <c r="AB183" s="235">
        <f t="shared" si="101"/>
        <v>2050</v>
      </c>
      <c r="AC183" s="235">
        <f t="shared" si="101"/>
        <v>2051</v>
      </c>
      <c r="AD183" s="235">
        <f t="shared" si="101"/>
        <v>2052</v>
      </c>
      <c r="AE183" s="235">
        <f t="shared" si="101"/>
        <v>2053</v>
      </c>
      <c r="AF183" s="235">
        <f t="shared" si="101"/>
        <v>2054</v>
      </c>
      <c r="AG183" s="235">
        <f t="shared" si="101"/>
        <v>2055</v>
      </c>
    </row>
    <row r="184" spans="1:33">
      <c r="A184" s="290" t="s">
        <v>428</v>
      </c>
      <c r="B184" s="173" t="s">
        <v>309</v>
      </c>
      <c r="C184" s="179" t="e">
        <f t="shared" ref="C184:AG184" si="102">$H$73*C60</f>
        <v>#REF!</v>
      </c>
      <c r="D184" s="179" t="e">
        <f t="shared" si="102"/>
        <v>#REF!</v>
      </c>
      <c r="E184" s="179" t="e">
        <f t="shared" si="102"/>
        <v>#REF!</v>
      </c>
      <c r="F184" s="179" t="e">
        <f t="shared" si="102"/>
        <v>#REF!</v>
      </c>
      <c r="G184" s="179" t="e">
        <f t="shared" si="102"/>
        <v>#REF!</v>
      </c>
      <c r="H184" s="179" t="e">
        <f t="shared" si="102"/>
        <v>#REF!</v>
      </c>
      <c r="I184" s="179" t="e">
        <f t="shared" si="102"/>
        <v>#REF!</v>
      </c>
      <c r="J184" s="179" t="e">
        <f t="shared" si="102"/>
        <v>#REF!</v>
      </c>
      <c r="K184" s="179" t="e">
        <f t="shared" si="102"/>
        <v>#REF!</v>
      </c>
      <c r="L184" s="179" t="e">
        <f t="shared" si="102"/>
        <v>#REF!</v>
      </c>
      <c r="M184" s="179" t="e">
        <f t="shared" si="102"/>
        <v>#REF!</v>
      </c>
      <c r="N184" s="179" t="e">
        <f t="shared" si="102"/>
        <v>#REF!</v>
      </c>
      <c r="O184" s="179" t="e">
        <f t="shared" si="102"/>
        <v>#REF!</v>
      </c>
      <c r="P184" s="179" t="e">
        <f t="shared" si="102"/>
        <v>#REF!</v>
      </c>
      <c r="Q184" s="179" t="e">
        <f t="shared" si="102"/>
        <v>#REF!</v>
      </c>
      <c r="R184" s="179" t="e">
        <f t="shared" si="102"/>
        <v>#REF!</v>
      </c>
      <c r="S184" s="179" t="e">
        <f t="shared" si="102"/>
        <v>#REF!</v>
      </c>
      <c r="T184" s="179" t="e">
        <f t="shared" si="102"/>
        <v>#REF!</v>
      </c>
      <c r="U184" s="179" t="e">
        <f t="shared" si="102"/>
        <v>#REF!</v>
      </c>
      <c r="V184" s="179" t="e">
        <f t="shared" si="102"/>
        <v>#REF!</v>
      </c>
      <c r="W184" s="179" t="e">
        <f t="shared" si="102"/>
        <v>#REF!</v>
      </c>
      <c r="X184" s="179" t="e">
        <f t="shared" si="102"/>
        <v>#REF!</v>
      </c>
      <c r="Y184" s="179" t="e">
        <f t="shared" si="102"/>
        <v>#REF!</v>
      </c>
      <c r="Z184" s="179" t="e">
        <f t="shared" si="102"/>
        <v>#REF!</v>
      </c>
      <c r="AA184" s="179" t="e">
        <f t="shared" si="102"/>
        <v>#REF!</v>
      </c>
      <c r="AB184" s="179" t="e">
        <f t="shared" si="102"/>
        <v>#REF!</v>
      </c>
      <c r="AC184" s="179" t="e">
        <f t="shared" si="102"/>
        <v>#REF!</v>
      </c>
      <c r="AD184" s="179" t="e">
        <f t="shared" si="102"/>
        <v>#REF!</v>
      </c>
      <c r="AE184" s="179" t="e">
        <f t="shared" si="102"/>
        <v>#REF!</v>
      </c>
      <c r="AF184" s="179" t="e">
        <f t="shared" si="102"/>
        <v>#REF!</v>
      </c>
      <c r="AG184" s="179" t="e">
        <f t="shared" si="102"/>
        <v>#REF!</v>
      </c>
    </row>
    <row r="185" spans="1:33">
      <c r="A185" s="290" t="s">
        <v>419</v>
      </c>
      <c r="B185" s="173" t="s">
        <v>309</v>
      </c>
      <c r="C185" s="179" t="e">
        <f t="shared" ref="C185:AG185" si="103">$C$22*C56</f>
        <v>#REF!</v>
      </c>
      <c r="D185" s="179" t="e">
        <f t="shared" si="103"/>
        <v>#REF!</v>
      </c>
      <c r="E185" s="179" t="e">
        <f t="shared" si="103"/>
        <v>#REF!</v>
      </c>
      <c r="F185" s="179" t="e">
        <f t="shared" si="103"/>
        <v>#REF!</v>
      </c>
      <c r="G185" s="179" t="e">
        <f t="shared" si="103"/>
        <v>#REF!</v>
      </c>
      <c r="H185" s="179" t="e">
        <f t="shared" si="103"/>
        <v>#REF!</v>
      </c>
      <c r="I185" s="179" t="e">
        <f t="shared" si="103"/>
        <v>#REF!</v>
      </c>
      <c r="J185" s="179" t="e">
        <f t="shared" si="103"/>
        <v>#REF!</v>
      </c>
      <c r="K185" s="179" t="e">
        <f t="shared" si="103"/>
        <v>#REF!</v>
      </c>
      <c r="L185" s="179" t="e">
        <f t="shared" si="103"/>
        <v>#REF!</v>
      </c>
      <c r="M185" s="179" t="e">
        <f t="shared" si="103"/>
        <v>#REF!</v>
      </c>
      <c r="N185" s="179" t="e">
        <f t="shared" si="103"/>
        <v>#REF!</v>
      </c>
      <c r="O185" s="179" t="e">
        <f t="shared" si="103"/>
        <v>#REF!</v>
      </c>
      <c r="P185" s="179" t="e">
        <f t="shared" si="103"/>
        <v>#REF!</v>
      </c>
      <c r="Q185" s="179" t="e">
        <f t="shared" si="103"/>
        <v>#REF!</v>
      </c>
      <c r="R185" s="179" t="e">
        <f t="shared" si="103"/>
        <v>#REF!</v>
      </c>
      <c r="S185" s="179" t="e">
        <f t="shared" si="103"/>
        <v>#REF!</v>
      </c>
      <c r="T185" s="179" t="e">
        <f t="shared" si="103"/>
        <v>#REF!</v>
      </c>
      <c r="U185" s="179" t="e">
        <f t="shared" si="103"/>
        <v>#REF!</v>
      </c>
      <c r="V185" s="179" t="e">
        <f t="shared" si="103"/>
        <v>#REF!</v>
      </c>
      <c r="W185" s="179" t="e">
        <f t="shared" si="103"/>
        <v>#REF!</v>
      </c>
      <c r="X185" s="179" t="e">
        <f t="shared" si="103"/>
        <v>#REF!</v>
      </c>
      <c r="Y185" s="179" t="e">
        <f t="shared" si="103"/>
        <v>#REF!</v>
      </c>
      <c r="Z185" s="179" t="e">
        <f t="shared" si="103"/>
        <v>#REF!</v>
      </c>
      <c r="AA185" s="179" t="e">
        <f t="shared" si="103"/>
        <v>#REF!</v>
      </c>
      <c r="AB185" s="179" t="e">
        <f t="shared" si="103"/>
        <v>#REF!</v>
      </c>
      <c r="AC185" s="179" t="e">
        <f t="shared" si="103"/>
        <v>#REF!</v>
      </c>
      <c r="AD185" s="179" t="e">
        <f t="shared" si="103"/>
        <v>#REF!</v>
      </c>
      <c r="AE185" s="179" t="e">
        <f t="shared" si="103"/>
        <v>#REF!</v>
      </c>
      <c r="AF185" s="179" t="e">
        <f t="shared" si="103"/>
        <v>#REF!</v>
      </c>
      <c r="AG185" s="179" t="e">
        <f t="shared" si="103"/>
        <v>#REF!</v>
      </c>
    </row>
    <row r="186" spans="1:33">
      <c r="A186" s="290" t="s">
        <v>429</v>
      </c>
      <c r="B186" s="173" t="s">
        <v>309</v>
      </c>
      <c r="C186" s="179" t="e">
        <f t="shared" ref="C186:AG186" si="104">C158</f>
        <v>#REF!</v>
      </c>
      <c r="D186" s="179" t="e">
        <f t="shared" si="104"/>
        <v>#REF!</v>
      </c>
      <c r="E186" s="179" t="e">
        <f t="shared" si="104"/>
        <v>#REF!</v>
      </c>
      <c r="F186" s="179" t="e">
        <f t="shared" si="104"/>
        <v>#REF!</v>
      </c>
      <c r="G186" s="179" t="e">
        <f t="shared" si="104"/>
        <v>#REF!</v>
      </c>
      <c r="H186" s="179" t="e">
        <f t="shared" si="104"/>
        <v>#REF!</v>
      </c>
      <c r="I186" s="179" t="e">
        <f t="shared" si="104"/>
        <v>#REF!</v>
      </c>
      <c r="J186" s="179" t="e">
        <f t="shared" si="104"/>
        <v>#REF!</v>
      </c>
      <c r="K186" s="179" t="e">
        <f t="shared" si="104"/>
        <v>#REF!</v>
      </c>
      <c r="L186" s="179" t="e">
        <f t="shared" si="104"/>
        <v>#REF!</v>
      </c>
      <c r="M186" s="179" t="e">
        <f t="shared" si="104"/>
        <v>#REF!</v>
      </c>
      <c r="N186" s="179" t="e">
        <f t="shared" si="104"/>
        <v>#REF!</v>
      </c>
      <c r="O186" s="179" t="e">
        <f t="shared" si="104"/>
        <v>#REF!</v>
      </c>
      <c r="P186" s="179" t="e">
        <f t="shared" si="104"/>
        <v>#REF!</v>
      </c>
      <c r="Q186" s="179" t="e">
        <f t="shared" si="104"/>
        <v>#REF!</v>
      </c>
      <c r="R186" s="179" t="e">
        <f t="shared" si="104"/>
        <v>#REF!</v>
      </c>
      <c r="S186" s="179" t="e">
        <f t="shared" si="104"/>
        <v>#REF!</v>
      </c>
      <c r="T186" s="179" t="e">
        <f t="shared" si="104"/>
        <v>#REF!</v>
      </c>
      <c r="U186" s="179" t="e">
        <f t="shared" si="104"/>
        <v>#REF!</v>
      </c>
      <c r="V186" s="179" t="e">
        <f t="shared" si="104"/>
        <v>#REF!</v>
      </c>
      <c r="W186" s="179" t="e">
        <f t="shared" si="104"/>
        <v>#REF!</v>
      </c>
      <c r="X186" s="179" t="e">
        <f t="shared" si="104"/>
        <v>#REF!</v>
      </c>
      <c r="Y186" s="179" t="e">
        <f t="shared" si="104"/>
        <v>#REF!</v>
      </c>
      <c r="Z186" s="179" t="e">
        <f t="shared" si="104"/>
        <v>#REF!</v>
      </c>
      <c r="AA186" s="179" t="e">
        <f t="shared" si="104"/>
        <v>#REF!</v>
      </c>
      <c r="AB186" s="179" t="e">
        <f t="shared" si="104"/>
        <v>#REF!</v>
      </c>
      <c r="AC186" s="179" t="e">
        <f t="shared" si="104"/>
        <v>#REF!</v>
      </c>
      <c r="AD186" s="179" t="e">
        <f t="shared" si="104"/>
        <v>#REF!</v>
      </c>
      <c r="AE186" s="179" t="e">
        <f t="shared" si="104"/>
        <v>#REF!</v>
      </c>
      <c r="AF186" s="179" t="e">
        <f t="shared" si="104"/>
        <v>#REF!</v>
      </c>
      <c r="AG186" s="179" t="e">
        <f t="shared" si="104"/>
        <v>#REF!</v>
      </c>
    </row>
    <row r="187" spans="1:33">
      <c r="A187" s="290" t="s">
        <v>361</v>
      </c>
      <c r="B187" s="173" t="s">
        <v>309</v>
      </c>
      <c r="C187" s="179" t="e">
        <f t="shared" ref="C187:AG187" si="105">$C$21*C57</f>
        <v>#REF!</v>
      </c>
      <c r="D187" s="179" t="e">
        <f t="shared" si="105"/>
        <v>#REF!</v>
      </c>
      <c r="E187" s="179" t="e">
        <f t="shared" si="105"/>
        <v>#REF!</v>
      </c>
      <c r="F187" s="179" t="e">
        <f t="shared" si="105"/>
        <v>#REF!</v>
      </c>
      <c r="G187" s="179" t="e">
        <f t="shared" si="105"/>
        <v>#REF!</v>
      </c>
      <c r="H187" s="179" t="e">
        <f t="shared" si="105"/>
        <v>#REF!</v>
      </c>
      <c r="I187" s="179" t="e">
        <f t="shared" si="105"/>
        <v>#REF!</v>
      </c>
      <c r="J187" s="179" t="e">
        <f t="shared" si="105"/>
        <v>#REF!</v>
      </c>
      <c r="K187" s="179" t="e">
        <f t="shared" si="105"/>
        <v>#REF!</v>
      </c>
      <c r="L187" s="179" t="e">
        <f t="shared" si="105"/>
        <v>#REF!</v>
      </c>
      <c r="M187" s="179" t="e">
        <f t="shared" si="105"/>
        <v>#REF!</v>
      </c>
      <c r="N187" s="179" t="e">
        <f t="shared" si="105"/>
        <v>#REF!</v>
      </c>
      <c r="O187" s="179" t="e">
        <f t="shared" si="105"/>
        <v>#REF!</v>
      </c>
      <c r="P187" s="179" t="e">
        <f t="shared" si="105"/>
        <v>#REF!</v>
      </c>
      <c r="Q187" s="179" t="e">
        <f t="shared" si="105"/>
        <v>#REF!</v>
      </c>
      <c r="R187" s="179" t="e">
        <f t="shared" si="105"/>
        <v>#REF!</v>
      </c>
      <c r="S187" s="179" t="e">
        <f t="shared" si="105"/>
        <v>#REF!</v>
      </c>
      <c r="T187" s="179" t="e">
        <f t="shared" si="105"/>
        <v>#REF!</v>
      </c>
      <c r="U187" s="179" t="e">
        <f t="shared" si="105"/>
        <v>#REF!</v>
      </c>
      <c r="V187" s="179" t="e">
        <f t="shared" si="105"/>
        <v>#REF!</v>
      </c>
      <c r="W187" s="179" t="e">
        <f t="shared" si="105"/>
        <v>#REF!</v>
      </c>
      <c r="X187" s="179" t="e">
        <f t="shared" si="105"/>
        <v>#REF!</v>
      </c>
      <c r="Y187" s="179" t="e">
        <f t="shared" si="105"/>
        <v>#REF!</v>
      </c>
      <c r="Z187" s="179" t="e">
        <f t="shared" si="105"/>
        <v>#REF!</v>
      </c>
      <c r="AA187" s="179" t="e">
        <f t="shared" si="105"/>
        <v>#REF!</v>
      </c>
      <c r="AB187" s="179" t="e">
        <f t="shared" si="105"/>
        <v>#REF!</v>
      </c>
      <c r="AC187" s="179" t="e">
        <f t="shared" si="105"/>
        <v>#REF!</v>
      </c>
      <c r="AD187" s="179" t="e">
        <f t="shared" si="105"/>
        <v>#REF!</v>
      </c>
      <c r="AE187" s="179" t="e">
        <f t="shared" si="105"/>
        <v>#REF!</v>
      </c>
      <c r="AF187" s="179" t="e">
        <f t="shared" si="105"/>
        <v>#REF!</v>
      </c>
      <c r="AG187" s="179" t="e">
        <f t="shared" si="105"/>
        <v>#REF!</v>
      </c>
    </row>
    <row r="188" spans="1:33">
      <c r="A188" s="173" t="s">
        <v>362</v>
      </c>
      <c r="B188" s="173" t="s">
        <v>41</v>
      </c>
      <c r="C188" s="278" t="e">
        <f t="shared" ref="C188:AG188" si="106">C68/($C$29*$C$28)</f>
        <v>#REF!</v>
      </c>
      <c r="D188" s="278" t="e">
        <f t="shared" si="106"/>
        <v>#REF!</v>
      </c>
      <c r="E188" s="278" t="e">
        <f t="shared" si="106"/>
        <v>#REF!</v>
      </c>
      <c r="F188" s="278" t="e">
        <f t="shared" si="106"/>
        <v>#REF!</v>
      </c>
      <c r="G188" s="278" t="e">
        <f t="shared" si="106"/>
        <v>#REF!</v>
      </c>
      <c r="H188" s="278" t="e">
        <f t="shared" si="106"/>
        <v>#REF!</v>
      </c>
      <c r="I188" s="278" t="e">
        <f t="shared" si="106"/>
        <v>#REF!</v>
      </c>
      <c r="J188" s="278" t="e">
        <f t="shared" si="106"/>
        <v>#REF!</v>
      </c>
      <c r="K188" s="278" t="e">
        <f t="shared" si="106"/>
        <v>#REF!</v>
      </c>
      <c r="L188" s="278" t="e">
        <f t="shared" si="106"/>
        <v>#REF!</v>
      </c>
      <c r="M188" s="278" t="e">
        <f t="shared" si="106"/>
        <v>#REF!</v>
      </c>
      <c r="N188" s="278" t="e">
        <f t="shared" si="106"/>
        <v>#REF!</v>
      </c>
      <c r="O188" s="278" t="e">
        <f t="shared" si="106"/>
        <v>#REF!</v>
      </c>
      <c r="P188" s="278" t="e">
        <f t="shared" si="106"/>
        <v>#REF!</v>
      </c>
      <c r="Q188" s="278" t="e">
        <f t="shared" si="106"/>
        <v>#REF!</v>
      </c>
      <c r="R188" s="278" t="e">
        <f t="shared" si="106"/>
        <v>#REF!</v>
      </c>
      <c r="S188" s="278" t="e">
        <f t="shared" si="106"/>
        <v>#REF!</v>
      </c>
      <c r="T188" s="278" t="e">
        <f t="shared" si="106"/>
        <v>#REF!</v>
      </c>
      <c r="U188" s="278" t="e">
        <f t="shared" si="106"/>
        <v>#REF!</v>
      </c>
      <c r="V188" s="278" t="e">
        <f t="shared" si="106"/>
        <v>#REF!</v>
      </c>
      <c r="W188" s="278" t="e">
        <f t="shared" si="106"/>
        <v>#REF!</v>
      </c>
      <c r="X188" s="278" t="e">
        <f t="shared" si="106"/>
        <v>#REF!</v>
      </c>
      <c r="Y188" s="278" t="e">
        <f t="shared" si="106"/>
        <v>#REF!</v>
      </c>
      <c r="Z188" s="278" t="e">
        <f t="shared" si="106"/>
        <v>#REF!</v>
      </c>
      <c r="AA188" s="278" t="e">
        <f t="shared" si="106"/>
        <v>#REF!</v>
      </c>
      <c r="AB188" s="278" t="e">
        <f t="shared" si="106"/>
        <v>#REF!</v>
      </c>
      <c r="AC188" s="278" t="e">
        <f t="shared" si="106"/>
        <v>#REF!</v>
      </c>
      <c r="AD188" s="278" t="e">
        <f t="shared" si="106"/>
        <v>#REF!</v>
      </c>
      <c r="AE188" s="278" t="e">
        <f t="shared" si="106"/>
        <v>#REF!</v>
      </c>
      <c r="AF188" s="278" t="e">
        <f t="shared" si="106"/>
        <v>#REF!</v>
      </c>
      <c r="AG188" s="278" t="e">
        <f t="shared" si="106"/>
        <v>#REF!</v>
      </c>
    </row>
    <row r="189" spans="1:33">
      <c r="A189" s="290" t="s">
        <v>332</v>
      </c>
      <c r="B189" s="173" t="s">
        <v>309</v>
      </c>
      <c r="C189" s="179" t="e">
        <f t="shared" ref="C189:AG189" si="107">(C86-$C$12+(C184+C185+C186+C187))*(1+0.15)</f>
        <v>#REF!</v>
      </c>
      <c r="D189" s="179" t="e">
        <f t="shared" si="107"/>
        <v>#REF!</v>
      </c>
      <c r="E189" s="179" t="e">
        <f t="shared" si="107"/>
        <v>#REF!</v>
      </c>
      <c r="F189" s="179" t="e">
        <f t="shared" si="107"/>
        <v>#REF!</v>
      </c>
      <c r="G189" s="179" t="e">
        <f t="shared" si="107"/>
        <v>#REF!</v>
      </c>
      <c r="H189" s="179" t="e">
        <f t="shared" si="107"/>
        <v>#REF!</v>
      </c>
      <c r="I189" s="179" t="e">
        <f t="shared" si="107"/>
        <v>#REF!</v>
      </c>
      <c r="J189" s="179" t="e">
        <f t="shared" si="107"/>
        <v>#REF!</v>
      </c>
      <c r="K189" s="179" t="e">
        <f t="shared" si="107"/>
        <v>#REF!</v>
      </c>
      <c r="L189" s="179" t="e">
        <f t="shared" si="107"/>
        <v>#REF!</v>
      </c>
      <c r="M189" s="179" t="e">
        <f t="shared" si="107"/>
        <v>#REF!</v>
      </c>
      <c r="N189" s="179" t="e">
        <f t="shared" si="107"/>
        <v>#REF!</v>
      </c>
      <c r="O189" s="179" t="e">
        <f t="shared" si="107"/>
        <v>#REF!</v>
      </c>
      <c r="P189" s="179" t="e">
        <f t="shared" si="107"/>
        <v>#REF!</v>
      </c>
      <c r="Q189" s="179" t="e">
        <f t="shared" si="107"/>
        <v>#REF!</v>
      </c>
      <c r="R189" s="179" t="e">
        <f t="shared" si="107"/>
        <v>#REF!</v>
      </c>
      <c r="S189" s="179" t="e">
        <f t="shared" si="107"/>
        <v>#REF!</v>
      </c>
      <c r="T189" s="179" t="e">
        <f t="shared" si="107"/>
        <v>#REF!</v>
      </c>
      <c r="U189" s="179" t="e">
        <f t="shared" si="107"/>
        <v>#REF!</v>
      </c>
      <c r="V189" s="179" t="e">
        <f t="shared" si="107"/>
        <v>#REF!</v>
      </c>
      <c r="W189" s="179" t="e">
        <f t="shared" si="107"/>
        <v>#REF!</v>
      </c>
      <c r="X189" s="179" t="e">
        <f t="shared" si="107"/>
        <v>#REF!</v>
      </c>
      <c r="Y189" s="179" t="e">
        <f t="shared" si="107"/>
        <v>#REF!</v>
      </c>
      <c r="Z189" s="179" t="e">
        <f t="shared" si="107"/>
        <v>#REF!</v>
      </c>
      <c r="AA189" s="179" t="e">
        <f t="shared" si="107"/>
        <v>#REF!</v>
      </c>
      <c r="AB189" s="179" t="e">
        <f t="shared" si="107"/>
        <v>#REF!</v>
      </c>
      <c r="AC189" s="179" t="e">
        <f t="shared" si="107"/>
        <v>#REF!</v>
      </c>
      <c r="AD189" s="179" t="e">
        <f t="shared" si="107"/>
        <v>#REF!</v>
      </c>
      <c r="AE189" s="179" t="e">
        <f t="shared" si="107"/>
        <v>#REF!</v>
      </c>
      <c r="AF189" s="179" t="e">
        <f t="shared" si="107"/>
        <v>#REF!</v>
      </c>
      <c r="AG189" s="179" t="e">
        <f t="shared" si="107"/>
        <v>#REF!</v>
      </c>
    </row>
    <row r="190" spans="1:33">
      <c r="A190" s="173" t="s">
        <v>333</v>
      </c>
      <c r="B190" s="173" t="s">
        <v>309</v>
      </c>
      <c r="C190" s="179" t="e">
        <f t="shared" ref="C190:AG190" si="108">$H$82*C50</f>
        <v>#REF!</v>
      </c>
      <c r="D190" s="179" t="e">
        <f t="shared" si="108"/>
        <v>#REF!</v>
      </c>
      <c r="E190" s="179" t="e">
        <f t="shared" si="108"/>
        <v>#REF!</v>
      </c>
      <c r="F190" s="179" t="e">
        <f t="shared" si="108"/>
        <v>#REF!</v>
      </c>
      <c r="G190" s="179" t="e">
        <f t="shared" si="108"/>
        <v>#REF!</v>
      </c>
      <c r="H190" s="179" t="e">
        <f t="shared" si="108"/>
        <v>#REF!</v>
      </c>
      <c r="I190" s="179" t="e">
        <f t="shared" si="108"/>
        <v>#REF!</v>
      </c>
      <c r="J190" s="179" t="e">
        <f t="shared" si="108"/>
        <v>#REF!</v>
      </c>
      <c r="K190" s="179" t="e">
        <f t="shared" si="108"/>
        <v>#REF!</v>
      </c>
      <c r="L190" s="179" t="e">
        <f t="shared" si="108"/>
        <v>#REF!</v>
      </c>
      <c r="M190" s="179" t="e">
        <f t="shared" si="108"/>
        <v>#REF!</v>
      </c>
      <c r="N190" s="179" t="e">
        <f t="shared" si="108"/>
        <v>#REF!</v>
      </c>
      <c r="O190" s="179" t="e">
        <f t="shared" si="108"/>
        <v>#REF!</v>
      </c>
      <c r="P190" s="179" t="e">
        <f t="shared" si="108"/>
        <v>#REF!</v>
      </c>
      <c r="Q190" s="179" t="e">
        <f t="shared" si="108"/>
        <v>#REF!</v>
      </c>
      <c r="R190" s="179" t="e">
        <f t="shared" si="108"/>
        <v>#REF!</v>
      </c>
      <c r="S190" s="179" t="e">
        <f t="shared" si="108"/>
        <v>#REF!</v>
      </c>
      <c r="T190" s="179" t="e">
        <f t="shared" si="108"/>
        <v>#REF!</v>
      </c>
      <c r="U190" s="179" t="e">
        <f t="shared" si="108"/>
        <v>#REF!</v>
      </c>
      <c r="V190" s="179" t="e">
        <f t="shared" si="108"/>
        <v>#REF!</v>
      </c>
      <c r="W190" s="179" t="e">
        <f t="shared" si="108"/>
        <v>#REF!</v>
      </c>
      <c r="X190" s="179" t="e">
        <f t="shared" si="108"/>
        <v>#REF!</v>
      </c>
      <c r="Y190" s="179" t="e">
        <f t="shared" si="108"/>
        <v>#REF!</v>
      </c>
      <c r="Z190" s="179" t="e">
        <f t="shared" si="108"/>
        <v>#REF!</v>
      </c>
      <c r="AA190" s="179" t="e">
        <f t="shared" si="108"/>
        <v>#REF!</v>
      </c>
      <c r="AB190" s="179" t="e">
        <f t="shared" si="108"/>
        <v>#REF!</v>
      </c>
      <c r="AC190" s="179" t="e">
        <f t="shared" si="108"/>
        <v>#REF!</v>
      </c>
      <c r="AD190" s="179" t="e">
        <f t="shared" si="108"/>
        <v>#REF!</v>
      </c>
      <c r="AE190" s="179" t="e">
        <f t="shared" si="108"/>
        <v>#REF!</v>
      </c>
      <c r="AF190" s="179" t="e">
        <f t="shared" si="108"/>
        <v>#REF!</v>
      </c>
      <c r="AG190" s="179" t="e">
        <f t="shared" si="108"/>
        <v>#REF!</v>
      </c>
    </row>
    <row r="191" spans="1:33">
      <c r="A191" s="173" t="s">
        <v>317</v>
      </c>
      <c r="B191" s="173" t="s">
        <v>309</v>
      </c>
      <c r="C191" s="179" t="e">
        <f t="shared" ref="C191:AG191" si="109">$C$28*$C$27*C69</f>
        <v>#REF!</v>
      </c>
      <c r="D191" s="179" t="e">
        <f t="shared" si="109"/>
        <v>#REF!</v>
      </c>
      <c r="E191" s="179" t="e">
        <f t="shared" si="109"/>
        <v>#REF!</v>
      </c>
      <c r="F191" s="179" t="e">
        <f t="shared" si="109"/>
        <v>#REF!</v>
      </c>
      <c r="G191" s="179" t="e">
        <f t="shared" si="109"/>
        <v>#REF!</v>
      </c>
      <c r="H191" s="179" t="e">
        <f t="shared" si="109"/>
        <v>#REF!</v>
      </c>
      <c r="I191" s="179" t="e">
        <f t="shared" si="109"/>
        <v>#REF!</v>
      </c>
      <c r="J191" s="179" t="e">
        <f t="shared" si="109"/>
        <v>#REF!</v>
      </c>
      <c r="K191" s="179" t="e">
        <f t="shared" si="109"/>
        <v>#REF!</v>
      </c>
      <c r="L191" s="179" t="e">
        <f t="shared" si="109"/>
        <v>#REF!</v>
      </c>
      <c r="M191" s="179" t="e">
        <f t="shared" si="109"/>
        <v>#REF!</v>
      </c>
      <c r="N191" s="179" t="e">
        <f t="shared" si="109"/>
        <v>#REF!</v>
      </c>
      <c r="O191" s="179" t="e">
        <f t="shared" si="109"/>
        <v>#REF!</v>
      </c>
      <c r="P191" s="179" t="e">
        <f t="shared" si="109"/>
        <v>#REF!</v>
      </c>
      <c r="Q191" s="179" t="e">
        <f t="shared" si="109"/>
        <v>#REF!</v>
      </c>
      <c r="R191" s="179" t="e">
        <f t="shared" si="109"/>
        <v>#REF!</v>
      </c>
      <c r="S191" s="179" t="e">
        <f t="shared" si="109"/>
        <v>#REF!</v>
      </c>
      <c r="T191" s="179" t="e">
        <f t="shared" si="109"/>
        <v>#REF!</v>
      </c>
      <c r="U191" s="179" t="e">
        <f t="shared" si="109"/>
        <v>#REF!</v>
      </c>
      <c r="V191" s="179" t="e">
        <f t="shared" si="109"/>
        <v>#REF!</v>
      </c>
      <c r="W191" s="179" t="e">
        <f t="shared" si="109"/>
        <v>#REF!</v>
      </c>
      <c r="X191" s="179" t="e">
        <f t="shared" si="109"/>
        <v>#REF!</v>
      </c>
      <c r="Y191" s="179" t="e">
        <f t="shared" si="109"/>
        <v>#REF!</v>
      </c>
      <c r="Z191" s="179" t="e">
        <f t="shared" si="109"/>
        <v>#REF!</v>
      </c>
      <c r="AA191" s="179" t="e">
        <f t="shared" si="109"/>
        <v>#REF!</v>
      </c>
      <c r="AB191" s="179" t="e">
        <f t="shared" si="109"/>
        <v>#REF!</v>
      </c>
      <c r="AC191" s="179" t="e">
        <f t="shared" si="109"/>
        <v>#REF!</v>
      </c>
      <c r="AD191" s="179" t="e">
        <f t="shared" si="109"/>
        <v>#REF!</v>
      </c>
      <c r="AE191" s="179" t="e">
        <f t="shared" si="109"/>
        <v>#REF!</v>
      </c>
      <c r="AF191" s="179" t="e">
        <f t="shared" si="109"/>
        <v>#REF!</v>
      </c>
      <c r="AG191" s="179" t="e">
        <f t="shared" si="109"/>
        <v>#REF!</v>
      </c>
    </row>
    <row r="192" spans="1:33">
      <c r="A192" s="173" t="s">
        <v>319</v>
      </c>
      <c r="B192" s="173" t="s">
        <v>309</v>
      </c>
      <c r="C192" s="179" t="e">
        <f t="shared" ref="C192:AG192" si="110">C189*$C$34</f>
        <v>#REF!</v>
      </c>
      <c r="D192" s="179" t="e">
        <f t="shared" si="110"/>
        <v>#REF!</v>
      </c>
      <c r="E192" s="179" t="e">
        <f t="shared" si="110"/>
        <v>#REF!</v>
      </c>
      <c r="F192" s="179" t="e">
        <f t="shared" si="110"/>
        <v>#REF!</v>
      </c>
      <c r="G192" s="179" t="e">
        <f t="shared" si="110"/>
        <v>#REF!</v>
      </c>
      <c r="H192" s="179" t="e">
        <f t="shared" si="110"/>
        <v>#REF!</v>
      </c>
      <c r="I192" s="179" t="e">
        <f t="shared" si="110"/>
        <v>#REF!</v>
      </c>
      <c r="J192" s="179" t="e">
        <f t="shared" si="110"/>
        <v>#REF!</v>
      </c>
      <c r="K192" s="179" t="e">
        <f t="shared" si="110"/>
        <v>#REF!</v>
      </c>
      <c r="L192" s="179" t="e">
        <f t="shared" si="110"/>
        <v>#REF!</v>
      </c>
      <c r="M192" s="179" t="e">
        <f t="shared" si="110"/>
        <v>#REF!</v>
      </c>
      <c r="N192" s="179" t="e">
        <f t="shared" si="110"/>
        <v>#REF!</v>
      </c>
      <c r="O192" s="179" t="e">
        <f t="shared" si="110"/>
        <v>#REF!</v>
      </c>
      <c r="P192" s="179" t="e">
        <f t="shared" si="110"/>
        <v>#REF!</v>
      </c>
      <c r="Q192" s="179" t="e">
        <f t="shared" si="110"/>
        <v>#REF!</v>
      </c>
      <c r="R192" s="179" t="e">
        <f t="shared" si="110"/>
        <v>#REF!</v>
      </c>
      <c r="S192" s="179" t="e">
        <f t="shared" si="110"/>
        <v>#REF!</v>
      </c>
      <c r="T192" s="179" t="e">
        <f t="shared" si="110"/>
        <v>#REF!</v>
      </c>
      <c r="U192" s="179" t="e">
        <f t="shared" si="110"/>
        <v>#REF!</v>
      </c>
      <c r="V192" s="179" t="e">
        <f t="shared" si="110"/>
        <v>#REF!</v>
      </c>
      <c r="W192" s="179" t="e">
        <f t="shared" si="110"/>
        <v>#REF!</v>
      </c>
      <c r="X192" s="179" t="e">
        <f t="shared" si="110"/>
        <v>#REF!</v>
      </c>
      <c r="Y192" s="179" t="e">
        <f t="shared" si="110"/>
        <v>#REF!</v>
      </c>
      <c r="Z192" s="179" t="e">
        <f t="shared" si="110"/>
        <v>#REF!</v>
      </c>
      <c r="AA192" s="179" t="e">
        <f t="shared" si="110"/>
        <v>#REF!</v>
      </c>
      <c r="AB192" s="179" t="e">
        <f t="shared" si="110"/>
        <v>#REF!</v>
      </c>
      <c r="AC192" s="179" t="e">
        <f t="shared" si="110"/>
        <v>#REF!</v>
      </c>
      <c r="AD192" s="179" t="e">
        <f t="shared" si="110"/>
        <v>#REF!</v>
      </c>
      <c r="AE192" s="179" t="e">
        <f t="shared" si="110"/>
        <v>#REF!</v>
      </c>
      <c r="AF192" s="179" t="e">
        <f t="shared" si="110"/>
        <v>#REF!</v>
      </c>
      <c r="AG192" s="179" t="e">
        <f t="shared" si="110"/>
        <v>#REF!</v>
      </c>
    </row>
    <row r="193" spans="1:33" s="247" customFormat="1" ht="11.85" customHeight="1">
      <c r="A193" s="270" t="s">
        <v>414</v>
      </c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</row>
    <row r="194" spans="1:33">
      <c r="A194" s="173" t="s">
        <v>325</v>
      </c>
      <c r="B194" s="173" t="s">
        <v>313</v>
      </c>
      <c r="C194" s="179" t="e">
        <f t="shared" ref="C194:AG194" si="111">-PMT($C$33,$C$31,C189)</f>
        <v>#REF!</v>
      </c>
      <c r="D194" s="179" t="e">
        <f t="shared" si="111"/>
        <v>#REF!</v>
      </c>
      <c r="E194" s="179" t="e">
        <f t="shared" si="111"/>
        <v>#REF!</v>
      </c>
      <c r="F194" s="179" t="e">
        <f t="shared" si="111"/>
        <v>#REF!</v>
      </c>
      <c r="G194" s="179" t="e">
        <f t="shared" si="111"/>
        <v>#REF!</v>
      </c>
      <c r="H194" s="179" t="e">
        <f t="shared" si="111"/>
        <v>#REF!</v>
      </c>
      <c r="I194" s="179" t="e">
        <f t="shared" si="111"/>
        <v>#REF!</v>
      </c>
      <c r="J194" s="179" t="e">
        <f t="shared" si="111"/>
        <v>#REF!</v>
      </c>
      <c r="K194" s="179" t="e">
        <f t="shared" si="111"/>
        <v>#REF!</v>
      </c>
      <c r="L194" s="179" t="e">
        <f t="shared" si="111"/>
        <v>#REF!</v>
      </c>
      <c r="M194" s="179" t="e">
        <f t="shared" si="111"/>
        <v>#REF!</v>
      </c>
      <c r="N194" s="179" t="e">
        <f t="shared" si="111"/>
        <v>#REF!</v>
      </c>
      <c r="O194" s="179" t="e">
        <f t="shared" si="111"/>
        <v>#REF!</v>
      </c>
      <c r="P194" s="179" t="e">
        <f t="shared" si="111"/>
        <v>#REF!</v>
      </c>
      <c r="Q194" s="179" t="e">
        <f t="shared" si="111"/>
        <v>#REF!</v>
      </c>
      <c r="R194" s="179" t="e">
        <f t="shared" si="111"/>
        <v>#REF!</v>
      </c>
      <c r="S194" s="179" t="e">
        <f t="shared" si="111"/>
        <v>#REF!</v>
      </c>
      <c r="T194" s="179" t="e">
        <f t="shared" si="111"/>
        <v>#REF!</v>
      </c>
      <c r="U194" s="179" t="e">
        <f t="shared" si="111"/>
        <v>#REF!</v>
      </c>
      <c r="V194" s="179" t="e">
        <f t="shared" si="111"/>
        <v>#REF!</v>
      </c>
      <c r="W194" s="179" t="e">
        <f t="shared" si="111"/>
        <v>#REF!</v>
      </c>
      <c r="X194" s="179" t="e">
        <f t="shared" si="111"/>
        <v>#REF!</v>
      </c>
      <c r="Y194" s="179" t="e">
        <f t="shared" si="111"/>
        <v>#REF!</v>
      </c>
      <c r="Z194" s="179" t="e">
        <f t="shared" si="111"/>
        <v>#REF!</v>
      </c>
      <c r="AA194" s="179" t="e">
        <f t="shared" si="111"/>
        <v>#REF!</v>
      </c>
      <c r="AB194" s="179" t="e">
        <f t="shared" si="111"/>
        <v>#REF!</v>
      </c>
      <c r="AC194" s="179" t="e">
        <f t="shared" si="111"/>
        <v>#REF!</v>
      </c>
      <c r="AD194" s="179" t="e">
        <f t="shared" si="111"/>
        <v>#REF!</v>
      </c>
      <c r="AE194" s="179" t="e">
        <f t="shared" si="111"/>
        <v>#REF!</v>
      </c>
      <c r="AF194" s="179" t="e">
        <f t="shared" si="111"/>
        <v>#REF!</v>
      </c>
      <c r="AG194" s="179" t="e">
        <f t="shared" si="111"/>
        <v>#REF!</v>
      </c>
    </row>
    <row r="195" spans="1:33">
      <c r="A195" s="173" t="s">
        <v>333</v>
      </c>
      <c r="B195" s="173" t="s">
        <v>313</v>
      </c>
      <c r="C195" s="179" t="e">
        <f t="shared" ref="C195:AG196" si="112">C190</f>
        <v>#REF!</v>
      </c>
      <c r="D195" s="179" t="e">
        <f t="shared" si="112"/>
        <v>#REF!</v>
      </c>
      <c r="E195" s="179" t="e">
        <f t="shared" si="112"/>
        <v>#REF!</v>
      </c>
      <c r="F195" s="179" t="e">
        <f t="shared" si="112"/>
        <v>#REF!</v>
      </c>
      <c r="G195" s="179" t="e">
        <f t="shared" si="112"/>
        <v>#REF!</v>
      </c>
      <c r="H195" s="179" t="e">
        <f t="shared" si="112"/>
        <v>#REF!</v>
      </c>
      <c r="I195" s="179" t="e">
        <f t="shared" si="112"/>
        <v>#REF!</v>
      </c>
      <c r="J195" s="179" t="e">
        <f t="shared" si="112"/>
        <v>#REF!</v>
      </c>
      <c r="K195" s="179" t="e">
        <f t="shared" si="112"/>
        <v>#REF!</v>
      </c>
      <c r="L195" s="179" t="e">
        <f t="shared" si="112"/>
        <v>#REF!</v>
      </c>
      <c r="M195" s="179" t="e">
        <f t="shared" si="112"/>
        <v>#REF!</v>
      </c>
      <c r="N195" s="179" t="e">
        <f t="shared" si="112"/>
        <v>#REF!</v>
      </c>
      <c r="O195" s="179" t="e">
        <f t="shared" si="112"/>
        <v>#REF!</v>
      </c>
      <c r="P195" s="179" t="e">
        <f t="shared" si="112"/>
        <v>#REF!</v>
      </c>
      <c r="Q195" s="179" t="e">
        <f t="shared" si="112"/>
        <v>#REF!</v>
      </c>
      <c r="R195" s="179" t="e">
        <f t="shared" si="112"/>
        <v>#REF!</v>
      </c>
      <c r="S195" s="179" t="e">
        <f t="shared" si="112"/>
        <v>#REF!</v>
      </c>
      <c r="T195" s="179" t="e">
        <f t="shared" si="112"/>
        <v>#REF!</v>
      </c>
      <c r="U195" s="179" t="e">
        <f t="shared" si="112"/>
        <v>#REF!</v>
      </c>
      <c r="V195" s="179" t="e">
        <f t="shared" si="112"/>
        <v>#REF!</v>
      </c>
      <c r="W195" s="179" t="e">
        <f t="shared" si="112"/>
        <v>#REF!</v>
      </c>
      <c r="X195" s="179" t="e">
        <f t="shared" si="112"/>
        <v>#REF!</v>
      </c>
      <c r="Y195" s="179" t="e">
        <f t="shared" si="112"/>
        <v>#REF!</v>
      </c>
      <c r="Z195" s="179" t="e">
        <f t="shared" si="112"/>
        <v>#REF!</v>
      </c>
      <c r="AA195" s="179" t="e">
        <f t="shared" si="112"/>
        <v>#REF!</v>
      </c>
      <c r="AB195" s="179" t="e">
        <f t="shared" si="112"/>
        <v>#REF!</v>
      </c>
      <c r="AC195" s="179" t="e">
        <f t="shared" si="112"/>
        <v>#REF!</v>
      </c>
      <c r="AD195" s="179" t="e">
        <f t="shared" si="112"/>
        <v>#REF!</v>
      </c>
      <c r="AE195" s="179" t="e">
        <f t="shared" si="112"/>
        <v>#REF!</v>
      </c>
      <c r="AF195" s="179" t="e">
        <f t="shared" si="112"/>
        <v>#REF!</v>
      </c>
      <c r="AG195" s="179" t="e">
        <f t="shared" si="112"/>
        <v>#REF!</v>
      </c>
    </row>
    <row r="196" spans="1:33">
      <c r="A196" s="173" t="s">
        <v>317</v>
      </c>
      <c r="B196" s="173" t="s">
        <v>313</v>
      </c>
      <c r="C196" s="179" t="e">
        <f t="shared" si="112"/>
        <v>#REF!</v>
      </c>
      <c r="D196" s="179" t="e">
        <f t="shared" si="112"/>
        <v>#REF!</v>
      </c>
      <c r="E196" s="179" t="e">
        <f t="shared" si="112"/>
        <v>#REF!</v>
      </c>
      <c r="F196" s="179" t="e">
        <f t="shared" si="112"/>
        <v>#REF!</v>
      </c>
      <c r="G196" s="179" t="e">
        <f t="shared" si="112"/>
        <v>#REF!</v>
      </c>
      <c r="H196" s="179" t="e">
        <f t="shared" si="112"/>
        <v>#REF!</v>
      </c>
      <c r="I196" s="179" t="e">
        <f t="shared" si="112"/>
        <v>#REF!</v>
      </c>
      <c r="J196" s="179" t="e">
        <f t="shared" si="112"/>
        <v>#REF!</v>
      </c>
      <c r="K196" s="179" t="e">
        <f t="shared" si="112"/>
        <v>#REF!</v>
      </c>
      <c r="L196" s="179" t="e">
        <f t="shared" si="112"/>
        <v>#REF!</v>
      </c>
      <c r="M196" s="179" t="e">
        <f t="shared" si="112"/>
        <v>#REF!</v>
      </c>
      <c r="N196" s="179" t="e">
        <f t="shared" si="112"/>
        <v>#REF!</v>
      </c>
      <c r="O196" s="179" t="e">
        <f t="shared" si="112"/>
        <v>#REF!</v>
      </c>
      <c r="P196" s="179" t="e">
        <f t="shared" si="112"/>
        <v>#REF!</v>
      </c>
      <c r="Q196" s="179" t="e">
        <f t="shared" si="112"/>
        <v>#REF!</v>
      </c>
      <c r="R196" s="179" t="e">
        <f t="shared" si="112"/>
        <v>#REF!</v>
      </c>
      <c r="S196" s="179" t="e">
        <f t="shared" si="112"/>
        <v>#REF!</v>
      </c>
      <c r="T196" s="179" t="e">
        <f t="shared" si="112"/>
        <v>#REF!</v>
      </c>
      <c r="U196" s="179" t="e">
        <f t="shared" si="112"/>
        <v>#REF!</v>
      </c>
      <c r="V196" s="179" t="e">
        <f t="shared" si="112"/>
        <v>#REF!</v>
      </c>
      <c r="W196" s="179" t="e">
        <f t="shared" si="112"/>
        <v>#REF!</v>
      </c>
      <c r="X196" s="179" t="e">
        <f t="shared" si="112"/>
        <v>#REF!</v>
      </c>
      <c r="Y196" s="179" t="e">
        <f t="shared" si="112"/>
        <v>#REF!</v>
      </c>
      <c r="Z196" s="179" t="e">
        <f t="shared" si="112"/>
        <v>#REF!</v>
      </c>
      <c r="AA196" s="179" t="e">
        <f t="shared" si="112"/>
        <v>#REF!</v>
      </c>
      <c r="AB196" s="179" t="e">
        <f t="shared" si="112"/>
        <v>#REF!</v>
      </c>
      <c r="AC196" s="179" t="e">
        <f t="shared" si="112"/>
        <v>#REF!</v>
      </c>
      <c r="AD196" s="179" t="e">
        <f t="shared" si="112"/>
        <v>#REF!</v>
      </c>
      <c r="AE196" s="179" t="e">
        <f t="shared" si="112"/>
        <v>#REF!</v>
      </c>
      <c r="AF196" s="179" t="e">
        <f t="shared" si="112"/>
        <v>#REF!</v>
      </c>
      <c r="AG196" s="179" t="e">
        <f t="shared" si="112"/>
        <v>#REF!</v>
      </c>
    </row>
    <row r="197" spans="1:33">
      <c r="A197" s="173" t="s">
        <v>430</v>
      </c>
      <c r="B197" s="173" t="s">
        <v>313</v>
      </c>
      <c r="C197" s="179" t="e">
        <f t="shared" ref="C197:AG197" si="113">-PMT($C$33, C188, C187)/C188</f>
        <v>#REF!</v>
      </c>
      <c r="D197" s="179" t="e">
        <f t="shared" si="113"/>
        <v>#REF!</v>
      </c>
      <c r="E197" s="179" t="e">
        <f t="shared" si="113"/>
        <v>#REF!</v>
      </c>
      <c r="F197" s="179" t="e">
        <f t="shared" si="113"/>
        <v>#REF!</v>
      </c>
      <c r="G197" s="179" t="e">
        <f t="shared" si="113"/>
        <v>#REF!</v>
      </c>
      <c r="H197" s="179" t="e">
        <f t="shared" si="113"/>
        <v>#REF!</v>
      </c>
      <c r="I197" s="179" t="e">
        <f t="shared" si="113"/>
        <v>#REF!</v>
      </c>
      <c r="J197" s="179" t="e">
        <f t="shared" si="113"/>
        <v>#REF!</v>
      </c>
      <c r="K197" s="179" t="e">
        <f t="shared" si="113"/>
        <v>#REF!</v>
      </c>
      <c r="L197" s="179" t="e">
        <f t="shared" si="113"/>
        <v>#REF!</v>
      </c>
      <c r="M197" s="179" t="e">
        <f t="shared" si="113"/>
        <v>#REF!</v>
      </c>
      <c r="N197" s="179" t="e">
        <f t="shared" si="113"/>
        <v>#REF!</v>
      </c>
      <c r="O197" s="179" t="e">
        <f t="shared" si="113"/>
        <v>#REF!</v>
      </c>
      <c r="P197" s="179" t="e">
        <f t="shared" si="113"/>
        <v>#REF!</v>
      </c>
      <c r="Q197" s="179" t="e">
        <f t="shared" si="113"/>
        <v>#REF!</v>
      </c>
      <c r="R197" s="179" t="e">
        <f t="shared" si="113"/>
        <v>#REF!</v>
      </c>
      <c r="S197" s="179" t="e">
        <f t="shared" si="113"/>
        <v>#REF!</v>
      </c>
      <c r="T197" s="179" t="e">
        <f t="shared" si="113"/>
        <v>#REF!</v>
      </c>
      <c r="U197" s="179" t="e">
        <f t="shared" si="113"/>
        <v>#REF!</v>
      </c>
      <c r="V197" s="179" t="e">
        <f t="shared" si="113"/>
        <v>#REF!</v>
      </c>
      <c r="W197" s="179" t="e">
        <f t="shared" si="113"/>
        <v>#REF!</v>
      </c>
      <c r="X197" s="179" t="e">
        <f t="shared" si="113"/>
        <v>#REF!</v>
      </c>
      <c r="Y197" s="179" t="e">
        <f t="shared" si="113"/>
        <v>#REF!</v>
      </c>
      <c r="Z197" s="179" t="e">
        <f t="shared" si="113"/>
        <v>#REF!</v>
      </c>
      <c r="AA197" s="179" t="e">
        <f t="shared" si="113"/>
        <v>#REF!</v>
      </c>
      <c r="AB197" s="179" t="e">
        <f t="shared" si="113"/>
        <v>#REF!</v>
      </c>
      <c r="AC197" s="179" t="e">
        <f t="shared" si="113"/>
        <v>#REF!</v>
      </c>
      <c r="AD197" s="179" t="e">
        <f t="shared" si="113"/>
        <v>#REF!</v>
      </c>
      <c r="AE197" s="179" t="e">
        <f t="shared" si="113"/>
        <v>#REF!</v>
      </c>
      <c r="AF197" s="179" t="e">
        <f t="shared" si="113"/>
        <v>#REF!</v>
      </c>
      <c r="AG197" s="179" t="e">
        <f t="shared" si="113"/>
        <v>#REF!</v>
      </c>
    </row>
    <row r="198" spans="1:33">
      <c r="A198" s="173" t="s">
        <v>319</v>
      </c>
      <c r="B198" s="173" t="s">
        <v>313</v>
      </c>
      <c r="C198" s="179" t="e">
        <f>C192</f>
        <v>#REF!</v>
      </c>
      <c r="D198" s="179" t="e">
        <f t="shared" ref="D198:AG198" si="114">D192</f>
        <v>#REF!</v>
      </c>
      <c r="E198" s="179" t="e">
        <f t="shared" si="114"/>
        <v>#REF!</v>
      </c>
      <c r="F198" s="179" t="e">
        <f t="shared" si="114"/>
        <v>#REF!</v>
      </c>
      <c r="G198" s="179" t="e">
        <f t="shared" si="114"/>
        <v>#REF!</v>
      </c>
      <c r="H198" s="179" t="e">
        <f t="shared" si="114"/>
        <v>#REF!</v>
      </c>
      <c r="I198" s="179" t="e">
        <f t="shared" si="114"/>
        <v>#REF!</v>
      </c>
      <c r="J198" s="179" t="e">
        <f t="shared" si="114"/>
        <v>#REF!</v>
      </c>
      <c r="K198" s="179" t="e">
        <f t="shared" si="114"/>
        <v>#REF!</v>
      </c>
      <c r="L198" s="179" t="e">
        <f t="shared" si="114"/>
        <v>#REF!</v>
      </c>
      <c r="M198" s="179" t="e">
        <f t="shared" si="114"/>
        <v>#REF!</v>
      </c>
      <c r="N198" s="179" t="e">
        <f t="shared" si="114"/>
        <v>#REF!</v>
      </c>
      <c r="O198" s="179" t="e">
        <f t="shared" si="114"/>
        <v>#REF!</v>
      </c>
      <c r="P198" s="179" t="e">
        <f t="shared" si="114"/>
        <v>#REF!</v>
      </c>
      <c r="Q198" s="179" t="e">
        <f t="shared" si="114"/>
        <v>#REF!</v>
      </c>
      <c r="R198" s="179" t="e">
        <f t="shared" si="114"/>
        <v>#REF!</v>
      </c>
      <c r="S198" s="179" t="e">
        <f t="shared" si="114"/>
        <v>#REF!</v>
      </c>
      <c r="T198" s="179" t="e">
        <f t="shared" si="114"/>
        <v>#REF!</v>
      </c>
      <c r="U198" s="179" t="e">
        <f t="shared" si="114"/>
        <v>#REF!</v>
      </c>
      <c r="V198" s="179" t="e">
        <f t="shared" si="114"/>
        <v>#REF!</v>
      </c>
      <c r="W198" s="179" t="e">
        <f t="shared" si="114"/>
        <v>#REF!</v>
      </c>
      <c r="X198" s="179" t="e">
        <f t="shared" si="114"/>
        <v>#REF!</v>
      </c>
      <c r="Y198" s="179" t="e">
        <f t="shared" si="114"/>
        <v>#REF!</v>
      </c>
      <c r="Z198" s="179" t="e">
        <f t="shared" si="114"/>
        <v>#REF!</v>
      </c>
      <c r="AA198" s="179" t="e">
        <f t="shared" si="114"/>
        <v>#REF!</v>
      </c>
      <c r="AB198" s="179" t="e">
        <f t="shared" si="114"/>
        <v>#REF!</v>
      </c>
      <c r="AC198" s="179" t="e">
        <f t="shared" si="114"/>
        <v>#REF!</v>
      </c>
      <c r="AD198" s="179" t="e">
        <f t="shared" si="114"/>
        <v>#REF!</v>
      </c>
      <c r="AE198" s="179" t="e">
        <f t="shared" si="114"/>
        <v>#REF!</v>
      </c>
      <c r="AF198" s="179" t="e">
        <f t="shared" si="114"/>
        <v>#REF!</v>
      </c>
      <c r="AG198" s="179" t="e">
        <f t="shared" si="114"/>
        <v>#REF!</v>
      </c>
    </row>
    <row r="199" spans="1:33" s="247" customFormat="1" ht="11.85" customHeight="1">
      <c r="A199" s="270" t="s">
        <v>320</v>
      </c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</row>
    <row r="200" spans="1:33">
      <c r="A200" s="173" t="s">
        <v>325</v>
      </c>
      <c r="B200" s="173" t="s">
        <v>300</v>
      </c>
      <c r="C200" s="179" t="e">
        <f t="shared" ref="C200:AG201" si="115">C194/($C$28*$C$27)</f>
        <v>#REF!</v>
      </c>
      <c r="D200" s="179" t="e">
        <f t="shared" si="115"/>
        <v>#REF!</v>
      </c>
      <c r="E200" s="179" t="e">
        <f t="shared" si="115"/>
        <v>#REF!</v>
      </c>
      <c r="F200" s="179" t="e">
        <f t="shared" si="115"/>
        <v>#REF!</v>
      </c>
      <c r="G200" s="179" t="e">
        <f t="shared" si="115"/>
        <v>#REF!</v>
      </c>
      <c r="H200" s="179" t="e">
        <f t="shared" si="115"/>
        <v>#REF!</v>
      </c>
      <c r="I200" s="179" t="e">
        <f t="shared" si="115"/>
        <v>#REF!</v>
      </c>
      <c r="J200" s="179" t="e">
        <f t="shared" si="115"/>
        <v>#REF!</v>
      </c>
      <c r="K200" s="179" t="e">
        <f t="shared" si="115"/>
        <v>#REF!</v>
      </c>
      <c r="L200" s="179" t="e">
        <f t="shared" si="115"/>
        <v>#REF!</v>
      </c>
      <c r="M200" s="179" t="e">
        <f t="shared" si="115"/>
        <v>#REF!</v>
      </c>
      <c r="N200" s="179" t="e">
        <f t="shared" si="115"/>
        <v>#REF!</v>
      </c>
      <c r="O200" s="179" t="e">
        <f t="shared" si="115"/>
        <v>#REF!</v>
      </c>
      <c r="P200" s="179" t="e">
        <f t="shared" si="115"/>
        <v>#REF!</v>
      </c>
      <c r="Q200" s="179" t="e">
        <f t="shared" si="115"/>
        <v>#REF!</v>
      </c>
      <c r="R200" s="179" t="e">
        <f t="shared" si="115"/>
        <v>#REF!</v>
      </c>
      <c r="S200" s="179" t="e">
        <f t="shared" si="115"/>
        <v>#REF!</v>
      </c>
      <c r="T200" s="179" t="e">
        <f t="shared" si="115"/>
        <v>#REF!</v>
      </c>
      <c r="U200" s="179" t="e">
        <f t="shared" si="115"/>
        <v>#REF!</v>
      </c>
      <c r="V200" s="179" t="e">
        <f t="shared" si="115"/>
        <v>#REF!</v>
      </c>
      <c r="W200" s="179" t="e">
        <f t="shared" si="115"/>
        <v>#REF!</v>
      </c>
      <c r="X200" s="179" t="e">
        <f t="shared" si="115"/>
        <v>#REF!</v>
      </c>
      <c r="Y200" s="179" t="e">
        <f t="shared" si="115"/>
        <v>#REF!</v>
      </c>
      <c r="Z200" s="179" t="e">
        <f t="shared" si="115"/>
        <v>#REF!</v>
      </c>
      <c r="AA200" s="179" t="e">
        <f t="shared" si="115"/>
        <v>#REF!</v>
      </c>
      <c r="AB200" s="179" t="e">
        <f t="shared" si="115"/>
        <v>#REF!</v>
      </c>
      <c r="AC200" s="179" t="e">
        <f t="shared" si="115"/>
        <v>#REF!</v>
      </c>
      <c r="AD200" s="179" t="e">
        <f t="shared" si="115"/>
        <v>#REF!</v>
      </c>
      <c r="AE200" s="179" t="e">
        <f t="shared" si="115"/>
        <v>#REF!</v>
      </c>
      <c r="AF200" s="179" t="e">
        <f t="shared" si="115"/>
        <v>#REF!</v>
      </c>
      <c r="AG200" s="179" t="e">
        <f t="shared" si="115"/>
        <v>#REF!</v>
      </c>
    </row>
    <row r="201" spans="1:33">
      <c r="A201" s="173" t="s">
        <v>321</v>
      </c>
      <c r="B201" s="173" t="s">
        <v>300</v>
      </c>
      <c r="C201" s="179" t="e">
        <f t="shared" si="115"/>
        <v>#REF!</v>
      </c>
      <c r="D201" s="179" t="e">
        <f t="shared" si="115"/>
        <v>#REF!</v>
      </c>
      <c r="E201" s="179" t="e">
        <f t="shared" si="115"/>
        <v>#REF!</v>
      </c>
      <c r="F201" s="179" t="e">
        <f t="shared" si="115"/>
        <v>#REF!</v>
      </c>
      <c r="G201" s="179" t="e">
        <f t="shared" si="115"/>
        <v>#REF!</v>
      </c>
      <c r="H201" s="179" t="e">
        <f t="shared" si="115"/>
        <v>#REF!</v>
      </c>
      <c r="I201" s="179" t="e">
        <f t="shared" si="115"/>
        <v>#REF!</v>
      </c>
      <c r="J201" s="179" t="e">
        <f t="shared" si="115"/>
        <v>#REF!</v>
      </c>
      <c r="K201" s="179" t="e">
        <f t="shared" si="115"/>
        <v>#REF!</v>
      </c>
      <c r="L201" s="179" t="e">
        <f t="shared" si="115"/>
        <v>#REF!</v>
      </c>
      <c r="M201" s="179" t="e">
        <f t="shared" si="115"/>
        <v>#REF!</v>
      </c>
      <c r="N201" s="179" t="e">
        <f t="shared" si="115"/>
        <v>#REF!</v>
      </c>
      <c r="O201" s="179" t="e">
        <f t="shared" si="115"/>
        <v>#REF!</v>
      </c>
      <c r="P201" s="179" t="e">
        <f t="shared" si="115"/>
        <v>#REF!</v>
      </c>
      <c r="Q201" s="179" t="e">
        <f t="shared" si="115"/>
        <v>#REF!</v>
      </c>
      <c r="R201" s="179" t="e">
        <f t="shared" si="115"/>
        <v>#REF!</v>
      </c>
      <c r="S201" s="179" t="e">
        <f t="shared" si="115"/>
        <v>#REF!</v>
      </c>
      <c r="T201" s="179" t="e">
        <f t="shared" si="115"/>
        <v>#REF!</v>
      </c>
      <c r="U201" s="179" t="e">
        <f t="shared" si="115"/>
        <v>#REF!</v>
      </c>
      <c r="V201" s="179" t="e">
        <f t="shared" si="115"/>
        <v>#REF!</v>
      </c>
      <c r="W201" s="179" t="e">
        <f t="shared" si="115"/>
        <v>#REF!</v>
      </c>
      <c r="X201" s="179" t="e">
        <f t="shared" si="115"/>
        <v>#REF!</v>
      </c>
      <c r="Y201" s="179" t="e">
        <f t="shared" si="115"/>
        <v>#REF!</v>
      </c>
      <c r="Z201" s="179" t="e">
        <f t="shared" si="115"/>
        <v>#REF!</v>
      </c>
      <c r="AA201" s="179" t="e">
        <f t="shared" si="115"/>
        <v>#REF!</v>
      </c>
      <c r="AB201" s="179" t="e">
        <f t="shared" si="115"/>
        <v>#REF!</v>
      </c>
      <c r="AC201" s="179" t="e">
        <f t="shared" si="115"/>
        <v>#REF!</v>
      </c>
      <c r="AD201" s="179" t="e">
        <f t="shared" si="115"/>
        <v>#REF!</v>
      </c>
      <c r="AE201" s="179" t="e">
        <f t="shared" si="115"/>
        <v>#REF!</v>
      </c>
      <c r="AF201" s="179" t="e">
        <f t="shared" si="115"/>
        <v>#REF!</v>
      </c>
      <c r="AG201" s="179" t="e">
        <f t="shared" si="115"/>
        <v>#REF!</v>
      </c>
    </row>
    <row r="202" spans="1:33">
      <c r="A202" s="173" t="s">
        <v>322</v>
      </c>
      <c r="B202" s="173" t="s">
        <v>300</v>
      </c>
      <c r="C202" s="179" t="e">
        <f t="shared" ref="C202:AG202" si="116">(C196+C198+C197+C70)/($C$28*$C$27)+C63</f>
        <v>#REF!</v>
      </c>
      <c r="D202" s="179" t="e">
        <f t="shared" si="116"/>
        <v>#REF!</v>
      </c>
      <c r="E202" s="179" t="e">
        <f t="shared" si="116"/>
        <v>#REF!</v>
      </c>
      <c r="F202" s="179" t="e">
        <f t="shared" si="116"/>
        <v>#REF!</v>
      </c>
      <c r="G202" s="179" t="e">
        <f t="shared" si="116"/>
        <v>#REF!</v>
      </c>
      <c r="H202" s="179" t="e">
        <f t="shared" si="116"/>
        <v>#REF!</v>
      </c>
      <c r="I202" s="179" t="e">
        <f t="shared" si="116"/>
        <v>#REF!</v>
      </c>
      <c r="J202" s="179" t="e">
        <f t="shared" si="116"/>
        <v>#REF!</v>
      </c>
      <c r="K202" s="179" t="e">
        <f t="shared" si="116"/>
        <v>#REF!</v>
      </c>
      <c r="L202" s="179" t="e">
        <f t="shared" si="116"/>
        <v>#REF!</v>
      </c>
      <c r="M202" s="179" t="e">
        <f t="shared" si="116"/>
        <v>#REF!</v>
      </c>
      <c r="N202" s="179" t="e">
        <f t="shared" si="116"/>
        <v>#REF!</v>
      </c>
      <c r="O202" s="179" t="e">
        <f t="shared" si="116"/>
        <v>#REF!</v>
      </c>
      <c r="P202" s="179" t="e">
        <f t="shared" si="116"/>
        <v>#REF!</v>
      </c>
      <c r="Q202" s="179" t="e">
        <f t="shared" si="116"/>
        <v>#REF!</v>
      </c>
      <c r="R202" s="179" t="e">
        <f t="shared" si="116"/>
        <v>#REF!</v>
      </c>
      <c r="S202" s="179" t="e">
        <f t="shared" si="116"/>
        <v>#REF!</v>
      </c>
      <c r="T202" s="179" t="e">
        <f t="shared" si="116"/>
        <v>#REF!</v>
      </c>
      <c r="U202" s="179" t="e">
        <f t="shared" si="116"/>
        <v>#REF!</v>
      </c>
      <c r="V202" s="179" t="e">
        <f t="shared" si="116"/>
        <v>#REF!</v>
      </c>
      <c r="W202" s="179" t="e">
        <f t="shared" si="116"/>
        <v>#REF!</v>
      </c>
      <c r="X202" s="179" t="e">
        <f t="shared" si="116"/>
        <v>#REF!</v>
      </c>
      <c r="Y202" s="179" t="e">
        <f t="shared" si="116"/>
        <v>#REF!</v>
      </c>
      <c r="Z202" s="179" t="e">
        <f t="shared" si="116"/>
        <v>#REF!</v>
      </c>
      <c r="AA202" s="179" t="e">
        <f t="shared" si="116"/>
        <v>#REF!</v>
      </c>
      <c r="AB202" s="179" t="e">
        <f t="shared" si="116"/>
        <v>#REF!</v>
      </c>
      <c r="AC202" s="179" t="e">
        <f t="shared" si="116"/>
        <v>#REF!</v>
      </c>
      <c r="AD202" s="179" t="e">
        <f t="shared" si="116"/>
        <v>#REF!</v>
      </c>
      <c r="AE202" s="179" t="e">
        <f t="shared" si="116"/>
        <v>#REF!</v>
      </c>
      <c r="AF202" s="179" t="e">
        <f t="shared" si="116"/>
        <v>#REF!</v>
      </c>
      <c r="AG202" s="179" t="e">
        <f t="shared" si="116"/>
        <v>#REF!</v>
      </c>
    </row>
    <row r="203" spans="1:33">
      <c r="C203" s="271" t="e">
        <f t="shared" ref="C203:AG203" si="117">SUM(C200:C202)</f>
        <v>#REF!</v>
      </c>
      <c r="D203" s="271" t="e">
        <f t="shared" si="117"/>
        <v>#REF!</v>
      </c>
      <c r="E203" s="271" t="e">
        <f t="shared" si="117"/>
        <v>#REF!</v>
      </c>
      <c r="F203" s="271" t="e">
        <f t="shared" si="117"/>
        <v>#REF!</v>
      </c>
      <c r="G203" s="271" t="e">
        <f t="shared" si="117"/>
        <v>#REF!</v>
      </c>
      <c r="H203" s="271" t="e">
        <f t="shared" si="117"/>
        <v>#REF!</v>
      </c>
      <c r="I203" s="271" t="e">
        <f t="shared" si="117"/>
        <v>#REF!</v>
      </c>
      <c r="J203" s="271" t="e">
        <f t="shared" si="117"/>
        <v>#REF!</v>
      </c>
      <c r="K203" s="271" t="e">
        <f t="shared" si="117"/>
        <v>#REF!</v>
      </c>
      <c r="L203" s="271" t="e">
        <f t="shared" si="117"/>
        <v>#REF!</v>
      </c>
      <c r="M203" s="271" t="e">
        <f t="shared" si="117"/>
        <v>#REF!</v>
      </c>
      <c r="N203" s="271" t="e">
        <f t="shared" si="117"/>
        <v>#REF!</v>
      </c>
      <c r="O203" s="271" t="e">
        <f t="shared" si="117"/>
        <v>#REF!</v>
      </c>
      <c r="P203" s="271" t="e">
        <f t="shared" si="117"/>
        <v>#REF!</v>
      </c>
      <c r="Q203" s="271" t="e">
        <f t="shared" si="117"/>
        <v>#REF!</v>
      </c>
      <c r="R203" s="271" t="e">
        <f t="shared" si="117"/>
        <v>#REF!</v>
      </c>
      <c r="S203" s="271" t="e">
        <f t="shared" si="117"/>
        <v>#REF!</v>
      </c>
      <c r="T203" s="271" t="e">
        <f t="shared" si="117"/>
        <v>#REF!</v>
      </c>
      <c r="U203" s="271" t="e">
        <f t="shared" si="117"/>
        <v>#REF!</v>
      </c>
      <c r="V203" s="271" t="e">
        <f t="shared" si="117"/>
        <v>#REF!</v>
      </c>
      <c r="W203" s="271" t="e">
        <f t="shared" si="117"/>
        <v>#REF!</v>
      </c>
      <c r="X203" s="271" t="e">
        <f t="shared" si="117"/>
        <v>#REF!</v>
      </c>
      <c r="Y203" s="271" t="e">
        <f t="shared" si="117"/>
        <v>#REF!</v>
      </c>
      <c r="Z203" s="271" t="e">
        <f t="shared" si="117"/>
        <v>#REF!</v>
      </c>
      <c r="AA203" s="271" t="e">
        <f t="shared" si="117"/>
        <v>#REF!</v>
      </c>
      <c r="AB203" s="271" t="e">
        <f t="shared" si="117"/>
        <v>#REF!</v>
      </c>
      <c r="AC203" s="271" t="e">
        <f t="shared" si="117"/>
        <v>#REF!</v>
      </c>
      <c r="AD203" s="271" t="e">
        <f t="shared" si="117"/>
        <v>#REF!</v>
      </c>
      <c r="AE203" s="271" t="e">
        <f t="shared" si="117"/>
        <v>#REF!</v>
      </c>
      <c r="AF203" s="271" t="e">
        <f t="shared" si="117"/>
        <v>#REF!</v>
      </c>
      <c r="AG203" s="271" t="e">
        <f t="shared" si="117"/>
        <v>#REF!</v>
      </c>
    </row>
    <row r="204" spans="1:33">
      <c r="A204" s="235" t="s">
        <v>323</v>
      </c>
      <c r="B204" s="235"/>
      <c r="C204" s="235">
        <v>2025</v>
      </c>
      <c r="D204" s="235">
        <f t="shared" ref="D204:AG204" si="118">C204+1</f>
        <v>2026</v>
      </c>
      <c r="E204" s="235">
        <f t="shared" si="118"/>
        <v>2027</v>
      </c>
      <c r="F204" s="235">
        <f t="shared" si="118"/>
        <v>2028</v>
      </c>
      <c r="G204" s="235">
        <f t="shared" si="118"/>
        <v>2029</v>
      </c>
      <c r="H204" s="235">
        <f t="shared" si="118"/>
        <v>2030</v>
      </c>
      <c r="I204" s="235">
        <f t="shared" si="118"/>
        <v>2031</v>
      </c>
      <c r="J204" s="235">
        <f t="shared" si="118"/>
        <v>2032</v>
      </c>
      <c r="K204" s="235">
        <f t="shared" si="118"/>
        <v>2033</v>
      </c>
      <c r="L204" s="235">
        <f t="shared" si="118"/>
        <v>2034</v>
      </c>
      <c r="M204" s="235">
        <f t="shared" si="118"/>
        <v>2035</v>
      </c>
      <c r="N204" s="235">
        <f t="shared" si="118"/>
        <v>2036</v>
      </c>
      <c r="O204" s="235">
        <f t="shared" si="118"/>
        <v>2037</v>
      </c>
      <c r="P204" s="235">
        <f t="shared" si="118"/>
        <v>2038</v>
      </c>
      <c r="Q204" s="235">
        <f t="shared" si="118"/>
        <v>2039</v>
      </c>
      <c r="R204" s="235">
        <f t="shared" si="118"/>
        <v>2040</v>
      </c>
      <c r="S204" s="235">
        <f t="shared" si="118"/>
        <v>2041</v>
      </c>
      <c r="T204" s="235">
        <f t="shared" si="118"/>
        <v>2042</v>
      </c>
      <c r="U204" s="235">
        <f t="shared" si="118"/>
        <v>2043</v>
      </c>
      <c r="V204" s="235">
        <f t="shared" si="118"/>
        <v>2044</v>
      </c>
      <c r="W204" s="235">
        <f t="shared" si="118"/>
        <v>2045</v>
      </c>
      <c r="X204" s="235">
        <f t="shared" si="118"/>
        <v>2046</v>
      </c>
      <c r="Y204" s="235">
        <f t="shared" si="118"/>
        <v>2047</v>
      </c>
      <c r="Z204" s="235">
        <f t="shared" si="118"/>
        <v>2048</v>
      </c>
      <c r="AA204" s="235">
        <f t="shared" si="118"/>
        <v>2049</v>
      </c>
      <c r="AB204" s="235">
        <f t="shared" si="118"/>
        <v>2050</v>
      </c>
      <c r="AC204" s="235">
        <f t="shared" si="118"/>
        <v>2051</v>
      </c>
      <c r="AD204" s="235">
        <f t="shared" si="118"/>
        <v>2052</v>
      </c>
      <c r="AE204" s="235">
        <f t="shared" si="118"/>
        <v>2053</v>
      </c>
      <c r="AF204" s="235">
        <f t="shared" si="118"/>
        <v>2054</v>
      </c>
      <c r="AG204" s="235">
        <f t="shared" si="118"/>
        <v>2055</v>
      </c>
    </row>
    <row r="205" spans="1:33">
      <c r="A205" s="173" t="str">
        <f>A85</f>
        <v xml:space="preserve">Diesel   </v>
      </c>
      <c r="B205" s="173" t="str">
        <f>A205</f>
        <v xml:space="preserve">Diesel   </v>
      </c>
      <c r="C205" s="295" t="e">
        <f t="shared" ref="C205:AG205" si="119">SUM(C100:C102)</f>
        <v>#REF!</v>
      </c>
      <c r="D205" s="295" t="e">
        <f t="shared" si="119"/>
        <v>#REF!</v>
      </c>
      <c r="E205" s="295" t="e">
        <f t="shared" si="119"/>
        <v>#REF!</v>
      </c>
      <c r="F205" s="295" t="e">
        <f t="shared" si="119"/>
        <v>#REF!</v>
      </c>
      <c r="G205" s="295" t="e">
        <f t="shared" si="119"/>
        <v>#REF!</v>
      </c>
      <c r="H205" s="295" t="e">
        <f t="shared" si="119"/>
        <v>#REF!</v>
      </c>
      <c r="I205" s="295" t="e">
        <f t="shared" si="119"/>
        <v>#REF!</v>
      </c>
      <c r="J205" s="295" t="e">
        <f t="shared" si="119"/>
        <v>#REF!</v>
      </c>
      <c r="K205" s="295" t="e">
        <f t="shared" si="119"/>
        <v>#REF!</v>
      </c>
      <c r="L205" s="295" t="e">
        <f t="shared" si="119"/>
        <v>#REF!</v>
      </c>
      <c r="M205" s="295" t="e">
        <f t="shared" si="119"/>
        <v>#REF!</v>
      </c>
      <c r="N205" s="295" t="e">
        <f t="shared" si="119"/>
        <v>#REF!</v>
      </c>
      <c r="O205" s="295" t="e">
        <f t="shared" si="119"/>
        <v>#REF!</v>
      </c>
      <c r="P205" s="295" t="e">
        <f t="shared" si="119"/>
        <v>#REF!</v>
      </c>
      <c r="Q205" s="295" t="e">
        <f t="shared" si="119"/>
        <v>#REF!</v>
      </c>
      <c r="R205" s="295" t="e">
        <f t="shared" si="119"/>
        <v>#REF!</v>
      </c>
      <c r="S205" s="295" t="e">
        <f t="shared" si="119"/>
        <v>#REF!</v>
      </c>
      <c r="T205" s="295" t="e">
        <f t="shared" si="119"/>
        <v>#REF!</v>
      </c>
      <c r="U205" s="295" t="e">
        <f t="shared" si="119"/>
        <v>#REF!</v>
      </c>
      <c r="V205" s="295" t="e">
        <f t="shared" si="119"/>
        <v>#REF!</v>
      </c>
      <c r="W205" s="295" t="e">
        <f t="shared" si="119"/>
        <v>#REF!</v>
      </c>
      <c r="X205" s="295" t="e">
        <f t="shared" si="119"/>
        <v>#REF!</v>
      </c>
      <c r="Y205" s="295" t="e">
        <f t="shared" si="119"/>
        <v>#REF!</v>
      </c>
      <c r="Z205" s="295" t="e">
        <f t="shared" si="119"/>
        <v>#REF!</v>
      </c>
      <c r="AA205" s="295" t="e">
        <f t="shared" si="119"/>
        <v>#REF!</v>
      </c>
      <c r="AB205" s="295" t="e">
        <f t="shared" si="119"/>
        <v>#REF!</v>
      </c>
      <c r="AC205" s="295" t="e">
        <f t="shared" si="119"/>
        <v>#REF!</v>
      </c>
      <c r="AD205" s="295" t="e">
        <f t="shared" si="119"/>
        <v>#REF!</v>
      </c>
      <c r="AE205" s="295" t="e">
        <f t="shared" si="119"/>
        <v>#REF!</v>
      </c>
      <c r="AF205" s="295" t="e">
        <f t="shared" si="119"/>
        <v>#REF!</v>
      </c>
      <c r="AG205" s="295" t="e">
        <f t="shared" si="119"/>
        <v>#REF!</v>
      </c>
    </row>
    <row r="206" spans="1:33">
      <c r="A206" s="290" t="s">
        <v>179</v>
      </c>
      <c r="B206" s="290" t="s">
        <v>179</v>
      </c>
      <c r="C206" s="295" t="e">
        <f>SUM(C117:C119)</f>
        <v>#REF!</v>
      </c>
      <c r="D206" s="295" t="e">
        <f t="shared" ref="D206:AG206" si="120">SUM(D117:D119)</f>
        <v>#REF!</v>
      </c>
      <c r="E206" s="295" t="e">
        <f t="shared" si="120"/>
        <v>#REF!</v>
      </c>
      <c r="F206" s="295" t="e">
        <f t="shared" si="120"/>
        <v>#REF!</v>
      </c>
      <c r="G206" s="295" t="e">
        <f t="shared" si="120"/>
        <v>#REF!</v>
      </c>
      <c r="H206" s="295" t="e">
        <f t="shared" si="120"/>
        <v>#REF!</v>
      </c>
      <c r="I206" s="295" t="e">
        <f t="shared" si="120"/>
        <v>#REF!</v>
      </c>
      <c r="J206" s="295" t="e">
        <f t="shared" si="120"/>
        <v>#REF!</v>
      </c>
      <c r="K206" s="295" t="e">
        <f t="shared" si="120"/>
        <v>#REF!</v>
      </c>
      <c r="L206" s="295" t="e">
        <f t="shared" si="120"/>
        <v>#REF!</v>
      </c>
      <c r="M206" s="295" t="e">
        <f t="shared" si="120"/>
        <v>#REF!</v>
      </c>
      <c r="N206" s="295" t="e">
        <f t="shared" si="120"/>
        <v>#REF!</v>
      </c>
      <c r="O206" s="295" t="e">
        <f t="shared" si="120"/>
        <v>#REF!</v>
      </c>
      <c r="P206" s="295" t="e">
        <f t="shared" si="120"/>
        <v>#REF!</v>
      </c>
      <c r="Q206" s="295" t="e">
        <f t="shared" si="120"/>
        <v>#REF!</v>
      </c>
      <c r="R206" s="295" t="e">
        <f t="shared" si="120"/>
        <v>#REF!</v>
      </c>
      <c r="S206" s="295" t="e">
        <f t="shared" si="120"/>
        <v>#REF!</v>
      </c>
      <c r="T206" s="295" t="e">
        <f t="shared" si="120"/>
        <v>#REF!</v>
      </c>
      <c r="U206" s="295" t="e">
        <f t="shared" si="120"/>
        <v>#REF!</v>
      </c>
      <c r="V206" s="295" t="e">
        <f t="shared" si="120"/>
        <v>#REF!</v>
      </c>
      <c r="W206" s="295" t="e">
        <f t="shared" si="120"/>
        <v>#REF!</v>
      </c>
      <c r="X206" s="295" t="e">
        <f t="shared" si="120"/>
        <v>#REF!</v>
      </c>
      <c r="Y206" s="295" t="e">
        <f t="shared" si="120"/>
        <v>#REF!</v>
      </c>
      <c r="Z206" s="295" t="e">
        <f t="shared" si="120"/>
        <v>#REF!</v>
      </c>
      <c r="AA206" s="295" t="e">
        <f t="shared" si="120"/>
        <v>#REF!</v>
      </c>
      <c r="AB206" s="295" t="e">
        <f t="shared" si="120"/>
        <v>#REF!</v>
      </c>
      <c r="AC206" s="295" t="e">
        <f t="shared" si="120"/>
        <v>#REF!</v>
      </c>
      <c r="AD206" s="295" t="e">
        <f t="shared" si="120"/>
        <v>#REF!</v>
      </c>
      <c r="AE206" s="295" t="e">
        <f t="shared" si="120"/>
        <v>#REF!</v>
      </c>
      <c r="AF206" s="295" t="e">
        <f t="shared" si="120"/>
        <v>#REF!</v>
      </c>
      <c r="AG206" s="295" t="e">
        <f t="shared" si="120"/>
        <v>#REF!</v>
      </c>
    </row>
    <row r="207" spans="1:33">
      <c r="A207" s="173" t="s">
        <v>180</v>
      </c>
      <c r="B207" s="173" t="s">
        <v>180</v>
      </c>
      <c r="C207" s="295" t="e">
        <f t="shared" ref="C207:AG207" si="121">SUM(C134:C136)</f>
        <v>#REF!</v>
      </c>
      <c r="D207" s="295" t="e">
        <f t="shared" si="121"/>
        <v>#REF!</v>
      </c>
      <c r="E207" s="295" t="e">
        <f t="shared" si="121"/>
        <v>#REF!</v>
      </c>
      <c r="F207" s="295" t="e">
        <f t="shared" si="121"/>
        <v>#REF!</v>
      </c>
      <c r="G207" s="295" t="e">
        <f t="shared" si="121"/>
        <v>#REF!</v>
      </c>
      <c r="H207" s="295" t="e">
        <f t="shared" si="121"/>
        <v>#REF!</v>
      </c>
      <c r="I207" s="295" t="e">
        <f t="shared" si="121"/>
        <v>#REF!</v>
      </c>
      <c r="J207" s="295" t="e">
        <f t="shared" si="121"/>
        <v>#REF!</v>
      </c>
      <c r="K207" s="295" t="e">
        <f t="shared" si="121"/>
        <v>#REF!</v>
      </c>
      <c r="L207" s="295" t="e">
        <f t="shared" si="121"/>
        <v>#REF!</v>
      </c>
      <c r="M207" s="295" t="e">
        <f t="shared" si="121"/>
        <v>#REF!</v>
      </c>
      <c r="N207" s="295" t="e">
        <f t="shared" si="121"/>
        <v>#REF!</v>
      </c>
      <c r="O207" s="295" t="e">
        <f t="shared" si="121"/>
        <v>#REF!</v>
      </c>
      <c r="P207" s="295" t="e">
        <f t="shared" si="121"/>
        <v>#REF!</v>
      </c>
      <c r="Q207" s="295" t="e">
        <f t="shared" si="121"/>
        <v>#REF!</v>
      </c>
      <c r="R207" s="295" t="e">
        <f t="shared" si="121"/>
        <v>#REF!</v>
      </c>
      <c r="S207" s="295" t="e">
        <f t="shared" si="121"/>
        <v>#REF!</v>
      </c>
      <c r="T207" s="295" t="e">
        <f t="shared" si="121"/>
        <v>#REF!</v>
      </c>
      <c r="U207" s="295" t="e">
        <f t="shared" si="121"/>
        <v>#REF!</v>
      </c>
      <c r="V207" s="295" t="e">
        <f t="shared" si="121"/>
        <v>#REF!</v>
      </c>
      <c r="W207" s="295" t="e">
        <f t="shared" si="121"/>
        <v>#REF!</v>
      </c>
      <c r="X207" s="295" t="e">
        <f t="shared" si="121"/>
        <v>#REF!</v>
      </c>
      <c r="Y207" s="295" t="e">
        <f t="shared" si="121"/>
        <v>#REF!</v>
      </c>
      <c r="Z207" s="295" t="e">
        <f t="shared" si="121"/>
        <v>#REF!</v>
      </c>
      <c r="AA207" s="295" t="e">
        <f t="shared" si="121"/>
        <v>#REF!</v>
      </c>
      <c r="AB207" s="295" t="e">
        <f t="shared" si="121"/>
        <v>#REF!</v>
      </c>
      <c r="AC207" s="295" t="e">
        <f t="shared" si="121"/>
        <v>#REF!</v>
      </c>
      <c r="AD207" s="295" t="e">
        <f t="shared" si="121"/>
        <v>#REF!</v>
      </c>
      <c r="AE207" s="295" t="e">
        <f t="shared" si="121"/>
        <v>#REF!</v>
      </c>
      <c r="AF207" s="295" t="e">
        <f t="shared" si="121"/>
        <v>#REF!</v>
      </c>
      <c r="AG207" s="295" t="e">
        <f t="shared" si="121"/>
        <v>#REF!</v>
      </c>
    </row>
    <row r="208" spans="1:33">
      <c r="A208" s="173" t="str">
        <f>A138</f>
        <v>H2-ICE</v>
      </c>
      <c r="B208" s="173" t="str">
        <f t="shared" ref="B208:B210" si="122">A208</f>
        <v>H2-ICE</v>
      </c>
      <c r="C208" s="295" t="e">
        <f t="shared" ref="C208:AG208" si="123">SUM(C151:C153)</f>
        <v>#REF!</v>
      </c>
      <c r="D208" s="295" t="e">
        <f t="shared" si="123"/>
        <v>#REF!</v>
      </c>
      <c r="E208" s="295" t="e">
        <f t="shared" si="123"/>
        <v>#REF!</v>
      </c>
      <c r="F208" s="295" t="e">
        <f t="shared" si="123"/>
        <v>#REF!</v>
      </c>
      <c r="G208" s="295" t="e">
        <f t="shared" si="123"/>
        <v>#REF!</v>
      </c>
      <c r="H208" s="295" t="e">
        <f t="shared" si="123"/>
        <v>#REF!</v>
      </c>
      <c r="I208" s="295" t="e">
        <f t="shared" si="123"/>
        <v>#REF!</v>
      </c>
      <c r="J208" s="295" t="e">
        <f t="shared" si="123"/>
        <v>#REF!</v>
      </c>
      <c r="K208" s="295" t="e">
        <f t="shared" si="123"/>
        <v>#REF!</v>
      </c>
      <c r="L208" s="295" t="e">
        <f t="shared" si="123"/>
        <v>#REF!</v>
      </c>
      <c r="M208" s="295" t="e">
        <f t="shared" si="123"/>
        <v>#REF!</v>
      </c>
      <c r="N208" s="295" t="e">
        <f t="shared" si="123"/>
        <v>#REF!</v>
      </c>
      <c r="O208" s="295" t="e">
        <f t="shared" si="123"/>
        <v>#REF!</v>
      </c>
      <c r="P208" s="295" t="e">
        <f t="shared" si="123"/>
        <v>#REF!</v>
      </c>
      <c r="Q208" s="295" t="e">
        <f t="shared" si="123"/>
        <v>#REF!</v>
      </c>
      <c r="R208" s="295" t="e">
        <f t="shared" si="123"/>
        <v>#REF!</v>
      </c>
      <c r="S208" s="295" t="e">
        <f t="shared" si="123"/>
        <v>#REF!</v>
      </c>
      <c r="T208" s="295" t="e">
        <f t="shared" si="123"/>
        <v>#REF!</v>
      </c>
      <c r="U208" s="295" t="e">
        <f t="shared" si="123"/>
        <v>#REF!</v>
      </c>
      <c r="V208" s="295" t="e">
        <f t="shared" si="123"/>
        <v>#REF!</v>
      </c>
      <c r="W208" s="295" t="e">
        <f t="shared" si="123"/>
        <v>#REF!</v>
      </c>
      <c r="X208" s="295" t="e">
        <f t="shared" si="123"/>
        <v>#REF!</v>
      </c>
      <c r="Y208" s="295" t="e">
        <f t="shared" si="123"/>
        <v>#REF!</v>
      </c>
      <c r="Z208" s="295" t="e">
        <f t="shared" si="123"/>
        <v>#REF!</v>
      </c>
      <c r="AA208" s="295" t="e">
        <f t="shared" si="123"/>
        <v>#REF!</v>
      </c>
      <c r="AB208" s="295" t="e">
        <f t="shared" si="123"/>
        <v>#REF!</v>
      </c>
      <c r="AC208" s="295" t="e">
        <f t="shared" si="123"/>
        <v>#REF!</v>
      </c>
      <c r="AD208" s="295" t="e">
        <f t="shared" si="123"/>
        <v>#REF!</v>
      </c>
      <c r="AE208" s="295" t="e">
        <f t="shared" si="123"/>
        <v>#REF!</v>
      </c>
      <c r="AF208" s="295" t="e">
        <f t="shared" si="123"/>
        <v>#REF!</v>
      </c>
      <c r="AG208" s="295" t="e">
        <f t="shared" si="123"/>
        <v>#REF!</v>
      </c>
    </row>
    <row r="209" spans="1:33">
      <c r="A209" s="173" t="str">
        <f>A155</f>
        <v>BET</v>
      </c>
      <c r="B209" s="173" t="str">
        <f t="shared" si="122"/>
        <v>BET</v>
      </c>
      <c r="C209" s="295" t="e">
        <f t="shared" ref="C209:AG209" si="124">SUM(C178:C180)</f>
        <v>#REF!</v>
      </c>
      <c r="D209" s="295" t="e">
        <f t="shared" si="124"/>
        <v>#REF!</v>
      </c>
      <c r="E209" s="295" t="e">
        <f t="shared" si="124"/>
        <v>#REF!</v>
      </c>
      <c r="F209" s="295" t="e">
        <f t="shared" si="124"/>
        <v>#REF!</v>
      </c>
      <c r="G209" s="295" t="e">
        <f t="shared" si="124"/>
        <v>#REF!</v>
      </c>
      <c r="H209" s="295" t="e">
        <f t="shared" si="124"/>
        <v>#REF!</v>
      </c>
      <c r="I209" s="295" t="e">
        <f t="shared" si="124"/>
        <v>#REF!</v>
      </c>
      <c r="J209" s="295" t="e">
        <f t="shared" si="124"/>
        <v>#REF!</v>
      </c>
      <c r="K209" s="295" t="e">
        <f t="shared" si="124"/>
        <v>#REF!</v>
      </c>
      <c r="L209" s="295" t="e">
        <f t="shared" si="124"/>
        <v>#REF!</v>
      </c>
      <c r="M209" s="295" t="e">
        <f t="shared" si="124"/>
        <v>#REF!</v>
      </c>
      <c r="N209" s="295" t="e">
        <f t="shared" si="124"/>
        <v>#REF!</v>
      </c>
      <c r="O209" s="295" t="e">
        <f t="shared" si="124"/>
        <v>#REF!</v>
      </c>
      <c r="P209" s="295" t="e">
        <f t="shared" si="124"/>
        <v>#REF!</v>
      </c>
      <c r="Q209" s="295" t="e">
        <f t="shared" si="124"/>
        <v>#REF!</v>
      </c>
      <c r="R209" s="295" t="e">
        <f t="shared" si="124"/>
        <v>#REF!</v>
      </c>
      <c r="S209" s="295" t="e">
        <f t="shared" si="124"/>
        <v>#REF!</v>
      </c>
      <c r="T209" s="295" t="e">
        <f t="shared" si="124"/>
        <v>#REF!</v>
      </c>
      <c r="U209" s="295" t="e">
        <f t="shared" si="124"/>
        <v>#REF!</v>
      </c>
      <c r="V209" s="295" t="e">
        <f t="shared" si="124"/>
        <v>#REF!</v>
      </c>
      <c r="W209" s="295" t="e">
        <f t="shared" si="124"/>
        <v>#REF!</v>
      </c>
      <c r="X209" s="295" t="e">
        <f t="shared" si="124"/>
        <v>#REF!</v>
      </c>
      <c r="Y209" s="295" t="e">
        <f t="shared" si="124"/>
        <v>#REF!</v>
      </c>
      <c r="Z209" s="295" t="e">
        <f t="shared" si="124"/>
        <v>#REF!</v>
      </c>
      <c r="AA209" s="295" t="e">
        <f t="shared" si="124"/>
        <v>#REF!</v>
      </c>
      <c r="AB209" s="295" t="e">
        <f t="shared" si="124"/>
        <v>#REF!</v>
      </c>
      <c r="AC209" s="295" t="e">
        <f t="shared" si="124"/>
        <v>#REF!</v>
      </c>
      <c r="AD209" s="295" t="e">
        <f t="shared" si="124"/>
        <v>#REF!</v>
      </c>
      <c r="AE209" s="295" t="e">
        <f t="shared" si="124"/>
        <v>#REF!</v>
      </c>
      <c r="AF209" s="295" t="e">
        <f t="shared" si="124"/>
        <v>#REF!</v>
      </c>
      <c r="AG209" s="295" t="e">
        <f t="shared" si="124"/>
        <v>#REF!</v>
      </c>
    </row>
    <row r="210" spans="1:33">
      <c r="A210" s="173" t="str">
        <f>A182</f>
        <v>FCET</v>
      </c>
      <c r="B210" s="173" t="str">
        <f t="shared" si="122"/>
        <v>FCET</v>
      </c>
      <c r="C210" s="295" t="e">
        <f t="shared" ref="C210:AG210" si="125">SUM(C200:C202)</f>
        <v>#REF!</v>
      </c>
      <c r="D210" s="295" t="e">
        <f t="shared" si="125"/>
        <v>#REF!</v>
      </c>
      <c r="E210" s="295" t="e">
        <f t="shared" si="125"/>
        <v>#REF!</v>
      </c>
      <c r="F210" s="295" t="e">
        <f t="shared" si="125"/>
        <v>#REF!</v>
      </c>
      <c r="G210" s="295" t="e">
        <f t="shared" si="125"/>
        <v>#REF!</v>
      </c>
      <c r="H210" s="295" t="e">
        <f t="shared" si="125"/>
        <v>#REF!</v>
      </c>
      <c r="I210" s="295" t="e">
        <f t="shared" si="125"/>
        <v>#REF!</v>
      </c>
      <c r="J210" s="295" t="e">
        <f t="shared" si="125"/>
        <v>#REF!</v>
      </c>
      <c r="K210" s="295" t="e">
        <f t="shared" si="125"/>
        <v>#REF!</v>
      </c>
      <c r="L210" s="295" t="e">
        <f t="shared" si="125"/>
        <v>#REF!</v>
      </c>
      <c r="M210" s="295" t="e">
        <f t="shared" si="125"/>
        <v>#REF!</v>
      </c>
      <c r="N210" s="295" t="e">
        <f t="shared" si="125"/>
        <v>#REF!</v>
      </c>
      <c r="O210" s="295" t="e">
        <f t="shared" si="125"/>
        <v>#REF!</v>
      </c>
      <c r="P210" s="295" t="e">
        <f t="shared" si="125"/>
        <v>#REF!</v>
      </c>
      <c r="Q210" s="295" t="e">
        <f t="shared" si="125"/>
        <v>#REF!</v>
      </c>
      <c r="R210" s="295" t="e">
        <f t="shared" si="125"/>
        <v>#REF!</v>
      </c>
      <c r="S210" s="295" t="e">
        <f t="shared" si="125"/>
        <v>#REF!</v>
      </c>
      <c r="T210" s="295" t="e">
        <f t="shared" si="125"/>
        <v>#REF!</v>
      </c>
      <c r="U210" s="295" t="e">
        <f t="shared" si="125"/>
        <v>#REF!</v>
      </c>
      <c r="V210" s="295" t="e">
        <f t="shared" si="125"/>
        <v>#REF!</v>
      </c>
      <c r="W210" s="295" t="e">
        <f t="shared" si="125"/>
        <v>#REF!</v>
      </c>
      <c r="X210" s="295" t="e">
        <f t="shared" si="125"/>
        <v>#REF!</v>
      </c>
      <c r="Y210" s="295" t="e">
        <f t="shared" si="125"/>
        <v>#REF!</v>
      </c>
      <c r="Z210" s="295" t="e">
        <f t="shared" si="125"/>
        <v>#REF!</v>
      </c>
      <c r="AA210" s="295" t="e">
        <f t="shared" si="125"/>
        <v>#REF!</v>
      </c>
      <c r="AB210" s="295" t="e">
        <f t="shared" si="125"/>
        <v>#REF!</v>
      </c>
      <c r="AC210" s="295" t="e">
        <f t="shared" si="125"/>
        <v>#REF!</v>
      </c>
      <c r="AD210" s="295" t="e">
        <f t="shared" si="125"/>
        <v>#REF!</v>
      </c>
      <c r="AE210" s="295" t="e">
        <f t="shared" si="125"/>
        <v>#REF!</v>
      </c>
      <c r="AF210" s="295" t="e">
        <f t="shared" si="125"/>
        <v>#REF!</v>
      </c>
      <c r="AG210" s="295" t="e">
        <f t="shared" si="125"/>
        <v>#REF!</v>
      </c>
    </row>
    <row r="211" spans="1:33">
      <c r="A211" s="173" t="s">
        <v>334</v>
      </c>
      <c r="C211" s="295" t="e">
        <f t="shared" ref="C211:AG211" si="126">C205*0.9</f>
        <v>#REF!</v>
      </c>
      <c r="D211" s="295" t="e">
        <f t="shared" si="126"/>
        <v>#REF!</v>
      </c>
      <c r="E211" s="295" t="e">
        <f t="shared" si="126"/>
        <v>#REF!</v>
      </c>
      <c r="F211" s="295" t="e">
        <f t="shared" si="126"/>
        <v>#REF!</v>
      </c>
      <c r="G211" s="295" t="e">
        <f t="shared" si="126"/>
        <v>#REF!</v>
      </c>
      <c r="H211" s="295" t="e">
        <f t="shared" si="126"/>
        <v>#REF!</v>
      </c>
      <c r="I211" s="295" t="e">
        <f t="shared" si="126"/>
        <v>#REF!</v>
      </c>
      <c r="J211" s="295" t="e">
        <f t="shared" si="126"/>
        <v>#REF!</v>
      </c>
      <c r="K211" s="295" t="e">
        <f t="shared" si="126"/>
        <v>#REF!</v>
      </c>
      <c r="L211" s="295" t="e">
        <f t="shared" si="126"/>
        <v>#REF!</v>
      </c>
      <c r="M211" s="295" t="e">
        <f t="shared" si="126"/>
        <v>#REF!</v>
      </c>
      <c r="N211" s="295" t="e">
        <f t="shared" si="126"/>
        <v>#REF!</v>
      </c>
      <c r="O211" s="295" t="e">
        <f t="shared" si="126"/>
        <v>#REF!</v>
      </c>
      <c r="P211" s="295" t="e">
        <f t="shared" si="126"/>
        <v>#REF!</v>
      </c>
      <c r="Q211" s="295" t="e">
        <f t="shared" si="126"/>
        <v>#REF!</v>
      </c>
      <c r="R211" s="295" t="e">
        <f t="shared" si="126"/>
        <v>#REF!</v>
      </c>
      <c r="S211" s="295" t="e">
        <f t="shared" si="126"/>
        <v>#REF!</v>
      </c>
      <c r="T211" s="295" t="e">
        <f t="shared" si="126"/>
        <v>#REF!</v>
      </c>
      <c r="U211" s="295" t="e">
        <f t="shared" si="126"/>
        <v>#REF!</v>
      </c>
      <c r="V211" s="295" t="e">
        <f t="shared" si="126"/>
        <v>#REF!</v>
      </c>
      <c r="W211" s="295" t="e">
        <f t="shared" si="126"/>
        <v>#REF!</v>
      </c>
      <c r="X211" s="295" t="e">
        <f t="shared" si="126"/>
        <v>#REF!</v>
      </c>
      <c r="Y211" s="295" t="e">
        <f t="shared" si="126"/>
        <v>#REF!</v>
      </c>
      <c r="Z211" s="295" t="e">
        <f t="shared" si="126"/>
        <v>#REF!</v>
      </c>
      <c r="AA211" s="295" t="e">
        <f t="shared" si="126"/>
        <v>#REF!</v>
      </c>
      <c r="AB211" s="295" t="e">
        <f t="shared" si="126"/>
        <v>#REF!</v>
      </c>
      <c r="AC211" s="295" t="e">
        <f t="shared" si="126"/>
        <v>#REF!</v>
      </c>
      <c r="AD211" s="295" t="e">
        <f t="shared" si="126"/>
        <v>#REF!</v>
      </c>
      <c r="AE211" s="295" t="e">
        <f t="shared" si="126"/>
        <v>#REF!</v>
      </c>
      <c r="AF211" s="295" t="e">
        <f t="shared" si="126"/>
        <v>#REF!</v>
      </c>
      <c r="AG211" s="295" t="e">
        <f t="shared" si="126"/>
        <v>#REF!</v>
      </c>
    </row>
    <row r="212" spans="1:33">
      <c r="C212" s="173"/>
    </row>
    <row r="213" spans="1:33">
      <c r="A213" s="235" t="s">
        <v>431</v>
      </c>
      <c r="B213" s="235"/>
      <c r="C213" s="235">
        <v>2025</v>
      </c>
      <c r="D213" s="235">
        <f t="shared" ref="D213:AG213" si="127">C213+1</f>
        <v>2026</v>
      </c>
      <c r="E213" s="235">
        <f t="shared" si="127"/>
        <v>2027</v>
      </c>
      <c r="F213" s="235">
        <f t="shared" si="127"/>
        <v>2028</v>
      </c>
      <c r="G213" s="235">
        <f t="shared" si="127"/>
        <v>2029</v>
      </c>
      <c r="H213" s="235">
        <f t="shared" si="127"/>
        <v>2030</v>
      </c>
      <c r="I213" s="235">
        <f t="shared" si="127"/>
        <v>2031</v>
      </c>
      <c r="J213" s="235">
        <f t="shared" si="127"/>
        <v>2032</v>
      </c>
      <c r="K213" s="235">
        <f t="shared" si="127"/>
        <v>2033</v>
      </c>
      <c r="L213" s="235">
        <f t="shared" si="127"/>
        <v>2034</v>
      </c>
      <c r="M213" s="235">
        <f t="shared" si="127"/>
        <v>2035</v>
      </c>
      <c r="N213" s="235">
        <f t="shared" si="127"/>
        <v>2036</v>
      </c>
      <c r="O213" s="235">
        <f t="shared" si="127"/>
        <v>2037</v>
      </c>
      <c r="P213" s="235">
        <f t="shared" si="127"/>
        <v>2038</v>
      </c>
      <c r="Q213" s="235">
        <f t="shared" si="127"/>
        <v>2039</v>
      </c>
      <c r="R213" s="235">
        <f t="shared" si="127"/>
        <v>2040</v>
      </c>
      <c r="S213" s="235">
        <f t="shared" si="127"/>
        <v>2041</v>
      </c>
      <c r="T213" s="235">
        <f t="shared" si="127"/>
        <v>2042</v>
      </c>
      <c r="U213" s="235">
        <f t="shared" si="127"/>
        <v>2043</v>
      </c>
      <c r="V213" s="235">
        <f t="shared" si="127"/>
        <v>2044</v>
      </c>
      <c r="W213" s="235">
        <f t="shared" si="127"/>
        <v>2045</v>
      </c>
      <c r="X213" s="235">
        <f t="shared" si="127"/>
        <v>2046</v>
      </c>
      <c r="Y213" s="235">
        <f t="shared" si="127"/>
        <v>2047</v>
      </c>
      <c r="Z213" s="235">
        <f t="shared" si="127"/>
        <v>2048</v>
      </c>
      <c r="AA213" s="235">
        <f t="shared" si="127"/>
        <v>2049</v>
      </c>
      <c r="AB213" s="235">
        <f t="shared" si="127"/>
        <v>2050</v>
      </c>
      <c r="AC213" s="235">
        <f t="shared" si="127"/>
        <v>2051</v>
      </c>
      <c r="AD213" s="235">
        <f t="shared" si="127"/>
        <v>2052</v>
      </c>
      <c r="AE213" s="235">
        <f t="shared" si="127"/>
        <v>2053</v>
      </c>
      <c r="AF213" s="235">
        <f t="shared" si="127"/>
        <v>2054</v>
      </c>
      <c r="AG213" s="235">
        <f t="shared" si="127"/>
        <v>2055</v>
      </c>
    </row>
    <row r="214" spans="1:33">
      <c r="A214" s="173" t="str">
        <f>A205</f>
        <v xml:space="preserve">Diesel   </v>
      </c>
      <c r="B214" s="173" t="str">
        <f>A214</f>
        <v xml:space="preserve">Diesel   </v>
      </c>
      <c r="C214" s="179" t="e">
        <f t="shared" ref="C214:AG214" si="128">C205/($C$24*$C$30)</f>
        <v>#REF!</v>
      </c>
      <c r="D214" s="179" t="e">
        <f t="shared" si="128"/>
        <v>#REF!</v>
      </c>
      <c r="E214" s="179" t="e">
        <f t="shared" si="128"/>
        <v>#REF!</v>
      </c>
      <c r="F214" s="179" t="e">
        <f t="shared" si="128"/>
        <v>#REF!</v>
      </c>
      <c r="G214" s="179" t="e">
        <f t="shared" si="128"/>
        <v>#REF!</v>
      </c>
      <c r="H214" s="179" t="e">
        <f t="shared" si="128"/>
        <v>#REF!</v>
      </c>
      <c r="I214" s="179" t="e">
        <f t="shared" si="128"/>
        <v>#REF!</v>
      </c>
      <c r="J214" s="179" t="e">
        <f t="shared" si="128"/>
        <v>#REF!</v>
      </c>
      <c r="K214" s="179" t="e">
        <f t="shared" si="128"/>
        <v>#REF!</v>
      </c>
      <c r="L214" s="179" t="e">
        <f t="shared" si="128"/>
        <v>#REF!</v>
      </c>
      <c r="M214" s="179" t="e">
        <f t="shared" si="128"/>
        <v>#REF!</v>
      </c>
      <c r="N214" s="179" t="e">
        <f t="shared" si="128"/>
        <v>#REF!</v>
      </c>
      <c r="O214" s="179" t="e">
        <f t="shared" si="128"/>
        <v>#REF!</v>
      </c>
      <c r="P214" s="179" t="e">
        <f t="shared" si="128"/>
        <v>#REF!</v>
      </c>
      <c r="Q214" s="179" t="e">
        <f t="shared" si="128"/>
        <v>#REF!</v>
      </c>
      <c r="R214" s="179" t="e">
        <f t="shared" si="128"/>
        <v>#REF!</v>
      </c>
      <c r="S214" s="179" t="e">
        <f t="shared" si="128"/>
        <v>#REF!</v>
      </c>
      <c r="T214" s="179" t="e">
        <f t="shared" si="128"/>
        <v>#REF!</v>
      </c>
      <c r="U214" s="179" t="e">
        <f t="shared" si="128"/>
        <v>#REF!</v>
      </c>
      <c r="V214" s="179" t="e">
        <f t="shared" si="128"/>
        <v>#REF!</v>
      </c>
      <c r="W214" s="179" t="e">
        <f t="shared" si="128"/>
        <v>#REF!</v>
      </c>
      <c r="X214" s="179" t="e">
        <f t="shared" si="128"/>
        <v>#REF!</v>
      </c>
      <c r="Y214" s="179" t="e">
        <f t="shared" si="128"/>
        <v>#REF!</v>
      </c>
      <c r="Z214" s="179" t="e">
        <f t="shared" si="128"/>
        <v>#REF!</v>
      </c>
      <c r="AA214" s="179" t="e">
        <f t="shared" si="128"/>
        <v>#REF!</v>
      </c>
      <c r="AB214" s="179" t="e">
        <f t="shared" si="128"/>
        <v>#REF!</v>
      </c>
      <c r="AC214" s="179" t="e">
        <f t="shared" si="128"/>
        <v>#REF!</v>
      </c>
      <c r="AD214" s="179" t="e">
        <f t="shared" si="128"/>
        <v>#REF!</v>
      </c>
      <c r="AE214" s="179" t="e">
        <f t="shared" si="128"/>
        <v>#REF!</v>
      </c>
      <c r="AF214" s="179" t="e">
        <f t="shared" si="128"/>
        <v>#REF!</v>
      </c>
      <c r="AG214" s="179" t="e">
        <f t="shared" si="128"/>
        <v>#REF!</v>
      </c>
    </row>
    <row r="215" spans="1:33">
      <c r="A215" s="173" t="str">
        <f>A208</f>
        <v>H2-ICE</v>
      </c>
      <c r="B215" s="173" t="str">
        <f t="shared" ref="B215:B217" si="129">A215</f>
        <v>H2-ICE</v>
      </c>
      <c r="C215" s="179" t="e">
        <f t="shared" ref="C215:AG215" si="130">C208/($C$26*$C$30)</f>
        <v>#REF!</v>
      </c>
      <c r="D215" s="179" t="e">
        <f t="shared" si="130"/>
        <v>#REF!</v>
      </c>
      <c r="E215" s="179" t="e">
        <f t="shared" si="130"/>
        <v>#REF!</v>
      </c>
      <c r="F215" s="179" t="e">
        <f t="shared" si="130"/>
        <v>#REF!</v>
      </c>
      <c r="G215" s="179" t="e">
        <f t="shared" si="130"/>
        <v>#REF!</v>
      </c>
      <c r="H215" s="179" t="e">
        <f t="shared" si="130"/>
        <v>#REF!</v>
      </c>
      <c r="I215" s="179" t="e">
        <f t="shared" si="130"/>
        <v>#REF!</v>
      </c>
      <c r="J215" s="179" t="e">
        <f t="shared" si="130"/>
        <v>#REF!</v>
      </c>
      <c r="K215" s="179" t="e">
        <f t="shared" si="130"/>
        <v>#REF!</v>
      </c>
      <c r="L215" s="179" t="e">
        <f t="shared" si="130"/>
        <v>#REF!</v>
      </c>
      <c r="M215" s="179" t="e">
        <f t="shared" si="130"/>
        <v>#REF!</v>
      </c>
      <c r="N215" s="179" t="e">
        <f t="shared" si="130"/>
        <v>#REF!</v>
      </c>
      <c r="O215" s="179" t="e">
        <f t="shared" si="130"/>
        <v>#REF!</v>
      </c>
      <c r="P215" s="179" t="e">
        <f t="shared" si="130"/>
        <v>#REF!</v>
      </c>
      <c r="Q215" s="179" t="e">
        <f t="shared" si="130"/>
        <v>#REF!</v>
      </c>
      <c r="R215" s="179" t="e">
        <f t="shared" si="130"/>
        <v>#REF!</v>
      </c>
      <c r="S215" s="179" t="e">
        <f t="shared" si="130"/>
        <v>#REF!</v>
      </c>
      <c r="T215" s="179" t="e">
        <f t="shared" si="130"/>
        <v>#REF!</v>
      </c>
      <c r="U215" s="179" t="e">
        <f t="shared" si="130"/>
        <v>#REF!</v>
      </c>
      <c r="V215" s="179" t="e">
        <f t="shared" si="130"/>
        <v>#REF!</v>
      </c>
      <c r="W215" s="179" t="e">
        <f t="shared" si="130"/>
        <v>#REF!</v>
      </c>
      <c r="X215" s="179" t="e">
        <f t="shared" si="130"/>
        <v>#REF!</v>
      </c>
      <c r="Y215" s="179" t="e">
        <f t="shared" si="130"/>
        <v>#REF!</v>
      </c>
      <c r="Z215" s="179" t="e">
        <f t="shared" si="130"/>
        <v>#REF!</v>
      </c>
      <c r="AA215" s="179" t="e">
        <f t="shared" si="130"/>
        <v>#REF!</v>
      </c>
      <c r="AB215" s="179" t="e">
        <f t="shared" si="130"/>
        <v>#REF!</v>
      </c>
      <c r="AC215" s="179" t="e">
        <f t="shared" si="130"/>
        <v>#REF!</v>
      </c>
      <c r="AD215" s="179" t="e">
        <f t="shared" si="130"/>
        <v>#REF!</v>
      </c>
      <c r="AE215" s="179" t="e">
        <f t="shared" si="130"/>
        <v>#REF!</v>
      </c>
      <c r="AF215" s="179" t="e">
        <f t="shared" si="130"/>
        <v>#REF!</v>
      </c>
      <c r="AG215" s="179" t="e">
        <f t="shared" si="130"/>
        <v>#REF!</v>
      </c>
    </row>
    <row r="216" spans="1:33">
      <c r="A216" s="173" t="str">
        <f>A209</f>
        <v>BET</v>
      </c>
      <c r="B216" s="173" t="str">
        <f t="shared" si="129"/>
        <v>BET</v>
      </c>
      <c r="C216" s="179" t="e">
        <f t="shared" ref="C216:AG216" si="131">C209/($C$23*$C$30)</f>
        <v>#REF!</v>
      </c>
      <c r="D216" s="179" t="e">
        <f t="shared" si="131"/>
        <v>#REF!</v>
      </c>
      <c r="E216" s="179" t="e">
        <f t="shared" si="131"/>
        <v>#REF!</v>
      </c>
      <c r="F216" s="179" t="e">
        <f t="shared" si="131"/>
        <v>#REF!</v>
      </c>
      <c r="G216" s="179" t="e">
        <f t="shared" si="131"/>
        <v>#REF!</v>
      </c>
      <c r="H216" s="179" t="e">
        <f t="shared" si="131"/>
        <v>#REF!</v>
      </c>
      <c r="I216" s="179" t="e">
        <f t="shared" si="131"/>
        <v>#REF!</v>
      </c>
      <c r="J216" s="179" t="e">
        <f t="shared" si="131"/>
        <v>#REF!</v>
      </c>
      <c r="K216" s="179" t="e">
        <f t="shared" si="131"/>
        <v>#REF!</v>
      </c>
      <c r="L216" s="179" t="e">
        <f t="shared" si="131"/>
        <v>#REF!</v>
      </c>
      <c r="M216" s="179" t="e">
        <f t="shared" si="131"/>
        <v>#REF!</v>
      </c>
      <c r="N216" s="179" t="e">
        <f t="shared" si="131"/>
        <v>#REF!</v>
      </c>
      <c r="O216" s="179" t="e">
        <f t="shared" si="131"/>
        <v>#REF!</v>
      </c>
      <c r="P216" s="179" t="e">
        <f t="shared" si="131"/>
        <v>#REF!</v>
      </c>
      <c r="Q216" s="179" t="e">
        <f t="shared" si="131"/>
        <v>#REF!</v>
      </c>
      <c r="R216" s="179" t="e">
        <f t="shared" si="131"/>
        <v>#REF!</v>
      </c>
      <c r="S216" s="179" t="e">
        <f t="shared" si="131"/>
        <v>#REF!</v>
      </c>
      <c r="T216" s="179" t="e">
        <f t="shared" si="131"/>
        <v>#REF!</v>
      </c>
      <c r="U216" s="179" t="e">
        <f t="shared" si="131"/>
        <v>#REF!</v>
      </c>
      <c r="V216" s="179" t="e">
        <f t="shared" si="131"/>
        <v>#REF!</v>
      </c>
      <c r="W216" s="179" t="e">
        <f t="shared" si="131"/>
        <v>#REF!</v>
      </c>
      <c r="X216" s="179" t="e">
        <f t="shared" si="131"/>
        <v>#REF!</v>
      </c>
      <c r="Y216" s="179" t="e">
        <f t="shared" si="131"/>
        <v>#REF!</v>
      </c>
      <c r="Z216" s="179" t="e">
        <f t="shared" si="131"/>
        <v>#REF!</v>
      </c>
      <c r="AA216" s="179" t="e">
        <f t="shared" si="131"/>
        <v>#REF!</v>
      </c>
      <c r="AB216" s="179" t="e">
        <f t="shared" si="131"/>
        <v>#REF!</v>
      </c>
      <c r="AC216" s="179" t="e">
        <f t="shared" si="131"/>
        <v>#REF!</v>
      </c>
      <c r="AD216" s="179" t="e">
        <f t="shared" si="131"/>
        <v>#REF!</v>
      </c>
      <c r="AE216" s="179" t="e">
        <f t="shared" si="131"/>
        <v>#REF!</v>
      </c>
      <c r="AF216" s="179" t="e">
        <f t="shared" si="131"/>
        <v>#REF!</v>
      </c>
      <c r="AG216" s="179" t="e">
        <f t="shared" si="131"/>
        <v>#REF!</v>
      </c>
    </row>
    <row r="217" spans="1:33">
      <c r="A217" s="173" t="str">
        <f>A210</f>
        <v>FCET</v>
      </c>
      <c r="B217" s="173" t="str">
        <f t="shared" si="129"/>
        <v>FCET</v>
      </c>
      <c r="C217" s="179" t="e">
        <f t="shared" ref="C217:AG217" si="132">C210/($C$25*$C$30)</f>
        <v>#REF!</v>
      </c>
      <c r="D217" s="179" t="e">
        <f t="shared" si="132"/>
        <v>#REF!</v>
      </c>
      <c r="E217" s="179" t="e">
        <f t="shared" si="132"/>
        <v>#REF!</v>
      </c>
      <c r="F217" s="179" t="e">
        <f t="shared" si="132"/>
        <v>#REF!</v>
      </c>
      <c r="G217" s="179" t="e">
        <f t="shared" si="132"/>
        <v>#REF!</v>
      </c>
      <c r="H217" s="179" t="e">
        <f t="shared" si="132"/>
        <v>#REF!</v>
      </c>
      <c r="I217" s="179" t="e">
        <f t="shared" si="132"/>
        <v>#REF!</v>
      </c>
      <c r="J217" s="179" t="e">
        <f t="shared" si="132"/>
        <v>#REF!</v>
      </c>
      <c r="K217" s="179" t="e">
        <f t="shared" si="132"/>
        <v>#REF!</v>
      </c>
      <c r="L217" s="179" t="e">
        <f t="shared" si="132"/>
        <v>#REF!</v>
      </c>
      <c r="M217" s="179" t="e">
        <f t="shared" si="132"/>
        <v>#REF!</v>
      </c>
      <c r="N217" s="179" t="e">
        <f t="shared" si="132"/>
        <v>#REF!</v>
      </c>
      <c r="O217" s="179" t="e">
        <f t="shared" si="132"/>
        <v>#REF!</v>
      </c>
      <c r="P217" s="179" t="e">
        <f t="shared" si="132"/>
        <v>#REF!</v>
      </c>
      <c r="Q217" s="179" t="e">
        <f t="shared" si="132"/>
        <v>#REF!</v>
      </c>
      <c r="R217" s="179" t="e">
        <f t="shared" si="132"/>
        <v>#REF!</v>
      </c>
      <c r="S217" s="179" t="e">
        <f t="shared" si="132"/>
        <v>#REF!</v>
      </c>
      <c r="T217" s="179" t="e">
        <f t="shared" si="132"/>
        <v>#REF!</v>
      </c>
      <c r="U217" s="179" t="e">
        <f t="shared" si="132"/>
        <v>#REF!</v>
      </c>
      <c r="V217" s="179" t="e">
        <f t="shared" si="132"/>
        <v>#REF!</v>
      </c>
      <c r="W217" s="179" t="e">
        <f t="shared" si="132"/>
        <v>#REF!</v>
      </c>
      <c r="X217" s="179" t="e">
        <f t="shared" si="132"/>
        <v>#REF!</v>
      </c>
      <c r="Y217" s="179" t="e">
        <f t="shared" si="132"/>
        <v>#REF!</v>
      </c>
      <c r="Z217" s="179" t="e">
        <f t="shared" si="132"/>
        <v>#REF!</v>
      </c>
      <c r="AA217" s="179" t="e">
        <f t="shared" si="132"/>
        <v>#REF!</v>
      </c>
      <c r="AB217" s="179" t="e">
        <f t="shared" si="132"/>
        <v>#REF!</v>
      </c>
      <c r="AC217" s="179" t="e">
        <f t="shared" si="132"/>
        <v>#REF!</v>
      </c>
      <c r="AD217" s="179" t="e">
        <f t="shared" si="132"/>
        <v>#REF!</v>
      </c>
      <c r="AE217" s="179" t="e">
        <f t="shared" si="132"/>
        <v>#REF!</v>
      </c>
      <c r="AF217" s="179" t="e">
        <f t="shared" si="132"/>
        <v>#REF!</v>
      </c>
      <c r="AG217" s="179" t="e">
        <f t="shared" si="132"/>
        <v>#REF!</v>
      </c>
    </row>
    <row r="218" spans="1:33">
      <c r="A218" s="173" t="s">
        <v>334</v>
      </c>
      <c r="C218" s="179" t="e">
        <f t="shared" ref="C218:AG218" si="133">C214*0.9</f>
        <v>#REF!</v>
      </c>
      <c r="D218" s="179" t="e">
        <f t="shared" si="133"/>
        <v>#REF!</v>
      </c>
      <c r="E218" s="179" t="e">
        <f t="shared" si="133"/>
        <v>#REF!</v>
      </c>
      <c r="F218" s="179" t="e">
        <f t="shared" si="133"/>
        <v>#REF!</v>
      </c>
      <c r="G218" s="179" t="e">
        <f t="shared" si="133"/>
        <v>#REF!</v>
      </c>
      <c r="H218" s="179" t="e">
        <f t="shared" si="133"/>
        <v>#REF!</v>
      </c>
      <c r="I218" s="179" t="e">
        <f t="shared" si="133"/>
        <v>#REF!</v>
      </c>
      <c r="J218" s="179" t="e">
        <f t="shared" si="133"/>
        <v>#REF!</v>
      </c>
      <c r="K218" s="179" t="e">
        <f t="shared" si="133"/>
        <v>#REF!</v>
      </c>
      <c r="L218" s="179" t="e">
        <f t="shared" si="133"/>
        <v>#REF!</v>
      </c>
      <c r="M218" s="179" t="e">
        <f t="shared" si="133"/>
        <v>#REF!</v>
      </c>
      <c r="N218" s="179" t="e">
        <f t="shared" si="133"/>
        <v>#REF!</v>
      </c>
      <c r="O218" s="179" t="e">
        <f t="shared" si="133"/>
        <v>#REF!</v>
      </c>
      <c r="P218" s="179" t="e">
        <f t="shared" si="133"/>
        <v>#REF!</v>
      </c>
      <c r="Q218" s="179" t="e">
        <f t="shared" si="133"/>
        <v>#REF!</v>
      </c>
      <c r="R218" s="179" t="e">
        <f t="shared" si="133"/>
        <v>#REF!</v>
      </c>
      <c r="S218" s="179" t="e">
        <f t="shared" si="133"/>
        <v>#REF!</v>
      </c>
      <c r="T218" s="179" t="e">
        <f t="shared" si="133"/>
        <v>#REF!</v>
      </c>
      <c r="U218" s="179" t="e">
        <f t="shared" si="133"/>
        <v>#REF!</v>
      </c>
      <c r="V218" s="179" t="e">
        <f t="shared" si="133"/>
        <v>#REF!</v>
      </c>
      <c r="W218" s="179" t="e">
        <f t="shared" si="133"/>
        <v>#REF!</v>
      </c>
      <c r="X218" s="179" t="e">
        <f t="shared" si="133"/>
        <v>#REF!</v>
      </c>
      <c r="Y218" s="179" t="e">
        <f t="shared" si="133"/>
        <v>#REF!</v>
      </c>
      <c r="Z218" s="179" t="e">
        <f t="shared" si="133"/>
        <v>#REF!</v>
      </c>
      <c r="AA218" s="179" t="e">
        <f t="shared" si="133"/>
        <v>#REF!</v>
      </c>
      <c r="AB218" s="179" t="e">
        <f t="shared" si="133"/>
        <v>#REF!</v>
      </c>
      <c r="AC218" s="179" t="e">
        <f t="shared" si="133"/>
        <v>#REF!</v>
      </c>
      <c r="AD218" s="179" t="e">
        <f t="shared" si="133"/>
        <v>#REF!</v>
      </c>
      <c r="AE218" s="179" t="e">
        <f t="shared" si="133"/>
        <v>#REF!</v>
      </c>
      <c r="AF218" s="179" t="e">
        <f t="shared" si="133"/>
        <v>#REF!</v>
      </c>
      <c r="AG218" s="179" t="e">
        <f t="shared" si="133"/>
        <v>#REF!</v>
      </c>
    </row>
    <row r="219" spans="1:33"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</row>
    <row r="220" spans="1:33">
      <c r="A220" s="235" t="s">
        <v>337</v>
      </c>
      <c r="B220" s="235"/>
      <c r="C220" s="235">
        <v>2025</v>
      </c>
      <c r="D220" s="235">
        <f t="shared" ref="D220:AG220" si="134">C220+1</f>
        <v>2026</v>
      </c>
      <c r="E220" s="235">
        <f t="shared" si="134"/>
        <v>2027</v>
      </c>
      <c r="F220" s="235">
        <f t="shared" si="134"/>
        <v>2028</v>
      </c>
      <c r="G220" s="235">
        <f t="shared" si="134"/>
        <v>2029</v>
      </c>
      <c r="H220" s="235">
        <f t="shared" si="134"/>
        <v>2030</v>
      </c>
      <c r="I220" s="235">
        <f t="shared" si="134"/>
        <v>2031</v>
      </c>
      <c r="J220" s="235">
        <f t="shared" si="134"/>
        <v>2032</v>
      </c>
      <c r="K220" s="235">
        <f t="shared" si="134"/>
        <v>2033</v>
      </c>
      <c r="L220" s="235">
        <f t="shared" si="134"/>
        <v>2034</v>
      </c>
      <c r="M220" s="235">
        <f t="shared" si="134"/>
        <v>2035</v>
      </c>
      <c r="N220" s="235">
        <f t="shared" si="134"/>
        <v>2036</v>
      </c>
      <c r="O220" s="235">
        <f t="shared" si="134"/>
        <v>2037</v>
      </c>
      <c r="P220" s="235">
        <f t="shared" si="134"/>
        <v>2038</v>
      </c>
      <c r="Q220" s="235">
        <f t="shared" si="134"/>
        <v>2039</v>
      </c>
      <c r="R220" s="235">
        <f t="shared" si="134"/>
        <v>2040</v>
      </c>
      <c r="S220" s="235">
        <f t="shared" si="134"/>
        <v>2041</v>
      </c>
      <c r="T220" s="235">
        <f t="shared" si="134"/>
        <v>2042</v>
      </c>
      <c r="U220" s="235">
        <f t="shared" si="134"/>
        <v>2043</v>
      </c>
      <c r="V220" s="235">
        <f t="shared" si="134"/>
        <v>2044</v>
      </c>
      <c r="W220" s="235">
        <f t="shared" si="134"/>
        <v>2045</v>
      </c>
      <c r="X220" s="235">
        <f t="shared" si="134"/>
        <v>2046</v>
      </c>
      <c r="Y220" s="235">
        <f t="shared" si="134"/>
        <v>2047</v>
      </c>
      <c r="Z220" s="235">
        <f t="shared" si="134"/>
        <v>2048</v>
      </c>
      <c r="AA220" s="235">
        <f t="shared" si="134"/>
        <v>2049</v>
      </c>
      <c r="AB220" s="235">
        <f t="shared" si="134"/>
        <v>2050</v>
      </c>
      <c r="AC220" s="235">
        <f t="shared" si="134"/>
        <v>2051</v>
      </c>
      <c r="AD220" s="235">
        <f t="shared" si="134"/>
        <v>2052</v>
      </c>
      <c r="AE220" s="235">
        <f t="shared" si="134"/>
        <v>2053</v>
      </c>
      <c r="AF220" s="235">
        <f t="shared" si="134"/>
        <v>2054</v>
      </c>
      <c r="AG220" s="235">
        <f t="shared" si="134"/>
        <v>2055</v>
      </c>
    </row>
    <row r="221" spans="1:33">
      <c r="A221" s="173" t="str">
        <f>A205</f>
        <v xml:space="preserve">Diesel   </v>
      </c>
      <c r="C221" s="280" t="e">
        <f t="shared" ref="C221:AG221" si="135">C205/C209</f>
        <v>#REF!</v>
      </c>
      <c r="D221" s="280" t="e">
        <f t="shared" si="135"/>
        <v>#REF!</v>
      </c>
      <c r="E221" s="280" t="e">
        <f t="shared" si="135"/>
        <v>#REF!</v>
      </c>
      <c r="F221" s="280" t="e">
        <f t="shared" si="135"/>
        <v>#REF!</v>
      </c>
      <c r="G221" s="280" t="e">
        <f t="shared" si="135"/>
        <v>#REF!</v>
      </c>
      <c r="H221" s="280" t="e">
        <f t="shared" si="135"/>
        <v>#REF!</v>
      </c>
      <c r="I221" s="280" t="e">
        <f t="shared" si="135"/>
        <v>#REF!</v>
      </c>
      <c r="J221" s="280" t="e">
        <f t="shared" si="135"/>
        <v>#REF!</v>
      </c>
      <c r="K221" s="280" t="e">
        <f t="shared" si="135"/>
        <v>#REF!</v>
      </c>
      <c r="L221" s="280" t="e">
        <f t="shared" si="135"/>
        <v>#REF!</v>
      </c>
      <c r="M221" s="280" t="e">
        <f t="shared" si="135"/>
        <v>#REF!</v>
      </c>
      <c r="N221" s="280" t="e">
        <f t="shared" si="135"/>
        <v>#REF!</v>
      </c>
      <c r="O221" s="280" t="e">
        <f t="shared" si="135"/>
        <v>#REF!</v>
      </c>
      <c r="P221" s="280" t="e">
        <f t="shared" si="135"/>
        <v>#REF!</v>
      </c>
      <c r="Q221" s="280" t="e">
        <f t="shared" si="135"/>
        <v>#REF!</v>
      </c>
      <c r="R221" s="280" t="e">
        <f t="shared" si="135"/>
        <v>#REF!</v>
      </c>
      <c r="S221" s="280" t="e">
        <f t="shared" si="135"/>
        <v>#REF!</v>
      </c>
      <c r="T221" s="280" t="e">
        <f t="shared" si="135"/>
        <v>#REF!</v>
      </c>
      <c r="U221" s="280" t="e">
        <f t="shared" si="135"/>
        <v>#REF!</v>
      </c>
      <c r="V221" s="280" t="e">
        <f t="shared" si="135"/>
        <v>#REF!</v>
      </c>
      <c r="W221" s="280" t="e">
        <f t="shared" si="135"/>
        <v>#REF!</v>
      </c>
      <c r="X221" s="280" t="e">
        <f t="shared" si="135"/>
        <v>#REF!</v>
      </c>
      <c r="Y221" s="280" t="e">
        <f t="shared" si="135"/>
        <v>#REF!</v>
      </c>
      <c r="Z221" s="280" t="e">
        <f t="shared" si="135"/>
        <v>#REF!</v>
      </c>
      <c r="AA221" s="280" t="e">
        <f t="shared" si="135"/>
        <v>#REF!</v>
      </c>
      <c r="AB221" s="280" t="e">
        <f t="shared" si="135"/>
        <v>#REF!</v>
      </c>
      <c r="AC221" s="280" t="e">
        <f t="shared" si="135"/>
        <v>#REF!</v>
      </c>
      <c r="AD221" s="280" t="e">
        <f t="shared" si="135"/>
        <v>#REF!</v>
      </c>
      <c r="AE221" s="280" t="e">
        <f t="shared" si="135"/>
        <v>#REF!</v>
      </c>
      <c r="AF221" s="280" t="e">
        <f t="shared" si="135"/>
        <v>#REF!</v>
      </c>
      <c r="AG221" s="280" t="e">
        <f t="shared" si="135"/>
        <v>#REF!</v>
      </c>
    </row>
    <row r="222" spans="1:33">
      <c r="A222" s="173" t="str">
        <f>A208</f>
        <v>H2-ICE</v>
      </c>
      <c r="C222" s="280" t="e">
        <f t="shared" ref="C222:AG222" si="136">C208/C209</f>
        <v>#REF!</v>
      </c>
      <c r="D222" s="280" t="e">
        <f t="shared" si="136"/>
        <v>#REF!</v>
      </c>
      <c r="E222" s="280" t="e">
        <f t="shared" si="136"/>
        <v>#REF!</v>
      </c>
      <c r="F222" s="280" t="e">
        <f t="shared" si="136"/>
        <v>#REF!</v>
      </c>
      <c r="G222" s="280" t="e">
        <f t="shared" si="136"/>
        <v>#REF!</v>
      </c>
      <c r="H222" s="280" t="e">
        <f t="shared" si="136"/>
        <v>#REF!</v>
      </c>
      <c r="I222" s="280" t="e">
        <f t="shared" si="136"/>
        <v>#REF!</v>
      </c>
      <c r="J222" s="280" t="e">
        <f t="shared" si="136"/>
        <v>#REF!</v>
      </c>
      <c r="K222" s="280" t="e">
        <f t="shared" si="136"/>
        <v>#REF!</v>
      </c>
      <c r="L222" s="280" t="e">
        <f t="shared" si="136"/>
        <v>#REF!</v>
      </c>
      <c r="M222" s="280" t="e">
        <f t="shared" si="136"/>
        <v>#REF!</v>
      </c>
      <c r="N222" s="280" t="e">
        <f t="shared" si="136"/>
        <v>#REF!</v>
      </c>
      <c r="O222" s="280" t="e">
        <f t="shared" si="136"/>
        <v>#REF!</v>
      </c>
      <c r="P222" s="280" t="e">
        <f t="shared" si="136"/>
        <v>#REF!</v>
      </c>
      <c r="Q222" s="280" t="e">
        <f t="shared" si="136"/>
        <v>#REF!</v>
      </c>
      <c r="R222" s="280" t="e">
        <f t="shared" si="136"/>
        <v>#REF!</v>
      </c>
      <c r="S222" s="280" t="e">
        <f t="shared" si="136"/>
        <v>#REF!</v>
      </c>
      <c r="T222" s="280" t="e">
        <f t="shared" si="136"/>
        <v>#REF!</v>
      </c>
      <c r="U222" s="280" t="e">
        <f t="shared" si="136"/>
        <v>#REF!</v>
      </c>
      <c r="V222" s="280" t="e">
        <f t="shared" si="136"/>
        <v>#REF!</v>
      </c>
      <c r="W222" s="280" t="e">
        <f t="shared" si="136"/>
        <v>#REF!</v>
      </c>
      <c r="X222" s="280" t="e">
        <f t="shared" si="136"/>
        <v>#REF!</v>
      </c>
      <c r="Y222" s="280" t="e">
        <f t="shared" si="136"/>
        <v>#REF!</v>
      </c>
      <c r="Z222" s="280" t="e">
        <f t="shared" si="136"/>
        <v>#REF!</v>
      </c>
      <c r="AA222" s="280" t="e">
        <f t="shared" si="136"/>
        <v>#REF!</v>
      </c>
      <c r="AB222" s="280" t="e">
        <f t="shared" si="136"/>
        <v>#REF!</v>
      </c>
      <c r="AC222" s="280" t="e">
        <f t="shared" si="136"/>
        <v>#REF!</v>
      </c>
      <c r="AD222" s="280" t="e">
        <f t="shared" si="136"/>
        <v>#REF!</v>
      </c>
      <c r="AE222" s="280" t="e">
        <f t="shared" si="136"/>
        <v>#REF!</v>
      </c>
      <c r="AF222" s="280" t="e">
        <f t="shared" si="136"/>
        <v>#REF!</v>
      </c>
      <c r="AG222" s="280" t="e">
        <f t="shared" si="136"/>
        <v>#REF!</v>
      </c>
    </row>
    <row r="223" spans="1:33">
      <c r="A223" s="173" t="str">
        <f>A210</f>
        <v>FCET</v>
      </c>
      <c r="C223" s="280" t="e">
        <f t="shared" ref="C223:AG223" si="137">C210/C209</f>
        <v>#REF!</v>
      </c>
      <c r="D223" s="280" t="e">
        <f t="shared" si="137"/>
        <v>#REF!</v>
      </c>
      <c r="E223" s="280" t="e">
        <f t="shared" si="137"/>
        <v>#REF!</v>
      </c>
      <c r="F223" s="280" t="e">
        <f t="shared" si="137"/>
        <v>#REF!</v>
      </c>
      <c r="G223" s="280" t="e">
        <f t="shared" si="137"/>
        <v>#REF!</v>
      </c>
      <c r="H223" s="280" t="e">
        <f t="shared" si="137"/>
        <v>#REF!</v>
      </c>
      <c r="I223" s="280" t="e">
        <f t="shared" si="137"/>
        <v>#REF!</v>
      </c>
      <c r="J223" s="280" t="e">
        <f t="shared" si="137"/>
        <v>#REF!</v>
      </c>
      <c r="K223" s="280" t="e">
        <f t="shared" si="137"/>
        <v>#REF!</v>
      </c>
      <c r="L223" s="280" t="e">
        <f t="shared" si="137"/>
        <v>#REF!</v>
      </c>
      <c r="M223" s="280" t="e">
        <f t="shared" si="137"/>
        <v>#REF!</v>
      </c>
      <c r="N223" s="280" t="e">
        <f t="shared" si="137"/>
        <v>#REF!</v>
      </c>
      <c r="O223" s="280" t="e">
        <f t="shared" si="137"/>
        <v>#REF!</v>
      </c>
      <c r="P223" s="280" t="e">
        <f t="shared" si="137"/>
        <v>#REF!</v>
      </c>
      <c r="Q223" s="280" t="e">
        <f t="shared" si="137"/>
        <v>#REF!</v>
      </c>
      <c r="R223" s="280" t="e">
        <f t="shared" si="137"/>
        <v>#REF!</v>
      </c>
      <c r="S223" s="280" t="e">
        <f t="shared" si="137"/>
        <v>#REF!</v>
      </c>
      <c r="T223" s="280" t="e">
        <f t="shared" si="137"/>
        <v>#REF!</v>
      </c>
      <c r="U223" s="280" t="e">
        <f t="shared" si="137"/>
        <v>#REF!</v>
      </c>
      <c r="V223" s="280" t="e">
        <f t="shared" si="137"/>
        <v>#REF!</v>
      </c>
      <c r="W223" s="280" t="e">
        <f t="shared" si="137"/>
        <v>#REF!</v>
      </c>
      <c r="X223" s="280" t="e">
        <f t="shared" si="137"/>
        <v>#REF!</v>
      </c>
      <c r="Y223" s="280" t="e">
        <f t="shared" si="137"/>
        <v>#REF!</v>
      </c>
      <c r="Z223" s="280" t="e">
        <f t="shared" si="137"/>
        <v>#REF!</v>
      </c>
      <c r="AA223" s="280" t="e">
        <f t="shared" si="137"/>
        <v>#REF!</v>
      </c>
      <c r="AB223" s="280" t="e">
        <f t="shared" si="137"/>
        <v>#REF!</v>
      </c>
      <c r="AC223" s="280" t="e">
        <f t="shared" si="137"/>
        <v>#REF!</v>
      </c>
      <c r="AD223" s="280" t="e">
        <f t="shared" si="137"/>
        <v>#REF!</v>
      </c>
      <c r="AE223" s="280" t="e">
        <f t="shared" si="137"/>
        <v>#REF!</v>
      </c>
      <c r="AF223" s="280" t="e">
        <f t="shared" si="137"/>
        <v>#REF!</v>
      </c>
      <c r="AG223" s="280" t="e">
        <f t="shared" si="137"/>
        <v>#REF!</v>
      </c>
    </row>
    <row r="224" spans="1:33"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</row>
    <row r="226" spans="1:7">
      <c r="A226" s="281"/>
      <c r="C226" s="173"/>
    </row>
    <row r="227" spans="1:7">
      <c r="C227" s="179"/>
      <c r="D227" s="179"/>
      <c r="E227" s="179"/>
      <c r="F227" s="179"/>
      <c r="G227" s="179"/>
    </row>
    <row r="228" spans="1:7">
      <c r="C228" s="179"/>
      <c r="D228" s="179"/>
      <c r="E228" s="179"/>
      <c r="F228" s="179"/>
      <c r="G228" s="179"/>
    </row>
    <row r="229" spans="1:7">
      <c r="C229" s="179"/>
      <c r="D229" s="179"/>
      <c r="E229" s="179"/>
      <c r="F229" s="179"/>
      <c r="G229" s="179"/>
    </row>
  </sheetData>
  <mergeCells count="1">
    <mergeCell ref="C71:G71"/>
  </mergeCells>
  <conditionalFormatting sqref="C19:C20">
    <cfRule type="expression" dxfId="3" priority="1">
      <formula>$C$19&lt;$G$81</formula>
    </cfRule>
  </conditionalFormatting>
  <dataValidations count="2">
    <dataValidation type="list" allowBlank="1" showInputMessage="1" showErrorMessage="1" sqref="B4" xr:uid="{00000000-0002-0000-0600-000000000000}">
      <formula1>$A$167:$A$168</formula1>
    </dataValidation>
    <dataValidation type="list" allowBlank="1" showInputMessage="1" showErrorMessage="1" sqref="B5" xr:uid="{00000000-0002-0000-0600-000001000000}">
      <formula1>$H$1:$H$2</formula1>
    </dataValidation>
  </dataValidations>
  <hyperlinks>
    <hyperlink ref="M8" r:id="rId1" xr:uid="{00000000-0004-0000-0600-000000000000}"/>
  </hyperlinks>
  <pageMargins left="0.7" right="0.7" top="0.75" bottom="0.75" header="0.3" footer="0.3"/>
  <pageSetup orientation="portrait" horizontalDpi="0" verticalDpi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230"/>
  <sheetViews>
    <sheetView zoomScale="110" zoomScaleNormal="110" workbookViewId="0">
      <pane ySplit="5" topLeftCell="A35" activePane="bottomLeft" state="frozen"/>
      <selection activeCell="C97" sqref="C97:AG97"/>
      <selection pane="bottomLeft" activeCell="C97" sqref="C97:AG97"/>
    </sheetView>
  </sheetViews>
  <sheetFormatPr defaultColWidth="9.109375" defaultRowHeight="14.4"/>
  <cols>
    <col min="1" max="1" width="28.44140625" style="173" customWidth="1"/>
    <col min="2" max="2" width="29" style="173" customWidth="1"/>
    <col min="3" max="3" width="15.44140625" style="221" customWidth="1"/>
    <col min="4" max="6" width="15.88671875" style="173" customWidth="1"/>
    <col min="7" max="31" width="14.44140625" style="173" customWidth="1"/>
    <col min="32" max="33" width="12.109375" style="173" bestFit="1" customWidth="1"/>
    <col min="34" max="34" width="10.88671875" style="173" bestFit="1" customWidth="1"/>
    <col min="35" max="36" width="12.109375" style="173" bestFit="1" customWidth="1"/>
    <col min="37" max="16384" width="9.109375" style="173"/>
  </cols>
  <sheetData>
    <row r="1" spans="1:21">
      <c r="G1" s="222" t="s">
        <v>247</v>
      </c>
      <c r="H1" s="173" t="s">
        <v>247</v>
      </c>
    </row>
    <row r="2" spans="1:21">
      <c r="A2" s="173" t="s">
        <v>248</v>
      </c>
      <c r="B2" s="173" t="s">
        <v>434</v>
      </c>
      <c r="F2" s="222" t="s">
        <v>249</v>
      </c>
      <c r="G2" s="222" t="s">
        <v>250</v>
      </c>
      <c r="H2" s="173" t="s">
        <v>250</v>
      </c>
    </row>
    <row r="3" spans="1:21">
      <c r="A3" s="173" t="s">
        <v>251</v>
      </c>
      <c r="B3" s="173" t="s">
        <v>435</v>
      </c>
      <c r="F3" s="222" t="s">
        <v>252</v>
      </c>
    </row>
    <row r="4" spans="1:21">
      <c r="A4" s="173" t="s">
        <v>338</v>
      </c>
      <c r="B4" s="173" t="s">
        <v>339</v>
      </c>
    </row>
    <row r="5" spans="1:21">
      <c r="A5" s="173" t="s">
        <v>340</v>
      </c>
      <c r="B5" s="173" t="s">
        <v>250</v>
      </c>
    </row>
    <row r="6" spans="1:21" s="225" customFormat="1">
      <c r="A6" s="223" t="s">
        <v>253</v>
      </c>
      <c r="B6" s="223"/>
      <c r="C6" s="224"/>
    </row>
    <row r="7" spans="1:21" ht="15.6">
      <c r="A7" s="171" t="s">
        <v>4</v>
      </c>
      <c r="C7" s="174"/>
      <c r="D7" s="226"/>
      <c r="G7" s="171"/>
      <c r="H7" s="171"/>
      <c r="I7" s="172" t="s">
        <v>178</v>
      </c>
      <c r="J7" s="172" t="s">
        <v>180</v>
      </c>
      <c r="K7" s="172" t="s">
        <v>238</v>
      </c>
      <c r="L7" s="172" t="s">
        <v>239</v>
      </c>
    </row>
    <row r="8" spans="1:21" ht="15.6">
      <c r="A8" s="171" t="s">
        <v>254</v>
      </c>
      <c r="B8" s="173" t="s">
        <v>255</v>
      </c>
      <c r="C8" s="227">
        <v>55</v>
      </c>
      <c r="D8" s="228" t="s">
        <v>169</v>
      </c>
      <c r="E8" s="228">
        <v>2</v>
      </c>
      <c r="G8" s="171" t="s">
        <v>240</v>
      </c>
      <c r="H8" s="171" t="s">
        <v>241</v>
      </c>
      <c r="I8" s="229">
        <v>45.5</v>
      </c>
      <c r="J8" s="174">
        <v>40</v>
      </c>
      <c r="K8" s="174">
        <v>120</v>
      </c>
      <c r="L8" s="174">
        <v>120</v>
      </c>
      <c r="M8" s="175" t="s">
        <v>242</v>
      </c>
    </row>
    <row r="9" spans="1:21" ht="15.6">
      <c r="A9" s="171" t="s">
        <v>365</v>
      </c>
      <c r="B9" s="173" t="s">
        <v>201</v>
      </c>
      <c r="C9" s="230">
        <v>1.22</v>
      </c>
      <c r="D9" s="228" t="s">
        <v>169</v>
      </c>
      <c r="E9" s="228"/>
      <c r="G9" s="171" t="s">
        <v>240</v>
      </c>
      <c r="H9" s="171" t="s">
        <v>243</v>
      </c>
      <c r="I9" s="176">
        <f>I8/3.6</f>
        <v>12.638888888888889</v>
      </c>
      <c r="J9" s="176">
        <f>J8/3.6</f>
        <v>11.111111111111111</v>
      </c>
      <c r="K9" s="176">
        <f>K8/3.6</f>
        <v>33.333333333333336</v>
      </c>
      <c r="L9" s="176">
        <f>L8/3.6</f>
        <v>33.333333333333336</v>
      </c>
    </row>
    <row r="10" spans="1:21" ht="15.6">
      <c r="A10" s="171" t="s">
        <v>366</v>
      </c>
      <c r="B10" s="173" t="s">
        <v>367</v>
      </c>
      <c r="C10" s="227">
        <v>3000</v>
      </c>
      <c r="D10" s="228" t="s">
        <v>169</v>
      </c>
      <c r="E10" s="228">
        <v>4</v>
      </c>
      <c r="G10" s="171" t="s">
        <v>244</v>
      </c>
      <c r="H10" s="171" t="s">
        <v>245</v>
      </c>
      <c r="I10" s="174">
        <v>0.85</v>
      </c>
      <c r="J10" s="177">
        <v>0.2</v>
      </c>
      <c r="K10" s="177">
        <f>0.06</f>
        <v>0.06</v>
      </c>
      <c r="L10" s="177">
        <f>0.06</f>
        <v>0.06</v>
      </c>
    </row>
    <row r="11" spans="1:21" ht="15.6">
      <c r="A11" s="171" t="s">
        <v>308</v>
      </c>
      <c r="B11" s="173" t="s">
        <v>257</v>
      </c>
      <c r="C11" s="301" t="e">
        <f>#REF!</f>
        <v>#REF!</v>
      </c>
      <c r="D11" s="228" t="s">
        <v>169</v>
      </c>
      <c r="E11" s="228">
        <v>5</v>
      </c>
      <c r="H11" s="173" t="s">
        <v>246</v>
      </c>
      <c r="I11" s="178">
        <f>I9*I10</f>
        <v>10.743055555555555</v>
      </c>
      <c r="J11" s="178">
        <f>J9*J10</f>
        <v>2.2222222222222223</v>
      </c>
      <c r="K11" s="178">
        <f t="shared" ref="K11:L11" si="0">K9*K10</f>
        <v>2</v>
      </c>
      <c r="L11" s="178">
        <f t="shared" si="0"/>
        <v>2</v>
      </c>
    </row>
    <row r="12" spans="1:21" ht="15.6">
      <c r="A12" s="171" t="s">
        <v>368</v>
      </c>
      <c r="B12" s="173" t="s">
        <v>257</v>
      </c>
      <c r="C12" s="301" t="e">
        <f>#REF!</f>
        <v>#REF!</v>
      </c>
      <c r="D12" s="228" t="s">
        <v>169</v>
      </c>
      <c r="E12" s="228">
        <v>6</v>
      </c>
    </row>
    <row r="13" spans="1:21" ht="15.6">
      <c r="A13" s="171" t="s">
        <v>369</v>
      </c>
      <c r="B13" s="173" t="s">
        <v>370</v>
      </c>
      <c r="C13" s="230">
        <v>0.05</v>
      </c>
      <c r="D13" s="228" t="s">
        <v>169</v>
      </c>
      <c r="E13" s="228">
        <v>7</v>
      </c>
    </row>
    <row r="14" spans="1:21" ht="15.6">
      <c r="A14" s="171" t="s">
        <v>371</v>
      </c>
      <c r="B14" s="173" t="s">
        <v>257</v>
      </c>
      <c r="C14" s="301" t="e">
        <f>#REF!</f>
        <v>#REF!</v>
      </c>
      <c r="D14" s="228" t="s">
        <v>169</v>
      </c>
      <c r="E14" s="228">
        <v>8</v>
      </c>
    </row>
    <row r="15" spans="1:21" ht="15.6">
      <c r="A15" s="171" t="s">
        <v>372</v>
      </c>
      <c r="B15" s="173" t="s">
        <v>257</v>
      </c>
      <c r="C15" s="302" t="e">
        <f>#REF!</f>
        <v>#REF!</v>
      </c>
      <c r="D15" s="228" t="s">
        <v>169</v>
      </c>
      <c r="E15" s="228">
        <v>9</v>
      </c>
      <c r="S15" s="173" t="s">
        <v>341</v>
      </c>
      <c r="T15" s="173" t="s">
        <v>342</v>
      </c>
      <c r="U15" s="173" t="s">
        <v>343</v>
      </c>
    </row>
    <row r="16" spans="1:21" ht="15.6">
      <c r="A16" s="171" t="s">
        <v>373</v>
      </c>
      <c r="B16" s="173" t="s">
        <v>273</v>
      </c>
      <c r="C16" s="302" t="e">
        <f>#REF!</f>
        <v>#REF!</v>
      </c>
      <c r="D16" s="228"/>
      <c r="E16" s="228"/>
      <c r="S16" s="173">
        <v>800</v>
      </c>
      <c r="T16" s="173">
        <v>2028</v>
      </c>
      <c r="U16" s="173">
        <v>2034</v>
      </c>
    </row>
    <row r="17" spans="1:21" ht="15.6">
      <c r="A17" s="171" t="s">
        <v>374</v>
      </c>
      <c r="B17" s="173" t="s">
        <v>194</v>
      </c>
      <c r="C17" s="227">
        <v>65</v>
      </c>
      <c r="D17" s="228" t="s">
        <v>169</v>
      </c>
      <c r="E17" s="228">
        <v>10</v>
      </c>
      <c r="S17" s="173">
        <v>500</v>
      </c>
      <c r="T17" s="173">
        <v>2029</v>
      </c>
      <c r="U17" s="173">
        <v>2035</v>
      </c>
    </row>
    <row r="18" spans="1:21" ht="15.6">
      <c r="A18" s="171" t="s">
        <v>375</v>
      </c>
      <c r="B18" s="173" t="s">
        <v>194</v>
      </c>
      <c r="C18" s="227">
        <v>350</v>
      </c>
      <c r="D18" s="228" t="s">
        <v>169</v>
      </c>
      <c r="E18" s="228">
        <v>11</v>
      </c>
    </row>
    <row r="19" spans="1:21" ht="15.6">
      <c r="A19" s="171" t="s">
        <v>263</v>
      </c>
      <c r="B19" s="173" t="s">
        <v>193</v>
      </c>
      <c r="C19" s="301" t="e">
        <f>#REF!</f>
        <v>#REF!</v>
      </c>
      <c r="D19" s="228" t="s">
        <v>169</v>
      </c>
      <c r="E19" s="228">
        <v>12</v>
      </c>
    </row>
    <row r="20" spans="1:21" ht="15.6">
      <c r="A20" s="171" t="s">
        <v>376</v>
      </c>
      <c r="B20" s="173" t="s">
        <v>377</v>
      </c>
      <c r="C20" s="227">
        <v>39756</v>
      </c>
      <c r="D20" s="228"/>
      <c r="E20" s="228"/>
    </row>
    <row r="21" spans="1:21" ht="15.6">
      <c r="A21" s="171" t="s">
        <v>266</v>
      </c>
      <c r="B21" s="173" t="s">
        <v>194</v>
      </c>
      <c r="C21" s="301" t="e">
        <f>#REF!</f>
        <v>#REF!</v>
      </c>
      <c r="D21" s="228" t="s">
        <v>169</v>
      </c>
      <c r="E21" s="228">
        <v>13</v>
      </c>
    </row>
    <row r="22" spans="1:21" ht="15.6">
      <c r="A22" s="171" t="s">
        <v>268</v>
      </c>
      <c r="B22" s="173" t="s">
        <v>193</v>
      </c>
      <c r="C22" s="301" t="e">
        <f>#REF!</f>
        <v>#REF!</v>
      </c>
      <c r="D22" s="228" t="s">
        <v>169</v>
      </c>
      <c r="E22" s="228">
        <v>14</v>
      </c>
    </row>
    <row r="23" spans="1:21" ht="15.6">
      <c r="A23" s="171" t="s">
        <v>378</v>
      </c>
      <c r="B23" s="173" t="s">
        <v>255</v>
      </c>
      <c r="C23" s="302" t="e">
        <f>#REF!/1000</f>
        <v>#REF!</v>
      </c>
      <c r="D23" s="228" t="s">
        <v>169</v>
      </c>
      <c r="E23" s="228">
        <v>18</v>
      </c>
    </row>
    <row r="24" spans="1:21" ht="15.6">
      <c r="A24" s="293" t="s">
        <v>379</v>
      </c>
      <c r="B24" s="173" t="s">
        <v>255</v>
      </c>
      <c r="C24" s="302" t="e">
        <f>#REF!/1000</f>
        <v>#REF!</v>
      </c>
      <c r="D24" s="228" t="s">
        <v>169</v>
      </c>
      <c r="E24" s="228">
        <v>19</v>
      </c>
    </row>
    <row r="25" spans="1:21" ht="15.6">
      <c r="A25" s="171" t="s">
        <v>380</v>
      </c>
      <c r="B25" s="173" t="s">
        <v>255</v>
      </c>
      <c r="C25" s="302" t="e">
        <f>#REF!/1000</f>
        <v>#REF!</v>
      </c>
      <c r="D25" s="228" t="s">
        <v>169</v>
      </c>
      <c r="E25" s="228">
        <v>20</v>
      </c>
    </row>
    <row r="26" spans="1:21" ht="15.6">
      <c r="A26" s="171" t="s">
        <v>381</v>
      </c>
      <c r="B26" s="173" t="s">
        <v>255</v>
      </c>
      <c r="C26" s="302" t="e">
        <f>C24</f>
        <v>#REF!</v>
      </c>
      <c r="D26" s="228" t="s">
        <v>169</v>
      </c>
      <c r="E26" s="228">
        <v>21</v>
      </c>
    </row>
    <row r="27" spans="1:21" ht="15.6">
      <c r="A27" s="171" t="s">
        <v>382</v>
      </c>
      <c r="B27" s="173" t="s">
        <v>195</v>
      </c>
      <c r="C27" s="301" t="e">
        <f>#REF!</f>
        <v>#REF!</v>
      </c>
      <c r="D27" s="228" t="s">
        <v>275</v>
      </c>
      <c r="E27" s="228">
        <v>2</v>
      </c>
    </row>
    <row r="28" spans="1:21" ht="15.6">
      <c r="A28" s="171" t="s">
        <v>172</v>
      </c>
      <c r="B28" s="173" t="s">
        <v>196</v>
      </c>
      <c r="C28" s="301" t="e">
        <f>#REF!</f>
        <v>#REF!</v>
      </c>
      <c r="D28" s="228" t="s">
        <v>275</v>
      </c>
      <c r="E28" s="228">
        <v>3</v>
      </c>
    </row>
    <row r="29" spans="1:21" ht="15.6">
      <c r="A29" s="171" t="s">
        <v>174</v>
      </c>
      <c r="B29" s="173" t="s">
        <v>197</v>
      </c>
      <c r="C29" s="301" t="e">
        <f>#REF!</f>
        <v>#REF!</v>
      </c>
      <c r="D29" s="228" t="s">
        <v>275</v>
      </c>
      <c r="E29" s="228">
        <v>4</v>
      </c>
    </row>
    <row r="30" spans="1:21" ht="15.6">
      <c r="A30" s="171" t="s">
        <v>276</v>
      </c>
      <c r="B30" s="173" t="s">
        <v>198</v>
      </c>
      <c r="C30" s="303" t="e">
        <f>#REF!</f>
        <v>#REF!</v>
      </c>
      <c r="D30" s="228" t="s">
        <v>275</v>
      </c>
      <c r="E30" s="228">
        <v>5</v>
      </c>
    </row>
    <row r="31" spans="1:21" ht="15.6">
      <c r="A31" s="171" t="s">
        <v>383</v>
      </c>
      <c r="B31" s="173" t="s">
        <v>277</v>
      </c>
      <c r="C31" s="174">
        <v>7</v>
      </c>
      <c r="D31" s="228" t="s">
        <v>384</v>
      </c>
      <c r="E31" s="222"/>
    </row>
    <row r="32" spans="1:21" ht="15.6">
      <c r="A32" s="171" t="s">
        <v>385</v>
      </c>
      <c r="B32" s="173" t="s">
        <v>198</v>
      </c>
      <c r="C32" s="232">
        <v>0.03</v>
      </c>
      <c r="D32" s="228" t="s">
        <v>384</v>
      </c>
      <c r="E32" s="222"/>
    </row>
    <row r="33" spans="1:39" ht="15.6">
      <c r="A33" s="171" t="s">
        <v>344</v>
      </c>
      <c r="B33" s="173" t="s">
        <v>198</v>
      </c>
      <c r="C33" s="233">
        <v>0.12</v>
      </c>
      <c r="D33" s="228" t="s">
        <v>384</v>
      </c>
      <c r="E33" s="222"/>
    </row>
    <row r="34" spans="1:39" ht="15.6">
      <c r="A34" s="171" t="s">
        <v>221</v>
      </c>
      <c r="B34" s="173" t="s">
        <v>198</v>
      </c>
      <c r="C34" s="234">
        <v>0.02</v>
      </c>
      <c r="D34" s="228" t="s">
        <v>384</v>
      </c>
      <c r="E34" s="222"/>
    </row>
    <row r="35" spans="1:39">
      <c r="A35" s="171" t="s">
        <v>278</v>
      </c>
      <c r="B35" s="173" t="s">
        <v>198</v>
      </c>
      <c r="C35" s="233">
        <v>0.7</v>
      </c>
      <c r="D35" s="233">
        <v>0.4</v>
      </c>
      <c r="E35" s="233">
        <v>0.3</v>
      </c>
    </row>
    <row r="36" spans="1:39">
      <c r="A36" s="171" t="s">
        <v>279</v>
      </c>
      <c r="C36" s="233">
        <v>0.25</v>
      </c>
      <c r="D36" s="233">
        <v>0.2</v>
      </c>
      <c r="E36" s="233">
        <v>0.15</v>
      </c>
    </row>
    <row r="37" spans="1:39">
      <c r="C37" s="324" t="s">
        <v>347</v>
      </c>
      <c r="D37" s="324" t="s">
        <v>436</v>
      </c>
      <c r="E37" s="324" t="s">
        <v>437</v>
      </c>
      <c r="F37" s="221"/>
      <c r="H37" s="221"/>
      <c r="J37" s="221"/>
      <c r="L37" s="221"/>
      <c r="N37" s="221"/>
      <c r="P37" s="221"/>
      <c r="R37" s="221"/>
      <c r="T37" s="221"/>
      <c r="V37" s="221"/>
      <c r="X37" s="221"/>
      <c r="Z37" s="221"/>
      <c r="AB37" s="221"/>
      <c r="AC37" s="221"/>
      <c r="AD37" s="221"/>
      <c r="AE37" s="221"/>
      <c r="AF37" s="221"/>
      <c r="AG37" s="221"/>
    </row>
    <row r="38" spans="1:39" s="225" customFormat="1">
      <c r="A38" s="223" t="s">
        <v>286</v>
      </c>
      <c r="B38" s="223"/>
    </row>
    <row r="39" spans="1:39">
      <c r="A39" s="235" t="s">
        <v>41</v>
      </c>
      <c r="B39" s="235"/>
      <c r="C39" s="235">
        <v>2025</v>
      </c>
      <c r="D39" s="235">
        <f t="shared" ref="D39:AG39" si="1">C39+1</f>
        <v>2026</v>
      </c>
      <c r="E39" s="235">
        <f t="shared" si="1"/>
        <v>2027</v>
      </c>
      <c r="F39" s="235">
        <f t="shared" si="1"/>
        <v>2028</v>
      </c>
      <c r="G39" s="235">
        <f t="shared" si="1"/>
        <v>2029</v>
      </c>
      <c r="H39" s="235">
        <f t="shared" si="1"/>
        <v>2030</v>
      </c>
      <c r="I39" s="235">
        <f t="shared" si="1"/>
        <v>2031</v>
      </c>
      <c r="J39" s="235">
        <f t="shared" si="1"/>
        <v>2032</v>
      </c>
      <c r="K39" s="235">
        <f t="shared" si="1"/>
        <v>2033</v>
      </c>
      <c r="L39" s="235">
        <f t="shared" si="1"/>
        <v>2034</v>
      </c>
      <c r="M39" s="235">
        <f t="shared" si="1"/>
        <v>2035</v>
      </c>
      <c r="N39" s="235">
        <f t="shared" si="1"/>
        <v>2036</v>
      </c>
      <c r="O39" s="235">
        <f t="shared" si="1"/>
        <v>2037</v>
      </c>
      <c r="P39" s="235">
        <f t="shared" si="1"/>
        <v>2038</v>
      </c>
      <c r="Q39" s="235">
        <f t="shared" si="1"/>
        <v>2039</v>
      </c>
      <c r="R39" s="235">
        <f t="shared" si="1"/>
        <v>2040</v>
      </c>
      <c r="S39" s="235">
        <f t="shared" si="1"/>
        <v>2041</v>
      </c>
      <c r="T39" s="235">
        <f t="shared" si="1"/>
        <v>2042</v>
      </c>
      <c r="U39" s="235">
        <f t="shared" si="1"/>
        <v>2043</v>
      </c>
      <c r="V39" s="235">
        <f t="shared" si="1"/>
        <v>2044</v>
      </c>
      <c r="W39" s="235">
        <f t="shared" si="1"/>
        <v>2045</v>
      </c>
      <c r="X39" s="235">
        <f t="shared" si="1"/>
        <v>2046</v>
      </c>
      <c r="Y39" s="235">
        <f t="shared" si="1"/>
        <v>2047</v>
      </c>
      <c r="Z39" s="235">
        <f t="shared" si="1"/>
        <v>2048</v>
      </c>
      <c r="AA39" s="235">
        <f t="shared" si="1"/>
        <v>2049</v>
      </c>
      <c r="AB39" s="235">
        <f t="shared" si="1"/>
        <v>2050</v>
      </c>
      <c r="AC39" s="235">
        <f t="shared" si="1"/>
        <v>2051</v>
      </c>
      <c r="AD39" s="235">
        <f t="shared" si="1"/>
        <v>2052</v>
      </c>
      <c r="AE39" s="235">
        <f t="shared" si="1"/>
        <v>2053</v>
      </c>
      <c r="AF39" s="235">
        <f t="shared" si="1"/>
        <v>2054</v>
      </c>
      <c r="AG39" s="235">
        <f t="shared" si="1"/>
        <v>2055</v>
      </c>
      <c r="AH39" s="171" t="s">
        <v>387</v>
      </c>
    </row>
    <row r="40" spans="1:39">
      <c r="A40" s="171" t="s">
        <v>287</v>
      </c>
      <c r="B40" s="171" t="s">
        <v>288</v>
      </c>
      <c r="C40" s="236">
        <v>92</v>
      </c>
      <c r="D40" s="236">
        <f t="shared" ref="D40:AG43" si="2">ROUND(C40*(1+$AH40),2)</f>
        <v>94.3</v>
      </c>
      <c r="E40" s="236">
        <f t="shared" si="2"/>
        <v>96.66</v>
      </c>
      <c r="F40" s="236">
        <f t="shared" si="2"/>
        <v>99.08</v>
      </c>
      <c r="G40" s="236">
        <f t="shared" si="2"/>
        <v>101.56</v>
      </c>
      <c r="H40" s="236">
        <f t="shared" si="2"/>
        <v>104.1</v>
      </c>
      <c r="I40" s="236">
        <f t="shared" si="2"/>
        <v>106.7</v>
      </c>
      <c r="J40" s="236">
        <f t="shared" si="2"/>
        <v>109.37</v>
      </c>
      <c r="K40" s="236">
        <f t="shared" si="2"/>
        <v>112.1</v>
      </c>
      <c r="L40" s="236">
        <f t="shared" si="2"/>
        <v>114.9</v>
      </c>
      <c r="M40" s="236">
        <f t="shared" si="2"/>
        <v>117.77</v>
      </c>
      <c r="N40" s="236">
        <f t="shared" si="2"/>
        <v>120.71</v>
      </c>
      <c r="O40" s="236">
        <f t="shared" si="2"/>
        <v>123.73</v>
      </c>
      <c r="P40" s="236">
        <f t="shared" si="2"/>
        <v>126.82</v>
      </c>
      <c r="Q40" s="236">
        <f t="shared" si="2"/>
        <v>129.99</v>
      </c>
      <c r="R40" s="236">
        <f t="shared" si="2"/>
        <v>133.24</v>
      </c>
      <c r="S40" s="236">
        <f t="shared" si="2"/>
        <v>136.57</v>
      </c>
      <c r="T40" s="236">
        <f t="shared" si="2"/>
        <v>139.97999999999999</v>
      </c>
      <c r="U40" s="236">
        <f t="shared" si="2"/>
        <v>143.47999999999999</v>
      </c>
      <c r="V40" s="236">
        <f t="shared" si="2"/>
        <v>147.07</v>
      </c>
      <c r="W40" s="236">
        <f t="shared" si="2"/>
        <v>150.75</v>
      </c>
      <c r="X40" s="236">
        <f t="shared" si="2"/>
        <v>154.52000000000001</v>
      </c>
      <c r="Y40" s="236">
        <f t="shared" si="2"/>
        <v>158.38</v>
      </c>
      <c r="Z40" s="236">
        <f t="shared" si="2"/>
        <v>162.34</v>
      </c>
      <c r="AA40" s="236">
        <f t="shared" si="2"/>
        <v>166.4</v>
      </c>
      <c r="AB40" s="236">
        <f t="shared" si="2"/>
        <v>170.56</v>
      </c>
      <c r="AC40" s="236">
        <f t="shared" si="2"/>
        <v>174.82</v>
      </c>
      <c r="AD40" s="236">
        <f t="shared" si="2"/>
        <v>179.19</v>
      </c>
      <c r="AE40" s="236">
        <f t="shared" si="2"/>
        <v>183.67</v>
      </c>
      <c r="AF40" s="236">
        <f t="shared" si="2"/>
        <v>188.26</v>
      </c>
      <c r="AG40" s="236">
        <f t="shared" si="2"/>
        <v>192.97</v>
      </c>
      <c r="AH40" s="237">
        <v>2.5000000000000001E-2</v>
      </c>
    </row>
    <row r="41" spans="1:39">
      <c r="A41" s="171" t="s">
        <v>289</v>
      </c>
      <c r="B41" s="171" t="s">
        <v>288</v>
      </c>
      <c r="C41" s="236">
        <v>55</v>
      </c>
      <c r="D41" s="236">
        <f t="shared" si="2"/>
        <v>56.38</v>
      </c>
      <c r="E41" s="236">
        <f t="shared" si="2"/>
        <v>57.79</v>
      </c>
      <c r="F41" s="236">
        <f t="shared" si="2"/>
        <v>59.23</v>
      </c>
      <c r="G41" s="236">
        <f t="shared" si="2"/>
        <v>60.71</v>
      </c>
      <c r="H41" s="236">
        <f t="shared" si="2"/>
        <v>62.23</v>
      </c>
      <c r="I41" s="236">
        <f t="shared" si="2"/>
        <v>63.79</v>
      </c>
      <c r="J41" s="236">
        <f t="shared" si="2"/>
        <v>65.38</v>
      </c>
      <c r="K41" s="236">
        <f t="shared" si="2"/>
        <v>67.010000000000005</v>
      </c>
      <c r="L41" s="236">
        <f t="shared" si="2"/>
        <v>68.69</v>
      </c>
      <c r="M41" s="236">
        <f t="shared" si="2"/>
        <v>70.41</v>
      </c>
      <c r="N41" s="236">
        <f t="shared" si="2"/>
        <v>72.17</v>
      </c>
      <c r="O41" s="236">
        <f t="shared" si="2"/>
        <v>73.97</v>
      </c>
      <c r="P41" s="236">
        <f t="shared" si="2"/>
        <v>75.819999999999993</v>
      </c>
      <c r="Q41" s="236">
        <f t="shared" si="2"/>
        <v>77.72</v>
      </c>
      <c r="R41" s="236">
        <f t="shared" si="2"/>
        <v>79.66</v>
      </c>
      <c r="S41" s="236">
        <f t="shared" si="2"/>
        <v>81.650000000000006</v>
      </c>
      <c r="T41" s="236">
        <f t="shared" si="2"/>
        <v>83.69</v>
      </c>
      <c r="U41" s="236">
        <f t="shared" si="2"/>
        <v>85.78</v>
      </c>
      <c r="V41" s="236">
        <f t="shared" si="2"/>
        <v>87.92</v>
      </c>
      <c r="W41" s="236">
        <f t="shared" si="2"/>
        <v>90.12</v>
      </c>
      <c r="X41" s="236">
        <f t="shared" si="2"/>
        <v>92.37</v>
      </c>
      <c r="Y41" s="236">
        <f t="shared" si="2"/>
        <v>94.68</v>
      </c>
      <c r="Z41" s="236">
        <f t="shared" si="2"/>
        <v>97.05</v>
      </c>
      <c r="AA41" s="236">
        <f t="shared" si="2"/>
        <v>99.48</v>
      </c>
      <c r="AB41" s="236">
        <f t="shared" si="2"/>
        <v>101.97</v>
      </c>
      <c r="AC41" s="236">
        <f t="shared" si="2"/>
        <v>104.52</v>
      </c>
      <c r="AD41" s="236">
        <f t="shared" si="2"/>
        <v>107.13</v>
      </c>
      <c r="AE41" s="236">
        <f t="shared" si="2"/>
        <v>109.81</v>
      </c>
      <c r="AF41" s="236">
        <f t="shared" si="2"/>
        <v>112.56</v>
      </c>
      <c r="AG41" s="236">
        <f t="shared" si="2"/>
        <v>115.37</v>
      </c>
      <c r="AH41" s="237">
        <v>2.5000000000000001E-2</v>
      </c>
    </row>
    <row r="42" spans="1:39">
      <c r="A42" s="171" t="s">
        <v>179</v>
      </c>
      <c r="B42" s="171" t="s">
        <v>290</v>
      </c>
      <c r="C42" s="236">
        <v>87</v>
      </c>
      <c r="D42" s="236">
        <f>ROUND(C42*(1+$AH42),2)</f>
        <v>89.18</v>
      </c>
      <c r="E42" s="236">
        <f t="shared" si="2"/>
        <v>91.41</v>
      </c>
      <c r="F42" s="236">
        <f t="shared" si="2"/>
        <v>93.7</v>
      </c>
      <c r="G42" s="236">
        <f t="shared" si="2"/>
        <v>96.04</v>
      </c>
      <c r="H42" s="236">
        <f t="shared" si="2"/>
        <v>98.44</v>
      </c>
      <c r="I42" s="236">
        <f t="shared" si="2"/>
        <v>100.9</v>
      </c>
      <c r="J42" s="236">
        <f t="shared" si="2"/>
        <v>103.42</v>
      </c>
      <c r="K42" s="236">
        <f t="shared" si="2"/>
        <v>106.01</v>
      </c>
      <c r="L42" s="236">
        <f t="shared" si="2"/>
        <v>108.66</v>
      </c>
      <c r="M42" s="236">
        <f t="shared" si="2"/>
        <v>111.38</v>
      </c>
      <c r="N42" s="236">
        <f t="shared" si="2"/>
        <v>114.16</v>
      </c>
      <c r="O42" s="236">
        <f t="shared" si="2"/>
        <v>117.01</v>
      </c>
      <c r="P42" s="236">
        <f t="shared" si="2"/>
        <v>119.94</v>
      </c>
      <c r="Q42" s="236">
        <f t="shared" si="2"/>
        <v>122.94</v>
      </c>
      <c r="R42" s="236">
        <f t="shared" si="2"/>
        <v>126.01</v>
      </c>
      <c r="S42" s="236">
        <f t="shared" si="2"/>
        <v>129.16</v>
      </c>
      <c r="T42" s="236">
        <f t="shared" si="2"/>
        <v>132.38999999999999</v>
      </c>
      <c r="U42" s="236">
        <f t="shared" si="2"/>
        <v>135.69999999999999</v>
      </c>
      <c r="V42" s="236">
        <f t="shared" si="2"/>
        <v>139.09</v>
      </c>
      <c r="W42" s="236">
        <f t="shared" si="2"/>
        <v>142.57</v>
      </c>
      <c r="X42" s="236">
        <f t="shared" si="2"/>
        <v>146.13</v>
      </c>
      <c r="Y42" s="236">
        <f t="shared" si="2"/>
        <v>149.78</v>
      </c>
      <c r="Z42" s="236">
        <f t="shared" si="2"/>
        <v>153.52000000000001</v>
      </c>
      <c r="AA42" s="236">
        <f t="shared" si="2"/>
        <v>157.36000000000001</v>
      </c>
      <c r="AB42" s="236">
        <f t="shared" si="2"/>
        <v>161.29</v>
      </c>
      <c r="AC42" s="236">
        <f t="shared" si="2"/>
        <v>165.32</v>
      </c>
      <c r="AD42" s="236">
        <f t="shared" si="2"/>
        <v>169.45</v>
      </c>
      <c r="AE42" s="236">
        <f t="shared" si="2"/>
        <v>173.69</v>
      </c>
      <c r="AF42" s="236">
        <f t="shared" si="2"/>
        <v>178.03</v>
      </c>
      <c r="AG42" s="236">
        <f t="shared" si="2"/>
        <v>182.48</v>
      </c>
      <c r="AH42" s="239">
        <v>2.5000000000000001E-2</v>
      </c>
    </row>
    <row r="43" spans="1:39">
      <c r="A43" s="171" t="s">
        <v>180</v>
      </c>
      <c r="B43" s="171" t="s">
        <v>290</v>
      </c>
      <c r="C43" s="238">
        <f>C40*0.9</f>
        <v>82.8</v>
      </c>
      <c r="D43" s="238">
        <f>ROUND(C43*(1+$AH43),2)</f>
        <v>84.87</v>
      </c>
      <c r="E43" s="238">
        <f t="shared" si="2"/>
        <v>86.99</v>
      </c>
      <c r="F43" s="238">
        <f t="shared" si="2"/>
        <v>89.16</v>
      </c>
      <c r="G43" s="238">
        <f t="shared" si="2"/>
        <v>91.39</v>
      </c>
      <c r="H43" s="238">
        <f t="shared" si="2"/>
        <v>93.67</v>
      </c>
      <c r="I43" s="238">
        <f t="shared" si="2"/>
        <v>96.01</v>
      </c>
      <c r="J43" s="238">
        <f t="shared" si="2"/>
        <v>98.41</v>
      </c>
      <c r="K43" s="238">
        <f t="shared" si="2"/>
        <v>100.87</v>
      </c>
      <c r="L43" s="238">
        <f t="shared" si="2"/>
        <v>103.39</v>
      </c>
      <c r="M43" s="238">
        <f t="shared" si="2"/>
        <v>105.97</v>
      </c>
      <c r="N43" s="238">
        <f t="shared" si="2"/>
        <v>108.62</v>
      </c>
      <c r="O43" s="238">
        <f t="shared" si="2"/>
        <v>111.34</v>
      </c>
      <c r="P43" s="238">
        <f t="shared" si="2"/>
        <v>114.12</v>
      </c>
      <c r="Q43" s="238">
        <f t="shared" si="2"/>
        <v>116.97</v>
      </c>
      <c r="R43" s="238">
        <f t="shared" si="2"/>
        <v>119.89</v>
      </c>
      <c r="S43" s="238">
        <f t="shared" si="2"/>
        <v>122.89</v>
      </c>
      <c r="T43" s="238">
        <f t="shared" si="2"/>
        <v>125.96</v>
      </c>
      <c r="U43" s="238">
        <f t="shared" si="2"/>
        <v>129.11000000000001</v>
      </c>
      <c r="V43" s="238">
        <f t="shared" si="2"/>
        <v>132.34</v>
      </c>
      <c r="W43" s="238">
        <f t="shared" si="2"/>
        <v>135.65</v>
      </c>
      <c r="X43" s="238">
        <f t="shared" si="2"/>
        <v>139.04</v>
      </c>
      <c r="Y43" s="238">
        <f t="shared" si="2"/>
        <v>142.52000000000001</v>
      </c>
      <c r="Z43" s="238">
        <f t="shared" si="2"/>
        <v>146.08000000000001</v>
      </c>
      <c r="AA43" s="238">
        <f t="shared" si="2"/>
        <v>149.72999999999999</v>
      </c>
      <c r="AB43" s="238">
        <f t="shared" si="2"/>
        <v>153.47</v>
      </c>
      <c r="AC43" s="238">
        <f t="shared" si="2"/>
        <v>157.31</v>
      </c>
      <c r="AD43" s="238">
        <f t="shared" si="2"/>
        <v>161.24</v>
      </c>
      <c r="AE43" s="238">
        <f t="shared" si="2"/>
        <v>165.27</v>
      </c>
      <c r="AF43" s="238">
        <f t="shared" si="2"/>
        <v>169.4</v>
      </c>
      <c r="AG43" s="238">
        <f t="shared" si="2"/>
        <v>173.64</v>
      </c>
      <c r="AH43" s="239">
        <v>2.5000000000000001E-2</v>
      </c>
    </row>
    <row r="44" spans="1:39">
      <c r="A44" s="293" t="s">
        <v>291</v>
      </c>
      <c r="B44" s="171" t="s">
        <v>290</v>
      </c>
      <c r="C44" s="238">
        <v>600</v>
      </c>
      <c r="D44" s="238" t="e">
        <f>ROUND(C44*(1+$AH44),2)</f>
        <v>#REF!</v>
      </c>
      <c r="E44" s="238" t="e">
        <f>ROUND(D44*(1+$AH44),2)</f>
        <v>#REF!</v>
      </c>
      <c r="F44" s="238" t="e">
        <f>ROUND(E44*(1+$AH44),2)</f>
        <v>#REF!</v>
      </c>
      <c r="G44" s="238" t="e">
        <f>ROUND(F44*(1+$AH44),2)</f>
        <v>#REF!</v>
      </c>
      <c r="H44" s="238" t="e">
        <f>ROUND(G44*(1+$AH44),2)</f>
        <v>#REF!</v>
      </c>
      <c r="I44" s="238" t="e">
        <f t="shared" ref="I44:R44" si="3">ROUND(H44*(1+$AI44),2)</f>
        <v>#REF!</v>
      </c>
      <c r="J44" s="238" t="e">
        <f t="shared" si="3"/>
        <v>#REF!</v>
      </c>
      <c r="K44" s="238" t="e">
        <f t="shared" si="3"/>
        <v>#REF!</v>
      </c>
      <c r="L44" s="238" t="e">
        <f t="shared" si="3"/>
        <v>#REF!</v>
      </c>
      <c r="M44" s="238" t="e">
        <f t="shared" si="3"/>
        <v>#REF!</v>
      </c>
      <c r="N44" s="238" t="e">
        <f t="shared" si="3"/>
        <v>#REF!</v>
      </c>
      <c r="O44" s="238" t="e">
        <f t="shared" si="3"/>
        <v>#REF!</v>
      </c>
      <c r="P44" s="238" t="e">
        <f t="shared" si="3"/>
        <v>#REF!</v>
      </c>
      <c r="Q44" s="238" t="e">
        <f t="shared" si="3"/>
        <v>#REF!</v>
      </c>
      <c r="R44" s="238" t="e">
        <f t="shared" si="3"/>
        <v>#REF!</v>
      </c>
      <c r="S44" s="238" t="e">
        <f t="shared" ref="S44:AG44" si="4">ROUND(R44*(1+$AJ44),2)</f>
        <v>#REF!</v>
      </c>
      <c r="T44" s="238" t="e">
        <f t="shared" si="4"/>
        <v>#REF!</v>
      </c>
      <c r="U44" s="238" t="e">
        <f t="shared" si="4"/>
        <v>#REF!</v>
      </c>
      <c r="V44" s="238" t="e">
        <f t="shared" si="4"/>
        <v>#REF!</v>
      </c>
      <c r="W44" s="238" t="e">
        <f t="shared" si="4"/>
        <v>#REF!</v>
      </c>
      <c r="X44" s="238" t="e">
        <f t="shared" si="4"/>
        <v>#REF!</v>
      </c>
      <c r="Y44" s="238" t="e">
        <f t="shared" si="4"/>
        <v>#REF!</v>
      </c>
      <c r="Z44" s="238" t="e">
        <f t="shared" si="4"/>
        <v>#REF!</v>
      </c>
      <c r="AA44" s="238" t="e">
        <f t="shared" si="4"/>
        <v>#REF!</v>
      </c>
      <c r="AB44" s="238" t="e">
        <f t="shared" si="4"/>
        <v>#REF!</v>
      </c>
      <c r="AC44" s="238" t="e">
        <f t="shared" si="4"/>
        <v>#REF!</v>
      </c>
      <c r="AD44" s="238" t="e">
        <f t="shared" si="4"/>
        <v>#REF!</v>
      </c>
      <c r="AE44" s="238" t="e">
        <f t="shared" si="4"/>
        <v>#REF!</v>
      </c>
      <c r="AF44" s="238" t="e">
        <f t="shared" si="4"/>
        <v>#REF!</v>
      </c>
      <c r="AG44" s="238" t="e">
        <f t="shared" si="4"/>
        <v>#REF!</v>
      </c>
      <c r="AH44" s="239" t="e">
        <f>#REF!</f>
        <v>#REF!</v>
      </c>
      <c r="AI44" s="240" t="e">
        <f>#REF!</f>
        <v>#REF!</v>
      </c>
      <c r="AJ44" s="240" t="e">
        <f>#REF!</f>
        <v>#REF!</v>
      </c>
      <c r="AK44" s="289" t="s">
        <v>388</v>
      </c>
      <c r="AL44" s="289" t="s">
        <v>389</v>
      </c>
      <c r="AM44" s="173" t="s">
        <v>390</v>
      </c>
    </row>
    <row r="45" spans="1:39" s="282" customFormat="1">
      <c r="A45" s="282" t="s">
        <v>391</v>
      </c>
      <c r="B45" s="282" t="s">
        <v>290</v>
      </c>
      <c r="C45" s="283">
        <v>528</v>
      </c>
      <c r="D45" s="283">
        <f t="shared" ref="D45:AA45" si="5">ROUND(C45*(1+$AJ45),2)</f>
        <v>528</v>
      </c>
      <c r="E45" s="283">
        <f t="shared" si="5"/>
        <v>528</v>
      </c>
      <c r="F45" s="283">
        <f t="shared" si="5"/>
        <v>528</v>
      </c>
      <c r="G45" s="283">
        <f t="shared" si="5"/>
        <v>528</v>
      </c>
      <c r="H45" s="283">
        <f t="shared" si="5"/>
        <v>528</v>
      </c>
      <c r="I45" s="283">
        <f t="shared" si="5"/>
        <v>528</v>
      </c>
      <c r="J45" s="283">
        <f t="shared" si="5"/>
        <v>528</v>
      </c>
      <c r="K45" s="283">
        <f t="shared" si="5"/>
        <v>528</v>
      </c>
      <c r="L45" s="283">
        <f t="shared" si="5"/>
        <v>528</v>
      </c>
      <c r="M45" s="283">
        <f t="shared" si="5"/>
        <v>528</v>
      </c>
      <c r="N45" s="283">
        <f t="shared" si="5"/>
        <v>528</v>
      </c>
      <c r="O45" s="283">
        <f t="shared" si="5"/>
        <v>528</v>
      </c>
      <c r="P45" s="283">
        <f t="shared" si="5"/>
        <v>528</v>
      </c>
      <c r="Q45" s="283">
        <f t="shared" si="5"/>
        <v>528</v>
      </c>
      <c r="R45" s="283">
        <f t="shared" si="5"/>
        <v>528</v>
      </c>
      <c r="S45" s="283">
        <f t="shared" si="5"/>
        <v>528</v>
      </c>
      <c r="T45" s="283">
        <f t="shared" si="5"/>
        <v>528</v>
      </c>
      <c r="U45" s="283">
        <f t="shared" si="5"/>
        <v>528</v>
      </c>
      <c r="V45" s="283">
        <f t="shared" si="5"/>
        <v>528</v>
      </c>
      <c r="W45" s="283">
        <f t="shared" si="5"/>
        <v>528</v>
      </c>
      <c r="X45" s="283">
        <f t="shared" si="5"/>
        <v>528</v>
      </c>
      <c r="Y45" s="283">
        <f t="shared" si="5"/>
        <v>528</v>
      </c>
      <c r="Z45" s="283">
        <f t="shared" si="5"/>
        <v>528</v>
      </c>
      <c r="AA45" s="283">
        <f t="shared" si="5"/>
        <v>528</v>
      </c>
      <c r="AB45" s="283" t="e">
        <f>AB44</f>
        <v>#REF!</v>
      </c>
      <c r="AC45" s="283" t="e">
        <f t="shared" ref="AC45:AG45" si="6">AC44</f>
        <v>#REF!</v>
      </c>
      <c r="AD45" s="283" t="e">
        <f t="shared" si="6"/>
        <v>#REF!</v>
      </c>
      <c r="AE45" s="283" t="e">
        <f t="shared" si="6"/>
        <v>#REF!</v>
      </c>
      <c r="AF45" s="283" t="e">
        <f t="shared" si="6"/>
        <v>#REF!</v>
      </c>
      <c r="AG45" s="283" t="e">
        <f t="shared" si="6"/>
        <v>#REF!</v>
      </c>
      <c r="AH45" s="284"/>
      <c r="AI45" s="285"/>
      <c r="AJ45" s="285"/>
    </row>
    <row r="46" spans="1:39">
      <c r="A46" s="293" t="s">
        <v>292</v>
      </c>
      <c r="B46" s="171" t="s">
        <v>290</v>
      </c>
      <c r="C46" s="236">
        <v>250</v>
      </c>
      <c r="D46" s="236" t="e">
        <f>ROUND(C46*(1+$AH46),2)</f>
        <v>#REF!</v>
      </c>
      <c r="E46" s="236" t="e">
        <f t="shared" ref="E46:AG46" si="7">ROUND(D46*(1+$AH46),2)</f>
        <v>#REF!</v>
      </c>
      <c r="F46" s="236" t="e">
        <f t="shared" si="7"/>
        <v>#REF!</v>
      </c>
      <c r="G46" s="236" t="e">
        <f t="shared" si="7"/>
        <v>#REF!</v>
      </c>
      <c r="H46" s="236" t="e">
        <f t="shared" si="7"/>
        <v>#REF!</v>
      </c>
      <c r="I46" s="236" t="e">
        <f t="shared" si="7"/>
        <v>#REF!</v>
      </c>
      <c r="J46" s="236" t="e">
        <f t="shared" si="7"/>
        <v>#REF!</v>
      </c>
      <c r="K46" s="236" t="e">
        <f t="shared" si="7"/>
        <v>#REF!</v>
      </c>
      <c r="L46" s="236" t="e">
        <f t="shared" si="7"/>
        <v>#REF!</v>
      </c>
      <c r="M46" s="236" t="e">
        <f t="shared" si="7"/>
        <v>#REF!</v>
      </c>
      <c r="N46" s="236" t="e">
        <f t="shared" si="7"/>
        <v>#REF!</v>
      </c>
      <c r="O46" s="236" t="e">
        <f t="shared" si="7"/>
        <v>#REF!</v>
      </c>
      <c r="P46" s="236" t="e">
        <f t="shared" si="7"/>
        <v>#REF!</v>
      </c>
      <c r="Q46" s="236" t="e">
        <f t="shared" si="7"/>
        <v>#REF!</v>
      </c>
      <c r="R46" s="236" t="e">
        <f t="shared" si="7"/>
        <v>#REF!</v>
      </c>
      <c r="S46" s="236" t="e">
        <f t="shared" si="7"/>
        <v>#REF!</v>
      </c>
      <c r="T46" s="236" t="e">
        <f t="shared" si="7"/>
        <v>#REF!</v>
      </c>
      <c r="U46" s="236" t="e">
        <f t="shared" si="7"/>
        <v>#REF!</v>
      </c>
      <c r="V46" s="236" t="e">
        <f t="shared" si="7"/>
        <v>#REF!</v>
      </c>
      <c r="W46" s="236" t="e">
        <f t="shared" si="7"/>
        <v>#REF!</v>
      </c>
      <c r="X46" s="236" t="e">
        <f t="shared" si="7"/>
        <v>#REF!</v>
      </c>
      <c r="Y46" s="236" t="e">
        <f t="shared" si="7"/>
        <v>#REF!</v>
      </c>
      <c r="Z46" s="236" t="e">
        <f t="shared" si="7"/>
        <v>#REF!</v>
      </c>
      <c r="AA46" s="236" t="e">
        <f t="shared" si="7"/>
        <v>#REF!</v>
      </c>
      <c r="AB46" s="236" t="e">
        <f t="shared" si="7"/>
        <v>#REF!</v>
      </c>
      <c r="AC46" s="236" t="e">
        <f t="shared" si="7"/>
        <v>#REF!</v>
      </c>
      <c r="AD46" s="236" t="e">
        <f t="shared" si="7"/>
        <v>#REF!</v>
      </c>
      <c r="AE46" s="236" t="e">
        <f t="shared" si="7"/>
        <v>#REF!</v>
      </c>
      <c r="AF46" s="236" t="e">
        <f t="shared" si="7"/>
        <v>#REF!</v>
      </c>
      <c r="AG46" s="236" t="e">
        <f t="shared" si="7"/>
        <v>#REF!</v>
      </c>
      <c r="AH46" s="242" t="e">
        <f>#REF!</f>
        <v>#REF!</v>
      </c>
      <c r="AI46" s="287"/>
      <c r="AJ46" s="242"/>
    </row>
    <row r="47" spans="1:39">
      <c r="A47" s="171" t="s">
        <v>348</v>
      </c>
      <c r="B47" s="171" t="s">
        <v>198</v>
      </c>
      <c r="C47" s="243">
        <v>0</v>
      </c>
      <c r="D47" s="243">
        <f>C47</f>
        <v>0</v>
      </c>
      <c r="E47" s="243">
        <f t="shared" ref="E47:H47" si="8">D47</f>
        <v>0</v>
      </c>
      <c r="F47" s="243">
        <f t="shared" si="8"/>
        <v>0</v>
      </c>
      <c r="G47" s="243">
        <f t="shared" si="8"/>
        <v>0</v>
      </c>
      <c r="H47" s="243">
        <f t="shared" si="8"/>
        <v>0</v>
      </c>
      <c r="I47" s="243">
        <v>0.25</v>
      </c>
      <c r="J47" s="243">
        <f t="shared" ref="J47:AG47" si="9">I47</f>
        <v>0.25</v>
      </c>
      <c r="K47" s="243">
        <f t="shared" si="9"/>
        <v>0.25</v>
      </c>
      <c r="L47" s="243">
        <f t="shared" si="9"/>
        <v>0.25</v>
      </c>
      <c r="M47" s="243">
        <f t="shared" si="9"/>
        <v>0.25</v>
      </c>
      <c r="N47" s="243">
        <v>0.5</v>
      </c>
      <c r="O47" s="243">
        <f t="shared" si="9"/>
        <v>0.5</v>
      </c>
      <c r="P47" s="243">
        <f t="shared" si="9"/>
        <v>0.5</v>
      </c>
      <c r="Q47" s="243">
        <f t="shared" si="9"/>
        <v>0.5</v>
      </c>
      <c r="R47" s="243">
        <f t="shared" si="9"/>
        <v>0.5</v>
      </c>
      <c r="S47" s="243">
        <v>0.75</v>
      </c>
      <c r="T47" s="243">
        <f t="shared" si="9"/>
        <v>0.75</v>
      </c>
      <c r="U47" s="243">
        <f t="shared" si="9"/>
        <v>0.75</v>
      </c>
      <c r="V47" s="243">
        <f t="shared" si="9"/>
        <v>0.75</v>
      </c>
      <c r="W47" s="243">
        <v>1</v>
      </c>
      <c r="X47" s="243">
        <f t="shared" si="9"/>
        <v>1</v>
      </c>
      <c r="Y47" s="243">
        <f t="shared" si="9"/>
        <v>1</v>
      </c>
      <c r="Z47" s="243">
        <f t="shared" si="9"/>
        <v>1</v>
      </c>
      <c r="AA47" s="243">
        <f t="shared" si="9"/>
        <v>1</v>
      </c>
      <c r="AB47" s="243">
        <f t="shared" si="9"/>
        <v>1</v>
      </c>
      <c r="AC47" s="243">
        <f t="shared" si="9"/>
        <v>1</v>
      </c>
      <c r="AD47" s="243">
        <f t="shared" si="9"/>
        <v>1</v>
      </c>
      <c r="AE47" s="243">
        <f t="shared" si="9"/>
        <v>1</v>
      </c>
      <c r="AF47" s="243">
        <f t="shared" si="9"/>
        <v>1</v>
      </c>
      <c r="AG47" s="243">
        <f t="shared" si="9"/>
        <v>1</v>
      </c>
      <c r="AH47" s="237"/>
      <c r="AI47" s="242"/>
    </row>
    <row r="48" spans="1:39">
      <c r="A48" s="171" t="s">
        <v>294</v>
      </c>
      <c r="B48" s="171" t="s">
        <v>290</v>
      </c>
      <c r="C48" s="238">
        <f t="shared" ref="C48:AG48" si="10">((C44*C47)+(C46*(1-C47)))</f>
        <v>250</v>
      </c>
      <c r="D48" s="238" t="e">
        <f t="shared" si="10"/>
        <v>#REF!</v>
      </c>
      <c r="E48" s="238" t="e">
        <f t="shared" si="10"/>
        <v>#REF!</v>
      </c>
      <c r="F48" s="238" t="e">
        <f t="shared" si="10"/>
        <v>#REF!</v>
      </c>
      <c r="G48" s="238" t="e">
        <f t="shared" si="10"/>
        <v>#REF!</v>
      </c>
      <c r="H48" s="238" t="e">
        <f t="shared" si="10"/>
        <v>#REF!</v>
      </c>
      <c r="I48" s="238" t="e">
        <f t="shared" si="10"/>
        <v>#REF!</v>
      </c>
      <c r="J48" s="238" t="e">
        <f t="shared" si="10"/>
        <v>#REF!</v>
      </c>
      <c r="K48" s="238" t="e">
        <f t="shared" si="10"/>
        <v>#REF!</v>
      </c>
      <c r="L48" s="238" t="e">
        <f t="shared" si="10"/>
        <v>#REF!</v>
      </c>
      <c r="M48" s="238" t="e">
        <f t="shared" si="10"/>
        <v>#REF!</v>
      </c>
      <c r="N48" s="238" t="e">
        <f t="shared" si="10"/>
        <v>#REF!</v>
      </c>
      <c r="O48" s="238" t="e">
        <f t="shared" si="10"/>
        <v>#REF!</v>
      </c>
      <c r="P48" s="238" t="e">
        <f t="shared" si="10"/>
        <v>#REF!</v>
      </c>
      <c r="Q48" s="238" t="e">
        <f t="shared" si="10"/>
        <v>#REF!</v>
      </c>
      <c r="R48" s="238" t="e">
        <f t="shared" si="10"/>
        <v>#REF!</v>
      </c>
      <c r="S48" s="238" t="e">
        <f t="shared" si="10"/>
        <v>#REF!</v>
      </c>
      <c r="T48" s="238" t="e">
        <f t="shared" si="10"/>
        <v>#REF!</v>
      </c>
      <c r="U48" s="238" t="e">
        <f t="shared" si="10"/>
        <v>#REF!</v>
      </c>
      <c r="V48" s="238" t="e">
        <f t="shared" si="10"/>
        <v>#REF!</v>
      </c>
      <c r="W48" s="238" t="e">
        <f t="shared" si="10"/>
        <v>#REF!</v>
      </c>
      <c r="X48" s="238" t="e">
        <f t="shared" si="10"/>
        <v>#REF!</v>
      </c>
      <c r="Y48" s="238" t="e">
        <f t="shared" si="10"/>
        <v>#REF!</v>
      </c>
      <c r="Z48" s="238" t="e">
        <f t="shared" si="10"/>
        <v>#REF!</v>
      </c>
      <c r="AA48" s="238" t="e">
        <f t="shared" si="10"/>
        <v>#REF!</v>
      </c>
      <c r="AB48" s="238" t="e">
        <f t="shared" si="10"/>
        <v>#REF!</v>
      </c>
      <c r="AC48" s="238" t="e">
        <f t="shared" si="10"/>
        <v>#REF!</v>
      </c>
      <c r="AD48" s="238" t="e">
        <f t="shared" si="10"/>
        <v>#REF!</v>
      </c>
      <c r="AE48" s="238" t="e">
        <f t="shared" si="10"/>
        <v>#REF!</v>
      </c>
      <c r="AF48" s="238" t="e">
        <f t="shared" si="10"/>
        <v>#REF!</v>
      </c>
      <c r="AG48" s="238" t="e">
        <f t="shared" si="10"/>
        <v>#REF!</v>
      </c>
      <c r="AH48" s="237"/>
      <c r="AI48" s="242"/>
    </row>
    <row r="49" spans="1:41">
      <c r="A49" s="171" t="s">
        <v>392</v>
      </c>
      <c r="B49" s="171" t="s">
        <v>290</v>
      </c>
      <c r="C49" s="238">
        <v>175</v>
      </c>
      <c r="D49" s="238" t="e">
        <f>ROUND(C49*(1+$AH49),2)</f>
        <v>#REF!</v>
      </c>
      <c r="E49" s="238" t="e">
        <f t="shared" ref="E49:AG49" si="11">ROUND(D49*(1+$AH49),2)</f>
        <v>#REF!</v>
      </c>
      <c r="F49" s="238" t="e">
        <f t="shared" si="11"/>
        <v>#REF!</v>
      </c>
      <c r="G49" s="238" t="e">
        <f t="shared" si="11"/>
        <v>#REF!</v>
      </c>
      <c r="H49" s="238" t="e">
        <f t="shared" si="11"/>
        <v>#REF!</v>
      </c>
      <c r="I49" s="238" t="e">
        <f t="shared" si="11"/>
        <v>#REF!</v>
      </c>
      <c r="J49" s="238" t="e">
        <f t="shared" si="11"/>
        <v>#REF!</v>
      </c>
      <c r="K49" s="238" t="e">
        <f t="shared" si="11"/>
        <v>#REF!</v>
      </c>
      <c r="L49" s="238" t="e">
        <f t="shared" si="11"/>
        <v>#REF!</v>
      </c>
      <c r="M49" s="238" t="e">
        <f t="shared" si="11"/>
        <v>#REF!</v>
      </c>
      <c r="N49" s="238" t="e">
        <f t="shared" si="11"/>
        <v>#REF!</v>
      </c>
      <c r="O49" s="238" t="e">
        <f t="shared" si="11"/>
        <v>#REF!</v>
      </c>
      <c r="P49" s="238" t="e">
        <f t="shared" si="11"/>
        <v>#REF!</v>
      </c>
      <c r="Q49" s="238" t="e">
        <f t="shared" si="11"/>
        <v>#REF!</v>
      </c>
      <c r="R49" s="238" t="e">
        <f t="shared" si="11"/>
        <v>#REF!</v>
      </c>
      <c r="S49" s="238" t="e">
        <f t="shared" si="11"/>
        <v>#REF!</v>
      </c>
      <c r="T49" s="238" t="e">
        <f t="shared" si="11"/>
        <v>#REF!</v>
      </c>
      <c r="U49" s="238" t="e">
        <f t="shared" si="11"/>
        <v>#REF!</v>
      </c>
      <c r="V49" s="238" t="e">
        <f t="shared" si="11"/>
        <v>#REF!</v>
      </c>
      <c r="W49" s="238" t="e">
        <f t="shared" si="11"/>
        <v>#REF!</v>
      </c>
      <c r="X49" s="238" t="e">
        <f t="shared" si="11"/>
        <v>#REF!</v>
      </c>
      <c r="Y49" s="238" t="e">
        <f t="shared" si="11"/>
        <v>#REF!</v>
      </c>
      <c r="Z49" s="238" t="e">
        <f t="shared" si="11"/>
        <v>#REF!</v>
      </c>
      <c r="AA49" s="238" t="e">
        <f t="shared" si="11"/>
        <v>#REF!</v>
      </c>
      <c r="AB49" s="238" t="e">
        <f t="shared" si="11"/>
        <v>#REF!</v>
      </c>
      <c r="AC49" s="238" t="e">
        <f t="shared" si="11"/>
        <v>#REF!</v>
      </c>
      <c r="AD49" s="238" t="e">
        <f t="shared" si="11"/>
        <v>#REF!</v>
      </c>
      <c r="AE49" s="238" t="e">
        <f t="shared" si="11"/>
        <v>#REF!</v>
      </c>
      <c r="AF49" s="238" t="e">
        <f t="shared" si="11"/>
        <v>#REF!</v>
      </c>
      <c r="AG49" s="238" t="e">
        <f t="shared" si="11"/>
        <v>#REF!</v>
      </c>
      <c r="AH49" s="286" t="e">
        <f>#REF!</f>
        <v>#REF!</v>
      </c>
      <c r="AI49" s="241"/>
      <c r="AJ49" s="286"/>
    </row>
    <row r="50" spans="1:41">
      <c r="A50" s="254" t="s">
        <v>295</v>
      </c>
      <c r="B50" s="171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37"/>
      <c r="AI50" s="242"/>
    </row>
    <row r="51" spans="1:41">
      <c r="A51" s="292" t="s">
        <v>349</v>
      </c>
      <c r="B51" s="171" t="s">
        <v>290</v>
      </c>
      <c r="C51" s="244">
        <f t="shared" ref="C51:AG51" si="12">C44+C49</f>
        <v>775</v>
      </c>
      <c r="D51" s="244" t="e">
        <f t="shared" si="12"/>
        <v>#REF!</v>
      </c>
      <c r="E51" s="244" t="e">
        <f t="shared" si="12"/>
        <v>#REF!</v>
      </c>
      <c r="F51" s="244" t="e">
        <f t="shared" si="12"/>
        <v>#REF!</v>
      </c>
      <c r="G51" s="244" t="e">
        <f t="shared" si="12"/>
        <v>#REF!</v>
      </c>
      <c r="H51" s="244" t="e">
        <f t="shared" si="12"/>
        <v>#REF!</v>
      </c>
      <c r="I51" s="244" t="e">
        <f t="shared" si="12"/>
        <v>#REF!</v>
      </c>
      <c r="J51" s="244" t="e">
        <f t="shared" si="12"/>
        <v>#REF!</v>
      </c>
      <c r="K51" s="244" t="e">
        <f t="shared" si="12"/>
        <v>#REF!</v>
      </c>
      <c r="L51" s="244" t="e">
        <f t="shared" si="12"/>
        <v>#REF!</v>
      </c>
      <c r="M51" s="244" t="e">
        <f t="shared" si="12"/>
        <v>#REF!</v>
      </c>
      <c r="N51" s="244" t="e">
        <f t="shared" si="12"/>
        <v>#REF!</v>
      </c>
      <c r="O51" s="244" t="e">
        <f t="shared" si="12"/>
        <v>#REF!</v>
      </c>
      <c r="P51" s="244" t="e">
        <f t="shared" si="12"/>
        <v>#REF!</v>
      </c>
      <c r="Q51" s="244" t="e">
        <f t="shared" si="12"/>
        <v>#REF!</v>
      </c>
      <c r="R51" s="244" t="e">
        <f t="shared" si="12"/>
        <v>#REF!</v>
      </c>
      <c r="S51" s="244" t="e">
        <f t="shared" si="12"/>
        <v>#REF!</v>
      </c>
      <c r="T51" s="244" t="e">
        <f t="shared" si="12"/>
        <v>#REF!</v>
      </c>
      <c r="U51" s="244" t="e">
        <f t="shared" si="12"/>
        <v>#REF!</v>
      </c>
      <c r="V51" s="244" t="e">
        <f t="shared" si="12"/>
        <v>#REF!</v>
      </c>
      <c r="W51" s="244" t="e">
        <f t="shared" si="12"/>
        <v>#REF!</v>
      </c>
      <c r="X51" s="244" t="e">
        <f t="shared" si="12"/>
        <v>#REF!</v>
      </c>
      <c r="Y51" s="244" t="e">
        <f t="shared" si="12"/>
        <v>#REF!</v>
      </c>
      <c r="Z51" s="244" t="e">
        <f t="shared" si="12"/>
        <v>#REF!</v>
      </c>
      <c r="AA51" s="244" t="e">
        <f t="shared" si="12"/>
        <v>#REF!</v>
      </c>
      <c r="AB51" s="244" t="e">
        <f t="shared" si="12"/>
        <v>#REF!</v>
      </c>
      <c r="AC51" s="244" t="e">
        <f t="shared" si="12"/>
        <v>#REF!</v>
      </c>
      <c r="AD51" s="244" t="e">
        <f t="shared" si="12"/>
        <v>#REF!</v>
      </c>
      <c r="AE51" s="244" t="e">
        <f t="shared" si="12"/>
        <v>#REF!</v>
      </c>
      <c r="AF51" s="244" t="e">
        <f t="shared" si="12"/>
        <v>#REF!</v>
      </c>
      <c r="AG51" s="244" t="e">
        <f t="shared" si="12"/>
        <v>#REF!</v>
      </c>
      <c r="AH51" s="237"/>
      <c r="AI51" s="242"/>
      <c r="AJ51" s="241"/>
    </row>
    <row r="52" spans="1:41" s="282" customFormat="1">
      <c r="A52" s="288" t="s">
        <v>393</v>
      </c>
      <c r="C52" s="283">
        <f t="shared" ref="C52:AG52" si="13">C45+C49</f>
        <v>703</v>
      </c>
      <c r="D52" s="283" t="e">
        <f t="shared" si="13"/>
        <v>#REF!</v>
      </c>
      <c r="E52" s="283" t="e">
        <f t="shared" si="13"/>
        <v>#REF!</v>
      </c>
      <c r="F52" s="283" t="e">
        <f t="shared" si="13"/>
        <v>#REF!</v>
      </c>
      <c r="G52" s="283" t="e">
        <f t="shared" si="13"/>
        <v>#REF!</v>
      </c>
      <c r="H52" s="283" t="e">
        <f t="shared" si="13"/>
        <v>#REF!</v>
      </c>
      <c r="I52" s="283" t="e">
        <f t="shared" si="13"/>
        <v>#REF!</v>
      </c>
      <c r="J52" s="283" t="e">
        <f t="shared" si="13"/>
        <v>#REF!</v>
      </c>
      <c r="K52" s="283" t="e">
        <f t="shared" si="13"/>
        <v>#REF!</v>
      </c>
      <c r="L52" s="283" t="e">
        <f t="shared" si="13"/>
        <v>#REF!</v>
      </c>
      <c r="M52" s="283" t="e">
        <f t="shared" si="13"/>
        <v>#REF!</v>
      </c>
      <c r="N52" s="283" t="e">
        <f t="shared" si="13"/>
        <v>#REF!</v>
      </c>
      <c r="O52" s="283" t="e">
        <f t="shared" si="13"/>
        <v>#REF!</v>
      </c>
      <c r="P52" s="283" t="e">
        <f t="shared" si="13"/>
        <v>#REF!</v>
      </c>
      <c r="Q52" s="283" t="e">
        <f t="shared" si="13"/>
        <v>#REF!</v>
      </c>
      <c r="R52" s="283" t="e">
        <f t="shared" si="13"/>
        <v>#REF!</v>
      </c>
      <c r="S52" s="283" t="e">
        <f t="shared" si="13"/>
        <v>#REF!</v>
      </c>
      <c r="T52" s="283" t="e">
        <f t="shared" si="13"/>
        <v>#REF!</v>
      </c>
      <c r="U52" s="283" t="e">
        <f t="shared" si="13"/>
        <v>#REF!</v>
      </c>
      <c r="V52" s="283" t="e">
        <f t="shared" si="13"/>
        <v>#REF!</v>
      </c>
      <c r="W52" s="283" t="e">
        <f t="shared" si="13"/>
        <v>#REF!</v>
      </c>
      <c r="X52" s="283" t="e">
        <f t="shared" si="13"/>
        <v>#REF!</v>
      </c>
      <c r="Y52" s="283" t="e">
        <f t="shared" si="13"/>
        <v>#REF!</v>
      </c>
      <c r="Z52" s="283" t="e">
        <f t="shared" si="13"/>
        <v>#REF!</v>
      </c>
      <c r="AA52" s="283" t="e">
        <f t="shared" si="13"/>
        <v>#REF!</v>
      </c>
      <c r="AB52" s="283" t="e">
        <f t="shared" si="13"/>
        <v>#REF!</v>
      </c>
      <c r="AC52" s="283" t="e">
        <f t="shared" si="13"/>
        <v>#REF!</v>
      </c>
      <c r="AD52" s="283" t="e">
        <f t="shared" si="13"/>
        <v>#REF!</v>
      </c>
      <c r="AE52" s="283" t="e">
        <f t="shared" si="13"/>
        <v>#REF!</v>
      </c>
      <c r="AF52" s="283" t="e">
        <f t="shared" si="13"/>
        <v>#REF!</v>
      </c>
      <c r="AG52" s="283" t="e">
        <f t="shared" si="13"/>
        <v>#REF!</v>
      </c>
      <c r="AH52" s="284"/>
      <c r="AI52" s="285"/>
      <c r="AJ52" s="285"/>
    </row>
    <row r="53" spans="1:41">
      <c r="A53" s="292" t="s">
        <v>350</v>
      </c>
      <c r="B53" s="171" t="s">
        <v>290</v>
      </c>
      <c r="C53" s="244">
        <f t="shared" ref="C53:AG53" si="14">C46+C49</f>
        <v>425</v>
      </c>
      <c r="D53" s="244" t="e">
        <f t="shared" si="14"/>
        <v>#REF!</v>
      </c>
      <c r="E53" s="244" t="e">
        <f t="shared" si="14"/>
        <v>#REF!</v>
      </c>
      <c r="F53" s="244" t="e">
        <f t="shared" si="14"/>
        <v>#REF!</v>
      </c>
      <c r="G53" s="244" t="e">
        <f t="shared" si="14"/>
        <v>#REF!</v>
      </c>
      <c r="H53" s="244" t="e">
        <f t="shared" si="14"/>
        <v>#REF!</v>
      </c>
      <c r="I53" s="244" t="e">
        <f t="shared" si="14"/>
        <v>#REF!</v>
      </c>
      <c r="J53" s="244" t="e">
        <f t="shared" si="14"/>
        <v>#REF!</v>
      </c>
      <c r="K53" s="244" t="e">
        <f t="shared" si="14"/>
        <v>#REF!</v>
      </c>
      <c r="L53" s="244" t="e">
        <f t="shared" si="14"/>
        <v>#REF!</v>
      </c>
      <c r="M53" s="244" t="e">
        <f t="shared" si="14"/>
        <v>#REF!</v>
      </c>
      <c r="N53" s="244" t="e">
        <f t="shared" si="14"/>
        <v>#REF!</v>
      </c>
      <c r="O53" s="244" t="e">
        <f t="shared" si="14"/>
        <v>#REF!</v>
      </c>
      <c r="P53" s="244" t="e">
        <f t="shared" si="14"/>
        <v>#REF!</v>
      </c>
      <c r="Q53" s="244" t="e">
        <f t="shared" si="14"/>
        <v>#REF!</v>
      </c>
      <c r="R53" s="244" t="e">
        <f t="shared" si="14"/>
        <v>#REF!</v>
      </c>
      <c r="S53" s="244" t="e">
        <f t="shared" si="14"/>
        <v>#REF!</v>
      </c>
      <c r="T53" s="244" t="e">
        <f t="shared" si="14"/>
        <v>#REF!</v>
      </c>
      <c r="U53" s="244" t="e">
        <f t="shared" si="14"/>
        <v>#REF!</v>
      </c>
      <c r="V53" s="244" t="e">
        <f t="shared" si="14"/>
        <v>#REF!</v>
      </c>
      <c r="W53" s="244" t="e">
        <f t="shared" si="14"/>
        <v>#REF!</v>
      </c>
      <c r="X53" s="244" t="e">
        <f t="shared" si="14"/>
        <v>#REF!</v>
      </c>
      <c r="Y53" s="244" t="e">
        <f t="shared" si="14"/>
        <v>#REF!</v>
      </c>
      <c r="Z53" s="244" t="e">
        <f t="shared" si="14"/>
        <v>#REF!</v>
      </c>
      <c r="AA53" s="244" t="e">
        <f t="shared" si="14"/>
        <v>#REF!</v>
      </c>
      <c r="AB53" s="244" t="e">
        <f t="shared" si="14"/>
        <v>#REF!</v>
      </c>
      <c r="AC53" s="244" t="e">
        <f t="shared" si="14"/>
        <v>#REF!</v>
      </c>
      <c r="AD53" s="244" t="e">
        <f t="shared" si="14"/>
        <v>#REF!</v>
      </c>
      <c r="AE53" s="244" t="e">
        <f t="shared" si="14"/>
        <v>#REF!</v>
      </c>
      <c r="AF53" s="244" t="e">
        <f t="shared" si="14"/>
        <v>#REF!</v>
      </c>
      <c r="AG53" s="244" t="e">
        <f t="shared" si="14"/>
        <v>#REF!</v>
      </c>
      <c r="AH53" s="237"/>
      <c r="AI53" s="242"/>
    </row>
    <row r="54" spans="1:41">
      <c r="A54" s="292" t="s">
        <v>351</v>
      </c>
      <c r="B54" s="171" t="s">
        <v>290</v>
      </c>
      <c r="C54" s="236">
        <f t="shared" ref="C54:AG54" si="15">C48+C49</f>
        <v>425</v>
      </c>
      <c r="D54" s="236" t="e">
        <f t="shared" si="15"/>
        <v>#REF!</v>
      </c>
      <c r="E54" s="236" t="e">
        <f t="shared" si="15"/>
        <v>#REF!</v>
      </c>
      <c r="F54" s="236" t="e">
        <f t="shared" si="15"/>
        <v>#REF!</v>
      </c>
      <c r="G54" s="236" t="e">
        <f t="shared" si="15"/>
        <v>#REF!</v>
      </c>
      <c r="H54" s="236" t="e">
        <f t="shared" si="15"/>
        <v>#REF!</v>
      </c>
      <c r="I54" s="236" t="e">
        <f t="shared" si="15"/>
        <v>#REF!</v>
      </c>
      <c r="J54" s="236" t="e">
        <f t="shared" si="15"/>
        <v>#REF!</v>
      </c>
      <c r="K54" s="236" t="e">
        <f t="shared" si="15"/>
        <v>#REF!</v>
      </c>
      <c r="L54" s="236" t="e">
        <f t="shared" si="15"/>
        <v>#REF!</v>
      </c>
      <c r="M54" s="236" t="e">
        <f t="shared" si="15"/>
        <v>#REF!</v>
      </c>
      <c r="N54" s="236" t="e">
        <f t="shared" si="15"/>
        <v>#REF!</v>
      </c>
      <c r="O54" s="236" t="e">
        <f t="shared" si="15"/>
        <v>#REF!</v>
      </c>
      <c r="P54" s="236" t="e">
        <f t="shared" si="15"/>
        <v>#REF!</v>
      </c>
      <c r="Q54" s="236" t="e">
        <f t="shared" si="15"/>
        <v>#REF!</v>
      </c>
      <c r="R54" s="236" t="e">
        <f t="shared" si="15"/>
        <v>#REF!</v>
      </c>
      <c r="S54" s="236" t="e">
        <f t="shared" si="15"/>
        <v>#REF!</v>
      </c>
      <c r="T54" s="236" t="e">
        <f t="shared" si="15"/>
        <v>#REF!</v>
      </c>
      <c r="U54" s="236" t="e">
        <f t="shared" si="15"/>
        <v>#REF!</v>
      </c>
      <c r="V54" s="236" t="e">
        <f t="shared" si="15"/>
        <v>#REF!</v>
      </c>
      <c r="W54" s="236" t="e">
        <f t="shared" si="15"/>
        <v>#REF!</v>
      </c>
      <c r="X54" s="236" t="e">
        <f t="shared" si="15"/>
        <v>#REF!</v>
      </c>
      <c r="Y54" s="236" t="e">
        <f t="shared" si="15"/>
        <v>#REF!</v>
      </c>
      <c r="Z54" s="236" t="e">
        <f t="shared" si="15"/>
        <v>#REF!</v>
      </c>
      <c r="AA54" s="236" t="e">
        <f t="shared" si="15"/>
        <v>#REF!</v>
      </c>
      <c r="AB54" s="236" t="e">
        <f t="shared" si="15"/>
        <v>#REF!</v>
      </c>
      <c r="AC54" s="236" t="e">
        <f t="shared" si="15"/>
        <v>#REF!</v>
      </c>
      <c r="AD54" s="236" t="e">
        <f t="shared" si="15"/>
        <v>#REF!</v>
      </c>
      <c r="AE54" s="236" t="e">
        <f t="shared" si="15"/>
        <v>#REF!</v>
      </c>
      <c r="AF54" s="236" t="e">
        <f t="shared" si="15"/>
        <v>#REF!</v>
      </c>
      <c r="AG54" s="236" t="e">
        <f t="shared" si="15"/>
        <v>#REF!</v>
      </c>
      <c r="AH54" s="237"/>
      <c r="AI54" s="242"/>
    </row>
    <row r="55" spans="1:41">
      <c r="A55" s="292" t="s">
        <v>394</v>
      </c>
      <c r="B55" s="171" t="s">
        <v>290</v>
      </c>
      <c r="C55" s="244">
        <f t="shared" ref="C55:AG55" si="16">MIN(C51:C54)</f>
        <v>425</v>
      </c>
      <c r="D55" s="244" t="e">
        <f t="shared" si="16"/>
        <v>#REF!</v>
      </c>
      <c r="E55" s="244" t="e">
        <f t="shared" si="16"/>
        <v>#REF!</v>
      </c>
      <c r="F55" s="244" t="e">
        <f t="shared" si="16"/>
        <v>#REF!</v>
      </c>
      <c r="G55" s="244" t="e">
        <f t="shared" si="16"/>
        <v>#REF!</v>
      </c>
      <c r="H55" s="244" t="e">
        <f t="shared" si="16"/>
        <v>#REF!</v>
      </c>
      <c r="I55" s="244" t="e">
        <f t="shared" si="16"/>
        <v>#REF!</v>
      </c>
      <c r="J55" s="244" t="e">
        <f t="shared" si="16"/>
        <v>#REF!</v>
      </c>
      <c r="K55" s="244" t="e">
        <f t="shared" si="16"/>
        <v>#REF!</v>
      </c>
      <c r="L55" s="244" t="e">
        <f t="shared" si="16"/>
        <v>#REF!</v>
      </c>
      <c r="M55" s="244" t="e">
        <f t="shared" si="16"/>
        <v>#REF!</v>
      </c>
      <c r="N55" s="244" t="e">
        <f t="shared" si="16"/>
        <v>#REF!</v>
      </c>
      <c r="O55" s="244" t="e">
        <f t="shared" si="16"/>
        <v>#REF!</v>
      </c>
      <c r="P55" s="244" t="e">
        <f t="shared" si="16"/>
        <v>#REF!</v>
      </c>
      <c r="Q55" s="244" t="e">
        <f t="shared" si="16"/>
        <v>#REF!</v>
      </c>
      <c r="R55" s="244" t="e">
        <f t="shared" si="16"/>
        <v>#REF!</v>
      </c>
      <c r="S55" s="244" t="e">
        <f t="shared" si="16"/>
        <v>#REF!</v>
      </c>
      <c r="T55" s="244" t="e">
        <f t="shared" si="16"/>
        <v>#REF!</v>
      </c>
      <c r="U55" s="244" t="e">
        <f t="shared" si="16"/>
        <v>#REF!</v>
      </c>
      <c r="V55" s="244" t="e">
        <f t="shared" si="16"/>
        <v>#REF!</v>
      </c>
      <c r="W55" s="244" t="e">
        <f t="shared" si="16"/>
        <v>#REF!</v>
      </c>
      <c r="X55" s="244" t="e">
        <f t="shared" si="16"/>
        <v>#REF!</v>
      </c>
      <c r="Y55" s="244" t="e">
        <f t="shared" si="16"/>
        <v>#REF!</v>
      </c>
      <c r="Z55" s="244" t="e">
        <f t="shared" si="16"/>
        <v>#REF!</v>
      </c>
      <c r="AA55" s="244" t="e">
        <f t="shared" si="16"/>
        <v>#REF!</v>
      </c>
      <c r="AB55" s="244" t="e">
        <f t="shared" si="16"/>
        <v>#REF!</v>
      </c>
      <c r="AC55" s="244" t="e">
        <f t="shared" si="16"/>
        <v>#REF!</v>
      </c>
      <c r="AD55" s="244" t="e">
        <f t="shared" si="16"/>
        <v>#REF!</v>
      </c>
      <c r="AE55" s="244" t="e">
        <f t="shared" si="16"/>
        <v>#REF!</v>
      </c>
      <c r="AF55" s="244" t="e">
        <f t="shared" si="16"/>
        <v>#REF!</v>
      </c>
      <c r="AG55" s="244" t="e">
        <f t="shared" si="16"/>
        <v>#REF!</v>
      </c>
      <c r="AH55" s="237"/>
      <c r="AI55" s="242"/>
    </row>
    <row r="56" spans="1:41">
      <c r="A56" s="171" t="s">
        <v>296</v>
      </c>
      <c r="B56" s="171" t="s">
        <v>297</v>
      </c>
      <c r="C56" s="236">
        <v>18</v>
      </c>
      <c r="D56" s="236" t="e">
        <f>ROUND(C56*(1+$AH56),2)</f>
        <v>#REF!</v>
      </c>
      <c r="E56" s="236" t="e">
        <f>ROUND(D56*(1+$AH56),2)</f>
        <v>#REF!</v>
      </c>
      <c r="F56" s="236" t="e">
        <f>ROUND(E56*(1+$AH56),2)</f>
        <v>#REF!</v>
      </c>
      <c r="G56" s="236" t="e">
        <f>ROUND(F56*(1+$AH56),2)</f>
        <v>#REF!</v>
      </c>
      <c r="H56" s="236" t="e">
        <f>ROUND(G56*(1+$AH56),2)</f>
        <v>#REF!</v>
      </c>
      <c r="I56" s="236" t="e">
        <f t="shared" ref="I56:AG56" si="17">ROUND(H56*(1+$AI56),2)</f>
        <v>#REF!</v>
      </c>
      <c r="J56" s="236" t="e">
        <f t="shared" si="17"/>
        <v>#REF!</v>
      </c>
      <c r="K56" s="236" t="e">
        <f t="shared" si="17"/>
        <v>#REF!</v>
      </c>
      <c r="L56" s="236" t="e">
        <f t="shared" si="17"/>
        <v>#REF!</v>
      </c>
      <c r="M56" s="236" t="e">
        <f t="shared" si="17"/>
        <v>#REF!</v>
      </c>
      <c r="N56" s="236" t="e">
        <f t="shared" si="17"/>
        <v>#REF!</v>
      </c>
      <c r="O56" s="236" t="e">
        <f t="shared" si="17"/>
        <v>#REF!</v>
      </c>
      <c r="P56" s="236" t="e">
        <f t="shared" si="17"/>
        <v>#REF!</v>
      </c>
      <c r="Q56" s="236" t="e">
        <f t="shared" si="17"/>
        <v>#REF!</v>
      </c>
      <c r="R56" s="236" t="e">
        <f t="shared" si="17"/>
        <v>#REF!</v>
      </c>
      <c r="S56" s="236" t="e">
        <f t="shared" si="17"/>
        <v>#REF!</v>
      </c>
      <c r="T56" s="236" t="e">
        <f t="shared" si="17"/>
        <v>#REF!</v>
      </c>
      <c r="U56" s="236" t="e">
        <f t="shared" si="17"/>
        <v>#REF!</v>
      </c>
      <c r="V56" s="236" t="e">
        <f t="shared" si="17"/>
        <v>#REF!</v>
      </c>
      <c r="W56" s="236" t="e">
        <f t="shared" si="17"/>
        <v>#REF!</v>
      </c>
      <c r="X56" s="236" t="e">
        <f t="shared" si="17"/>
        <v>#REF!</v>
      </c>
      <c r="Y56" s="236" t="e">
        <f t="shared" si="17"/>
        <v>#REF!</v>
      </c>
      <c r="Z56" s="236" t="e">
        <f t="shared" si="17"/>
        <v>#REF!</v>
      </c>
      <c r="AA56" s="236" t="e">
        <f t="shared" si="17"/>
        <v>#REF!</v>
      </c>
      <c r="AB56" s="236" t="e">
        <f t="shared" si="17"/>
        <v>#REF!</v>
      </c>
      <c r="AC56" s="236" t="e">
        <f t="shared" si="17"/>
        <v>#REF!</v>
      </c>
      <c r="AD56" s="236" t="e">
        <f t="shared" si="17"/>
        <v>#REF!</v>
      </c>
      <c r="AE56" s="236" t="e">
        <f t="shared" si="17"/>
        <v>#REF!</v>
      </c>
      <c r="AF56" s="236" t="e">
        <f t="shared" si="17"/>
        <v>#REF!</v>
      </c>
      <c r="AG56" s="236" t="e">
        <f t="shared" si="17"/>
        <v>#REF!</v>
      </c>
      <c r="AH56" s="237" t="e">
        <f>#REF!</f>
        <v>#REF!</v>
      </c>
      <c r="AI56" s="237" t="e">
        <f>#REF!</f>
        <v>#REF!</v>
      </c>
      <c r="AJ56" s="290" t="s">
        <v>352</v>
      </c>
      <c r="AK56" s="290" t="s">
        <v>353</v>
      </c>
    </row>
    <row r="57" spans="1:41">
      <c r="A57" s="171" t="s">
        <v>395</v>
      </c>
      <c r="B57" s="171" t="s">
        <v>297</v>
      </c>
      <c r="C57" s="238">
        <v>9900</v>
      </c>
      <c r="D57" s="236" t="e">
        <f>C57*(1+$AH$57)</f>
        <v>#REF!</v>
      </c>
      <c r="E57" s="236" t="e">
        <f>D57*(1+$AH$57)</f>
        <v>#REF!</v>
      </c>
      <c r="F57" s="236" t="e">
        <f>E57*(1+$AH$57)</f>
        <v>#REF!</v>
      </c>
      <c r="G57" s="236" t="e">
        <f>F57*(1+$AH$57)</f>
        <v>#REF!</v>
      </c>
      <c r="H57" s="236" t="e">
        <f>G57*(1+$AH$57)</f>
        <v>#REF!</v>
      </c>
      <c r="I57" s="236" t="e">
        <f t="shared" ref="I57:R57" si="18">H57*(1+$AI$57)</f>
        <v>#REF!</v>
      </c>
      <c r="J57" s="236" t="e">
        <f t="shared" si="18"/>
        <v>#REF!</v>
      </c>
      <c r="K57" s="236" t="e">
        <f t="shared" si="18"/>
        <v>#REF!</v>
      </c>
      <c r="L57" s="236" t="e">
        <f t="shared" si="18"/>
        <v>#REF!</v>
      </c>
      <c r="M57" s="236" t="e">
        <f t="shared" si="18"/>
        <v>#REF!</v>
      </c>
      <c r="N57" s="236" t="e">
        <f t="shared" si="18"/>
        <v>#REF!</v>
      </c>
      <c r="O57" s="236" t="e">
        <f t="shared" si="18"/>
        <v>#REF!</v>
      </c>
      <c r="P57" s="236" t="e">
        <f t="shared" si="18"/>
        <v>#REF!</v>
      </c>
      <c r="Q57" s="236" t="e">
        <f t="shared" si="18"/>
        <v>#REF!</v>
      </c>
      <c r="R57" s="236" t="e">
        <f t="shared" si="18"/>
        <v>#REF!</v>
      </c>
      <c r="S57" s="236" t="e">
        <f t="shared" ref="S57:AB57" si="19">R57*(1+$AJ$57)</f>
        <v>#REF!</v>
      </c>
      <c r="T57" s="236" t="e">
        <f t="shared" si="19"/>
        <v>#REF!</v>
      </c>
      <c r="U57" s="236" t="e">
        <f t="shared" si="19"/>
        <v>#REF!</v>
      </c>
      <c r="V57" s="236" t="e">
        <f t="shared" si="19"/>
        <v>#REF!</v>
      </c>
      <c r="W57" s="236" t="e">
        <f t="shared" si="19"/>
        <v>#REF!</v>
      </c>
      <c r="X57" s="236" t="e">
        <f t="shared" si="19"/>
        <v>#REF!</v>
      </c>
      <c r="Y57" s="236" t="e">
        <f t="shared" si="19"/>
        <v>#REF!</v>
      </c>
      <c r="Z57" s="236" t="e">
        <f t="shared" si="19"/>
        <v>#REF!</v>
      </c>
      <c r="AA57" s="236" t="e">
        <f t="shared" si="19"/>
        <v>#REF!</v>
      </c>
      <c r="AB57" s="236" t="e">
        <f t="shared" si="19"/>
        <v>#REF!</v>
      </c>
      <c r="AC57" s="236" t="e">
        <f>AB57*(1+$AK$57)</f>
        <v>#REF!</v>
      </c>
      <c r="AD57" s="236" t="e">
        <f t="shared" ref="AD57:AG57" si="20">AC57*(1+$AK$57)</f>
        <v>#REF!</v>
      </c>
      <c r="AE57" s="236" t="e">
        <f t="shared" si="20"/>
        <v>#REF!</v>
      </c>
      <c r="AF57" s="236" t="e">
        <f t="shared" si="20"/>
        <v>#REF!</v>
      </c>
      <c r="AG57" s="236" t="e">
        <f t="shared" si="20"/>
        <v>#REF!</v>
      </c>
      <c r="AH57" s="245" t="e">
        <f>#REF!</f>
        <v>#REF!</v>
      </c>
      <c r="AI57" s="245" t="e">
        <f>#REF!</f>
        <v>#REF!</v>
      </c>
      <c r="AJ57" s="245" t="e">
        <f>#REF!</f>
        <v>#REF!</v>
      </c>
      <c r="AK57" s="245" t="e">
        <f>#REF!</f>
        <v>#REF!</v>
      </c>
      <c r="AL57" s="173">
        <v>2030</v>
      </c>
      <c r="AM57" s="173">
        <v>2040</v>
      </c>
      <c r="AN57" s="173">
        <v>2050</v>
      </c>
      <c r="AO57" s="173">
        <v>2055</v>
      </c>
    </row>
    <row r="58" spans="1:41">
      <c r="A58" s="171" t="s">
        <v>396</v>
      </c>
      <c r="B58" s="171" t="s">
        <v>298</v>
      </c>
      <c r="C58" s="236">
        <v>36000</v>
      </c>
      <c r="D58" s="236" t="e">
        <f t="shared" ref="D58:R58" si="21">ROUND(C58*(1+$AH58),2)</f>
        <v>#REF!</v>
      </c>
      <c r="E58" s="236" t="e">
        <f t="shared" si="21"/>
        <v>#REF!</v>
      </c>
      <c r="F58" s="236" t="e">
        <f t="shared" si="21"/>
        <v>#REF!</v>
      </c>
      <c r="G58" s="236" t="e">
        <f t="shared" si="21"/>
        <v>#REF!</v>
      </c>
      <c r="H58" s="236" t="e">
        <f t="shared" si="21"/>
        <v>#REF!</v>
      </c>
      <c r="I58" s="236" t="e">
        <f t="shared" si="21"/>
        <v>#REF!</v>
      </c>
      <c r="J58" s="236" t="e">
        <f t="shared" si="21"/>
        <v>#REF!</v>
      </c>
      <c r="K58" s="236" t="e">
        <f t="shared" si="21"/>
        <v>#REF!</v>
      </c>
      <c r="L58" s="236" t="e">
        <f t="shared" si="21"/>
        <v>#REF!</v>
      </c>
      <c r="M58" s="236" t="e">
        <f t="shared" si="21"/>
        <v>#REF!</v>
      </c>
      <c r="N58" s="236" t="e">
        <f t="shared" si="21"/>
        <v>#REF!</v>
      </c>
      <c r="O58" s="236" t="e">
        <f t="shared" si="21"/>
        <v>#REF!</v>
      </c>
      <c r="P58" s="236" t="e">
        <f t="shared" si="21"/>
        <v>#REF!</v>
      </c>
      <c r="Q58" s="236" t="e">
        <f t="shared" si="21"/>
        <v>#REF!</v>
      </c>
      <c r="R58" s="236" t="e">
        <f t="shared" si="21"/>
        <v>#REF!</v>
      </c>
      <c r="S58" s="236" t="e">
        <f>ROUND(R58*(1+$AI58),2)</f>
        <v>#REF!</v>
      </c>
      <c r="T58" s="236" t="e">
        <f t="shared" ref="T58:AG58" si="22">ROUND(S58*(1+$AI58),2)</f>
        <v>#REF!</v>
      </c>
      <c r="U58" s="236" t="e">
        <f t="shared" si="22"/>
        <v>#REF!</v>
      </c>
      <c r="V58" s="236" t="e">
        <f t="shared" si="22"/>
        <v>#REF!</v>
      </c>
      <c r="W58" s="236" t="e">
        <f t="shared" si="22"/>
        <v>#REF!</v>
      </c>
      <c r="X58" s="236" t="e">
        <f t="shared" si="22"/>
        <v>#REF!</v>
      </c>
      <c r="Y58" s="236" t="e">
        <f t="shared" si="22"/>
        <v>#REF!</v>
      </c>
      <c r="Z58" s="236" t="e">
        <f t="shared" si="22"/>
        <v>#REF!</v>
      </c>
      <c r="AA58" s="236" t="e">
        <f t="shared" si="22"/>
        <v>#REF!</v>
      </c>
      <c r="AB58" s="236" t="e">
        <f t="shared" si="22"/>
        <v>#REF!</v>
      </c>
      <c r="AC58" s="236" t="e">
        <f t="shared" si="22"/>
        <v>#REF!</v>
      </c>
      <c r="AD58" s="236" t="e">
        <f t="shared" si="22"/>
        <v>#REF!</v>
      </c>
      <c r="AE58" s="236" t="e">
        <f t="shared" si="22"/>
        <v>#REF!</v>
      </c>
      <c r="AF58" s="236" t="e">
        <f t="shared" si="22"/>
        <v>#REF!</v>
      </c>
      <c r="AG58" s="236" t="e">
        <f t="shared" si="22"/>
        <v>#REF!</v>
      </c>
      <c r="AH58" s="245" t="e">
        <f>#REF!</f>
        <v>#REF!</v>
      </c>
      <c r="AI58" s="245" t="e">
        <f>#REF!</f>
        <v>#REF!</v>
      </c>
      <c r="AJ58" s="290" t="s">
        <v>354</v>
      </c>
      <c r="AK58" s="291" t="s">
        <v>355</v>
      </c>
    </row>
    <row r="59" spans="1:41" s="247" customFormat="1" ht="9.75" customHeight="1">
      <c r="A59" s="246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8"/>
      <c r="AG59" s="248"/>
      <c r="AH59" s="249"/>
    </row>
    <row r="60" spans="1:41">
      <c r="A60" s="171" t="s">
        <v>397</v>
      </c>
      <c r="B60" s="171" t="s">
        <v>290</v>
      </c>
      <c r="C60" s="236">
        <v>3050</v>
      </c>
      <c r="D60" s="236" t="e">
        <f>ROUND((C60*(1+$AH60))/10,0)*10</f>
        <v>#REF!</v>
      </c>
      <c r="E60" s="236" t="e">
        <f>ROUND((D60*(1+$AH60))/10,0)*10</f>
        <v>#REF!</v>
      </c>
      <c r="F60" s="236" t="e">
        <f>ROUND((E60*(1+$AH60))/10,0)*10</f>
        <v>#REF!</v>
      </c>
      <c r="G60" s="236" t="e">
        <f t="shared" ref="G60:AG60" si="23">ROUND((F60*(1+$AH60))/10,0)*10</f>
        <v>#REF!</v>
      </c>
      <c r="H60" s="236" t="e">
        <f t="shared" si="23"/>
        <v>#REF!</v>
      </c>
      <c r="I60" s="236" t="e">
        <f t="shared" si="23"/>
        <v>#REF!</v>
      </c>
      <c r="J60" s="236" t="e">
        <f t="shared" si="23"/>
        <v>#REF!</v>
      </c>
      <c r="K60" s="236" t="e">
        <f t="shared" si="23"/>
        <v>#REF!</v>
      </c>
      <c r="L60" s="236" t="e">
        <f t="shared" si="23"/>
        <v>#REF!</v>
      </c>
      <c r="M60" s="236" t="e">
        <f t="shared" si="23"/>
        <v>#REF!</v>
      </c>
      <c r="N60" s="236" t="e">
        <f t="shared" si="23"/>
        <v>#REF!</v>
      </c>
      <c r="O60" s="236" t="e">
        <f t="shared" si="23"/>
        <v>#REF!</v>
      </c>
      <c r="P60" s="236" t="e">
        <f t="shared" si="23"/>
        <v>#REF!</v>
      </c>
      <c r="Q60" s="236" t="e">
        <f t="shared" si="23"/>
        <v>#REF!</v>
      </c>
      <c r="R60" s="236" t="e">
        <f t="shared" si="23"/>
        <v>#REF!</v>
      </c>
      <c r="S60" s="236" t="e">
        <f t="shared" si="23"/>
        <v>#REF!</v>
      </c>
      <c r="T60" s="236" t="e">
        <f t="shared" si="23"/>
        <v>#REF!</v>
      </c>
      <c r="U60" s="236" t="e">
        <f t="shared" si="23"/>
        <v>#REF!</v>
      </c>
      <c r="V60" s="236" t="e">
        <f t="shared" si="23"/>
        <v>#REF!</v>
      </c>
      <c r="W60" s="236" t="e">
        <f t="shared" si="23"/>
        <v>#REF!</v>
      </c>
      <c r="X60" s="236" t="e">
        <f t="shared" si="23"/>
        <v>#REF!</v>
      </c>
      <c r="Y60" s="236" t="e">
        <f t="shared" si="23"/>
        <v>#REF!</v>
      </c>
      <c r="Z60" s="236" t="e">
        <f t="shared" si="23"/>
        <v>#REF!</v>
      </c>
      <c r="AA60" s="236" t="e">
        <f t="shared" si="23"/>
        <v>#REF!</v>
      </c>
      <c r="AB60" s="236" t="e">
        <f t="shared" si="23"/>
        <v>#REF!</v>
      </c>
      <c r="AC60" s="236" t="e">
        <f t="shared" si="23"/>
        <v>#REF!</v>
      </c>
      <c r="AD60" s="236" t="e">
        <f t="shared" si="23"/>
        <v>#REF!</v>
      </c>
      <c r="AE60" s="236" t="e">
        <f t="shared" si="23"/>
        <v>#REF!</v>
      </c>
      <c r="AF60" s="236" t="e">
        <f t="shared" si="23"/>
        <v>#REF!</v>
      </c>
      <c r="AG60" s="236" t="e">
        <f t="shared" si="23"/>
        <v>#REF!</v>
      </c>
      <c r="AH60" s="245" t="e">
        <f>#REF!</f>
        <v>#REF!</v>
      </c>
    </row>
    <row r="61" spans="1:41">
      <c r="A61" s="171" t="s">
        <v>398</v>
      </c>
      <c r="B61" s="171" t="s">
        <v>290</v>
      </c>
      <c r="C61" s="236">
        <v>56000</v>
      </c>
      <c r="D61" s="236" t="e">
        <f>ROUND((C61*(1+$AH61))/1000,0)*1000</f>
        <v>#REF!</v>
      </c>
      <c r="E61" s="236" t="e">
        <f t="shared" ref="E61:R61" si="24">ROUND((D61*(1+$AH61))/1000,0)*1000</f>
        <v>#REF!</v>
      </c>
      <c r="F61" s="236" t="e">
        <f t="shared" si="24"/>
        <v>#REF!</v>
      </c>
      <c r="G61" s="236" t="e">
        <f t="shared" si="24"/>
        <v>#REF!</v>
      </c>
      <c r="H61" s="236" t="e">
        <f t="shared" si="24"/>
        <v>#REF!</v>
      </c>
      <c r="I61" s="236" t="e">
        <f t="shared" si="24"/>
        <v>#REF!</v>
      </c>
      <c r="J61" s="236" t="e">
        <f t="shared" si="24"/>
        <v>#REF!</v>
      </c>
      <c r="K61" s="236" t="e">
        <f t="shared" si="24"/>
        <v>#REF!</v>
      </c>
      <c r="L61" s="236" t="e">
        <f t="shared" si="24"/>
        <v>#REF!</v>
      </c>
      <c r="M61" s="236" t="e">
        <f t="shared" si="24"/>
        <v>#REF!</v>
      </c>
      <c r="N61" s="236" t="e">
        <f t="shared" si="24"/>
        <v>#REF!</v>
      </c>
      <c r="O61" s="236" t="e">
        <f t="shared" si="24"/>
        <v>#REF!</v>
      </c>
      <c r="P61" s="236" t="e">
        <f t="shared" si="24"/>
        <v>#REF!</v>
      </c>
      <c r="Q61" s="236" t="e">
        <f t="shared" si="24"/>
        <v>#REF!</v>
      </c>
      <c r="R61" s="236" t="e">
        <f t="shared" si="24"/>
        <v>#REF!</v>
      </c>
      <c r="S61" s="236" t="e">
        <f>ROUND((R61*(1+$AI61))/100,0)*100</f>
        <v>#REF!</v>
      </c>
      <c r="T61" s="236" t="e">
        <f>ROUND((S61*(1+$AI61))/100,0)*100</f>
        <v>#REF!</v>
      </c>
      <c r="U61" s="236" t="e">
        <f>ROUND((T61*(1+$AI61))/100,0)*100</f>
        <v>#REF!</v>
      </c>
      <c r="V61" s="236" t="e">
        <f t="shared" ref="V61:AG61" si="25">ROUND((U61*(1+$AI61))/100,0)*100</f>
        <v>#REF!</v>
      </c>
      <c r="W61" s="236" t="e">
        <f t="shared" si="25"/>
        <v>#REF!</v>
      </c>
      <c r="X61" s="236" t="e">
        <f t="shared" si="25"/>
        <v>#REF!</v>
      </c>
      <c r="Y61" s="236" t="e">
        <f t="shared" si="25"/>
        <v>#REF!</v>
      </c>
      <c r="Z61" s="236" t="e">
        <f t="shared" si="25"/>
        <v>#REF!</v>
      </c>
      <c r="AA61" s="236" t="e">
        <f t="shared" si="25"/>
        <v>#REF!</v>
      </c>
      <c r="AB61" s="236" t="e">
        <f t="shared" si="25"/>
        <v>#REF!</v>
      </c>
      <c r="AC61" s="236" t="e">
        <f t="shared" si="25"/>
        <v>#REF!</v>
      </c>
      <c r="AD61" s="236" t="e">
        <f t="shared" si="25"/>
        <v>#REF!</v>
      </c>
      <c r="AE61" s="236" t="e">
        <f t="shared" si="25"/>
        <v>#REF!</v>
      </c>
      <c r="AF61" s="236" t="e">
        <f t="shared" si="25"/>
        <v>#REF!</v>
      </c>
      <c r="AG61" s="236" t="e">
        <f t="shared" si="25"/>
        <v>#REF!</v>
      </c>
      <c r="AH61" s="245" t="e">
        <f>#REF!</f>
        <v>#REF!</v>
      </c>
      <c r="AI61" s="232" t="e">
        <f>#REF!</f>
        <v>#REF!</v>
      </c>
      <c r="AJ61" s="290" t="s">
        <v>354</v>
      </c>
      <c r="AK61" s="291" t="s">
        <v>355</v>
      </c>
    </row>
    <row r="62" spans="1:41">
      <c r="A62" s="171" t="s">
        <v>399</v>
      </c>
      <c r="B62" s="171" t="s">
        <v>309</v>
      </c>
      <c r="C62" s="236" t="e">
        <f>C14</f>
        <v>#REF!</v>
      </c>
      <c r="D62" s="236" t="e">
        <f>ROUND((C62*(1+$AH62))/1000,0)*1000</f>
        <v>#REF!</v>
      </c>
      <c r="E62" s="236" t="e">
        <f>ROUND((D62*(1+$AH62))/1000,0)*1000</f>
        <v>#REF!</v>
      </c>
      <c r="F62" s="236" t="e">
        <f>ROUND((E62*(1+$AH62))/1000,0)*1000</f>
        <v>#REF!</v>
      </c>
      <c r="G62" s="236" t="e">
        <f>ROUND((F62*(1+$AI62))/1000,0)*1000</f>
        <v>#REF!</v>
      </c>
      <c r="H62" s="236" t="e">
        <f>ROUND((G62*(1+$AH62))/1000,0)*1000</f>
        <v>#REF!</v>
      </c>
      <c r="I62" s="236" t="e">
        <f t="shared" ref="I62:AG62" si="26">ROUND((H62*(1+$AI62))/1000,0)*1000</f>
        <v>#REF!</v>
      </c>
      <c r="J62" s="236" t="e">
        <f t="shared" si="26"/>
        <v>#REF!</v>
      </c>
      <c r="K62" s="236" t="e">
        <f t="shared" si="26"/>
        <v>#REF!</v>
      </c>
      <c r="L62" s="236" t="e">
        <f t="shared" si="26"/>
        <v>#REF!</v>
      </c>
      <c r="M62" s="236" t="e">
        <f t="shared" si="26"/>
        <v>#REF!</v>
      </c>
      <c r="N62" s="236" t="e">
        <f t="shared" si="26"/>
        <v>#REF!</v>
      </c>
      <c r="O62" s="236" t="e">
        <f t="shared" si="26"/>
        <v>#REF!</v>
      </c>
      <c r="P62" s="236" t="e">
        <f t="shared" si="26"/>
        <v>#REF!</v>
      </c>
      <c r="Q62" s="236" t="e">
        <f t="shared" si="26"/>
        <v>#REF!</v>
      </c>
      <c r="R62" s="236" t="e">
        <f t="shared" si="26"/>
        <v>#REF!</v>
      </c>
      <c r="S62" s="236" t="e">
        <f t="shared" si="26"/>
        <v>#REF!</v>
      </c>
      <c r="T62" s="236" t="e">
        <f t="shared" si="26"/>
        <v>#REF!</v>
      </c>
      <c r="U62" s="236" t="e">
        <f t="shared" si="26"/>
        <v>#REF!</v>
      </c>
      <c r="V62" s="236" t="e">
        <f t="shared" si="26"/>
        <v>#REF!</v>
      </c>
      <c r="W62" s="236" t="e">
        <f t="shared" si="26"/>
        <v>#REF!</v>
      </c>
      <c r="X62" s="236" t="e">
        <f t="shared" si="26"/>
        <v>#REF!</v>
      </c>
      <c r="Y62" s="236" t="e">
        <f t="shared" si="26"/>
        <v>#REF!</v>
      </c>
      <c r="Z62" s="236" t="e">
        <f t="shared" si="26"/>
        <v>#REF!</v>
      </c>
      <c r="AA62" s="236" t="e">
        <f t="shared" si="26"/>
        <v>#REF!</v>
      </c>
      <c r="AB62" s="236" t="e">
        <f t="shared" si="26"/>
        <v>#REF!</v>
      </c>
      <c r="AC62" s="236" t="e">
        <f t="shared" si="26"/>
        <v>#REF!</v>
      </c>
      <c r="AD62" s="236" t="e">
        <f t="shared" si="26"/>
        <v>#REF!</v>
      </c>
      <c r="AE62" s="236" t="e">
        <f t="shared" si="26"/>
        <v>#REF!</v>
      </c>
      <c r="AF62" s="236" t="e">
        <f t="shared" si="26"/>
        <v>#REF!</v>
      </c>
      <c r="AG62" s="236" t="e">
        <f t="shared" si="26"/>
        <v>#REF!</v>
      </c>
      <c r="AH62" s="245" t="e">
        <f>#REF!</f>
        <v>#REF!</v>
      </c>
      <c r="AI62" s="232" t="e">
        <f>#REF!</f>
        <v>#REF!</v>
      </c>
      <c r="AJ62" s="290" t="s">
        <v>352</v>
      </c>
      <c r="AK62" s="291" t="s">
        <v>353</v>
      </c>
    </row>
    <row r="63" spans="1:41" s="247" customFormat="1" ht="9.75" customHeight="1">
      <c r="A63" s="246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  <c r="AE63" s="248"/>
      <c r="AF63" s="248"/>
      <c r="AG63" s="248"/>
      <c r="AH63" s="249"/>
    </row>
    <row r="64" spans="1:41">
      <c r="A64" s="293" t="s">
        <v>356</v>
      </c>
      <c r="B64" s="171" t="s">
        <v>300</v>
      </c>
      <c r="C64" s="304" t="e">
        <f>#REF!/($C$27*$C$28)</f>
        <v>#REF!</v>
      </c>
      <c r="D64" s="250" t="e">
        <f t="shared" ref="D64:AG67" si="27">ROUND(C64*(1+$AH64),2)</f>
        <v>#REF!</v>
      </c>
      <c r="E64" s="250" t="e">
        <f t="shared" si="27"/>
        <v>#REF!</v>
      </c>
      <c r="F64" s="250" t="e">
        <f t="shared" si="27"/>
        <v>#REF!</v>
      </c>
      <c r="G64" s="250" t="e">
        <f t="shared" si="27"/>
        <v>#REF!</v>
      </c>
      <c r="H64" s="250" t="e">
        <f t="shared" si="27"/>
        <v>#REF!</v>
      </c>
      <c r="I64" s="250" t="e">
        <f t="shared" si="27"/>
        <v>#REF!</v>
      </c>
      <c r="J64" s="250" t="e">
        <f t="shared" si="27"/>
        <v>#REF!</v>
      </c>
      <c r="K64" s="250" t="e">
        <f t="shared" si="27"/>
        <v>#REF!</v>
      </c>
      <c r="L64" s="250" t="e">
        <f t="shared" si="27"/>
        <v>#REF!</v>
      </c>
      <c r="M64" s="250" t="e">
        <f t="shared" si="27"/>
        <v>#REF!</v>
      </c>
      <c r="N64" s="250" t="e">
        <f t="shared" si="27"/>
        <v>#REF!</v>
      </c>
      <c r="O64" s="250" t="e">
        <f t="shared" si="27"/>
        <v>#REF!</v>
      </c>
      <c r="P64" s="250" t="e">
        <f t="shared" si="27"/>
        <v>#REF!</v>
      </c>
      <c r="Q64" s="250" t="e">
        <f t="shared" si="27"/>
        <v>#REF!</v>
      </c>
      <c r="R64" s="250" t="e">
        <f t="shared" si="27"/>
        <v>#REF!</v>
      </c>
      <c r="S64" s="250" t="e">
        <f t="shared" si="27"/>
        <v>#REF!</v>
      </c>
      <c r="T64" s="250" t="e">
        <f t="shared" si="27"/>
        <v>#REF!</v>
      </c>
      <c r="U64" s="250" t="e">
        <f t="shared" si="27"/>
        <v>#REF!</v>
      </c>
      <c r="V64" s="250" t="e">
        <f t="shared" si="27"/>
        <v>#REF!</v>
      </c>
      <c r="W64" s="250" t="e">
        <f t="shared" si="27"/>
        <v>#REF!</v>
      </c>
      <c r="X64" s="250" t="e">
        <f t="shared" si="27"/>
        <v>#REF!</v>
      </c>
      <c r="Y64" s="250" t="e">
        <f t="shared" si="27"/>
        <v>#REF!</v>
      </c>
      <c r="Z64" s="250" t="e">
        <f t="shared" si="27"/>
        <v>#REF!</v>
      </c>
      <c r="AA64" s="250" t="e">
        <f t="shared" si="27"/>
        <v>#REF!</v>
      </c>
      <c r="AB64" s="250" t="e">
        <f t="shared" si="27"/>
        <v>#REF!</v>
      </c>
      <c r="AC64" s="250" t="e">
        <f t="shared" si="27"/>
        <v>#REF!</v>
      </c>
      <c r="AD64" s="250" t="e">
        <f t="shared" si="27"/>
        <v>#REF!</v>
      </c>
      <c r="AE64" s="250" t="e">
        <f t="shared" si="27"/>
        <v>#REF!</v>
      </c>
      <c r="AF64" s="250" t="e">
        <f t="shared" si="27"/>
        <v>#REF!</v>
      </c>
      <c r="AG64" s="250" t="e">
        <f t="shared" si="27"/>
        <v>#REF!</v>
      </c>
      <c r="AH64" s="245" t="e">
        <f>#REF!</f>
        <v>#REF!</v>
      </c>
    </row>
    <row r="65" spans="1:36">
      <c r="A65" s="293" t="s">
        <v>357</v>
      </c>
      <c r="B65" s="171" t="s">
        <v>300</v>
      </c>
      <c r="C65" s="250" t="e">
        <f>C64+0.5</f>
        <v>#REF!</v>
      </c>
      <c r="D65" s="250" t="e">
        <f t="shared" si="27"/>
        <v>#REF!</v>
      </c>
      <c r="E65" s="250" t="e">
        <f t="shared" si="27"/>
        <v>#REF!</v>
      </c>
      <c r="F65" s="250" t="e">
        <f t="shared" si="27"/>
        <v>#REF!</v>
      </c>
      <c r="G65" s="250" t="e">
        <f t="shared" si="27"/>
        <v>#REF!</v>
      </c>
      <c r="H65" s="250" t="e">
        <f t="shared" si="27"/>
        <v>#REF!</v>
      </c>
      <c r="I65" s="250" t="e">
        <f t="shared" si="27"/>
        <v>#REF!</v>
      </c>
      <c r="J65" s="250" t="e">
        <f t="shared" si="27"/>
        <v>#REF!</v>
      </c>
      <c r="K65" s="250" t="e">
        <f t="shared" si="27"/>
        <v>#REF!</v>
      </c>
      <c r="L65" s="250" t="e">
        <f t="shared" si="27"/>
        <v>#REF!</v>
      </c>
      <c r="M65" s="250" t="e">
        <f t="shared" si="27"/>
        <v>#REF!</v>
      </c>
      <c r="N65" s="250" t="e">
        <f t="shared" si="27"/>
        <v>#REF!</v>
      </c>
      <c r="O65" s="250" t="e">
        <f t="shared" si="27"/>
        <v>#REF!</v>
      </c>
      <c r="P65" s="250" t="e">
        <f t="shared" si="27"/>
        <v>#REF!</v>
      </c>
      <c r="Q65" s="250" t="e">
        <f t="shared" si="27"/>
        <v>#REF!</v>
      </c>
      <c r="R65" s="250" t="e">
        <f t="shared" si="27"/>
        <v>#REF!</v>
      </c>
      <c r="S65" s="250" t="e">
        <f t="shared" si="27"/>
        <v>#REF!</v>
      </c>
      <c r="T65" s="250" t="e">
        <f t="shared" si="27"/>
        <v>#REF!</v>
      </c>
      <c r="U65" s="250" t="e">
        <f t="shared" si="27"/>
        <v>#REF!</v>
      </c>
      <c r="V65" s="250" t="e">
        <f t="shared" si="27"/>
        <v>#REF!</v>
      </c>
      <c r="W65" s="250" t="e">
        <f t="shared" si="27"/>
        <v>#REF!</v>
      </c>
      <c r="X65" s="250" t="e">
        <f t="shared" si="27"/>
        <v>#REF!</v>
      </c>
      <c r="Y65" s="250" t="e">
        <f t="shared" si="27"/>
        <v>#REF!</v>
      </c>
      <c r="Z65" s="250" t="e">
        <f t="shared" si="27"/>
        <v>#REF!</v>
      </c>
      <c r="AA65" s="250" t="e">
        <f t="shared" si="27"/>
        <v>#REF!</v>
      </c>
      <c r="AB65" s="250" t="e">
        <f t="shared" si="27"/>
        <v>#REF!</v>
      </c>
      <c r="AC65" s="250" t="e">
        <f t="shared" si="27"/>
        <v>#REF!</v>
      </c>
      <c r="AD65" s="250" t="e">
        <f t="shared" si="27"/>
        <v>#REF!</v>
      </c>
      <c r="AE65" s="250" t="e">
        <f t="shared" si="27"/>
        <v>#REF!</v>
      </c>
      <c r="AF65" s="250" t="e">
        <f t="shared" si="27"/>
        <v>#REF!</v>
      </c>
      <c r="AG65" s="250" t="e">
        <f t="shared" si="27"/>
        <v>#REF!</v>
      </c>
      <c r="AH65" s="245" t="e">
        <f>#REF!</f>
        <v>#REF!</v>
      </c>
    </row>
    <row r="66" spans="1:36">
      <c r="A66" s="171" t="s">
        <v>400</v>
      </c>
      <c r="B66" s="171" t="s">
        <v>300</v>
      </c>
      <c r="C66" s="250" t="e">
        <f>C15</f>
        <v>#REF!</v>
      </c>
      <c r="D66" s="250" t="e">
        <f t="shared" si="27"/>
        <v>#REF!</v>
      </c>
      <c r="E66" s="250" t="e">
        <f t="shared" si="27"/>
        <v>#REF!</v>
      </c>
      <c r="F66" s="250" t="e">
        <f t="shared" si="27"/>
        <v>#REF!</v>
      </c>
      <c r="G66" s="250" t="e">
        <f t="shared" si="27"/>
        <v>#REF!</v>
      </c>
      <c r="H66" s="250" t="e">
        <f t="shared" si="27"/>
        <v>#REF!</v>
      </c>
      <c r="I66" s="250" t="e">
        <f t="shared" si="27"/>
        <v>#REF!</v>
      </c>
      <c r="J66" s="250" t="e">
        <f t="shared" si="27"/>
        <v>#REF!</v>
      </c>
      <c r="K66" s="250" t="e">
        <f t="shared" si="27"/>
        <v>#REF!</v>
      </c>
      <c r="L66" s="250" t="e">
        <f t="shared" si="27"/>
        <v>#REF!</v>
      </c>
      <c r="M66" s="250" t="e">
        <f t="shared" si="27"/>
        <v>#REF!</v>
      </c>
      <c r="N66" s="250" t="e">
        <f t="shared" si="27"/>
        <v>#REF!</v>
      </c>
      <c r="O66" s="250" t="e">
        <f t="shared" si="27"/>
        <v>#REF!</v>
      </c>
      <c r="P66" s="250" t="e">
        <f t="shared" si="27"/>
        <v>#REF!</v>
      </c>
      <c r="Q66" s="250" t="e">
        <f t="shared" si="27"/>
        <v>#REF!</v>
      </c>
      <c r="R66" s="250" t="e">
        <f t="shared" si="27"/>
        <v>#REF!</v>
      </c>
      <c r="S66" s="250" t="e">
        <f t="shared" si="27"/>
        <v>#REF!</v>
      </c>
      <c r="T66" s="250" t="e">
        <f t="shared" si="27"/>
        <v>#REF!</v>
      </c>
      <c r="U66" s="250" t="e">
        <f t="shared" si="27"/>
        <v>#REF!</v>
      </c>
      <c r="V66" s="250" t="e">
        <f t="shared" si="27"/>
        <v>#REF!</v>
      </c>
      <c r="W66" s="250" t="e">
        <f t="shared" si="27"/>
        <v>#REF!</v>
      </c>
      <c r="X66" s="250" t="e">
        <f t="shared" si="27"/>
        <v>#REF!</v>
      </c>
      <c r="Y66" s="250" t="e">
        <f t="shared" si="27"/>
        <v>#REF!</v>
      </c>
      <c r="Z66" s="250" t="e">
        <f t="shared" si="27"/>
        <v>#REF!</v>
      </c>
      <c r="AA66" s="250" t="e">
        <f t="shared" si="27"/>
        <v>#REF!</v>
      </c>
      <c r="AB66" s="250" t="e">
        <f t="shared" si="27"/>
        <v>#REF!</v>
      </c>
      <c r="AC66" s="250" t="e">
        <f t="shared" si="27"/>
        <v>#REF!</v>
      </c>
      <c r="AD66" s="250" t="e">
        <f t="shared" si="27"/>
        <v>#REF!</v>
      </c>
      <c r="AE66" s="250" t="e">
        <f t="shared" si="27"/>
        <v>#REF!</v>
      </c>
      <c r="AF66" s="250" t="e">
        <f t="shared" si="27"/>
        <v>#REF!</v>
      </c>
      <c r="AG66" s="250" t="e">
        <f t="shared" si="27"/>
        <v>#REF!</v>
      </c>
      <c r="AH66" s="245" t="e">
        <f>#REF!</f>
        <v>#REF!</v>
      </c>
    </row>
    <row r="67" spans="1:36">
      <c r="A67" s="171" t="s">
        <v>401</v>
      </c>
      <c r="B67" s="171" t="s">
        <v>300</v>
      </c>
      <c r="C67" s="250" t="e">
        <f>C66+0.5</f>
        <v>#REF!</v>
      </c>
      <c r="D67" s="250" t="e">
        <f t="shared" si="27"/>
        <v>#REF!</v>
      </c>
      <c r="E67" s="250" t="e">
        <f t="shared" si="27"/>
        <v>#REF!</v>
      </c>
      <c r="F67" s="250" t="e">
        <f t="shared" si="27"/>
        <v>#REF!</v>
      </c>
      <c r="G67" s="250" t="e">
        <f t="shared" si="27"/>
        <v>#REF!</v>
      </c>
      <c r="H67" s="250" t="e">
        <f t="shared" si="27"/>
        <v>#REF!</v>
      </c>
      <c r="I67" s="250" t="e">
        <f t="shared" si="27"/>
        <v>#REF!</v>
      </c>
      <c r="J67" s="250" t="e">
        <f t="shared" si="27"/>
        <v>#REF!</v>
      </c>
      <c r="K67" s="250" t="e">
        <f t="shared" si="27"/>
        <v>#REF!</v>
      </c>
      <c r="L67" s="250" t="e">
        <f t="shared" si="27"/>
        <v>#REF!</v>
      </c>
      <c r="M67" s="250" t="e">
        <f t="shared" si="27"/>
        <v>#REF!</v>
      </c>
      <c r="N67" s="250" t="e">
        <f t="shared" si="27"/>
        <v>#REF!</v>
      </c>
      <c r="O67" s="250" t="e">
        <f t="shared" si="27"/>
        <v>#REF!</v>
      </c>
      <c r="P67" s="250" t="e">
        <f t="shared" si="27"/>
        <v>#REF!</v>
      </c>
      <c r="Q67" s="250" t="e">
        <f t="shared" si="27"/>
        <v>#REF!</v>
      </c>
      <c r="R67" s="250" t="e">
        <f t="shared" si="27"/>
        <v>#REF!</v>
      </c>
      <c r="S67" s="250" t="e">
        <f t="shared" si="27"/>
        <v>#REF!</v>
      </c>
      <c r="T67" s="250" t="e">
        <f t="shared" si="27"/>
        <v>#REF!</v>
      </c>
      <c r="U67" s="250" t="e">
        <f t="shared" si="27"/>
        <v>#REF!</v>
      </c>
      <c r="V67" s="250" t="e">
        <f t="shared" si="27"/>
        <v>#REF!</v>
      </c>
      <c r="W67" s="250" t="e">
        <f t="shared" si="27"/>
        <v>#REF!</v>
      </c>
      <c r="X67" s="250" t="e">
        <f t="shared" si="27"/>
        <v>#REF!</v>
      </c>
      <c r="Y67" s="250" t="e">
        <f t="shared" si="27"/>
        <v>#REF!</v>
      </c>
      <c r="Z67" s="250" t="e">
        <f t="shared" si="27"/>
        <v>#REF!</v>
      </c>
      <c r="AA67" s="250" t="e">
        <f t="shared" si="27"/>
        <v>#REF!</v>
      </c>
      <c r="AB67" s="250" t="e">
        <f t="shared" si="27"/>
        <v>#REF!</v>
      </c>
      <c r="AC67" s="250" t="e">
        <f t="shared" si="27"/>
        <v>#REF!</v>
      </c>
      <c r="AD67" s="250" t="e">
        <f t="shared" si="27"/>
        <v>#REF!</v>
      </c>
      <c r="AE67" s="250" t="e">
        <f t="shared" si="27"/>
        <v>#REF!</v>
      </c>
      <c r="AF67" s="250" t="e">
        <f t="shared" si="27"/>
        <v>#REF!</v>
      </c>
      <c r="AG67" s="250" t="e">
        <f t="shared" si="27"/>
        <v>#REF!</v>
      </c>
      <c r="AH67" s="245" t="e">
        <f>#REF!</f>
        <v>#REF!</v>
      </c>
    </row>
    <row r="68" spans="1:36">
      <c r="A68" s="171" t="s">
        <v>402</v>
      </c>
      <c r="B68" s="171" t="s">
        <v>300</v>
      </c>
      <c r="C68" s="250" t="e">
        <f>#REF!</f>
        <v>#REF!</v>
      </c>
      <c r="D68" s="250" t="e">
        <f>ROUND(C68*(1+$AH68),2)</f>
        <v>#REF!</v>
      </c>
      <c r="E68" s="250" t="e">
        <f>ROUND(D68*(1+$AH68),2)</f>
        <v>#REF!</v>
      </c>
      <c r="F68" s="250" t="e">
        <f>ROUND(E68*(1+$AH68),2)</f>
        <v>#REF!</v>
      </c>
      <c r="G68" s="250" t="e">
        <f>ROUND(F68*(1+$AH68),2)</f>
        <v>#REF!</v>
      </c>
      <c r="H68" s="250" t="e">
        <f>ROUND(G68*(1+$AH68),2)</f>
        <v>#REF!</v>
      </c>
      <c r="I68" s="250" t="e">
        <f>ROUND(H68*(1+$AI68),2)</f>
        <v>#REF!</v>
      </c>
      <c r="J68" s="250" t="e">
        <f t="shared" ref="J68:AG68" si="28">ROUND(I68*(1+$AI68),2)</f>
        <v>#REF!</v>
      </c>
      <c r="K68" s="250" t="e">
        <f t="shared" si="28"/>
        <v>#REF!</v>
      </c>
      <c r="L68" s="250" t="e">
        <f t="shared" si="28"/>
        <v>#REF!</v>
      </c>
      <c r="M68" s="250" t="e">
        <f t="shared" si="28"/>
        <v>#REF!</v>
      </c>
      <c r="N68" s="250" t="e">
        <f t="shared" si="28"/>
        <v>#REF!</v>
      </c>
      <c r="O68" s="250" t="e">
        <f t="shared" si="28"/>
        <v>#REF!</v>
      </c>
      <c r="P68" s="250" t="e">
        <f t="shared" si="28"/>
        <v>#REF!</v>
      </c>
      <c r="Q68" s="250" t="e">
        <f t="shared" si="28"/>
        <v>#REF!</v>
      </c>
      <c r="R68" s="250" t="e">
        <f t="shared" si="28"/>
        <v>#REF!</v>
      </c>
      <c r="S68" s="250" t="e">
        <f t="shared" si="28"/>
        <v>#REF!</v>
      </c>
      <c r="T68" s="250" t="e">
        <f t="shared" si="28"/>
        <v>#REF!</v>
      </c>
      <c r="U68" s="250" t="e">
        <f t="shared" si="28"/>
        <v>#REF!</v>
      </c>
      <c r="V68" s="250" t="e">
        <f t="shared" si="28"/>
        <v>#REF!</v>
      </c>
      <c r="W68" s="250" t="e">
        <f t="shared" si="28"/>
        <v>#REF!</v>
      </c>
      <c r="X68" s="250" t="e">
        <f t="shared" si="28"/>
        <v>#REF!</v>
      </c>
      <c r="Y68" s="250" t="e">
        <f t="shared" si="28"/>
        <v>#REF!</v>
      </c>
      <c r="Z68" s="250" t="e">
        <f t="shared" si="28"/>
        <v>#REF!</v>
      </c>
      <c r="AA68" s="250" t="e">
        <f t="shared" si="28"/>
        <v>#REF!</v>
      </c>
      <c r="AB68" s="250" t="e">
        <f t="shared" si="28"/>
        <v>#REF!</v>
      </c>
      <c r="AC68" s="250" t="e">
        <f t="shared" si="28"/>
        <v>#REF!</v>
      </c>
      <c r="AD68" s="250" t="e">
        <f t="shared" si="28"/>
        <v>#REF!</v>
      </c>
      <c r="AE68" s="250" t="e">
        <f t="shared" si="28"/>
        <v>#REF!</v>
      </c>
      <c r="AF68" s="250" t="e">
        <f t="shared" si="28"/>
        <v>#REF!</v>
      </c>
      <c r="AG68" s="250" t="e">
        <f t="shared" si="28"/>
        <v>#REF!</v>
      </c>
      <c r="AH68" s="245" t="e">
        <f>#REF!</f>
        <v>#REF!</v>
      </c>
      <c r="AI68" s="245" t="e">
        <f>#REF!</f>
        <v>#REF!</v>
      </c>
    </row>
    <row r="69" spans="1:36">
      <c r="A69" s="171" t="s">
        <v>358</v>
      </c>
      <c r="B69" s="171" t="s">
        <v>359</v>
      </c>
      <c r="C69" s="251">
        <v>25000</v>
      </c>
      <c r="D69" s="251">
        <f t="shared" ref="D69:AG69" si="29">C69</f>
        <v>25000</v>
      </c>
      <c r="E69" s="251">
        <f t="shared" si="29"/>
        <v>25000</v>
      </c>
      <c r="F69" s="251">
        <f t="shared" si="29"/>
        <v>25000</v>
      </c>
      <c r="G69" s="251">
        <f t="shared" si="29"/>
        <v>25000</v>
      </c>
      <c r="H69" s="251">
        <f t="shared" si="29"/>
        <v>25000</v>
      </c>
      <c r="I69" s="251">
        <f t="shared" si="29"/>
        <v>25000</v>
      </c>
      <c r="J69" s="251">
        <f t="shared" si="29"/>
        <v>25000</v>
      </c>
      <c r="K69" s="251">
        <f t="shared" si="29"/>
        <v>25000</v>
      </c>
      <c r="L69" s="251">
        <f t="shared" si="29"/>
        <v>25000</v>
      </c>
      <c r="M69" s="251">
        <f t="shared" si="29"/>
        <v>25000</v>
      </c>
      <c r="N69" s="251">
        <f t="shared" si="29"/>
        <v>25000</v>
      </c>
      <c r="O69" s="251">
        <f t="shared" si="29"/>
        <v>25000</v>
      </c>
      <c r="P69" s="251">
        <f t="shared" si="29"/>
        <v>25000</v>
      </c>
      <c r="Q69" s="251">
        <f t="shared" si="29"/>
        <v>25000</v>
      </c>
      <c r="R69" s="251">
        <f t="shared" si="29"/>
        <v>25000</v>
      </c>
      <c r="S69" s="251">
        <f t="shared" si="29"/>
        <v>25000</v>
      </c>
      <c r="T69" s="251">
        <f t="shared" si="29"/>
        <v>25000</v>
      </c>
      <c r="U69" s="251">
        <f t="shared" si="29"/>
        <v>25000</v>
      </c>
      <c r="V69" s="251">
        <f t="shared" si="29"/>
        <v>25000</v>
      </c>
      <c r="W69" s="251">
        <f t="shared" si="29"/>
        <v>25000</v>
      </c>
      <c r="X69" s="251">
        <f t="shared" si="29"/>
        <v>25000</v>
      </c>
      <c r="Y69" s="251">
        <f t="shared" si="29"/>
        <v>25000</v>
      </c>
      <c r="Z69" s="251">
        <f t="shared" si="29"/>
        <v>25000</v>
      </c>
      <c r="AA69" s="251">
        <f t="shared" si="29"/>
        <v>25000</v>
      </c>
      <c r="AB69" s="251">
        <f t="shared" si="29"/>
        <v>25000</v>
      </c>
      <c r="AC69" s="251">
        <f t="shared" si="29"/>
        <v>25000</v>
      </c>
      <c r="AD69" s="251">
        <f t="shared" si="29"/>
        <v>25000</v>
      </c>
      <c r="AE69" s="251">
        <f t="shared" si="29"/>
        <v>25000</v>
      </c>
      <c r="AF69" s="251">
        <f t="shared" si="29"/>
        <v>25000</v>
      </c>
      <c r="AG69" s="251">
        <f t="shared" si="29"/>
        <v>25000</v>
      </c>
      <c r="AH69" s="245"/>
    </row>
    <row r="70" spans="1:36">
      <c r="A70" s="171" t="s">
        <v>403</v>
      </c>
      <c r="B70" s="253" t="s">
        <v>300</v>
      </c>
      <c r="C70" s="250" t="e">
        <f>C68+1</f>
        <v>#REF!</v>
      </c>
      <c r="D70" s="250" t="e">
        <f t="shared" ref="D70:AG70" si="30">D68+1</f>
        <v>#REF!</v>
      </c>
      <c r="E70" s="250" t="e">
        <f t="shared" si="30"/>
        <v>#REF!</v>
      </c>
      <c r="F70" s="250" t="e">
        <f t="shared" si="30"/>
        <v>#REF!</v>
      </c>
      <c r="G70" s="250" t="e">
        <f t="shared" si="30"/>
        <v>#REF!</v>
      </c>
      <c r="H70" s="250" t="e">
        <f t="shared" si="30"/>
        <v>#REF!</v>
      </c>
      <c r="I70" s="250" t="e">
        <f t="shared" si="30"/>
        <v>#REF!</v>
      </c>
      <c r="J70" s="250" t="e">
        <f t="shared" si="30"/>
        <v>#REF!</v>
      </c>
      <c r="K70" s="250" t="e">
        <f t="shared" si="30"/>
        <v>#REF!</v>
      </c>
      <c r="L70" s="250" t="e">
        <f t="shared" si="30"/>
        <v>#REF!</v>
      </c>
      <c r="M70" s="250" t="e">
        <f t="shared" si="30"/>
        <v>#REF!</v>
      </c>
      <c r="N70" s="250" t="e">
        <f t="shared" si="30"/>
        <v>#REF!</v>
      </c>
      <c r="O70" s="250" t="e">
        <f t="shared" si="30"/>
        <v>#REF!</v>
      </c>
      <c r="P70" s="250" t="e">
        <f t="shared" si="30"/>
        <v>#REF!</v>
      </c>
      <c r="Q70" s="250" t="e">
        <f t="shared" si="30"/>
        <v>#REF!</v>
      </c>
      <c r="R70" s="250" t="e">
        <f t="shared" si="30"/>
        <v>#REF!</v>
      </c>
      <c r="S70" s="250" t="e">
        <f t="shared" si="30"/>
        <v>#REF!</v>
      </c>
      <c r="T70" s="250" t="e">
        <f t="shared" si="30"/>
        <v>#REF!</v>
      </c>
      <c r="U70" s="250" t="e">
        <f t="shared" si="30"/>
        <v>#REF!</v>
      </c>
      <c r="V70" s="250" t="e">
        <f t="shared" si="30"/>
        <v>#REF!</v>
      </c>
      <c r="W70" s="250" t="e">
        <f t="shared" si="30"/>
        <v>#REF!</v>
      </c>
      <c r="X70" s="250" t="e">
        <f t="shared" si="30"/>
        <v>#REF!</v>
      </c>
      <c r="Y70" s="250" t="e">
        <f t="shared" si="30"/>
        <v>#REF!</v>
      </c>
      <c r="Z70" s="250" t="e">
        <f t="shared" si="30"/>
        <v>#REF!</v>
      </c>
      <c r="AA70" s="250" t="e">
        <f t="shared" si="30"/>
        <v>#REF!</v>
      </c>
      <c r="AB70" s="250" t="e">
        <f t="shared" si="30"/>
        <v>#REF!</v>
      </c>
      <c r="AC70" s="250" t="e">
        <f t="shared" si="30"/>
        <v>#REF!</v>
      </c>
      <c r="AD70" s="250" t="e">
        <f t="shared" si="30"/>
        <v>#REF!</v>
      </c>
      <c r="AE70" s="250" t="e">
        <f t="shared" si="30"/>
        <v>#REF!</v>
      </c>
      <c r="AF70" s="250" t="e">
        <f t="shared" si="30"/>
        <v>#REF!</v>
      </c>
      <c r="AG70" s="250" t="e">
        <f t="shared" si="30"/>
        <v>#REF!</v>
      </c>
      <c r="AH70" s="245"/>
    </row>
    <row r="71" spans="1:36">
      <c r="A71" s="171" t="s">
        <v>360</v>
      </c>
      <c r="B71" s="253" t="s">
        <v>305</v>
      </c>
      <c r="C71" s="236" t="e">
        <f t="shared" ref="C71" si="31">$C$16*$C$27*$C$28</f>
        <v>#REF!</v>
      </c>
      <c r="D71" s="236" t="e">
        <f>C71</f>
        <v>#REF!</v>
      </c>
      <c r="E71" s="236" t="e">
        <f>D71*(1+$AH$71)</f>
        <v>#REF!</v>
      </c>
      <c r="F71" s="236" t="e">
        <f t="shared" ref="F71:AG71" si="32">E71</f>
        <v>#REF!</v>
      </c>
      <c r="G71" s="236" t="e">
        <f t="shared" si="32"/>
        <v>#REF!</v>
      </c>
      <c r="H71" s="236" t="e">
        <f>G71*(1+$AH$71)</f>
        <v>#REF!</v>
      </c>
      <c r="I71" s="236" t="e">
        <f t="shared" si="32"/>
        <v>#REF!</v>
      </c>
      <c r="J71" s="236" t="e">
        <f t="shared" si="32"/>
        <v>#REF!</v>
      </c>
      <c r="K71" s="236" t="e">
        <f>J71*(1+$AH$71)</f>
        <v>#REF!</v>
      </c>
      <c r="L71" s="236" t="e">
        <f t="shared" si="32"/>
        <v>#REF!</v>
      </c>
      <c r="M71" s="236" t="e">
        <f t="shared" si="32"/>
        <v>#REF!</v>
      </c>
      <c r="N71" s="236" t="e">
        <f>M71*(1+$AH$71)</f>
        <v>#REF!</v>
      </c>
      <c r="O71" s="236" t="e">
        <f t="shared" si="32"/>
        <v>#REF!</v>
      </c>
      <c r="P71" s="236" t="e">
        <f t="shared" si="32"/>
        <v>#REF!</v>
      </c>
      <c r="Q71" s="236" t="e">
        <f>P71*(1+$AH$71)</f>
        <v>#REF!</v>
      </c>
      <c r="R71" s="236" t="e">
        <f t="shared" si="32"/>
        <v>#REF!</v>
      </c>
      <c r="S71" s="236" t="e">
        <f t="shared" si="32"/>
        <v>#REF!</v>
      </c>
      <c r="T71" s="236" t="e">
        <f>S71*(1+$AH$71)</f>
        <v>#REF!</v>
      </c>
      <c r="U71" s="236" t="e">
        <f t="shared" si="32"/>
        <v>#REF!</v>
      </c>
      <c r="V71" s="236" t="e">
        <f t="shared" si="32"/>
        <v>#REF!</v>
      </c>
      <c r="W71" s="236" t="e">
        <f>V71*(1+$AH$71)</f>
        <v>#REF!</v>
      </c>
      <c r="X71" s="236" t="e">
        <f t="shared" si="32"/>
        <v>#REF!</v>
      </c>
      <c r="Y71" s="236" t="e">
        <f t="shared" si="32"/>
        <v>#REF!</v>
      </c>
      <c r="Z71" s="236" t="e">
        <f>Y71*(1+$AH$71)</f>
        <v>#REF!</v>
      </c>
      <c r="AA71" s="236" t="e">
        <f t="shared" si="32"/>
        <v>#REF!</v>
      </c>
      <c r="AB71" s="236" t="e">
        <f t="shared" si="32"/>
        <v>#REF!</v>
      </c>
      <c r="AC71" s="236" t="e">
        <f>AB71*(1+$AH$71)</f>
        <v>#REF!</v>
      </c>
      <c r="AD71" s="236" t="e">
        <f t="shared" si="32"/>
        <v>#REF!</v>
      </c>
      <c r="AE71" s="236" t="e">
        <f t="shared" si="32"/>
        <v>#REF!</v>
      </c>
      <c r="AF71" s="236" t="e">
        <f>AE71*(1+$AH$71)</f>
        <v>#REF!</v>
      </c>
      <c r="AG71" s="236" t="e">
        <f t="shared" si="32"/>
        <v>#REF!</v>
      </c>
      <c r="AH71" s="245" t="e">
        <f>#REF!</f>
        <v>#REF!</v>
      </c>
      <c r="AI71" s="294"/>
      <c r="AJ71" s="179"/>
    </row>
    <row r="72" spans="1:36">
      <c r="C72" s="975" t="s">
        <v>404</v>
      </c>
      <c r="D72" s="975"/>
      <c r="E72" s="975"/>
      <c r="F72" s="975"/>
      <c r="G72" s="975"/>
    </row>
    <row r="73" spans="1:36" s="256" customFormat="1">
      <c r="A73" s="254"/>
      <c r="B73" s="254"/>
      <c r="C73" s="255" t="s">
        <v>178</v>
      </c>
      <c r="D73" s="255" t="s">
        <v>179</v>
      </c>
      <c r="E73" s="255" t="s">
        <v>180</v>
      </c>
      <c r="F73" s="255" t="s">
        <v>181</v>
      </c>
      <c r="G73" s="255" t="s">
        <v>182</v>
      </c>
      <c r="H73" s="255" t="s">
        <v>239</v>
      </c>
    </row>
    <row r="74" spans="1:36">
      <c r="A74" s="171" t="s">
        <v>405</v>
      </c>
      <c r="B74" s="171" t="s">
        <v>281</v>
      </c>
      <c r="C74" s="257"/>
      <c r="D74" s="257"/>
      <c r="E74" s="307" t="e">
        <f>#REF!</f>
        <v>#REF!</v>
      </c>
      <c r="F74" s="308" t="e">
        <f>#REF!</f>
        <v>#REF!</v>
      </c>
      <c r="G74" s="171"/>
      <c r="H74" s="308" t="e">
        <f>#REF!</f>
        <v>#REF!</v>
      </c>
    </row>
    <row r="75" spans="1:36">
      <c r="A75" s="171" t="s">
        <v>405</v>
      </c>
      <c r="B75" s="171" t="s">
        <v>406</v>
      </c>
      <c r="C75" s="257">
        <v>250</v>
      </c>
      <c r="D75" s="257"/>
      <c r="E75" s="257"/>
      <c r="F75" s="257"/>
      <c r="G75" s="171"/>
      <c r="H75" s="257"/>
      <c r="J75" s="173">
        <f>139-69</f>
        <v>70</v>
      </c>
    </row>
    <row r="76" spans="1:36">
      <c r="A76" s="258" t="s">
        <v>407</v>
      </c>
      <c r="B76" s="258" t="s">
        <v>198</v>
      </c>
      <c r="C76" s="259">
        <v>0.85</v>
      </c>
      <c r="D76" s="259"/>
      <c r="E76" s="259">
        <v>0.85</v>
      </c>
      <c r="F76" s="259">
        <v>0.85</v>
      </c>
      <c r="G76" s="259">
        <v>0.87</v>
      </c>
      <c r="H76" s="259">
        <v>0.55000000000000004</v>
      </c>
      <c r="J76" s="173">
        <f>J75/139</f>
        <v>0.50359712230215825</v>
      </c>
    </row>
    <row r="77" spans="1:36">
      <c r="A77" s="171" t="s">
        <v>408</v>
      </c>
      <c r="B77" s="171" t="s">
        <v>198</v>
      </c>
      <c r="C77" s="233">
        <v>0.3</v>
      </c>
      <c r="D77" s="233"/>
      <c r="E77" s="233">
        <v>0.3</v>
      </c>
      <c r="F77" s="233">
        <v>0.33</v>
      </c>
      <c r="G77" s="233">
        <v>0.87</v>
      </c>
      <c r="H77" s="233">
        <v>0.5</v>
      </c>
    </row>
    <row r="78" spans="1:36">
      <c r="A78" s="171" t="s">
        <v>409</v>
      </c>
      <c r="B78" s="171" t="s">
        <v>198</v>
      </c>
      <c r="C78" s="233">
        <v>0</v>
      </c>
      <c r="D78" s="233"/>
      <c r="E78" s="233">
        <v>0</v>
      </c>
      <c r="F78" s="233">
        <v>0</v>
      </c>
      <c r="G78" s="233">
        <v>0.15</v>
      </c>
      <c r="H78" s="233">
        <v>0.15</v>
      </c>
    </row>
    <row r="79" spans="1:36">
      <c r="A79" s="171" t="s">
        <v>410</v>
      </c>
      <c r="B79" s="171" t="s">
        <v>198</v>
      </c>
      <c r="C79" s="260">
        <f>(C77)</f>
        <v>0.3</v>
      </c>
      <c r="D79" s="260"/>
      <c r="E79" s="260">
        <f t="shared" ref="E79:H79" si="33">(E77)</f>
        <v>0.3</v>
      </c>
      <c r="F79" s="260">
        <f t="shared" si="33"/>
        <v>0.33</v>
      </c>
      <c r="G79" s="260">
        <f t="shared" si="33"/>
        <v>0.87</v>
      </c>
      <c r="H79" s="260">
        <f t="shared" si="33"/>
        <v>0.5</v>
      </c>
      <c r="K79" s="173" t="s">
        <v>195</v>
      </c>
      <c r="L79" s="173" t="s">
        <v>285</v>
      </c>
      <c r="M79" s="173" t="s">
        <v>281</v>
      </c>
    </row>
    <row r="80" spans="1:36">
      <c r="A80" s="171" t="s">
        <v>345</v>
      </c>
      <c r="B80" s="171" t="s">
        <v>201</v>
      </c>
      <c r="C80" s="261"/>
      <c r="D80" s="261"/>
      <c r="E80" s="261"/>
      <c r="F80" s="261"/>
      <c r="G80" s="306" t="e">
        <f>#REF!</f>
        <v>#REF!</v>
      </c>
      <c r="H80" s="261"/>
      <c r="K80" s="173">
        <v>5</v>
      </c>
      <c r="L80" s="173">
        <v>1</v>
      </c>
      <c r="M80" s="173">
        <v>0.3</v>
      </c>
    </row>
    <row r="81" spans="1:35">
      <c r="A81" s="171"/>
      <c r="B81" s="171" t="s">
        <v>346</v>
      </c>
      <c r="C81" s="305" t="e">
        <f>#REF!</f>
        <v>#REF!</v>
      </c>
      <c r="D81" s="305" t="e">
        <f>#REF!</f>
        <v>#REF!</v>
      </c>
      <c r="E81" s="305" t="e">
        <f>#REF!</f>
        <v>#REF!</v>
      </c>
      <c r="F81" s="261" t="e">
        <f>3*C81</f>
        <v>#REF!</v>
      </c>
      <c r="G81" s="262"/>
      <c r="H81" s="261" t="e">
        <f>4*C81</f>
        <v>#REF!</v>
      </c>
      <c r="K81" s="173">
        <f>K80/M80</f>
        <v>16.666666666666668</v>
      </c>
      <c r="M81" s="173">
        <v>1</v>
      </c>
    </row>
    <row r="82" spans="1:35">
      <c r="A82" s="263" t="s">
        <v>411</v>
      </c>
      <c r="B82" s="263" t="s">
        <v>193</v>
      </c>
      <c r="C82" s="264"/>
      <c r="D82" s="264"/>
      <c r="E82" s="252" t="e">
        <f>E83/(C28)</f>
        <v>#REF!</v>
      </c>
      <c r="F82" s="264"/>
      <c r="G82" s="265" t="e">
        <f>C19</f>
        <v>#REF!</v>
      </c>
      <c r="H82" s="264"/>
    </row>
    <row r="83" spans="1:35" ht="29.1" customHeight="1">
      <c r="A83" s="266" t="s">
        <v>283</v>
      </c>
      <c r="B83" s="267" t="s">
        <v>412</v>
      </c>
      <c r="C83" s="252" t="e">
        <f>($C$27*$C$28)/C81</f>
        <v>#REF!</v>
      </c>
      <c r="D83" s="252" t="e">
        <f>($C$27*$C$28)/D81</f>
        <v>#REF!</v>
      </c>
      <c r="E83" s="252" t="e">
        <f>($C$27*$C$28)/E81</f>
        <v>#REF!</v>
      </c>
      <c r="F83" s="252" t="e">
        <f>($C$27*$C$28)/F81</f>
        <v>#REF!</v>
      </c>
      <c r="G83" s="252" t="e">
        <f>($C$27*$C$28*G80)</f>
        <v>#REF!</v>
      </c>
      <c r="H83" s="252" t="e">
        <f>($C$27*$C$28)/H81</f>
        <v>#REF!</v>
      </c>
      <c r="I83" s="268" t="e">
        <f>F83-H83</f>
        <v>#REF!</v>
      </c>
      <c r="J83" s="241" t="e">
        <f>I83/H83</f>
        <v>#REF!</v>
      </c>
      <c r="K83" s="173">
        <v>100</v>
      </c>
      <c r="M83" s="173">
        <v>9</v>
      </c>
    </row>
    <row r="84" spans="1:35">
      <c r="C84" s="173"/>
    </row>
    <row r="85" spans="1:35" s="225" customFormat="1">
      <c r="A85" s="223"/>
      <c r="B85" s="223"/>
    </row>
    <row r="86" spans="1:35">
      <c r="A86" s="235" t="s">
        <v>307</v>
      </c>
      <c r="B86" s="235"/>
      <c r="C86" s="235">
        <v>2025</v>
      </c>
      <c r="D86" s="235">
        <f t="shared" ref="D86:AG86" si="34">C86+1</f>
        <v>2026</v>
      </c>
      <c r="E86" s="235">
        <f t="shared" si="34"/>
        <v>2027</v>
      </c>
      <c r="F86" s="235">
        <f t="shared" si="34"/>
        <v>2028</v>
      </c>
      <c r="G86" s="235">
        <f t="shared" si="34"/>
        <v>2029</v>
      </c>
      <c r="H86" s="235">
        <f t="shared" si="34"/>
        <v>2030</v>
      </c>
      <c r="I86" s="235">
        <f t="shared" si="34"/>
        <v>2031</v>
      </c>
      <c r="J86" s="235">
        <f t="shared" si="34"/>
        <v>2032</v>
      </c>
      <c r="K86" s="235">
        <f t="shared" si="34"/>
        <v>2033</v>
      </c>
      <c r="L86" s="235">
        <f t="shared" si="34"/>
        <v>2034</v>
      </c>
      <c r="M86" s="235">
        <f t="shared" si="34"/>
        <v>2035</v>
      </c>
      <c r="N86" s="235">
        <f t="shared" si="34"/>
        <v>2036</v>
      </c>
      <c r="O86" s="235">
        <f t="shared" si="34"/>
        <v>2037</v>
      </c>
      <c r="P86" s="235">
        <f t="shared" si="34"/>
        <v>2038</v>
      </c>
      <c r="Q86" s="235">
        <f t="shared" si="34"/>
        <v>2039</v>
      </c>
      <c r="R86" s="235">
        <f t="shared" si="34"/>
        <v>2040</v>
      </c>
      <c r="S86" s="235">
        <f t="shared" si="34"/>
        <v>2041</v>
      </c>
      <c r="T86" s="235">
        <f t="shared" si="34"/>
        <v>2042</v>
      </c>
      <c r="U86" s="235">
        <f t="shared" si="34"/>
        <v>2043</v>
      </c>
      <c r="V86" s="235">
        <f t="shared" si="34"/>
        <v>2044</v>
      </c>
      <c r="W86" s="235">
        <f t="shared" si="34"/>
        <v>2045</v>
      </c>
      <c r="X86" s="235">
        <f t="shared" si="34"/>
        <v>2046</v>
      </c>
      <c r="Y86" s="235">
        <f t="shared" si="34"/>
        <v>2047</v>
      </c>
      <c r="Z86" s="235">
        <f t="shared" si="34"/>
        <v>2048</v>
      </c>
      <c r="AA86" s="235">
        <f t="shared" si="34"/>
        <v>2049</v>
      </c>
      <c r="AB86" s="235">
        <f t="shared" si="34"/>
        <v>2050</v>
      </c>
      <c r="AC86" s="235">
        <f t="shared" si="34"/>
        <v>2051</v>
      </c>
      <c r="AD86" s="235">
        <f t="shared" si="34"/>
        <v>2052</v>
      </c>
      <c r="AE86" s="235">
        <f t="shared" si="34"/>
        <v>2053</v>
      </c>
      <c r="AF86" s="235">
        <f t="shared" si="34"/>
        <v>2054</v>
      </c>
      <c r="AG86" s="235">
        <f t="shared" si="34"/>
        <v>2055</v>
      </c>
    </row>
    <row r="87" spans="1:35">
      <c r="A87" s="290" t="s">
        <v>308</v>
      </c>
      <c r="B87" s="173" t="s">
        <v>309</v>
      </c>
      <c r="C87" s="179" t="e">
        <f>C11</f>
        <v>#REF!</v>
      </c>
      <c r="D87" s="179" t="e">
        <f>ROUND(C87*(1+#REF!)/1000,0)*1000</f>
        <v>#REF!</v>
      </c>
      <c r="E87" s="179" t="e">
        <f>ROUND(D87*(1+#REF!)/1000,0)*1000</f>
        <v>#REF!</v>
      </c>
      <c r="F87" s="179" t="e">
        <f>ROUND(E87*(1+#REF!)/1000,0)*1000</f>
        <v>#REF!</v>
      </c>
      <c r="G87" s="179" t="e">
        <f>ROUND(F87*(1+#REF!)/1000,0)*1000</f>
        <v>#REF!</v>
      </c>
      <c r="H87" s="179" t="e">
        <f>ROUND(G87*(1+#REF!)/1000,0)*1000</f>
        <v>#REF!</v>
      </c>
      <c r="I87" s="179" t="e">
        <f>ROUND(H87*(1+#REF!)/1000,0)*1000+#REF!</f>
        <v>#REF!</v>
      </c>
      <c r="J87" s="179" t="e">
        <f>ROUND(I87*(1+#REF!)/1000,0)*1000</f>
        <v>#REF!</v>
      </c>
      <c r="K87" s="179" t="e">
        <f>ROUND(J87*(1+#REF!)/1000,0)*1000</f>
        <v>#REF!</v>
      </c>
      <c r="L87" s="179" t="e">
        <f>ROUND(K87*(1+#REF!)/1000,0)*1000</f>
        <v>#REF!</v>
      </c>
      <c r="M87" s="179" t="e">
        <f>ROUND(L87*(1+#REF!)/1000,0)*1000</f>
        <v>#REF!</v>
      </c>
      <c r="N87" s="179" t="e">
        <f>ROUND(M87*(1+#REF!)/1000,0)*1000</f>
        <v>#REF!</v>
      </c>
      <c r="O87" s="179" t="e">
        <f>ROUND(N87*(1+#REF!)/1000,0)*1000</f>
        <v>#REF!</v>
      </c>
      <c r="P87" s="179" t="e">
        <f>ROUND(O87*(1+#REF!)/1000,0)*1000</f>
        <v>#REF!</v>
      </c>
      <c r="Q87" s="179" t="e">
        <f>ROUND(P87*(1+#REF!)/1000,0)*1000</f>
        <v>#REF!</v>
      </c>
      <c r="R87" s="179" t="e">
        <f>ROUND(Q87*(1+#REF!)/1000,0)*1000</f>
        <v>#REF!</v>
      </c>
      <c r="S87" s="179" t="e">
        <f>ROUND(R87*(1+#REF!)/1000,0)*1000</f>
        <v>#REF!</v>
      </c>
      <c r="T87" s="179" t="e">
        <f>ROUND(S87*(1+#REF!)/1000,0)*1000</f>
        <v>#REF!</v>
      </c>
      <c r="U87" s="179" t="e">
        <f>ROUND(T87*(1+#REF!)/1000,0)*1000</f>
        <v>#REF!</v>
      </c>
      <c r="V87" s="179" t="e">
        <f>ROUND(U87*(1+#REF!)/1000,0)*1000</f>
        <v>#REF!</v>
      </c>
      <c r="W87" s="179" t="e">
        <f>ROUND(V87*(1+#REF!)/1000,0)*1000</f>
        <v>#REF!</v>
      </c>
      <c r="X87" s="179" t="e">
        <f>ROUND(W87*(1+#REF!)/1000,0)*1000</f>
        <v>#REF!</v>
      </c>
      <c r="Y87" s="179" t="e">
        <f>ROUND(X87*(1+#REF!)/1000,0)*1000</f>
        <v>#REF!</v>
      </c>
      <c r="Z87" s="179" t="e">
        <f>ROUND(Y87*(1+#REF!)/1000,0)*1000</f>
        <v>#REF!</v>
      </c>
      <c r="AA87" s="179" t="e">
        <f>ROUND(Z87*(1+#REF!)/1000,0)*1000</f>
        <v>#REF!</v>
      </c>
      <c r="AB87" s="179" t="e">
        <f>ROUND(AA87*(1+#REF!)/1000,0)*1000</f>
        <v>#REF!</v>
      </c>
      <c r="AC87" s="179" t="e">
        <f>ROUND(AB87*(1+#REF!)/1000,0)*1000</f>
        <v>#REF!</v>
      </c>
      <c r="AD87" s="179" t="e">
        <f>ROUND(AC87*(1+#REF!)/1000,0)*1000</f>
        <v>#REF!</v>
      </c>
      <c r="AE87" s="179" t="e">
        <f>ROUND(AD87*(1+#REF!)/1000,0)*1000</f>
        <v>#REF!</v>
      </c>
      <c r="AF87" s="179" t="e">
        <f>ROUND(AE87*(1+#REF!)/1000,0)*1000</f>
        <v>#REF!</v>
      </c>
      <c r="AG87" s="179" t="e">
        <f>ROUND(AF87*(1+#REF!)/1000,0)*1000</f>
        <v>#REF!</v>
      </c>
    </row>
    <row r="88" spans="1:35">
      <c r="A88" s="290" t="s">
        <v>314</v>
      </c>
      <c r="B88" s="173" t="s">
        <v>309</v>
      </c>
      <c r="C88" s="179" t="e">
        <f t="shared" ref="C88:AG88" si="35">C40*$C$83</f>
        <v>#REF!</v>
      </c>
      <c r="D88" s="179" t="e">
        <f t="shared" si="35"/>
        <v>#REF!</v>
      </c>
      <c r="E88" s="179" t="e">
        <f t="shared" si="35"/>
        <v>#REF!</v>
      </c>
      <c r="F88" s="179" t="e">
        <f t="shared" si="35"/>
        <v>#REF!</v>
      </c>
      <c r="G88" s="179" t="e">
        <f t="shared" si="35"/>
        <v>#REF!</v>
      </c>
      <c r="H88" s="179" t="e">
        <f t="shared" si="35"/>
        <v>#REF!</v>
      </c>
      <c r="I88" s="179" t="e">
        <f t="shared" si="35"/>
        <v>#REF!</v>
      </c>
      <c r="J88" s="179" t="e">
        <f t="shared" si="35"/>
        <v>#REF!</v>
      </c>
      <c r="K88" s="179" t="e">
        <f t="shared" si="35"/>
        <v>#REF!</v>
      </c>
      <c r="L88" s="179" t="e">
        <f t="shared" si="35"/>
        <v>#REF!</v>
      </c>
      <c r="M88" s="179" t="e">
        <f t="shared" si="35"/>
        <v>#REF!</v>
      </c>
      <c r="N88" s="179" t="e">
        <f t="shared" si="35"/>
        <v>#REF!</v>
      </c>
      <c r="O88" s="179" t="e">
        <f t="shared" si="35"/>
        <v>#REF!</v>
      </c>
      <c r="P88" s="179" t="e">
        <f t="shared" si="35"/>
        <v>#REF!</v>
      </c>
      <c r="Q88" s="179" t="e">
        <f t="shared" si="35"/>
        <v>#REF!</v>
      </c>
      <c r="R88" s="179" t="e">
        <f t="shared" si="35"/>
        <v>#REF!</v>
      </c>
      <c r="S88" s="179" t="e">
        <f t="shared" si="35"/>
        <v>#REF!</v>
      </c>
      <c r="T88" s="179" t="e">
        <f t="shared" si="35"/>
        <v>#REF!</v>
      </c>
      <c r="U88" s="179" t="e">
        <f t="shared" si="35"/>
        <v>#REF!</v>
      </c>
      <c r="V88" s="179" t="e">
        <f t="shared" si="35"/>
        <v>#REF!</v>
      </c>
      <c r="W88" s="179" t="e">
        <f t="shared" si="35"/>
        <v>#REF!</v>
      </c>
      <c r="X88" s="179" t="e">
        <f t="shared" si="35"/>
        <v>#REF!</v>
      </c>
      <c r="Y88" s="179" t="e">
        <f t="shared" si="35"/>
        <v>#REF!</v>
      </c>
      <c r="Z88" s="179" t="e">
        <f t="shared" si="35"/>
        <v>#REF!</v>
      </c>
      <c r="AA88" s="179" t="e">
        <f t="shared" si="35"/>
        <v>#REF!</v>
      </c>
      <c r="AB88" s="179" t="e">
        <f t="shared" si="35"/>
        <v>#REF!</v>
      </c>
      <c r="AC88" s="179" t="e">
        <f t="shared" si="35"/>
        <v>#REF!</v>
      </c>
      <c r="AD88" s="179" t="e">
        <f t="shared" si="35"/>
        <v>#REF!</v>
      </c>
      <c r="AE88" s="179" t="e">
        <f t="shared" si="35"/>
        <v>#REF!</v>
      </c>
      <c r="AF88" s="179" t="e">
        <f t="shared" si="35"/>
        <v>#REF!</v>
      </c>
      <c r="AG88" s="179" t="e">
        <f t="shared" si="35"/>
        <v>#REF!</v>
      </c>
    </row>
    <row r="89" spans="1:35">
      <c r="A89" s="290" t="s">
        <v>315</v>
      </c>
      <c r="B89" s="173" t="s">
        <v>309</v>
      </c>
      <c r="C89" s="238" t="e">
        <f>$C$83*$AH$89*C41</f>
        <v>#REF!</v>
      </c>
      <c r="D89" s="238" t="e">
        <f>$C$83*$AH$89*D41</f>
        <v>#REF!</v>
      </c>
      <c r="E89" s="238" t="e">
        <f t="shared" ref="E89:AG89" si="36">$C$83*$AH$89*E41</f>
        <v>#REF!</v>
      </c>
      <c r="F89" s="238" t="e">
        <f t="shared" si="36"/>
        <v>#REF!</v>
      </c>
      <c r="G89" s="238" t="e">
        <f t="shared" si="36"/>
        <v>#REF!</v>
      </c>
      <c r="H89" s="238" t="e">
        <f t="shared" si="36"/>
        <v>#REF!</v>
      </c>
      <c r="I89" s="238" t="e">
        <f t="shared" si="36"/>
        <v>#REF!</v>
      </c>
      <c r="J89" s="238" t="e">
        <f t="shared" si="36"/>
        <v>#REF!</v>
      </c>
      <c r="K89" s="238" t="e">
        <f t="shared" si="36"/>
        <v>#REF!</v>
      </c>
      <c r="L89" s="238" t="e">
        <f t="shared" si="36"/>
        <v>#REF!</v>
      </c>
      <c r="M89" s="238" t="e">
        <f t="shared" si="36"/>
        <v>#REF!</v>
      </c>
      <c r="N89" s="238" t="e">
        <f t="shared" si="36"/>
        <v>#REF!</v>
      </c>
      <c r="O89" s="238" t="e">
        <f t="shared" si="36"/>
        <v>#REF!</v>
      </c>
      <c r="P89" s="238" t="e">
        <f t="shared" si="36"/>
        <v>#REF!</v>
      </c>
      <c r="Q89" s="238" t="e">
        <f t="shared" si="36"/>
        <v>#REF!</v>
      </c>
      <c r="R89" s="238" t="e">
        <f t="shared" si="36"/>
        <v>#REF!</v>
      </c>
      <c r="S89" s="238" t="e">
        <f t="shared" si="36"/>
        <v>#REF!</v>
      </c>
      <c r="T89" s="238" t="e">
        <f t="shared" si="36"/>
        <v>#REF!</v>
      </c>
      <c r="U89" s="238" t="e">
        <f t="shared" si="36"/>
        <v>#REF!</v>
      </c>
      <c r="V89" s="238" t="e">
        <f t="shared" si="36"/>
        <v>#REF!</v>
      </c>
      <c r="W89" s="238" t="e">
        <f t="shared" si="36"/>
        <v>#REF!</v>
      </c>
      <c r="X89" s="238" t="e">
        <f t="shared" si="36"/>
        <v>#REF!</v>
      </c>
      <c r="Y89" s="238" t="e">
        <f t="shared" si="36"/>
        <v>#REF!</v>
      </c>
      <c r="Z89" s="238" t="e">
        <f t="shared" si="36"/>
        <v>#REF!</v>
      </c>
      <c r="AA89" s="238" t="e">
        <f t="shared" si="36"/>
        <v>#REF!</v>
      </c>
      <c r="AB89" s="238" t="e">
        <f t="shared" si="36"/>
        <v>#REF!</v>
      </c>
      <c r="AC89" s="238" t="e">
        <f t="shared" si="36"/>
        <v>#REF!</v>
      </c>
      <c r="AD89" s="238" t="e">
        <f t="shared" si="36"/>
        <v>#REF!</v>
      </c>
      <c r="AE89" s="238" t="e">
        <f t="shared" si="36"/>
        <v>#REF!</v>
      </c>
      <c r="AF89" s="238" t="e">
        <f t="shared" si="36"/>
        <v>#REF!</v>
      </c>
      <c r="AG89" s="238" t="e">
        <f t="shared" si="36"/>
        <v>#REF!</v>
      </c>
      <c r="AH89" s="269" t="e">
        <f>#REF!</f>
        <v>#REF!</v>
      </c>
      <c r="AI89" s="173" t="s">
        <v>316</v>
      </c>
    </row>
    <row r="90" spans="1:35">
      <c r="A90" s="173" t="s">
        <v>317</v>
      </c>
      <c r="B90" s="173" t="s">
        <v>309</v>
      </c>
      <c r="C90" s="179" t="e">
        <f t="shared" ref="C90:AG90" si="37">$C$28*$C$27*C66</f>
        <v>#REF!</v>
      </c>
      <c r="D90" s="179" t="e">
        <f t="shared" si="37"/>
        <v>#REF!</v>
      </c>
      <c r="E90" s="179" t="e">
        <f t="shared" si="37"/>
        <v>#REF!</v>
      </c>
      <c r="F90" s="179" t="e">
        <f t="shared" si="37"/>
        <v>#REF!</v>
      </c>
      <c r="G90" s="179" t="e">
        <f t="shared" si="37"/>
        <v>#REF!</v>
      </c>
      <c r="H90" s="179" t="e">
        <f t="shared" si="37"/>
        <v>#REF!</v>
      </c>
      <c r="I90" s="179" t="e">
        <f t="shared" si="37"/>
        <v>#REF!</v>
      </c>
      <c r="J90" s="179" t="e">
        <f t="shared" si="37"/>
        <v>#REF!</v>
      </c>
      <c r="K90" s="179" t="e">
        <f t="shared" si="37"/>
        <v>#REF!</v>
      </c>
      <c r="L90" s="179" t="e">
        <f t="shared" si="37"/>
        <v>#REF!</v>
      </c>
      <c r="M90" s="179" t="e">
        <f t="shared" si="37"/>
        <v>#REF!</v>
      </c>
      <c r="N90" s="179" t="e">
        <f t="shared" si="37"/>
        <v>#REF!</v>
      </c>
      <c r="O90" s="179" t="e">
        <f t="shared" si="37"/>
        <v>#REF!</v>
      </c>
      <c r="P90" s="179" t="e">
        <f t="shared" si="37"/>
        <v>#REF!</v>
      </c>
      <c r="Q90" s="179" t="e">
        <f t="shared" si="37"/>
        <v>#REF!</v>
      </c>
      <c r="R90" s="179" t="e">
        <f t="shared" si="37"/>
        <v>#REF!</v>
      </c>
      <c r="S90" s="179" t="e">
        <f t="shared" si="37"/>
        <v>#REF!</v>
      </c>
      <c r="T90" s="179" t="e">
        <f t="shared" si="37"/>
        <v>#REF!</v>
      </c>
      <c r="U90" s="179" t="e">
        <f t="shared" si="37"/>
        <v>#REF!</v>
      </c>
      <c r="V90" s="179" t="e">
        <f t="shared" si="37"/>
        <v>#REF!</v>
      </c>
      <c r="W90" s="179" t="e">
        <f t="shared" si="37"/>
        <v>#REF!</v>
      </c>
      <c r="X90" s="179" t="e">
        <f t="shared" si="37"/>
        <v>#REF!</v>
      </c>
      <c r="Y90" s="179" t="e">
        <f t="shared" si="37"/>
        <v>#REF!</v>
      </c>
      <c r="Z90" s="179" t="e">
        <f t="shared" si="37"/>
        <v>#REF!</v>
      </c>
      <c r="AA90" s="179" t="e">
        <f t="shared" si="37"/>
        <v>#REF!</v>
      </c>
      <c r="AB90" s="179" t="e">
        <f t="shared" si="37"/>
        <v>#REF!</v>
      </c>
      <c r="AC90" s="179" t="e">
        <f t="shared" si="37"/>
        <v>#REF!</v>
      </c>
      <c r="AD90" s="179" t="e">
        <f t="shared" si="37"/>
        <v>#REF!</v>
      </c>
      <c r="AE90" s="179" t="e">
        <f t="shared" si="37"/>
        <v>#REF!</v>
      </c>
      <c r="AF90" s="179" t="e">
        <f t="shared" si="37"/>
        <v>#REF!</v>
      </c>
      <c r="AG90" s="179" t="e">
        <f t="shared" si="37"/>
        <v>#REF!</v>
      </c>
    </row>
    <row r="91" spans="1:35">
      <c r="A91" s="173" t="s">
        <v>413</v>
      </c>
      <c r="B91" s="173" t="s">
        <v>309</v>
      </c>
      <c r="C91" s="179" t="e">
        <f t="shared" ref="C91:AG91" si="38">C71</f>
        <v>#REF!</v>
      </c>
      <c r="D91" s="179" t="e">
        <f t="shared" si="38"/>
        <v>#REF!</v>
      </c>
      <c r="E91" s="179" t="e">
        <f t="shared" si="38"/>
        <v>#REF!</v>
      </c>
      <c r="F91" s="179" t="e">
        <f t="shared" si="38"/>
        <v>#REF!</v>
      </c>
      <c r="G91" s="179" t="e">
        <f t="shared" si="38"/>
        <v>#REF!</v>
      </c>
      <c r="H91" s="179" t="e">
        <f t="shared" si="38"/>
        <v>#REF!</v>
      </c>
      <c r="I91" s="179" t="e">
        <f t="shared" si="38"/>
        <v>#REF!</v>
      </c>
      <c r="J91" s="179" t="e">
        <f t="shared" si="38"/>
        <v>#REF!</v>
      </c>
      <c r="K91" s="179" t="e">
        <f t="shared" si="38"/>
        <v>#REF!</v>
      </c>
      <c r="L91" s="179" t="e">
        <f t="shared" si="38"/>
        <v>#REF!</v>
      </c>
      <c r="M91" s="179" t="e">
        <f t="shared" si="38"/>
        <v>#REF!</v>
      </c>
      <c r="N91" s="179" t="e">
        <f t="shared" si="38"/>
        <v>#REF!</v>
      </c>
      <c r="O91" s="179" t="e">
        <f t="shared" si="38"/>
        <v>#REF!</v>
      </c>
      <c r="P91" s="179" t="e">
        <f t="shared" si="38"/>
        <v>#REF!</v>
      </c>
      <c r="Q91" s="179" t="e">
        <f t="shared" si="38"/>
        <v>#REF!</v>
      </c>
      <c r="R91" s="179" t="e">
        <f t="shared" si="38"/>
        <v>#REF!</v>
      </c>
      <c r="S91" s="179" t="e">
        <f t="shared" si="38"/>
        <v>#REF!</v>
      </c>
      <c r="T91" s="179" t="e">
        <f t="shared" si="38"/>
        <v>#REF!</v>
      </c>
      <c r="U91" s="179" t="e">
        <f t="shared" si="38"/>
        <v>#REF!</v>
      </c>
      <c r="V91" s="179" t="e">
        <f t="shared" si="38"/>
        <v>#REF!</v>
      </c>
      <c r="W91" s="179" t="e">
        <f t="shared" si="38"/>
        <v>#REF!</v>
      </c>
      <c r="X91" s="179" t="e">
        <f t="shared" si="38"/>
        <v>#REF!</v>
      </c>
      <c r="Y91" s="179" t="e">
        <f t="shared" si="38"/>
        <v>#REF!</v>
      </c>
      <c r="Z91" s="179" t="e">
        <f t="shared" si="38"/>
        <v>#REF!</v>
      </c>
      <c r="AA91" s="179" t="e">
        <f t="shared" si="38"/>
        <v>#REF!</v>
      </c>
      <c r="AB91" s="179" t="e">
        <f t="shared" si="38"/>
        <v>#REF!</v>
      </c>
      <c r="AC91" s="179" t="e">
        <f t="shared" si="38"/>
        <v>#REF!</v>
      </c>
      <c r="AD91" s="179" t="e">
        <f t="shared" si="38"/>
        <v>#REF!</v>
      </c>
      <c r="AE91" s="179" t="e">
        <f t="shared" si="38"/>
        <v>#REF!</v>
      </c>
      <c r="AF91" s="179" t="e">
        <f t="shared" si="38"/>
        <v>#REF!</v>
      </c>
      <c r="AG91" s="179" t="e">
        <f t="shared" si="38"/>
        <v>#REF!</v>
      </c>
    </row>
    <row r="92" spans="1:35">
      <c r="A92" s="173" t="s">
        <v>319</v>
      </c>
      <c r="B92" s="173" t="s">
        <v>309</v>
      </c>
      <c r="C92" s="179" t="e">
        <f t="shared" ref="C92:AG92" si="39">C87*$C$34</f>
        <v>#REF!</v>
      </c>
      <c r="D92" s="179" t="e">
        <f t="shared" si="39"/>
        <v>#REF!</v>
      </c>
      <c r="E92" s="179" t="e">
        <f t="shared" si="39"/>
        <v>#REF!</v>
      </c>
      <c r="F92" s="179" t="e">
        <f t="shared" si="39"/>
        <v>#REF!</v>
      </c>
      <c r="G92" s="179" t="e">
        <f t="shared" si="39"/>
        <v>#REF!</v>
      </c>
      <c r="H92" s="179" t="e">
        <f t="shared" si="39"/>
        <v>#REF!</v>
      </c>
      <c r="I92" s="179" t="e">
        <f t="shared" si="39"/>
        <v>#REF!</v>
      </c>
      <c r="J92" s="179" t="e">
        <f t="shared" si="39"/>
        <v>#REF!</v>
      </c>
      <c r="K92" s="179" t="e">
        <f t="shared" si="39"/>
        <v>#REF!</v>
      </c>
      <c r="L92" s="179" t="e">
        <f t="shared" si="39"/>
        <v>#REF!</v>
      </c>
      <c r="M92" s="179" t="e">
        <f t="shared" si="39"/>
        <v>#REF!</v>
      </c>
      <c r="N92" s="179" t="e">
        <f t="shared" si="39"/>
        <v>#REF!</v>
      </c>
      <c r="O92" s="179" t="e">
        <f t="shared" si="39"/>
        <v>#REF!</v>
      </c>
      <c r="P92" s="179" t="e">
        <f t="shared" si="39"/>
        <v>#REF!</v>
      </c>
      <c r="Q92" s="179" t="e">
        <f t="shared" si="39"/>
        <v>#REF!</v>
      </c>
      <c r="R92" s="179" t="e">
        <f t="shared" si="39"/>
        <v>#REF!</v>
      </c>
      <c r="S92" s="179" t="e">
        <f t="shared" si="39"/>
        <v>#REF!</v>
      </c>
      <c r="T92" s="179" t="e">
        <f t="shared" si="39"/>
        <v>#REF!</v>
      </c>
      <c r="U92" s="179" t="e">
        <f t="shared" si="39"/>
        <v>#REF!</v>
      </c>
      <c r="V92" s="179" t="e">
        <f t="shared" si="39"/>
        <v>#REF!</v>
      </c>
      <c r="W92" s="179" t="e">
        <f t="shared" si="39"/>
        <v>#REF!</v>
      </c>
      <c r="X92" s="179" t="e">
        <f t="shared" si="39"/>
        <v>#REF!</v>
      </c>
      <c r="Y92" s="179" t="e">
        <f t="shared" si="39"/>
        <v>#REF!</v>
      </c>
      <c r="Z92" s="179" t="e">
        <f t="shared" si="39"/>
        <v>#REF!</v>
      </c>
      <c r="AA92" s="179" t="e">
        <f t="shared" si="39"/>
        <v>#REF!</v>
      </c>
      <c r="AB92" s="179" t="e">
        <f t="shared" si="39"/>
        <v>#REF!</v>
      </c>
      <c r="AC92" s="179" t="e">
        <f t="shared" si="39"/>
        <v>#REF!</v>
      </c>
      <c r="AD92" s="179" t="e">
        <f t="shared" si="39"/>
        <v>#REF!</v>
      </c>
      <c r="AE92" s="179" t="e">
        <f t="shared" si="39"/>
        <v>#REF!</v>
      </c>
      <c r="AF92" s="179" t="e">
        <f t="shared" si="39"/>
        <v>#REF!</v>
      </c>
      <c r="AG92" s="179" t="e">
        <f t="shared" si="39"/>
        <v>#REF!</v>
      </c>
    </row>
    <row r="93" spans="1:35" s="247" customFormat="1" ht="11.85" customHeight="1">
      <c r="A93" s="270" t="s">
        <v>414</v>
      </c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</row>
    <row r="94" spans="1:35">
      <c r="A94" s="173" t="s">
        <v>312</v>
      </c>
      <c r="B94" s="173" t="s">
        <v>313</v>
      </c>
      <c r="C94" s="179" t="e">
        <f t="shared" ref="C94:AG94" si="40">-PMT($C$33,$C$31,C87)</f>
        <v>#REF!</v>
      </c>
      <c r="D94" s="179" t="e">
        <f t="shared" si="40"/>
        <v>#REF!</v>
      </c>
      <c r="E94" s="179" t="e">
        <f t="shared" si="40"/>
        <v>#REF!</v>
      </c>
      <c r="F94" s="179" t="e">
        <f t="shared" si="40"/>
        <v>#REF!</v>
      </c>
      <c r="G94" s="179" t="e">
        <f t="shared" si="40"/>
        <v>#REF!</v>
      </c>
      <c r="H94" s="179" t="e">
        <f t="shared" si="40"/>
        <v>#REF!</v>
      </c>
      <c r="I94" s="179" t="e">
        <f t="shared" si="40"/>
        <v>#REF!</v>
      </c>
      <c r="J94" s="179" t="e">
        <f t="shared" si="40"/>
        <v>#REF!</v>
      </c>
      <c r="K94" s="179" t="e">
        <f t="shared" si="40"/>
        <v>#REF!</v>
      </c>
      <c r="L94" s="179" t="e">
        <f t="shared" si="40"/>
        <v>#REF!</v>
      </c>
      <c r="M94" s="179" t="e">
        <f t="shared" si="40"/>
        <v>#REF!</v>
      </c>
      <c r="N94" s="179" t="e">
        <f t="shared" si="40"/>
        <v>#REF!</v>
      </c>
      <c r="O94" s="179" t="e">
        <f t="shared" si="40"/>
        <v>#REF!</v>
      </c>
      <c r="P94" s="179" t="e">
        <f t="shared" si="40"/>
        <v>#REF!</v>
      </c>
      <c r="Q94" s="179" t="e">
        <f t="shared" si="40"/>
        <v>#REF!</v>
      </c>
      <c r="R94" s="179" t="e">
        <f t="shared" si="40"/>
        <v>#REF!</v>
      </c>
      <c r="S94" s="179" t="e">
        <f t="shared" si="40"/>
        <v>#REF!</v>
      </c>
      <c r="T94" s="179" t="e">
        <f t="shared" si="40"/>
        <v>#REF!</v>
      </c>
      <c r="U94" s="179" t="e">
        <f t="shared" si="40"/>
        <v>#REF!</v>
      </c>
      <c r="V94" s="179" t="e">
        <f t="shared" si="40"/>
        <v>#REF!</v>
      </c>
      <c r="W94" s="179" t="e">
        <f t="shared" si="40"/>
        <v>#REF!</v>
      </c>
      <c r="X94" s="179" t="e">
        <f t="shared" si="40"/>
        <v>#REF!</v>
      </c>
      <c r="Y94" s="179" t="e">
        <f t="shared" si="40"/>
        <v>#REF!</v>
      </c>
      <c r="Z94" s="179" t="e">
        <f t="shared" si="40"/>
        <v>#REF!</v>
      </c>
      <c r="AA94" s="179" t="e">
        <f t="shared" si="40"/>
        <v>#REF!</v>
      </c>
      <c r="AB94" s="179" t="e">
        <f t="shared" si="40"/>
        <v>#REF!</v>
      </c>
      <c r="AC94" s="179" t="e">
        <f t="shared" si="40"/>
        <v>#REF!</v>
      </c>
      <c r="AD94" s="179" t="e">
        <f t="shared" si="40"/>
        <v>#REF!</v>
      </c>
      <c r="AE94" s="179" t="e">
        <f t="shared" si="40"/>
        <v>#REF!</v>
      </c>
      <c r="AF94" s="179" t="e">
        <f t="shared" si="40"/>
        <v>#REF!</v>
      </c>
      <c r="AG94" s="179" t="e">
        <f t="shared" si="40"/>
        <v>#REF!</v>
      </c>
    </row>
    <row r="95" spans="1:35">
      <c r="A95" s="173" t="s">
        <v>321</v>
      </c>
      <c r="B95" s="173" t="s">
        <v>313</v>
      </c>
      <c r="C95" s="179" t="e">
        <f t="shared" ref="C95:AG99" si="41">C88</f>
        <v>#REF!</v>
      </c>
      <c r="D95" s="179" t="e">
        <f t="shared" si="41"/>
        <v>#REF!</v>
      </c>
      <c r="E95" s="179" t="e">
        <f t="shared" si="41"/>
        <v>#REF!</v>
      </c>
      <c r="F95" s="179" t="e">
        <f t="shared" si="41"/>
        <v>#REF!</v>
      </c>
      <c r="G95" s="179" t="e">
        <f t="shared" si="41"/>
        <v>#REF!</v>
      </c>
      <c r="H95" s="179" t="e">
        <f t="shared" si="41"/>
        <v>#REF!</v>
      </c>
      <c r="I95" s="179" t="e">
        <f t="shared" si="41"/>
        <v>#REF!</v>
      </c>
      <c r="J95" s="179" t="e">
        <f t="shared" si="41"/>
        <v>#REF!</v>
      </c>
      <c r="K95" s="179" t="e">
        <f t="shared" si="41"/>
        <v>#REF!</v>
      </c>
      <c r="L95" s="179" t="e">
        <f t="shared" si="41"/>
        <v>#REF!</v>
      </c>
      <c r="M95" s="179" t="e">
        <f t="shared" si="41"/>
        <v>#REF!</v>
      </c>
      <c r="N95" s="179" t="e">
        <f t="shared" si="41"/>
        <v>#REF!</v>
      </c>
      <c r="O95" s="179" t="e">
        <f t="shared" si="41"/>
        <v>#REF!</v>
      </c>
      <c r="P95" s="179" t="e">
        <f t="shared" si="41"/>
        <v>#REF!</v>
      </c>
      <c r="Q95" s="179" t="e">
        <f t="shared" si="41"/>
        <v>#REF!</v>
      </c>
      <c r="R95" s="179" t="e">
        <f t="shared" si="41"/>
        <v>#REF!</v>
      </c>
      <c r="S95" s="179" t="e">
        <f t="shared" si="41"/>
        <v>#REF!</v>
      </c>
      <c r="T95" s="179" t="e">
        <f t="shared" si="41"/>
        <v>#REF!</v>
      </c>
      <c r="U95" s="179" t="e">
        <f t="shared" si="41"/>
        <v>#REF!</v>
      </c>
      <c r="V95" s="179" t="e">
        <f t="shared" si="41"/>
        <v>#REF!</v>
      </c>
      <c r="W95" s="179" t="e">
        <f t="shared" si="41"/>
        <v>#REF!</v>
      </c>
      <c r="X95" s="179" t="e">
        <f t="shared" si="41"/>
        <v>#REF!</v>
      </c>
      <c r="Y95" s="179" t="e">
        <f t="shared" si="41"/>
        <v>#REF!</v>
      </c>
      <c r="Z95" s="179" t="e">
        <f t="shared" si="41"/>
        <v>#REF!</v>
      </c>
      <c r="AA95" s="179" t="e">
        <f t="shared" si="41"/>
        <v>#REF!</v>
      </c>
      <c r="AB95" s="179" t="e">
        <f t="shared" si="41"/>
        <v>#REF!</v>
      </c>
      <c r="AC95" s="179" t="e">
        <f t="shared" si="41"/>
        <v>#REF!</v>
      </c>
      <c r="AD95" s="179" t="e">
        <f t="shared" si="41"/>
        <v>#REF!</v>
      </c>
      <c r="AE95" s="179" t="e">
        <f t="shared" si="41"/>
        <v>#REF!</v>
      </c>
      <c r="AF95" s="179" t="e">
        <f t="shared" si="41"/>
        <v>#REF!</v>
      </c>
      <c r="AG95" s="179" t="e">
        <f t="shared" si="41"/>
        <v>#REF!</v>
      </c>
    </row>
    <row r="96" spans="1:35">
      <c r="A96" s="173" t="s">
        <v>315</v>
      </c>
      <c r="B96" s="173" t="s">
        <v>313</v>
      </c>
      <c r="C96" s="179" t="e">
        <f t="shared" si="41"/>
        <v>#REF!</v>
      </c>
      <c r="D96" s="179" t="e">
        <f t="shared" si="41"/>
        <v>#REF!</v>
      </c>
      <c r="E96" s="179" t="e">
        <f t="shared" si="41"/>
        <v>#REF!</v>
      </c>
      <c r="F96" s="179" t="e">
        <f t="shared" si="41"/>
        <v>#REF!</v>
      </c>
      <c r="G96" s="179" t="e">
        <f t="shared" si="41"/>
        <v>#REF!</v>
      </c>
      <c r="H96" s="179" t="e">
        <f t="shared" si="41"/>
        <v>#REF!</v>
      </c>
      <c r="I96" s="179" t="e">
        <f t="shared" si="41"/>
        <v>#REF!</v>
      </c>
      <c r="J96" s="179" t="e">
        <f t="shared" si="41"/>
        <v>#REF!</v>
      </c>
      <c r="K96" s="179" t="e">
        <f t="shared" si="41"/>
        <v>#REF!</v>
      </c>
      <c r="L96" s="179" t="e">
        <f t="shared" si="41"/>
        <v>#REF!</v>
      </c>
      <c r="M96" s="179" t="e">
        <f t="shared" si="41"/>
        <v>#REF!</v>
      </c>
      <c r="N96" s="179" t="e">
        <f t="shared" si="41"/>
        <v>#REF!</v>
      </c>
      <c r="O96" s="179" t="e">
        <f t="shared" si="41"/>
        <v>#REF!</v>
      </c>
      <c r="P96" s="179" t="e">
        <f t="shared" si="41"/>
        <v>#REF!</v>
      </c>
      <c r="Q96" s="179" t="e">
        <f t="shared" si="41"/>
        <v>#REF!</v>
      </c>
      <c r="R96" s="179" t="e">
        <f t="shared" si="41"/>
        <v>#REF!</v>
      </c>
      <c r="S96" s="179" t="e">
        <f t="shared" si="41"/>
        <v>#REF!</v>
      </c>
      <c r="T96" s="179" t="e">
        <f t="shared" si="41"/>
        <v>#REF!</v>
      </c>
      <c r="U96" s="179" t="e">
        <f t="shared" si="41"/>
        <v>#REF!</v>
      </c>
      <c r="V96" s="179" t="e">
        <f t="shared" si="41"/>
        <v>#REF!</v>
      </c>
      <c r="W96" s="179" t="e">
        <f t="shared" si="41"/>
        <v>#REF!</v>
      </c>
      <c r="X96" s="179" t="e">
        <f t="shared" si="41"/>
        <v>#REF!</v>
      </c>
      <c r="Y96" s="179" t="e">
        <f t="shared" si="41"/>
        <v>#REF!</v>
      </c>
      <c r="Z96" s="179" t="e">
        <f t="shared" si="41"/>
        <v>#REF!</v>
      </c>
      <c r="AA96" s="179" t="e">
        <f t="shared" si="41"/>
        <v>#REF!</v>
      </c>
      <c r="AB96" s="179" t="e">
        <f t="shared" si="41"/>
        <v>#REF!</v>
      </c>
      <c r="AC96" s="179" t="e">
        <f t="shared" si="41"/>
        <v>#REF!</v>
      </c>
      <c r="AD96" s="179" t="e">
        <f t="shared" si="41"/>
        <v>#REF!</v>
      </c>
      <c r="AE96" s="179" t="e">
        <f t="shared" si="41"/>
        <v>#REF!</v>
      </c>
      <c r="AF96" s="179" t="e">
        <f t="shared" si="41"/>
        <v>#REF!</v>
      </c>
      <c r="AG96" s="179" t="e">
        <f t="shared" si="41"/>
        <v>#REF!</v>
      </c>
    </row>
    <row r="97" spans="1:33">
      <c r="A97" s="173" t="str">
        <f>A90</f>
        <v>Maintenance</v>
      </c>
      <c r="B97" s="173" t="s">
        <v>313</v>
      </c>
      <c r="C97" s="179" t="e">
        <f t="shared" si="41"/>
        <v>#REF!</v>
      </c>
      <c r="D97" s="179" t="e">
        <f t="shared" si="41"/>
        <v>#REF!</v>
      </c>
      <c r="E97" s="179" t="e">
        <f t="shared" si="41"/>
        <v>#REF!</v>
      </c>
      <c r="F97" s="179" t="e">
        <f t="shared" si="41"/>
        <v>#REF!</v>
      </c>
      <c r="G97" s="179" t="e">
        <f t="shared" si="41"/>
        <v>#REF!</v>
      </c>
      <c r="H97" s="179" t="e">
        <f t="shared" si="41"/>
        <v>#REF!</v>
      </c>
      <c r="I97" s="179" t="e">
        <f t="shared" si="41"/>
        <v>#REF!</v>
      </c>
      <c r="J97" s="179" t="e">
        <f t="shared" si="41"/>
        <v>#REF!</v>
      </c>
      <c r="K97" s="179" t="e">
        <f t="shared" si="41"/>
        <v>#REF!</v>
      </c>
      <c r="L97" s="179" t="e">
        <f t="shared" si="41"/>
        <v>#REF!</v>
      </c>
      <c r="M97" s="179" t="e">
        <f t="shared" si="41"/>
        <v>#REF!</v>
      </c>
      <c r="N97" s="179" t="e">
        <f t="shared" si="41"/>
        <v>#REF!</v>
      </c>
      <c r="O97" s="179" t="e">
        <f t="shared" si="41"/>
        <v>#REF!</v>
      </c>
      <c r="P97" s="179" t="e">
        <f t="shared" si="41"/>
        <v>#REF!</v>
      </c>
      <c r="Q97" s="179" t="e">
        <f t="shared" si="41"/>
        <v>#REF!</v>
      </c>
      <c r="R97" s="179" t="e">
        <f t="shared" si="41"/>
        <v>#REF!</v>
      </c>
      <c r="S97" s="179" t="e">
        <f t="shared" si="41"/>
        <v>#REF!</v>
      </c>
      <c r="T97" s="179" t="e">
        <f t="shared" si="41"/>
        <v>#REF!</v>
      </c>
      <c r="U97" s="179" t="e">
        <f t="shared" si="41"/>
        <v>#REF!</v>
      </c>
      <c r="V97" s="179" t="e">
        <f t="shared" si="41"/>
        <v>#REF!</v>
      </c>
      <c r="W97" s="179" t="e">
        <f t="shared" si="41"/>
        <v>#REF!</v>
      </c>
      <c r="X97" s="179" t="e">
        <f t="shared" si="41"/>
        <v>#REF!</v>
      </c>
      <c r="Y97" s="179" t="e">
        <f t="shared" si="41"/>
        <v>#REF!</v>
      </c>
      <c r="Z97" s="179" t="e">
        <f t="shared" si="41"/>
        <v>#REF!</v>
      </c>
      <c r="AA97" s="179" t="e">
        <f t="shared" si="41"/>
        <v>#REF!</v>
      </c>
      <c r="AB97" s="179" t="e">
        <f t="shared" si="41"/>
        <v>#REF!</v>
      </c>
      <c r="AC97" s="179" t="e">
        <f t="shared" si="41"/>
        <v>#REF!</v>
      </c>
      <c r="AD97" s="179" t="e">
        <f t="shared" si="41"/>
        <v>#REF!</v>
      </c>
      <c r="AE97" s="179" t="e">
        <f t="shared" si="41"/>
        <v>#REF!</v>
      </c>
      <c r="AF97" s="179" t="e">
        <f t="shared" si="41"/>
        <v>#REF!</v>
      </c>
      <c r="AG97" s="179" t="e">
        <f t="shared" si="41"/>
        <v>#REF!</v>
      </c>
    </row>
    <row r="98" spans="1:33">
      <c r="A98" s="173" t="str">
        <f>A91</f>
        <v>Toll Tax</v>
      </c>
      <c r="B98" s="173" t="s">
        <v>313</v>
      </c>
      <c r="C98" s="179" t="e">
        <f t="shared" si="41"/>
        <v>#REF!</v>
      </c>
      <c r="D98" s="179" t="e">
        <f t="shared" si="41"/>
        <v>#REF!</v>
      </c>
      <c r="E98" s="179" t="e">
        <f t="shared" si="41"/>
        <v>#REF!</v>
      </c>
      <c r="F98" s="179" t="e">
        <f t="shared" si="41"/>
        <v>#REF!</v>
      </c>
      <c r="G98" s="179" t="e">
        <f t="shared" si="41"/>
        <v>#REF!</v>
      </c>
      <c r="H98" s="179" t="e">
        <f t="shared" si="41"/>
        <v>#REF!</v>
      </c>
      <c r="I98" s="179" t="e">
        <f t="shared" si="41"/>
        <v>#REF!</v>
      </c>
      <c r="J98" s="179" t="e">
        <f t="shared" si="41"/>
        <v>#REF!</v>
      </c>
      <c r="K98" s="179" t="e">
        <f t="shared" si="41"/>
        <v>#REF!</v>
      </c>
      <c r="L98" s="179" t="e">
        <f t="shared" si="41"/>
        <v>#REF!</v>
      </c>
      <c r="M98" s="179" t="e">
        <f t="shared" si="41"/>
        <v>#REF!</v>
      </c>
      <c r="N98" s="179" t="e">
        <f t="shared" si="41"/>
        <v>#REF!</v>
      </c>
      <c r="O98" s="179" t="e">
        <f t="shared" si="41"/>
        <v>#REF!</v>
      </c>
      <c r="P98" s="179" t="e">
        <f t="shared" si="41"/>
        <v>#REF!</v>
      </c>
      <c r="Q98" s="179" t="e">
        <f t="shared" si="41"/>
        <v>#REF!</v>
      </c>
      <c r="R98" s="179" t="e">
        <f t="shared" si="41"/>
        <v>#REF!</v>
      </c>
      <c r="S98" s="179" t="e">
        <f t="shared" si="41"/>
        <v>#REF!</v>
      </c>
      <c r="T98" s="179" t="e">
        <f t="shared" si="41"/>
        <v>#REF!</v>
      </c>
      <c r="U98" s="179" t="e">
        <f t="shared" si="41"/>
        <v>#REF!</v>
      </c>
      <c r="V98" s="179" t="e">
        <f t="shared" si="41"/>
        <v>#REF!</v>
      </c>
      <c r="W98" s="179" t="e">
        <f t="shared" si="41"/>
        <v>#REF!</v>
      </c>
      <c r="X98" s="179" t="e">
        <f t="shared" si="41"/>
        <v>#REF!</v>
      </c>
      <c r="Y98" s="179" t="e">
        <f t="shared" si="41"/>
        <v>#REF!</v>
      </c>
      <c r="Z98" s="179" t="e">
        <f t="shared" si="41"/>
        <v>#REF!</v>
      </c>
      <c r="AA98" s="179" t="e">
        <f t="shared" si="41"/>
        <v>#REF!</v>
      </c>
      <c r="AB98" s="179" t="e">
        <f t="shared" si="41"/>
        <v>#REF!</v>
      </c>
      <c r="AC98" s="179" t="e">
        <f t="shared" si="41"/>
        <v>#REF!</v>
      </c>
      <c r="AD98" s="179" t="e">
        <f t="shared" si="41"/>
        <v>#REF!</v>
      </c>
      <c r="AE98" s="179" t="e">
        <f t="shared" si="41"/>
        <v>#REF!</v>
      </c>
      <c r="AF98" s="179" t="e">
        <f t="shared" si="41"/>
        <v>#REF!</v>
      </c>
      <c r="AG98" s="179" t="e">
        <f t="shared" si="41"/>
        <v>#REF!</v>
      </c>
    </row>
    <row r="99" spans="1:33">
      <c r="A99" s="173" t="s">
        <v>319</v>
      </c>
      <c r="B99" s="173" t="s">
        <v>313</v>
      </c>
      <c r="C99" s="179" t="e">
        <f t="shared" si="41"/>
        <v>#REF!</v>
      </c>
      <c r="D99" s="179" t="e">
        <f t="shared" si="41"/>
        <v>#REF!</v>
      </c>
      <c r="E99" s="179" t="e">
        <f t="shared" si="41"/>
        <v>#REF!</v>
      </c>
      <c r="F99" s="179" t="e">
        <f t="shared" si="41"/>
        <v>#REF!</v>
      </c>
      <c r="G99" s="179" t="e">
        <f t="shared" si="41"/>
        <v>#REF!</v>
      </c>
      <c r="H99" s="179" t="e">
        <f t="shared" si="41"/>
        <v>#REF!</v>
      </c>
      <c r="I99" s="179" t="e">
        <f t="shared" si="41"/>
        <v>#REF!</v>
      </c>
      <c r="J99" s="179" t="e">
        <f t="shared" si="41"/>
        <v>#REF!</v>
      </c>
      <c r="K99" s="179" t="e">
        <f t="shared" si="41"/>
        <v>#REF!</v>
      </c>
      <c r="L99" s="179" t="e">
        <f t="shared" si="41"/>
        <v>#REF!</v>
      </c>
      <c r="M99" s="179" t="e">
        <f t="shared" si="41"/>
        <v>#REF!</v>
      </c>
      <c r="N99" s="179" t="e">
        <f t="shared" si="41"/>
        <v>#REF!</v>
      </c>
      <c r="O99" s="179" t="e">
        <f t="shared" si="41"/>
        <v>#REF!</v>
      </c>
      <c r="P99" s="179" t="e">
        <f t="shared" si="41"/>
        <v>#REF!</v>
      </c>
      <c r="Q99" s="179" t="e">
        <f t="shared" si="41"/>
        <v>#REF!</v>
      </c>
      <c r="R99" s="179" t="e">
        <f t="shared" si="41"/>
        <v>#REF!</v>
      </c>
      <c r="S99" s="179" t="e">
        <f t="shared" si="41"/>
        <v>#REF!</v>
      </c>
      <c r="T99" s="179" t="e">
        <f t="shared" si="41"/>
        <v>#REF!</v>
      </c>
      <c r="U99" s="179" t="e">
        <f t="shared" si="41"/>
        <v>#REF!</v>
      </c>
      <c r="V99" s="179" t="e">
        <f t="shared" si="41"/>
        <v>#REF!</v>
      </c>
      <c r="W99" s="179" t="e">
        <f t="shared" si="41"/>
        <v>#REF!</v>
      </c>
      <c r="X99" s="179" t="e">
        <f t="shared" si="41"/>
        <v>#REF!</v>
      </c>
      <c r="Y99" s="179" t="e">
        <f t="shared" si="41"/>
        <v>#REF!</v>
      </c>
      <c r="Z99" s="179" t="e">
        <f t="shared" si="41"/>
        <v>#REF!</v>
      </c>
      <c r="AA99" s="179" t="e">
        <f t="shared" si="41"/>
        <v>#REF!</v>
      </c>
      <c r="AB99" s="179" t="e">
        <f t="shared" si="41"/>
        <v>#REF!</v>
      </c>
      <c r="AC99" s="179" t="e">
        <f t="shared" si="41"/>
        <v>#REF!</v>
      </c>
      <c r="AD99" s="179" t="e">
        <f t="shared" si="41"/>
        <v>#REF!</v>
      </c>
      <c r="AE99" s="179" t="e">
        <f t="shared" si="41"/>
        <v>#REF!</v>
      </c>
      <c r="AF99" s="179" t="e">
        <f t="shared" si="41"/>
        <v>#REF!</v>
      </c>
      <c r="AG99" s="179" t="e">
        <f t="shared" si="41"/>
        <v>#REF!</v>
      </c>
    </row>
    <row r="100" spans="1:33" s="247" customFormat="1" ht="11.85" customHeight="1">
      <c r="A100" s="270" t="s">
        <v>320</v>
      </c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</row>
    <row r="101" spans="1:33">
      <c r="A101" s="173" t="s">
        <v>312</v>
      </c>
      <c r="B101" s="173" t="s">
        <v>300</v>
      </c>
      <c r="C101" s="179" t="e">
        <f t="shared" ref="C101:AG101" si="42">C94/($C$28*$C$27)</f>
        <v>#REF!</v>
      </c>
      <c r="D101" s="179" t="e">
        <f t="shared" si="42"/>
        <v>#REF!</v>
      </c>
      <c r="E101" s="179" t="e">
        <f t="shared" si="42"/>
        <v>#REF!</v>
      </c>
      <c r="F101" s="179" t="e">
        <f t="shared" si="42"/>
        <v>#REF!</v>
      </c>
      <c r="G101" s="179" t="e">
        <f t="shared" si="42"/>
        <v>#REF!</v>
      </c>
      <c r="H101" s="179" t="e">
        <f t="shared" si="42"/>
        <v>#REF!</v>
      </c>
      <c r="I101" s="179" t="e">
        <f t="shared" si="42"/>
        <v>#REF!</v>
      </c>
      <c r="J101" s="179" t="e">
        <f t="shared" si="42"/>
        <v>#REF!</v>
      </c>
      <c r="K101" s="179" t="e">
        <f t="shared" si="42"/>
        <v>#REF!</v>
      </c>
      <c r="L101" s="179" t="e">
        <f t="shared" si="42"/>
        <v>#REF!</v>
      </c>
      <c r="M101" s="179" t="e">
        <f t="shared" si="42"/>
        <v>#REF!</v>
      </c>
      <c r="N101" s="179" t="e">
        <f t="shared" si="42"/>
        <v>#REF!</v>
      </c>
      <c r="O101" s="179" t="e">
        <f t="shared" si="42"/>
        <v>#REF!</v>
      </c>
      <c r="P101" s="179" t="e">
        <f t="shared" si="42"/>
        <v>#REF!</v>
      </c>
      <c r="Q101" s="179" t="e">
        <f t="shared" si="42"/>
        <v>#REF!</v>
      </c>
      <c r="R101" s="179" t="e">
        <f t="shared" si="42"/>
        <v>#REF!</v>
      </c>
      <c r="S101" s="179" t="e">
        <f t="shared" si="42"/>
        <v>#REF!</v>
      </c>
      <c r="T101" s="179" t="e">
        <f t="shared" si="42"/>
        <v>#REF!</v>
      </c>
      <c r="U101" s="179" t="e">
        <f t="shared" si="42"/>
        <v>#REF!</v>
      </c>
      <c r="V101" s="179" t="e">
        <f t="shared" si="42"/>
        <v>#REF!</v>
      </c>
      <c r="W101" s="179" t="e">
        <f t="shared" si="42"/>
        <v>#REF!</v>
      </c>
      <c r="X101" s="179" t="e">
        <f t="shared" si="42"/>
        <v>#REF!</v>
      </c>
      <c r="Y101" s="179" t="e">
        <f t="shared" si="42"/>
        <v>#REF!</v>
      </c>
      <c r="Z101" s="179" t="e">
        <f t="shared" si="42"/>
        <v>#REF!</v>
      </c>
      <c r="AA101" s="179" t="e">
        <f t="shared" si="42"/>
        <v>#REF!</v>
      </c>
      <c r="AB101" s="179" t="e">
        <f t="shared" si="42"/>
        <v>#REF!</v>
      </c>
      <c r="AC101" s="179" t="e">
        <f t="shared" si="42"/>
        <v>#REF!</v>
      </c>
      <c r="AD101" s="179" t="e">
        <f t="shared" si="42"/>
        <v>#REF!</v>
      </c>
      <c r="AE101" s="179" t="e">
        <f t="shared" si="42"/>
        <v>#REF!</v>
      </c>
      <c r="AF101" s="179" t="e">
        <f t="shared" si="42"/>
        <v>#REF!</v>
      </c>
      <c r="AG101" s="179" t="e">
        <f t="shared" si="42"/>
        <v>#REF!</v>
      </c>
    </row>
    <row r="102" spans="1:33">
      <c r="A102" s="173" t="s">
        <v>321</v>
      </c>
      <c r="B102" s="173" t="s">
        <v>300</v>
      </c>
      <c r="C102" s="179" t="e">
        <f t="shared" ref="C102:AG102" si="43">(C95+C96)/($C$28*$C$27)</f>
        <v>#REF!</v>
      </c>
      <c r="D102" s="179" t="e">
        <f t="shared" si="43"/>
        <v>#REF!</v>
      </c>
      <c r="E102" s="179" t="e">
        <f t="shared" si="43"/>
        <v>#REF!</v>
      </c>
      <c r="F102" s="179" t="e">
        <f t="shared" si="43"/>
        <v>#REF!</v>
      </c>
      <c r="G102" s="179" t="e">
        <f t="shared" si="43"/>
        <v>#REF!</v>
      </c>
      <c r="H102" s="179" t="e">
        <f t="shared" si="43"/>
        <v>#REF!</v>
      </c>
      <c r="I102" s="179" t="e">
        <f t="shared" si="43"/>
        <v>#REF!</v>
      </c>
      <c r="J102" s="179" t="e">
        <f t="shared" si="43"/>
        <v>#REF!</v>
      </c>
      <c r="K102" s="179" t="e">
        <f t="shared" si="43"/>
        <v>#REF!</v>
      </c>
      <c r="L102" s="179" t="e">
        <f t="shared" si="43"/>
        <v>#REF!</v>
      </c>
      <c r="M102" s="179" t="e">
        <f t="shared" si="43"/>
        <v>#REF!</v>
      </c>
      <c r="N102" s="179" t="e">
        <f t="shared" si="43"/>
        <v>#REF!</v>
      </c>
      <c r="O102" s="179" t="e">
        <f t="shared" si="43"/>
        <v>#REF!</v>
      </c>
      <c r="P102" s="179" t="e">
        <f t="shared" si="43"/>
        <v>#REF!</v>
      </c>
      <c r="Q102" s="179" t="e">
        <f t="shared" si="43"/>
        <v>#REF!</v>
      </c>
      <c r="R102" s="179" t="e">
        <f t="shared" si="43"/>
        <v>#REF!</v>
      </c>
      <c r="S102" s="179" t="e">
        <f t="shared" si="43"/>
        <v>#REF!</v>
      </c>
      <c r="T102" s="179" t="e">
        <f t="shared" si="43"/>
        <v>#REF!</v>
      </c>
      <c r="U102" s="179" t="e">
        <f t="shared" si="43"/>
        <v>#REF!</v>
      </c>
      <c r="V102" s="179" t="e">
        <f t="shared" si="43"/>
        <v>#REF!</v>
      </c>
      <c r="W102" s="179" t="e">
        <f t="shared" si="43"/>
        <v>#REF!</v>
      </c>
      <c r="X102" s="179" t="e">
        <f t="shared" si="43"/>
        <v>#REF!</v>
      </c>
      <c r="Y102" s="179" t="e">
        <f t="shared" si="43"/>
        <v>#REF!</v>
      </c>
      <c r="Z102" s="179" t="e">
        <f t="shared" si="43"/>
        <v>#REF!</v>
      </c>
      <c r="AA102" s="179" t="e">
        <f t="shared" si="43"/>
        <v>#REF!</v>
      </c>
      <c r="AB102" s="179" t="e">
        <f t="shared" si="43"/>
        <v>#REF!</v>
      </c>
      <c r="AC102" s="179" t="e">
        <f t="shared" si="43"/>
        <v>#REF!</v>
      </c>
      <c r="AD102" s="179" t="e">
        <f t="shared" si="43"/>
        <v>#REF!</v>
      </c>
      <c r="AE102" s="179" t="e">
        <f t="shared" si="43"/>
        <v>#REF!</v>
      </c>
      <c r="AF102" s="179" t="e">
        <f t="shared" si="43"/>
        <v>#REF!</v>
      </c>
      <c r="AG102" s="179" t="e">
        <f t="shared" si="43"/>
        <v>#REF!</v>
      </c>
    </row>
    <row r="103" spans="1:33">
      <c r="A103" s="173" t="s">
        <v>322</v>
      </c>
      <c r="B103" s="173" t="s">
        <v>300</v>
      </c>
      <c r="C103" s="179" t="e">
        <f t="shared" ref="C103:AG103" si="44">(C97+C99+C71)/($C$28*$C$27)+C64</f>
        <v>#REF!</v>
      </c>
      <c r="D103" s="179" t="e">
        <f t="shared" si="44"/>
        <v>#REF!</v>
      </c>
      <c r="E103" s="179" t="e">
        <f t="shared" si="44"/>
        <v>#REF!</v>
      </c>
      <c r="F103" s="179" t="e">
        <f t="shared" si="44"/>
        <v>#REF!</v>
      </c>
      <c r="G103" s="179" t="e">
        <f t="shared" si="44"/>
        <v>#REF!</v>
      </c>
      <c r="H103" s="179" t="e">
        <f t="shared" si="44"/>
        <v>#REF!</v>
      </c>
      <c r="I103" s="179" t="e">
        <f t="shared" si="44"/>
        <v>#REF!</v>
      </c>
      <c r="J103" s="179" t="e">
        <f t="shared" si="44"/>
        <v>#REF!</v>
      </c>
      <c r="K103" s="179" t="e">
        <f t="shared" si="44"/>
        <v>#REF!</v>
      </c>
      <c r="L103" s="179" t="e">
        <f t="shared" si="44"/>
        <v>#REF!</v>
      </c>
      <c r="M103" s="179" t="e">
        <f t="shared" si="44"/>
        <v>#REF!</v>
      </c>
      <c r="N103" s="179" t="e">
        <f t="shared" si="44"/>
        <v>#REF!</v>
      </c>
      <c r="O103" s="179" t="e">
        <f t="shared" si="44"/>
        <v>#REF!</v>
      </c>
      <c r="P103" s="179" t="e">
        <f t="shared" si="44"/>
        <v>#REF!</v>
      </c>
      <c r="Q103" s="179" t="e">
        <f t="shared" si="44"/>
        <v>#REF!</v>
      </c>
      <c r="R103" s="179" t="e">
        <f t="shared" si="44"/>
        <v>#REF!</v>
      </c>
      <c r="S103" s="179" t="e">
        <f t="shared" si="44"/>
        <v>#REF!</v>
      </c>
      <c r="T103" s="179" t="e">
        <f t="shared" si="44"/>
        <v>#REF!</v>
      </c>
      <c r="U103" s="179" t="e">
        <f t="shared" si="44"/>
        <v>#REF!</v>
      </c>
      <c r="V103" s="179" t="e">
        <f t="shared" si="44"/>
        <v>#REF!</v>
      </c>
      <c r="W103" s="179" t="e">
        <f t="shared" si="44"/>
        <v>#REF!</v>
      </c>
      <c r="X103" s="179" t="e">
        <f t="shared" si="44"/>
        <v>#REF!</v>
      </c>
      <c r="Y103" s="179" t="e">
        <f t="shared" si="44"/>
        <v>#REF!</v>
      </c>
      <c r="Z103" s="179" t="e">
        <f t="shared" si="44"/>
        <v>#REF!</v>
      </c>
      <c r="AA103" s="179" t="e">
        <f t="shared" si="44"/>
        <v>#REF!</v>
      </c>
      <c r="AB103" s="179" t="e">
        <f t="shared" si="44"/>
        <v>#REF!</v>
      </c>
      <c r="AC103" s="179" t="e">
        <f t="shared" si="44"/>
        <v>#REF!</v>
      </c>
      <c r="AD103" s="179" t="e">
        <f t="shared" si="44"/>
        <v>#REF!</v>
      </c>
      <c r="AE103" s="179" t="e">
        <f t="shared" si="44"/>
        <v>#REF!</v>
      </c>
      <c r="AF103" s="179" t="e">
        <f t="shared" si="44"/>
        <v>#REF!</v>
      </c>
      <c r="AG103" s="179" t="e">
        <f t="shared" si="44"/>
        <v>#REF!</v>
      </c>
    </row>
    <row r="104" spans="1:33">
      <c r="C104" s="271" t="e">
        <f t="shared" ref="C104:AB104" si="45">SUM(C101:C103)</f>
        <v>#REF!</v>
      </c>
      <c r="D104" s="271" t="e">
        <f t="shared" si="45"/>
        <v>#REF!</v>
      </c>
      <c r="E104" s="271" t="e">
        <f t="shared" si="45"/>
        <v>#REF!</v>
      </c>
      <c r="F104" s="271" t="e">
        <f t="shared" si="45"/>
        <v>#REF!</v>
      </c>
      <c r="G104" s="271" t="e">
        <f t="shared" si="45"/>
        <v>#REF!</v>
      </c>
      <c r="H104" s="271" t="e">
        <f t="shared" si="45"/>
        <v>#REF!</v>
      </c>
      <c r="I104" s="271" t="e">
        <f t="shared" si="45"/>
        <v>#REF!</v>
      </c>
      <c r="J104" s="271" t="e">
        <f t="shared" si="45"/>
        <v>#REF!</v>
      </c>
      <c r="K104" s="271" t="e">
        <f t="shared" si="45"/>
        <v>#REF!</v>
      </c>
      <c r="L104" s="271" t="e">
        <f t="shared" si="45"/>
        <v>#REF!</v>
      </c>
      <c r="M104" s="271" t="e">
        <f t="shared" si="45"/>
        <v>#REF!</v>
      </c>
      <c r="N104" s="271" t="e">
        <f t="shared" si="45"/>
        <v>#REF!</v>
      </c>
      <c r="O104" s="271" t="e">
        <f t="shared" si="45"/>
        <v>#REF!</v>
      </c>
      <c r="P104" s="271" t="e">
        <f t="shared" si="45"/>
        <v>#REF!</v>
      </c>
      <c r="Q104" s="271" t="e">
        <f t="shared" si="45"/>
        <v>#REF!</v>
      </c>
      <c r="R104" s="271" t="e">
        <f t="shared" si="45"/>
        <v>#REF!</v>
      </c>
      <c r="S104" s="271" t="e">
        <f t="shared" si="45"/>
        <v>#REF!</v>
      </c>
      <c r="T104" s="271" t="e">
        <f t="shared" si="45"/>
        <v>#REF!</v>
      </c>
      <c r="U104" s="271" t="e">
        <f t="shared" si="45"/>
        <v>#REF!</v>
      </c>
      <c r="V104" s="271" t="e">
        <f t="shared" si="45"/>
        <v>#REF!</v>
      </c>
      <c r="W104" s="271" t="e">
        <f t="shared" si="45"/>
        <v>#REF!</v>
      </c>
      <c r="X104" s="271" t="e">
        <f t="shared" si="45"/>
        <v>#REF!</v>
      </c>
      <c r="Y104" s="271" t="e">
        <f t="shared" si="45"/>
        <v>#REF!</v>
      </c>
      <c r="Z104" s="271" t="e">
        <f t="shared" si="45"/>
        <v>#REF!</v>
      </c>
      <c r="AA104" s="271" t="e">
        <f t="shared" si="45"/>
        <v>#REF!</v>
      </c>
      <c r="AB104" s="271" t="e">
        <f t="shared" si="45"/>
        <v>#REF!</v>
      </c>
      <c r="AC104" s="271" t="e">
        <f t="shared" ref="AC104:AG104" si="46">SUM(AC101:AC103)</f>
        <v>#REF!</v>
      </c>
      <c r="AD104" s="271" t="e">
        <f t="shared" si="46"/>
        <v>#REF!</v>
      </c>
      <c r="AE104" s="271" t="e">
        <f t="shared" si="46"/>
        <v>#REF!</v>
      </c>
      <c r="AF104" s="271" t="e">
        <f t="shared" si="46"/>
        <v>#REF!</v>
      </c>
      <c r="AG104" s="271" t="e">
        <f t="shared" si="46"/>
        <v>#REF!</v>
      </c>
    </row>
    <row r="105" spans="1:33" s="225" customFormat="1">
      <c r="A105" s="223" t="s">
        <v>179</v>
      </c>
      <c r="B105" s="223"/>
      <c r="H105" s="272" t="e">
        <f>H108/K70</f>
        <v>#REF!</v>
      </c>
      <c r="AB105" s="272" t="e">
        <f>AB108/AE70</f>
        <v>#REF!</v>
      </c>
    </row>
    <row r="106" spans="1:33">
      <c r="A106" s="235" t="s">
        <v>41</v>
      </c>
      <c r="B106" s="235"/>
      <c r="C106" s="235">
        <v>2025</v>
      </c>
      <c r="D106" s="235">
        <f t="shared" ref="D106:AG106" si="47">C106+1</f>
        <v>2026</v>
      </c>
      <c r="E106" s="235">
        <f t="shared" si="47"/>
        <v>2027</v>
      </c>
      <c r="F106" s="235">
        <f t="shared" si="47"/>
        <v>2028</v>
      </c>
      <c r="G106" s="235">
        <f t="shared" si="47"/>
        <v>2029</v>
      </c>
      <c r="H106" s="235">
        <f t="shared" si="47"/>
        <v>2030</v>
      </c>
      <c r="I106" s="235">
        <f t="shared" si="47"/>
        <v>2031</v>
      </c>
      <c r="J106" s="235">
        <f t="shared" si="47"/>
        <v>2032</v>
      </c>
      <c r="K106" s="235">
        <f t="shared" si="47"/>
        <v>2033</v>
      </c>
      <c r="L106" s="235">
        <f t="shared" si="47"/>
        <v>2034</v>
      </c>
      <c r="M106" s="235">
        <f t="shared" si="47"/>
        <v>2035</v>
      </c>
      <c r="N106" s="235">
        <f t="shared" si="47"/>
        <v>2036</v>
      </c>
      <c r="O106" s="235">
        <f t="shared" si="47"/>
        <v>2037</v>
      </c>
      <c r="P106" s="235">
        <f t="shared" si="47"/>
        <v>2038</v>
      </c>
      <c r="Q106" s="235">
        <f t="shared" si="47"/>
        <v>2039</v>
      </c>
      <c r="R106" s="235">
        <f t="shared" si="47"/>
        <v>2040</v>
      </c>
      <c r="S106" s="235">
        <f t="shared" si="47"/>
        <v>2041</v>
      </c>
      <c r="T106" s="235">
        <f t="shared" si="47"/>
        <v>2042</v>
      </c>
      <c r="U106" s="235">
        <f t="shared" si="47"/>
        <v>2043</v>
      </c>
      <c r="V106" s="235">
        <f t="shared" si="47"/>
        <v>2044</v>
      </c>
      <c r="W106" s="235">
        <f t="shared" si="47"/>
        <v>2045</v>
      </c>
      <c r="X106" s="235">
        <f t="shared" si="47"/>
        <v>2046</v>
      </c>
      <c r="Y106" s="235">
        <f t="shared" si="47"/>
        <v>2047</v>
      </c>
      <c r="Z106" s="235">
        <f t="shared" si="47"/>
        <v>2048</v>
      </c>
      <c r="AA106" s="235">
        <f t="shared" si="47"/>
        <v>2049</v>
      </c>
      <c r="AB106" s="235">
        <f t="shared" si="47"/>
        <v>2050</v>
      </c>
      <c r="AC106" s="235">
        <f t="shared" si="47"/>
        <v>2051</v>
      </c>
      <c r="AD106" s="235">
        <f t="shared" si="47"/>
        <v>2052</v>
      </c>
      <c r="AE106" s="235">
        <f t="shared" si="47"/>
        <v>2053</v>
      </c>
      <c r="AF106" s="235">
        <f t="shared" si="47"/>
        <v>2054</v>
      </c>
      <c r="AG106" s="235">
        <f t="shared" si="47"/>
        <v>2055</v>
      </c>
    </row>
    <row r="107" spans="1:33">
      <c r="A107" s="290" t="s">
        <v>415</v>
      </c>
      <c r="B107" s="173" t="s">
        <v>309</v>
      </c>
      <c r="C107" s="309" t="e">
        <f>#REF!</f>
        <v>#REF!</v>
      </c>
      <c r="D107" s="179" t="e">
        <f>ROUND((C107*(1+#REF!))/1000,0)*1000</f>
        <v>#REF!</v>
      </c>
      <c r="E107" s="179" t="e">
        <f>ROUND((D107*(1+#REF!))/1000,0)*1000</f>
        <v>#REF!</v>
      </c>
      <c r="F107" s="179" t="e">
        <f>ROUND((E107*(1+#REF!))/1000,0)*1000</f>
        <v>#REF!</v>
      </c>
      <c r="G107" s="179" t="e">
        <f>ROUND((F107*(1+#REF!))/1000,0)*1000</f>
        <v>#REF!</v>
      </c>
      <c r="H107" s="179" t="e">
        <f>ROUND((G107*(1+#REF!))/1000,0)*1000</f>
        <v>#REF!</v>
      </c>
      <c r="I107" s="179" t="e">
        <f>ROUND((H107*(1+#REF!))/1000,0)*1000</f>
        <v>#REF!</v>
      </c>
      <c r="J107" s="179" t="e">
        <f>ROUND((I107*(1+#REF!))/1000,0)*1000</f>
        <v>#REF!</v>
      </c>
      <c r="K107" s="179" t="e">
        <f>ROUND((J107*(1+#REF!))/1000,0)*1000</f>
        <v>#REF!</v>
      </c>
      <c r="L107" s="179" t="e">
        <f>ROUND((K107*(1+#REF!))/1000,0)*1000</f>
        <v>#REF!</v>
      </c>
      <c r="M107" s="179" t="e">
        <f>ROUND((L107*(1+#REF!))/1000,0)*1000</f>
        <v>#REF!</v>
      </c>
      <c r="N107" s="179" t="e">
        <f>ROUND((M107*(1+#REF!))/1000,0)*1000</f>
        <v>#REF!</v>
      </c>
      <c r="O107" s="179" t="e">
        <f>ROUND((N107*(1+#REF!))/1000,0)*1000</f>
        <v>#REF!</v>
      </c>
      <c r="P107" s="179" t="e">
        <f>ROUND((O107*(1+#REF!))/1000,0)*1000</f>
        <v>#REF!</v>
      </c>
      <c r="Q107" s="179" t="e">
        <f>ROUND((P107*(1+#REF!))/1000,0)*1000</f>
        <v>#REF!</v>
      </c>
      <c r="R107" s="179" t="e">
        <f>ROUND((Q107*(1+#REF!))/1000,0)*1000</f>
        <v>#REF!</v>
      </c>
      <c r="S107" s="179" t="e">
        <f>ROUND((R107*(1+#REF!))/1000,0)*1000</f>
        <v>#REF!</v>
      </c>
      <c r="T107" s="179" t="e">
        <f>ROUND((S107*(1+#REF!))/1000,0)*1000</f>
        <v>#REF!</v>
      </c>
      <c r="U107" s="179" t="e">
        <f>ROUND((T107*(1+#REF!))/1000,0)*1000</f>
        <v>#REF!</v>
      </c>
      <c r="V107" s="179" t="e">
        <f>ROUND((U107*(1+#REF!))/1000,0)*1000</f>
        <v>#REF!</v>
      </c>
      <c r="W107" s="179" t="e">
        <f>ROUND((V107*(1+#REF!))/1000,0)*1000</f>
        <v>#REF!</v>
      </c>
      <c r="X107" s="179" t="e">
        <f>ROUND((W107*(1+#REF!))/1000,0)*1000</f>
        <v>#REF!</v>
      </c>
      <c r="Y107" s="179" t="e">
        <f>ROUND((X107*(1+#REF!))/1000,0)*1000</f>
        <v>#REF!</v>
      </c>
      <c r="Z107" s="179" t="e">
        <f>ROUND((Y107*(1+#REF!))/1000,0)*1000</f>
        <v>#REF!</v>
      </c>
      <c r="AA107" s="179" t="e">
        <f>ROUND((Z107*(1+#REF!))/1000,0)*1000</f>
        <v>#REF!</v>
      </c>
      <c r="AB107" s="179" t="e">
        <f>ROUND((AA107*(1+#REF!))/1000,0)*1000</f>
        <v>#REF!</v>
      </c>
      <c r="AC107" s="179" t="e">
        <f>ROUND((AB107*(1+#REF!))/1000,0)*1000</f>
        <v>#REF!</v>
      </c>
      <c r="AD107" s="179" t="e">
        <f>ROUND((AC107*(1+#REF!))/1000,0)*1000</f>
        <v>#REF!</v>
      </c>
      <c r="AE107" s="179" t="e">
        <f>ROUND((AD107*(1+#REF!))/1000,0)*1000</f>
        <v>#REF!</v>
      </c>
      <c r="AF107" s="179" t="e">
        <f>ROUND((AE107*(1+#REF!))/1000,0)*1000</f>
        <v>#REF!</v>
      </c>
      <c r="AG107" s="179" t="e">
        <f>ROUND((AF107*(1+#REF!))/1000,0)*1000</f>
        <v>#REF!</v>
      </c>
    </row>
    <row r="108" spans="1:33">
      <c r="A108" s="290" t="s">
        <v>324</v>
      </c>
      <c r="B108" s="173" t="s">
        <v>309</v>
      </c>
      <c r="C108" s="309" t="e">
        <f>C87+C107</f>
        <v>#REF!</v>
      </c>
      <c r="D108" s="309" t="e">
        <f>D87+D107</f>
        <v>#REF!</v>
      </c>
      <c r="E108" s="309" t="e">
        <f>E87+E107</f>
        <v>#REF!</v>
      </c>
      <c r="F108" s="309" t="e">
        <f t="shared" ref="F108:AG108" si="48">F87+F107</f>
        <v>#REF!</v>
      </c>
      <c r="G108" s="309" t="e">
        <f t="shared" si="48"/>
        <v>#REF!</v>
      </c>
      <c r="H108" s="309" t="e">
        <f t="shared" si="48"/>
        <v>#REF!</v>
      </c>
      <c r="I108" s="309" t="e">
        <f t="shared" si="48"/>
        <v>#REF!</v>
      </c>
      <c r="J108" s="309" t="e">
        <f t="shared" si="48"/>
        <v>#REF!</v>
      </c>
      <c r="K108" s="309" t="e">
        <f t="shared" si="48"/>
        <v>#REF!</v>
      </c>
      <c r="L108" s="309" t="e">
        <f t="shared" si="48"/>
        <v>#REF!</v>
      </c>
      <c r="M108" s="309" t="e">
        <f t="shared" si="48"/>
        <v>#REF!</v>
      </c>
      <c r="N108" s="309" t="e">
        <f t="shared" si="48"/>
        <v>#REF!</v>
      </c>
      <c r="O108" s="309" t="e">
        <f t="shared" si="48"/>
        <v>#REF!</v>
      </c>
      <c r="P108" s="309" t="e">
        <f t="shared" si="48"/>
        <v>#REF!</v>
      </c>
      <c r="Q108" s="309" t="e">
        <f t="shared" si="48"/>
        <v>#REF!</v>
      </c>
      <c r="R108" s="309" t="e">
        <f t="shared" si="48"/>
        <v>#REF!</v>
      </c>
      <c r="S108" s="309" t="e">
        <f t="shared" si="48"/>
        <v>#REF!</v>
      </c>
      <c r="T108" s="309" t="e">
        <f t="shared" si="48"/>
        <v>#REF!</v>
      </c>
      <c r="U108" s="309" t="e">
        <f t="shared" si="48"/>
        <v>#REF!</v>
      </c>
      <c r="V108" s="309" t="e">
        <f t="shared" si="48"/>
        <v>#REF!</v>
      </c>
      <c r="W108" s="309" t="e">
        <f t="shared" si="48"/>
        <v>#REF!</v>
      </c>
      <c r="X108" s="309" t="e">
        <f t="shared" si="48"/>
        <v>#REF!</v>
      </c>
      <c r="Y108" s="309" t="e">
        <f t="shared" si="48"/>
        <v>#REF!</v>
      </c>
      <c r="Z108" s="309" t="e">
        <f t="shared" si="48"/>
        <v>#REF!</v>
      </c>
      <c r="AA108" s="309" t="e">
        <f t="shared" si="48"/>
        <v>#REF!</v>
      </c>
      <c r="AB108" s="309" t="e">
        <f t="shared" si="48"/>
        <v>#REF!</v>
      </c>
      <c r="AC108" s="309" t="e">
        <f t="shared" si="48"/>
        <v>#REF!</v>
      </c>
      <c r="AD108" s="309" t="e">
        <f t="shared" si="48"/>
        <v>#REF!</v>
      </c>
      <c r="AE108" s="309" t="e">
        <f t="shared" si="48"/>
        <v>#REF!</v>
      </c>
      <c r="AF108" s="309" t="e">
        <f t="shared" si="48"/>
        <v>#REF!</v>
      </c>
      <c r="AG108" s="309" t="e">
        <f t="shared" si="48"/>
        <v>#REF!</v>
      </c>
    </row>
    <row r="109" spans="1:33">
      <c r="A109" s="173" t="s">
        <v>321</v>
      </c>
      <c r="B109" s="173" t="s">
        <v>309</v>
      </c>
      <c r="C109" s="179" t="e">
        <f t="shared" ref="C109:AG109" si="49">C42*$D$83</f>
        <v>#REF!</v>
      </c>
      <c r="D109" s="179" t="e">
        <f t="shared" si="49"/>
        <v>#REF!</v>
      </c>
      <c r="E109" s="179" t="e">
        <f t="shared" si="49"/>
        <v>#REF!</v>
      </c>
      <c r="F109" s="179" t="e">
        <f t="shared" si="49"/>
        <v>#REF!</v>
      </c>
      <c r="G109" s="179" t="e">
        <f t="shared" si="49"/>
        <v>#REF!</v>
      </c>
      <c r="H109" s="179" t="e">
        <f t="shared" si="49"/>
        <v>#REF!</v>
      </c>
      <c r="I109" s="179" t="e">
        <f t="shared" si="49"/>
        <v>#REF!</v>
      </c>
      <c r="J109" s="179" t="e">
        <f t="shared" si="49"/>
        <v>#REF!</v>
      </c>
      <c r="K109" s="179" t="e">
        <f t="shared" si="49"/>
        <v>#REF!</v>
      </c>
      <c r="L109" s="179" t="e">
        <f t="shared" si="49"/>
        <v>#REF!</v>
      </c>
      <c r="M109" s="179" t="e">
        <f t="shared" si="49"/>
        <v>#REF!</v>
      </c>
      <c r="N109" s="179" t="e">
        <f t="shared" si="49"/>
        <v>#REF!</v>
      </c>
      <c r="O109" s="179" t="e">
        <f t="shared" si="49"/>
        <v>#REF!</v>
      </c>
      <c r="P109" s="179" t="e">
        <f t="shared" si="49"/>
        <v>#REF!</v>
      </c>
      <c r="Q109" s="179" t="e">
        <f t="shared" si="49"/>
        <v>#REF!</v>
      </c>
      <c r="R109" s="179" t="e">
        <f t="shared" si="49"/>
        <v>#REF!</v>
      </c>
      <c r="S109" s="179" t="e">
        <f t="shared" si="49"/>
        <v>#REF!</v>
      </c>
      <c r="T109" s="179" t="e">
        <f t="shared" si="49"/>
        <v>#REF!</v>
      </c>
      <c r="U109" s="179" t="e">
        <f t="shared" si="49"/>
        <v>#REF!</v>
      </c>
      <c r="V109" s="179" t="e">
        <f t="shared" si="49"/>
        <v>#REF!</v>
      </c>
      <c r="W109" s="179" t="e">
        <f t="shared" si="49"/>
        <v>#REF!</v>
      </c>
      <c r="X109" s="179" t="e">
        <f t="shared" si="49"/>
        <v>#REF!</v>
      </c>
      <c r="Y109" s="179" t="e">
        <f t="shared" si="49"/>
        <v>#REF!</v>
      </c>
      <c r="Z109" s="179" t="e">
        <f t="shared" si="49"/>
        <v>#REF!</v>
      </c>
      <c r="AA109" s="179" t="e">
        <f t="shared" si="49"/>
        <v>#REF!</v>
      </c>
      <c r="AB109" s="179" t="e">
        <f t="shared" si="49"/>
        <v>#REF!</v>
      </c>
      <c r="AC109" s="179" t="e">
        <f t="shared" si="49"/>
        <v>#REF!</v>
      </c>
      <c r="AD109" s="179" t="e">
        <f t="shared" si="49"/>
        <v>#REF!</v>
      </c>
      <c r="AE109" s="179" t="e">
        <f t="shared" si="49"/>
        <v>#REF!</v>
      </c>
      <c r="AF109" s="179" t="e">
        <f t="shared" si="49"/>
        <v>#REF!</v>
      </c>
      <c r="AG109" s="179" t="e">
        <f t="shared" si="49"/>
        <v>#REF!</v>
      </c>
    </row>
    <row r="110" spans="1:33">
      <c r="A110" s="173" t="s">
        <v>317</v>
      </c>
      <c r="B110" s="173" t="s">
        <v>309</v>
      </c>
      <c r="C110" s="179" t="e">
        <f t="shared" ref="C110:AG110" si="50">C67*$C$27*$C$28</f>
        <v>#REF!</v>
      </c>
      <c r="D110" s="179" t="e">
        <f t="shared" si="50"/>
        <v>#REF!</v>
      </c>
      <c r="E110" s="179" t="e">
        <f t="shared" si="50"/>
        <v>#REF!</v>
      </c>
      <c r="F110" s="179" t="e">
        <f t="shared" si="50"/>
        <v>#REF!</v>
      </c>
      <c r="G110" s="179" t="e">
        <f t="shared" si="50"/>
        <v>#REF!</v>
      </c>
      <c r="H110" s="179" t="e">
        <f t="shared" si="50"/>
        <v>#REF!</v>
      </c>
      <c r="I110" s="179" t="e">
        <f t="shared" si="50"/>
        <v>#REF!</v>
      </c>
      <c r="J110" s="179" t="e">
        <f t="shared" si="50"/>
        <v>#REF!</v>
      </c>
      <c r="K110" s="179" t="e">
        <f t="shared" si="50"/>
        <v>#REF!</v>
      </c>
      <c r="L110" s="179" t="e">
        <f t="shared" si="50"/>
        <v>#REF!</v>
      </c>
      <c r="M110" s="179" t="e">
        <f t="shared" si="50"/>
        <v>#REF!</v>
      </c>
      <c r="N110" s="179" t="e">
        <f t="shared" si="50"/>
        <v>#REF!</v>
      </c>
      <c r="O110" s="179" t="e">
        <f t="shared" si="50"/>
        <v>#REF!</v>
      </c>
      <c r="P110" s="179" t="e">
        <f t="shared" si="50"/>
        <v>#REF!</v>
      </c>
      <c r="Q110" s="179" t="e">
        <f t="shared" si="50"/>
        <v>#REF!</v>
      </c>
      <c r="R110" s="179" t="e">
        <f t="shared" si="50"/>
        <v>#REF!</v>
      </c>
      <c r="S110" s="179" t="e">
        <f t="shared" si="50"/>
        <v>#REF!</v>
      </c>
      <c r="T110" s="179" t="e">
        <f t="shared" si="50"/>
        <v>#REF!</v>
      </c>
      <c r="U110" s="179" t="e">
        <f t="shared" si="50"/>
        <v>#REF!</v>
      </c>
      <c r="V110" s="179" t="e">
        <f t="shared" si="50"/>
        <v>#REF!</v>
      </c>
      <c r="W110" s="179" t="e">
        <f t="shared" si="50"/>
        <v>#REF!</v>
      </c>
      <c r="X110" s="179" t="e">
        <f t="shared" si="50"/>
        <v>#REF!</v>
      </c>
      <c r="Y110" s="179" t="e">
        <f t="shared" si="50"/>
        <v>#REF!</v>
      </c>
      <c r="Z110" s="179" t="e">
        <f t="shared" si="50"/>
        <v>#REF!</v>
      </c>
      <c r="AA110" s="179" t="e">
        <f t="shared" si="50"/>
        <v>#REF!</v>
      </c>
      <c r="AB110" s="179" t="e">
        <f t="shared" si="50"/>
        <v>#REF!</v>
      </c>
      <c r="AC110" s="179" t="e">
        <f t="shared" si="50"/>
        <v>#REF!</v>
      </c>
      <c r="AD110" s="179" t="e">
        <f t="shared" si="50"/>
        <v>#REF!</v>
      </c>
      <c r="AE110" s="179" t="e">
        <f t="shared" si="50"/>
        <v>#REF!</v>
      </c>
      <c r="AF110" s="179" t="e">
        <f t="shared" si="50"/>
        <v>#REF!</v>
      </c>
      <c r="AG110" s="179" t="e">
        <f t="shared" si="50"/>
        <v>#REF!</v>
      </c>
    </row>
    <row r="111" spans="1:33">
      <c r="A111" s="173" t="s">
        <v>319</v>
      </c>
      <c r="B111" s="173" t="s">
        <v>309</v>
      </c>
      <c r="C111" s="179" t="e">
        <f t="shared" ref="C111:AG111" si="51">C108*$C$34</f>
        <v>#REF!</v>
      </c>
      <c r="D111" s="179" t="e">
        <f t="shared" si="51"/>
        <v>#REF!</v>
      </c>
      <c r="E111" s="179" t="e">
        <f t="shared" si="51"/>
        <v>#REF!</v>
      </c>
      <c r="F111" s="179" t="e">
        <f t="shared" si="51"/>
        <v>#REF!</v>
      </c>
      <c r="G111" s="179" t="e">
        <f t="shared" si="51"/>
        <v>#REF!</v>
      </c>
      <c r="H111" s="179" t="e">
        <f t="shared" si="51"/>
        <v>#REF!</v>
      </c>
      <c r="I111" s="179" t="e">
        <f t="shared" si="51"/>
        <v>#REF!</v>
      </c>
      <c r="J111" s="179" t="e">
        <f t="shared" si="51"/>
        <v>#REF!</v>
      </c>
      <c r="K111" s="179" t="e">
        <f t="shared" si="51"/>
        <v>#REF!</v>
      </c>
      <c r="L111" s="179" t="e">
        <f t="shared" si="51"/>
        <v>#REF!</v>
      </c>
      <c r="M111" s="179" t="e">
        <f t="shared" si="51"/>
        <v>#REF!</v>
      </c>
      <c r="N111" s="179" t="e">
        <f t="shared" si="51"/>
        <v>#REF!</v>
      </c>
      <c r="O111" s="179" t="e">
        <f t="shared" si="51"/>
        <v>#REF!</v>
      </c>
      <c r="P111" s="179" t="e">
        <f t="shared" si="51"/>
        <v>#REF!</v>
      </c>
      <c r="Q111" s="179" t="e">
        <f t="shared" si="51"/>
        <v>#REF!</v>
      </c>
      <c r="R111" s="179" t="e">
        <f t="shared" si="51"/>
        <v>#REF!</v>
      </c>
      <c r="S111" s="179" t="e">
        <f t="shared" si="51"/>
        <v>#REF!</v>
      </c>
      <c r="T111" s="179" t="e">
        <f t="shared" si="51"/>
        <v>#REF!</v>
      </c>
      <c r="U111" s="179" t="e">
        <f t="shared" si="51"/>
        <v>#REF!</v>
      </c>
      <c r="V111" s="179" t="e">
        <f t="shared" si="51"/>
        <v>#REF!</v>
      </c>
      <c r="W111" s="179" t="e">
        <f t="shared" si="51"/>
        <v>#REF!</v>
      </c>
      <c r="X111" s="179" t="e">
        <f t="shared" si="51"/>
        <v>#REF!</v>
      </c>
      <c r="Y111" s="179" t="e">
        <f t="shared" si="51"/>
        <v>#REF!</v>
      </c>
      <c r="Z111" s="179" t="e">
        <f t="shared" si="51"/>
        <v>#REF!</v>
      </c>
      <c r="AA111" s="179" t="e">
        <f t="shared" si="51"/>
        <v>#REF!</v>
      </c>
      <c r="AB111" s="179" t="e">
        <f t="shared" si="51"/>
        <v>#REF!</v>
      </c>
      <c r="AC111" s="179" t="e">
        <f t="shared" si="51"/>
        <v>#REF!</v>
      </c>
      <c r="AD111" s="179" t="e">
        <f t="shared" si="51"/>
        <v>#REF!</v>
      </c>
      <c r="AE111" s="179" t="e">
        <f t="shared" si="51"/>
        <v>#REF!</v>
      </c>
      <c r="AF111" s="179" t="e">
        <f t="shared" si="51"/>
        <v>#REF!</v>
      </c>
      <c r="AG111" s="179" t="e">
        <f t="shared" si="51"/>
        <v>#REF!</v>
      </c>
    </row>
    <row r="112" spans="1:33" s="247" customFormat="1" ht="11.85" customHeight="1">
      <c r="A112" s="270" t="s">
        <v>414</v>
      </c>
    </row>
    <row r="113" spans="1:33">
      <c r="A113" s="173" t="s">
        <v>325</v>
      </c>
      <c r="B113" s="173" t="s">
        <v>313</v>
      </c>
      <c r="C113" s="179" t="e">
        <f t="shared" ref="C113:AG113" si="52">-PMT($C$33,$C$31,C108)</f>
        <v>#REF!</v>
      </c>
      <c r="D113" s="179" t="e">
        <f t="shared" si="52"/>
        <v>#REF!</v>
      </c>
      <c r="E113" s="179" t="e">
        <f t="shared" si="52"/>
        <v>#REF!</v>
      </c>
      <c r="F113" s="179" t="e">
        <f t="shared" si="52"/>
        <v>#REF!</v>
      </c>
      <c r="G113" s="179" t="e">
        <f t="shared" si="52"/>
        <v>#REF!</v>
      </c>
      <c r="H113" s="179" t="e">
        <f t="shared" si="52"/>
        <v>#REF!</v>
      </c>
      <c r="I113" s="179" t="e">
        <f t="shared" si="52"/>
        <v>#REF!</v>
      </c>
      <c r="J113" s="179" t="e">
        <f t="shared" si="52"/>
        <v>#REF!</v>
      </c>
      <c r="K113" s="179" t="e">
        <f t="shared" si="52"/>
        <v>#REF!</v>
      </c>
      <c r="L113" s="179" t="e">
        <f t="shared" si="52"/>
        <v>#REF!</v>
      </c>
      <c r="M113" s="179" t="e">
        <f t="shared" si="52"/>
        <v>#REF!</v>
      </c>
      <c r="N113" s="179" t="e">
        <f t="shared" si="52"/>
        <v>#REF!</v>
      </c>
      <c r="O113" s="179" t="e">
        <f t="shared" si="52"/>
        <v>#REF!</v>
      </c>
      <c r="P113" s="179" t="e">
        <f t="shared" si="52"/>
        <v>#REF!</v>
      </c>
      <c r="Q113" s="179" t="e">
        <f t="shared" si="52"/>
        <v>#REF!</v>
      </c>
      <c r="R113" s="179" t="e">
        <f t="shared" si="52"/>
        <v>#REF!</v>
      </c>
      <c r="S113" s="179" t="e">
        <f t="shared" si="52"/>
        <v>#REF!</v>
      </c>
      <c r="T113" s="179" t="e">
        <f t="shared" si="52"/>
        <v>#REF!</v>
      </c>
      <c r="U113" s="179" t="e">
        <f t="shared" si="52"/>
        <v>#REF!</v>
      </c>
      <c r="V113" s="179" t="e">
        <f t="shared" si="52"/>
        <v>#REF!</v>
      </c>
      <c r="W113" s="179" t="e">
        <f t="shared" si="52"/>
        <v>#REF!</v>
      </c>
      <c r="X113" s="179" t="e">
        <f t="shared" si="52"/>
        <v>#REF!</v>
      </c>
      <c r="Y113" s="179" t="e">
        <f t="shared" si="52"/>
        <v>#REF!</v>
      </c>
      <c r="Z113" s="179" t="e">
        <f t="shared" si="52"/>
        <v>#REF!</v>
      </c>
      <c r="AA113" s="179" t="e">
        <f t="shared" si="52"/>
        <v>#REF!</v>
      </c>
      <c r="AB113" s="179" t="e">
        <f t="shared" si="52"/>
        <v>#REF!</v>
      </c>
      <c r="AC113" s="179" t="e">
        <f t="shared" si="52"/>
        <v>#REF!</v>
      </c>
      <c r="AD113" s="179" t="e">
        <f t="shared" si="52"/>
        <v>#REF!</v>
      </c>
      <c r="AE113" s="179" t="e">
        <f t="shared" si="52"/>
        <v>#REF!</v>
      </c>
      <c r="AF113" s="179" t="e">
        <f t="shared" si="52"/>
        <v>#REF!</v>
      </c>
      <c r="AG113" s="179" t="e">
        <f t="shared" si="52"/>
        <v>#REF!</v>
      </c>
    </row>
    <row r="114" spans="1:33">
      <c r="A114" s="173" t="s">
        <v>321</v>
      </c>
      <c r="B114" s="173" t="s">
        <v>313</v>
      </c>
      <c r="C114" s="179" t="e">
        <f t="shared" ref="C114:AG116" si="53">C109</f>
        <v>#REF!</v>
      </c>
      <c r="D114" s="179" t="e">
        <f t="shared" si="53"/>
        <v>#REF!</v>
      </c>
      <c r="E114" s="179" t="e">
        <f t="shared" si="53"/>
        <v>#REF!</v>
      </c>
      <c r="F114" s="179" t="e">
        <f t="shared" si="53"/>
        <v>#REF!</v>
      </c>
      <c r="G114" s="179" t="e">
        <f t="shared" si="53"/>
        <v>#REF!</v>
      </c>
      <c r="H114" s="179" t="e">
        <f t="shared" si="53"/>
        <v>#REF!</v>
      </c>
      <c r="I114" s="179" t="e">
        <f t="shared" si="53"/>
        <v>#REF!</v>
      </c>
      <c r="J114" s="179" t="e">
        <f t="shared" si="53"/>
        <v>#REF!</v>
      </c>
      <c r="K114" s="179" t="e">
        <f t="shared" si="53"/>
        <v>#REF!</v>
      </c>
      <c r="L114" s="179" t="e">
        <f t="shared" si="53"/>
        <v>#REF!</v>
      </c>
      <c r="M114" s="179" t="e">
        <f t="shared" si="53"/>
        <v>#REF!</v>
      </c>
      <c r="N114" s="179" t="e">
        <f t="shared" si="53"/>
        <v>#REF!</v>
      </c>
      <c r="O114" s="179" t="e">
        <f t="shared" si="53"/>
        <v>#REF!</v>
      </c>
      <c r="P114" s="179" t="e">
        <f t="shared" si="53"/>
        <v>#REF!</v>
      </c>
      <c r="Q114" s="179" t="e">
        <f t="shared" si="53"/>
        <v>#REF!</v>
      </c>
      <c r="R114" s="179" t="e">
        <f t="shared" si="53"/>
        <v>#REF!</v>
      </c>
      <c r="S114" s="179" t="e">
        <f t="shared" si="53"/>
        <v>#REF!</v>
      </c>
      <c r="T114" s="179" t="e">
        <f t="shared" si="53"/>
        <v>#REF!</v>
      </c>
      <c r="U114" s="179" t="e">
        <f t="shared" si="53"/>
        <v>#REF!</v>
      </c>
      <c r="V114" s="179" t="e">
        <f t="shared" si="53"/>
        <v>#REF!</v>
      </c>
      <c r="W114" s="179" t="e">
        <f t="shared" si="53"/>
        <v>#REF!</v>
      </c>
      <c r="X114" s="179" t="e">
        <f t="shared" si="53"/>
        <v>#REF!</v>
      </c>
      <c r="Y114" s="179" t="e">
        <f t="shared" si="53"/>
        <v>#REF!</v>
      </c>
      <c r="Z114" s="179" t="e">
        <f t="shared" si="53"/>
        <v>#REF!</v>
      </c>
      <c r="AA114" s="179" t="e">
        <f t="shared" si="53"/>
        <v>#REF!</v>
      </c>
      <c r="AB114" s="179" t="e">
        <f t="shared" si="53"/>
        <v>#REF!</v>
      </c>
      <c r="AC114" s="179" t="e">
        <f t="shared" si="53"/>
        <v>#REF!</v>
      </c>
      <c r="AD114" s="179" t="e">
        <f t="shared" si="53"/>
        <v>#REF!</v>
      </c>
      <c r="AE114" s="179" t="e">
        <f t="shared" si="53"/>
        <v>#REF!</v>
      </c>
      <c r="AF114" s="179" t="e">
        <f t="shared" si="53"/>
        <v>#REF!</v>
      </c>
      <c r="AG114" s="179" t="e">
        <f t="shared" si="53"/>
        <v>#REF!</v>
      </c>
    </row>
    <row r="115" spans="1:33">
      <c r="A115" s="173" t="s">
        <v>317</v>
      </c>
      <c r="B115" s="173" t="s">
        <v>313</v>
      </c>
      <c r="C115" s="179" t="e">
        <f>C110</f>
        <v>#REF!</v>
      </c>
      <c r="D115" s="179" t="e">
        <f t="shared" si="53"/>
        <v>#REF!</v>
      </c>
      <c r="E115" s="179" t="e">
        <f t="shared" si="53"/>
        <v>#REF!</v>
      </c>
      <c r="F115" s="179" t="e">
        <f t="shared" si="53"/>
        <v>#REF!</v>
      </c>
      <c r="G115" s="179" t="e">
        <f t="shared" si="53"/>
        <v>#REF!</v>
      </c>
      <c r="H115" s="179" t="e">
        <f t="shared" si="53"/>
        <v>#REF!</v>
      </c>
      <c r="I115" s="179" t="e">
        <f t="shared" si="53"/>
        <v>#REF!</v>
      </c>
      <c r="J115" s="179" t="e">
        <f t="shared" si="53"/>
        <v>#REF!</v>
      </c>
      <c r="K115" s="179" t="e">
        <f t="shared" si="53"/>
        <v>#REF!</v>
      </c>
      <c r="L115" s="179" t="e">
        <f t="shared" si="53"/>
        <v>#REF!</v>
      </c>
      <c r="M115" s="179" t="e">
        <f t="shared" si="53"/>
        <v>#REF!</v>
      </c>
      <c r="N115" s="179" t="e">
        <f t="shared" si="53"/>
        <v>#REF!</v>
      </c>
      <c r="O115" s="179" t="e">
        <f t="shared" si="53"/>
        <v>#REF!</v>
      </c>
      <c r="P115" s="179" t="e">
        <f t="shared" si="53"/>
        <v>#REF!</v>
      </c>
      <c r="Q115" s="179" t="e">
        <f t="shared" si="53"/>
        <v>#REF!</v>
      </c>
      <c r="R115" s="179" t="e">
        <f t="shared" si="53"/>
        <v>#REF!</v>
      </c>
      <c r="S115" s="179" t="e">
        <f t="shared" si="53"/>
        <v>#REF!</v>
      </c>
      <c r="T115" s="179" t="e">
        <f t="shared" si="53"/>
        <v>#REF!</v>
      </c>
      <c r="U115" s="179" t="e">
        <f t="shared" si="53"/>
        <v>#REF!</v>
      </c>
      <c r="V115" s="179" t="e">
        <f t="shared" si="53"/>
        <v>#REF!</v>
      </c>
      <c r="W115" s="179" t="e">
        <f t="shared" si="53"/>
        <v>#REF!</v>
      </c>
      <c r="X115" s="179" t="e">
        <f t="shared" si="53"/>
        <v>#REF!</v>
      </c>
      <c r="Y115" s="179" t="e">
        <f t="shared" si="53"/>
        <v>#REF!</v>
      </c>
      <c r="Z115" s="179" t="e">
        <f t="shared" si="53"/>
        <v>#REF!</v>
      </c>
      <c r="AA115" s="179" t="e">
        <f t="shared" si="53"/>
        <v>#REF!</v>
      </c>
      <c r="AB115" s="179" t="e">
        <f t="shared" si="53"/>
        <v>#REF!</v>
      </c>
      <c r="AC115" s="179" t="e">
        <f t="shared" si="53"/>
        <v>#REF!</v>
      </c>
      <c r="AD115" s="179" t="e">
        <f t="shared" si="53"/>
        <v>#REF!</v>
      </c>
      <c r="AE115" s="179" t="e">
        <f t="shared" si="53"/>
        <v>#REF!</v>
      </c>
      <c r="AF115" s="179" t="e">
        <f t="shared" si="53"/>
        <v>#REF!</v>
      </c>
      <c r="AG115" s="179" t="e">
        <f t="shared" si="53"/>
        <v>#REF!</v>
      </c>
    </row>
    <row r="116" spans="1:33">
      <c r="A116" s="173" t="s">
        <v>319</v>
      </c>
      <c r="B116" s="173" t="s">
        <v>313</v>
      </c>
      <c r="C116" s="179" t="e">
        <f>C111</f>
        <v>#REF!</v>
      </c>
      <c r="D116" s="179" t="e">
        <f t="shared" si="53"/>
        <v>#REF!</v>
      </c>
      <c r="E116" s="179" t="e">
        <f t="shared" si="53"/>
        <v>#REF!</v>
      </c>
      <c r="F116" s="179" t="e">
        <f t="shared" si="53"/>
        <v>#REF!</v>
      </c>
      <c r="G116" s="179" t="e">
        <f t="shared" si="53"/>
        <v>#REF!</v>
      </c>
      <c r="H116" s="179" t="e">
        <f t="shared" si="53"/>
        <v>#REF!</v>
      </c>
      <c r="I116" s="179" t="e">
        <f t="shared" si="53"/>
        <v>#REF!</v>
      </c>
      <c r="J116" s="179" t="e">
        <f t="shared" si="53"/>
        <v>#REF!</v>
      </c>
      <c r="K116" s="179" t="e">
        <f t="shared" si="53"/>
        <v>#REF!</v>
      </c>
      <c r="L116" s="179" t="e">
        <f t="shared" si="53"/>
        <v>#REF!</v>
      </c>
      <c r="M116" s="179" t="e">
        <f t="shared" si="53"/>
        <v>#REF!</v>
      </c>
      <c r="N116" s="179" t="e">
        <f t="shared" si="53"/>
        <v>#REF!</v>
      </c>
      <c r="O116" s="179" t="e">
        <f t="shared" si="53"/>
        <v>#REF!</v>
      </c>
      <c r="P116" s="179" t="e">
        <f t="shared" si="53"/>
        <v>#REF!</v>
      </c>
      <c r="Q116" s="179" t="e">
        <f t="shared" si="53"/>
        <v>#REF!</v>
      </c>
      <c r="R116" s="179" t="e">
        <f t="shared" si="53"/>
        <v>#REF!</v>
      </c>
      <c r="S116" s="179" t="e">
        <f t="shared" si="53"/>
        <v>#REF!</v>
      </c>
      <c r="T116" s="179" t="e">
        <f t="shared" si="53"/>
        <v>#REF!</v>
      </c>
      <c r="U116" s="179" t="e">
        <f t="shared" si="53"/>
        <v>#REF!</v>
      </c>
      <c r="V116" s="179" t="e">
        <f t="shared" si="53"/>
        <v>#REF!</v>
      </c>
      <c r="W116" s="179" t="e">
        <f t="shared" si="53"/>
        <v>#REF!</v>
      </c>
      <c r="X116" s="179" t="e">
        <f t="shared" si="53"/>
        <v>#REF!</v>
      </c>
      <c r="Y116" s="179" t="e">
        <f t="shared" si="53"/>
        <v>#REF!</v>
      </c>
      <c r="Z116" s="179" t="e">
        <f t="shared" si="53"/>
        <v>#REF!</v>
      </c>
      <c r="AA116" s="179" t="e">
        <f t="shared" si="53"/>
        <v>#REF!</v>
      </c>
      <c r="AB116" s="179" t="e">
        <f t="shared" si="53"/>
        <v>#REF!</v>
      </c>
      <c r="AC116" s="179" t="e">
        <f t="shared" si="53"/>
        <v>#REF!</v>
      </c>
      <c r="AD116" s="179" t="e">
        <f t="shared" si="53"/>
        <v>#REF!</v>
      </c>
      <c r="AE116" s="179" t="e">
        <f t="shared" si="53"/>
        <v>#REF!</v>
      </c>
      <c r="AF116" s="179" t="e">
        <f t="shared" si="53"/>
        <v>#REF!</v>
      </c>
      <c r="AG116" s="179" t="e">
        <f t="shared" si="53"/>
        <v>#REF!</v>
      </c>
    </row>
    <row r="117" spans="1:33" s="247" customFormat="1" ht="11.85" customHeight="1">
      <c r="A117" s="270" t="s">
        <v>320</v>
      </c>
    </row>
    <row r="118" spans="1:33">
      <c r="A118" s="173" t="s">
        <v>325</v>
      </c>
      <c r="B118" s="173" t="s">
        <v>300</v>
      </c>
      <c r="C118" s="179" t="e">
        <f t="shared" ref="C118:AG119" si="54">C113/($C$28*$C$27)</f>
        <v>#REF!</v>
      </c>
      <c r="D118" s="179" t="e">
        <f t="shared" si="54"/>
        <v>#REF!</v>
      </c>
      <c r="E118" s="179" t="e">
        <f t="shared" si="54"/>
        <v>#REF!</v>
      </c>
      <c r="F118" s="179" t="e">
        <f t="shared" si="54"/>
        <v>#REF!</v>
      </c>
      <c r="G118" s="179" t="e">
        <f t="shared" si="54"/>
        <v>#REF!</v>
      </c>
      <c r="H118" s="179" t="e">
        <f t="shared" si="54"/>
        <v>#REF!</v>
      </c>
      <c r="I118" s="179" t="e">
        <f t="shared" si="54"/>
        <v>#REF!</v>
      </c>
      <c r="J118" s="179" t="e">
        <f t="shared" si="54"/>
        <v>#REF!</v>
      </c>
      <c r="K118" s="179" t="e">
        <f t="shared" si="54"/>
        <v>#REF!</v>
      </c>
      <c r="L118" s="179" t="e">
        <f t="shared" si="54"/>
        <v>#REF!</v>
      </c>
      <c r="M118" s="179" t="e">
        <f t="shared" si="54"/>
        <v>#REF!</v>
      </c>
      <c r="N118" s="179" t="e">
        <f t="shared" si="54"/>
        <v>#REF!</v>
      </c>
      <c r="O118" s="179" t="e">
        <f t="shared" si="54"/>
        <v>#REF!</v>
      </c>
      <c r="P118" s="179" t="e">
        <f t="shared" si="54"/>
        <v>#REF!</v>
      </c>
      <c r="Q118" s="179" t="e">
        <f t="shared" si="54"/>
        <v>#REF!</v>
      </c>
      <c r="R118" s="179" t="e">
        <f t="shared" si="54"/>
        <v>#REF!</v>
      </c>
      <c r="S118" s="179" t="e">
        <f t="shared" si="54"/>
        <v>#REF!</v>
      </c>
      <c r="T118" s="179" t="e">
        <f t="shared" si="54"/>
        <v>#REF!</v>
      </c>
      <c r="U118" s="179" t="e">
        <f t="shared" si="54"/>
        <v>#REF!</v>
      </c>
      <c r="V118" s="179" t="e">
        <f t="shared" si="54"/>
        <v>#REF!</v>
      </c>
      <c r="W118" s="179" t="e">
        <f t="shared" si="54"/>
        <v>#REF!</v>
      </c>
      <c r="X118" s="179" t="e">
        <f t="shared" si="54"/>
        <v>#REF!</v>
      </c>
      <c r="Y118" s="179" t="e">
        <f t="shared" si="54"/>
        <v>#REF!</v>
      </c>
      <c r="Z118" s="179" t="e">
        <f t="shared" si="54"/>
        <v>#REF!</v>
      </c>
      <c r="AA118" s="179" t="e">
        <f t="shared" si="54"/>
        <v>#REF!</v>
      </c>
      <c r="AB118" s="179" t="e">
        <f t="shared" si="54"/>
        <v>#REF!</v>
      </c>
      <c r="AC118" s="179" t="e">
        <f t="shared" si="54"/>
        <v>#REF!</v>
      </c>
      <c r="AD118" s="179" t="e">
        <f t="shared" si="54"/>
        <v>#REF!</v>
      </c>
      <c r="AE118" s="179" t="e">
        <f t="shared" si="54"/>
        <v>#REF!</v>
      </c>
      <c r="AF118" s="179" t="e">
        <f t="shared" si="54"/>
        <v>#REF!</v>
      </c>
      <c r="AG118" s="179" t="e">
        <f t="shared" si="54"/>
        <v>#REF!</v>
      </c>
    </row>
    <row r="119" spans="1:33">
      <c r="A119" s="173" t="s">
        <v>321</v>
      </c>
      <c r="B119" s="173" t="s">
        <v>300</v>
      </c>
      <c r="C119" s="179" t="e">
        <f t="shared" si="54"/>
        <v>#REF!</v>
      </c>
      <c r="D119" s="179" t="e">
        <f t="shared" si="54"/>
        <v>#REF!</v>
      </c>
      <c r="E119" s="179" t="e">
        <f t="shared" si="54"/>
        <v>#REF!</v>
      </c>
      <c r="F119" s="179" t="e">
        <f t="shared" si="54"/>
        <v>#REF!</v>
      </c>
      <c r="G119" s="179" t="e">
        <f t="shared" si="54"/>
        <v>#REF!</v>
      </c>
      <c r="H119" s="179" t="e">
        <f t="shared" si="54"/>
        <v>#REF!</v>
      </c>
      <c r="I119" s="179" t="e">
        <f t="shared" si="54"/>
        <v>#REF!</v>
      </c>
      <c r="J119" s="179" t="e">
        <f t="shared" si="54"/>
        <v>#REF!</v>
      </c>
      <c r="K119" s="179" t="e">
        <f t="shared" si="54"/>
        <v>#REF!</v>
      </c>
      <c r="L119" s="179" t="e">
        <f t="shared" si="54"/>
        <v>#REF!</v>
      </c>
      <c r="M119" s="179" t="e">
        <f t="shared" si="54"/>
        <v>#REF!</v>
      </c>
      <c r="N119" s="179" t="e">
        <f t="shared" si="54"/>
        <v>#REF!</v>
      </c>
      <c r="O119" s="179" t="e">
        <f t="shared" si="54"/>
        <v>#REF!</v>
      </c>
      <c r="P119" s="179" t="e">
        <f t="shared" si="54"/>
        <v>#REF!</v>
      </c>
      <c r="Q119" s="179" t="e">
        <f t="shared" si="54"/>
        <v>#REF!</v>
      </c>
      <c r="R119" s="179" t="e">
        <f t="shared" si="54"/>
        <v>#REF!</v>
      </c>
      <c r="S119" s="179" t="e">
        <f t="shared" si="54"/>
        <v>#REF!</v>
      </c>
      <c r="T119" s="179" t="e">
        <f t="shared" si="54"/>
        <v>#REF!</v>
      </c>
      <c r="U119" s="179" t="e">
        <f t="shared" si="54"/>
        <v>#REF!</v>
      </c>
      <c r="V119" s="179" t="e">
        <f t="shared" si="54"/>
        <v>#REF!</v>
      </c>
      <c r="W119" s="179" t="e">
        <f t="shared" si="54"/>
        <v>#REF!</v>
      </c>
      <c r="X119" s="179" t="e">
        <f t="shared" si="54"/>
        <v>#REF!</v>
      </c>
      <c r="Y119" s="179" t="e">
        <f t="shared" si="54"/>
        <v>#REF!</v>
      </c>
      <c r="Z119" s="179" t="e">
        <f t="shared" si="54"/>
        <v>#REF!</v>
      </c>
      <c r="AA119" s="179" t="e">
        <f t="shared" si="54"/>
        <v>#REF!</v>
      </c>
      <c r="AB119" s="179" t="e">
        <f t="shared" si="54"/>
        <v>#REF!</v>
      </c>
      <c r="AC119" s="179" t="e">
        <f t="shared" si="54"/>
        <v>#REF!</v>
      </c>
      <c r="AD119" s="179" t="e">
        <f t="shared" si="54"/>
        <v>#REF!</v>
      </c>
      <c r="AE119" s="179" t="e">
        <f t="shared" si="54"/>
        <v>#REF!</v>
      </c>
      <c r="AF119" s="179" t="e">
        <f t="shared" si="54"/>
        <v>#REF!</v>
      </c>
      <c r="AG119" s="179" t="e">
        <f t="shared" si="54"/>
        <v>#REF!</v>
      </c>
    </row>
    <row r="120" spans="1:33">
      <c r="A120" s="173" t="s">
        <v>322</v>
      </c>
      <c r="B120" s="173" t="s">
        <v>300</v>
      </c>
      <c r="C120" s="179" t="e">
        <f t="shared" ref="C120:AG120" si="55">(C115+C116+C71)/($C$28*$C$27)+C64</f>
        <v>#REF!</v>
      </c>
      <c r="D120" s="179" t="e">
        <f t="shared" si="55"/>
        <v>#REF!</v>
      </c>
      <c r="E120" s="179" t="e">
        <f t="shared" si="55"/>
        <v>#REF!</v>
      </c>
      <c r="F120" s="179" t="e">
        <f t="shared" si="55"/>
        <v>#REF!</v>
      </c>
      <c r="G120" s="179" t="e">
        <f t="shared" si="55"/>
        <v>#REF!</v>
      </c>
      <c r="H120" s="179" t="e">
        <f t="shared" si="55"/>
        <v>#REF!</v>
      </c>
      <c r="I120" s="179" t="e">
        <f t="shared" si="55"/>
        <v>#REF!</v>
      </c>
      <c r="J120" s="179" t="e">
        <f t="shared" si="55"/>
        <v>#REF!</v>
      </c>
      <c r="K120" s="179" t="e">
        <f t="shared" si="55"/>
        <v>#REF!</v>
      </c>
      <c r="L120" s="179" t="e">
        <f t="shared" si="55"/>
        <v>#REF!</v>
      </c>
      <c r="M120" s="179" t="e">
        <f t="shared" si="55"/>
        <v>#REF!</v>
      </c>
      <c r="N120" s="179" t="e">
        <f t="shared" si="55"/>
        <v>#REF!</v>
      </c>
      <c r="O120" s="179" t="e">
        <f t="shared" si="55"/>
        <v>#REF!</v>
      </c>
      <c r="P120" s="179" t="e">
        <f t="shared" si="55"/>
        <v>#REF!</v>
      </c>
      <c r="Q120" s="179" t="e">
        <f t="shared" si="55"/>
        <v>#REF!</v>
      </c>
      <c r="R120" s="179" t="e">
        <f t="shared" si="55"/>
        <v>#REF!</v>
      </c>
      <c r="S120" s="179" t="e">
        <f t="shared" si="55"/>
        <v>#REF!</v>
      </c>
      <c r="T120" s="179" t="e">
        <f t="shared" si="55"/>
        <v>#REF!</v>
      </c>
      <c r="U120" s="179" t="e">
        <f t="shared" si="55"/>
        <v>#REF!</v>
      </c>
      <c r="V120" s="179" t="e">
        <f t="shared" si="55"/>
        <v>#REF!</v>
      </c>
      <c r="W120" s="179" t="e">
        <f t="shared" si="55"/>
        <v>#REF!</v>
      </c>
      <c r="X120" s="179" t="e">
        <f t="shared" si="55"/>
        <v>#REF!</v>
      </c>
      <c r="Y120" s="179" t="e">
        <f t="shared" si="55"/>
        <v>#REF!</v>
      </c>
      <c r="Z120" s="179" t="e">
        <f t="shared" si="55"/>
        <v>#REF!</v>
      </c>
      <c r="AA120" s="179" t="e">
        <f t="shared" si="55"/>
        <v>#REF!</v>
      </c>
      <c r="AB120" s="179" t="e">
        <f t="shared" si="55"/>
        <v>#REF!</v>
      </c>
      <c r="AC120" s="179" t="e">
        <f t="shared" si="55"/>
        <v>#REF!</v>
      </c>
      <c r="AD120" s="179" t="e">
        <f t="shared" si="55"/>
        <v>#REF!</v>
      </c>
      <c r="AE120" s="179" t="e">
        <f t="shared" si="55"/>
        <v>#REF!</v>
      </c>
      <c r="AF120" s="179" t="e">
        <f t="shared" si="55"/>
        <v>#REF!</v>
      </c>
      <c r="AG120" s="179" t="e">
        <f t="shared" si="55"/>
        <v>#REF!</v>
      </c>
    </row>
    <row r="121" spans="1:33">
      <c r="C121" s="274" t="e">
        <f t="shared" ref="C121:AG121" si="56">SUM(C118:C120)</f>
        <v>#REF!</v>
      </c>
      <c r="D121" s="274" t="e">
        <f t="shared" si="56"/>
        <v>#REF!</v>
      </c>
      <c r="E121" s="274" t="e">
        <f t="shared" si="56"/>
        <v>#REF!</v>
      </c>
      <c r="F121" s="274" t="e">
        <f t="shared" si="56"/>
        <v>#REF!</v>
      </c>
      <c r="G121" s="274" t="e">
        <f t="shared" si="56"/>
        <v>#REF!</v>
      </c>
      <c r="H121" s="274" t="e">
        <f t="shared" si="56"/>
        <v>#REF!</v>
      </c>
      <c r="I121" s="274" t="e">
        <f t="shared" si="56"/>
        <v>#REF!</v>
      </c>
      <c r="J121" s="274" t="e">
        <f t="shared" si="56"/>
        <v>#REF!</v>
      </c>
      <c r="K121" s="274" t="e">
        <f t="shared" si="56"/>
        <v>#REF!</v>
      </c>
      <c r="L121" s="274" t="e">
        <f t="shared" si="56"/>
        <v>#REF!</v>
      </c>
      <c r="M121" s="274" t="e">
        <f t="shared" si="56"/>
        <v>#REF!</v>
      </c>
      <c r="N121" s="274" t="e">
        <f t="shared" si="56"/>
        <v>#REF!</v>
      </c>
      <c r="O121" s="274" t="e">
        <f t="shared" si="56"/>
        <v>#REF!</v>
      </c>
      <c r="P121" s="274" t="e">
        <f t="shared" si="56"/>
        <v>#REF!</v>
      </c>
      <c r="Q121" s="274" t="e">
        <f t="shared" si="56"/>
        <v>#REF!</v>
      </c>
      <c r="R121" s="274" t="e">
        <f t="shared" si="56"/>
        <v>#REF!</v>
      </c>
      <c r="S121" s="274" t="e">
        <f t="shared" si="56"/>
        <v>#REF!</v>
      </c>
      <c r="T121" s="274" t="e">
        <f t="shared" si="56"/>
        <v>#REF!</v>
      </c>
      <c r="U121" s="274" t="e">
        <f t="shared" si="56"/>
        <v>#REF!</v>
      </c>
      <c r="V121" s="274" t="e">
        <f t="shared" si="56"/>
        <v>#REF!</v>
      </c>
      <c r="W121" s="274" t="e">
        <f t="shared" si="56"/>
        <v>#REF!</v>
      </c>
      <c r="X121" s="274" t="e">
        <f t="shared" si="56"/>
        <v>#REF!</v>
      </c>
      <c r="Y121" s="274" t="e">
        <f t="shared" si="56"/>
        <v>#REF!</v>
      </c>
      <c r="Z121" s="274" t="e">
        <f t="shared" si="56"/>
        <v>#REF!</v>
      </c>
      <c r="AA121" s="274" t="e">
        <f t="shared" si="56"/>
        <v>#REF!</v>
      </c>
      <c r="AB121" s="274" t="e">
        <f t="shared" si="56"/>
        <v>#REF!</v>
      </c>
      <c r="AC121" s="274" t="e">
        <f t="shared" si="56"/>
        <v>#REF!</v>
      </c>
      <c r="AD121" s="274" t="e">
        <f t="shared" si="56"/>
        <v>#REF!</v>
      </c>
      <c r="AE121" s="274" t="e">
        <f t="shared" si="56"/>
        <v>#REF!</v>
      </c>
      <c r="AF121" s="274" t="e">
        <f t="shared" si="56"/>
        <v>#REF!</v>
      </c>
      <c r="AG121" s="274" t="e">
        <f t="shared" si="56"/>
        <v>#REF!</v>
      </c>
    </row>
    <row r="122" spans="1:33" s="225" customFormat="1">
      <c r="A122" s="223" t="s">
        <v>180</v>
      </c>
      <c r="B122" s="223"/>
      <c r="H122" s="272" t="e">
        <f>H125/H87</f>
        <v>#REF!</v>
      </c>
      <c r="AB122" s="272" t="e">
        <f>AB125/AB87</f>
        <v>#REF!</v>
      </c>
    </row>
    <row r="123" spans="1:33">
      <c r="A123" s="235" t="s">
        <v>41</v>
      </c>
      <c r="B123" s="235"/>
      <c r="C123" s="235">
        <v>2025</v>
      </c>
      <c r="D123" s="235">
        <f t="shared" ref="D123:AG123" si="57">C123+1</f>
        <v>2026</v>
      </c>
      <c r="E123" s="235">
        <f t="shared" si="57"/>
        <v>2027</v>
      </c>
      <c r="F123" s="235">
        <f t="shared" si="57"/>
        <v>2028</v>
      </c>
      <c r="G123" s="235">
        <f t="shared" si="57"/>
        <v>2029</v>
      </c>
      <c r="H123" s="235">
        <f t="shared" si="57"/>
        <v>2030</v>
      </c>
      <c r="I123" s="235">
        <f t="shared" si="57"/>
        <v>2031</v>
      </c>
      <c r="J123" s="235">
        <f t="shared" si="57"/>
        <v>2032</v>
      </c>
      <c r="K123" s="235">
        <f t="shared" si="57"/>
        <v>2033</v>
      </c>
      <c r="L123" s="235">
        <f t="shared" si="57"/>
        <v>2034</v>
      </c>
      <c r="M123" s="235">
        <f t="shared" si="57"/>
        <v>2035</v>
      </c>
      <c r="N123" s="235">
        <f t="shared" si="57"/>
        <v>2036</v>
      </c>
      <c r="O123" s="235">
        <f t="shared" si="57"/>
        <v>2037</v>
      </c>
      <c r="P123" s="235">
        <f t="shared" si="57"/>
        <v>2038</v>
      </c>
      <c r="Q123" s="235">
        <f t="shared" si="57"/>
        <v>2039</v>
      </c>
      <c r="R123" s="235">
        <f t="shared" si="57"/>
        <v>2040</v>
      </c>
      <c r="S123" s="235">
        <f t="shared" si="57"/>
        <v>2041</v>
      </c>
      <c r="T123" s="235">
        <f t="shared" si="57"/>
        <v>2042</v>
      </c>
      <c r="U123" s="235">
        <f t="shared" si="57"/>
        <v>2043</v>
      </c>
      <c r="V123" s="235">
        <f t="shared" si="57"/>
        <v>2044</v>
      </c>
      <c r="W123" s="235">
        <f t="shared" si="57"/>
        <v>2045</v>
      </c>
      <c r="X123" s="235">
        <f t="shared" si="57"/>
        <v>2046</v>
      </c>
      <c r="Y123" s="235">
        <f t="shared" si="57"/>
        <v>2047</v>
      </c>
      <c r="Z123" s="235">
        <f t="shared" si="57"/>
        <v>2048</v>
      </c>
      <c r="AA123" s="235">
        <f t="shared" si="57"/>
        <v>2049</v>
      </c>
      <c r="AB123" s="235">
        <f t="shared" si="57"/>
        <v>2050</v>
      </c>
      <c r="AC123" s="235">
        <f t="shared" si="57"/>
        <v>2051</v>
      </c>
      <c r="AD123" s="235">
        <f t="shared" si="57"/>
        <v>2052</v>
      </c>
      <c r="AE123" s="235">
        <f t="shared" si="57"/>
        <v>2053</v>
      </c>
      <c r="AF123" s="235">
        <f t="shared" si="57"/>
        <v>2054</v>
      </c>
      <c r="AG123" s="235">
        <f t="shared" si="57"/>
        <v>2055</v>
      </c>
    </row>
    <row r="124" spans="1:33">
      <c r="A124" s="290" t="s">
        <v>417</v>
      </c>
      <c r="B124" s="173" t="s">
        <v>309</v>
      </c>
      <c r="C124" s="179" t="e">
        <f>ROUND(($E$74*C60)/1000,0)*1000</f>
        <v>#REF!</v>
      </c>
      <c r="D124" s="179" t="e">
        <f t="shared" ref="D124:AG124" si="58">ROUND(($E$74*D60)/1000,0)*1000</f>
        <v>#REF!</v>
      </c>
      <c r="E124" s="179" t="e">
        <f t="shared" si="58"/>
        <v>#REF!</v>
      </c>
      <c r="F124" s="179" t="e">
        <f t="shared" si="58"/>
        <v>#REF!</v>
      </c>
      <c r="G124" s="179" t="e">
        <f t="shared" si="58"/>
        <v>#REF!</v>
      </c>
      <c r="H124" s="179" t="e">
        <f t="shared" si="58"/>
        <v>#REF!</v>
      </c>
      <c r="I124" s="179" t="e">
        <f t="shared" si="58"/>
        <v>#REF!</v>
      </c>
      <c r="J124" s="179" t="e">
        <f t="shared" si="58"/>
        <v>#REF!</v>
      </c>
      <c r="K124" s="179" t="e">
        <f t="shared" si="58"/>
        <v>#REF!</v>
      </c>
      <c r="L124" s="179" t="e">
        <f t="shared" si="58"/>
        <v>#REF!</v>
      </c>
      <c r="M124" s="179" t="e">
        <f t="shared" si="58"/>
        <v>#REF!</v>
      </c>
      <c r="N124" s="179" t="e">
        <f t="shared" si="58"/>
        <v>#REF!</v>
      </c>
      <c r="O124" s="179" t="e">
        <f t="shared" si="58"/>
        <v>#REF!</v>
      </c>
      <c r="P124" s="179" t="e">
        <f t="shared" si="58"/>
        <v>#REF!</v>
      </c>
      <c r="Q124" s="179" t="e">
        <f t="shared" si="58"/>
        <v>#REF!</v>
      </c>
      <c r="R124" s="179" t="e">
        <f t="shared" si="58"/>
        <v>#REF!</v>
      </c>
      <c r="S124" s="179" t="e">
        <f t="shared" si="58"/>
        <v>#REF!</v>
      </c>
      <c r="T124" s="179" t="e">
        <f t="shared" si="58"/>
        <v>#REF!</v>
      </c>
      <c r="U124" s="179" t="e">
        <f t="shared" si="58"/>
        <v>#REF!</v>
      </c>
      <c r="V124" s="179" t="e">
        <f t="shared" si="58"/>
        <v>#REF!</v>
      </c>
      <c r="W124" s="179" t="e">
        <f t="shared" si="58"/>
        <v>#REF!</v>
      </c>
      <c r="X124" s="179" t="e">
        <f t="shared" si="58"/>
        <v>#REF!</v>
      </c>
      <c r="Y124" s="179" t="e">
        <f t="shared" si="58"/>
        <v>#REF!</v>
      </c>
      <c r="Z124" s="179" t="e">
        <f t="shared" si="58"/>
        <v>#REF!</v>
      </c>
      <c r="AA124" s="179" t="e">
        <f t="shared" si="58"/>
        <v>#REF!</v>
      </c>
      <c r="AB124" s="179" t="e">
        <f t="shared" si="58"/>
        <v>#REF!</v>
      </c>
      <c r="AC124" s="179" t="e">
        <f t="shared" si="58"/>
        <v>#REF!</v>
      </c>
      <c r="AD124" s="179" t="e">
        <f t="shared" si="58"/>
        <v>#REF!</v>
      </c>
      <c r="AE124" s="179" t="e">
        <f t="shared" si="58"/>
        <v>#REF!</v>
      </c>
      <c r="AF124" s="179" t="e">
        <f t="shared" si="58"/>
        <v>#REF!</v>
      </c>
      <c r="AG124" s="179" t="e">
        <f t="shared" si="58"/>
        <v>#REF!</v>
      </c>
    </row>
    <row r="125" spans="1:33">
      <c r="A125" s="290" t="s">
        <v>326</v>
      </c>
      <c r="B125" s="173" t="s">
        <v>309</v>
      </c>
      <c r="C125" s="179" t="e">
        <f t="shared" ref="C125:AG125" si="59">C124+C87</f>
        <v>#REF!</v>
      </c>
      <c r="D125" s="179" t="e">
        <f t="shared" si="59"/>
        <v>#REF!</v>
      </c>
      <c r="E125" s="179" t="e">
        <f t="shared" si="59"/>
        <v>#REF!</v>
      </c>
      <c r="F125" s="179" t="e">
        <f t="shared" si="59"/>
        <v>#REF!</v>
      </c>
      <c r="G125" s="179" t="e">
        <f t="shared" si="59"/>
        <v>#REF!</v>
      </c>
      <c r="H125" s="179" t="e">
        <f t="shared" si="59"/>
        <v>#REF!</v>
      </c>
      <c r="I125" s="179" t="e">
        <f t="shared" si="59"/>
        <v>#REF!</v>
      </c>
      <c r="J125" s="179" t="e">
        <f t="shared" si="59"/>
        <v>#REF!</v>
      </c>
      <c r="K125" s="179" t="e">
        <f t="shared" si="59"/>
        <v>#REF!</v>
      </c>
      <c r="L125" s="179" t="e">
        <f t="shared" si="59"/>
        <v>#REF!</v>
      </c>
      <c r="M125" s="179" t="e">
        <f t="shared" si="59"/>
        <v>#REF!</v>
      </c>
      <c r="N125" s="179" t="e">
        <f t="shared" si="59"/>
        <v>#REF!</v>
      </c>
      <c r="O125" s="179" t="e">
        <f t="shared" si="59"/>
        <v>#REF!</v>
      </c>
      <c r="P125" s="179" t="e">
        <f t="shared" si="59"/>
        <v>#REF!</v>
      </c>
      <c r="Q125" s="179" t="e">
        <f t="shared" si="59"/>
        <v>#REF!</v>
      </c>
      <c r="R125" s="179" t="e">
        <f t="shared" si="59"/>
        <v>#REF!</v>
      </c>
      <c r="S125" s="179" t="e">
        <f t="shared" si="59"/>
        <v>#REF!</v>
      </c>
      <c r="T125" s="179" t="e">
        <f t="shared" si="59"/>
        <v>#REF!</v>
      </c>
      <c r="U125" s="179" t="e">
        <f t="shared" si="59"/>
        <v>#REF!</v>
      </c>
      <c r="V125" s="179" t="e">
        <f t="shared" si="59"/>
        <v>#REF!</v>
      </c>
      <c r="W125" s="179" t="e">
        <f t="shared" si="59"/>
        <v>#REF!</v>
      </c>
      <c r="X125" s="179" t="e">
        <f t="shared" si="59"/>
        <v>#REF!</v>
      </c>
      <c r="Y125" s="179" t="e">
        <f t="shared" si="59"/>
        <v>#REF!</v>
      </c>
      <c r="Z125" s="179" t="e">
        <f t="shared" si="59"/>
        <v>#REF!</v>
      </c>
      <c r="AA125" s="179" t="e">
        <f t="shared" si="59"/>
        <v>#REF!</v>
      </c>
      <c r="AB125" s="179" t="e">
        <f t="shared" si="59"/>
        <v>#REF!</v>
      </c>
      <c r="AC125" s="179" t="e">
        <f t="shared" si="59"/>
        <v>#REF!</v>
      </c>
      <c r="AD125" s="179" t="e">
        <f t="shared" si="59"/>
        <v>#REF!</v>
      </c>
      <c r="AE125" s="179" t="e">
        <f t="shared" si="59"/>
        <v>#REF!</v>
      </c>
      <c r="AF125" s="179" t="e">
        <f t="shared" si="59"/>
        <v>#REF!</v>
      </c>
      <c r="AG125" s="179" t="e">
        <f t="shared" si="59"/>
        <v>#REF!</v>
      </c>
    </row>
    <row r="126" spans="1:33">
      <c r="A126" s="173" t="s">
        <v>321</v>
      </c>
      <c r="B126" s="173" t="s">
        <v>309</v>
      </c>
      <c r="C126" s="179" t="e">
        <f t="shared" ref="C126:AG126" si="60">$E$83*C43</f>
        <v>#REF!</v>
      </c>
      <c r="D126" s="179" t="e">
        <f t="shared" si="60"/>
        <v>#REF!</v>
      </c>
      <c r="E126" s="179" t="e">
        <f t="shared" si="60"/>
        <v>#REF!</v>
      </c>
      <c r="F126" s="179" t="e">
        <f t="shared" si="60"/>
        <v>#REF!</v>
      </c>
      <c r="G126" s="179" t="e">
        <f t="shared" si="60"/>
        <v>#REF!</v>
      </c>
      <c r="H126" s="179" t="e">
        <f t="shared" si="60"/>
        <v>#REF!</v>
      </c>
      <c r="I126" s="179" t="e">
        <f t="shared" si="60"/>
        <v>#REF!</v>
      </c>
      <c r="J126" s="179" t="e">
        <f t="shared" si="60"/>
        <v>#REF!</v>
      </c>
      <c r="K126" s="179" t="e">
        <f t="shared" si="60"/>
        <v>#REF!</v>
      </c>
      <c r="L126" s="179" t="e">
        <f t="shared" si="60"/>
        <v>#REF!</v>
      </c>
      <c r="M126" s="179" t="e">
        <f t="shared" si="60"/>
        <v>#REF!</v>
      </c>
      <c r="N126" s="179" t="e">
        <f t="shared" si="60"/>
        <v>#REF!</v>
      </c>
      <c r="O126" s="179" t="e">
        <f t="shared" si="60"/>
        <v>#REF!</v>
      </c>
      <c r="P126" s="179" t="e">
        <f t="shared" si="60"/>
        <v>#REF!</v>
      </c>
      <c r="Q126" s="179" t="e">
        <f t="shared" si="60"/>
        <v>#REF!</v>
      </c>
      <c r="R126" s="179" t="e">
        <f t="shared" si="60"/>
        <v>#REF!</v>
      </c>
      <c r="S126" s="179" t="e">
        <f t="shared" si="60"/>
        <v>#REF!</v>
      </c>
      <c r="T126" s="179" t="e">
        <f t="shared" si="60"/>
        <v>#REF!</v>
      </c>
      <c r="U126" s="179" t="e">
        <f t="shared" si="60"/>
        <v>#REF!</v>
      </c>
      <c r="V126" s="179" t="e">
        <f t="shared" si="60"/>
        <v>#REF!</v>
      </c>
      <c r="W126" s="179" t="e">
        <f t="shared" si="60"/>
        <v>#REF!</v>
      </c>
      <c r="X126" s="179" t="e">
        <f t="shared" si="60"/>
        <v>#REF!</v>
      </c>
      <c r="Y126" s="179" t="e">
        <f t="shared" si="60"/>
        <v>#REF!</v>
      </c>
      <c r="Z126" s="179" t="e">
        <f t="shared" si="60"/>
        <v>#REF!</v>
      </c>
      <c r="AA126" s="179" t="e">
        <f t="shared" si="60"/>
        <v>#REF!</v>
      </c>
      <c r="AB126" s="179" t="e">
        <f t="shared" si="60"/>
        <v>#REF!</v>
      </c>
      <c r="AC126" s="179" t="e">
        <f t="shared" si="60"/>
        <v>#REF!</v>
      </c>
      <c r="AD126" s="179" t="e">
        <f t="shared" si="60"/>
        <v>#REF!</v>
      </c>
      <c r="AE126" s="179" t="e">
        <f t="shared" si="60"/>
        <v>#REF!</v>
      </c>
      <c r="AF126" s="179" t="e">
        <f t="shared" si="60"/>
        <v>#REF!</v>
      </c>
      <c r="AG126" s="179" t="e">
        <f t="shared" si="60"/>
        <v>#REF!</v>
      </c>
    </row>
    <row r="127" spans="1:33">
      <c r="A127" s="173" t="s">
        <v>317</v>
      </c>
      <c r="B127" s="173" t="s">
        <v>309</v>
      </c>
      <c r="C127" s="179" t="e">
        <f t="shared" ref="C127:AG127" si="61">C67*$C$27*$C$28</f>
        <v>#REF!</v>
      </c>
      <c r="D127" s="179" t="e">
        <f t="shared" si="61"/>
        <v>#REF!</v>
      </c>
      <c r="E127" s="179" t="e">
        <f t="shared" si="61"/>
        <v>#REF!</v>
      </c>
      <c r="F127" s="179" t="e">
        <f t="shared" si="61"/>
        <v>#REF!</v>
      </c>
      <c r="G127" s="179" t="e">
        <f t="shared" si="61"/>
        <v>#REF!</v>
      </c>
      <c r="H127" s="179" t="e">
        <f t="shared" si="61"/>
        <v>#REF!</v>
      </c>
      <c r="I127" s="179" t="e">
        <f t="shared" si="61"/>
        <v>#REF!</v>
      </c>
      <c r="J127" s="179" t="e">
        <f t="shared" si="61"/>
        <v>#REF!</v>
      </c>
      <c r="K127" s="179" t="e">
        <f t="shared" si="61"/>
        <v>#REF!</v>
      </c>
      <c r="L127" s="179" t="e">
        <f t="shared" si="61"/>
        <v>#REF!</v>
      </c>
      <c r="M127" s="179" t="e">
        <f t="shared" si="61"/>
        <v>#REF!</v>
      </c>
      <c r="N127" s="179" t="e">
        <f t="shared" si="61"/>
        <v>#REF!</v>
      </c>
      <c r="O127" s="179" t="e">
        <f t="shared" si="61"/>
        <v>#REF!</v>
      </c>
      <c r="P127" s="179" t="e">
        <f t="shared" si="61"/>
        <v>#REF!</v>
      </c>
      <c r="Q127" s="179" t="e">
        <f t="shared" si="61"/>
        <v>#REF!</v>
      </c>
      <c r="R127" s="179" t="e">
        <f t="shared" si="61"/>
        <v>#REF!</v>
      </c>
      <c r="S127" s="179" t="e">
        <f t="shared" si="61"/>
        <v>#REF!</v>
      </c>
      <c r="T127" s="179" t="e">
        <f t="shared" si="61"/>
        <v>#REF!</v>
      </c>
      <c r="U127" s="179" t="e">
        <f t="shared" si="61"/>
        <v>#REF!</v>
      </c>
      <c r="V127" s="179" t="e">
        <f t="shared" si="61"/>
        <v>#REF!</v>
      </c>
      <c r="W127" s="179" t="e">
        <f t="shared" si="61"/>
        <v>#REF!</v>
      </c>
      <c r="X127" s="179" t="e">
        <f t="shared" si="61"/>
        <v>#REF!</v>
      </c>
      <c r="Y127" s="179" t="e">
        <f t="shared" si="61"/>
        <v>#REF!</v>
      </c>
      <c r="Z127" s="179" t="e">
        <f t="shared" si="61"/>
        <v>#REF!</v>
      </c>
      <c r="AA127" s="179" t="e">
        <f t="shared" si="61"/>
        <v>#REF!</v>
      </c>
      <c r="AB127" s="179" t="e">
        <f t="shared" si="61"/>
        <v>#REF!</v>
      </c>
      <c r="AC127" s="179" t="e">
        <f t="shared" si="61"/>
        <v>#REF!</v>
      </c>
      <c r="AD127" s="179" t="e">
        <f t="shared" si="61"/>
        <v>#REF!</v>
      </c>
      <c r="AE127" s="179" t="e">
        <f t="shared" si="61"/>
        <v>#REF!</v>
      </c>
      <c r="AF127" s="179" t="e">
        <f t="shared" si="61"/>
        <v>#REF!</v>
      </c>
      <c r="AG127" s="179" t="e">
        <f t="shared" si="61"/>
        <v>#REF!</v>
      </c>
    </row>
    <row r="128" spans="1:33">
      <c r="A128" s="173" t="s">
        <v>319</v>
      </c>
      <c r="B128" s="173" t="s">
        <v>309</v>
      </c>
      <c r="C128" s="179" t="e">
        <f t="shared" ref="C128:AG128" si="62">C125*$C$34</f>
        <v>#REF!</v>
      </c>
      <c r="D128" s="179" t="e">
        <f t="shared" si="62"/>
        <v>#REF!</v>
      </c>
      <c r="E128" s="179" t="e">
        <f t="shared" si="62"/>
        <v>#REF!</v>
      </c>
      <c r="F128" s="179" t="e">
        <f t="shared" si="62"/>
        <v>#REF!</v>
      </c>
      <c r="G128" s="179" t="e">
        <f t="shared" si="62"/>
        <v>#REF!</v>
      </c>
      <c r="H128" s="179" t="e">
        <f t="shared" si="62"/>
        <v>#REF!</v>
      </c>
      <c r="I128" s="179" t="e">
        <f t="shared" si="62"/>
        <v>#REF!</v>
      </c>
      <c r="J128" s="179" t="e">
        <f t="shared" si="62"/>
        <v>#REF!</v>
      </c>
      <c r="K128" s="179" t="e">
        <f t="shared" si="62"/>
        <v>#REF!</v>
      </c>
      <c r="L128" s="179" t="e">
        <f t="shared" si="62"/>
        <v>#REF!</v>
      </c>
      <c r="M128" s="179" t="e">
        <f t="shared" si="62"/>
        <v>#REF!</v>
      </c>
      <c r="N128" s="179" t="e">
        <f t="shared" si="62"/>
        <v>#REF!</v>
      </c>
      <c r="O128" s="179" t="e">
        <f t="shared" si="62"/>
        <v>#REF!</v>
      </c>
      <c r="P128" s="179" t="e">
        <f t="shared" si="62"/>
        <v>#REF!</v>
      </c>
      <c r="Q128" s="179" t="e">
        <f t="shared" si="62"/>
        <v>#REF!</v>
      </c>
      <c r="R128" s="179" t="e">
        <f t="shared" si="62"/>
        <v>#REF!</v>
      </c>
      <c r="S128" s="179" t="e">
        <f t="shared" si="62"/>
        <v>#REF!</v>
      </c>
      <c r="T128" s="179" t="e">
        <f t="shared" si="62"/>
        <v>#REF!</v>
      </c>
      <c r="U128" s="179" t="e">
        <f t="shared" si="62"/>
        <v>#REF!</v>
      </c>
      <c r="V128" s="179" t="e">
        <f t="shared" si="62"/>
        <v>#REF!</v>
      </c>
      <c r="W128" s="179" t="e">
        <f t="shared" si="62"/>
        <v>#REF!</v>
      </c>
      <c r="X128" s="179" t="e">
        <f t="shared" si="62"/>
        <v>#REF!</v>
      </c>
      <c r="Y128" s="179" t="e">
        <f t="shared" si="62"/>
        <v>#REF!</v>
      </c>
      <c r="Z128" s="179" t="e">
        <f t="shared" si="62"/>
        <v>#REF!</v>
      </c>
      <c r="AA128" s="179" t="e">
        <f t="shared" si="62"/>
        <v>#REF!</v>
      </c>
      <c r="AB128" s="179" t="e">
        <f t="shared" si="62"/>
        <v>#REF!</v>
      </c>
      <c r="AC128" s="179" t="e">
        <f t="shared" si="62"/>
        <v>#REF!</v>
      </c>
      <c r="AD128" s="179" t="e">
        <f t="shared" si="62"/>
        <v>#REF!</v>
      </c>
      <c r="AE128" s="179" t="e">
        <f t="shared" si="62"/>
        <v>#REF!</v>
      </c>
      <c r="AF128" s="179" t="e">
        <f t="shared" si="62"/>
        <v>#REF!</v>
      </c>
      <c r="AG128" s="179" t="e">
        <f t="shared" si="62"/>
        <v>#REF!</v>
      </c>
    </row>
    <row r="129" spans="1:33" s="247" customFormat="1" ht="11.85" customHeight="1">
      <c r="A129" s="270" t="s">
        <v>414</v>
      </c>
    </row>
    <row r="130" spans="1:33">
      <c r="A130" s="173" t="s">
        <v>325</v>
      </c>
      <c r="B130" s="173" t="s">
        <v>313</v>
      </c>
      <c r="C130" s="179" t="e">
        <f t="shared" ref="C130:AG130" si="63">-PMT($C$33,$C$31,C125)</f>
        <v>#REF!</v>
      </c>
      <c r="D130" s="179" t="e">
        <f t="shared" si="63"/>
        <v>#REF!</v>
      </c>
      <c r="E130" s="179" t="e">
        <f t="shared" si="63"/>
        <v>#REF!</v>
      </c>
      <c r="F130" s="179" t="e">
        <f t="shared" si="63"/>
        <v>#REF!</v>
      </c>
      <c r="G130" s="179" t="e">
        <f t="shared" si="63"/>
        <v>#REF!</v>
      </c>
      <c r="H130" s="179" t="e">
        <f t="shared" si="63"/>
        <v>#REF!</v>
      </c>
      <c r="I130" s="179" t="e">
        <f t="shared" si="63"/>
        <v>#REF!</v>
      </c>
      <c r="J130" s="179" t="e">
        <f t="shared" si="63"/>
        <v>#REF!</v>
      </c>
      <c r="K130" s="179" t="e">
        <f t="shared" si="63"/>
        <v>#REF!</v>
      </c>
      <c r="L130" s="179" t="e">
        <f t="shared" si="63"/>
        <v>#REF!</v>
      </c>
      <c r="M130" s="179" t="e">
        <f t="shared" si="63"/>
        <v>#REF!</v>
      </c>
      <c r="N130" s="179" t="e">
        <f t="shared" si="63"/>
        <v>#REF!</v>
      </c>
      <c r="O130" s="179" t="e">
        <f t="shared" si="63"/>
        <v>#REF!</v>
      </c>
      <c r="P130" s="179" t="e">
        <f t="shared" si="63"/>
        <v>#REF!</v>
      </c>
      <c r="Q130" s="179" t="e">
        <f t="shared" si="63"/>
        <v>#REF!</v>
      </c>
      <c r="R130" s="179" t="e">
        <f t="shared" si="63"/>
        <v>#REF!</v>
      </c>
      <c r="S130" s="179" t="e">
        <f t="shared" si="63"/>
        <v>#REF!</v>
      </c>
      <c r="T130" s="179" t="e">
        <f t="shared" si="63"/>
        <v>#REF!</v>
      </c>
      <c r="U130" s="179" t="e">
        <f t="shared" si="63"/>
        <v>#REF!</v>
      </c>
      <c r="V130" s="179" t="e">
        <f t="shared" si="63"/>
        <v>#REF!</v>
      </c>
      <c r="W130" s="179" t="e">
        <f t="shared" si="63"/>
        <v>#REF!</v>
      </c>
      <c r="X130" s="179" t="e">
        <f t="shared" si="63"/>
        <v>#REF!</v>
      </c>
      <c r="Y130" s="179" t="e">
        <f t="shared" si="63"/>
        <v>#REF!</v>
      </c>
      <c r="Z130" s="179" t="e">
        <f t="shared" si="63"/>
        <v>#REF!</v>
      </c>
      <c r="AA130" s="179" t="e">
        <f t="shared" si="63"/>
        <v>#REF!</v>
      </c>
      <c r="AB130" s="179" t="e">
        <f t="shared" si="63"/>
        <v>#REF!</v>
      </c>
      <c r="AC130" s="179" t="e">
        <f t="shared" si="63"/>
        <v>#REF!</v>
      </c>
      <c r="AD130" s="179" t="e">
        <f t="shared" si="63"/>
        <v>#REF!</v>
      </c>
      <c r="AE130" s="179" t="e">
        <f t="shared" si="63"/>
        <v>#REF!</v>
      </c>
      <c r="AF130" s="179" t="e">
        <f t="shared" si="63"/>
        <v>#REF!</v>
      </c>
      <c r="AG130" s="179" t="e">
        <f t="shared" si="63"/>
        <v>#REF!</v>
      </c>
    </row>
    <row r="131" spans="1:33">
      <c r="A131" s="173" t="s">
        <v>321</v>
      </c>
      <c r="B131" s="173" t="s">
        <v>313</v>
      </c>
      <c r="C131" s="179" t="e">
        <f t="shared" ref="C131:AG132" si="64">C126</f>
        <v>#REF!</v>
      </c>
      <c r="D131" s="179" t="e">
        <f t="shared" si="64"/>
        <v>#REF!</v>
      </c>
      <c r="E131" s="179" t="e">
        <f t="shared" si="64"/>
        <v>#REF!</v>
      </c>
      <c r="F131" s="179" t="e">
        <f t="shared" si="64"/>
        <v>#REF!</v>
      </c>
      <c r="G131" s="179" t="e">
        <f t="shared" si="64"/>
        <v>#REF!</v>
      </c>
      <c r="H131" s="179" t="e">
        <f t="shared" si="64"/>
        <v>#REF!</v>
      </c>
      <c r="I131" s="179" t="e">
        <f t="shared" si="64"/>
        <v>#REF!</v>
      </c>
      <c r="J131" s="179" t="e">
        <f t="shared" si="64"/>
        <v>#REF!</v>
      </c>
      <c r="K131" s="179" t="e">
        <f t="shared" si="64"/>
        <v>#REF!</v>
      </c>
      <c r="L131" s="179" t="e">
        <f t="shared" si="64"/>
        <v>#REF!</v>
      </c>
      <c r="M131" s="179" t="e">
        <f t="shared" si="64"/>
        <v>#REF!</v>
      </c>
      <c r="N131" s="179" t="e">
        <f t="shared" si="64"/>
        <v>#REF!</v>
      </c>
      <c r="O131" s="179" t="e">
        <f t="shared" si="64"/>
        <v>#REF!</v>
      </c>
      <c r="P131" s="179" t="e">
        <f t="shared" si="64"/>
        <v>#REF!</v>
      </c>
      <c r="Q131" s="179" t="e">
        <f t="shared" si="64"/>
        <v>#REF!</v>
      </c>
      <c r="R131" s="179" t="e">
        <f t="shared" si="64"/>
        <v>#REF!</v>
      </c>
      <c r="S131" s="179" t="e">
        <f t="shared" si="64"/>
        <v>#REF!</v>
      </c>
      <c r="T131" s="179" t="e">
        <f t="shared" si="64"/>
        <v>#REF!</v>
      </c>
      <c r="U131" s="179" t="e">
        <f t="shared" si="64"/>
        <v>#REF!</v>
      </c>
      <c r="V131" s="179" t="e">
        <f t="shared" si="64"/>
        <v>#REF!</v>
      </c>
      <c r="W131" s="179" t="e">
        <f t="shared" si="64"/>
        <v>#REF!</v>
      </c>
      <c r="X131" s="179" t="e">
        <f t="shared" si="64"/>
        <v>#REF!</v>
      </c>
      <c r="Y131" s="179" t="e">
        <f t="shared" si="64"/>
        <v>#REF!</v>
      </c>
      <c r="Z131" s="179" t="e">
        <f t="shared" si="64"/>
        <v>#REF!</v>
      </c>
      <c r="AA131" s="179" t="e">
        <f t="shared" si="64"/>
        <v>#REF!</v>
      </c>
      <c r="AB131" s="179" t="e">
        <f t="shared" si="64"/>
        <v>#REF!</v>
      </c>
      <c r="AC131" s="179" t="e">
        <f t="shared" si="64"/>
        <v>#REF!</v>
      </c>
      <c r="AD131" s="179" t="e">
        <f t="shared" si="64"/>
        <v>#REF!</v>
      </c>
      <c r="AE131" s="179" t="e">
        <f t="shared" si="64"/>
        <v>#REF!</v>
      </c>
      <c r="AF131" s="179" t="e">
        <f t="shared" si="64"/>
        <v>#REF!</v>
      </c>
      <c r="AG131" s="179" t="e">
        <f t="shared" si="64"/>
        <v>#REF!</v>
      </c>
    </row>
    <row r="132" spans="1:33">
      <c r="A132" s="173" t="s">
        <v>317</v>
      </c>
      <c r="B132" s="173" t="s">
        <v>313</v>
      </c>
      <c r="C132" s="179" t="e">
        <f>C127</f>
        <v>#REF!</v>
      </c>
      <c r="D132" s="179" t="e">
        <f t="shared" si="64"/>
        <v>#REF!</v>
      </c>
      <c r="E132" s="179" t="e">
        <f t="shared" si="64"/>
        <v>#REF!</v>
      </c>
      <c r="F132" s="179" t="e">
        <f t="shared" si="64"/>
        <v>#REF!</v>
      </c>
      <c r="G132" s="179" t="e">
        <f t="shared" si="64"/>
        <v>#REF!</v>
      </c>
      <c r="H132" s="179" t="e">
        <f t="shared" si="64"/>
        <v>#REF!</v>
      </c>
      <c r="I132" s="179" t="e">
        <f t="shared" si="64"/>
        <v>#REF!</v>
      </c>
      <c r="J132" s="179" t="e">
        <f t="shared" si="64"/>
        <v>#REF!</v>
      </c>
      <c r="K132" s="179" t="e">
        <f t="shared" si="64"/>
        <v>#REF!</v>
      </c>
      <c r="L132" s="179" t="e">
        <f t="shared" si="64"/>
        <v>#REF!</v>
      </c>
      <c r="M132" s="179" t="e">
        <f t="shared" si="64"/>
        <v>#REF!</v>
      </c>
      <c r="N132" s="179" t="e">
        <f t="shared" si="64"/>
        <v>#REF!</v>
      </c>
      <c r="O132" s="179" t="e">
        <f t="shared" si="64"/>
        <v>#REF!</v>
      </c>
      <c r="P132" s="179" t="e">
        <f t="shared" si="64"/>
        <v>#REF!</v>
      </c>
      <c r="Q132" s="179" t="e">
        <f t="shared" si="64"/>
        <v>#REF!</v>
      </c>
      <c r="R132" s="179" t="e">
        <f t="shared" si="64"/>
        <v>#REF!</v>
      </c>
      <c r="S132" s="179" t="e">
        <f t="shared" si="64"/>
        <v>#REF!</v>
      </c>
      <c r="T132" s="179" t="e">
        <f t="shared" si="64"/>
        <v>#REF!</v>
      </c>
      <c r="U132" s="179" t="e">
        <f t="shared" si="64"/>
        <v>#REF!</v>
      </c>
      <c r="V132" s="179" t="e">
        <f t="shared" si="64"/>
        <v>#REF!</v>
      </c>
      <c r="W132" s="179" t="e">
        <f t="shared" si="64"/>
        <v>#REF!</v>
      </c>
      <c r="X132" s="179" t="e">
        <f t="shared" si="64"/>
        <v>#REF!</v>
      </c>
      <c r="Y132" s="179" t="e">
        <f t="shared" si="64"/>
        <v>#REF!</v>
      </c>
      <c r="Z132" s="179" t="e">
        <f t="shared" si="64"/>
        <v>#REF!</v>
      </c>
      <c r="AA132" s="179" t="e">
        <f t="shared" si="64"/>
        <v>#REF!</v>
      </c>
      <c r="AB132" s="179" t="e">
        <f t="shared" si="64"/>
        <v>#REF!</v>
      </c>
      <c r="AC132" s="179" t="e">
        <f t="shared" si="64"/>
        <v>#REF!</v>
      </c>
      <c r="AD132" s="179" t="e">
        <f t="shared" si="64"/>
        <v>#REF!</v>
      </c>
      <c r="AE132" s="179" t="e">
        <f t="shared" si="64"/>
        <v>#REF!</v>
      </c>
      <c r="AF132" s="179" t="e">
        <f t="shared" si="64"/>
        <v>#REF!</v>
      </c>
      <c r="AG132" s="179" t="e">
        <f t="shared" si="64"/>
        <v>#REF!</v>
      </c>
    </row>
    <row r="133" spans="1:33">
      <c r="A133" s="173" t="s">
        <v>319</v>
      </c>
      <c r="B133" s="173" t="s">
        <v>313</v>
      </c>
      <c r="C133" s="179" t="e">
        <f>C128</f>
        <v>#REF!</v>
      </c>
      <c r="D133" s="179" t="e">
        <f t="shared" ref="D133:AG133" si="65">D128</f>
        <v>#REF!</v>
      </c>
      <c r="E133" s="179" t="e">
        <f t="shared" si="65"/>
        <v>#REF!</v>
      </c>
      <c r="F133" s="179" t="e">
        <f t="shared" si="65"/>
        <v>#REF!</v>
      </c>
      <c r="G133" s="179" t="e">
        <f t="shared" si="65"/>
        <v>#REF!</v>
      </c>
      <c r="H133" s="179" t="e">
        <f t="shared" si="65"/>
        <v>#REF!</v>
      </c>
      <c r="I133" s="179" t="e">
        <f t="shared" si="65"/>
        <v>#REF!</v>
      </c>
      <c r="J133" s="179" t="e">
        <f t="shared" si="65"/>
        <v>#REF!</v>
      </c>
      <c r="K133" s="179" t="e">
        <f t="shared" si="65"/>
        <v>#REF!</v>
      </c>
      <c r="L133" s="179" t="e">
        <f t="shared" si="65"/>
        <v>#REF!</v>
      </c>
      <c r="M133" s="179" t="e">
        <f t="shared" si="65"/>
        <v>#REF!</v>
      </c>
      <c r="N133" s="179" t="e">
        <f t="shared" si="65"/>
        <v>#REF!</v>
      </c>
      <c r="O133" s="179" t="e">
        <f t="shared" si="65"/>
        <v>#REF!</v>
      </c>
      <c r="P133" s="179" t="e">
        <f t="shared" si="65"/>
        <v>#REF!</v>
      </c>
      <c r="Q133" s="179" t="e">
        <f t="shared" si="65"/>
        <v>#REF!</v>
      </c>
      <c r="R133" s="179" t="e">
        <f t="shared" si="65"/>
        <v>#REF!</v>
      </c>
      <c r="S133" s="179" t="e">
        <f t="shared" si="65"/>
        <v>#REF!</v>
      </c>
      <c r="T133" s="179" t="e">
        <f t="shared" si="65"/>
        <v>#REF!</v>
      </c>
      <c r="U133" s="179" t="e">
        <f t="shared" si="65"/>
        <v>#REF!</v>
      </c>
      <c r="V133" s="179" t="e">
        <f t="shared" si="65"/>
        <v>#REF!</v>
      </c>
      <c r="W133" s="179" t="e">
        <f t="shared" si="65"/>
        <v>#REF!</v>
      </c>
      <c r="X133" s="179" t="e">
        <f t="shared" si="65"/>
        <v>#REF!</v>
      </c>
      <c r="Y133" s="179" t="e">
        <f t="shared" si="65"/>
        <v>#REF!</v>
      </c>
      <c r="Z133" s="179" t="e">
        <f t="shared" si="65"/>
        <v>#REF!</v>
      </c>
      <c r="AA133" s="179" t="e">
        <f t="shared" si="65"/>
        <v>#REF!</v>
      </c>
      <c r="AB133" s="179" t="e">
        <f t="shared" si="65"/>
        <v>#REF!</v>
      </c>
      <c r="AC133" s="179" t="e">
        <f t="shared" si="65"/>
        <v>#REF!</v>
      </c>
      <c r="AD133" s="179" t="e">
        <f t="shared" si="65"/>
        <v>#REF!</v>
      </c>
      <c r="AE133" s="179" t="e">
        <f t="shared" si="65"/>
        <v>#REF!</v>
      </c>
      <c r="AF133" s="179" t="e">
        <f t="shared" si="65"/>
        <v>#REF!</v>
      </c>
      <c r="AG133" s="179" t="e">
        <f t="shared" si="65"/>
        <v>#REF!</v>
      </c>
    </row>
    <row r="134" spans="1:33" s="247" customFormat="1" ht="11.85" customHeight="1">
      <c r="A134" s="270" t="s">
        <v>320</v>
      </c>
    </row>
    <row r="135" spans="1:33">
      <c r="A135" s="173" t="s">
        <v>325</v>
      </c>
      <c r="B135" s="173" t="s">
        <v>300</v>
      </c>
      <c r="C135" s="179" t="e">
        <f t="shared" ref="C135:AG136" si="66">C130/($C$28*$C$27)</f>
        <v>#REF!</v>
      </c>
      <c r="D135" s="179" t="e">
        <f t="shared" si="66"/>
        <v>#REF!</v>
      </c>
      <c r="E135" s="179" t="e">
        <f t="shared" si="66"/>
        <v>#REF!</v>
      </c>
      <c r="F135" s="179" t="e">
        <f t="shared" si="66"/>
        <v>#REF!</v>
      </c>
      <c r="G135" s="179" t="e">
        <f t="shared" si="66"/>
        <v>#REF!</v>
      </c>
      <c r="H135" s="179" t="e">
        <f t="shared" si="66"/>
        <v>#REF!</v>
      </c>
      <c r="I135" s="179" t="e">
        <f t="shared" si="66"/>
        <v>#REF!</v>
      </c>
      <c r="J135" s="179" t="e">
        <f t="shared" si="66"/>
        <v>#REF!</v>
      </c>
      <c r="K135" s="179" t="e">
        <f t="shared" si="66"/>
        <v>#REF!</v>
      </c>
      <c r="L135" s="179" t="e">
        <f t="shared" si="66"/>
        <v>#REF!</v>
      </c>
      <c r="M135" s="179" t="e">
        <f t="shared" si="66"/>
        <v>#REF!</v>
      </c>
      <c r="N135" s="179" t="e">
        <f t="shared" si="66"/>
        <v>#REF!</v>
      </c>
      <c r="O135" s="179" t="e">
        <f t="shared" si="66"/>
        <v>#REF!</v>
      </c>
      <c r="P135" s="179" t="e">
        <f t="shared" si="66"/>
        <v>#REF!</v>
      </c>
      <c r="Q135" s="179" t="e">
        <f t="shared" si="66"/>
        <v>#REF!</v>
      </c>
      <c r="R135" s="179" t="e">
        <f t="shared" si="66"/>
        <v>#REF!</v>
      </c>
      <c r="S135" s="179" t="e">
        <f t="shared" si="66"/>
        <v>#REF!</v>
      </c>
      <c r="T135" s="179" t="e">
        <f t="shared" si="66"/>
        <v>#REF!</v>
      </c>
      <c r="U135" s="179" t="e">
        <f t="shared" si="66"/>
        <v>#REF!</v>
      </c>
      <c r="V135" s="179" t="e">
        <f t="shared" si="66"/>
        <v>#REF!</v>
      </c>
      <c r="W135" s="179" t="e">
        <f t="shared" si="66"/>
        <v>#REF!</v>
      </c>
      <c r="X135" s="179" t="e">
        <f t="shared" si="66"/>
        <v>#REF!</v>
      </c>
      <c r="Y135" s="179" t="e">
        <f t="shared" si="66"/>
        <v>#REF!</v>
      </c>
      <c r="Z135" s="179" t="e">
        <f t="shared" si="66"/>
        <v>#REF!</v>
      </c>
      <c r="AA135" s="179" t="e">
        <f t="shared" si="66"/>
        <v>#REF!</v>
      </c>
      <c r="AB135" s="179" t="e">
        <f t="shared" si="66"/>
        <v>#REF!</v>
      </c>
      <c r="AC135" s="179" t="e">
        <f t="shared" si="66"/>
        <v>#REF!</v>
      </c>
      <c r="AD135" s="179" t="e">
        <f t="shared" si="66"/>
        <v>#REF!</v>
      </c>
      <c r="AE135" s="179" t="e">
        <f t="shared" si="66"/>
        <v>#REF!</v>
      </c>
      <c r="AF135" s="179" t="e">
        <f t="shared" si="66"/>
        <v>#REF!</v>
      </c>
      <c r="AG135" s="179" t="e">
        <f t="shared" si="66"/>
        <v>#REF!</v>
      </c>
    </row>
    <row r="136" spans="1:33">
      <c r="A136" s="173" t="s">
        <v>321</v>
      </c>
      <c r="B136" s="173" t="s">
        <v>300</v>
      </c>
      <c r="C136" s="179" t="e">
        <f t="shared" si="66"/>
        <v>#REF!</v>
      </c>
      <c r="D136" s="179" t="e">
        <f t="shared" si="66"/>
        <v>#REF!</v>
      </c>
      <c r="E136" s="179" t="e">
        <f t="shared" si="66"/>
        <v>#REF!</v>
      </c>
      <c r="F136" s="179" t="e">
        <f t="shared" si="66"/>
        <v>#REF!</v>
      </c>
      <c r="G136" s="179" t="e">
        <f t="shared" si="66"/>
        <v>#REF!</v>
      </c>
      <c r="H136" s="179" t="e">
        <f t="shared" si="66"/>
        <v>#REF!</v>
      </c>
      <c r="I136" s="179" t="e">
        <f t="shared" si="66"/>
        <v>#REF!</v>
      </c>
      <c r="J136" s="179" t="e">
        <f t="shared" si="66"/>
        <v>#REF!</v>
      </c>
      <c r="K136" s="179" t="e">
        <f t="shared" si="66"/>
        <v>#REF!</v>
      </c>
      <c r="L136" s="179" t="e">
        <f t="shared" si="66"/>
        <v>#REF!</v>
      </c>
      <c r="M136" s="179" t="e">
        <f t="shared" si="66"/>
        <v>#REF!</v>
      </c>
      <c r="N136" s="179" t="e">
        <f t="shared" si="66"/>
        <v>#REF!</v>
      </c>
      <c r="O136" s="179" t="e">
        <f t="shared" si="66"/>
        <v>#REF!</v>
      </c>
      <c r="P136" s="179" t="e">
        <f t="shared" si="66"/>
        <v>#REF!</v>
      </c>
      <c r="Q136" s="179" t="e">
        <f t="shared" si="66"/>
        <v>#REF!</v>
      </c>
      <c r="R136" s="179" t="e">
        <f t="shared" si="66"/>
        <v>#REF!</v>
      </c>
      <c r="S136" s="179" t="e">
        <f t="shared" si="66"/>
        <v>#REF!</v>
      </c>
      <c r="T136" s="179" t="e">
        <f t="shared" si="66"/>
        <v>#REF!</v>
      </c>
      <c r="U136" s="179" t="e">
        <f t="shared" si="66"/>
        <v>#REF!</v>
      </c>
      <c r="V136" s="179" t="e">
        <f t="shared" si="66"/>
        <v>#REF!</v>
      </c>
      <c r="W136" s="179" t="e">
        <f t="shared" si="66"/>
        <v>#REF!</v>
      </c>
      <c r="X136" s="179" t="e">
        <f t="shared" si="66"/>
        <v>#REF!</v>
      </c>
      <c r="Y136" s="179" t="e">
        <f t="shared" si="66"/>
        <v>#REF!</v>
      </c>
      <c r="Z136" s="179" t="e">
        <f t="shared" si="66"/>
        <v>#REF!</v>
      </c>
      <c r="AA136" s="179" t="e">
        <f t="shared" si="66"/>
        <v>#REF!</v>
      </c>
      <c r="AB136" s="179" t="e">
        <f t="shared" si="66"/>
        <v>#REF!</v>
      </c>
      <c r="AC136" s="179" t="e">
        <f t="shared" si="66"/>
        <v>#REF!</v>
      </c>
      <c r="AD136" s="179" t="e">
        <f t="shared" si="66"/>
        <v>#REF!</v>
      </c>
      <c r="AE136" s="179" t="e">
        <f t="shared" si="66"/>
        <v>#REF!</v>
      </c>
      <c r="AF136" s="179" t="e">
        <f t="shared" si="66"/>
        <v>#REF!</v>
      </c>
      <c r="AG136" s="179" t="e">
        <f t="shared" si="66"/>
        <v>#REF!</v>
      </c>
    </row>
    <row r="137" spans="1:33">
      <c r="A137" s="173" t="s">
        <v>322</v>
      </c>
      <c r="B137" s="173" t="s">
        <v>300</v>
      </c>
      <c r="C137" s="179" t="e">
        <f t="shared" ref="C137:AG137" si="67">(C132+C133+C71)/($C$28*$C$27)+C64</f>
        <v>#REF!</v>
      </c>
      <c r="D137" s="179" t="e">
        <f t="shared" si="67"/>
        <v>#REF!</v>
      </c>
      <c r="E137" s="179" t="e">
        <f t="shared" si="67"/>
        <v>#REF!</v>
      </c>
      <c r="F137" s="179" t="e">
        <f t="shared" si="67"/>
        <v>#REF!</v>
      </c>
      <c r="G137" s="179" t="e">
        <f t="shared" si="67"/>
        <v>#REF!</v>
      </c>
      <c r="H137" s="179" t="e">
        <f t="shared" si="67"/>
        <v>#REF!</v>
      </c>
      <c r="I137" s="179" t="e">
        <f t="shared" si="67"/>
        <v>#REF!</v>
      </c>
      <c r="J137" s="179" t="e">
        <f t="shared" si="67"/>
        <v>#REF!</v>
      </c>
      <c r="K137" s="179" t="e">
        <f t="shared" si="67"/>
        <v>#REF!</v>
      </c>
      <c r="L137" s="179" t="e">
        <f t="shared" si="67"/>
        <v>#REF!</v>
      </c>
      <c r="M137" s="179" t="e">
        <f t="shared" si="67"/>
        <v>#REF!</v>
      </c>
      <c r="N137" s="179" t="e">
        <f t="shared" si="67"/>
        <v>#REF!</v>
      </c>
      <c r="O137" s="179" t="e">
        <f t="shared" si="67"/>
        <v>#REF!</v>
      </c>
      <c r="P137" s="179" t="e">
        <f t="shared" si="67"/>
        <v>#REF!</v>
      </c>
      <c r="Q137" s="179" t="e">
        <f t="shared" si="67"/>
        <v>#REF!</v>
      </c>
      <c r="R137" s="179" t="e">
        <f t="shared" si="67"/>
        <v>#REF!</v>
      </c>
      <c r="S137" s="179" t="e">
        <f t="shared" si="67"/>
        <v>#REF!</v>
      </c>
      <c r="T137" s="179" t="e">
        <f t="shared" si="67"/>
        <v>#REF!</v>
      </c>
      <c r="U137" s="179" t="e">
        <f t="shared" si="67"/>
        <v>#REF!</v>
      </c>
      <c r="V137" s="179" t="e">
        <f t="shared" si="67"/>
        <v>#REF!</v>
      </c>
      <c r="W137" s="179" t="e">
        <f t="shared" si="67"/>
        <v>#REF!</v>
      </c>
      <c r="X137" s="179" t="e">
        <f t="shared" si="67"/>
        <v>#REF!</v>
      </c>
      <c r="Y137" s="179" t="e">
        <f t="shared" si="67"/>
        <v>#REF!</v>
      </c>
      <c r="Z137" s="179" t="e">
        <f t="shared" si="67"/>
        <v>#REF!</v>
      </c>
      <c r="AA137" s="179" t="e">
        <f t="shared" si="67"/>
        <v>#REF!</v>
      </c>
      <c r="AB137" s="179" t="e">
        <f t="shared" si="67"/>
        <v>#REF!</v>
      </c>
      <c r="AC137" s="179" t="e">
        <f t="shared" si="67"/>
        <v>#REF!</v>
      </c>
      <c r="AD137" s="179" t="e">
        <f t="shared" si="67"/>
        <v>#REF!</v>
      </c>
      <c r="AE137" s="179" t="e">
        <f t="shared" si="67"/>
        <v>#REF!</v>
      </c>
      <c r="AF137" s="179" t="e">
        <f t="shared" si="67"/>
        <v>#REF!</v>
      </c>
      <c r="AG137" s="179" t="e">
        <f t="shared" si="67"/>
        <v>#REF!</v>
      </c>
    </row>
    <row r="138" spans="1:33">
      <c r="C138" s="274" t="e">
        <f t="shared" ref="C138:AC138" si="68">SUM(C135:C137)</f>
        <v>#REF!</v>
      </c>
      <c r="D138" s="274" t="e">
        <f t="shared" si="68"/>
        <v>#REF!</v>
      </c>
      <c r="E138" s="274" t="e">
        <f t="shared" si="68"/>
        <v>#REF!</v>
      </c>
      <c r="F138" s="274" t="e">
        <f t="shared" si="68"/>
        <v>#REF!</v>
      </c>
      <c r="G138" s="274" t="e">
        <f t="shared" si="68"/>
        <v>#REF!</v>
      </c>
      <c r="H138" s="274" t="e">
        <f t="shared" si="68"/>
        <v>#REF!</v>
      </c>
      <c r="I138" s="274" t="e">
        <f t="shared" si="68"/>
        <v>#REF!</v>
      </c>
      <c r="J138" s="274" t="e">
        <f t="shared" si="68"/>
        <v>#REF!</v>
      </c>
      <c r="K138" s="274" t="e">
        <f t="shared" si="68"/>
        <v>#REF!</v>
      </c>
      <c r="L138" s="274" t="e">
        <f t="shared" si="68"/>
        <v>#REF!</v>
      </c>
      <c r="M138" s="274" t="e">
        <f t="shared" si="68"/>
        <v>#REF!</v>
      </c>
      <c r="N138" s="274" t="e">
        <f t="shared" si="68"/>
        <v>#REF!</v>
      </c>
      <c r="O138" s="274" t="e">
        <f t="shared" si="68"/>
        <v>#REF!</v>
      </c>
      <c r="P138" s="274" t="e">
        <f t="shared" si="68"/>
        <v>#REF!</v>
      </c>
      <c r="Q138" s="274" t="e">
        <f t="shared" si="68"/>
        <v>#REF!</v>
      </c>
      <c r="R138" s="274" t="e">
        <f t="shared" si="68"/>
        <v>#REF!</v>
      </c>
      <c r="S138" s="274" t="e">
        <f t="shared" si="68"/>
        <v>#REF!</v>
      </c>
      <c r="T138" s="274" t="e">
        <f t="shared" si="68"/>
        <v>#REF!</v>
      </c>
      <c r="U138" s="274" t="e">
        <f t="shared" si="68"/>
        <v>#REF!</v>
      </c>
      <c r="V138" s="274" t="e">
        <f t="shared" si="68"/>
        <v>#REF!</v>
      </c>
      <c r="W138" s="274" t="e">
        <f t="shared" si="68"/>
        <v>#REF!</v>
      </c>
      <c r="X138" s="274" t="e">
        <f t="shared" si="68"/>
        <v>#REF!</v>
      </c>
      <c r="Y138" s="274" t="e">
        <f t="shared" si="68"/>
        <v>#REF!</v>
      </c>
      <c r="Z138" s="274" t="e">
        <f t="shared" si="68"/>
        <v>#REF!</v>
      </c>
      <c r="AA138" s="274" t="e">
        <f t="shared" si="68"/>
        <v>#REF!</v>
      </c>
      <c r="AB138" s="274" t="e">
        <f t="shared" si="68"/>
        <v>#REF!</v>
      </c>
      <c r="AC138" s="274" t="e">
        <f t="shared" si="68"/>
        <v>#REF!</v>
      </c>
      <c r="AD138" s="274" t="e">
        <f t="shared" ref="AD138:AG138" si="69">SUM(AD135:AD137)</f>
        <v>#REF!</v>
      </c>
      <c r="AE138" s="274" t="e">
        <f t="shared" si="69"/>
        <v>#REF!</v>
      </c>
      <c r="AF138" s="274" t="e">
        <f t="shared" si="69"/>
        <v>#REF!</v>
      </c>
      <c r="AG138" s="274" t="e">
        <f t="shared" si="69"/>
        <v>#REF!</v>
      </c>
    </row>
    <row r="139" spans="1:33" s="225" customFormat="1">
      <c r="A139" s="223" t="s">
        <v>327</v>
      </c>
      <c r="B139" s="223"/>
      <c r="H139" s="272" t="e">
        <f>H142/H87</f>
        <v>#REF!</v>
      </c>
      <c r="AB139" s="272" t="e">
        <f>AB142/AB87</f>
        <v>#REF!</v>
      </c>
    </row>
    <row r="140" spans="1:33">
      <c r="A140" s="235" t="s">
        <v>41</v>
      </c>
      <c r="B140" s="235"/>
      <c r="C140" s="235">
        <v>2025</v>
      </c>
      <c r="D140" s="235">
        <f t="shared" ref="D140:AG140" si="70">C140+1</f>
        <v>2026</v>
      </c>
      <c r="E140" s="235">
        <f t="shared" si="70"/>
        <v>2027</v>
      </c>
      <c r="F140" s="235">
        <f t="shared" si="70"/>
        <v>2028</v>
      </c>
      <c r="G140" s="235">
        <f t="shared" si="70"/>
        <v>2029</v>
      </c>
      <c r="H140" s="235">
        <f t="shared" si="70"/>
        <v>2030</v>
      </c>
      <c r="I140" s="235">
        <f t="shared" si="70"/>
        <v>2031</v>
      </c>
      <c r="J140" s="235">
        <f t="shared" si="70"/>
        <v>2032</v>
      </c>
      <c r="K140" s="235">
        <f t="shared" si="70"/>
        <v>2033</v>
      </c>
      <c r="L140" s="235">
        <f t="shared" si="70"/>
        <v>2034</v>
      </c>
      <c r="M140" s="235">
        <f t="shared" si="70"/>
        <v>2035</v>
      </c>
      <c r="N140" s="235">
        <f t="shared" si="70"/>
        <v>2036</v>
      </c>
      <c r="O140" s="235">
        <f t="shared" si="70"/>
        <v>2037</v>
      </c>
      <c r="P140" s="235">
        <f t="shared" si="70"/>
        <v>2038</v>
      </c>
      <c r="Q140" s="235">
        <f t="shared" si="70"/>
        <v>2039</v>
      </c>
      <c r="R140" s="235">
        <f t="shared" si="70"/>
        <v>2040</v>
      </c>
      <c r="S140" s="235">
        <f t="shared" si="70"/>
        <v>2041</v>
      </c>
      <c r="T140" s="235">
        <f t="shared" si="70"/>
        <v>2042</v>
      </c>
      <c r="U140" s="235">
        <f t="shared" si="70"/>
        <v>2043</v>
      </c>
      <c r="V140" s="235">
        <f t="shared" si="70"/>
        <v>2044</v>
      </c>
      <c r="W140" s="235">
        <f t="shared" si="70"/>
        <v>2045</v>
      </c>
      <c r="X140" s="235">
        <f t="shared" si="70"/>
        <v>2046</v>
      </c>
      <c r="Y140" s="235">
        <f t="shared" si="70"/>
        <v>2047</v>
      </c>
      <c r="Z140" s="235">
        <f t="shared" si="70"/>
        <v>2048</v>
      </c>
      <c r="AA140" s="235">
        <f t="shared" si="70"/>
        <v>2049</v>
      </c>
      <c r="AB140" s="235">
        <f t="shared" si="70"/>
        <v>2050</v>
      </c>
      <c r="AC140" s="235">
        <f t="shared" si="70"/>
        <v>2051</v>
      </c>
      <c r="AD140" s="235">
        <f t="shared" si="70"/>
        <v>2052</v>
      </c>
      <c r="AE140" s="235">
        <f t="shared" si="70"/>
        <v>2053</v>
      </c>
      <c r="AF140" s="235">
        <f t="shared" si="70"/>
        <v>2054</v>
      </c>
      <c r="AG140" s="235">
        <f t="shared" si="70"/>
        <v>2055</v>
      </c>
    </row>
    <row r="141" spans="1:33">
      <c r="A141" s="173" t="s">
        <v>418</v>
      </c>
      <c r="B141" s="173" t="s">
        <v>309</v>
      </c>
      <c r="C141" s="179" t="e">
        <f>ROUND(($F$74*C61)/1000,0)*1000</f>
        <v>#REF!</v>
      </c>
      <c r="D141" s="179" t="e">
        <f>ROUND(($F$74*D61)/1000,0)*1000</f>
        <v>#REF!</v>
      </c>
      <c r="E141" s="179" t="e">
        <f>ROUND(($F$74*E61)/1000,0)*1000</f>
        <v>#REF!</v>
      </c>
      <c r="F141" s="179" t="e">
        <f t="shared" ref="F141:AG141" si="71">ROUND(($F$74*F61)/1000,0)*1000</f>
        <v>#REF!</v>
      </c>
      <c r="G141" s="179" t="e">
        <f t="shared" si="71"/>
        <v>#REF!</v>
      </c>
      <c r="H141" s="179" t="e">
        <f t="shared" si="71"/>
        <v>#REF!</v>
      </c>
      <c r="I141" s="179" t="e">
        <f t="shared" si="71"/>
        <v>#REF!</v>
      </c>
      <c r="J141" s="179" t="e">
        <f t="shared" si="71"/>
        <v>#REF!</v>
      </c>
      <c r="K141" s="179" t="e">
        <f t="shared" si="71"/>
        <v>#REF!</v>
      </c>
      <c r="L141" s="179" t="e">
        <f t="shared" si="71"/>
        <v>#REF!</v>
      </c>
      <c r="M141" s="179" t="e">
        <f t="shared" si="71"/>
        <v>#REF!</v>
      </c>
      <c r="N141" s="179" t="e">
        <f t="shared" si="71"/>
        <v>#REF!</v>
      </c>
      <c r="O141" s="179" t="e">
        <f t="shared" si="71"/>
        <v>#REF!</v>
      </c>
      <c r="P141" s="179" t="e">
        <f t="shared" si="71"/>
        <v>#REF!</v>
      </c>
      <c r="Q141" s="179" t="e">
        <f t="shared" si="71"/>
        <v>#REF!</v>
      </c>
      <c r="R141" s="179" t="e">
        <f t="shared" si="71"/>
        <v>#REF!</v>
      </c>
      <c r="S141" s="179" t="e">
        <f t="shared" si="71"/>
        <v>#REF!</v>
      </c>
      <c r="T141" s="179" t="e">
        <f t="shared" si="71"/>
        <v>#REF!</v>
      </c>
      <c r="U141" s="179" t="e">
        <f t="shared" si="71"/>
        <v>#REF!</v>
      </c>
      <c r="V141" s="179" t="e">
        <f t="shared" si="71"/>
        <v>#REF!</v>
      </c>
      <c r="W141" s="179" t="e">
        <f t="shared" si="71"/>
        <v>#REF!</v>
      </c>
      <c r="X141" s="179" t="e">
        <f t="shared" si="71"/>
        <v>#REF!</v>
      </c>
      <c r="Y141" s="179" t="e">
        <f t="shared" si="71"/>
        <v>#REF!</v>
      </c>
      <c r="Z141" s="179" t="e">
        <f t="shared" si="71"/>
        <v>#REF!</v>
      </c>
      <c r="AA141" s="179" t="e">
        <f t="shared" si="71"/>
        <v>#REF!</v>
      </c>
      <c r="AB141" s="179" t="e">
        <f t="shared" si="71"/>
        <v>#REF!</v>
      </c>
      <c r="AC141" s="179" t="e">
        <f t="shared" si="71"/>
        <v>#REF!</v>
      </c>
      <c r="AD141" s="179" t="e">
        <f t="shared" si="71"/>
        <v>#REF!</v>
      </c>
      <c r="AE141" s="179" t="e">
        <f t="shared" si="71"/>
        <v>#REF!</v>
      </c>
      <c r="AF141" s="179" t="e">
        <f t="shared" si="71"/>
        <v>#REF!</v>
      </c>
      <c r="AG141" s="179" t="e">
        <f t="shared" si="71"/>
        <v>#REF!</v>
      </c>
    </row>
    <row r="142" spans="1:33">
      <c r="A142" s="290" t="s">
        <v>328</v>
      </c>
      <c r="B142" s="173" t="s">
        <v>309</v>
      </c>
      <c r="C142" s="179" t="e">
        <f t="shared" ref="C142:AG142" si="72">C87+C141</f>
        <v>#REF!</v>
      </c>
      <c r="D142" s="179" t="e">
        <f t="shared" si="72"/>
        <v>#REF!</v>
      </c>
      <c r="E142" s="179" t="e">
        <f t="shared" si="72"/>
        <v>#REF!</v>
      </c>
      <c r="F142" s="179" t="e">
        <f t="shared" si="72"/>
        <v>#REF!</v>
      </c>
      <c r="G142" s="179" t="e">
        <f t="shared" si="72"/>
        <v>#REF!</v>
      </c>
      <c r="H142" s="179" t="e">
        <f t="shared" si="72"/>
        <v>#REF!</v>
      </c>
      <c r="I142" s="179" t="e">
        <f t="shared" si="72"/>
        <v>#REF!</v>
      </c>
      <c r="J142" s="179" t="e">
        <f t="shared" si="72"/>
        <v>#REF!</v>
      </c>
      <c r="K142" s="179" t="e">
        <f t="shared" si="72"/>
        <v>#REF!</v>
      </c>
      <c r="L142" s="179" t="e">
        <f t="shared" si="72"/>
        <v>#REF!</v>
      </c>
      <c r="M142" s="179" t="e">
        <f t="shared" si="72"/>
        <v>#REF!</v>
      </c>
      <c r="N142" s="179" t="e">
        <f t="shared" si="72"/>
        <v>#REF!</v>
      </c>
      <c r="O142" s="179" t="e">
        <f t="shared" si="72"/>
        <v>#REF!</v>
      </c>
      <c r="P142" s="179" t="e">
        <f t="shared" si="72"/>
        <v>#REF!</v>
      </c>
      <c r="Q142" s="179" t="e">
        <f t="shared" si="72"/>
        <v>#REF!</v>
      </c>
      <c r="R142" s="179" t="e">
        <f t="shared" si="72"/>
        <v>#REF!</v>
      </c>
      <c r="S142" s="179" t="e">
        <f t="shared" si="72"/>
        <v>#REF!</v>
      </c>
      <c r="T142" s="179" t="e">
        <f t="shared" si="72"/>
        <v>#REF!</v>
      </c>
      <c r="U142" s="179" t="e">
        <f t="shared" si="72"/>
        <v>#REF!</v>
      </c>
      <c r="V142" s="179" t="e">
        <f t="shared" si="72"/>
        <v>#REF!</v>
      </c>
      <c r="W142" s="179" t="e">
        <f t="shared" si="72"/>
        <v>#REF!</v>
      </c>
      <c r="X142" s="179" t="e">
        <f t="shared" si="72"/>
        <v>#REF!</v>
      </c>
      <c r="Y142" s="179" t="e">
        <f t="shared" si="72"/>
        <v>#REF!</v>
      </c>
      <c r="Z142" s="179" t="e">
        <f t="shared" si="72"/>
        <v>#REF!</v>
      </c>
      <c r="AA142" s="179" t="e">
        <f t="shared" si="72"/>
        <v>#REF!</v>
      </c>
      <c r="AB142" s="179" t="e">
        <f t="shared" si="72"/>
        <v>#REF!</v>
      </c>
      <c r="AC142" s="179" t="e">
        <f t="shared" si="72"/>
        <v>#REF!</v>
      </c>
      <c r="AD142" s="179" t="e">
        <f t="shared" si="72"/>
        <v>#REF!</v>
      </c>
      <c r="AE142" s="179" t="e">
        <f t="shared" si="72"/>
        <v>#REF!</v>
      </c>
      <c r="AF142" s="179" t="e">
        <f t="shared" si="72"/>
        <v>#REF!</v>
      </c>
      <c r="AG142" s="179" t="e">
        <f t="shared" si="72"/>
        <v>#REF!</v>
      </c>
    </row>
    <row r="143" spans="1:33">
      <c r="A143" s="173" t="s">
        <v>321</v>
      </c>
      <c r="B143" s="173" t="s">
        <v>309</v>
      </c>
      <c r="C143" s="179" t="e">
        <f t="shared" ref="C143:AG143" si="73">$F$83*C51</f>
        <v>#REF!</v>
      </c>
      <c r="D143" s="179" t="e">
        <f t="shared" si="73"/>
        <v>#REF!</v>
      </c>
      <c r="E143" s="179" t="e">
        <f t="shared" si="73"/>
        <v>#REF!</v>
      </c>
      <c r="F143" s="179" t="e">
        <f t="shared" si="73"/>
        <v>#REF!</v>
      </c>
      <c r="G143" s="179" t="e">
        <f t="shared" si="73"/>
        <v>#REF!</v>
      </c>
      <c r="H143" s="179" t="e">
        <f t="shared" si="73"/>
        <v>#REF!</v>
      </c>
      <c r="I143" s="179" t="e">
        <f t="shared" si="73"/>
        <v>#REF!</v>
      </c>
      <c r="J143" s="179" t="e">
        <f t="shared" si="73"/>
        <v>#REF!</v>
      </c>
      <c r="K143" s="179" t="e">
        <f t="shared" si="73"/>
        <v>#REF!</v>
      </c>
      <c r="L143" s="179" t="e">
        <f t="shared" si="73"/>
        <v>#REF!</v>
      </c>
      <c r="M143" s="179" t="e">
        <f t="shared" si="73"/>
        <v>#REF!</v>
      </c>
      <c r="N143" s="179" t="e">
        <f t="shared" si="73"/>
        <v>#REF!</v>
      </c>
      <c r="O143" s="179" t="e">
        <f t="shared" si="73"/>
        <v>#REF!</v>
      </c>
      <c r="P143" s="179" t="e">
        <f t="shared" si="73"/>
        <v>#REF!</v>
      </c>
      <c r="Q143" s="179" t="e">
        <f t="shared" si="73"/>
        <v>#REF!</v>
      </c>
      <c r="R143" s="179" t="e">
        <f t="shared" si="73"/>
        <v>#REF!</v>
      </c>
      <c r="S143" s="179" t="e">
        <f t="shared" si="73"/>
        <v>#REF!</v>
      </c>
      <c r="T143" s="179" t="e">
        <f t="shared" si="73"/>
        <v>#REF!</v>
      </c>
      <c r="U143" s="179" t="e">
        <f t="shared" si="73"/>
        <v>#REF!</v>
      </c>
      <c r="V143" s="179" t="e">
        <f t="shared" si="73"/>
        <v>#REF!</v>
      </c>
      <c r="W143" s="179" t="e">
        <f t="shared" si="73"/>
        <v>#REF!</v>
      </c>
      <c r="X143" s="179" t="e">
        <f t="shared" si="73"/>
        <v>#REF!</v>
      </c>
      <c r="Y143" s="179" t="e">
        <f t="shared" si="73"/>
        <v>#REF!</v>
      </c>
      <c r="Z143" s="179" t="e">
        <f t="shared" si="73"/>
        <v>#REF!</v>
      </c>
      <c r="AA143" s="179" t="e">
        <f t="shared" si="73"/>
        <v>#REF!</v>
      </c>
      <c r="AB143" s="179" t="e">
        <f t="shared" si="73"/>
        <v>#REF!</v>
      </c>
      <c r="AC143" s="179" t="e">
        <f t="shared" si="73"/>
        <v>#REF!</v>
      </c>
      <c r="AD143" s="179" t="e">
        <f t="shared" si="73"/>
        <v>#REF!</v>
      </c>
      <c r="AE143" s="179" t="e">
        <f t="shared" si="73"/>
        <v>#REF!</v>
      </c>
      <c r="AF143" s="179" t="e">
        <f t="shared" si="73"/>
        <v>#REF!</v>
      </c>
      <c r="AG143" s="179" t="e">
        <f t="shared" si="73"/>
        <v>#REF!</v>
      </c>
    </row>
    <row r="144" spans="1:33">
      <c r="A144" s="173" t="s">
        <v>317</v>
      </c>
      <c r="B144" s="173" t="s">
        <v>309</v>
      </c>
      <c r="C144" s="179" t="e">
        <f t="shared" ref="C144:AG144" si="74">$C$28*$C$27*C67</f>
        <v>#REF!</v>
      </c>
      <c r="D144" s="179" t="e">
        <f t="shared" si="74"/>
        <v>#REF!</v>
      </c>
      <c r="E144" s="179" t="e">
        <f t="shared" si="74"/>
        <v>#REF!</v>
      </c>
      <c r="F144" s="179" t="e">
        <f t="shared" si="74"/>
        <v>#REF!</v>
      </c>
      <c r="G144" s="179" t="e">
        <f t="shared" si="74"/>
        <v>#REF!</v>
      </c>
      <c r="H144" s="179" t="e">
        <f t="shared" si="74"/>
        <v>#REF!</v>
      </c>
      <c r="I144" s="179" t="e">
        <f t="shared" si="74"/>
        <v>#REF!</v>
      </c>
      <c r="J144" s="179" t="e">
        <f t="shared" si="74"/>
        <v>#REF!</v>
      </c>
      <c r="K144" s="179" t="e">
        <f t="shared" si="74"/>
        <v>#REF!</v>
      </c>
      <c r="L144" s="179" t="e">
        <f t="shared" si="74"/>
        <v>#REF!</v>
      </c>
      <c r="M144" s="179" t="e">
        <f t="shared" si="74"/>
        <v>#REF!</v>
      </c>
      <c r="N144" s="179" t="e">
        <f t="shared" si="74"/>
        <v>#REF!</v>
      </c>
      <c r="O144" s="179" t="e">
        <f t="shared" si="74"/>
        <v>#REF!</v>
      </c>
      <c r="P144" s="179" t="e">
        <f t="shared" si="74"/>
        <v>#REF!</v>
      </c>
      <c r="Q144" s="179" t="e">
        <f t="shared" si="74"/>
        <v>#REF!</v>
      </c>
      <c r="R144" s="179" t="e">
        <f t="shared" si="74"/>
        <v>#REF!</v>
      </c>
      <c r="S144" s="179" t="e">
        <f t="shared" si="74"/>
        <v>#REF!</v>
      </c>
      <c r="T144" s="179" t="e">
        <f t="shared" si="74"/>
        <v>#REF!</v>
      </c>
      <c r="U144" s="179" t="e">
        <f t="shared" si="74"/>
        <v>#REF!</v>
      </c>
      <c r="V144" s="179" t="e">
        <f t="shared" si="74"/>
        <v>#REF!</v>
      </c>
      <c r="W144" s="179" t="e">
        <f t="shared" si="74"/>
        <v>#REF!</v>
      </c>
      <c r="X144" s="179" t="e">
        <f t="shared" si="74"/>
        <v>#REF!</v>
      </c>
      <c r="Y144" s="179" t="e">
        <f t="shared" si="74"/>
        <v>#REF!</v>
      </c>
      <c r="Z144" s="179" t="e">
        <f t="shared" si="74"/>
        <v>#REF!</v>
      </c>
      <c r="AA144" s="179" t="e">
        <f t="shared" si="74"/>
        <v>#REF!</v>
      </c>
      <c r="AB144" s="179" t="e">
        <f t="shared" si="74"/>
        <v>#REF!</v>
      </c>
      <c r="AC144" s="179" t="e">
        <f t="shared" si="74"/>
        <v>#REF!</v>
      </c>
      <c r="AD144" s="179" t="e">
        <f t="shared" si="74"/>
        <v>#REF!</v>
      </c>
      <c r="AE144" s="179" t="e">
        <f t="shared" si="74"/>
        <v>#REF!</v>
      </c>
      <c r="AF144" s="179" t="e">
        <f t="shared" si="74"/>
        <v>#REF!</v>
      </c>
      <c r="AG144" s="179" t="e">
        <f t="shared" si="74"/>
        <v>#REF!</v>
      </c>
    </row>
    <row r="145" spans="1:34">
      <c r="A145" s="173" t="s">
        <v>319</v>
      </c>
      <c r="B145" s="173" t="s">
        <v>309</v>
      </c>
      <c r="C145" s="179" t="e">
        <f t="shared" ref="C145:AG145" si="75">C142*$C$34</f>
        <v>#REF!</v>
      </c>
      <c r="D145" s="179" t="e">
        <f t="shared" si="75"/>
        <v>#REF!</v>
      </c>
      <c r="E145" s="179" t="e">
        <f t="shared" si="75"/>
        <v>#REF!</v>
      </c>
      <c r="F145" s="179" t="e">
        <f t="shared" si="75"/>
        <v>#REF!</v>
      </c>
      <c r="G145" s="179" t="e">
        <f t="shared" si="75"/>
        <v>#REF!</v>
      </c>
      <c r="H145" s="179" t="e">
        <f t="shared" si="75"/>
        <v>#REF!</v>
      </c>
      <c r="I145" s="179" t="e">
        <f t="shared" si="75"/>
        <v>#REF!</v>
      </c>
      <c r="J145" s="179" t="e">
        <f t="shared" si="75"/>
        <v>#REF!</v>
      </c>
      <c r="K145" s="179" t="e">
        <f t="shared" si="75"/>
        <v>#REF!</v>
      </c>
      <c r="L145" s="179" t="e">
        <f t="shared" si="75"/>
        <v>#REF!</v>
      </c>
      <c r="M145" s="179" t="e">
        <f t="shared" si="75"/>
        <v>#REF!</v>
      </c>
      <c r="N145" s="179" t="e">
        <f t="shared" si="75"/>
        <v>#REF!</v>
      </c>
      <c r="O145" s="179" t="e">
        <f t="shared" si="75"/>
        <v>#REF!</v>
      </c>
      <c r="P145" s="179" t="e">
        <f t="shared" si="75"/>
        <v>#REF!</v>
      </c>
      <c r="Q145" s="179" t="e">
        <f t="shared" si="75"/>
        <v>#REF!</v>
      </c>
      <c r="R145" s="179" t="e">
        <f t="shared" si="75"/>
        <v>#REF!</v>
      </c>
      <c r="S145" s="179" t="e">
        <f t="shared" si="75"/>
        <v>#REF!</v>
      </c>
      <c r="T145" s="179" t="e">
        <f t="shared" si="75"/>
        <v>#REF!</v>
      </c>
      <c r="U145" s="179" t="e">
        <f t="shared" si="75"/>
        <v>#REF!</v>
      </c>
      <c r="V145" s="179" t="e">
        <f t="shared" si="75"/>
        <v>#REF!</v>
      </c>
      <c r="W145" s="179" t="e">
        <f t="shared" si="75"/>
        <v>#REF!</v>
      </c>
      <c r="X145" s="179" t="e">
        <f t="shared" si="75"/>
        <v>#REF!</v>
      </c>
      <c r="Y145" s="179" t="e">
        <f t="shared" si="75"/>
        <v>#REF!</v>
      </c>
      <c r="Z145" s="179" t="e">
        <f t="shared" si="75"/>
        <v>#REF!</v>
      </c>
      <c r="AA145" s="179" t="e">
        <f t="shared" si="75"/>
        <v>#REF!</v>
      </c>
      <c r="AB145" s="179" t="e">
        <f t="shared" si="75"/>
        <v>#REF!</v>
      </c>
      <c r="AC145" s="179" t="e">
        <f t="shared" si="75"/>
        <v>#REF!</v>
      </c>
      <c r="AD145" s="179" t="e">
        <f t="shared" si="75"/>
        <v>#REF!</v>
      </c>
      <c r="AE145" s="179" t="e">
        <f t="shared" si="75"/>
        <v>#REF!</v>
      </c>
      <c r="AF145" s="179" t="e">
        <f t="shared" si="75"/>
        <v>#REF!</v>
      </c>
      <c r="AG145" s="179" t="e">
        <f t="shared" si="75"/>
        <v>#REF!</v>
      </c>
    </row>
    <row r="146" spans="1:34" s="247" customFormat="1" ht="11.85" customHeight="1">
      <c r="A146" s="270" t="s">
        <v>414</v>
      </c>
      <c r="C146" s="273"/>
      <c r="D146" s="273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</row>
    <row r="147" spans="1:34">
      <c r="A147" s="173" t="s">
        <v>325</v>
      </c>
      <c r="B147" s="173" t="s">
        <v>313</v>
      </c>
      <c r="C147" s="179" t="e">
        <f t="shared" ref="C147:AG147" si="76">-PMT($C$33,$C$31,C142)</f>
        <v>#REF!</v>
      </c>
      <c r="D147" s="179" t="e">
        <f t="shared" si="76"/>
        <v>#REF!</v>
      </c>
      <c r="E147" s="179" t="e">
        <f t="shared" si="76"/>
        <v>#REF!</v>
      </c>
      <c r="F147" s="179" t="e">
        <f t="shared" si="76"/>
        <v>#REF!</v>
      </c>
      <c r="G147" s="179" t="e">
        <f t="shared" si="76"/>
        <v>#REF!</v>
      </c>
      <c r="H147" s="179" t="e">
        <f t="shared" si="76"/>
        <v>#REF!</v>
      </c>
      <c r="I147" s="179" t="e">
        <f t="shared" si="76"/>
        <v>#REF!</v>
      </c>
      <c r="J147" s="179" t="e">
        <f t="shared" si="76"/>
        <v>#REF!</v>
      </c>
      <c r="K147" s="179" t="e">
        <f t="shared" si="76"/>
        <v>#REF!</v>
      </c>
      <c r="L147" s="179" t="e">
        <f t="shared" si="76"/>
        <v>#REF!</v>
      </c>
      <c r="M147" s="179" t="e">
        <f t="shared" si="76"/>
        <v>#REF!</v>
      </c>
      <c r="N147" s="179" t="e">
        <f t="shared" si="76"/>
        <v>#REF!</v>
      </c>
      <c r="O147" s="179" t="e">
        <f t="shared" si="76"/>
        <v>#REF!</v>
      </c>
      <c r="P147" s="179" t="e">
        <f t="shared" si="76"/>
        <v>#REF!</v>
      </c>
      <c r="Q147" s="179" t="e">
        <f t="shared" si="76"/>
        <v>#REF!</v>
      </c>
      <c r="R147" s="179" t="e">
        <f t="shared" si="76"/>
        <v>#REF!</v>
      </c>
      <c r="S147" s="179" t="e">
        <f t="shared" si="76"/>
        <v>#REF!</v>
      </c>
      <c r="T147" s="179" t="e">
        <f t="shared" si="76"/>
        <v>#REF!</v>
      </c>
      <c r="U147" s="179" t="e">
        <f t="shared" si="76"/>
        <v>#REF!</v>
      </c>
      <c r="V147" s="179" t="e">
        <f t="shared" si="76"/>
        <v>#REF!</v>
      </c>
      <c r="W147" s="179" t="e">
        <f t="shared" si="76"/>
        <v>#REF!</v>
      </c>
      <c r="X147" s="179" t="e">
        <f t="shared" si="76"/>
        <v>#REF!</v>
      </c>
      <c r="Y147" s="179" t="e">
        <f t="shared" si="76"/>
        <v>#REF!</v>
      </c>
      <c r="Z147" s="179" t="e">
        <f t="shared" si="76"/>
        <v>#REF!</v>
      </c>
      <c r="AA147" s="179" t="e">
        <f t="shared" si="76"/>
        <v>#REF!</v>
      </c>
      <c r="AB147" s="179" t="e">
        <f t="shared" si="76"/>
        <v>#REF!</v>
      </c>
      <c r="AC147" s="179" t="e">
        <f t="shared" si="76"/>
        <v>#REF!</v>
      </c>
      <c r="AD147" s="179" t="e">
        <f t="shared" si="76"/>
        <v>#REF!</v>
      </c>
      <c r="AE147" s="179" t="e">
        <f t="shared" si="76"/>
        <v>#REF!</v>
      </c>
      <c r="AF147" s="179" t="e">
        <f t="shared" si="76"/>
        <v>#REF!</v>
      </c>
      <c r="AG147" s="179" t="e">
        <f t="shared" si="76"/>
        <v>#REF!</v>
      </c>
    </row>
    <row r="148" spans="1:34">
      <c r="A148" s="173" t="s">
        <v>321</v>
      </c>
      <c r="B148" s="173" t="s">
        <v>313</v>
      </c>
      <c r="C148" s="179" t="e">
        <f t="shared" ref="C148:AG150" si="77">C143</f>
        <v>#REF!</v>
      </c>
      <c r="D148" s="179" t="e">
        <f t="shared" si="77"/>
        <v>#REF!</v>
      </c>
      <c r="E148" s="179" t="e">
        <f t="shared" si="77"/>
        <v>#REF!</v>
      </c>
      <c r="F148" s="179" t="e">
        <f t="shared" si="77"/>
        <v>#REF!</v>
      </c>
      <c r="G148" s="179" t="e">
        <f t="shared" si="77"/>
        <v>#REF!</v>
      </c>
      <c r="H148" s="179" t="e">
        <f t="shared" si="77"/>
        <v>#REF!</v>
      </c>
      <c r="I148" s="179" t="e">
        <f t="shared" si="77"/>
        <v>#REF!</v>
      </c>
      <c r="J148" s="179" t="e">
        <f t="shared" si="77"/>
        <v>#REF!</v>
      </c>
      <c r="K148" s="179" t="e">
        <f t="shared" si="77"/>
        <v>#REF!</v>
      </c>
      <c r="L148" s="179" t="e">
        <f t="shared" si="77"/>
        <v>#REF!</v>
      </c>
      <c r="M148" s="179" t="e">
        <f t="shared" si="77"/>
        <v>#REF!</v>
      </c>
      <c r="N148" s="179" t="e">
        <f t="shared" si="77"/>
        <v>#REF!</v>
      </c>
      <c r="O148" s="179" t="e">
        <f t="shared" si="77"/>
        <v>#REF!</v>
      </c>
      <c r="P148" s="179" t="e">
        <f t="shared" si="77"/>
        <v>#REF!</v>
      </c>
      <c r="Q148" s="179" t="e">
        <f t="shared" si="77"/>
        <v>#REF!</v>
      </c>
      <c r="R148" s="179" t="e">
        <f t="shared" si="77"/>
        <v>#REF!</v>
      </c>
      <c r="S148" s="179" t="e">
        <f t="shared" si="77"/>
        <v>#REF!</v>
      </c>
      <c r="T148" s="179" t="e">
        <f t="shared" si="77"/>
        <v>#REF!</v>
      </c>
      <c r="U148" s="179" t="e">
        <f t="shared" si="77"/>
        <v>#REF!</v>
      </c>
      <c r="V148" s="179" t="e">
        <f t="shared" si="77"/>
        <v>#REF!</v>
      </c>
      <c r="W148" s="179" t="e">
        <f t="shared" si="77"/>
        <v>#REF!</v>
      </c>
      <c r="X148" s="179" t="e">
        <f t="shared" si="77"/>
        <v>#REF!</v>
      </c>
      <c r="Y148" s="179" t="e">
        <f t="shared" si="77"/>
        <v>#REF!</v>
      </c>
      <c r="Z148" s="179" t="e">
        <f t="shared" si="77"/>
        <v>#REF!</v>
      </c>
      <c r="AA148" s="179" t="e">
        <f t="shared" si="77"/>
        <v>#REF!</v>
      </c>
      <c r="AB148" s="179" t="e">
        <f t="shared" si="77"/>
        <v>#REF!</v>
      </c>
      <c r="AC148" s="179" t="e">
        <f t="shared" si="77"/>
        <v>#REF!</v>
      </c>
      <c r="AD148" s="179" t="e">
        <f t="shared" si="77"/>
        <v>#REF!</v>
      </c>
      <c r="AE148" s="179" t="e">
        <f t="shared" si="77"/>
        <v>#REF!</v>
      </c>
      <c r="AF148" s="179" t="e">
        <f t="shared" si="77"/>
        <v>#REF!</v>
      </c>
      <c r="AG148" s="179" t="e">
        <f t="shared" si="77"/>
        <v>#REF!</v>
      </c>
    </row>
    <row r="149" spans="1:34">
      <c r="A149" s="173" t="s">
        <v>317</v>
      </c>
      <c r="B149" s="173" t="s">
        <v>313</v>
      </c>
      <c r="C149" s="179" t="e">
        <f>C144</f>
        <v>#REF!</v>
      </c>
      <c r="D149" s="179" t="e">
        <f t="shared" si="77"/>
        <v>#REF!</v>
      </c>
      <c r="E149" s="179" t="e">
        <f t="shared" si="77"/>
        <v>#REF!</v>
      </c>
      <c r="F149" s="179" t="e">
        <f t="shared" si="77"/>
        <v>#REF!</v>
      </c>
      <c r="G149" s="179" t="e">
        <f t="shared" si="77"/>
        <v>#REF!</v>
      </c>
      <c r="H149" s="179" t="e">
        <f t="shared" si="77"/>
        <v>#REF!</v>
      </c>
      <c r="I149" s="179" t="e">
        <f t="shared" si="77"/>
        <v>#REF!</v>
      </c>
      <c r="J149" s="179" t="e">
        <f t="shared" si="77"/>
        <v>#REF!</v>
      </c>
      <c r="K149" s="179" t="e">
        <f t="shared" si="77"/>
        <v>#REF!</v>
      </c>
      <c r="L149" s="179" t="e">
        <f t="shared" si="77"/>
        <v>#REF!</v>
      </c>
      <c r="M149" s="179" t="e">
        <f t="shared" si="77"/>
        <v>#REF!</v>
      </c>
      <c r="N149" s="179" t="e">
        <f t="shared" si="77"/>
        <v>#REF!</v>
      </c>
      <c r="O149" s="179" t="e">
        <f t="shared" si="77"/>
        <v>#REF!</v>
      </c>
      <c r="P149" s="179" t="e">
        <f t="shared" si="77"/>
        <v>#REF!</v>
      </c>
      <c r="Q149" s="179" t="e">
        <f t="shared" si="77"/>
        <v>#REF!</v>
      </c>
      <c r="R149" s="179" t="e">
        <f t="shared" si="77"/>
        <v>#REF!</v>
      </c>
      <c r="S149" s="179" t="e">
        <f t="shared" si="77"/>
        <v>#REF!</v>
      </c>
      <c r="T149" s="179" t="e">
        <f t="shared" si="77"/>
        <v>#REF!</v>
      </c>
      <c r="U149" s="179" t="e">
        <f t="shared" si="77"/>
        <v>#REF!</v>
      </c>
      <c r="V149" s="179" t="e">
        <f t="shared" si="77"/>
        <v>#REF!</v>
      </c>
      <c r="W149" s="179" t="e">
        <f t="shared" si="77"/>
        <v>#REF!</v>
      </c>
      <c r="X149" s="179" t="e">
        <f t="shared" si="77"/>
        <v>#REF!</v>
      </c>
      <c r="Y149" s="179" t="e">
        <f t="shared" si="77"/>
        <v>#REF!</v>
      </c>
      <c r="Z149" s="179" t="e">
        <f t="shared" si="77"/>
        <v>#REF!</v>
      </c>
      <c r="AA149" s="179" t="e">
        <f t="shared" si="77"/>
        <v>#REF!</v>
      </c>
      <c r="AB149" s="179" t="e">
        <f t="shared" si="77"/>
        <v>#REF!</v>
      </c>
      <c r="AC149" s="179" t="e">
        <f t="shared" si="77"/>
        <v>#REF!</v>
      </c>
      <c r="AD149" s="179" t="e">
        <f t="shared" si="77"/>
        <v>#REF!</v>
      </c>
      <c r="AE149" s="179" t="e">
        <f t="shared" si="77"/>
        <v>#REF!</v>
      </c>
      <c r="AF149" s="179" t="e">
        <f t="shared" si="77"/>
        <v>#REF!</v>
      </c>
      <c r="AG149" s="179" t="e">
        <f t="shared" si="77"/>
        <v>#REF!</v>
      </c>
    </row>
    <row r="150" spans="1:34">
      <c r="A150" s="173" t="s">
        <v>319</v>
      </c>
      <c r="B150" s="173" t="s">
        <v>313</v>
      </c>
      <c r="C150" s="179" t="e">
        <f>C145</f>
        <v>#REF!</v>
      </c>
      <c r="D150" s="179" t="e">
        <f t="shared" si="77"/>
        <v>#REF!</v>
      </c>
      <c r="E150" s="179" t="e">
        <f t="shared" si="77"/>
        <v>#REF!</v>
      </c>
      <c r="F150" s="179" t="e">
        <f t="shared" si="77"/>
        <v>#REF!</v>
      </c>
      <c r="G150" s="179" t="e">
        <f t="shared" si="77"/>
        <v>#REF!</v>
      </c>
      <c r="H150" s="179" t="e">
        <f t="shared" si="77"/>
        <v>#REF!</v>
      </c>
      <c r="I150" s="179" t="e">
        <f t="shared" si="77"/>
        <v>#REF!</v>
      </c>
      <c r="J150" s="179" t="e">
        <f t="shared" si="77"/>
        <v>#REF!</v>
      </c>
      <c r="K150" s="179" t="e">
        <f t="shared" si="77"/>
        <v>#REF!</v>
      </c>
      <c r="L150" s="179" t="e">
        <f t="shared" si="77"/>
        <v>#REF!</v>
      </c>
      <c r="M150" s="179" t="e">
        <f t="shared" si="77"/>
        <v>#REF!</v>
      </c>
      <c r="N150" s="179" t="e">
        <f t="shared" si="77"/>
        <v>#REF!</v>
      </c>
      <c r="O150" s="179" t="e">
        <f t="shared" si="77"/>
        <v>#REF!</v>
      </c>
      <c r="P150" s="179" t="e">
        <f t="shared" si="77"/>
        <v>#REF!</v>
      </c>
      <c r="Q150" s="179" t="e">
        <f t="shared" si="77"/>
        <v>#REF!</v>
      </c>
      <c r="R150" s="179" t="e">
        <f t="shared" si="77"/>
        <v>#REF!</v>
      </c>
      <c r="S150" s="179" t="e">
        <f t="shared" si="77"/>
        <v>#REF!</v>
      </c>
      <c r="T150" s="179" t="e">
        <f t="shared" si="77"/>
        <v>#REF!</v>
      </c>
      <c r="U150" s="179" t="e">
        <f t="shared" si="77"/>
        <v>#REF!</v>
      </c>
      <c r="V150" s="179" t="e">
        <f t="shared" si="77"/>
        <v>#REF!</v>
      </c>
      <c r="W150" s="179" t="e">
        <f t="shared" si="77"/>
        <v>#REF!</v>
      </c>
      <c r="X150" s="179" t="e">
        <f t="shared" si="77"/>
        <v>#REF!</v>
      </c>
      <c r="Y150" s="179" t="e">
        <f t="shared" si="77"/>
        <v>#REF!</v>
      </c>
      <c r="Z150" s="179" t="e">
        <f t="shared" si="77"/>
        <v>#REF!</v>
      </c>
      <c r="AA150" s="179" t="e">
        <f t="shared" si="77"/>
        <v>#REF!</v>
      </c>
      <c r="AB150" s="179" t="e">
        <f t="shared" si="77"/>
        <v>#REF!</v>
      </c>
      <c r="AC150" s="179" t="e">
        <f t="shared" si="77"/>
        <v>#REF!</v>
      </c>
      <c r="AD150" s="179" t="e">
        <f t="shared" si="77"/>
        <v>#REF!</v>
      </c>
      <c r="AE150" s="179" t="e">
        <f t="shared" si="77"/>
        <v>#REF!</v>
      </c>
      <c r="AF150" s="179" t="e">
        <f t="shared" si="77"/>
        <v>#REF!</v>
      </c>
      <c r="AG150" s="179" t="e">
        <f t="shared" si="77"/>
        <v>#REF!</v>
      </c>
    </row>
    <row r="151" spans="1:34" s="247" customFormat="1" ht="11.85" customHeight="1">
      <c r="A151" s="270" t="s">
        <v>320</v>
      </c>
      <c r="C151" s="273"/>
      <c r="D151" s="273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  <c r="AC151" s="273"/>
      <c r="AD151" s="273"/>
      <c r="AE151" s="273"/>
      <c r="AF151" s="273"/>
      <c r="AG151" s="273"/>
    </row>
    <row r="152" spans="1:34">
      <c r="A152" s="173" t="s">
        <v>325</v>
      </c>
      <c r="B152" s="173" t="s">
        <v>300</v>
      </c>
      <c r="C152" s="179" t="e">
        <f t="shared" ref="C152:AG153" si="78">C147/($C$28*$C$27)</f>
        <v>#REF!</v>
      </c>
      <c r="D152" s="179" t="e">
        <f t="shared" si="78"/>
        <v>#REF!</v>
      </c>
      <c r="E152" s="179" t="e">
        <f t="shared" si="78"/>
        <v>#REF!</v>
      </c>
      <c r="F152" s="179" t="e">
        <f t="shared" si="78"/>
        <v>#REF!</v>
      </c>
      <c r="G152" s="179" t="e">
        <f t="shared" si="78"/>
        <v>#REF!</v>
      </c>
      <c r="H152" s="179" t="e">
        <f t="shared" si="78"/>
        <v>#REF!</v>
      </c>
      <c r="I152" s="179" t="e">
        <f t="shared" si="78"/>
        <v>#REF!</v>
      </c>
      <c r="J152" s="179" t="e">
        <f t="shared" si="78"/>
        <v>#REF!</v>
      </c>
      <c r="K152" s="179" t="e">
        <f t="shared" si="78"/>
        <v>#REF!</v>
      </c>
      <c r="L152" s="179" t="e">
        <f t="shared" si="78"/>
        <v>#REF!</v>
      </c>
      <c r="M152" s="179" t="e">
        <f t="shared" si="78"/>
        <v>#REF!</v>
      </c>
      <c r="N152" s="179" t="e">
        <f t="shared" si="78"/>
        <v>#REF!</v>
      </c>
      <c r="O152" s="179" t="e">
        <f t="shared" si="78"/>
        <v>#REF!</v>
      </c>
      <c r="P152" s="179" t="e">
        <f t="shared" si="78"/>
        <v>#REF!</v>
      </c>
      <c r="Q152" s="179" t="e">
        <f t="shared" si="78"/>
        <v>#REF!</v>
      </c>
      <c r="R152" s="179" t="e">
        <f t="shared" si="78"/>
        <v>#REF!</v>
      </c>
      <c r="S152" s="179" t="e">
        <f t="shared" si="78"/>
        <v>#REF!</v>
      </c>
      <c r="T152" s="179" t="e">
        <f t="shared" si="78"/>
        <v>#REF!</v>
      </c>
      <c r="U152" s="179" t="e">
        <f t="shared" si="78"/>
        <v>#REF!</v>
      </c>
      <c r="V152" s="179" t="e">
        <f t="shared" si="78"/>
        <v>#REF!</v>
      </c>
      <c r="W152" s="179" t="e">
        <f t="shared" si="78"/>
        <v>#REF!</v>
      </c>
      <c r="X152" s="179" t="e">
        <f t="shared" si="78"/>
        <v>#REF!</v>
      </c>
      <c r="Y152" s="179" t="e">
        <f t="shared" si="78"/>
        <v>#REF!</v>
      </c>
      <c r="Z152" s="179" t="e">
        <f t="shared" si="78"/>
        <v>#REF!</v>
      </c>
      <c r="AA152" s="179" t="e">
        <f t="shared" si="78"/>
        <v>#REF!</v>
      </c>
      <c r="AB152" s="179" t="e">
        <f t="shared" si="78"/>
        <v>#REF!</v>
      </c>
      <c r="AC152" s="179" t="e">
        <f t="shared" si="78"/>
        <v>#REF!</v>
      </c>
      <c r="AD152" s="179" t="e">
        <f t="shared" si="78"/>
        <v>#REF!</v>
      </c>
      <c r="AE152" s="179" t="e">
        <f t="shared" si="78"/>
        <v>#REF!</v>
      </c>
      <c r="AF152" s="179" t="e">
        <f t="shared" si="78"/>
        <v>#REF!</v>
      </c>
      <c r="AG152" s="179" t="e">
        <f t="shared" si="78"/>
        <v>#REF!</v>
      </c>
    </row>
    <row r="153" spans="1:34">
      <c r="A153" s="173" t="s">
        <v>321</v>
      </c>
      <c r="B153" s="173" t="s">
        <v>300</v>
      </c>
      <c r="C153" s="179" t="e">
        <f t="shared" si="78"/>
        <v>#REF!</v>
      </c>
      <c r="D153" s="179" t="e">
        <f t="shared" si="78"/>
        <v>#REF!</v>
      </c>
      <c r="E153" s="179" t="e">
        <f t="shared" si="78"/>
        <v>#REF!</v>
      </c>
      <c r="F153" s="179" t="e">
        <f t="shared" si="78"/>
        <v>#REF!</v>
      </c>
      <c r="G153" s="179" t="e">
        <f t="shared" si="78"/>
        <v>#REF!</v>
      </c>
      <c r="H153" s="179" t="e">
        <f t="shared" si="78"/>
        <v>#REF!</v>
      </c>
      <c r="I153" s="179" t="e">
        <f t="shared" si="78"/>
        <v>#REF!</v>
      </c>
      <c r="J153" s="179" t="e">
        <f t="shared" si="78"/>
        <v>#REF!</v>
      </c>
      <c r="K153" s="179" t="e">
        <f t="shared" si="78"/>
        <v>#REF!</v>
      </c>
      <c r="L153" s="179" t="e">
        <f t="shared" si="78"/>
        <v>#REF!</v>
      </c>
      <c r="M153" s="179" t="e">
        <f t="shared" si="78"/>
        <v>#REF!</v>
      </c>
      <c r="N153" s="179" t="e">
        <f t="shared" si="78"/>
        <v>#REF!</v>
      </c>
      <c r="O153" s="179" t="e">
        <f t="shared" si="78"/>
        <v>#REF!</v>
      </c>
      <c r="P153" s="179" t="e">
        <f t="shared" si="78"/>
        <v>#REF!</v>
      </c>
      <c r="Q153" s="179" t="e">
        <f t="shared" si="78"/>
        <v>#REF!</v>
      </c>
      <c r="R153" s="179" t="e">
        <f t="shared" si="78"/>
        <v>#REF!</v>
      </c>
      <c r="S153" s="179" t="e">
        <f t="shared" si="78"/>
        <v>#REF!</v>
      </c>
      <c r="T153" s="179" t="e">
        <f t="shared" si="78"/>
        <v>#REF!</v>
      </c>
      <c r="U153" s="179" t="e">
        <f t="shared" si="78"/>
        <v>#REF!</v>
      </c>
      <c r="V153" s="179" t="e">
        <f t="shared" si="78"/>
        <v>#REF!</v>
      </c>
      <c r="W153" s="179" t="e">
        <f t="shared" si="78"/>
        <v>#REF!</v>
      </c>
      <c r="X153" s="179" t="e">
        <f t="shared" si="78"/>
        <v>#REF!</v>
      </c>
      <c r="Y153" s="179" t="e">
        <f t="shared" si="78"/>
        <v>#REF!</v>
      </c>
      <c r="Z153" s="179" t="e">
        <f t="shared" si="78"/>
        <v>#REF!</v>
      </c>
      <c r="AA153" s="179" t="e">
        <f t="shared" si="78"/>
        <v>#REF!</v>
      </c>
      <c r="AB153" s="179" t="e">
        <f t="shared" si="78"/>
        <v>#REF!</v>
      </c>
      <c r="AC153" s="179" t="e">
        <f t="shared" si="78"/>
        <v>#REF!</v>
      </c>
      <c r="AD153" s="179" t="e">
        <f t="shared" si="78"/>
        <v>#REF!</v>
      </c>
      <c r="AE153" s="179" t="e">
        <f t="shared" si="78"/>
        <v>#REF!</v>
      </c>
      <c r="AF153" s="179" t="e">
        <f t="shared" si="78"/>
        <v>#REF!</v>
      </c>
      <c r="AG153" s="179" t="e">
        <f t="shared" si="78"/>
        <v>#REF!</v>
      </c>
    </row>
    <row r="154" spans="1:34">
      <c r="A154" s="173" t="s">
        <v>322</v>
      </c>
      <c r="B154" s="173" t="s">
        <v>300</v>
      </c>
      <c r="C154" s="179" t="e">
        <f t="shared" ref="C154:AG154" si="79">(C149+C150+C71)/($C$28*$C$27)+C64</f>
        <v>#REF!</v>
      </c>
      <c r="D154" s="179" t="e">
        <f t="shared" si="79"/>
        <v>#REF!</v>
      </c>
      <c r="E154" s="179" t="e">
        <f t="shared" si="79"/>
        <v>#REF!</v>
      </c>
      <c r="F154" s="179" t="e">
        <f t="shared" si="79"/>
        <v>#REF!</v>
      </c>
      <c r="G154" s="179" t="e">
        <f t="shared" si="79"/>
        <v>#REF!</v>
      </c>
      <c r="H154" s="179" t="e">
        <f t="shared" si="79"/>
        <v>#REF!</v>
      </c>
      <c r="I154" s="179" t="e">
        <f t="shared" si="79"/>
        <v>#REF!</v>
      </c>
      <c r="J154" s="179" t="e">
        <f t="shared" si="79"/>
        <v>#REF!</v>
      </c>
      <c r="K154" s="179" t="e">
        <f t="shared" si="79"/>
        <v>#REF!</v>
      </c>
      <c r="L154" s="179" t="e">
        <f t="shared" si="79"/>
        <v>#REF!</v>
      </c>
      <c r="M154" s="179" t="e">
        <f t="shared" si="79"/>
        <v>#REF!</v>
      </c>
      <c r="N154" s="179" t="e">
        <f t="shared" si="79"/>
        <v>#REF!</v>
      </c>
      <c r="O154" s="179" t="e">
        <f t="shared" si="79"/>
        <v>#REF!</v>
      </c>
      <c r="P154" s="179" t="e">
        <f t="shared" si="79"/>
        <v>#REF!</v>
      </c>
      <c r="Q154" s="179" t="e">
        <f t="shared" si="79"/>
        <v>#REF!</v>
      </c>
      <c r="R154" s="179" t="e">
        <f t="shared" si="79"/>
        <v>#REF!</v>
      </c>
      <c r="S154" s="179" t="e">
        <f t="shared" si="79"/>
        <v>#REF!</v>
      </c>
      <c r="T154" s="179" t="e">
        <f t="shared" si="79"/>
        <v>#REF!</v>
      </c>
      <c r="U154" s="179" t="e">
        <f t="shared" si="79"/>
        <v>#REF!</v>
      </c>
      <c r="V154" s="179" t="e">
        <f t="shared" si="79"/>
        <v>#REF!</v>
      </c>
      <c r="W154" s="179" t="e">
        <f t="shared" si="79"/>
        <v>#REF!</v>
      </c>
      <c r="X154" s="179" t="e">
        <f t="shared" si="79"/>
        <v>#REF!</v>
      </c>
      <c r="Y154" s="179" t="e">
        <f t="shared" si="79"/>
        <v>#REF!</v>
      </c>
      <c r="Z154" s="179" t="e">
        <f t="shared" si="79"/>
        <v>#REF!</v>
      </c>
      <c r="AA154" s="179" t="e">
        <f t="shared" si="79"/>
        <v>#REF!</v>
      </c>
      <c r="AB154" s="179" t="e">
        <f t="shared" si="79"/>
        <v>#REF!</v>
      </c>
      <c r="AC154" s="179" t="e">
        <f t="shared" si="79"/>
        <v>#REF!</v>
      </c>
      <c r="AD154" s="179" t="e">
        <f t="shared" si="79"/>
        <v>#REF!</v>
      </c>
      <c r="AE154" s="179" t="e">
        <f t="shared" si="79"/>
        <v>#REF!</v>
      </c>
      <c r="AF154" s="179" t="e">
        <f t="shared" si="79"/>
        <v>#REF!</v>
      </c>
      <c r="AG154" s="179" t="e">
        <f t="shared" si="79"/>
        <v>#REF!</v>
      </c>
    </row>
    <row r="155" spans="1:34">
      <c r="C155" s="295" t="e">
        <f>SUM(C152:C154)</f>
        <v>#REF!</v>
      </c>
      <c r="D155" s="295" t="e">
        <f t="shared" ref="D155:AG155" si="80">SUM(D152:D154)</f>
        <v>#REF!</v>
      </c>
      <c r="E155" s="295" t="e">
        <f t="shared" si="80"/>
        <v>#REF!</v>
      </c>
      <c r="F155" s="295" t="e">
        <f t="shared" si="80"/>
        <v>#REF!</v>
      </c>
      <c r="G155" s="295" t="e">
        <f t="shared" si="80"/>
        <v>#REF!</v>
      </c>
      <c r="H155" s="295" t="e">
        <f t="shared" si="80"/>
        <v>#REF!</v>
      </c>
      <c r="I155" s="295" t="e">
        <f t="shared" si="80"/>
        <v>#REF!</v>
      </c>
      <c r="J155" s="295" t="e">
        <f t="shared" si="80"/>
        <v>#REF!</v>
      </c>
      <c r="K155" s="295" t="e">
        <f t="shared" si="80"/>
        <v>#REF!</v>
      </c>
      <c r="L155" s="295" t="e">
        <f t="shared" si="80"/>
        <v>#REF!</v>
      </c>
      <c r="M155" s="295" t="e">
        <f t="shared" si="80"/>
        <v>#REF!</v>
      </c>
      <c r="N155" s="295" t="e">
        <f t="shared" si="80"/>
        <v>#REF!</v>
      </c>
      <c r="O155" s="295" t="e">
        <f t="shared" si="80"/>
        <v>#REF!</v>
      </c>
      <c r="P155" s="295" t="e">
        <f t="shared" si="80"/>
        <v>#REF!</v>
      </c>
      <c r="Q155" s="295" t="e">
        <f t="shared" si="80"/>
        <v>#REF!</v>
      </c>
      <c r="R155" s="295" t="e">
        <f t="shared" si="80"/>
        <v>#REF!</v>
      </c>
      <c r="S155" s="295" t="e">
        <f t="shared" si="80"/>
        <v>#REF!</v>
      </c>
      <c r="T155" s="295" t="e">
        <f t="shared" si="80"/>
        <v>#REF!</v>
      </c>
      <c r="U155" s="295" t="e">
        <f t="shared" si="80"/>
        <v>#REF!</v>
      </c>
      <c r="V155" s="295" t="e">
        <f t="shared" si="80"/>
        <v>#REF!</v>
      </c>
      <c r="W155" s="295" t="e">
        <f t="shared" si="80"/>
        <v>#REF!</v>
      </c>
      <c r="X155" s="295" t="e">
        <f t="shared" si="80"/>
        <v>#REF!</v>
      </c>
      <c r="Y155" s="295" t="e">
        <f t="shared" si="80"/>
        <v>#REF!</v>
      </c>
      <c r="Z155" s="295" t="e">
        <f t="shared" si="80"/>
        <v>#REF!</v>
      </c>
      <c r="AA155" s="295" t="e">
        <f t="shared" si="80"/>
        <v>#REF!</v>
      </c>
      <c r="AB155" s="295" t="e">
        <f t="shared" si="80"/>
        <v>#REF!</v>
      </c>
      <c r="AC155" s="295" t="e">
        <f t="shared" si="80"/>
        <v>#REF!</v>
      </c>
      <c r="AD155" s="295" t="e">
        <f t="shared" si="80"/>
        <v>#REF!</v>
      </c>
      <c r="AE155" s="295" t="e">
        <f t="shared" si="80"/>
        <v>#REF!</v>
      </c>
      <c r="AF155" s="295" t="e">
        <f t="shared" si="80"/>
        <v>#REF!</v>
      </c>
      <c r="AG155" s="295" t="e">
        <f t="shared" si="80"/>
        <v>#REF!</v>
      </c>
    </row>
    <row r="156" spans="1:34" s="225" customFormat="1">
      <c r="A156" s="223" t="s">
        <v>182</v>
      </c>
      <c r="B156" s="223"/>
      <c r="H156" s="275" t="e">
        <f>SUM(H158:H161)/H87</f>
        <v>#REF!</v>
      </c>
      <c r="AB156" s="275" t="e">
        <f>SUM(AB158:AB161)/AB87</f>
        <v>#REF!</v>
      </c>
    </row>
    <row r="157" spans="1:34">
      <c r="A157" s="235" t="s">
        <v>41</v>
      </c>
      <c r="B157" s="235"/>
      <c r="C157" s="235">
        <v>2025</v>
      </c>
      <c r="D157" s="235">
        <f t="shared" ref="D157:AG157" si="81">C157+1</f>
        <v>2026</v>
      </c>
      <c r="E157" s="235">
        <f t="shared" si="81"/>
        <v>2027</v>
      </c>
      <c r="F157" s="235">
        <f t="shared" si="81"/>
        <v>2028</v>
      </c>
      <c r="G157" s="235">
        <f t="shared" si="81"/>
        <v>2029</v>
      </c>
      <c r="H157" s="235">
        <f t="shared" si="81"/>
        <v>2030</v>
      </c>
      <c r="I157" s="235">
        <f t="shared" si="81"/>
        <v>2031</v>
      </c>
      <c r="J157" s="235">
        <f t="shared" si="81"/>
        <v>2032</v>
      </c>
      <c r="K157" s="235">
        <f t="shared" si="81"/>
        <v>2033</v>
      </c>
      <c r="L157" s="235">
        <f t="shared" si="81"/>
        <v>2034</v>
      </c>
      <c r="M157" s="235">
        <f t="shared" si="81"/>
        <v>2035</v>
      </c>
      <c r="N157" s="235">
        <f t="shared" si="81"/>
        <v>2036</v>
      </c>
      <c r="O157" s="235">
        <f t="shared" si="81"/>
        <v>2037</v>
      </c>
      <c r="P157" s="235">
        <f t="shared" si="81"/>
        <v>2038</v>
      </c>
      <c r="Q157" s="235">
        <f t="shared" si="81"/>
        <v>2039</v>
      </c>
      <c r="R157" s="235">
        <f t="shared" si="81"/>
        <v>2040</v>
      </c>
      <c r="S157" s="235">
        <f t="shared" si="81"/>
        <v>2041</v>
      </c>
      <c r="T157" s="235">
        <f t="shared" si="81"/>
        <v>2042</v>
      </c>
      <c r="U157" s="235">
        <f t="shared" si="81"/>
        <v>2043</v>
      </c>
      <c r="V157" s="235">
        <f t="shared" si="81"/>
        <v>2044</v>
      </c>
      <c r="W157" s="235">
        <f t="shared" si="81"/>
        <v>2045</v>
      </c>
      <c r="X157" s="235">
        <f t="shared" si="81"/>
        <v>2046</v>
      </c>
      <c r="Y157" s="235">
        <f t="shared" si="81"/>
        <v>2047</v>
      </c>
      <c r="Z157" s="235">
        <f t="shared" si="81"/>
        <v>2048</v>
      </c>
      <c r="AA157" s="235">
        <f t="shared" si="81"/>
        <v>2049</v>
      </c>
      <c r="AB157" s="235">
        <f t="shared" si="81"/>
        <v>2050</v>
      </c>
      <c r="AC157" s="235">
        <f t="shared" si="81"/>
        <v>2051</v>
      </c>
      <c r="AD157" s="235">
        <f t="shared" si="81"/>
        <v>2052</v>
      </c>
      <c r="AE157" s="235">
        <f t="shared" si="81"/>
        <v>2053</v>
      </c>
      <c r="AF157" s="235">
        <f t="shared" si="81"/>
        <v>2054</v>
      </c>
      <c r="AG157" s="235">
        <f t="shared" si="81"/>
        <v>2055</v>
      </c>
    </row>
    <row r="158" spans="1:34">
      <c r="A158" s="290" t="s">
        <v>419</v>
      </c>
      <c r="B158" s="173" t="s">
        <v>309</v>
      </c>
      <c r="C158" s="238" t="e">
        <f>ROUND(($G$82*C57)/1000,0)*1000</f>
        <v>#REF!</v>
      </c>
      <c r="D158" s="238" t="e">
        <f>ROUND(($G$82*D57)/1000,0)*1000</f>
        <v>#REF!</v>
      </c>
      <c r="E158" s="238" t="e">
        <f>ROUND(($G$82*E57)/1000,0)*1000</f>
        <v>#REF!</v>
      </c>
      <c r="F158" s="238" t="e">
        <f t="shared" ref="F158:AG158" si="82">ROUND(($G$82*F57)/1000,0)*1000</f>
        <v>#REF!</v>
      </c>
      <c r="G158" s="238" t="e">
        <f t="shared" si="82"/>
        <v>#REF!</v>
      </c>
      <c r="H158" s="238" t="e">
        <f t="shared" si="82"/>
        <v>#REF!</v>
      </c>
      <c r="I158" s="238" t="e">
        <f t="shared" si="82"/>
        <v>#REF!</v>
      </c>
      <c r="J158" s="238" t="e">
        <f t="shared" si="82"/>
        <v>#REF!</v>
      </c>
      <c r="K158" s="238" t="e">
        <f t="shared" si="82"/>
        <v>#REF!</v>
      </c>
      <c r="L158" s="238" t="e">
        <f t="shared" si="82"/>
        <v>#REF!</v>
      </c>
      <c r="M158" s="238" t="e">
        <f t="shared" si="82"/>
        <v>#REF!</v>
      </c>
      <c r="N158" s="238" t="e">
        <f t="shared" si="82"/>
        <v>#REF!</v>
      </c>
      <c r="O158" s="238" t="e">
        <f t="shared" si="82"/>
        <v>#REF!</v>
      </c>
      <c r="P158" s="238" t="e">
        <f t="shared" si="82"/>
        <v>#REF!</v>
      </c>
      <c r="Q158" s="238" t="e">
        <f t="shared" si="82"/>
        <v>#REF!</v>
      </c>
      <c r="R158" s="238" t="e">
        <f t="shared" si="82"/>
        <v>#REF!</v>
      </c>
      <c r="S158" s="238" t="e">
        <f t="shared" si="82"/>
        <v>#REF!</v>
      </c>
      <c r="T158" s="238" t="e">
        <f t="shared" si="82"/>
        <v>#REF!</v>
      </c>
      <c r="U158" s="238" t="e">
        <f t="shared" si="82"/>
        <v>#REF!</v>
      </c>
      <c r="V158" s="238" t="e">
        <f t="shared" si="82"/>
        <v>#REF!</v>
      </c>
      <c r="W158" s="238" t="e">
        <f t="shared" si="82"/>
        <v>#REF!</v>
      </c>
      <c r="X158" s="238" t="e">
        <f t="shared" si="82"/>
        <v>#REF!</v>
      </c>
      <c r="Y158" s="238" t="e">
        <f t="shared" si="82"/>
        <v>#REF!</v>
      </c>
      <c r="Z158" s="238" t="e">
        <f t="shared" si="82"/>
        <v>#REF!</v>
      </c>
      <c r="AA158" s="238" t="e">
        <f t="shared" si="82"/>
        <v>#REF!</v>
      </c>
      <c r="AB158" s="238" t="e">
        <f t="shared" si="82"/>
        <v>#REF!</v>
      </c>
      <c r="AC158" s="238" t="e">
        <f t="shared" si="82"/>
        <v>#REF!</v>
      </c>
      <c r="AD158" s="238" t="e">
        <f t="shared" si="82"/>
        <v>#REF!</v>
      </c>
      <c r="AE158" s="238" t="e">
        <f t="shared" si="82"/>
        <v>#REF!</v>
      </c>
      <c r="AF158" s="238" t="e">
        <f t="shared" si="82"/>
        <v>#REF!</v>
      </c>
      <c r="AG158" s="238" t="e">
        <f t="shared" si="82"/>
        <v>#REF!</v>
      </c>
    </row>
    <row r="159" spans="1:34">
      <c r="A159" s="290" t="s">
        <v>420</v>
      </c>
      <c r="B159" s="173" t="s">
        <v>309</v>
      </c>
      <c r="C159" s="179" t="e">
        <f t="shared" ref="C159:AG159" si="83">C62</f>
        <v>#REF!</v>
      </c>
      <c r="D159" s="179" t="e">
        <f t="shared" si="83"/>
        <v>#REF!</v>
      </c>
      <c r="E159" s="179" t="e">
        <f t="shared" si="83"/>
        <v>#REF!</v>
      </c>
      <c r="F159" s="179" t="e">
        <f t="shared" si="83"/>
        <v>#REF!</v>
      </c>
      <c r="G159" s="179" t="e">
        <f t="shared" si="83"/>
        <v>#REF!</v>
      </c>
      <c r="H159" s="179" t="e">
        <f t="shared" si="83"/>
        <v>#REF!</v>
      </c>
      <c r="I159" s="179" t="e">
        <f t="shared" si="83"/>
        <v>#REF!</v>
      </c>
      <c r="J159" s="179" t="e">
        <f t="shared" si="83"/>
        <v>#REF!</v>
      </c>
      <c r="K159" s="179" t="e">
        <f t="shared" si="83"/>
        <v>#REF!</v>
      </c>
      <c r="L159" s="179" t="e">
        <f t="shared" si="83"/>
        <v>#REF!</v>
      </c>
      <c r="M159" s="179" t="e">
        <f t="shared" si="83"/>
        <v>#REF!</v>
      </c>
      <c r="N159" s="179" t="e">
        <f t="shared" si="83"/>
        <v>#REF!</v>
      </c>
      <c r="O159" s="179" t="e">
        <f t="shared" si="83"/>
        <v>#REF!</v>
      </c>
      <c r="P159" s="179" t="e">
        <f t="shared" si="83"/>
        <v>#REF!</v>
      </c>
      <c r="Q159" s="179" t="e">
        <f t="shared" si="83"/>
        <v>#REF!</v>
      </c>
      <c r="R159" s="179" t="e">
        <f t="shared" si="83"/>
        <v>#REF!</v>
      </c>
      <c r="S159" s="179" t="e">
        <f t="shared" si="83"/>
        <v>#REF!</v>
      </c>
      <c r="T159" s="179" t="e">
        <f t="shared" si="83"/>
        <v>#REF!</v>
      </c>
      <c r="U159" s="179" t="e">
        <f t="shared" si="83"/>
        <v>#REF!</v>
      </c>
      <c r="V159" s="179" t="e">
        <f t="shared" si="83"/>
        <v>#REF!</v>
      </c>
      <c r="W159" s="179" t="e">
        <f t="shared" si="83"/>
        <v>#REF!</v>
      </c>
      <c r="X159" s="179" t="e">
        <f t="shared" si="83"/>
        <v>#REF!</v>
      </c>
      <c r="Y159" s="179" t="e">
        <f t="shared" si="83"/>
        <v>#REF!</v>
      </c>
      <c r="Z159" s="179" t="e">
        <f t="shared" si="83"/>
        <v>#REF!</v>
      </c>
      <c r="AA159" s="179" t="e">
        <f t="shared" si="83"/>
        <v>#REF!</v>
      </c>
      <c r="AB159" s="179" t="e">
        <f t="shared" si="83"/>
        <v>#REF!</v>
      </c>
      <c r="AC159" s="179" t="e">
        <f t="shared" si="83"/>
        <v>#REF!</v>
      </c>
      <c r="AD159" s="179" t="e">
        <f t="shared" si="83"/>
        <v>#REF!</v>
      </c>
      <c r="AE159" s="179" t="e">
        <f t="shared" si="83"/>
        <v>#REF!</v>
      </c>
      <c r="AF159" s="179" t="e">
        <f t="shared" si="83"/>
        <v>#REF!</v>
      </c>
      <c r="AG159" s="179" t="e">
        <f t="shared" si="83"/>
        <v>#REF!</v>
      </c>
    </row>
    <row r="160" spans="1:34">
      <c r="A160" s="291" t="s">
        <v>421</v>
      </c>
      <c r="B160" s="229"/>
      <c r="C160" s="238" t="e">
        <f>C12</f>
        <v>#REF!</v>
      </c>
      <c r="D160" s="238" t="e">
        <f>ROUND((C160*(1+$AH160))/1000,0)*1000</f>
        <v>#REF!</v>
      </c>
      <c r="E160" s="238" t="e">
        <f>ROUND((D160*(1+$AH160))/1000,0)*1000</f>
        <v>#REF!</v>
      </c>
      <c r="F160" s="238" t="e">
        <f>ROUND((E160*(1+$AH160))/1000,0)*1000</f>
        <v>#REF!</v>
      </c>
      <c r="G160" s="238" t="e">
        <f>ROUND((F160*(1+$AH160))/1000,0)*1000</f>
        <v>#REF!</v>
      </c>
      <c r="H160" s="238" t="e">
        <f t="shared" ref="H160:AG160" si="84">ROUND((G160*(1+$AH160))/1000,0)*1000</f>
        <v>#REF!</v>
      </c>
      <c r="I160" s="238" t="e">
        <f t="shared" si="84"/>
        <v>#REF!</v>
      </c>
      <c r="J160" s="238" t="e">
        <f t="shared" si="84"/>
        <v>#REF!</v>
      </c>
      <c r="K160" s="238" t="e">
        <f t="shared" si="84"/>
        <v>#REF!</v>
      </c>
      <c r="L160" s="238" t="e">
        <f t="shared" si="84"/>
        <v>#REF!</v>
      </c>
      <c r="M160" s="238" t="e">
        <f t="shared" si="84"/>
        <v>#REF!</v>
      </c>
      <c r="N160" s="238" t="e">
        <f t="shared" si="84"/>
        <v>#REF!</v>
      </c>
      <c r="O160" s="238" t="e">
        <f t="shared" si="84"/>
        <v>#REF!</v>
      </c>
      <c r="P160" s="238" t="e">
        <f t="shared" si="84"/>
        <v>#REF!</v>
      </c>
      <c r="Q160" s="238" t="e">
        <f t="shared" si="84"/>
        <v>#REF!</v>
      </c>
      <c r="R160" s="238" t="e">
        <f t="shared" si="84"/>
        <v>#REF!</v>
      </c>
      <c r="S160" s="238" t="e">
        <f t="shared" si="84"/>
        <v>#REF!</v>
      </c>
      <c r="T160" s="238" t="e">
        <f t="shared" si="84"/>
        <v>#REF!</v>
      </c>
      <c r="U160" s="238" t="e">
        <f t="shared" si="84"/>
        <v>#REF!</v>
      </c>
      <c r="V160" s="238" t="e">
        <f t="shared" si="84"/>
        <v>#REF!</v>
      </c>
      <c r="W160" s="238" t="e">
        <f t="shared" si="84"/>
        <v>#REF!</v>
      </c>
      <c r="X160" s="238" t="e">
        <f t="shared" si="84"/>
        <v>#REF!</v>
      </c>
      <c r="Y160" s="238" t="e">
        <f t="shared" si="84"/>
        <v>#REF!</v>
      </c>
      <c r="Z160" s="238" t="e">
        <f t="shared" si="84"/>
        <v>#REF!</v>
      </c>
      <c r="AA160" s="238" t="e">
        <f t="shared" si="84"/>
        <v>#REF!</v>
      </c>
      <c r="AB160" s="238" t="e">
        <f t="shared" si="84"/>
        <v>#REF!</v>
      </c>
      <c r="AC160" s="238" t="e">
        <f t="shared" si="84"/>
        <v>#REF!</v>
      </c>
      <c r="AD160" s="238" t="e">
        <f t="shared" si="84"/>
        <v>#REF!</v>
      </c>
      <c r="AE160" s="238" t="e">
        <f t="shared" si="84"/>
        <v>#REF!</v>
      </c>
      <c r="AF160" s="238" t="e">
        <f t="shared" si="84"/>
        <v>#REF!</v>
      </c>
      <c r="AG160" s="238" t="e">
        <f t="shared" si="84"/>
        <v>#REF!</v>
      </c>
      <c r="AH160" s="237">
        <v>1.4999999999999999E-2</v>
      </c>
    </row>
    <row r="161" spans="1:33">
      <c r="A161" s="290" t="s">
        <v>422</v>
      </c>
      <c r="B161" s="173" t="s">
        <v>309</v>
      </c>
      <c r="C161" s="238" t="e">
        <f t="shared" ref="C161:AG161" si="85">(C87-C160+(C159))</f>
        <v>#REF!</v>
      </c>
      <c r="D161" s="238" t="e">
        <f t="shared" si="85"/>
        <v>#REF!</v>
      </c>
      <c r="E161" s="238" t="e">
        <f t="shared" si="85"/>
        <v>#REF!</v>
      </c>
      <c r="F161" s="238" t="e">
        <f t="shared" si="85"/>
        <v>#REF!</v>
      </c>
      <c r="G161" s="238" t="e">
        <f t="shared" si="85"/>
        <v>#REF!</v>
      </c>
      <c r="H161" s="238" t="e">
        <f t="shared" si="85"/>
        <v>#REF!</v>
      </c>
      <c r="I161" s="238" t="e">
        <f t="shared" si="85"/>
        <v>#REF!</v>
      </c>
      <c r="J161" s="238" t="e">
        <f t="shared" si="85"/>
        <v>#REF!</v>
      </c>
      <c r="K161" s="238" t="e">
        <f t="shared" si="85"/>
        <v>#REF!</v>
      </c>
      <c r="L161" s="238" t="e">
        <f t="shared" si="85"/>
        <v>#REF!</v>
      </c>
      <c r="M161" s="238" t="e">
        <f t="shared" si="85"/>
        <v>#REF!</v>
      </c>
      <c r="N161" s="238" t="e">
        <f t="shared" si="85"/>
        <v>#REF!</v>
      </c>
      <c r="O161" s="238" t="e">
        <f t="shared" si="85"/>
        <v>#REF!</v>
      </c>
      <c r="P161" s="238" t="e">
        <f t="shared" si="85"/>
        <v>#REF!</v>
      </c>
      <c r="Q161" s="238" t="e">
        <f t="shared" si="85"/>
        <v>#REF!</v>
      </c>
      <c r="R161" s="238" t="e">
        <f t="shared" si="85"/>
        <v>#REF!</v>
      </c>
      <c r="S161" s="238" t="e">
        <f t="shared" si="85"/>
        <v>#REF!</v>
      </c>
      <c r="T161" s="238" t="e">
        <f t="shared" si="85"/>
        <v>#REF!</v>
      </c>
      <c r="U161" s="238" t="e">
        <f t="shared" si="85"/>
        <v>#REF!</v>
      </c>
      <c r="V161" s="238" t="e">
        <f t="shared" si="85"/>
        <v>#REF!</v>
      </c>
      <c r="W161" s="238" t="e">
        <f t="shared" si="85"/>
        <v>#REF!</v>
      </c>
      <c r="X161" s="238" t="e">
        <f t="shared" si="85"/>
        <v>#REF!</v>
      </c>
      <c r="Y161" s="238" t="e">
        <f t="shared" si="85"/>
        <v>#REF!</v>
      </c>
      <c r="Z161" s="238" t="e">
        <f t="shared" si="85"/>
        <v>#REF!</v>
      </c>
      <c r="AA161" s="238" t="e">
        <f t="shared" si="85"/>
        <v>#REF!</v>
      </c>
      <c r="AB161" s="238" t="e">
        <f t="shared" si="85"/>
        <v>#REF!</v>
      </c>
      <c r="AC161" s="238" t="e">
        <f t="shared" si="85"/>
        <v>#REF!</v>
      </c>
      <c r="AD161" s="238" t="e">
        <f t="shared" si="85"/>
        <v>#REF!</v>
      </c>
      <c r="AE161" s="238" t="e">
        <f t="shared" si="85"/>
        <v>#REF!</v>
      </c>
      <c r="AF161" s="238" t="e">
        <f t="shared" si="85"/>
        <v>#REF!</v>
      </c>
      <c r="AG161" s="238" t="e">
        <f t="shared" si="85"/>
        <v>#REF!</v>
      </c>
    </row>
    <row r="162" spans="1:33">
      <c r="A162" s="173" t="s">
        <v>278</v>
      </c>
      <c r="B162" s="173" t="s">
        <v>309</v>
      </c>
      <c r="C162" s="238" t="e">
        <f t="shared" ref="C162:AG162" si="86">$C$35*C158</f>
        <v>#REF!</v>
      </c>
      <c r="D162" s="238" t="e">
        <f t="shared" si="86"/>
        <v>#REF!</v>
      </c>
      <c r="E162" s="238" t="e">
        <f t="shared" si="86"/>
        <v>#REF!</v>
      </c>
      <c r="F162" s="238" t="e">
        <f t="shared" si="86"/>
        <v>#REF!</v>
      </c>
      <c r="G162" s="238" t="e">
        <f t="shared" si="86"/>
        <v>#REF!</v>
      </c>
      <c r="H162" s="238" t="e">
        <f t="shared" si="86"/>
        <v>#REF!</v>
      </c>
      <c r="I162" s="238" t="e">
        <f t="shared" si="86"/>
        <v>#REF!</v>
      </c>
      <c r="J162" s="238" t="e">
        <f t="shared" si="86"/>
        <v>#REF!</v>
      </c>
      <c r="K162" s="238" t="e">
        <f t="shared" si="86"/>
        <v>#REF!</v>
      </c>
      <c r="L162" s="238" t="e">
        <f t="shared" si="86"/>
        <v>#REF!</v>
      </c>
      <c r="M162" s="238" t="e">
        <f t="shared" si="86"/>
        <v>#REF!</v>
      </c>
      <c r="N162" s="238" t="e">
        <f t="shared" si="86"/>
        <v>#REF!</v>
      </c>
      <c r="O162" s="238" t="e">
        <f t="shared" si="86"/>
        <v>#REF!</v>
      </c>
      <c r="P162" s="238" t="e">
        <f t="shared" si="86"/>
        <v>#REF!</v>
      </c>
      <c r="Q162" s="238" t="e">
        <f t="shared" si="86"/>
        <v>#REF!</v>
      </c>
      <c r="R162" s="238" t="e">
        <f t="shared" si="86"/>
        <v>#REF!</v>
      </c>
      <c r="S162" s="238" t="e">
        <f t="shared" si="86"/>
        <v>#REF!</v>
      </c>
      <c r="T162" s="238" t="e">
        <f t="shared" si="86"/>
        <v>#REF!</v>
      </c>
      <c r="U162" s="238" t="e">
        <f t="shared" si="86"/>
        <v>#REF!</v>
      </c>
      <c r="V162" s="238" t="e">
        <f t="shared" si="86"/>
        <v>#REF!</v>
      </c>
      <c r="W162" s="238" t="e">
        <f t="shared" si="86"/>
        <v>#REF!</v>
      </c>
      <c r="X162" s="238" t="e">
        <f t="shared" si="86"/>
        <v>#REF!</v>
      </c>
      <c r="Y162" s="238" t="e">
        <f t="shared" si="86"/>
        <v>#REF!</v>
      </c>
      <c r="Z162" s="238" t="e">
        <f t="shared" si="86"/>
        <v>#REF!</v>
      </c>
      <c r="AA162" s="238" t="e">
        <f t="shared" si="86"/>
        <v>#REF!</v>
      </c>
      <c r="AB162" s="238" t="e">
        <f t="shared" si="86"/>
        <v>#REF!</v>
      </c>
      <c r="AC162" s="238" t="e">
        <f t="shared" si="86"/>
        <v>#REF!</v>
      </c>
      <c r="AD162" s="238" t="e">
        <f t="shared" si="86"/>
        <v>#REF!</v>
      </c>
      <c r="AE162" s="238" t="e">
        <f t="shared" si="86"/>
        <v>#REF!</v>
      </c>
      <c r="AF162" s="238" t="e">
        <f t="shared" si="86"/>
        <v>#REF!</v>
      </c>
      <c r="AG162" s="238" t="e">
        <f t="shared" si="86"/>
        <v>#REF!</v>
      </c>
    </row>
    <row r="163" spans="1:33">
      <c r="A163" s="290" t="s">
        <v>329</v>
      </c>
      <c r="B163" s="173" t="s">
        <v>309</v>
      </c>
      <c r="C163" s="179" t="e">
        <f t="shared" ref="C163:AG163" si="87">C161+C158+C162</f>
        <v>#REF!</v>
      </c>
      <c r="D163" s="179" t="e">
        <f t="shared" si="87"/>
        <v>#REF!</v>
      </c>
      <c r="E163" s="179" t="e">
        <f t="shared" si="87"/>
        <v>#REF!</v>
      </c>
      <c r="F163" s="179" t="e">
        <f t="shared" si="87"/>
        <v>#REF!</v>
      </c>
      <c r="G163" s="179" t="e">
        <f t="shared" si="87"/>
        <v>#REF!</v>
      </c>
      <c r="H163" s="179" t="e">
        <f t="shared" si="87"/>
        <v>#REF!</v>
      </c>
      <c r="I163" s="179" t="e">
        <f t="shared" si="87"/>
        <v>#REF!</v>
      </c>
      <c r="J163" s="179" t="e">
        <f t="shared" si="87"/>
        <v>#REF!</v>
      </c>
      <c r="K163" s="179" t="e">
        <f t="shared" si="87"/>
        <v>#REF!</v>
      </c>
      <c r="L163" s="179" t="e">
        <f t="shared" si="87"/>
        <v>#REF!</v>
      </c>
      <c r="M163" s="179" t="e">
        <f t="shared" si="87"/>
        <v>#REF!</v>
      </c>
      <c r="N163" s="179" t="e">
        <f t="shared" si="87"/>
        <v>#REF!</v>
      </c>
      <c r="O163" s="179" t="e">
        <f t="shared" si="87"/>
        <v>#REF!</v>
      </c>
      <c r="P163" s="179" t="e">
        <f t="shared" si="87"/>
        <v>#REF!</v>
      </c>
      <c r="Q163" s="179" t="e">
        <f t="shared" si="87"/>
        <v>#REF!</v>
      </c>
      <c r="R163" s="179" t="e">
        <f t="shared" si="87"/>
        <v>#REF!</v>
      </c>
      <c r="S163" s="179" t="e">
        <f t="shared" si="87"/>
        <v>#REF!</v>
      </c>
      <c r="T163" s="179" t="e">
        <f t="shared" si="87"/>
        <v>#REF!</v>
      </c>
      <c r="U163" s="179" t="e">
        <f t="shared" si="87"/>
        <v>#REF!</v>
      </c>
      <c r="V163" s="179" t="e">
        <f t="shared" si="87"/>
        <v>#REF!</v>
      </c>
      <c r="W163" s="179" t="e">
        <f t="shared" si="87"/>
        <v>#REF!</v>
      </c>
      <c r="X163" s="179" t="e">
        <f t="shared" si="87"/>
        <v>#REF!</v>
      </c>
      <c r="Y163" s="179" t="e">
        <f t="shared" si="87"/>
        <v>#REF!</v>
      </c>
      <c r="Z163" s="179" t="e">
        <f t="shared" si="87"/>
        <v>#REF!</v>
      </c>
      <c r="AA163" s="179" t="e">
        <f t="shared" si="87"/>
        <v>#REF!</v>
      </c>
      <c r="AB163" s="179" t="e">
        <f t="shared" si="87"/>
        <v>#REF!</v>
      </c>
      <c r="AC163" s="179" t="e">
        <f t="shared" si="87"/>
        <v>#REF!</v>
      </c>
      <c r="AD163" s="179" t="e">
        <f t="shared" si="87"/>
        <v>#REF!</v>
      </c>
      <c r="AE163" s="179" t="e">
        <f t="shared" si="87"/>
        <v>#REF!</v>
      </c>
      <c r="AF163" s="179" t="e">
        <f t="shared" si="87"/>
        <v>#REF!</v>
      </c>
      <c r="AG163" s="179" t="e">
        <f t="shared" si="87"/>
        <v>#REF!</v>
      </c>
    </row>
    <row r="164" spans="1:33">
      <c r="A164" s="173" t="s">
        <v>340</v>
      </c>
      <c r="B164" s="173" t="s">
        <v>309</v>
      </c>
      <c r="C164" s="179">
        <f t="shared" ref="C164:F164" si="88">IF($B$5="Yes",MIN(10000*$G$82,3000000),0)</f>
        <v>0</v>
      </c>
      <c r="D164" s="179">
        <f t="shared" si="88"/>
        <v>0</v>
      </c>
      <c r="E164" s="179">
        <f t="shared" si="88"/>
        <v>0</v>
      </c>
      <c r="F164" s="179">
        <f t="shared" si="88"/>
        <v>0</v>
      </c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</row>
    <row r="165" spans="1:33">
      <c r="A165" s="173" t="s">
        <v>424</v>
      </c>
      <c r="B165" s="173" t="s">
        <v>41</v>
      </c>
      <c r="C165" s="276" t="e">
        <f>$C$10/($G$83/$G$82)</f>
        <v>#REF!</v>
      </c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76"/>
      <c r="AE165" s="276"/>
      <c r="AF165" s="276"/>
      <c r="AG165" s="276"/>
    </row>
    <row r="166" spans="1:33">
      <c r="A166" s="173" t="s">
        <v>330</v>
      </c>
      <c r="B166" s="173" t="s">
        <v>309</v>
      </c>
      <c r="C166" s="179" t="e">
        <f t="shared" ref="C166:AG166" si="89">$G$83*C56</f>
        <v>#REF!</v>
      </c>
      <c r="D166" s="179" t="e">
        <f t="shared" si="89"/>
        <v>#REF!</v>
      </c>
      <c r="E166" s="179" t="e">
        <f t="shared" si="89"/>
        <v>#REF!</v>
      </c>
      <c r="F166" s="179" t="e">
        <f t="shared" si="89"/>
        <v>#REF!</v>
      </c>
      <c r="G166" s="179" t="e">
        <f t="shared" si="89"/>
        <v>#REF!</v>
      </c>
      <c r="H166" s="179" t="e">
        <f t="shared" si="89"/>
        <v>#REF!</v>
      </c>
      <c r="I166" s="179" t="e">
        <f t="shared" si="89"/>
        <v>#REF!</v>
      </c>
      <c r="J166" s="179" t="e">
        <f t="shared" si="89"/>
        <v>#REF!</v>
      </c>
      <c r="K166" s="179" t="e">
        <f t="shared" si="89"/>
        <v>#REF!</v>
      </c>
      <c r="L166" s="179" t="e">
        <f t="shared" si="89"/>
        <v>#REF!</v>
      </c>
      <c r="M166" s="179" t="e">
        <f t="shared" si="89"/>
        <v>#REF!</v>
      </c>
      <c r="N166" s="179" t="e">
        <f t="shared" si="89"/>
        <v>#REF!</v>
      </c>
      <c r="O166" s="179" t="e">
        <f t="shared" si="89"/>
        <v>#REF!</v>
      </c>
      <c r="P166" s="179" t="e">
        <f t="shared" si="89"/>
        <v>#REF!</v>
      </c>
      <c r="Q166" s="179" t="e">
        <f t="shared" si="89"/>
        <v>#REF!</v>
      </c>
      <c r="R166" s="179" t="e">
        <f t="shared" si="89"/>
        <v>#REF!</v>
      </c>
      <c r="S166" s="179" t="e">
        <f t="shared" si="89"/>
        <v>#REF!</v>
      </c>
      <c r="T166" s="179" t="e">
        <f t="shared" si="89"/>
        <v>#REF!</v>
      </c>
      <c r="U166" s="179" t="e">
        <f t="shared" si="89"/>
        <v>#REF!</v>
      </c>
      <c r="V166" s="179" t="e">
        <f t="shared" si="89"/>
        <v>#REF!</v>
      </c>
      <c r="W166" s="179" t="e">
        <f t="shared" si="89"/>
        <v>#REF!</v>
      </c>
      <c r="X166" s="179" t="e">
        <f t="shared" si="89"/>
        <v>#REF!</v>
      </c>
      <c r="Y166" s="179" t="e">
        <f t="shared" si="89"/>
        <v>#REF!</v>
      </c>
      <c r="Z166" s="179" t="e">
        <f t="shared" si="89"/>
        <v>#REF!</v>
      </c>
      <c r="AA166" s="179" t="e">
        <f t="shared" si="89"/>
        <v>#REF!</v>
      </c>
      <c r="AB166" s="179" t="e">
        <f t="shared" si="89"/>
        <v>#REF!</v>
      </c>
      <c r="AC166" s="179" t="e">
        <f t="shared" si="89"/>
        <v>#REF!</v>
      </c>
      <c r="AD166" s="179" t="e">
        <f t="shared" si="89"/>
        <v>#REF!</v>
      </c>
      <c r="AE166" s="179" t="e">
        <f t="shared" si="89"/>
        <v>#REF!</v>
      </c>
      <c r="AF166" s="179" t="e">
        <f t="shared" si="89"/>
        <v>#REF!</v>
      </c>
      <c r="AG166" s="179" t="e">
        <f t="shared" si="89"/>
        <v>#REF!</v>
      </c>
    </row>
    <row r="167" spans="1:33">
      <c r="A167" s="173" t="str">
        <f>A97</f>
        <v>Maintenance</v>
      </c>
      <c r="B167" s="173" t="s">
        <v>309</v>
      </c>
      <c r="C167" s="179" t="e">
        <f t="shared" ref="C167:AG167" si="90">$C$28*$C$27*C68</f>
        <v>#REF!</v>
      </c>
      <c r="D167" s="179" t="e">
        <f t="shared" si="90"/>
        <v>#REF!</v>
      </c>
      <c r="E167" s="179" t="e">
        <f t="shared" si="90"/>
        <v>#REF!</v>
      </c>
      <c r="F167" s="179" t="e">
        <f t="shared" si="90"/>
        <v>#REF!</v>
      </c>
      <c r="G167" s="179" t="e">
        <f t="shared" si="90"/>
        <v>#REF!</v>
      </c>
      <c r="H167" s="179" t="e">
        <f t="shared" si="90"/>
        <v>#REF!</v>
      </c>
      <c r="I167" s="179" t="e">
        <f t="shared" si="90"/>
        <v>#REF!</v>
      </c>
      <c r="J167" s="179" t="e">
        <f t="shared" si="90"/>
        <v>#REF!</v>
      </c>
      <c r="K167" s="179" t="e">
        <f t="shared" si="90"/>
        <v>#REF!</v>
      </c>
      <c r="L167" s="179" t="e">
        <f t="shared" si="90"/>
        <v>#REF!</v>
      </c>
      <c r="M167" s="179" t="e">
        <f t="shared" si="90"/>
        <v>#REF!</v>
      </c>
      <c r="N167" s="179" t="e">
        <f t="shared" si="90"/>
        <v>#REF!</v>
      </c>
      <c r="O167" s="179" t="e">
        <f t="shared" si="90"/>
        <v>#REF!</v>
      </c>
      <c r="P167" s="179" t="e">
        <f t="shared" si="90"/>
        <v>#REF!</v>
      </c>
      <c r="Q167" s="179" t="e">
        <f t="shared" si="90"/>
        <v>#REF!</v>
      </c>
      <c r="R167" s="179" t="e">
        <f t="shared" si="90"/>
        <v>#REF!</v>
      </c>
      <c r="S167" s="179" t="e">
        <f t="shared" si="90"/>
        <v>#REF!</v>
      </c>
      <c r="T167" s="179" t="e">
        <f t="shared" si="90"/>
        <v>#REF!</v>
      </c>
      <c r="U167" s="179" t="e">
        <f t="shared" si="90"/>
        <v>#REF!</v>
      </c>
      <c r="V167" s="179" t="e">
        <f t="shared" si="90"/>
        <v>#REF!</v>
      </c>
      <c r="W167" s="179" t="e">
        <f t="shared" si="90"/>
        <v>#REF!</v>
      </c>
      <c r="X167" s="179" t="e">
        <f t="shared" si="90"/>
        <v>#REF!</v>
      </c>
      <c r="Y167" s="179" t="e">
        <f t="shared" si="90"/>
        <v>#REF!</v>
      </c>
      <c r="Z167" s="179" t="e">
        <f t="shared" si="90"/>
        <v>#REF!</v>
      </c>
      <c r="AA167" s="179" t="e">
        <f t="shared" si="90"/>
        <v>#REF!</v>
      </c>
      <c r="AB167" s="179" t="e">
        <f t="shared" si="90"/>
        <v>#REF!</v>
      </c>
      <c r="AC167" s="179" t="e">
        <f t="shared" si="90"/>
        <v>#REF!</v>
      </c>
      <c r="AD167" s="179" t="e">
        <f t="shared" si="90"/>
        <v>#REF!</v>
      </c>
      <c r="AE167" s="179" t="e">
        <f t="shared" si="90"/>
        <v>#REF!</v>
      </c>
      <c r="AF167" s="179" t="e">
        <f t="shared" si="90"/>
        <v>#REF!</v>
      </c>
      <c r="AG167" s="179" t="e">
        <f t="shared" si="90"/>
        <v>#REF!</v>
      </c>
    </row>
    <row r="168" spans="1:33">
      <c r="A168" s="173" t="s">
        <v>339</v>
      </c>
      <c r="B168" s="173" t="str">
        <f>B167</f>
        <v>INR</v>
      </c>
      <c r="C168" s="179" t="e">
        <f t="shared" ref="C168:AG168" si="91">$C$16*$C$27*$C$28</f>
        <v>#REF!</v>
      </c>
      <c r="D168" s="179" t="e">
        <f t="shared" si="91"/>
        <v>#REF!</v>
      </c>
      <c r="E168" s="179" t="e">
        <f t="shared" si="91"/>
        <v>#REF!</v>
      </c>
      <c r="F168" s="179" t="e">
        <f t="shared" si="91"/>
        <v>#REF!</v>
      </c>
      <c r="G168" s="179" t="e">
        <f t="shared" si="91"/>
        <v>#REF!</v>
      </c>
      <c r="H168" s="179" t="e">
        <f t="shared" si="91"/>
        <v>#REF!</v>
      </c>
      <c r="I168" s="179" t="e">
        <f t="shared" si="91"/>
        <v>#REF!</v>
      </c>
      <c r="J168" s="179" t="e">
        <f t="shared" si="91"/>
        <v>#REF!</v>
      </c>
      <c r="K168" s="179" t="e">
        <f t="shared" si="91"/>
        <v>#REF!</v>
      </c>
      <c r="L168" s="179" t="e">
        <f t="shared" si="91"/>
        <v>#REF!</v>
      </c>
      <c r="M168" s="179" t="e">
        <f t="shared" si="91"/>
        <v>#REF!</v>
      </c>
      <c r="N168" s="179" t="e">
        <f t="shared" si="91"/>
        <v>#REF!</v>
      </c>
      <c r="O168" s="179" t="e">
        <f t="shared" si="91"/>
        <v>#REF!</v>
      </c>
      <c r="P168" s="179" t="e">
        <f t="shared" si="91"/>
        <v>#REF!</v>
      </c>
      <c r="Q168" s="179" t="e">
        <f t="shared" si="91"/>
        <v>#REF!</v>
      </c>
      <c r="R168" s="179" t="e">
        <f t="shared" si="91"/>
        <v>#REF!</v>
      </c>
      <c r="S168" s="179" t="e">
        <f t="shared" si="91"/>
        <v>#REF!</v>
      </c>
      <c r="T168" s="179" t="e">
        <f t="shared" si="91"/>
        <v>#REF!</v>
      </c>
      <c r="U168" s="179" t="e">
        <f t="shared" si="91"/>
        <v>#REF!</v>
      </c>
      <c r="V168" s="179" t="e">
        <f t="shared" si="91"/>
        <v>#REF!</v>
      </c>
      <c r="W168" s="179" t="e">
        <f t="shared" si="91"/>
        <v>#REF!</v>
      </c>
      <c r="X168" s="179" t="e">
        <f t="shared" si="91"/>
        <v>#REF!</v>
      </c>
      <c r="Y168" s="179" t="e">
        <f t="shared" si="91"/>
        <v>#REF!</v>
      </c>
      <c r="Z168" s="179" t="e">
        <f t="shared" si="91"/>
        <v>#REF!</v>
      </c>
      <c r="AA168" s="179" t="e">
        <f t="shared" si="91"/>
        <v>#REF!</v>
      </c>
      <c r="AB168" s="179" t="e">
        <f t="shared" si="91"/>
        <v>#REF!</v>
      </c>
      <c r="AC168" s="179" t="e">
        <f t="shared" si="91"/>
        <v>#REF!</v>
      </c>
      <c r="AD168" s="179" t="e">
        <f t="shared" si="91"/>
        <v>#REF!</v>
      </c>
      <c r="AE168" s="179" t="e">
        <f t="shared" si="91"/>
        <v>#REF!</v>
      </c>
      <c r="AF168" s="179" t="e">
        <f t="shared" si="91"/>
        <v>#REF!</v>
      </c>
      <c r="AG168" s="179" t="e">
        <f t="shared" si="91"/>
        <v>#REF!</v>
      </c>
    </row>
    <row r="169" spans="1:33">
      <c r="A169" s="173" t="s">
        <v>425</v>
      </c>
      <c r="B169" s="173" t="s">
        <v>309</v>
      </c>
      <c r="C169" s="179">
        <v>0</v>
      </c>
      <c r="D169" s="179">
        <v>0</v>
      </c>
      <c r="E169" s="179">
        <v>0</v>
      </c>
      <c r="F169" s="179">
        <v>0</v>
      </c>
      <c r="G169" s="179">
        <v>367500</v>
      </c>
      <c r="H169" s="179">
        <v>367500</v>
      </c>
      <c r="I169" s="179">
        <v>367500</v>
      </c>
      <c r="J169" s="179">
        <v>367500</v>
      </c>
      <c r="K169" s="179">
        <v>367500</v>
      </c>
      <c r="L169" s="179">
        <v>735000</v>
      </c>
      <c r="M169" s="179">
        <v>735000</v>
      </c>
      <c r="N169" s="179">
        <v>735000</v>
      </c>
      <c r="O169" s="179">
        <v>735000</v>
      </c>
      <c r="P169" s="179">
        <v>735000</v>
      </c>
      <c r="Q169" s="179">
        <v>735000</v>
      </c>
      <c r="R169" s="179">
        <v>735000</v>
      </c>
      <c r="S169" s="179">
        <v>735000</v>
      </c>
      <c r="T169" s="179">
        <v>735000</v>
      </c>
      <c r="U169" s="179">
        <v>735000</v>
      </c>
      <c r="V169" s="179">
        <v>735000</v>
      </c>
      <c r="W169" s="179">
        <v>735000</v>
      </c>
      <c r="X169" s="179">
        <v>735000</v>
      </c>
      <c r="Y169" s="179">
        <v>735000</v>
      </c>
      <c r="Z169" s="179">
        <v>735000</v>
      </c>
      <c r="AA169" s="179">
        <v>735000</v>
      </c>
      <c r="AB169" s="179">
        <v>735000</v>
      </c>
      <c r="AC169" s="179">
        <v>735000</v>
      </c>
      <c r="AD169" s="179">
        <v>735000</v>
      </c>
      <c r="AE169" s="179">
        <v>735000</v>
      </c>
      <c r="AF169" s="179">
        <v>735000</v>
      </c>
      <c r="AG169" s="179">
        <v>735000</v>
      </c>
    </row>
    <row r="170" spans="1:33">
      <c r="A170" s="173" t="s">
        <v>319</v>
      </c>
      <c r="B170" s="173" t="s">
        <v>309</v>
      </c>
      <c r="C170" s="277" t="e">
        <f>((C163)*$C$34)</f>
        <v>#REF!</v>
      </c>
      <c r="D170" s="277" t="e">
        <f t="shared" ref="D170:AG170" si="92">((D163)*$C$34)</f>
        <v>#REF!</v>
      </c>
      <c r="E170" s="277" t="e">
        <f t="shared" si="92"/>
        <v>#REF!</v>
      </c>
      <c r="F170" s="277" t="e">
        <f t="shared" si="92"/>
        <v>#REF!</v>
      </c>
      <c r="G170" s="277" t="e">
        <f t="shared" si="92"/>
        <v>#REF!</v>
      </c>
      <c r="H170" s="277" t="e">
        <f t="shared" si="92"/>
        <v>#REF!</v>
      </c>
      <c r="I170" s="277" t="e">
        <f t="shared" si="92"/>
        <v>#REF!</v>
      </c>
      <c r="J170" s="277" t="e">
        <f t="shared" si="92"/>
        <v>#REF!</v>
      </c>
      <c r="K170" s="277" t="e">
        <f t="shared" si="92"/>
        <v>#REF!</v>
      </c>
      <c r="L170" s="277" t="e">
        <f t="shared" si="92"/>
        <v>#REF!</v>
      </c>
      <c r="M170" s="277" t="e">
        <f t="shared" si="92"/>
        <v>#REF!</v>
      </c>
      <c r="N170" s="277" t="e">
        <f t="shared" si="92"/>
        <v>#REF!</v>
      </c>
      <c r="O170" s="277" t="e">
        <f t="shared" si="92"/>
        <v>#REF!</v>
      </c>
      <c r="P170" s="277" t="e">
        <f t="shared" si="92"/>
        <v>#REF!</v>
      </c>
      <c r="Q170" s="277" t="e">
        <f t="shared" si="92"/>
        <v>#REF!</v>
      </c>
      <c r="R170" s="277" t="e">
        <f t="shared" si="92"/>
        <v>#REF!</v>
      </c>
      <c r="S170" s="277" t="e">
        <f t="shared" si="92"/>
        <v>#REF!</v>
      </c>
      <c r="T170" s="277" t="e">
        <f t="shared" si="92"/>
        <v>#REF!</v>
      </c>
      <c r="U170" s="277" t="e">
        <f t="shared" si="92"/>
        <v>#REF!</v>
      </c>
      <c r="V170" s="277" t="e">
        <f t="shared" si="92"/>
        <v>#REF!</v>
      </c>
      <c r="W170" s="277" t="e">
        <f t="shared" si="92"/>
        <v>#REF!</v>
      </c>
      <c r="X170" s="277" t="e">
        <f t="shared" si="92"/>
        <v>#REF!</v>
      </c>
      <c r="Y170" s="277" t="e">
        <f t="shared" si="92"/>
        <v>#REF!</v>
      </c>
      <c r="Z170" s="277" t="e">
        <f t="shared" si="92"/>
        <v>#REF!</v>
      </c>
      <c r="AA170" s="277" t="e">
        <f t="shared" si="92"/>
        <v>#REF!</v>
      </c>
      <c r="AB170" s="277" t="e">
        <f t="shared" si="92"/>
        <v>#REF!</v>
      </c>
      <c r="AC170" s="277" t="e">
        <f t="shared" si="92"/>
        <v>#REF!</v>
      </c>
      <c r="AD170" s="277" t="e">
        <f t="shared" si="92"/>
        <v>#REF!</v>
      </c>
      <c r="AE170" s="277" t="e">
        <f t="shared" si="92"/>
        <v>#REF!</v>
      </c>
      <c r="AF170" s="277" t="e">
        <f t="shared" si="92"/>
        <v>#REF!</v>
      </c>
      <c r="AG170" s="277" t="e">
        <f t="shared" si="92"/>
        <v>#REF!</v>
      </c>
    </row>
    <row r="171" spans="1:33" s="247" customFormat="1" ht="11.85" customHeight="1">
      <c r="A171" s="270" t="s">
        <v>414</v>
      </c>
      <c r="C171" s="27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  <c r="AC171" s="273"/>
      <c r="AD171" s="273"/>
      <c r="AE171" s="273"/>
      <c r="AF171" s="273"/>
      <c r="AG171" s="273"/>
    </row>
    <row r="172" spans="1:33">
      <c r="A172" s="173" t="s">
        <v>325</v>
      </c>
      <c r="B172" s="173" t="s">
        <v>313</v>
      </c>
      <c r="C172" s="179" t="e">
        <f t="shared" ref="C172:AG172" si="93">-PMT($C$33,$C$31,C161-C164)</f>
        <v>#REF!</v>
      </c>
      <c r="D172" s="179" t="e">
        <f t="shared" si="93"/>
        <v>#REF!</v>
      </c>
      <c r="E172" s="179" t="e">
        <f t="shared" si="93"/>
        <v>#REF!</v>
      </c>
      <c r="F172" s="179" t="e">
        <f t="shared" si="93"/>
        <v>#REF!</v>
      </c>
      <c r="G172" s="179" t="e">
        <f t="shared" si="93"/>
        <v>#REF!</v>
      </c>
      <c r="H172" s="179" t="e">
        <f t="shared" si="93"/>
        <v>#REF!</v>
      </c>
      <c r="I172" s="179" t="e">
        <f t="shared" si="93"/>
        <v>#REF!</v>
      </c>
      <c r="J172" s="179" t="e">
        <f t="shared" si="93"/>
        <v>#REF!</v>
      </c>
      <c r="K172" s="179" t="e">
        <f t="shared" si="93"/>
        <v>#REF!</v>
      </c>
      <c r="L172" s="179" t="e">
        <f t="shared" si="93"/>
        <v>#REF!</v>
      </c>
      <c r="M172" s="179" t="e">
        <f t="shared" si="93"/>
        <v>#REF!</v>
      </c>
      <c r="N172" s="179" t="e">
        <f t="shared" si="93"/>
        <v>#REF!</v>
      </c>
      <c r="O172" s="179" t="e">
        <f t="shared" si="93"/>
        <v>#REF!</v>
      </c>
      <c r="P172" s="179" t="e">
        <f t="shared" si="93"/>
        <v>#REF!</v>
      </c>
      <c r="Q172" s="179" t="e">
        <f t="shared" si="93"/>
        <v>#REF!</v>
      </c>
      <c r="R172" s="179" t="e">
        <f t="shared" si="93"/>
        <v>#REF!</v>
      </c>
      <c r="S172" s="179" t="e">
        <f t="shared" si="93"/>
        <v>#REF!</v>
      </c>
      <c r="T172" s="179" t="e">
        <f t="shared" si="93"/>
        <v>#REF!</v>
      </c>
      <c r="U172" s="179" t="e">
        <f t="shared" si="93"/>
        <v>#REF!</v>
      </c>
      <c r="V172" s="179" t="e">
        <f t="shared" si="93"/>
        <v>#REF!</v>
      </c>
      <c r="W172" s="179" t="e">
        <f t="shared" si="93"/>
        <v>#REF!</v>
      </c>
      <c r="X172" s="179" t="e">
        <f t="shared" si="93"/>
        <v>#REF!</v>
      </c>
      <c r="Y172" s="179" t="e">
        <f t="shared" si="93"/>
        <v>#REF!</v>
      </c>
      <c r="Z172" s="179" t="e">
        <f t="shared" si="93"/>
        <v>#REF!</v>
      </c>
      <c r="AA172" s="179" t="e">
        <f t="shared" si="93"/>
        <v>#REF!</v>
      </c>
      <c r="AB172" s="179" t="e">
        <f t="shared" si="93"/>
        <v>#REF!</v>
      </c>
      <c r="AC172" s="179" t="e">
        <f t="shared" si="93"/>
        <v>#REF!</v>
      </c>
      <c r="AD172" s="179" t="e">
        <f t="shared" si="93"/>
        <v>#REF!</v>
      </c>
      <c r="AE172" s="179" t="e">
        <f t="shared" si="93"/>
        <v>#REF!</v>
      </c>
      <c r="AF172" s="179" t="e">
        <f t="shared" si="93"/>
        <v>#REF!</v>
      </c>
      <c r="AG172" s="179" t="e">
        <f t="shared" si="93"/>
        <v>#REF!</v>
      </c>
    </row>
    <row r="173" spans="1:33">
      <c r="A173" s="173" t="s">
        <v>426</v>
      </c>
      <c r="B173" s="173" t="s">
        <v>313</v>
      </c>
      <c r="C173" s="179" t="e">
        <f t="shared" ref="C173:AG173" si="94">-PMT($C$33,$C$165,C158)</f>
        <v>#REF!</v>
      </c>
      <c r="D173" s="179" t="e">
        <f t="shared" si="94"/>
        <v>#REF!</v>
      </c>
      <c r="E173" s="179" t="e">
        <f t="shared" si="94"/>
        <v>#REF!</v>
      </c>
      <c r="F173" s="179" t="e">
        <f t="shared" si="94"/>
        <v>#REF!</v>
      </c>
      <c r="G173" s="179" t="e">
        <f t="shared" si="94"/>
        <v>#REF!</v>
      </c>
      <c r="H173" s="179" t="e">
        <f t="shared" si="94"/>
        <v>#REF!</v>
      </c>
      <c r="I173" s="179" t="e">
        <f t="shared" si="94"/>
        <v>#REF!</v>
      </c>
      <c r="J173" s="179" t="e">
        <f t="shared" si="94"/>
        <v>#REF!</v>
      </c>
      <c r="K173" s="179" t="e">
        <f t="shared" si="94"/>
        <v>#REF!</v>
      </c>
      <c r="L173" s="179" t="e">
        <f t="shared" si="94"/>
        <v>#REF!</v>
      </c>
      <c r="M173" s="179" t="e">
        <f t="shared" si="94"/>
        <v>#REF!</v>
      </c>
      <c r="N173" s="179" t="e">
        <f t="shared" si="94"/>
        <v>#REF!</v>
      </c>
      <c r="O173" s="179" t="e">
        <f t="shared" si="94"/>
        <v>#REF!</v>
      </c>
      <c r="P173" s="179" t="e">
        <f t="shared" si="94"/>
        <v>#REF!</v>
      </c>
      <c r="Q173" s="179" t="e">
        <f t="shared" si="94"/>
        <v>#REF!</v>
      </c>
      <c r="R173" s="179" t="e">
        <f t="shared" si="94"/>
        <v>#REF!</v>
      </c>
      <c r="S173" s="179" t="e">
        <f t="shared" si="94"/>
        <v>#REF!</v>
      </c>
      <c r="T173" s="179" t="e">
        <f t="shared" si="94"/>
        <v>#REF!</v>
      </c>
      <c r="U173" s="179" t="e">
        <f t="shared" si="94"/>
        <v>#REF!</v>
      </c>
      <c r="V173" s="179" t="e">
        <f t="shared" si="94"/>
        <v>#REF!</v>
      </c>
      <c r="W173" s="179" t="e">
        <f t="shared" si="94"/>
        <v>#REF!</v>
      </c>
      <c r="X173" s="179" t="e">
        <f t="shared" si="94"/>
        <v>#REF!</v>
      </c>
      <c r="Y173" s="179" t="e">
        <f t="shared" si="94"/>
        <v>#REF!</v>
      </c>
      <c r="Z173" s="179" t="e">
        <f t="shared" si="94"/>
        <v>#REF!</v>
      </c>
      <c r="AA173" s="179" t="e">
        <f t="shared" si="94"/>
        <v>#REF!</v>
      </c>
      <c r="AB173" s="179" t="e">
        <f t="shared" si="94"/>
        <v>#REF!</v>
      </c>
      <c r="AC173" s="179" t="e">
        <f t="shared" si="94"/>
        <v>#REF!</v>
      </c>
      <c r="AD173" s="179" t="e">
        <f t="shared" si="94"/>
        <v>#REF!</v>
      </c>
      <c r="AE173" s="179" t="e">
        <f t="shared" si="94"/>
        <v>#REF!</v>
      </c>
      <c r="AF173" s="179" t="e">
        <f t="shared" si="94"/>
        <v>#REF!</v>
      </c>
      <c r="AG173" s="179" t="e">
        <f t="shared" si="94"/>
        <v>#REF!</v>
      </c>
    </row>
    <row r="174" spans="1:33">
      <c r="A174" s="173" t="s">
        <v>330</v>
      </c>
      <c r="B174" s="173" t="s">
        <v>313</v>
      </c>
      <c r="C174" s="179" t="e">
        <f t="shared" ref="C174:AG175" si="95">C166</f>
        <v>#REF!</v>
      </c>
      <c r="D174" s="179" t="e">
        <f t="shared" si="95"/>
        <v>#REF!</v>
      </c>
      <c r="E174" s="179" t="e">
        <f t="shared" si="95"/>
        <v>#REF!</v>
      </c>
      <c r="F174" s="179" t="e">
        <f t="shared" si="95"/>
        <v>#REF!</v>
      </c>
      <c r="G174" s="179" t="e">
        <f t="shared" si="95"/>
        <v>#REF!</v>
      </c>
      <c r="H174" s="179" t="e">
        <f t="shared" si="95"/>
        <v>#REF!</v>
      </c>
      <c r="I174" s="179" t="e">
        <f t="shared" si="95"/>
        <v>#REF!</v>
      </c>
      <c r="J174" s="179" t="e">
        <f t="shared" si="95"/>
        <v>#REF!</v>
      </c>
      <c r="K174" s="179" t="e">
        <f t="shared" si="95"/>
        <v>#REF!</v>
      </c>
      <c r="L174" s="179" t="e">
        <f t="shared" si="95"/>
        <v>#REF!</v>
      </c>
      <c r="M174" s="179" t="e">
        <f t="shared" si="95"/>
        <v>#REF!</v>
      </c>
      <c r="N174" s="179" t="e">
        <f t="shared" si="95"/>
        <v>#REF!</v>
      </c>
      <c r="O174" s="179" t="e">
        <f t="shared" si="95"/>
        <v>#REF!</v>
      </c>
      <c r="P174" s="179" t="e">
        <f t="shared" si="95"/>
        <v>#REF!</v>
      </c>
      <c r="Q174" s="179" t="e">
        <f t="shared" si="95"/>
        <v>#REF!</v>
      </c>
      <c r="R174" s="179" t="e">
        <f t="shared" si="95"/>
        <v>#REF!</v>
      </c>
      <c r="S174" s="179" t="e">
        <f t="shared" si="95"/>
        <v>#REF!</v>
      </c>
      <c r="T174" s="179" t="e">
        <f t="shared" si="95"/>
        <v>#REF!</v>
      </c>
      <c r="U174" s="179" t="e">
        <f t="shared" si="95"/>
        <v>#REF!</v>
      </c>
      <c r="V174" s="179" t="e">
        <f t="shared" si="95"/>
        <v>#REF!</v>
      </c>
      <c r="W174" s="179" t="e">
        <f t="shared" si="95"/>
        <v>#REF!</v>
      </c>
      <c r="X174" s="179" t="e">
        <f t="shared" si="95"/>
        <v>#REF!</v>
      </c>
      <c r="Y174" s="179" t="e">
        <f t="shared" si="95"/>
        <v>#REF!</v>
      </c>
      <c r="Z174" s="179" t="e">
        <f t="shared" si="95"/>
        <v>#REF!</v>
      </c>
      <c r="AA174" s="179" t="e">
        <f t="shared" si="95"/>
        <v>#REF!</v>
      </c>
      <c r="AB174" s="179" t="e">
        <f t="shared" si="95"/>
        <v>#REF!</v>
      </c>
      <c r="AC174" s="179" t="e">
        <f t="shared" si="95"/>
        <v>#REF!</v>
      </c>
      <c r="AD174" s="179" t="e">
        <f t="shared" si="95"/>
        <v>#REF!</v>
      </c>
      <c r="AE174" s="179" t="e">
        <f t="shared" si="95"/>
        <v>#REF!</v>
      </c>
      <c r="AF174" s="179" t="e">
        <f t="shared" si="95"/>
        <v>#REF!</v>
      </c>
      <c r="AG174" s="179" t="e">
        <f t="shared" si="95"/>
        <v>#REF!</v>
      </c>
    </row>
    <row r="175" spans="1:33">
      <c r="A175" s="173" t="str">
        <f>A167</f>
        <v>Maintenance</v>
      </c>
      <c r="B175" s="173" t="s">
        <v>309</v>
      </c>
      <c r="C175" s="179" t="e">
        <f t="shared" si="95"/>
        <v>#REF!</v>
      </c>
      <c r="D175" s="179" t="e">
        <f t="shared" si="95"/>
        <v>#REF!</v>
      </c>
      <c r="E175" s="179" t="e">
        <f t="shared" si="95"/>
        <v>#REF!</v>
      </c>
      <c r="F175" s="179" t="e">
        <f t="shared" si="95"/>
        <v>#REF!</v>
      </c>
      <c r="G175" s="179" t="e">
        <f t="shared" si="95"/>
        <v>#REF!</v>
      </c>
      <c r="H175" s="179" t="e">
        <f t="shared" si="95"/>
        <v>#REF!</v>
      </c>
      <c r="I175" s="179" t="e">
        <f t="shared" si="95"/>
        <v>#REF!</v>
      </c>
      <c r="J175" s="179" t="e">
        <f t="shared" si="95"/>
        <v>#REF!</v>
      </c>
      <c r="K175" s="179" t="e">
        <f t="shared" si="95"/>
        <v>#REF!</v>
      </c>
      <c r="L175" s="179" t="e">
        <f t="shared" si="95"/>
        <v>#REF!</v>
      </c>
      <c r="M175" s="179" t="e">
        <f t="shared" si="95"/>
        <v>#REF!</v>
      </c>
      <c r="N175" s="179" t="e">
        <f t="shared" si="95"/>
        <v>#REF!</v>
      </c>
      <c r="O175" s="179" t="e">
        <f t="shared" si="95"/>
        <v>#REF!</v>
      </c>
      <c r="P175" s="179" t="e">
        <f t="shared" si="95"/>
        <v>#REF!</v>
      </c>
      <c r="Q175" s="179" t="e">
        <f t="shared" si="95"/>
        <v>#REF!</v>
      </c>
      <c r="R175" s="179" t="e">
        <f t="shared" si="95"/>
        <v>#REF!</v>
      </c>
      <c r="S175" s="179" t="e">
        <f t="shared" si="95"/>
        <v>#REF!</v>
      </c>
      <c r="T175" s="179" t="e">
        <f t="shared" si="95"/>
        <v>#REF!</v>
      </c>
      <c r="U175" s="179" t="e">
        <f t="shared" si="95"/>
        <v>#REF!</v>
      </c>
      <c r="V175" s="179" t="e">
        <f t="shared" si="95"/>
        <v>#REF!</v>
      </c>
      <c r="W175" s="179" t="e">
        <f t="shared" si="95"/>
        <v>#REF!</v>
      </c>
      <c r="X175" s="179" t="e">
        <f t="shared" si="95"/>
        <v>#REF!</v>
      </c>
      <c r="Y175" s="179" t="e">
        <f t="shared" si="95"/>
        <v>#REF!</v>
      </c>
      <c r="Z175" s="179" t="e">
        <f t="shared" si="95"/>
        <v>#REF!</v>
      </c>
      <c r="AA175" s="179" t="e">
        <f t="shared" si="95"/>
        <v>#REF!</v>
      </c>
      <c r="AB175" s="179" t="e">
        <f t="shared" si="95"/>
        <v>#REF!</v>
      </c>
      <c r="AC175" s="179" t="e">
        <f t="shared" si="95"/>
        <v>#REF!</v>
      </c>
      <c r="AD175" s="179" t="e">
        <f t="shared" si="95"/>
        <v>#REF!</v>
      </c>
      <c r="AE175" s="179" t="e">
        <f t="shared" si="95"/>
        <v>#REF!</v>
      </c>
      <c r="AF175" s="179" t="e">
        <f t="shared" si="95"/>
        <v>#REF!</v>
      </c>
      <c r="AG175" s="179" t="e">
        <f t="shared" si="95"/>
        <v>#REF!</v>
      </c>
    </row>
    <row r="176" spans="1:33">
      <c r="A176" s="173" t="str">
        <f>A168</f>
        <v>Toll Tax without waiver</v>
      </c>
      <c r="B176" s="173" t="str">
        <f>B168</f>
        <v>INR</v>
      </c>
      <c r="C176" s="179" t="e">
        <f t="shared" ref="C176:AG176" si="96">$C$16*$C$27*$C$28</f>
        <v>#REF!</v>
      </c>
      <c r="D176" s="179" t="e">
        <f t="shared" si="96"/>
        <v>#REF!</v>
      </c>
      <c r="E176" s="179" t="e">
        <f t="shared" si="96"/>
        <v>#REF!</v>
      </c>
      <c r="F176" s="179" t="e">
        <f t="shared" si="96"/>
        <v>#REF!</v>
      </c>
      <c r="G176" s="179" t="e">
        <f t="shared" si="96"/>
        <v>#REF!</v>
      </c>
      <c r="H176" s="179" t="e">
        <f t="shared" si="96"/>
        <v>#REF!</v>
      </c>
      <c r="I176" s="179" t="e">
        <f t="shared" si="96"/>
        <v>#REF!</v>
      </c>
      <c r="J176" s="179" t="e">
        <f t="shared" si="96"/>
        <v>#REF!</v>
      </c>
      <c r="K176" s="179" t="e">
        <f t="shared" si="96"/>
        <v>#REF!</v>
      </c>
      <c r="L176" s="179" t="e">
        <f t="shared" si="96"/>
        <v>#REF!</v>
      </c>
      <c r="M176" s="179" t="e">
        <f t="shared" si="96"/>
        <v>#REF!</v>
      </c>
      <c r="N176" s="179" t="e">
        <f t="shared" si="96"/>
        <v>#REF!</v>
      </c>
      <c r="O176" s="179" t="e">
        <f t="shared" si="96"/>
        <v>#REF!</v>
      </c>
      <c r="P176" s="179" t="e">
        <f t="shared" si="96"/>
        <v>#REF!</v>
      </c>
      <c r="Q176" s="179" t="e">
        <f t="shared" si="96"/>
        <v>#REF!</v>
      </c>
      <c r="R176" s="179" t="e">
        <f t="shared" si="96"/>
        <v>#REF!</v>
      </c>
      <c r="S176" s="179" t="e">
        <f t="shared" si="96"/>
        <v>#REF!</v>
      </c>
      <c r="T176" s="179" t="e">
        <f t="shared" si="96"/>
        <v>#REF!</v>
      </c>
      <c r="U176" s="179" t="e">
        <f t="shared" si="96"/>
        <v>#REF!</v>
      </c>
      <c r="V176" s="179" t="e">
        <f t="shared" si="96"/>
        <v>#REF!</v>
      </c>
      <c r="W176" s="179" t="e">
        <f t="shared" si="96"/>
        <v>#REF!</v>
      </c>
      <c r="X176" s="179" t="e">
        <f t="shared" si="96"/>
        <v>#REF!</v>
      </c>
      <c r="Y176" s="179" t="e">
        <f t="shared" si="96"/>
        <v>#REF!</v>
      </c>
      <c r="Z176" s="179" t="e">
        <f t="shared" si="96"/>
        <v>#REF!</v>
      </c>
      <c r="AA176" s="179" t="e">
        <f t="shared" si="96"/>
        <v>#REF!</v>
      </c>
      <c r="AB176" s="179" t="e">
        <f t="shared" si="96"/>
        <v>#REF!</v>
      </c>
      <c r="AC176" s="179" t="e">
        <f t="shared" si="96"/>
        <v>#REF!</v>
      </c>
      <c r="AD176" s="179" t="e">
        <f t="shared" si="96"/>
        <v>#REF!</v>
      </c>
      <c r="AE176" s="179" t="e">
        <f t="shared" si="96"/>
        <v>#REF!</v>
      </c>
      <c r="AF176" s="179" t="e">
        <f t="shared" si="96"/>
        <v>#REF!</v>
      </c>
      <c r="AG176" s="179" t="e">
        <f t="shared" si="96"/>
        <v>#REF!</v>
      </c>
    </row>
    <row r="177" spans="1:33">
      <c r="A177" s="173" t="s">
        <v>319</v>
      </c>
      <c r="B177" s="173" t="s">
        <v>309</v>
      </c>
      <c r="C177" s="179" t="e">
        <f t="shared" ref="C177:AG177" si="97">C170</f>
        <v>#REF!</v>
      </c>
      <c r="D177" s="179" t="e">
        <f t="shared" si="97"/>
        <v>#REF!</v>
      </c>
      <c r="E177" s="179" t="e">
        <f t="shared" si="97"/>
        <v>#REF!</v>
      </c>
      <c r="F177" s="179" t="e">
        <f t="shared" si="97"/>
        <v>#REF!</v>
      </c>
      <c r="G177" s="179" t="e">
        <f t="shared" si="97"/>
        <v>#REF!</v>
      </c>
      <c r="H177" s="179" t="e">
        <f t="shared" si="97"/>
        <v>#REF!</v>
      </c>
      <c r="I177" s="179" t="e">
        <f t="shared" si="97"/>
        <v>#REF!</v>
      </c>
      <c r="J177" s="179" t="e">
        <f t="shared" si="97"/>
        <v>#REF!</v>
      </c>
      <c r="K177" s="179" t="e">
        <f t="shared" si="97"/>
        <v>#REF!</v>
      </c>
      <c r="L177" s="179" t="e">
        <f t="shared" si="97"/>
        <v>#REF!</v>
      </c>
      <c r="M177" s="179" t="e">
        <f t="shared" si="97"/>
        <v>#REF!</v>
      </c>
      <c r="N177" s="179" t="e">
        <f t="shared" si="97"/>
        <v>#REF!</v>
      </c>
      <c r="O177" s="179" t="e">
        <f t="shared" si="97"/>
        <v>#REF!</v>
      </c>
      <c r="P177" s="179" t="e">
        <f t="shared" si="97"/>
        <v>#REF!</v>
      </c>
      <c r="Q177" s="179" t="e">
        <f t="shared" si="97"/>
        <v>#REF!</v>
      </c>
      <c r="R177" s="179" t="e">
        <f t="shared" si="97"/>
        <v>#REF!</v>
      </c>
      <c r="S177" s="179" t="e">
        <f t="shared" si="97"/>
        <v>#REF!</v>
      </c>
      <c r="T177" s="179" t="e">
        <f t="shared" si="97"/>
        <v>#REF!</v>
      </c>
      <c r="U177" s="179" t="e">
        <f t="shared" si="97"/>
        <v>#REF!</v>
      </c>
      <c r="V177" s="179" t="e">
        <f t="shared" si="97"/>
        <v>#REF!</v>
      </c>
      <c r="W177" s="179" t="e">
        <f t="shared" si="97"/>
        <v>#REF!</v>
      </c>
      <c r="X177" s="179" t="e">
        <f t="shared" si="97"/>
        <v>#REF!</v>
      </c>
      <c r="Y177" s="179" t="e">
        <f t="shared" si="97"/>
        <v>#REF!</v>
      </c>
      <c r="Z177" s="179" t="e">
        <f t="shared" si="97"/>
        <v>#REF!</v>
      </c>
      <c r="AA177" s="179" t="e">
        <f t="shared" si="97"/>
        <v>#REF!</v>
      </c>
      <c r="AB177" s="179" t="e">
        <f t="shared" si="97"/>
        <v>#REF!</v>
      </c>
      <c r="AC177" s="179" t="e">
        <f t="shared" si="97"/>
        <v>#REF!</v>
      </c>
      <c r="AD177" s="179" t="e">
        <f t="shared" si="97"/>
        <v>#REF!</v>
      </c>
      <c r="AE177" s="179" t="e">
        <f t="shared" si="97"/>
        <v>#REF!</v>
      </c>
      <c r="AF177" s="179" t="e">
        <f t="shared" si="97"/>
        <v>#REF!</v>
      </c>
      <c r="AG177" s="179" t="e">
        <f t="shared" si="97"/>
        <v>#REF!</v>
      </c>
    </row>
    <row r="178" spans="1:33" s="247" customFormat="1" ht="11.85" customHeight="1">
      <c r="A178" s="270" t="s">
        <v>320</v>
      </c>
      <c r="C178" s="273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</row>
    <row r="179" spans="1:33">
      <c r="A179" s="173" t="s">
        <v>427</v>
      </c>
      <c r="B179" s="173" t="s">
        <v>300</v>
      </c>
      <c r="C179" s="179" t="e">
        <f t="shared" ref="C179:AG179" si="98">(C172+C173)/($C$28*$C$27)</f>
        <v>#REF!</v>
      </c>
      <c r="D179" s="179" t="e">
        <f t="shared" si="98"/>
        <v>#REF!</v>
      </c>
      <c r="E179" s="179" t="e">
        <f t="shared" si="98"/>
        <v>#REF!</v>
      </c>
      <c r="F179" s="179" t="e">
        <f t="shared" si="98"/>
        <v>#REF!</v>
      </c>
      <c r="G179" s="279" t="e">
        <f t="shared" si="98"/>
        <v>#REF!</v>
      </c>
      <c r="H179" s="279" t="e">
        <f t="shared" si="98"/>
        <v>#REF!</v>
      </c>
      <c r="I179" s="279" t="e">
        <f t="shared" si="98"/>
        <v>#REF!</v>
      </c>
      <c r="J179" s="179" t="e">
        <f t="shared" si="98"/>
        <v>#REF!</v>
      </c>
      <c r="K179" s="179" t="e">
        <f t="shared" si="98"/>
        <v>#REF!</v>
      </c>
      <c r="L179" s="179" t="e">
        <f t="shared" si="98"/>
        <v>#REF!</v>
      </c>
      <c r="M179" s="179" t="e">
        <f t="shared" si="98"/>
        <v>#REF!</v>
      </c>
      <c r="N179" s="179" t="e">
        <f t="shared" si="98"/>
        <v>#REF!</v>
      </c>
      <c r="O179" s="179" t="e">
        <f t="shared" si="98"/>
        <v>#REF!</v>
      </c>
      <c r="P179" s="179" t="e">
        <f t="shared" si="98"/>
        <v>#REF!</v>
      </c>
      <c r="Q179" s="179" t="e">
        <f t="shared" si="98"/>
        <v>#REF!</v>
      </c>
      <c r="R179" s="179" t="e">
        <f t="shared" si="98"/>
        <v>#REF!</v>
      </c>
      <c r="S179" s="179" t="e">
        <f t="shared" si="98"/>
        <v>#REF!</v>
      </c>
      <c r="T179" s="179" t="e">
        <f t="shared" si="98"/>
        <v>#REF!</v>
      </c>
      <c r="U179" s="179" t="e">
        <f t="shared" si="98"/>
        <v>#REF!</v>
      </c>
      <c r="V179" s="179" t="e">
        <f t="shared" si="98"/>
        <v>#REF!</v>
      </c>
      <c r="W179" s="179" t="e">
        <f t="shared" si="98"/>
        <v>#REF!</v>
      </c>
      <c r="X179" s="179" t="e">
        <f t="shared" si="98"/>
        <v>#REF!</v>
      </c>
      <c r="Y179" s="179" t="e">
        <f t="shared" si="98"/>
        <v>#REF!</v>
      </c>
      <c r="Z179" s="179" t="e">
        <f t="shared" si="98"/>
        <v>#REF!</v>
      </c>
      <c r="AA179" s="179" t="e">
        <f t="shared" si="98"/>
        <v>#REF!</v>
      </c>
      <c r="AB179" s="179" t="e">
        <f t="shared" si="98"/>
        <v>#REF!</v>
      </c>
      <c r="AC179" s="179" t="e">
        <f t="shared" si="98"/>
        <v>#REF!</v>
      </c>
      <c r="AD179" s="179" t="e">
        <f t="shared" si="98"/>
        <v>#REF!</v>
      </c>
      <c r="AE179" s="179" t="e">
        <f t="shared" si="98"/>
        <v>#REF!</v>
      </c>
      <c r="AF179" s="179" t="e">
        <f t="shared" si="98"/>
        <v>#REF!</v>
      </c>
      <c r="AG179" s="179" t="e">
        <f t="shared" si="98"/>
        <v>#REF!</v>
      </c>
    </row>
    <row r="180" spans="1:33">
      <c r="A180" s="173" t="s">
        <v>321</v>
      </c>
      <c r="B180" s="173" t="s">
        <v>300</v>
      </c>
      <c r="C180" s="179" t="e">
        <f t="shared" ref="C180:AG180" si="99">C174/($C$28*$C$27)</f>
        <v>#REF!</v>
      </c>
      <c r="D180" s="179" t="e">
        <f t="shared" si="99"/>
        <v>#REF!</v>
      </c>
      <c r="E180" s="179" t="e">
        <f t="shared" si="99"/>
        <v>#REF!</v>
      </c>
      <c r="F180" s="179" t="e">
        <f t="shared" si="99"/>
        <v>#REF!</v>
      </c>
      <c r="G180" s="279" t="e">
        <f t="shared" si="99"/>
        <v>#REF!</v>
      </c>
      <c r="H180" s="279" t="e">
        <f t="shared" si="99"/>
        <v>#REF!</v>
      </c>
      <c r="I180" s="279" t="e">
        <f t="shared" si="99"/>
        <v>#REF!</v>
      </c>
      <c r="J180" s="179" t="e">
        <f t="shared" si="99"/>
        <v>#REF!</v>
      </c>
      <c r="K180" s="179" t="e">
        <f t="shared" si="99"/>
        <v>#REF!</v>
      </c>
      <c r="L180" s="179" t="e">
        <f t="shared" si="99"/>
        <v>#REF!</v>
      </c>
      <c r="M180" s="179" t="e">
        <f t="shared" si="99"/>
        <v>#REF!</v>
      </c>
      <c r="N180" s="179" t="e">
        <f t="shared" si="99"/>
        <v>#REF!</v>
      </c>
      <c r="O180" s="179" t="e">
        <f t="shared" si="99"/>
        <v>#REF!</v>
      </c>
      <c r="P180" s="179" t="e">
        <f t="shared" si="99"/>
        <v>#REF!</v>
      </c>
      <c r="Q180" s="179" t="e">
        <f t="shared" si="99"/>
        <v>#REF!</v>
      </c>
      <c r="R180" s="179" t="e">
        <f t="shared" si="99"/>
        <v>#REF!</v>
      </c>
      <c r="S180" s="179" t="e">
        <f t="shared" si="99"/>
        <v>#REF!</v>
      </c>
      <c r="T180" s="179" t="e">
        <f t="shared" si="99"/>
        <v>#REF!</v>
      </c>
      <c r="U180" s="179" t="e">
        <f t="shared" si="99"/>
        <v>#REF!</v>
      </c>
      <c r="V180" s="179" t="e">
        <f t="shared" si="99"/>
        <v>#REF!</v>
      </c>
      <c r="W180" s="179" t="e">
        <f t="shared" si="99"/>
        <v>#REF!</v>
      </c>
      <c r="X180" s="179" t="e">
        <f t="shared" si="99"/>
        <v>#REF!</v>
      </c>
      <c r="Y180" s="179" t="e">
        <f t="shared" si="99"/>
        <v>#REF!</v>
      </c>
      <c r="Z180" s="179" t="e">
        <f t="shared" si="99"/>
        <v>#REF!</v>
      </c>
      <c r="AA180" s="179" t="e">
        <f t="shared" si="99"/>
        <v>#REF!</v>
      </c>
      <c r="AB180" s="179" t="e">
        <f t="shared" si="99"/>
        <v>#REF!</v>
      </c>
      <c r="AC180" s="179" t="e">
        <f t="shared" si="99"/>
        <v>#REF!</v>
      </c>
      <c r="AD180" s="179" t="e">
        <f t="shared" si="99"/>
        <v>#REF!</v>
      </c>
      <c r="AE180" s="179" t="e">
        <f t="shared" si="99"/>
        <v>#REF!</v>
      </c>
      <c r="AF180" s="179" t="e">
        <f t="shared" si="99"/>
        <v>#REF!</v>
      </c>
      <c r="AG180" s="179" t="e">
        <f t="shared" si="99"/>
        <v>#REF!</v>
      </c>
    </row>
    <row r="181" spans="1:33">
      <c r="A181" s="173" t="s">
        <v>322</v>
      </c>
      <c r="B181" s="173" t="s">
        <v>300</v>
      </c>
      <c r="C181" s="179" t="e">
        <f t="shared" ref="C181:AG181" si="100">(C167+C170+C71)/($C$28*$C$27)+C64</f>
        <v>#REF!</v>
      </c>
      <c r="D181" s="179" t="e">
        <f t="shared" si="100"/>
        <v>#REF!</v>
      </c>
      <c r="E181" s="179" t="e">
        <f t="shared" si="100"/>
        <v>#REF!</v>
      </c>
      <c r="F181" s="179" t="e">
        <f t="shared" si="100"/>
        <v>#REF!</v>
      </c>
      <c r="G181" s="179" t="e">
        <f t="shared" si="100"/>
        <v>#REF!</v>
      </c>
      <c r="H181" s="179" t="e">
        <f t="shared" si="100"/>
        <v>#REF!</v>
      </c>
      <c r="I181" s="179" t="e">
        <f t="shared" si="100"/>
        <v>#REF!</v>
      </c>
      <c r="J181" s="179" t="e">
        <f t="shared" si="100"/>
        <v>#REF!</v>
      </c>
      <c r="K181" s="179" t="e">
        <f t="shared" si="100"/>
        <v>#REF!</v>
      </c>
      <c r="L181" s="179" t="e">
        <f t="shared" si="100"/>
        <v>#REF!</v>
      </c>
      <c r="M181" s="179" t="e">
        <f t="shared" si="100"/>
        <v>#REF!</v>
      </c>
      <c r="N181" s="179" t="e">
        <f t="shared" si="100"/>
        <v>#REF!</v>
      </c>
      <c r="O181" s="179" t="e">
        <f t="shared" si="100"/>
        <v>#REF!</v>
      </c>
      <c r="P181" s="179" t="e">
        <f t="shared" si="100"/>
        <v>#REF!</v>
      </c>
      <c r="Q181" s="179" t="e">
        <f t="shared" si="100"/>
        <v>#REF!</v>
      </c>
      <c r="R181" s="179" t="e">
        <f t="shared" si="100"/>
        <v>#REF!</v>
      </c>
      <c r="S181" s="179" t="e">
        <f t="shared" si="100"/>
        <v>#REF!</v>
      </c>
      <c r="T181" s="179" t="e">
        <f t="shared" si="100"/>
        <v>#REF!</v>
      </c>
      <c r="U181" s="179" t="e">
        <f t="shared" si="100"/>
        <v>#REF!</v>
      </c>
      <c r="V181" s="179" t="e">
        <f t="shared" si="100"/>
        <v>#REF!</v>
      </c>
      <c r="W181" s="179" t="e">
        <f t="shared" si="100"/>
        <v>#REF!</v>
      </c>
      <c r="X181" s="179" t="e">
        <f t="shared" si="100"/>
        <v>#REF!</v>
      </c>
      <c r="Y181" s="179" t="e">
        <f t="shared" si="100"/>
        <v>#REF!</v>
      </c>
      <c r="Z181" s="179" t="e">
        <f t="shared" si="100"/>
        <v>#REF!</v>
      </c>
      <c r="AA181" s="179" t="e">
        <f t="shared" si="100"/>
        <v>#REF!</v>
      </c>
      <c r="AB181" s="179" t="e">
        <f t="shared" si="100"/>
        <v>#REF!</v>
      </c>
      <c r="AC181" s="179" t="e">
        <f t="shared" si="100"/>
        <v>#REF!</v>
      </c>
      <c r="AD181" s="179" t="e">
        <f t="shared" si="100"/>
        <v>#REF!</v>
      </c>
      <c r="AE181" s="179" t="e">
        <f t="shared" si="100"/>
        <v>#REF!</v>
      </c>
      <c r="AF181" s="179" t="e">
        <f t="shared" si="100"/>
        <v>#REF!</v>
      </c>
      <c r="AG181" s="179" t="e">
        <f t="shared" si="100"/>
        <v>#REF!</v>
      </c>
    </row>
    <row r="182" spans="1:33">
      <c r="C182" s="274" t="e">
        <f t="shared" ref="C182:AG182" si="101">SUM(C179:C181)</f>
        <v>#REF!</v>
      </c>
      <c r="D182" s="274" t="e">
        <f t="shared" si="101"/>
        <v>#REF!</v>
      </c>
      <c r="E182" s="274" t="e">
        <f t="shared" si="101"/>
        <v>#REF!</v>
      </c>
      <c r="F182" s="274" t="e">
        <f t="shared" si="101"/>
        <v>#REF!</v>
      </c>
      <c r="G182" s="274" t="e">
        <f t="shared" si="101"/>
        <v>#REF!</v>
      </c>
      <c r="H182" s="274" t="e">
        <f t="shared" si="101"/>
        <v>#REF!</v>
      </c>
      <c r="I182" s="274" t="e">
        <f t="shared" si="101"/>
        <v>#REF!</v>
      </c>
      <c r="J182" s="274" t="e">
        <f t="shared" si="101"/>
        <v>#REF!</v>
      </c>
      <c r="K182" s="274" t="e">
        <f t="shared" si="101"/>
        <v>#REF!</v>
      </c>
      <c r="L182" s="274" t="e">
        <f t="shared" si="101"/>
        <v>#REF!</v>
      </c>
      <c r="M182" s="274" t="e">
        <f t="shared" si="101"/>
        <v>#REF!</v>
      </c>
      <c r="N182" s="274" t="e">
        <f t="shared" si="101"/>
        <v>#REF!</v>
      </c>
      <c r="O182" s="274" t="e">
        <f t="shared" si="101"/>
        <v>#REF!</v>
      </c>
      <c r="P182" s="274" t="e">
        <f t="shared" si="101"/>
        <v>#REF!</v>
      </c>
      <c r="Q182" s="274" t="e">
        <f t="shared" si="101"/>
        <v>#REF!</v>
      </c>
      <c r="R182" s="274" t="e">
        <f t="shared" si="101"/>
        <v>#REF!</v>
      </c>
      <c r="S182" s="274" t="e">
        <f t="shared" si="101"/>
        <v>#REF!</v>
      </c>
      <c r="T182" s="274" t="e">
        <f t="shared" si="101"/>
        <v>#REF!</v>
      </c>
      <c r="U182" s="274" t="e">
        <f t="shared" si="101"/>
        <v>#REF!</v>
      </c>
      <c r="V182" s="274" t="e">
        <f t="shared" si="101"/>
        <v>#REF!</v>
      </c>
      <c r="W182" s="274" t="e">
        <f t="shared" si="101"/>
        <v>#REF!</v>
      </c>
      <c r="X182" s="274" t="e">
        <f t="shared" si="101"/>
        <v>#REF!</v>
      </c>
      <c r="Y182" s="274" t="e">
        <f t="shared" si="101"/>
        <v>#REF!</v>
      </c>
      <c r="Z182" s="274" t="e">
        <f t="shared" si="101"/>
        <v>#REF!</v>
      </c>
      <c r="AA182" s="274" t="e">
        <f t="shared" si="101"/>
        <v>#REF!</v>
      </c>
      <c r="AB182" s="274" t="e">
        <f t="shared" si="101"/>
        <v>#REF!</v>
      </c>
      <c r="AC182" s="274" t="e">
        <f t="shared" si="101"/>
        <v>#REF!</v>
      </c>
      <c r="AD182" s="274" t="e">
        <f t="shared" si="101"/>
        <v>#REF!</v>
      </c>
      <c r="AE182" s="274" t="e">
        <f t="shared" si="101"/>
        <v>#REF!</v>
      </c>
      <c r="AF182" s="274" t="e">
        <f t="shared" si="101"/>
        <v>#REF!</v>
      </c>
      <c r="AG182" s="274" t="e">
        <f t="shared" si="101"/>
        <v>#REF!</v>
      </c>
    </row>
    <row r="183" spans="1:33" s="225" customFormat="1">
      <c r="A183" s="223" t="s">
        <v>331</v>
      </c>
      <c r="B183" s="223"/>
      <c r="H183" s="275" t="e">
        <f>H190/H87</f>
        <v>#REF!</v>
      </c>
      <c r="AB183" s="275" t="e">
        <f>AB190/AB87</f>
        <v>#REF!</v>
      </c>
    </row>
    <row r="184" spans="1:33">
      <c r="A184" s="235" t="s">
        <v>41</v>
      </c>
      <c r="B184" s="235"/>
      <c r="C184" s="235">
        <v>2025</v>
      </c>
      <c r="D184" s="235">
        <f t="shared" ref="D184:AG184" si="102">C184+1</f>
        <v>2026</v>
      </c>
      <c r="E184" s="235">
        <f t="shared" si="102"/>
        <v>2027</v>
      </c>
      <c r="F184" s="235">
        <f t="shared" si="102"/>
        <v>2028</v>
      </c>
      <c r="G184" s="235">
        <f t="shared" si="102"/>
        <v>2029</v>
      </c>
      <c r="H184" s="235">
        <f t="shared" si="102"/>
        <v>2030</v>
      </c>
      <c r="I184" s="235">
        <f t="shared" si="102"/>
        <v>2031</v>
      </c>
      <c r="J184" s="235">
        <f t="shared" si="102"/>
        <v>2032</v>
      </c>
      <c r="K184" s="235">
        <f t="shared" si="102"/>
        <v>2033</v>
      </c>
      <c r="L184" s="235">
        <f t="shared" si="102"/>
        <v>2034</v>
      </c>
      <c r="M184" s="235">
        <f t="shared" si="102"/>
        <v>2035</v>
      </c>
      <c r="N184" s="235">
        <f t="shared" si="102"/>
        <v>2036</v>
      </c>
      <c r="O184" s="235">
        <f t="shared" si="102"/>
        <v>2037</v>
      </c>
      <c r="P184" s="235">
        <f t="shared" si="102"/>
        <v>2038</v>
      </c>
      <c r="Q184" s="235">
        <f t="shared" si="102"/>
        <v>2039</v>
      </c>
      <c r="R184" s="235">
        <f t="shared" si="102"/>
        <v>2040</v>
      </c>
      <c r="S184" s="235">
        <f t="shared" si="102"/>
        <v>2041</v>
      </c>
      <c r="T184" s="235">
        <f t="shared" si="102"/>
        <v>2042</v>
      </c>
      <c r="U184" s="235">
        <f t="shared" si="102"/>
        <v>2043</v>
      </c>
      <c r="V184" s="235">
        <f t="shared" si="102"/>
        <v>2044</v>
      </c>
      <c r="W184" s="235">
        <f t="shared" si="102"/>
        <v>2045</v>
      </c>
      <c r="X184" s="235">
        <f t="shared" si="102"/>
        <v>2046</v>
      </c>
      <c r="Y184" s="235">
        <f t="shared" si="102"/>
        <v>2047</v>
      </c>
      <c r="Z184" s="235">
        <f t="shared" si="102"/>
        <v>2048</v>
      </c>
      <c r="AA184" s="235">
        <f t="shared" si="102"/>
        <v>2049</v>
      </c>
      <c r="AB184" s="235">
        <f t="shared" si="102"/>
        <v>2050</v>
      </c>
      <c r="AC184" s="235">
        <f t="shared" si="102"/>
        <v>2051</v>
      </c>
      <c r="AD184" s="235">
        <f t="shared" si="102"/>
        <v>2052</v>
      </c>
      <c r="AE184" s="235">
        <f t="shared" si="102"/>
        <v>2053</v>
      </c>
      <c r="AF184" s="235">
        <f t="shared" si="102"/>
        <v>2054</v>
      </c>
      <c r="AG184" s="235">
        <f t="shared" si="102"/>
        <v>2055</v>
      </c>
    </row>
    <row r="185" spans="1:33">
      <c r="A185" s="290" t="s">
        <v>428</v>
      </c>
      <c r="B185" s="173" t="s">
        <v>309</v>
      </c>
      <c r="C185" s="179" t="e">
        <f t="shared" ref="C185:AG185" si="103">$H$74*C61</f>
        <v>#REF!</v>
      </c>
      <c r="D185" s="179" t="e">
        <f t="shared" si="103"/>
        <v>#REF!</v>
      </c>
      <c r="E185" s="179" t="e">
        <f t="shared" si="103"/>
        <v>#REF!</v>
      </c>
      <c r="F185" s="179" t="e">
        <f t="shared" si="103"/>
        <v>#REF!</v>
      </c>
      <c r="G185" s="179" t="e">
        <f t="shared" si="103"/>
        <v>#REF!</v>
      </c>
      <c r="H185" s="179" t="e">
        <f t="shared" si="103"/>
        <v>#REF!</v>
      </c>
      <c r="I185" s="179" t="e">
        <f t="shared" si="103"/>
        <v>#REF!</v>
      </c>
      <c r="J185" s="179" t="e">
        <f t="shared" si="103"/>
        <v>#REF!</v>
      </c>
      <c r="K185" s="179" t="e">
        <f t="shared" si="103"/>
        <v>#REF!</v>
      </c>
      <c r="L185" s="179" t="e">
        <f t="shared" si="103"/>
        <v>#REF!</v>
      </c>
      <c r="M185" s="179" t="e">
        <f t="shared" si="103"/>
        <v>#REF!</v>
      </c>
      <c r="N185" s="179" t="e">
        <f t="shared" si="103"/>
        <v>#REF!</v>
      </c>
      <c r="O185" s="179" t="e">
        <f t="shared" si="103"/>
        <v>#REF!</v>
      </c>
      <c r="P185" s="179" t="e">
        <f t="shared" si="103"/>
        <v>#REF!</v>
      </c>
      <c r="Q185" s="179" t="e">
        <f t="shared" si="103"/>
        <v>#REF!</v>
      </c>
      <c r="R185" s="179" t="e">
        <f t="shared" si="103"/>
        <v>#REF!</v>
      </c>
      <c r="S185" s="179" t="e">
        <f t="shared" si="103"/>
        <v>#REF!</v>
      </c>
      <c r="T185" s="179" t="e">
        <f t="shared" si="103"/>
        <v>#REF!</v>
      </c>
      <c r="U185" s="179" t="e">
        <f t="shared" si="103"/>
        <v>#REF!</v>
      </c>
      <c r="V185" s="179" t="e">
        <f t="shared" si="103"/>
        <v>#REF!</v>
      </c>
      <c r="W185" s="179" t="e">
        <f t="shared" si="103"/>
        <v>#REF!</v>
      </c>
      <c r="X185" s="179" t="e">
        <f t="shared" si="103"/>
        <v>#REF!</v>
      </c>
      <c r="Y185" s="179" t="e">
        <f t="shared" si="103"/>
        <v>#REF!</v>
      </c>
      <c r="Z185" s="179" t="e">
        <f t="shared" si="103"/>
        <v>#REF!</v>
      </c>
      <c r="AA185" s="179" t="e">
        <f t="shared" si="103"/>
        <v>#REF!</v>
      </c>
      <c r="AB185" s="179" t="e">
        <f t="shared" si="103"/>
        <v>#REF!</v>
      </c>
      <c r="AC185" s="179" t="e">
        <f t="shared" si="103"/>
        <v>#REF!</v>
      </c>
      <c r="AD185" s="179" t="e">
        <f t="shared" si="103"/>
        <v>#REF!</v>
      </c>
      <c r="AE185" s="179" t="e">
        <f t="shared" si="103"/>
        <v>#REF!</v>
      </c>
      <c r="AF185" s="179" t="e">
        <f t="shared" si="103"/>
        <v>#REF!</v>
      </c>
      <c r="AG185" s="179" t="e">
        <f t="shared" si="103"/>
        <v>#REF!</v>
      </c>
    </row>
    <row r="186" spans="1:33">
      <c r="A186" s="290" t="s">
        <v>419</v>
      </c>
      <c r="B186" s="173" t="s">
        <v>309</v>
      </c>
      <c r="C186" s="179" t="e">
        <f t="shared" ref="C186:AG186" si="104">$C$22*C57</f>
        <v>#REF!</v>
      </c>
      <c r="D186" s="179" t="e">
        <f t="shared" si="104"/>
        <v>#REF!</v>
      </c>
      <c r="E186" s="179" t="e">
        <f t="shared" si="104"/>
        <v>#REF!</v>
      </c>
      <c r="F186" s="179" t="e">
        <f t="shared" si="104"/>
        <v>#REF!</v>
      </c>
      <c r="G186" s="179" t="e">
        <f t="shared" si="104"/>
        <v>#REF!</v>
      </c>
      <c r="H186" s="179" t="e">
        <f t="shared" si="104"/>
        <v>#REF!</v>
      </c>
      <c r="I186" s="179" t="e">
        <f t="shared" si="104"/>
        <v>#REF!</v>
      </c>
      <c r="J186" s="179" t="e">
        <f t="shared" si="104"/>
        <v>#REF!</v>
      </c>
      <c r="K186" s="179" t="e">
        <f t="shared" si="104"/>
        <v>#REF!</v>
      </c>
      <c r="L186" s="179" t="e">
        <f t="shared" si="104"/>
        <v>#REF!</v>
      </c>
      <c r="M186" s="179" t="e">
        <f t="shared" si="104"/>
        <v>#REF!</v>
      </c>
      <c r="N186" s="179" t="e">
        <f t="shared" si="104"/>
        <v>#REF!</v>
      </c>
      <c r="O186" s="179" t="e">
        <f t="shared" si="104"/>
        <v>#REF!</v>
      </c>
      <c r="P186" s="179" t="e">
        <f t="shared" si="104"/>
        <v>#REF!</v>
      </c>
      <c r="Q186" s="179" t="e">
        <f t="shared" si="104"/>
        <v>#REF!</v>
      </c>
      <c r="R186" s="179" t="e">
        <f t="shared" si="104"/>
        <v>#REF!</v>
      </c>
      <c r="S186" s="179" t="e">
        <f t="shared" si="104"/>
        <v>#REF!</v>
      </c>
      <c r="T186" s="179" t="e">
        <f t="shared" si="104"/>
        <v>#REF!</v>
      </c>
      <c r="U186" s="179" t="e">
        <f t="shared" si="104"/>
        <v>#REF!</v>
      </c>
      <c r="V186" s="179" t="e">
        <f t="shared" si="104"/>
        <v>#REF!</v>
      </c>
      <c r="W186" s="179" t="e">
        <f t="shared" si="104"/>
        <v>#REF!</v>
      </c>
      <c r="X186" s="179" t="e">
        <f t="shared" si="104"/>
        <v>#REF!</v>
      </c>
      <c r="Y186" s="179" t="e">
        <f t="shared" si="104"/>
        <v>#REF!</v>
      </c>
      <c r="Z186" s="179" t="e">
        <f t="shared" si="104"/>
        <v>#REF!</v>
      </c>
      <c r="AA186" s="179" t="e">
        <f t="shared" si="104"/>
        <v>#REF!</v>
      </c>
      <c r="AB186" s="179" t="e">
        <f t="shared" si="104"/>
        <v>#REF!</v>
      </c>
      <c r="AC186" s="179" t="e">
        <f t="shared" si="104"/>
        <v>#REF!</v>
      </c>
      <c r="AD186" s="179" t="e">
        <f t="shared" si="104"/>
        <v>#REF!</v>
      </c>
      <c r="AE186" s="179" t="e">
        <f t="shared" si="104"/>
        <v>#REF!</v>
      </c>
      <c r="AF186" s="179" t="e">
        <f t="shared" si="104"/>
        <v>#REF!</v>
      </c>
      <c r="AG186" s="179" t="e">
        <f t="shared" si="104"/>
        <v>#REF!</v>
      </c>
    </row>
    <row r="187" spans="1:33">
      <c r="A187" s="290" t="s">
        <v>429</v>
      </c>
      <c r="B187" s="173" t="s">
        <v>309</v>
      </c>
      <c r="C187" s="179" t="e">
        <f t="shared" ref="C187:AG187" si="105">C159</f>
        <v>#REF!</v>
      </c>
      <c r="D187" s="179" t="e">
        <f t="shared" si="105"/>
        <v>#REF!</v>
      </c>
      <c r="E187" s="179" t="e">
        <f t="shared" si="105"/>
        <v>#REF!</v>
      </c>
      <c r="F187" s="179" t="e">
        <f t="shared" si="105"/>
        <v>#REF!</v>
      </c>
      <c r="G187" s="179" t="e">
        <f t="shared" si="105"/>
        <v>#REF!</v>
      </c>
      <c r="H187" s="179" t="e">
        <f t="shared" si="105"/>
        <v>#REF!</v>
      </c>
      <c r="I187" s="179" t="e">
        <f t="shared" si="105"/>
        <v>#REF!</v>
      </c>
      <c r="J187" s="179" t="e">
        <f t="shared" si="105"/>
        <v>#REF!</v>
      </c>
      <c r="K187" s="179" t="e">
        <f t="shared" si="105"/>
        <v>#REF!</v>
      </c>
      <c r="L187" s="179" t="e">
        <f t="shared" si="105"/>
        <v>#REF!</v>
      </c>
      <c r="M187" s="179" t="e">
        <f t="shared" si="105"/>
        <v>#REF!</v>
      </c>
      <c r="N187" s="179" t="e">
        <f t="shared" si="105"/>
        <v>#REF!</v>
      </c>
      <c r="O187" s="179" t="e">
        <f t="shared" si="105"/>
        <v>#REF!</v>
      </c>
      <c r="P187" s="179" t="e">
        <f t="shared" si="105"/>
        <v>#REF!</v>
      </c>
      <c r="Q187" s="179" t="e">
        <f t="shared" si="105"/>
        <v>#REF!</v>
      </c>
      <c r="R187" s="179" t="e">
        <f t="shared" si="105"/>
        <v>#REF!</v>
      </c>
      <c r="S187" s="179" t="e">
        <f t="shared" si="105"/>
        <v>#REF!</v>
      </c>
      <c r="T187" s="179" t="e">
        <f t="shared" si="105"/>
        <v>#REF!</v>
      </c>
      <c r="U187" s="179" t="e">
        <f t="shared" si="105"/>
        <v>#REF!</v>
      </c>
      <c r="V187" s="179" t="e">
        <f t="shared" si="105"/>
        <v>#REF!</v>
      </c>
      <c r="W187" s="179" t="e">
        <f t="shared" si="105"/>
        <v>#REF!</v>
      </c>
      <c r="X187" s="179" t="e">
        <f t="shared" si="105"/>
        <v>#REF!</v>
      </c>
      <c r="Y187" s="179" t="e">
        <f t="shared" si="105"/>
        <v>#REF!</v>
      </c>
      <c r="Z187" s="179" t="e">
        <f t="shared" si="105"/>
        <v>#REF!</v>
      </c>
      <c r="AA187" s="179" t="e">
        <f t="shared" si="105"/>
        <v>#REF!</v>
      </c>
      <c r="AB187" s="179" t="e">
        <f t="shared" si="105"/>
        <v>#REF!</v>
      </c>
      <c r="AC187" s="179" t="e">
        <f t="shared" si="105"/>
        <v>#REF!</v>
      </c>
      <c r="AD187" s="179" t="e">
        <f t="shared" si="105"/>
        <v>#REF!</v>
      </c>
      <c r="AE187" s="179" t="e">
        <f t="shared" si="105"/>
        <v>#REF!</v>
      </c>
      <c r="AF187" s="179" t="e">
        <f t="shared" si="105"/>
        <v>#REF!</v>
      </c>
      <c r="AG187" s="179" t="e">
        <f t="shared" si="105"/>
        <v>#REF!</v>
      </c>
    </row>
    <row r="188" spans="1:33">
      <c r="A188" s="290" t="s">
        <v>361</v>
      </c>
      <c r="B188" s="173" t="s">
        <v>309</v>
      </c>
      <c r="C188" s="179" t="e">
        <f t="shared" ref="C188:AG188" si="106">$C$21*C58</f>
        <v>#REF!</v>
      </c>
      <c r="D188" s="179" t="e">
        <f t="shared" si="106"/>
        <v>#REF!</v>
      </c>
      <c r="E188" s="179" t="e">
        <f t="shared" si="106"/>
        <v>#REF!</v>
      </c>
      <c r="F188" s="179" t="e">
        <f t="shared" si="106"/>
        <v>#REF!</v>
      </c>
      <c r="G188" s="179" t="e">
        <f t="shared" si="106"/>
        <v>#REF!</v>
      </c>
      <c r="H188" s="179" t="e">
        <f t="shared" si="106"/>
        <v>#REF!</v>
      </c>
      <c r="I188" s="179" t="e">
        <f t="shared" si="106"/>
        <v>#REF!</v>
      </c>
      <c r="J188" s="179" t="e">
        <f t="shared" si="106"/>
        <v>#REF!</v>
      </c>
      <c r="K188" s="179" t="e">
        <f t="shared" si="106"/>
        <v>#REF!</v>
      </c>
      <c r="L188" s="179" t="e">
        <f t="shared" si="106"/>
        <v>#REF!</v>
      </c>
      <c r="M188" s="179" t="e">
        <f t="shared" si="106"/>
        <v>#REF!</v>
      </c>
      <c r="N188" s="179" t="e">
        <f t="shared" si="106"/>
        <v>#REF!</v>
      </c>
      <c r="O188" s="179" t="e">
        <f t="shared" si="106"/>
        <v>#REF!</v>
      </c>
      <c r="P188" s="179" t="e">
        <f t="shared" si="106"/>
        <v>#REF!</v>
      </c>
      <c r="Q188" s="179" t="e">
        <f t="shared" si="106"/>
        <v>#REF!</v>
      </c>
      <c r="R188" s="179" t="e">
        <f t="shared" si="106"/>
        <v>#REF!</v>
      </c>
      <c r="S188" s="179" t="e">
        <f t="shared" si="106"/>
        <v>#REF!</v>
      </c>
      <c r="T188" s="179" t="e">
        <f t="shared" si="106"/>
        <v>#REF!</v>
      </c>
      <c r="U188" s="179" t="e">
        <f t="shared" si="106"/>
        <v>#REF!</v>
      </c>
      <c r="V188" s="179" t="e">
        <f t="shared" si="106"/>
        <v>#REF!</v>
      </c>
      <c r="W188" s="179" t="e">
        <f t="shared" si="106"/>
        <v>#REF!</v>
      </c>
      <c r="X188" s="179" t="e">
        <f t="shared" si="106"/>
        <v>#REF!</v>
      </c>
      <c r="Y188" s="179" t="e">
        <f t="shared" si="106"/>
        <v>#REF!</v>
      </c>
      <c r="Z188" s="179" t="e">
        <f t="shared" si="106"/>
        <v>#REF!</v>
      </c>
      <c r="AA188" s="179" t="e">
        <f t="shared" si="106"/>
        <v>#REF!</v>
      </c>
      <c r="AB188" s="179" t="e">
        <f t="shared" si="106"/>
        <v>#REF!</v>
      </c>
      <c r="AC188" s="179" t="e">
        <f t="shared" si="106"/>
        <v>#REF!</v>
      </c>
      <c r="AD188" s="179" t="e">
        <f t="shared" si="106"/>
        <v>#REF!</v>
      </c>
      <c r="AE188" s="179" t="e">
        <f t="shared" si="106"/>
        <v>#REF!</v>
      </c>
      <c r="AF188" s="179" t="e">
        <f t="shared" si="106"/>
        <v>#REF!</v>
      </c>
      <c r="AG188" s="179" t="e">
        <f t="shared" si="106"/>
        <v>#REF!</v>
      </c>
    </row>
    <row r="189" spans="1:33">
      <c r="A189" s="173" t="s">
        <v>362</v>
      </c>
      <c r="B189" s="173" t="s">
        <v>41</v>
      </c>
      <c r="C189" s="278" t="e">
        <f t="shared" ref="C189:AG189" si="107">C69/($C$29*$C$28)</f>
        <v>#REF!</v>
      </c>
      <c r="D189" s="278" t="e">
        <f t="shared" si="107"/>
        <v>#REF!</v>
      </c>
      <c r="E189" s="278" t="e">
        <f t="shared" si="107"/>
        <v>#REF!</v>
      </c>
      <c r="F189" s="278" t="e">
        <f t="shared" si="107"/>
        <v>#REF!</v>
      </c>
      <c r="G189" s="278" t="e">
        <f t="shared" si="107"/>
        <v>#REF!</v>
      </c>
      <c r="H189" s="278" t="e">
        <f t="shared" si="107"/>
        <v>#REF!</v>
      </c>
      <c r="I189" s="278" t="e">
        <f t="shared" si="107"/>
        <v>#REF!</v>
      </c>
      <c r="J189" s="278" t="e">
        <f t="shared" si="107"/>
        <v>#REF!</v>
      </c>
      <c r="K189" s="278" t="e">
        <f t="shared" si="107"/>
        <v>#REF!</v>
      </c>
      <c r="L189" s="278" t="e">
        <f t="shared" si="107"/>
        <v>#REF!</v>
      </c>
      <c r="M189" s="278" t="e">
        <f t="shared" si="107"/>
        <v>#REF!</v>
      </c>
      <c r="N189" s="278" t="e">
        <f t="shared" si="107"/>
        <v>#REF!</v>
      </c>
      <c r="O189" s="278" t="e">
        <f t="shared" si="107"/>
        <v>#REF!</v>
      </c>
      <c r="P189" s="278" t="e">
        <f t="shared" si="107"/>
        <v>#REF!</v>
      </c>
      <c r="Q189" s="278" t="e">
        <f t="shared" si="107"/>
        <v>#REF!</v>
      </c>
      <c r="R189" s="278" t="e">
        <f t="shared" si="107"/>
        <v>#REF!</v>
      </c>
      <c r="S189" s="278" t="e">
        <f t="shared" si="107"/>
        <v>#REF!</v>
      </c>
      <c r="T189" s="278" t="e">
        <f t="shared" si="107"/>
        <v>#REF!</v>
      </c>
      <c r="U189" s="278" t="e">
        <f t="shared" si="107"/>
        <v>#REF!</v>
      </c>
      <c r="V189" s="278" t="e">
        <f t="shared" si="107"/>
        <v>#REF!</v>
      </c>
      <c r="W189" s="278" t="e">
        <f t="shared" si="107"/>
        <v>#REF!</v>
      </c>
      <c r="X189" s="278" t="e">
        <f t="shared" si="107"/>
        <v>#REF!</v>
      </c>
      <c r="Y189" s="278" t="e">
        <f t="shared" si="107"/>
        <v>#REF!</v>
      </c>
      <c r="Z189" s="278" t="e">
        <f t="shared" si="107"/>
        <v>#REF!</v>
      </c>
      <c r="AA189" s="278" t="e">
        <f t="shared" si="107"/>
        <v>#REF!</v>
      </c>
      <c r="AB189" s="278" t="e">
        <f t="shared" si="107"/>
        <v>#REF!</v>
      </c>
      <c r="AC189" s="278" t="e">
        <f t="shared" si="107"/>
        <v>#REF!</v>
      </c>
      <c r="AD189" s="278" t="e">
        <f t="shared" si="107"/>
        <v>#REF!</v>
      </c>
      <c r="AE189" s="278" t="e">
        <f t="shared" si="107"/>
        <v>#REF!</v>
      </c>
      <c r="AF189" s="278" t="e">
        <f t="shared" si="107"/>
        <v>#REF!</v>
      </c>
      <c r="AG189" s="278" t="e">
        <f t="shared" si="107"/>
        <v>#REF!</v>
      </c>
    </row>
    <row r="190" spans="1:33">
      <c r="A190" s="290" t="s">
        <v>332</v>
      </c>
      <c r="B190" s="173" t="s">
        <v>309</v>
      </c>
      <c r="C190" s="179" t="e">
        <f t="shared" ref="C190:AG190" si="108">(C87-$C$12+(C185+C186+C187+C188))*(1+0.15)</f>
        <v>#REF!</v>
      </c>
      <c r="D190" s="179" t="e">
        <f t="shared" si="108"/>
        <v>#REF!</v>
      </c>
      <c r="E190" s="179" t="e">
        <f t="shared" si="108"/>
        <v>#REF!</v>
      </c>
      <c r="F190" s="179" t="e">
        <f t="shared" si="108"/>
        <v>#REF!</v>
      </c>
      <c r="G190" s="179" t="e">
        <f t="shared" si="108"/>
        <v>#REF!</v>
      </c>
      <c r="H190" s="179" t="e">
        <f t="shared" si="108"/>
        <v>#REF!</v>
      </c>
      <c r="I190" s="179" t="e">
        <f t="shared" si="108"/>
        <v>#REF!</v>
      </c>
      <c r="J190" s="179" t="e">
        <f t="shared" si="108"/>
        <v>#REF!</v>
      </c>
      <c r="K190" s="179" t="e">
        <f t="shared" si="108"/>
        <v>#REF!</v>
      </c>
      <c r="L190" s="179" t="e">
        <f t="shared" si="108"/>
        <v>#REF!</v>
      </c>
      <c r="M190" s="179" t="e">
        <f t="shared" si="108"/>
        <v>#REF!</v>
      </c>
      <c r="N190" s="179" t="e">
        <f t="shared" si="108"/>
        <v>#REF!</v>
      </c>
      <c r="O190" s="179" t="e">
        <f t="shared" si="108"/>
        <v>#REF!</v>
      </c>
      <c r="P190" s="179" t="e">
        <f t="shared" si="108"/>
        <v>#REF!</v>
      </c>
      <c r="Q190" s="179" t="e">
        <f t="shared" si="108"/>
        <v>#REF!</v>
      </c>
      <c r="R190" s="179" t="e">
        <f t="shared" si="108"/>
        <v>#REF!</v>
      </c>
      <c r="S190" s="179" t="e">
        <f t="shared" si="108"/>
        <v>#REF!</v>
      </c>
      <c r="T190" s="179" t="e">
        <f t="shared" si="108"/>
        <v>#REF!</v>
      </c>
      <c r="U190" s="179" t="e">
        <f t="shared" si="108"/>
        <v>#REF!</v>
      </c>
      <c r="V190" s="179" t="e">
        <f t="shared" si="108"/>
        <v>#REF!</v>
      </c>
      <c r="W190" s="179" t="e">
        <f t="shared" si="108"/>
        <v>#REF!</v>
      </c>
      <c r="X190" s="179" t="e">
        <f t="shared" si="108"/>
        <v>#REF!</v>
      </c>
      <c r="Y190" s="179" t="e">
        <f t="shared" si="108"/>
        <v>#REF!</v>
      </c>
      <c r="Z190" s="179" t="e">
        <f t="shared" si="108"/>
        <v>#REF!</v>
      </c>
      <c r="AA190" s="179" t="e">
        <f t="shared" si="108"/>
        <v>#REF!</v>
      </c>
      <c r="AB190" s="179" t="e">
        <f t="shared" si="108"/>
        <v>#REF!</v>
      </c>
      <c r="AC190" s="179" t="e">
        <f t="shared" si="108"/>
        <v>#REF!</v>
      </c>
      <c r="AD190" s="179" t="e">
        <f t="shared" si="108"/>
        <v>#REF!</v>
      </c>
      <c r="AE190" s="179" t="e">
        <f t="shared" si="108"/>
        <v>#REF!</v>
      </c>
      <c r="AF190" s="179" t="e">
        <f t="shared" si="108"/>
        <v>#REF!</v>
      </c>
      <c r="AG190" s="179" t="e">
        <f t="shared" si="108"/>
        <v>#REF!</v>
      </c>
    </row>
    <row r="191" spans="1:33">
      <c r="A191" s="173" t="s">
        <v>333</v>
      </c>
      <c r="B191" s="173" t="s">
        <v>309</v>
      </c>
      <c r="C191" s="179" t="e">
        <f t="shared" ref="C191:AG191" si="109">$H$83*C51</f>
        <v>#REF!</v>
      </c>
      <c r="D191" s="179" t="e">
        <f t="shared" si="109"/>
        <v>#REF!</v>
      </c>
      <c r="E191" s="179" t="e">
        <f t="shared" si="109"/>
        <v>#REF!</v>
      </c>
      <c r="F191" s="179" t="e">
        <f t="shared" si="109"/>
        <v>#REF!</v>
      </c>
      <c r="G191" s="179" t="e">
        <f t="shared" si="109"/>
        <v>#REF!</v>
      </c>
      <c r="H191" s="179" t="e">
        <f t="shared" si="109"/>
        <v>#REF!</v>
      </c>
      <c r="I191" s="179" t="e">
        <f t="shared" si="109"/>
        <v>#REF!</v>
      </c>
      <c r="J191" s="179" t="e">
        <f t="shared" si="109"/>
        <v>#REF!</v>
      </c>
      <c r="K191" s="179" t="e">
        <f t="shared" si="109"/>
        <v>#REF!</v>
      </c>
      <c r="L191" s="179" t="e">
        <f t="shared" si="109"/>
        <v>#REF!</v>
      </c>
      <c r="M191" s="179" t="e">
        <f t="shared" si="109"/>
        <v>#REF!</v>
      </c>
      <c r="N191" s="179" t="e">
        <f t="shared" si="109"/>
        <v>#REF!</v>
      </c>
      <c r="O191" s="179" t="e">
        <f t="shared" si="109"/>
        <v>#REF!</v>
      </c>
      <c r="P191" s="179" t="e">
        <f t="shared" si="109"/>
        <v>#REF!</v>
      </c>
      <c r="Q191" s="179" t="e">
        <f t="shared" si="109"/>
        <v>#REF!</v>
      </c>
      <c r="R191" s="179" t="e">
        <f t="shared" si="109"/>
        <v>#REF!</v>
      </c>
      <c r="S191" s="179" t="e">
        <f t="shared" si="109"/>
        <v>#REF!</v>
      </c>
      <c r="T191" s="179" t="e">
        <f t="shared" si="109"/>
        <v>#REF!</v>
      </c>
      <c r="U191" s="179" t="e">
        <f t="shared" si="109"/>
        <v>#REF!</v>
      </c>
      <c r="V191" s="179" t="e">
        <f t="shared" si="109"/>
        <v>#REF!</v>
      </c>
      <c r="W191" s="179" t="e">
        <f t="shared" si="109"/>
        <v>#REF!</v>
      </c>
      <c r="X191" s="179" t="e">
        <f t="shared" si="109"/>
        <v>#REF!</v>
      </c>
      <c r="Y191" s="179" t="e">
        <f t="shared" si="109"/>
        <v>#REF!</v>
      </c>
      <c r="Z191" s="179" t="e">
        <f t="shared" si="109"/>
        <v>#REF!</v>
      </c>
      <c r="AA191" s="179" t="e">
        <f t="shared" si="109"/>
        <v>#REF!</v>
      </c>
      <c r="AB191" s="179" t="e">
        <f t="shared" si="109"/>
        <v>#REF!</v>
      </c>
      <c r="AC191" s="179" t="e">
        <f t="shared" si="109"/>
        <v>#REF!</v>
      </c>
      <c r="AD191" s="179" t="e">
        <f t="shared" si="109"/>
        <v>#REF!</v>
      </c>
      <c r="AE191" s="179" t="e">
        <f t="shared" si="109"/>
        <v>#REF!</v>
      </c>
      <c r="AF191" s="179" t="e">
        <f t="shared" si="109"/>
        <v>#REF!</v>
      </c>
      <c r="AG191" s="179" t="e">
        <f t="shared" si="109"/>
        <v>#REF!</v>
      </c>
    </row>
    <row r="192" spans="1:33">
      <c r="A192" s="173" t="s">
        <v>317</v>
      </c>
      <c r="B192" s="173" t="s">
        <v>309</v>
      </c>
      <c r="C192" s="179" t="e">
        <f t="shared" ref="C192:AG192" si="110">$C$28*$C$27*C70</f>
        <v>#REF!</v>
      </c>
      <c r="D192" s="179" t="e">
        <f t="shared" si="110"/>
        <v>#REF!</v>
      </c>
      <c r="E192" s="179" t="e">
        <f t="shared" si="110"/>
        <v>#REF!</v>
      </c>
      <c r="F192" s="179" t="e">
        <f t="shared" si="110"/>
        <v>#REF!</v>
      </c>
      <c r="G192" s="179" t="e">
        <f t="shared" si="110"/>
        <v>#REF!</v>
      </c>
      <c r="H192" s="179" t="e">
        <f t="shared" si="110"/>
        <v>#REF!</v>
      </c>
      <c r="I192" s="179" t="e">
        <f t="shared" si="110"/>
        <v>#REF!</v>
      </c>
      <c r="J192" s="179" t="e">
        <f t="shared" si="110"/>
        <v>#REF!</v>
      </c>
      <c r="K192" s="179" t="e">
        <f t="shared" si="110"/>
        <v>#REF!</v>
      </c>
      <c r="L192" s="179" t="e">
        <f t="shared" si="110"/>
        <v>#REF!</v>
      </c>
      <c r="M192" s="179" t="e">
        <f t="shared" si="110"/>
        <v>#REF!</v>
      </c>
      <c r="N192" s="179" t="e">
        <f t="shared" si="110"/>
        <v>#REF!</v>
      </c>
      <c r="O192" s="179" t="e">
        <f t="shared" si="110"/>
        <v>#REF!</v>
      </c>
      <c r="P192" s="179" t="e">
        <f t="shared" si="110"/>
        <v>#REF!</v>
      </c>
      <c r="Q192" s="179" t="e">
        <f t="shared" si="110"/>
        <v>#REF!</v>
      </c>
      <c r="R192" s="179" t="e">
        <f t="shared" si="110"/>
        <v>#REF!</v>
      </c>
      <c r="S192" s="179" t="e">
        <f t="shared" si="110"/>
        <v>#REF!</v>
      </c>
      <c r="T192" s="179" t="e">
        <f t="shared" si="110"/>
        <v>#REF!</v>
      </c>
      <c r="U192" s="179" t="e">
        <f t="shared" si="110"/>
        <v>#REF!</v>
      </c>
      <c r="V192" s="179" t="e">
        <f t="shared" si="110"/>
        <v>#REF!</v>
      </c>
      <c r="W192" s="179" t="e">
        <f t="shared" si="110"/>
        <v>#REF!</v>
      </c>
      <c r="X192" s="179" t="e">
        <f t="shared" si="110"/>
        <v>#REF!</v>
      </c>
      <c r="Y192" s="179" t="e">
        <f t="shared" si="110"/>
        <v>#REF!</v>
      </c>
      <c r="Z192" s="179" t="e">
        <f t="shared" si="110"/>
        <v>#REF!</v>
      </c>
      <c r="AA192" s="179" t="e">
        <f t="shared" si="110"/>
        <v>#REF!</v>
      </c>
      <c r="AB192" s="179" t="e">
        <f t="shared" si="110"/>
        <v>#REF!</v>
      </c>
      <c r="AC192" s="179" t="e">
        <f t="shared" si="110"/>
        <v>#REF!</v>
      </c>
      <c r="AD192" s="179" t="e">
        <f t="shared" si="110"/>
        <v>#REF!</v>
      </c>
      <c r="AE192" s="179" t="e">
        <f t="shared" si="110"/>
        <v>#REF!</v>
      </c>
      <c r="AF192" s="179" t="e">
        <f t="shared" si="110"/>
        <v>#REF!</v>
      </c>
      <c r="AG192" s="179" t="e">
        <f t="shared" si="110"/>
        <v>#REF!</v>
      </c>
    </row>
    <row r="193" spans="1:33">
      <c r="A193" s="173" t="s">
        <v>319</v>
      </c>
      <c r="B193" s="173" t="s">
        <v>309</v>
      </c>
      <c r="C193" s="179" t="e">
        <f t="shared" ref="C193:AG193" si="111">C190*$C$34</f>
        <v>#REF!</v>
      </c>
      <c r="D193" s="179" t="e">
        <f t="shared" si="111"/>
        <v>#REF!</v>
      </c>
      <c r="E193" s="179" t="e">
        <f t="shared" si="111"/>
        <v>#REF!</v>
      </c>
      <c r="F193" s="179" t="e">
        <f t="shared" si="111"/>
        <v>#REF!</v>
      </c>
      <c r="G193" s="179" t="e">
        <f t="shared" si="111"/>
        <v>#REF!</v>
      </c>
      <c r="H193" s="179" t="e">
        <f t="shared" si="111"/>
        <v>#REF!</v>
      </c>
      <c r="I193" s="179" t="e">
        <f t="shared" si="111"/>
        <v>#REF!</v>
      </c>
      <c r="J193" s="179" t="e">
        <f t="shared" si="111"/>
        <v>#REF!</v>
      </c>
      <c r="K193" s="179" t="e">
        <f t="shared" si="111"/>
        <v>#REF!</v>
      </c>
      <c r="L193" s="179" t="e">
        <f t="shared" si="111"/>
        <v>#REF!</v>
      </c>
      <c r="M193" s="179" t="e">
        <f t="shared" si="111"/>
        <v>#REF!</v>
      </c>
      <c r="N193" s="179" t="e">
        <f t="shared" si="111"/>
        <v>#REF!</v>
      </c>
      <c r="O193" s="179" t="e">
        <f t="shared" si="111"/>
        <v>#REF!</v>
      </c>
      <c r="P193" s="179" t="e">
        <f t="shared" si="111"/>
        <v>#REF!</v>
      </c>
      <c r="Q193" s="179" t="e">
        <f t="shared" si="111"/>
        <v>#REF!</v>
      </c>
      <c r="R193" s="179" t="e">
        <f t="shared" si="111"/>
        <v>#REF!</v>
      </c>
      <c r="S193" s="179" t="e">
        <f t="shared" si="111"/>
        <v>#REF!</v>
      </c>
      <c r="T193" s="179" t="e">
        <f t="shared" si="111"/>
        <v>#REF!</v>
      </c>
      <c r="U193" s="179" t="e">
        <f t="shared" si="111"/>
        <v>#REF!</v>
      </c>
      <c r="V193" s="179" t="e">
        <f t="shared" si="111"/>
        <v>#REF!</v>
      </c>
      <c r="W193" s="179" t="e">
        <f t="shared" si="111"/>
        <v>#REF!</v>
      </c>
      <c r="X193" s="179" t="e">
        <f t="shared" si="111"/>
        <v>#REF!</v>
      </c>
      <c r="Y193" s="179" t="e">
        <f t="shared" si="111"/>
        <v>#REF!</v>
      </c>
      <c r="Z193" s="179" t="e">
        <f t="shared" si="111"/>
        <v>#REF!</v>
      </c>
      <c r="AA193" s="179" t="e">
        <f t="shared" si="111"/>
        <v>#REF!</v>
      </c>
      <c r="AB193" s="179" t="e">
        <f t="shared" si="111"/>
        <v>#REF!</v>
      </c>
      <c r="AC193" s="179" t="e">
        <f t="shared" si="111"/>
        <v>#REF!</v>
      </c>
      <c r="AD193" s="179" t="e">
        <f t="shared" si="111"/>
        <v>#REF!</v>
      </c>
      <c r="AE193" s="179" t="e">
        <f t="shared" si="111"/>
        <v>#REF!</v>
      </c>
      <c r="AF193" s="179" t="e">
        <f t="shared" si="111"/>
        <v>#REF!</v>
      </c>
      <c r="AG193" s="179" t="e">
        <f t="shared" si="111"/>
        <v>#REF!</v>
      </c>
    </row>
    <row r="194" spans="1:33" s="247" customFormat="1" ht="11.85" customHeight="1">
      <c r="A194" s="270" t="s">
        <v>414</v>
      </c>
      <c r="C194" s="273"/>
      <c r="D194" s="273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3"/>
      <c r="AD194" s="273"/>
      <c r="AE194" s="273"/>
      <c r="AF194" s="273"/>
      <c r="AG194" s="273"/>
    </row>
    <row r="195" spans="1:33">
      <c r="A195" s="173" t="s">
        <v>325</v>
      </c>
      <c r="B195" s="173" t="s">
        <v>313</v>
      </c>
      <c r="C195" s="179" t="e">
        <f t="shared" ref="C195:AG195" si="112">-PMT($C$33,$C$31,C190)</f>
        <v>#REF!</v>
      </c>
      <c r="D195" s="179" t="e">
        <f t="shared" si="112"/>
        <v>#REF!</v>
      </c>
      <c r="E195" s="179" t="e">
        <f t="shared" si="112"/>
        <v>#REF!</v>
      </c>
      <c r="F195" s="179" t="e">
        <f t="shared" si="112"/>
        <v>#REF!</v>
      </c>
      <c r="G195" s="179" t="e">
        <f t="shared" si="112"/>
        <v>#REF!</v>
      </c>
      <c r="H195" s="179" t="e">
        <f t="shared" si="112"/>
        <v>#REF!</v>
      </c>
      <c r="I195" s="179" t="e">
        <f t="shared" si="112"/>
        <v>#REF!</v>
      </c>
      <c r="J195" s="179" t="e">
        <f t="shared" si="112"/>
        <v>#REF!</v>
      </c>
      <c r="K195" s="179" t="e">
        <f t="shared" si="112"/>
        <v>#REF!</v>
      </c>
      <c r="L195" s="179" t="e">
        <f t="shared" si="112"/>
        <v>#REF!</v>
      </c>
      <c r="M195" s="179" t="e">
        <f t="shared" si="112"/>
        <v>#REF!</v>
      </c>
      <c r="N195" s="179" t="e">
        <f t="shared" si="112"/>
        <v>#REF!</v>
      </c>
      <c r="O195" s="179" t="e">
        <f t="shared" si="112"/>
        <v>#REF!</v>
      </c>
      <c r="P195" s="179" t="e">
        <f t="shared" si="112"/>
        <v>#REF!</v>
      </c>
      <c r="Q195" s="179" t="e">
        <f t="shared" si="112"/>
        <v>#REF!</v>
      </c>
      <c r="R195" s="179" t="e">
        <f t="shared" si="112"/>
        <v>#REF!</v>
      </c>
      <c r="S195" s="179" t="e">
        <f t="shared" si="112"/>
        <v>#REF!</v>
      </c>
      <c r="T195" s="179" t="e">
        <f t="shared" si="112"/>
        <v>#REF!</v>
      </c>
      <c r="U195" s="179" t="e">
        <f t="shared" si="112"/>
        <v>#REF!</v>
      </c>
      <c r="V195" s="179" t="e">
        <f t="shared" si="112"/>
        <v>#REF!</v>
      </c>
      <c r="W195" s="179" t="e">
        <f t="shared" si="112"/>
        <v>#REF!</v>
      </c>
      <c r="X195" s="179" t="e">
        <f t="shared" si="112"/>
        <v>#REF!</v>
      </c>
      <c r="Y195" s="179" t="e">
        <f t="shared" si="112"/>
        <v>#REF!</v>
      </c>
      <c r="Z195" s="179" t="e">
        <f t="shared" si="112"/>
        <v>#REF!</v>
      </c>
      <c r="AA195" s="179" t="e">
        <f t="shared" si="112"/>
        <v>#REF!</v>
      </c>
      <c r="AB195" s="179" t="e">
        <f t="shared" si="112"/>
        <v>#REF!</v>
      </c>
      <c r="AC195" s="179" t="e">
        <f t="shared" si="112"/>
        <v>#REF!</v>
      </c>
      <c r="AD195" s="179" t="e">
        <f t="shared" si="112"/>
        <v>#REF!</v>
      </c>
      <c r="AE195" s="179" t="e">
        <f t="shared" si="112"/>
        <v>#REF!</v>
      </c>
      <c r="AF195" s="179" t="e">
        <f t="shared" si="112"/>
        <v>#REF!</v>
      </c>
      <c r="AG195" s="179" t="e">
        <f t="shared" si="112"/>
        <v>#REF!</v>
      </c>
    </row>
    <row r="196" spans="1:33">
      <c r="A196" s="173" t="s">
        <v>333</v>
      </c>
      <c r="B196" s="173" t="s">
        <v>313</v>
      </c>
      <c r="C196" s="179" t="e">
        <f t="shared" ref="C196:AG197" si="113">C191</f>
        <v>#REF!</v>
      </c>
      <c r="D196" s="179" t="e">
        <f t="shared" si="113"/>
        <v>#REF!</v>
      </c>
      <c r="E196" s="179" t="e">
        <f t="shared" si="113"/>
        <v>#REF!</v>
      </c>
      <c r="F196" s="179" t="e">
        <f t="shared" si="113"/>
        <v>#REF!</v>
      </c>
      <c r="G196" s="179" t="e">
        <f t="shared" si="113"/>
        <v>#REF!</v>
      </c>
      <c r="H196" s="179" t="e">
        <f t="shared" si="113"/>
        <v>#REF!</v>
      </c>
      <c r="I196" s="179" t="e">
        <f t="shared" si="113"/>
        <v>#REF!</v>
      </c>
      <c r="J196" s="179" t="e">
        <f t="shared" si="113"/>
        <v>#REF!</v>
      </c>
      <c r="K196" s="179" t="e">
        <f t="shared" si="113"/>
        <v>#REF!</v>
      </c>
      <c r="L196" s="179" t="e">
        <f t="shared" si="113"/>
        <v>#REF!</v>
      </c>
      <c r="M196" s="179" t="e">
        <f t="shared" si="113"/>
        <v>#REF!</v>
      </c>
      <c r="N196" s="179" t="e">
        <f t="shared" si="113"/>
        <v>#REF!</v>
      </c>
      <c r="O196" s="179" t="e">
        <f t="shared" si="113"/>
        <v>#REF!</v>
      </c>
      <c r="P196" s="179" t="e">
        <f t="shared" si="113"/>
        <v>#REF!</v>
      </c>
      <c r="Q196" s="179" t="e">
        <f t="shared" si="113"/>
        <v>#REF!</v>
      </c>
      <c r="R196" s="179" t="e">
        <f t="shared" si="113"/>
        <v>#REF!</v>
      </c>
      <c r="S196" s="179" t="e">
        <f t="shared" si="113"/>
        <v>#REF!</v>
      </c>
      <c r="T196" s="179" t="e">
        <f t="shared" si="113"/>
        <v>#REF!</v>
      </c>
      <c r="U196" s="179" t="e">
        <f t="shared" si="113"/>
        <v>#REF!</v>
      </c>
      <c r="V196" s="179" t="e">
        <f t="shared" si="113"/>
        <v>#REF!</v>
      </c>
      <c r="W196" s="179" t="e">
        <f t="shared" si="113"/>
        <v>#REF!</v>
      </c>
      <c r="X196" s="179" t="e">
        <f t="shared" si="113"/>
        <v>#REF!</v>
      </c>
      <c r="Y196" s="179" t="e">
        <f t="shared" si="113"/>
        <v>#REF!</v>
      </c>
      <c r="Z196" s="179" t="e">
        <f t="shared" si="113"/>
        <v>#REF!</v>
      </c>
      <c r="AA196" s="179" t="e">
        <f t="shared" si="113"/>
        <v>#REF!</v>
      </c>
      <c r="AB196" s="179" t="e">
        <f t="shared" si="113"/>
        <v>#REF!</v>
      </c>
      <c r="AC196" s="179" t="e">
        <f t="shared" si="113"/>
        <v>#REF!</v>
      </c>
      <c r="AD196" s="179" t="e">
        <f t="shared" si="113"/>
        <v>#REF!</v>
      </c>
      <c r="AE196" s="179" t="e">
        <f t="shared" si="113"/>
        <v>#REF!</v>
      </c>
      <c r="AF196" s="179" t="e">
        <f t="shared" si="113"/>
        <v>#REF!</v>
      </c>
      <c r="AG196" s="179" t="e">
        <f t="shared" si="113"/>
        <v>#REF!</v>
      </c>
    </row>
    <row r="197" spans="1:33">
      <c r="A197" s="173" t="s">
        <v>317</v>
      </c>
      <c r="B197" s="173" t="s">
        <v>313</v>
      </c>
      <c r="C197" s="179" t="e">
        <f t="shared" si="113"/>
        <v>#REF!</v>
      </c>
      <c r="D197" s="179" t="e">
        <f t="shared" si="113"/>
        <v>#REF!</v>
      </c>
      <c r="E197" s="179" t="e">
        <f t="shared" si="113"/>
        <v>#REF!</v>
      </c>
      <c r="F197" s="179" t="e">
        <f t="shared" si="113"/>
        <v>#REF!</v>
      </c>
      <c r="G197" s="179" t="e">
        <f t="shared" si="113"/>
        <v>#REF!</v>
      </c>
      <c r="H197" s="179" t="e">
        <f t="shared" si="113"/>
        <v>#REF!</v>
      </c>
      <c r="I197" s="179" t="e">
        <f t="shared" si="113"/>
        <v>#REF!</v>
      </c>
      <c r="J197" s="179" t="e">
        <f t="shared" si="113"/>
        <v>#REF!</v>
      </c>
      <c r="K197" s="179" t="e">
        <f t="shared" si="113"/>
        <v>#REF!</v>
      </c>
      <c r="L197" s="179" t="e">
        <f t="shared" si="113"/>
        <v>#REF!</v>
      </c>
      <c r="M197" s="179" t="e">
        <f t="shared" si="113"/>
        <v>#REF!</v>
      </c>
      <c r="N197" s="179" t="e">
        <f t="shared" si="113"/>
        <v>#REF!</v>
      </c>
      <c r="O197" s="179" t="e">
        <f t="shared" si="113"/>
        <v>#REF!</v>
      </c>
      <c r="P197" s="179" t="e">
        <f t="shared" si="113"/>
        <v>#REF!</v>
      </c>
      <c r="Q197" s="179" t="e">
        <f t="shared" si="113"/>
        <v>#REF!</v>
      </c>
      <c r="R197" s="179" t="e">
        <f t="shared" si="113"/>
        <v>#REF!</v>
      </c>
      <c r="S197" s="179" t="e">
        <f t="shared" si="113"/>
        <v>#REF!</v>
      </c>
      <c r="T197" s="179" t="e">
        <f t="shared" si="113"/>
        <v>#REF!</v>
      </c>
      <c r="U197" s="179" t="e">
        <f t="shared" si="113"/>
        <v>#REF!</v>
      </c>
      <c r="V197" s="179" t="e">
        <f t="shared" si="113"/>
        <v>#REF!</v>
      </c>
      <c r="W197" s="179" t="e">
        <f t="shared" si="113"/>
        <v>#REF!</v>
      </c>
      <c r="X197" s="179" t="e">
        <f t="shared" si="113"/>
        <v>#REF!</v>
      </c>
      <c r="Y197" s="179" t="e">
        <f t="shared" si="113"/>
        <v>#REF!</v>
      </c>
      <c r="Z197" s="179" t="e">
        <f t="shared" si="113"/>
        <v>#REF!</v>
      </c>
      <c r="AA197" s="179" t="e">
        <f t="shared" si="113"/>
        <v>#REF!</v>
      </c>
      <c r="AB197" s="179" t="e">
        <f t="shared" si="113"/>
        <v>#REF!</v>
      </c>
      <c r="AC197" s="179" t="e">
        <f t="shared" si="113"/>
        <v>#REF!</v>
      </c>
      <c r="AD197" s="179" t="e">
        <f t="shared" si="113"/>
        <v>#REF!</v>
      </c>
      <c r="AE197" s="179" t="e">
        <f t="shared" si="113"/>
        <v>#REF!</v>
      </c>
      <c r="AF197" s="179" t="e">
        <f t="shared" si="113"/>
        <v>#REF!</v>
      </c>
      <c r="AG197" s="179" t="e">
        <f t="shared" si="113"/>
        <v>#REF!</v>
      </c>
    </row>
    <row r="198" spans="1:33">
      <c r="A198" s="173" t="s">
        <v>430</v>
      </c>
      <c r="B198" s="173" t="s">
        <v>313</v>
      </c>
      <c r="C198" s="179" t="e">
        <f t="shared" ref="C198:AG198" si="114">-PMT($C$33, C189, C188)/C189</f>
        <v>#REF!</v>
      </c>
      <c r="D198" s="179" t="e">
        <f t="shared" si="114"/>
        <v>#REF!</v>
      </c>
      <c r="E198" s="179" t="e">
        <f t="shared" si="114"/>
        <v>#REF!</v>
      </c>
      <c r="F198" s="179" t="e">
        <f t="shared" si="114"/>
        <v>#REF!</v>
      </c>
      <c r="G198" s="179" t="e">
        <f t="shared" si="114"/>
        <v>#REF!</v>
      </c>
      <c r="H198" s="179" t="e">
        <f t="shared" si="114"/>
        <v>#REF!</v>
      </c>
      <c r="I198" s="179" t="e">
        <f t="shared" si="114"/>
        <v>#REF!</v>
      </c>
      <c r="J198" s="179" t="e">
        <f t="shared" si="114"/>
        <v>#REF!</v>
      </c>
      <c r="K198" s="179" t="e">
        <f t="shared" si="114"/>
        <v>#REF!</v>
      </c>
      <c r="L198" s="179" t="e">
        <f t="shared" si="114"/>
        <v>#REF!</v>
      </c>
      <c r="M198" s="179" t="e">
        <f t="shared" si="114"/>
        <v>#REF!</v>
      </c>
      <c r="N198" s="179" t="e">
        <f t="shared" si="114"/>
        <v>#REF!</v>
      </c>
      <c r="O198" s="179" t="e">
        <f t="shared" si="114"/>
        <v>#REF!</v>
      </c>
      <c r="P198" s="179" t="e">
        <f t="shared" si="114"/>
        <v>#REF!</v>
      </c>
      <c r="Q198" s="179" t="e">
        <f t="shared" si="114"/>
        <v>#REF!</v>
      </c>
      <c r="R198" s="179" t="e">
        <f t="shared" si="114"/>
        <v>#REF!</v>
      </c>
      <c r="S198" s="179" t="e">
        <f t="shared" si="114"/>
        <v>#REF!</v>
      </c>
      <c r="T198" s="179" t="e">
        <f t="shared" si="114"/>
        <v>#REF!</v>
      </c>
      <c r="U198" s="179" t="e">
        <f t="shared" si="114"/>
        <v>#REF!</v>
      </c>
      <c r="V198" s="179" t="e">
        <f t="shared" si="114"/>
        <v>#REF!</v>
      </c>
      <c r="W198" s="179" t="e">
        <f t="shared" si="114"/>
        <v>#REF!</v>
      </c>
      <c r="X198" s="179" t="e">
        <f t="shared" si="114"/>
        <v>#REF!</v>
      </c>
      <c r="Y198" s="179" t="e">
        <f t="shared" si="114"/>
        <v>#REF!</v>
      </c>
      <c r="Z198" s="179" t="e">
        <f t="shared" si="114"/>
        <v>#REF!</v>
      </c>
      <c r="AA198" s="179" t="e">
        <f t="shared" si="114"/>
        <v>#REF!</v>
      </c>
      <c r="AB198" s="179" t="e">
        <f t="shared" si="114"/>
        <v>#REF!</v>
      </c>
      <c r="AC198" s="179" t="e">
        <f t="shared" si="114"/>
        <v>#REF!</v>
      </c>
      <c r="AD198" s="179" t="e">
        <f t="shared" si="114"/>
        <v>#REF!</v>
      </c>
      <c r="AE198" s="179" t="e">
        <f t="shared" si="114"/>
        <v>#REF!</v>
      </c>
      <c r="AF198" s="179" t="e">
        <f t="shared" si="114"/>
        <v>#REF!</v>
      </c>
      <c r="AG198" s="179" t="e">
        <f t="shared" si="114"/>
        <v>#REF!</v>
      </c>
    </row>
    <row r="199" spans="1:33">
      <c r="A199" s="173" t="s">
        <v>319</v>
      </c>
      <c r="B199" s="173" t="s">
        <v>313</v>
      </c>
      <c r="C199" s="179" t="e">
        <f>C193</f>
        <v>#REF!</v>
      </c>
      <c r="D199" s="179" t="e">
        <f t="shared" ref="D199:AG199" si="115">D193</f>
        <v>#REF!</v>
      </c>
      <c r="E199" s="179" t="e">
        <f t="shared" si="115"/>
        <v>#REF!</v>
      </c>
      <c r="F199" s="179" t="e">
        <f t="shared" si="115"/>
        <v>#REF!</v>
      </c>
      <c r="G199" s="179" t="e">
        <f t="shared" si="115"/>
        <v>#REF!</v>
      </c>
      <c r="H199" s="179" t="e">
        <f t="shared" si="115"/>
        <v>#REF!</v>
      </c>
      <c r="I199" s="179" t="e">
        <f t="shared" si="115"/>
        <v>#REF!</v>
      </c>
      <c r="J199" s="179" t="e">
        <f t="shared" si="115"/>
        <v>#REF!</v>
      </c>
      <c r="K199" s="179" t="e">
        <f t="shared" si="115"/>
        <v>#REF!</v>
      </c>
      <c r="L199" s="179" t="e">
        <f t="shared" si="115"/>
        <v>#REF!</v>
      </c>
      <c r="M199" s="179" t="e">
        <f t="shared" si="115"/>
        <v>#REF!</v>
      </c>
      <c r="N199" s="179" t="e">
        <f t="shared" si="115"/>
        <v>#REF!</v>
      </c>
      <c r="O199" s="179" t="e">
        <f t="shared" si="115"/>
        <v>#REF!</v>
      </c>
      <c r="P199" s="179" t="e">
        <f t="shared" si="115"/>
        <v>#REF!</v>
      </c>
      <c r="Q199" s="179" t="e">
        <f t="shared" si="115"/>
        <v>#REF!</v>
      </c>
      <c r="R199" s="179" t="e">
        <f t="shared" si="115"/>
        <v>#REF!</v>
      </c>
      <c r="S199" s="179" t="e">
        <f t="shared" si="115"/>
        <v>#REF!</v>
      </c>
      <c r="T199" s="179" t="e">
        <f t="shared" si="115"/>
        <v>#REF!</v>
      </c>
      <c r="U199" s="179" t="e">
        <f t="shared" si="115"/>
        <v>#REF!</v>
      </c>
      <c r="V199" s="179" t="e">
        <f t="shared" si="115"/>
        <v>#REF!</v>
      </c>
      <c r="W199" s="179" t="e">
        <f t="shared" si="115"/>
        <v>#REF!</v>
      </c>
      <c r="X199" s="179" t="e">
        <f t="shared" si="115"/>
        <v>#REF!</v>
      </c>
      <c r="Y199" s="179" t="e">
        <f t="shared" si="115"/>
        <v>#REF!</v>
      </c>
      <c r="Z199" s="179" t="e">
        <f t="shared" si="115"/>
        <v>#REF!</v>
      </c>
      <c r="AA199" s="179" t="e">
        <f t="shared" si="115"/>
        <v>#REF!</v>
      </c>
      <c r="AB199" s="179" t="e">
        <f t="shared" si="115"/>
        <v>#REF!</v>
      </c>
      <c r="AC199" s="179" t="e">
        <f t="shared" si="115"/>
        <v>#REF!</v>
      </c>
      <c r="AD199" s="179" t="e">
        <f t="shared" si="115"/>
        <v>#REF!</v>
      </c>
      <c r="AE199" s="179" t="e">
        <f t="shared" si="115"/>
        <v>#REF!</v>
      </c>
      <c r="AF199" s="179" t="e">
        <f t="shared" si="115"/>
        <v>#REF!</v>
      </c>
      <c r="AG199" s="179" t="e">
        <f t="shared" si="115"/>
        <v>#REF!</v>
      </c>
    </row>
    <row r="200" spans="1:33" s="247" customFormat="1" ht="11.85" customHeight="1">
      <c r="A200" s="270" t="s">
        <v>320</v>
      </c>
      <c r="C200" s="273"/>
      <c r="D200" s="273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  <c r="AC200" s="273"/>
      <c r="AD200" s="273"/>
      <c r="AE200" s="273"/>
      <c r="AF200" s="273"/>
      <c r="AG200" s="273"/>
    </row>
    <row r="201" spans="1:33">
      <c r="A201" s="173" t="s">
        <v>325</v>
      </c>
      <c r="B201" s="173" t="s">
        <v>300</v>
      </c>
      <c r="C201" s="179" t="e">
        <f t="shared" ref="C201:AG202" si="116">C195/($C$28*$C$27)</f>
        <v>#REF!</v>
      </c>
      <c r="D201" s="179" t="e">
        <f t="shared" si="116"/>
        <v>#REF!</v>
      </c>
      <c r="E201" s="179" t="e">
        <f t="shared" si="116"/>
        <v>#REF!</v>
      </c>
      <c r="F201" s="179" t="e">
        <f t="shared" si="116"/>
        <v>#REF!</v>
      </c>
      <c r="G201" s="179" t="e">
        <f t="shared" si="116"/>
        <v>#REF!</v>
      </c>
      <c r="H201" s="179" t="e">
        <f t="shared" si="116"/>
        <v>#REF!</v>
      </c>
      <c r="I201" s="179" t="e">
        <f t="shared" si="116"/>
        <v>#REF!</v>
      </c>
      <c r="J201" s="179" t="e">
        <f t="shared" si="116"/>
        <v>#REF!</v>
      </c>
      <c r="K201" s="179" t="e">
        <f t="shared" si="116"/>
        <v>#REF!</v>
      </c>
      <c r="L201" s="179" t="e">
        <f t="shared" si="116"/>
        <v>#REF!</v>
      </c>
      <c r="M201" s="179" t="e">
        <f t="shared" si="116"/>
        <v>#REF!</v>
      </c>
      <c r="N201" s="179" t="e">
        <f t="shared" si="116"/>
        <v>#REF!</v>
      </c>
      <c r="O201" s="179" t="e">
        <f t="shared" si="116"/>
        <v>#REF!</v>
      </c>
      <c r="P201" s="179" t="e">
        <f t="shared" si="116"/>
        <v>#REF!</v>
      </c>
      <c r="Q201" s="179" t="e">
        <f t="shared" si="116"/>
        <v>#REF!</v>
      </c>
      <c r="R201" s="179" t="e">
        <f t="shared" si="116"/>
        <v>#REF!</v>
      </c>
      <c r="S201" s="179" t="e">
        <f t="shared" si="116"/>
        <v>#REF!</v>
      </c>
      <c r="T201" s="179" t="e">
        <f t="shared" si="116"/>
        <v>#REF!</v>
      </c>
      <c r="U201" s="179" t="e">
        <f t="shared" si="116"/>
        <v>#REF!</v>
      </c>
      <c r="V201" s="179" t="e">
        <f t="shared" si="116"/>
        <v>#REF!</v>
      </c>
      <c r="W201" s="179" t="e">
        <f t="shared" si="116"/>
        <v>#REF!</v>
      </c>
      <c r="X201" s="179" t="e">
        <f t="shared" si="116"/>
        <v>#REF!</v>
      </c>
      <c r="Y201" s="179" t="e">
        <f t="shared" si="116"/>
        <v>#REF!</v>
      </c>
      <c r="Z201" s="179" t="e">
        <f t="shared" si="116"/>
        <v>#REF!</v>
      </c>
      <c r="AA201" s="179" t="e">
        <f t="shared" si="116"/>
        <v>#REF!</v>
      </c>
      <c r="AB201" s="179" t="e">
        <f t="shared" si="116"/>
        <v>#REF!</v>
      </c>
      <c r="AC201" s="179" t="e">
        <f t="shared" si="116"/>
        <v>#REF!</v>
      </c>
      <c r="AD201" s="179" t="e">
        <f t="shared" si="116"/>
        <v>#REF!</v>
      </c>
      <c r="AE201" s="179" t="e">
        <f t="shared" si="116"/>
        <v>#REF!</v>
      </c>
      <c r="AF201" s="179" t="e">
        <f t="shared" si="116"/>
        <v>#REF!</v>
      </c>
      <c r="AG201" s="179" t="e">
        <f t="shared" si="116"/>
        <v>#REF!</v>
      </c>
    </row>
    <row r="202" spans="1:33">
      <c r="A202" s="173" t="s">
        <v>321</v>
      </c>
      <c r="B202" s="173" t="s">
        <v>300</v>
      </c>
      <c r="C202" s="179" t="e">
        <f t="shared" si="116"/>
        <v>#REF!</v>
      </c>
      <c r="D202" s="179" t="e">
        <f t="shared" si="116"/>
        <v>#REF!</v>
      </c>
      <c r="E202" s="179" t="e">
        <f t="shared" si="116"/>
        <v>#REF!</v>
      </c>
      <c r="F202" s="179" t="e">
        <f t="shared" si="116"/>
        <v>#REF!</v>
      </c>
      <c r="G202" s="179" t="e">
        <f t="shared" si="116"/>
        <v>#REF!</v>
      </c>
      <c r="H202" s="179" t="e">
        <f t="shared" si="116"/>
        <v>#REF!</v>
      </c>
      <c r="I202" s="179" t="e">
        <f t="shared" si="116"/>
        <v>#REF!</v>
      </c>
      <c r="J202" s="179" t="e">
        <f t="shared" si="116"/>
        <v>#REF!</v>
      </c>
      <c r="K202" s="179" t="e">
        <f t="shared" si="116"/>
        <v>#REF!</v>
      </c>
      <c r="L202" s="179" t="e">
        <f t="shared" si="116"/>
        <v>#REF!</v>
      </c>
      <c r="M202" s="179" t="e">
        <f t="shared" si="116"/>
        <v>#REF!</v>
      </c>
      <c r="N202" s="179" t="e">
        <f t="shared" si="116"/>
        <v>#REF!</v>
      </c>
      <c r="O202" s="179" t="e">
        <f t="shared" si="116"/>
        <v>#REF!</v>
      </c>
      <c r="P202" s="179" t="e">
        <f t="shared" si="116"/>
        <v>#REF!</v>
      </c>
      <c r="Q202" s="179" t="e">
        <f t="shared" si="116"/>
        <v>#REF!</v>
      </c>
      <c r="R202" s="179" t="e">
        <f t="shared" si="116"/>
        <v>#REF!</v>
      </c>
      <c r="S202" s="179" t="e">
        <f t="shared" si="116"/>
        <v>#REF!</v>
      </c>
      <c r="T202" s="179" t="e">
        <f t="shared" si="116"/>
        <v>#REF!</v>
      </c>
      <c r="U202" s="179" t="e">
        <f t="shared" si="116"/>
        <v>#REF!</v>
      </c>
      <c r="V202" s="179" t="e">
        <f t="shared" si="116"/>
        <v>#REF!</v>
      </c>
      <c r="W202" s="179" t="e">
        <f t="shared" si="116"/>
        <v>#REF!</v>
      </c>
      <c r="X202" s="179" t="e">
        <f t="shared" si="116"/>
        <v>#REF!</v>
      </c>
      <c r="Y202" s="179" t="e">
        <f t="shared" si="116"/>
        <v>#REF!</v>
      </c>
      <c r="Z202" s="179" t="e">
        <f t="shared" si="116"/>
        <v>#REF!</v>
      </c>
      <c r="AA202" s="179" t="e">
        <f t="shared" si="116"/>
        <v>#REF!</v>
      </c>
      <c r="AB202" s="179" t="e">
        <f t="shared" si="116"/>
        <v>#REF!</v>
      </c>
      <c r="AC202" s="179" t="e">
        <f t="shared" si="116"/>
        <v>#REF!</v>
      </c>
      <c r="AD202" s="179" t="e">
        <f t="shared" si="116"/>
        <v>#REF!</v>
      </c>
      <c r="AE202" s="179" t="e">
        <f t="shared" si="116"/>
        <v>#REF!</v>
      </c>
      <c r="AF202" s="179" t="e">
        <f t="shared" si="116"/>
        <v>#REF!</v>
      </c>
      <c r="AG202" s="179" t="e">
        <f t="shared" si="116"/>
        <v>#REF!</v>
      </c>
    </row>
    <row r="203" spans="1:33">
      <c r="A203" s="173" t="s">
        <v>322</v>
      </c>
      <c r="B203" s="173" t="s">
        <v>300</v>
      </c>
      <c r="C203" s="179" t="e">
        <f t="shared" ref="C203:AG203" si="117">(C197+C199+C198+C71)/($C$28*$C$27)+C64</f>
        <v>#REF!</v>
      </c>
      <c r="D203" s="179" t="e">
        <f t="shared" si="117"/>
        <v>#REF!</v>
      </c>
      <c r="E203" s="179" t="e">
        <f t="shared" si="117"/>
        <v>#REF!</v>
      </c>
      <c r="F203" s="179" t="e">
        <f t="shared" si="117"/>
        <v>#REF!</v>
      </c>
      <c r="G203" s="179" t="e">
        <f t="shared" si="117"/>
        <v>#REF!</v>
      </c>
      <c r="H203" s="179" t="e">
        <f t="shared" si="117"/>
        <v>#REF!</v>
      </c>
      <c r="I203" s="179" t="e">
        <f t="shared" si="117"/>
        <v>#REF!</v>
      </c>
      <c r="J203" s="179" t="e">
        <f t="shared" si="117"/>
        <v>#REF!</v>
      </c>
      <c r="K203" s="179" t="e">
        <f t="shared" si="117"/>
        <v>#REF!</v>
      </c>
      <c r="L203" s="179" t="e">
        <f t="shared" si="117"/>
        <v>#REF!</v>
      </c>
      <c r="M203" s="179" t="e">
        <f t="shared" si="117"/>
        <v>#REF!</v>
      </c>
      <c r="N203" s="179" t="e">
        <f t="shared" si="117"/>
        <v>#REF!</v>
      </c>
      <c r="O203" s="179" t="e">
        <f t="shared" si="117"/>
        <v>#REF!</v>
      </c>
      <c r="P203" s="179" t="e">
        <f t="shared" si="117"/>
        <v>#REF!</v>
      </c>
      <c r="Q203" s="179" t="e">
        <f t="shared" si="117"/>
        <v>#REF!</v>
      </c>
      <c r="R203" s="179" t="e">
        <f t="shared" si="117"/>
        <v>#REF!</v>
      </c>
      <c r="S203" s="179" t="e">
        <f t="shared" si="117"/>
        <v>#REF!</v>
      </c>
      <c r="T203" s="179" t="e">
        <f t="shared" si="117"/>
        <v>#REF!</v>
      </c>
      <c r="U203" s="179" t="e">
        <f t="shared" si="117"/>
        <v>#REF!</v>
      </c>
      <c r="V203" s="179" t="e">
        <f t="shared" si="117"/>
        <v>#REF!</v>
      </c>
      <c r="W203" s="179" t="e">
        <f t="shared" si="117"/>
        <v>#REF!</v>
      </c>
      <c r="X203" s="179" t="e">
        <f t="shared" si="117"/>
        <v>#REF!</v>
      </c>
      <c r="Y203" s="179" t="e">
        <f t="shared" si="117"/>
        <v>#REF!</v>
      </c>
      <c r="Z203" s="179" t="e">
        <f t="shared" si="117"/>
        <v>#REF!</v>
      </c>
      <c r="AA203" s="179" t="e">
        <f t="shared" si="117"/>
        <v>#REF!</v>
      </c>
      <c r="AB203" s="179" t="e">
        <f t="shared" si="117"/>
        <v>#REF!</v>
      </c>
      <c r="AC203" s="179" t="e">
        <f t="shared" si="117"/>
        <v>#REF!</v>
      </c>
      <c r="AD203" s="179" t="e">
        <f t="shared" si="117"/>
        <v>#REF!</v>
      </c>
      <c r="AE203" s="179" t="e">
        <f t="shared" si="117"/>
        <v>#REF!</v>
      </c>
      <c r="AF203" s="179" t="e">
        <f t="shared" si="117"/>
        <v>#REF!</v>
      </c>
      <c r="AG203" s="179" t="e">
        <f t="shared" si="117"/>
        <v>#REF!</v>
      </c>
    </row>
    <row r="204" spans="1:33">
      <c r="C204" s="271" t="e">
        <f t="shared" ref="C204:AB204" si="118">SUM(C201:C203)</f>
        <v>#REF!</v>
      </c>
      <c r="D204" s="271" t="e">
        <f t="shared" si="118"/>
        <v>#REF!</v>
      </c>
      <c r="E204" s="271" t="e">
        <f t="shared" si="118"/>
        <v>#REF!</v>
      </c>
      <c r="F204" s="271" t="e">
        <f t="shared" si="118"/>
        <v>#REF!</v>
      </c>
      <c r="G204" s="271" t="e">
        <f t="shared" si="118"/>
        <v>#REF!</v>
      </c>
      <c r="H204" s="271" t="e">
        <f t="shared" si="118"/>
        <v>#REF!</v>
      </c>
      <c r="I204" s="271" t="e">
        <f t="shared" si="118"/>
        <v>#REF!</v>
      </c>
      <c r="J204" s="271" t="e">
        <f t="shared" si="118"/>
        <v>#REF!</v>
      </c>
      <c r="K204" s="271" t="e">
        <f t="shared" si="118"/>
        <v>#REF!</v>
      </c>
      <c r="L204" s="271" t="e">
        <f t="shared" si="118"/>
        <v>#REF!</v>
      </c>
      <c r="M204" s="271" t="e">
        <f t="shared" si="118"/>
        <v>#REF!</v>
      </c>
      <c r="N204" s="271" t="e">
        <f t="shared" si="118"/>
        <v>#REF!</v>
      </c>
      <c r="O204" s="271" t="e">
        <f t="shared" si="118"/>
        <v>#REF!</v>
      </c>
      <c r="P204" s="271" t="e">
        <f t="shared" si="118"/>
        <v>#REF!</v>
      </c>
      <c r="Q204" s="271" t="e">
        <f t="shared" si="118"/>
        <v>#REF!</v>
      </c>
      <c r="R204" s="271" t="e">
        <f t="shared" si="118"/>
        <v>#REF!</v>
      </c>
      <c r="S204" s="271" t="e">
        <f t="shared" si="118"/>
        <v>#REF!</v>
      </c>
      <c r="T204" s="271" t="e">
        <f t="shared" si="118"/>
        <v>#REF!</v>
      </c>
      <c r="U204" s="271" t="e">
        <f t="shared" si="118"/>
        <v>#REF!</v>
      </c>
      <c r="V204" s="271" t="e">
        <f t="shared" si="118"/>
        <v>#REF!</v>
      </c>
      <c r="W204" s="271" t="e">
        <f t="shared" si="118"/>
        <v>#REF!</v>
      </c>
      <c r="X204" s="271" t="e">
        <f t="shared" si="118"/>
        <v>#REF!</v>
      </c>
      <c r="Y204" s="271" t="e">
        <f t="shared" si="118"/>
        <v>#REF!</v>
      </c>
      <c r="Z204" s="271" t="e">
        <f t="shared" si="118"/>
        <v>#REF!</v>
      </c>
      <c r="AA204" s="271" t="e">
        <f t="shared" si="118"/>
        <v>#REF!</v>
      </c>
      <c r="AB204" s="271" t="e">
        <f t="shared" si="118"/>
        <v>#REF!</v>
      </c>
      <c r="AC204" s="271" t="e">
        <f t="shared" ref="AC204:AG204" si="119">SUM(AC201:AC203)</f>
        <v>#REF!</v>
      </c>
      <c r="AD204" s="271" t="e">
        <f t="shared" si="119"/>
        <v>#REF!</v>
      </c>
      <c r="AE204" s="271" t="e">
        <f t="shared" si="119"/>
        <v>#REF!</v>
      </c>
      <c r="AF204" s="271" t="e">
        <f t="shared" si="119"/>
        <v>#REF!</v>
      </c>
      <c r="AG204" s="271" t="e">
        <f t="shared" si="119"/>
        <v>#REF!</v>
      </c>
    </row>
    <row r="205" spans="1:33">
      <c r="A205" s="235" t="s">
        <v>323</v>
      </c>
      <c r="B205" s="235"/>
      <c r="C205" s="235">
        <v>2025</v>
      </c>
      <c r="D205" s="235">
        <f t="shared" ref="D205:AG205" si="120">C205+1</f>
        <v>2026</v>
      </c>
      <c r="E205" s="235">
        <f t="shared" si="120"/>
        <v>2027</v>
      </c>
      <c r="F205" s="235">
        <f t="shared" si="120"/>
        <v>2028</v>
      </c>
      <c r="G205" s="235">
        <f t="shared" si="120"/>
        <v>2029</v>
      </c>
      <c r="H205" s="235">
        <f t="shared" si="120"/>
        <v>2030</v>
      </c>
      <c r="I205" s="235">
        <f t="shared" si="120"/>
        <v>2031</v>
      </c>
      <c r="J205" s="235">
        <f t="shared" si="120"/>
        <v>2032</v>
      </c>
      <c r="K205" s="235">
        <f t="shared" si="120"/>
        <v>2033</v>
      </c>
      <c r="L205" s="235">
        <f t="shared" si="120"/>
        <v>2034</v>
      </c>
      <c r="M205" s="235">
        <f t="shared" si="120"/>
        <v>2035</v>
      </c>
      <c r="N205" s="235">
        <f t="shared" si="120"/>
        <v>2036</v>
      </c>
      <c r="O205" s="235">
        <f t="shared" si="120"/>
        <v>2037</v>
      </c>
      <c r="P205" s="235">
        <f t="shared" si="120"/>
        <v>2038</v>
      </c>
      <c r="Q205" s="235">
        <f t="shared" si="120"/>
        <v>2039</v>
      </c>
      <c r="R205" s="235">
        <f t="shared" si="120"/>
        <v>2040</v>
      </c>
      <c r="S205" s="235">
        <f t="shared" si="120"/>
        <v>2041</v>
      </c>
      <c r="T205" s="235">
        <f t="shared" si="120"/>
        <v>2042</v>
      </c>
      <c r="U205" s="235">
        <f t="shared" si="120"/>
        <v>2043</v>
      </c>
      <c r="V205" s="235">
        <f t="shared" si="120"/>
        <v>2044</v>
      </c>
      <c r="W205" s="235">
        <f t="shared" si="120"/>
        <v>2045</v>
      </c>
      <c r="X205" s="235">
        <f t="shared" si="120"/>
        <v>2046</v>
      </c>
      <c r="Y205" s="235">
        <f t="shared" si="120"/>
        <v>2047</v>
      </c>
      <c r="Z205" s="235">
        <f t="shared" si="120"/>
        <v>2048</v>
      </c>
      <c r="AA205" s="235">
        <f t="shared" si="120"/>
        <v>2049</v>
      </c>
      <c r="AB205" s="235">
        <f t="shared" si="120"/>
        <v>2050</v>
      </c>
      <c r="AC205" s="235">
        <f t="shared" si="120"/>
        <v>2051</v>
      </c>
      <c r="AD205" s="235">
        <f t="shared" si="120"/>
        <v>2052</v>
      </c>
      <c r="AE205" s="235">
        <f t="shared" si="120"/>
        <v>2053</v>
      </c>
      <c r="AF205" s="235">
        <f t="shared" si="120"/>
        <v>2054</v>
      </c>
      <c r="AG205" s="235">
        <f t="shared" si="120"/>
        <v>2055</v>
      </c>
    </row>
    <row r="206" spans="1:33">
      <c r="A206" s="173" t="str">
        <f>A86</f>
        <v xml:space="preserve">Diesel   </v>
      </c>
      <c r="B206" s="173" t="str">
        <f>A206</f>
        <v xml:space="preserve">Diesel   </v>
      </c>
      <c r="C206" s="295" t="e">
        <f t="shared" ref="C206:AG206" si="121">SUM(C101:C103)</f>
        <v>#REF!</v>
      </c>
      <c r="D206" s="295" t="e">
        <f t="shared" si="121"/>
        <v>#REF!</v>
      </c>
      <c r="E206" s="295" t="e">
        <f t="shared" si="121"/>
        <v>#REF!</v>
      </c>
      <c r="F206" s="295" t="e">
        <f t="shared" si="121"/>
        <v>#REF!</v>
      </c>
      <c r="G206" s="295" t="e">
        <f t="shared" si="121"/>
        <v>#REF!</v>
      </c>
      <c r="H206" s="295" t="e">
        <f t="shared" si="121"/>
        <v>#REF!</v>
      </c>
      <c r="I206" s="295" t="e">
        <f t="shared" si="121"/>
        <v>#REF!</v>
      </c>
      <c r="J206" s="295" t="e">
        <f t="shared" si="121"/>
        <v>#REF!</v>
      </c>
      <c r="K206" s="295" t="e">
        <f t="shared" si="121"/>
        <v>#REF!</v>
      </c>
      <c r="L206" s="295" t="e">
        <f t="shared" si="121"/>
        <v>#REF!</v>
      </c>
      <c r="M206" s="295" t="e">
        <f t="shared" si="121"/>
        <v>#REF!</v>
      </c>
      <c r="N206" s="295" t="e">
        <f t="shared" si="121"/>
        <v>#REF!</v>
      </c>
      <c r="O206" s="295" t="e">
        <f t="shared" si="121"/>
        <v>#REF!</v>
      </c>
      <c r="P206" s="295" t="e">
        <f t="shared" si="121"/>
        <v>#REF!</v>
      </c>
      <c r="Q206" s="295" t="e">
        <f t="shared" si="121"/>
        <v>#REF!</v>
      </c>
      <c r="R206" s="295" t="e">
        <f t="shared" si="121"/>
        <v>#REF!</v>
      </c>
      <c r="S206" s="295" t="e">
        <f t="shared" si="121"/>
        <v>#REF!</v>
      </c>
      <c r="T206" s="295" t="e">
        <f t="shared" si="121"/>
        <v>#REF!</v>
      </c>
      <c r="U206" s="295" t="e">
        <f t="shared" si="121"/>
        <v>#REF!</v>
      </c>
      <c r="V206" s="295" t="e">
        <f t="shared" si="121"/>
        <v>#REF!</v>
      </c>
      <c r="W206" s="295" t="e">
        <f t="shared" si="121"/>
        <v>#REF!</v>
      </c>
      <c r="X206" s="295" t="e">
        <f t="shared" si="121"/>
        <v>#REF!</v>
      </c>
      <c r="Y206" s="295" t="e">
        <f t="shared" si="121"/>
        <v>#REF!</v>
      </c>
      <c r="Z206" s="295" t="e">
        <f t="shared" si="121"/>
        <v>#REF!</v>
      </c>
      <c r="AA206" s="295" t="e">
        <f t="shared" si="121"/>
        <v>#REF!</v>
      </c>
      <c r="AB206" s="295" t="e">
        <f t="shared" si="121"/>
        <v>#REF!</v>
      </c>
      <c r="AC206" s="295" t="e">
        <f t="shared" si="121"/>
        <v>#REF!</v>
      </c>
      <c r="AD206" s="295" t="e">
        <f t="shared" si="121"/>
        <v>#REF!</v>
      </c>
      <c r="AE206" s="295" t="e">
        <f t="shared" si="121"/>
        <v>#REF!</v>
      </c>
      <c r="AF206" s="295" t="e">
        <f t="shared" si="121"/>
        <v>#REF!</v>
      </c>
      <c r="AG206" s="295" t="e">
        <f t="shared" si="121"/>
        <v>#REF!</v>
      </c>
    </row>
    <row r="207" spans="1:33">
      <c r="A207" s="290" t="s">
        <v>179</v>
      </c>
      <c r="B207" s="290" t="s">
        <v>179</v>
      </c>
      <c r="C207" s="295" t="e">
        <f>SUM(C118:C120)</f>
        <v>#REF!</v>
      </c>
      <c r="D207" s="295" t="e">
        <f t="shared" ref="D207:AG207" si="122">SUM(D118:D120)</f>
        <v>#REF!</v>
      </c>
      <c r="E207" s="295" t="e">
        <f t="shared" si="122"/>
        <v>#REF!</v>
      </c>
      <c r="F207" s="295" t="e">
        <f t="shared" si="122"/>
        <v>#REF!</v>
      </c>
      <c r="G207" s="295" t="e">
        <f t="shared" si="122"/>
        <v>#REF!</v>
      </c>
      <c r="H207" s="295" t="e">
        <f t="shared" si="122"/>
        <v>#REF!</v>
      </c>
      <c r="I207" s="295" t="e">
        <f t="shared" si="122"/>
        <v>#REF!</v>
      </c>
      <c r="J207" s="295" t="e">
        <f t="shared" si="122"/>
        <v>#REF!</v>
      </c>
      <c r="K207" s="295" t="e">
        <f t="shared" si="122"/>
        <v>#REF!</v>
      </c>
      <c r="L207" s="295" t="e">
        <f t="shared" si="122"/>
        <v>#REF!</v>
      </c>
      <c r="M207" s="295" t="e">
        <f t="shared" si="122"/>
        <v>#REF!</v>
      </c>
      <c r="N207" s="295" t="e">
        <f t="shared" si="122"/>
        <v>#REF!</v>
      </c>
      <c r="O207" s="295" t="e">
        <f t="shared" si="122"/>
        <v>#REF!</v>
      </c>
      <c r="P207" s="295" t="e">
        <f t="shared" si="122"/>
        <v>#REF!</v>
      </c>
      <c r="Q207" s="295" t="e">
        <f t="shared" si="122"/>
        <v>#REF!</v>
      </c>
      <c r="R207" s="295" t="e">
        <f t="shared" si="122"/>
        <v>#REF!</v>
      </c>
      <c r="S207" s="295" t="e">
        <f t="shared" si="122"/>
        <v>#REF!</v>
      </c>
      <c r="T207" s="295" t="e">
        <f t="shared" si="122"/>
        <v>#REF!</v>
      </c>
      <c r="U207" s="295" t="e">
        <f t="shared" si="122"/>
        <v>#REF!</v>
      </c>
      <c r="V207" s="295" t="e">
        <f t="shared" si="122"/>
        <v>#REF!</v>
      </c>
      <c r="W207" s="295" t="e">
        <f t="shared" si="122"/>
        <v>#REF!</v>
      </c>
      <c r="X207" s="295" t="e">
        <f t="shared" si="122"/>
        <v>#REF!</v>
      </c>
      <c r="Y207" s="295" t="e">
        <f t="shared" si="122"/>
        <v>#REF!</v>
      </c>
      <c r="Z207" s="295" t="e">
        <f t="shared" si="122"/>
        <v>#REF!</v>
      </c>
      <c r="AA207" s="295" t="e">
        <f t="shared" si="122"/>
        <v>#REF!</v>
      </c>
      <c r="AB207" s="295" t="e">
        <f t="shared" si="122"/>
        <v>#REF!</v>
      </c>
      <c r="AC207" s="295" t="e">
        <f t="shared" si="122"/>
        <v>#REF!</v>
      </c>
      <c r="AD207" s="295" t="e">
        <f t="shared" si="122"/>
        <v>#REF!</v>
      </c>
      <c r="AE207" s="295" t="e">
        <f t="shared" si="122"/>
        <v>#REF!</v>
      </c>
      <c r="AF207" s="295" t="e">
        <f t="shared" si="122"/>
        <v>#REF!</v>
      </c>
      <c r="AG207" s="295" t="e">
        <f t="shared" si="122"/>
        <v>#REF!</v>
      </c>
    </row>
    <row r="208" spans="1:33">
      <c r="A208" s="173" t="s">
        <v>180</v>
      </c>
      <c r="B208" s="173" t="s">
        <v>180</v>
      </c>
      <c r="C208" s="295" t="e">
        <f t="shared" ref="C208:AG208" si="123">SUM(C135:C137)</f>
        <v>#REF!</v>
      </c>
      <c r="D208" s="295" t="e">
        <f t="shared" si="123"/>
        <v>#REF!</v>
      </c>
      <c r="E208" s="295" t="e">
        <f t="shared" si="123"/>
        <v>#REF!</v>
      </c>
      <c r="F208" s="295" t="e">
        <f t="shared" si="123"/>
        <v>#REF!</v>
      </c>
      <c r="G208" s="295" t="e">
        <f t="shared" si="123"/>
        <v>#REF!</v>
      </c>
      <c r="H208" s="295" t="e">
        <f t="shared" si="123"/>
        <v>#REF!</v>
      </c>
      <c r="I208" s="295" t="e">
        <f t="shared" si="123"/>
        <v>#REF!</v>
      </c>
      <c r="J208" s="295" t="e">
        <f t="shared" si="123"/>
        <v>#REF!</v>
      </c>
      <c r="K208" s="295" t="e">
        <f t="shared" si="123"/>
        <v>#REF!</v>
      </c>
      <c r="L208" s="295" t="e">
        <f t="shared" si="123"/>
        <v>#REF!</v>
      </c>
      <c r="M208" s="295" t="e">
        <f t="shared" si="123"/>
        <v>#REF!</v>
      </c>
      <c r="N208" s="295" t="e">
        <f t="shared" si="123"/>
        <v>#REF!</v>
      </c>
      <c r="O208" s="295" t="e">
        <f t="shared" si="123"/>
        <v>#REF!</v>
      </c>
      <c r="P208" s="295" t="e">
        <f t="shared" si="123"/>
        <v>#REF!</v>
      </c>
      <c r="Q208" s="295" t="e">
        <f t="shared" si="123"/>
        <v>#REF!</v>
      </c>
      <c r="R208" s="295" t="e">
        <f t="shared" si="123"/>
        <v>#REF!</v>
      </c>
      <c r="S208" s="295" t="e">
        <f t="shared" si="123"/>
        <v>#REF!</v>
      </c>
      <c r="T208" s="295" t="e">
        <f t="shared" si="123"/>
        <v>#REF!</v>
      </c>
      <c r="U208" s="295" t="e">
        <f t="shared" si="123"/>
        <v>#REF!</v>
      </c>
      <c r="V208" s="295" t="e">
        <f t="shared" si="123"/>
        <v>#REF!</v>
      </c>
      <c r="W208" s="295" t="e">
        <f t="shared" si="123"/>
        <v>#REF!</v>
      </c>
      <c r="X208" s="295" t="e">
        <f t="shared" si="123"/>
        <v>#REF!</v>
      </c>
      <c r="Y208" s="295" t="e">
        <f t="shared" si="123"/>
        <v>#REF!</v>
      </c>
      <c r="Z208" s="295" t="e">
        <f t="shared" si="123"/>
        <v>#REF!</v>
      </c>
      <c r="AA208" s="295" t="e">
        <f t="shared" si="123"/>
        <v>#REF!</v>
      </c>
      <c r="AB208" s="295" t="e">
        <f t="shared" si="123"/>
        <v>#REF!</v>
      </c>
      <c r="AC208" s="295" t="e">
        <f t="shared" si="123"/>
        <v>#REF!</v>
      </c>
      <c r="AD208" s="295" t="e">
        <f t="shared" si="123"/>
        <v>#REF!</v>
      </c>
      <c r="AE208" s="295" t="e">
        <f t="shared" si="123"/>
        <v>#REF!</v>
      </c>
      <c r="AF208" s="295" t="e">
        <f t="shared" si="123"/>
        <v>#REF!</v>
      </c>
      <c r="AG208" s="295" t="e">
        <f t="shared" si="123"/>
        <v>#REF!</v>
      </c>
    </row>
    <row r="209" spans="1:33">
      <c r="A209" s="173" t="str">
        <f>A139</f>
        <v>H2-ICE</v>
      </c>
      <c r="B209" s="173" t="str">
        <f t="shared" ref="B209:B211" si="124">A209</f>
        <v>H2-ICE</v>
      </c>
      <c r="C209" s="295" t="e">
        <f t="shared" ref="C209:AG209" si="125">SUM(C152:C154)</f>
        <v>#REF!</v>
      </c>
      <c r="D209" s="295" t="e">
        <f t="shared" si="125"/>
        <v>#REF!</v>
      </c>
      <c r="E209" s="295" t="e">
        <f t="shared" si="125"/>
        <v>#REF!</v>
      </c>
      <c r="F209" s="295" t="e">
        <f t="shared" si="125"/>
        <v>#REF!</v>
      </c>
      <c r="G209" s="295" t="e">
        <f t="shared" si="125"/>
        <v>#REF!</v>
      </c>
      <c r="H209" s="295" t="e">
        <f t="shared" si="125"/>
        <v>#REF!</v>
      </c>
      <c r="I209" s="295" t="e">
        <f t="shared" si="125"/>
        <v>#REF!</v>
      </c>
      <c r="J209" s="295" t="e">
        <f t="shared" si="125"/>
        <v>#REF!</v>
      </c>
      <c r="K209" s="295" t="e">
        <f t="shared" si="125"/>
        <v>#REF!</v>
      </c>
      <c r="L209" s="295" t="e">
        <f t="shared" si="125"/>
        <v>#REF!</v>
      </c>
      <c r="M209" s="295" t="e">
        <f t="shared" si="125"/>
        <v>#REF!</v>
      </c>
      <c r="N209" s="295" t="e">
        <f t="shared" si="125"/>
        <v>#REF!</v>
      </c>
      <c r="O209" s="295" t="e">
        <f t="shared" si="125"/>
        <v>#REF!</v>
      </c>
      <c r="P209" s="295" t="e">
        <f t="shared" si="125"/>
        <v>#REF!</v>
      </c>
      <c r="Q209" s="295" t="e">
        <f t="shared" si="125"/>
        <v>#REF!</v>
      </c>
      <c r="R209" s="295" t="e">
        <f t="shared" si="125"/>
        <v>#REF!</v>
      </c>
      <c r="S209" s="295" t="e">
        <f t="shared" si="125"/>
        <v>#REF!</v>
      </c>
      <c r="T209" s="295" t="e">
        <f t="shared" si="125"/>
        <v>#REF!</v>
      </c>
      <c r="U209" s="295" t="e">
        <f t="shared" si="125"/>
        <v>#REF!</v>
      </c>
      <c r="V209" s="295" t="e">
        <f t="shared" si="125"/>
        <v>#REF!</v>
      </c>
      <c r="W209" s="295" t="e">
        <f t="shared" si="125"/>
        <v>#REF!</v>
      </c>
      <c r="X209" s="295" t="e">
        <f t="shared" si="125"/>
        <v>#REF!</v>
      </c>
      <c r="Y209" s="295" t="e">
        <f t="shared" si="125"/>
        <v>#REF!</v>
      </c>
      <c r="Z209" s="295" t="e">
        <f t="shared" si="125"/>
        <v>#REF!</v>
      </c>
      <c r="AA209" s="295" t="e">
        <f t="shared" si="125"/>
        <v>#REF!</v>
      </c>
      <c r="AB209" s="295" t="e">
        <f t="shared" si="125"/>
        <v>#REF!</v>
      </c>
      <c r="AC209" s="295" t="e">
        <f t="shared" si="125"/>
        <v>#REF!</v>
      </c>
      <c r="AD209" s="295" t="e">
        <f t="shared" si="125"/>
        <v>#REF!</v>
      </c>
      <c r="AE209" s="295" t="e">
        <f t="shared" si="125"/>
        <v>#REF!</v>
      </c>
      <c r="AF209" s="295" t="e">
        <f t="shared" si="125"/>
        <v>#REF!</v>
      </c>
      <c r="AG209" s="295" t="e">
        <f t="shared" si="125"/>
        <v>#REF!</v>
      </c>
    </row>
    <row r="210" spans="1:33">
      <c r="A210" s="173" t="str">
        <f>A156</f>
        <v>BET</v>
      </c>
      <c r="B210" s="173" t="str">
        <f t="shared" si="124"/>
        <v>BET</v>
      </c>
      <c r="C210" s="295" t="e">
        <f t="shared" ref="C210:AG210" si="126">SUM(C179:C181)</f>
        <v>#REF!</v>
      </c>
      <c r="D210" s="295" t="e">
        <f t="shared" si="126"/>
        <v>#REF!</v>
      </c>
      <c r="E210" s="295" t="e">
        <f t="shared" si="126"/>
        <v>#REF!</v>
      </c>
      <c r="F210" s="295" t="e">
        <f t="shared" si="126"/>
        <v>#REF!</v>
      </c>
      <c r="G210" s="295" t="e">
        <f t="shared" si="126"/>
        <v>#REF!</v>
      </c>
      <c r="H210" s="295" t="e">
        <f t="shared" si="126"/>
        <v>#REF!</v>
      </c>
      <c r="I210" s="295" t="e">
        <f t="shared" si="126"/>
        <v>#REF!</v>
      </c>
      <c r="J210" s="295" t="e">
        <f t="shared" si="126"/>
        <v>#REF!</v>
      </c>
      <c r="K210" s="295" t="e">
        <f t="shared" si="126"/>
        <v>#REF!</v>
      </c>
      <c r="L210" s="295" t="e">
        <f t="shared" si="126"/>
        <v>#REF!</v>
      </c>
      <c r="M210" s="295" t="e">
        <f t="shared" si="126"/>
        <v>#REF!</v>
      </c>
      <c r="N210" s="295" t="e">
        <f t="shared" si="126"/>
        <v>#REF!</v>
      </c>
      <c r="O210" s="295" t="e">
        <f t="shared" si="126"/>
        <v>#REF!</v>
      </c>
      <c r="P210" s="295" t="e">
        <f t="shared" si="126"/>
        <v>#REF!</v>
      </c>
      <c r="Q210" s="295" t="e">
        <f t="shared" si="126"/>
        <v>#REF!</v>
      </c>
      <c r="R210" s="295" t="e">
        <f t="shared" si="126"/>
        <v>#REF!</v>
      </c>
      <c r="S210" s="295" t="e">
        <f t="shared" si="126"/>
        <v>#REF!</v>
      </c>
      <c r="T210" s="295" t="e">
        <f t="shared" si="126"/>
        <v>#REF!</v>
      </c>
      <c r="U210" s="295" t="e">
        <f t="shared" si="126"/>
        <v>#REF!</v>
      </c>
      <c r="V210" s="295" t="e">
        <f t="shared" si="126"/>
        <v>#REF!</v>
      </c>
      <c r="W210" s="295" t="e">
        <f t="shared" si="126"/>
        <v>#REF!</v>
      </c>
      <c r="X210" s="295" t="e">
        <f t="shared" si="126"/>
        <v>#REF!</v>
      </c>
      <c r="Y210" s="295" t="e">
        <f t="shared" si="126"/>
        <v>#REF!</v>
      </c>
      <c r="Z210" s="295" t="e">
        <f t="shared" si="126"/>
        <v>#REF!</v>
      </c>
      <c r="AA210" s="295" t="e">
        <f t="shared" si="126"/>
        <v>#REF!</v>
      </c>
      <c r="AB210" s="295" t="e">
        <f t="shared" si="126"/>
        <v>#REF!</v>
      </c>
      <c r="AC210" s="295" t="e">
        <f t="shared" si="126"/>
        <v>#REF!</v>
      </c>
      <c r="AD210" s="295" t="e">
        <f t="shared" si="126"/>
        <v>#REF!</v>
      </c>
      <c r="AE210" s="295" t="e">
        <f t="shared" si="126"/>
        <v>#REF!</v>
      </c>
      <c r="AF210" s="295" t="e">
        <f t="shared" si="126"/>
        <v>#REF!</v>
      </c>
      <c r="AG210" s="295" t="e">
        <f t="shared" si="126"/>
        <v>#REF!</v>
      </c>
    </row>
    <row r="211" spans="1:33">
      <c r="A211" s="173" t="str">
        <f>A183</f>
        <v>FCET</v>
      </c>
      <c r="B211" s="173" t="str">
        <f t="shared" si="124"/>
        <v>FCET</v>
      </c>
      <c r="C211" s="295" t="e">
        <f t="shared" ref="C211:AG211" si="127">SUM(C201:C203)</f>
        <v>#REF!</v>
      </c>
      <c r="D211" s="295" t="e">
        <f t="shared" si="127"/>
        <v>#REF!</v>
      </c>
      <c r="E211" s="295" t="e">
        <f t="shared" si="127"/>
        <v>#REF!</v>
      </c>
      <c r="F211" s="295" t="e">
        <f t="shared" si="127"/>
        <v>#REF!</v>
      </c>
      <c r="G211" s="295" t="e">
        <f t="shared" si="127"/>
        <v>#REF!</v>
      </c>
      <c r="H211" s="295" t="e">
        <f t="shared" si="127"/>
        <v>#REF!</v>
      </c>
      <c r="I211" s="295" t="e">
        <f t="shared" si="127"/>
        <v>#REF!</v>
      </c>
      <c r="J211" s="295" t="e">
        <f t="shared" si="127"/>
        <v>#REF!</v>
      </c>
      <c r="K211" s="295" t="e">
        <f t="shared" si="127"/>
        <v>#REF!</v>
      </c>
      <c r="L211" s="295" t="e">
        <f t="shared" si="127"/>
        <v>#REF!</v>
      </c>
      <c r="M211" s="295" t="e">
        <f t="shared" si="127"/>
        <v>#REF!</v>
      </c>
      <c r="N211" s="295" t="e">
        <f t="shared" si="127"/>
        <v>#REF!</v>
      </c>
      <c r="O211" s="295" t="e">
        <f t="shared" si="127"/>
        <v>#REF!</v>
      </c>
      <c r="P211" s="295" t="e">
        <f t="shared" si="127"/>
        <v>#REF!</v>
      </c>
      <c r="Q211" s="295" t="e">
        <f t="shared" si="127"/>
        <v>#REF!</v>
      </c>
      <c r="R211" s="295" t="e">
        <f t="shared" si="127"/>
        <v>#REF!</v>
      </c>
      <c r="S211" s="295" t="e">
        <f t="shared" si="127"/>
        <v>#REF!</v>
      </c>
      <c r="T211" s="295" t="e">
        <f t="shared" si="127"/>
        <v>#REF!</v>
      </c>
      <c r="U211" s="295" t="e">
        <f t="shared" si="127"/>
        <v>#REF!</v>
      </c>
      <c r="V211" s="295" t="e">
        <f t="shared" si="127"/>
        <v>#REF!</v>
      </c>
      <c r="W211" s="295" t="e">
        <f t="shared" si="127"/>
        <v>#REF!</v>
      </c>
      <c r="X211" s="295" t="e">
        <f t="shared" si="127"/>
        <v>#REF!</v>
      </c>
      <c r="Y211" s="295" t="e">
        <f t="shared" si="127"/>
        <v>#REF!</v>
      </c>
      <c r="Z211" s="295" t="e">
        <f t="shared" si="127"/>
        <v>#REF!</v>
      </c>
      <c r="AA211" s="295" t="e">
        <f t="shared" si="127"/>
        <v>#REF!</v>
      </c>
      <c r="AB211" s="295" t="e">
        <f t="shared" si="127"/>
        <v>#REF!</v>
      </c>
      <c r="AC211" s="295" t="e">
        <f t="shared" si="127"/>
        <v>#REF!</v>
      </c>
      <c r="AD211" s="295" t="e">
        <f t="shared" si="127"/>
        <v>#REF!</v>
      </c>
      <c r="AE211" s="295" t="e">
        <f t="shared" si="127"/>
        <v>#REF!</v>
      </c>
      <c r="AF211" s="295" t="e">
        <f t="shared" si="127"/>
        <v>#REF!</v>
      </c>
      <c r="AG211" s="295" t="e">
        <f t="shared" si="127"/>
        <v>#REF!</v>
      </c>
    </row>
    <row r="212" spans="1:33">
      <c r="A212" s="173" t="s">
        <v>334</v>
      </c>
      <c r="C212" s="295" t="e">
        <f t="shared" ref="C212:AG212" si="128">C206*0.9</f>
        <v>#REF!</v>
      </c>
      <c r="D212" s="295" t="e">
        <f t="shared" si="128"/>
        <v>#REF!</v>
      </c>
      <c r="E212" s="295" t="e">
        <f t="shared" si="128"/>
        <v>#REF!</v>
      </c>
      <c r="F212" s="295" t="e">
        <f t="shared" si="128"/>
        <v>#REF!</v>
      </c>
      <c r="G212" s="295" t="e">
        <f t="shared" si="128"/>
        <v>#REF!</v>
      </c>
      <c r="H212" s="295" t="e">
        <f t="shared" si="128"/>
        <v>#REF!</v>
      </c>
      <c r="I212" s="295" t="e">
        <f t="shared" si="128"/>
        <v>#REF!</v>
      </c>
      <c r="J212" s="295" t="e">
        <f t="shared" si="128"/>
        <v>#REF!</v>
      </c>
      <c r="K212" s="295" t="e">
        <f t="shared" si="128"/>
        <v>#REF!</v>
      </c>
      <c r="L212" s="295" t="e">
        <f t="shared" si="128"/>
        <v>#REF!</v>
      </c>
      <c r="M212" s="295" t="e">
        <f t="shared" si="128"/>
        <v>#REF!</v>
      </c>
      <c r="N212" s="295" t="e">
        <f t="shared" si="128"/>
        <v>#REF!</v>
      </c>
      <c r="O212" s="295" t="e">
        <f t="shared" si="128"/>
        <v>#REF!</v>
      </c>
      <c r="P212" s="295" t="e">
        <f t="shared" si="128"/>
        <v>#REF!</v>
      </c>
      <c r="Q212" s="295" t="e">
        <f t="shared" si="128"/>
        <v>#REF!</v>
      </c>
      <c r="R212" s="295" t="e">
        <f t="shared" si="128"/>
        <v>#REF!</v>
      </c>
      <c r="S212" s="295" t="e">
        <f t="shared" si="128"/>
        <v>#REF!</v>
      </c>
      <c r="T212" s="295" t="e">
        <f t="shared" si="128"/>
        <v>#REF!</v>
      </c>
      <c r="U212" s="295" t="e">
        <f t="shared" si="128"/>
        <v>#REF!</v>
      </c>
      <c r="V212" s="295" t="e">
        <f t="shared" si="128"/>
        <v>#REF!</v>
      </c>
      <c r="W212" s="295" t="e">
        <f t="shared" si="128"/>
        <v>#REF!</v>
      </c>
      <c r="X212" s="295" t="e">
        <f t="shared" si="128"/>
        <v>#REF!</v>
      </c>
      <c r="Y212" s="295" t="e">
        <f t="shared" si="128"/>
        <v>#REF!</v>
      </c>
      <c r="Z212" s="295" t="e">
        <f t="shared" si="128"/>
        <v>#REF!</v>
      </c>
      <c r="AA212" s="295" t="e">
        <f t="shared" si="128"/>
        <v>#REF!</v>
      </c>
      <c r="AB212" s="295" t="e">
        <f t="shared" si="128"/>
        <v>#REF!</v>
      </c>
      <c r="AC212" s="295" t="e">
        <f t="shared" si="128"/>
        <v>#REF!</v>
      </c>
      <c r="AD212" s="295" t="e">
        <f t="shared" si="128"/>
        <v>#REF!</v>
      </c>
      <c r="AE212" s="295" t="e">
        <f t="shared" si="128"/>
        <v>#REF!</v>
      </c>
      <c r="AF212" s="295" t="e">
        <f t="shared" si="128"/>
        <v>#REF!</v>
      </c>
      <c r="AG212" s="295" t="e">
        <f t="shared" si="128"/>
        <v>#REF!</v>
      </c>
    </row>
    <row r="213" spans="1:33">
      <c r="C213" s="173"/>
    </row>
    <row r="214" spans="1:33">
      <c r="A214" s="235" t="s">
        <v>431</v>
      </c>
      <c r="B214" s="235"/>
      <c r="C214" s="235">
        <v>2025</v>
      </c>
      <c r="D214" s="235">
        <f t="shared" ref="D214:AG214" si="129">C214+1</f>
        <v>2026</v>
      </c>
      <c r="E214" s="235">
        <f t="shared" si="129"/>
        <v>2027</v>
      </c>
      <c r="F214" s="235">
        <f t="shared" si="129"/>
        <v>2028</v>
      </c>
      <c r="G214" s="235">
        <f t="shared" si="129"/>
        <v>2029</v>
      </c>
      <c r="H214" s="235">
        <f t="shared" si="129"/>
        <v>2030</v>
      </c>
      <c r="I214" s="235">
        <f t="shared" si="129"/>
        <v>2031</v>
      </c>
      <c r="J214" s="235">
        <f t="shared" si="129"/>
        <v>2032</v>
      </c>
      <c r="K214" s="235">
        <f t="shared" si="129"/>
        <v>2033</v>
      </c>
      <c r="L214" s="235">
        <f t="shared" si="129"/>
        <v>2034</v>
      </c>
      <c r="M214" s="235">
        <f t="shared" si="129"/>
        <v>2035</v>
      </c>
      <c r="N214" s="235">
        <f t="shared" si="129"/>
        <v>2036</v>
      </c>
      <c r="O214" s="235">
        <f t="shared" si="129"/>
        <v>2037</v>
      </c>
      <c r="P214" s="235">
        <f t="shared" si="129"/>
        <v>2038</v>
      </c>
      <c r="Q214" s="235">
        <f t="shared" si="129"/>
        <v>2039</v>
      </c>
      <c r="R214" s="235">
        <f t="shared" si="129"/>
        <v>2040</v>
      </c>
      <c r="S214" s="235">
        <f t="shared" si="129"/>
        <v>2041</v>
      </c>
      <c r="T214" s="235">
        <f t="shared" si="129"/>
        <v>2042</v>
      </c>
      <c r="U214" s="235">
        <f t="shared" si="129"/>
        <v>2043</v>
      </c>
      <c r="V214" s="235">
        <f t="shared" si="129"/>
        <v>2044</v>
      </c>
      <c r="W214" s="235">
        <f t="shared" si="129"/>
        <v>2045</v>
      </c>
      <c r="X214" s="235">
        <f t="shared" si="129"/>
        <v>2046</v>
      </c>
      <c r="Y214" s="235">
        <f t="shared" si="129"/>
        <v>2047</v>
      </c>
      <c r="Z214" s="235">
        <f t="shared" si="129"/>
        <v>2048</v>
      </c>
      <c r="AA214" s="235">
        <f t="shared" si="129"/>
        <v>2049</v>
      </c>
      <c r="AB214" s="235">
        <f t="shared" si="129"/>
        <v>2050</v>
      </c>
      <c r="AC214" s="235">
        <f t="shared" si="129"/>
        <v>2051</v>
      </c>
      <c r="AD214" s="235">
        <f t="shared" si="129"/>
        <v>2052</v>
      </c>
      <c r="AE214" s="235">
        <f t="shared" si="129"/>
        <v>2053</v>
      </c>
      <c r="AF214" s="235">
        <f t="shared" si="129"/>
        <v>2054</v>
      </c>
      <c r="AG214" s="235">
        <f t="shared" si="129"/>
        <v>2055</v>
      </c>
    </row>
    <row r="215" spans="1:33">
      <c r="A215" s="173" t="str">
        <f>A206</f>
        <v xml:space="preserve">Diesel   </v>
      </c>
      <c r="B215" s="173" t="str">
        <f>A215</f>
        <v xml:space="preserve">Diesel   </v>
      </c>
      <c r="C215" s="179" t="e">
        <f t="shared" ref="C215:AG215" si="130">C206/($C$24*$C$30)</f>
        <v>#REF!</v>
      </c>
      <c r="D215" s="179" t="e">
        <f t="shared" si="130"/>
        <v>#REF!</v>
      </c>
      <c r="E215" s="179" t="e">
        <f t="shared" si="130"/>
        <v>#REF!</v>
      </c>
      <c r="F215" s="179" t="e">
        <f t="shared" si="130"/>
        <v>#REF!</v>
      </c>
      <c r="G215" s="179" t="e">
        <f t="shared" si="130"/>
        <v>#REF!</v>
      </c>
      <c r="H215" s="179" t="e">
        <f t="shared" si="130"/>
        <v>#REF!</v>
      </c>
      <c r="I215" s="179" t="e">
        <f t="shared" si="130"/>
        <v>#REF!</v>
      </c>
      <c r="J215" s="179" t="e">
        <f t="shared" si="130"/>
        <v>#REF!</v>
      </c>
      <c r="K215" s="179" t="e">
        <f t="shared" si="130"/>
        <v>#REF!</v>
      </c>
      <c r="L215" s="179" t="e">
        <f t="shared" si="130"/>
        <v>#REF!</v>
      </c>
      <c r="M215" s="179" t="e">
        <f t="shared" si="130"/>
        <v>#REF!</v>
      </c>
      <c r="N215" s="179" t="e">
        <f t="shared" si="130"/>
        <v>#REF!</v>
      </c>
      <c r="O215" s="179" t="e">
        <f t="shared" si="130"/>
        <v>#REF!</v>
      </c>
      <c r="P215" s="179" t="e">
        <f t="shared" si="130"/>
        <v>#REF!</v>
      </c>
      <c r="Q215" s="179" t="e">
        <f t="shared" si="130"/>
        <v>#REF!</v>
      </c>
      <c r="R215" s="179" t="e">
        <f t="shared" si="130"/>
        <v>#REF!</v>
      </c>
      <c r="S215" s="179" t="e">
        <f t="shared" si="130"/>
        <v>#REF!</v>
      </c>
      <c r="T215" s="179" t="e">
        <f t="shared" si="130"/>
        <v>#REF!</v>
      </c>
      <c r="U215" s="179" t="e">
        <f t="shared" si="130"/>
        <v>#REF!</v>
      </c>
      <c r="V215" s="179" t="e">
        <f t="shared" si="130"/>
        <v>#REF!</v>
      </c>
      <c r="W215" s="179" t="e">
        <f t="shared" si="130"/>
        <v>#REF!</v>
      </c>
      <c r="X215" s="179" t="e">
        <f t="shared" si="130"/>
        <v>#REF!</v>
      </c>
      <c r="Y215" s="179" t="e">
        <f t="shared" si="130"/>
        <v>#REF!</v>
      </c>
      <c r="Z215" s="179" t="e">
        <f t="shared" si="130"/>
        <v>#REF!</v>
      </c>
      <c r="AA215" s="179" t="e">
        <f t="shared" si="130"/>
        <v>#REF!</v>
      </c>
      <c r="AB215" s="179" t="e">
        <f t="shared" si="130"/>
        <v>#REF!</v>
      </c>
      <c r="AC215" s="179" t="e">
        <f t="shared" si="130"/>
        <v>#REF!</v>
      </c>
      <c r="AD215" s="179" t="e">
        <f t="shared" si="130"/>
        <v>#REF!</v>
      </c>
      <c r="AE215" s="179" t="e">
        <f t="shared" si="130"/>
        <v>#REF!</v>
      </c>
      <c r="AF215" s="179" t="e">
        <f t="shared" si="130"/>
        <v>#REF!</v>
      </c>
      <c r="AG215" s="179" t="e">
        <f t="shared" si="130"/>
        <v>#REF!</v>
      </c>
    </row>
    <row r="216" spans="1:33">
      <c r="A216" s="173" t="str">
        <f>A209</f>
        <v>H2-ICE</v>
      </c>
      <c r="B216" s="173" t="str">
        <f t="shared" ref="B216:B218" si="131">A216</f>
        <v>H2-ICE</v>
      </c>
      <c r="C216" s="179" t="e">
        <f t="shared" ref="C216:AG216" si="132">C209/($C$26*$C$30)</f>
        <v>#REF!</v>
      </c>
      <c r="D216" s="179" t="e">
        <f t="shared" si="132"/>
        <v>#REF!</v>
      </c>
      <c r="E216" s="179" t="e">
        <f t="shared" si="132"/>
        <v>#REF!</v>
      </c>
      <c r="F216" s="179" t="e">
        <f t="shared" si="132"/>
        <v>#REF!</v>
      </c>
      <c r="G216" s="179" t="e">
        <f t="shared" si="132"/>
        <v>#REF!</v>
      </c>
      <c r="H216" s="179" t="e">
        <f t="shared" si="132"/>
        <v>#REF!</v>
      </c>
      <c r="I216" s="179" t="e">
        <f t="shared" si="132"/>
        <v>#REF!</v>
      </c>
      <c r="J216" s="179" t="e">
        <f t="shared" si="132"/>
        <v>#REF!</v>
      </c>
      <c r="K216" s="179" t="e">
        <f t="shared" si="132"/>
        <v>#REF!</v>
      </c>
      <c r="L216" s="179" t="e">
        <f t="shared" si="132"/>
        <v>#REF!</v>
      </c>
      <c r="M216" s="179" t="e">
        <f t="shared" si="132"/>
        <v>#REF!</v>
      </c>
      <c r="N216" s="179" t="e">
        <f t="shared" si="132"/>
        <v>#REF!</v>
      </c>
      <c r="O216" s="179" t="e">
        <f t="shared" si="132"/>
        <v>#REF!</v>
      </c>
      <c r="P216" s="179" t="e">
        <f t="shared" si="132"/>
        <v>#REF!</v>
      </c>
      <c r="Q216" s="179" t="e">
        <f t="shared" si="132"/>
        <v>#REF!</v>
      </c>
      <c r="R216" s="179" t="e">
        <f t="shared" si="132"/>
        <v>#REF!</v>
      </c>
      <c r="S216" s="179" t="e">
        <f t="shared" si="132"/>
        <v>#REF!</v>
      </c>
      <c r="T216" s="179" t="e">
        <f t="shared" si="132"/>
        <v>#REF!</v>
      </c>
      <c r="U216" s="179" t="e">
        <f t="shared" si="132"/>
        <v>#REF!</v>
      </c>
      <c r="V216" s="179" t="e">
        <f t="shared" si="132"/>
        <v>#REF!</v>
      </c>
      <c r="W216" s="179" t="e">
        <f t="shared" si="132"/>
        <v>#REF!</v>
      </c>
      <c r="X216" s="179" t="e">
        <f t="shared" si="132"/>
        <v>#REF!</v>
      </c>
      <c r="Y216" s="179" t="e">
        <f t="shared" si="132"/>
        <v>#REF!</v>
      </c>
      <c r="Z216" s="179" t="e">
        <f t="shared" si="132"/>
        <v>#REF!</v>
      </c>
      <c r="AA216" s="179" t="e">
        <f t="shared" si="132"/>
        <v>#REF!</v>
      </c>
      <c r="AB216" s="179" t="e">
        <f t="shared" si="132"/>
        <v>#REF!</v>
      </c>
      <c r="AC216" s="179" t="e">
        <f t="shared" si="132"/>
        <v>#REF!</v>
      </c>
      <c r="AD216" s="179" t="e">
        <f t="shared" si="132"/>
        <v>#REF!</v>
      </c>
      <c r="AE216" s="179" t="e">
        <f t="shared" si="132"/>
        <v>#REF!</v>
      </c>
      <c r="AF216" s="179" t="e">
        <f t="shared" si="132"/>
        <v>#REF!</v>
      </c>
      <c r="AG216" s="179" t="e">
        <f t="shared" si="132"/>
        <v>#REF!</v>
      </c>
    </row>
    <row r="217" spans="1:33">
      <c r="A217" s="173" t="str">
        <f>A210</f>
        <v>BET</v>
      </c>
      <c r="B217" s="173" t="str">
        <f t="shared" si="131"/>
        <v>BET</v>
      </c>
      <c r="C217" s="179" t="e">
        <f t="shared" ref="C217:AG217" si="133">C210/($C$23*$C$30)</f>
        <v>#REF!</v>
      </c>
      <c r="D217" s="179" t="e">
        <f t="shared" si="133"/>
        <v>#REF!</v>
      </c>
      <c r="E217" s="179" t="e">
        <f t="shared" si="133"/>
        <v>#REF!</v>
      </c>
      <c r="F217" s="179" t="e">
        <f t="shared" si="133"/>
        <v>#REF!</v>
      </c>
      <c r="G217" s="179" t="e">
        <f t="shared" si="133"/>
        <v>#REF!</v>
      </c>
      <c r="H217" s="179" t="e">
        <f t="shared" si="133"/>
        <v>#REF!</v>
      </c>
      <c r="I217" s="179" t="e">
        <f t="shared" si="133"/>
        <v>#REF!</v>
      </c>
      <c r="J217" s="179" t="e">
        <f t="shared" si="133"/>
        <v>#REF!</v>
      </c>
      <c r="K217" s="179" t="e">
        <f t="shared" si="133"/>
        <v>#REF!</v>
      </c>
      <c r="L217" s="179" t="e">
        <f t="shared" si="133"/>
        <v>#REF!</v>
      </c>
      <c r="M217" s="179" t="e">
        <f t="shared" si="133"/>
        <v>#REF!</v>
      </c>
      <c r="N217" s="179" t="e">
        <f t="shared" si="133"/>
        <v>#REF!</v>
      </c>
      <c r="O217" s="179" t="e">
        <f t="shared" si="133"/>
        <v>#REF!</v>
      </c>
      <c r="P217" s="179" t="e">
        <f t="shared" si="133"/>
        <v>#REF!</v>
      </c>
      <c r="Q217" s="179" t="e">
        <f t="shared" si="133"/>
        <v>#REF!</v>
      </c>
      <c r="R217" s="179" t="e">
        <f t="shared" si="133"/>
        <v>#REF!</v>
      </c>
      <c r="S217" s="179" t="e">
        <f t="shared" si="133"/>
        <v>#REF!</v>
      </c>
      <c r="T217" s="179" t="e">
        <f t="shared" si="133"/>
        <v>#REF!</v>
      </c>
      <c r="U217" s="179" t="e">
        <f t="shared" si="133"/>
        <v>#REF!</v>
      </c>
      <c r="V217" s="179" t="e">
        <f t="shared" si="133"/>
        <v>#REF!</v>
      </c>
      <c r="W217" s="179" t="e">
        <f t="shared" si="133"/>
        <v>#REF!</v>
      </c>
      <c r="X217" s="179" t="e">
        <f t="shared" si="133"/>
        <v>#REF!</v>
      </c>
      <c r="Y217" s="179" t="e">
        <f t="shared" si="133"/>
        <v>#REF!</v>
      </c>
      <c r="Z217" s="179" t="e">
        <f t="shared" si="133"/>
        <v>#REF!</v>
      </c>
      <c r="AA217" s="179" t="e">
        <f t="shared" si="133"/>
        <v>#REF!</v>
      </c>
      <c r="AB217" s="179" t="e">
        <f t="shared" si="133"/>
        <v>#REF!</v>
      </c>
      <c r="AC217" s="179" t="e">
        <f t="shared" si="133"/>
        <v>#REF!</v>
      </c>
      <c r="AD217" s="179" t="e">
        <f t="shared" si="133"/>
        <v>#REF!</v>
      </c>
      <c r="AE217" s="179" t="e">
        <f t="shared" si="133"/>
        <v>#REF!</v>
      </c>
      <c r="AF217" s="179" t="e">
        <f t="shared" si="133"/>
        <v>#REF!</v>
      </c>
      <c r="AG217" s="179" t="e">
        <f t="shared" si="133"/>
        <v>#REF!</v>
      </c>
    </row>
    <row r="218" spans="1:33">
      <c r="A218" s="173" t="str">
        <f>A211</f>
        <v>FCET</v>
      </c>
      <c r="B218" s="173" t="str">
        <f t="shared" si="131"/>
        <v>FCET</v>
      </c>
      <c r="C218" s="179" t="e">
        <f t="shared" ref="C218:AG218" si="134">C211/($C$25*$C$30)</f>
        <v>#REF!</v>
      </c>
      <c r="D218" s="179" t="e">
        <f t="shared" si="134"/>
        <v>#REF!</v>
      </c>
      <c r="E218" s="179" t="e">
        <f t="shared" si="134"/>
        <v>#REF!</v>
      </c>
      <c r="F218" s="179" t="e">
        <f t="shared" si="134"/>
        <v>#REF!</v>
      </c>
      <c r="G218" s="179" t="e">
        <f t="shared" si="134"/>
        <v>#REF!</v>
      </c>
      <c r="H218" s="179" t="e">
        <f t="shared" si="134"/>
        <v>#REF!</v>
      </c>
      <c r="I218" s="179" t="e">
        <f t="shared" si="134"/>
        <v>#REF!</v>
      </c>
      <c r="J218" s="179" t="e">
        <f t="shared" si="134"/>
        <v>#REF!</v>
      </c>
      <c r="K218" s="179" t="e">
        <f t="shared" si="134"/>
        <v>#REF!</v>
      </c>
      <c r="L218" s="179" t="e">
        <f t="shared" si="134"/>
        <v>#REF!</v>
      </c>
      <c r="M218" s="179" t="e">
        <f t="shared" si="134"/>
        <v>#REF!</v>
      </c>
      <c r="N218" s="179" t="e">
        <f t="shared" si="134"/>
        <v>#REF!</v>
      </c>
      <c r="O218" s="179" t="e">
        <f t="shared" si="134"/>
        <v>#REF!</v>
      </c>
      <c r="P218" s="179" t="e">
        <f t="shared" si="134"/>
        <v>#REF!</v>
      </c>
      <c r="Q218" s="179" t="e">
        <f t="shared" si="134"/>
        <v>#REF!</v>
      </c>
      <c r="R218" s="179" t="e">
        <f t="shared" si="134"/>
        <v>#REF!</v>
      </c>
      <c r="S218" s="179" t="e">
        <f t="shared" si="134"/>
        <v>#REF!</v>
      </c>
      <c r="T218" s="179" t="e">
        <f t="shared" si="134"/>
        <v>#REF!</v>
      </c>
      <c r="U218" s="179" t="e">
        <f t="shared" si="134"/>
        <v>#REF!</v>
      </c>
      <c r="V218" s="179" t="e">
        <f t="shared" si="134"/>
        <v>#REF!</v>
      </c>
      <c r="W218" s="179" t="e">
        <f t="shared" si="134"/>
        <v>#REF!</v>
      </c>
      <c r="X218" s="179" t="e">
        <f t="shared" si="134"/>
        <v>#REF!</v>
      </c>
      <c r="Y218" s="179" t="e">
        <f t="shared" si="134"/>
        <v>#REF!</v>
      </c>
      <c r="Z218" s="179" t="e">
        <f t="shared" si="134"/>
        <v>#REF!</v>
      </c>
      <c r="AA218" s="179" t="e">
        <f t="shared" si="134"/>
        <v>#REF!</v>
      </c>
      <c r="AB218" s="179" t="e">
        <f t="shared" si="134"/>
        <v>#REF!</v>
      </c>
      <c r="AC218" s="179" t="e">
        <f t="shared" si="134"/>
        <v>#REF!</v>
      </c>
      <c r="AD218" s="179" t="e">
        <f t="shared" si="134"/>
        <v>#REF!</v>
      </c>
      <c r="AE218" s="179" t="e">
        <f t="shared" si="134"/>
        <v>#REF!</v>
      </c>
      <c r="AF218" s="179" t="e">
        <f t="shared" si="134"/>
        <v>#REF!</v>
      </c>
      <c r="AG218" s="179" t="e">
        <f t="shared" si="134"/>
        <v>#REF!</v>
      </c>
    </row>
    <row r="219" spans="1:33">
      <c r="A219" s="173" t="s">
        <v>334</v>
      </c>
      <c r="C219" s="179" t="e">
        <f t="shared" ref="C219:AG219" si="135">C215*0.9</f>
        <v>#REF!</v>
      </c>
      <c r="D219" s="179" t="e">
        <f t="shared" si="135"/>
        <v>#REF!</v>
      </c>
      <c r="E219" s="179" t="e">
        <f t="shared" si="135"/>
        <v>#REF!</v>
      </c>
      <c r="F219" s="179" t="e">
        <f t="shared" si="135"/>
        <v>#REF!</v>
      </c>
      <c r="G219" s="179" t="e">
        <f t="shared" si="135"/>
        <v>#REF!</v>
      </c>
      <c r="H219" s="179" t="e">
        <f t="shared" si="135"/>
        <v>#REF!</v>
      </c>
      <c r="I219" s="179" t="e">
        <f t="shared" si="135"/>
        <v>#REF!</v>
      </c>
      <c r="J219" s="179" t="e">
        <f t="shared" si="135"/>
        <v>#REF!</v>
      </c>
      <c r="K219" s="179" t="e">
        <f t="shared" si="135"/>
        <v>#REF!</v>
      </c>
      <c r="L219" s="179" t="e">
        <f t="shared" si="135"/>
        <v>#REF!</v>
      </c>
      <c r="M219" s="179" t="e">
        <f t="shared" si="135"/>
        <v>#REF!</v>
      </c>
      <c r="N219" s="179" t="e">
        <f t="shared" si="135"/>
        <v>#REF!</v>
      </c>
      <c r="O219" s="179" t="e">
        <f t="shared" si="135"/>
        <v>#REF!</v>
      </c>
      <c r="P219" s="179" t="e">
        <f t="shared" si="135"/>
        <v>#REF!</v>
      </c>
      <c r="Q219" s="179" t="e">
        <f t="shared" si="135"/>
        <v>#REF!</v>
      </c>
      <c r="R219" s="179" t="e">
        <f t="shared" si="135"/>
        <v>#REF!</v>
      </c>
      <c r="S219" s="179" t="e">
        <f t="shared" si="135"/>
        <v>#REF!</v>
      </c>
      <c r="T219" s="179" t="e">
        <f t="shared" si="135"/>
        <v>#REF!</v>
      </c>
      <c r="U219" s="179" t="e">
        <f t="shared" si="135"/>
        <v>#REF!</v>
      </c>
      <c r="V219" s="179" t="e">
        <f t="shared" si="135"/>
        <v>#REF!</v>
      </c>
      <c r="W219" s="179" t="e">
        <f t="shared" si="135"/>
        <v>#REF!</v>
      </c>
      <c r="X219" s="179" t="e">
        <f t="shared" si="135"/>
        <v>#REF!</v>
      </c>
      <c r="Y219" s="179" t="e">
        <f t="shared" si="135"/>
        <v>#REF!</v>
      </c>
      <c r="Z219" s="179" t="e">
        <f t="shared" si="135"/>
        <v>#REF!</v>
      </c>
      <c r="AA219" s="179" t="e">
        <f t="shared" si="135"/>
        <v>#REF!</v>
      </c>
      <c r="AB219" s="179" t="e">
        <f t="shared" si="135"/>
        <v>#REF!</v>
      </c>
      <c r="AC219" s="179" t="e">
        <f t="shared" si="135"/>
        <v>#REF!</v>
      </c>
      <c r="AD219" s="179" t="e">
        <f t="shared" si="135"/>
        <v>#REF!</v>
      </c>
      <c r="AE219" s="179" t="e">
        <f t="shared" si="135"/>
        <v>#REF!</v>
      </c>
      <c r="AF219" s="179" t="e">
        <f t="shared" si="135"/>
        <v>#REF!</v>
      </c>
      <c r="AG219" s="179" t="e">
        <f t="shared" si="135"/>
        <v>#REF!</v>
      </c>
    </row>
    <row r="220" spans="1:33"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</row>
    <row r="221" spans="1:33">
      <c r="A221" s="235" t="s">
        <v>337</v>
      </c>
      <c r="B221" s="235"/>
      <c r="C221" s="235">
        <v>2025</v>
      </c>
      <c r="D221" s="235">
        <f t="shared" ref="D221:AG221" si="136">C221+1</f>
        <v>2026</v>
      </c>
      <c r="E221" s="235">
        <f t="shared" si="136"/>
        <v>2027</v>
      </c>
      <c r="F221" s="235">
        <f t="shared" si="136"/>
        <v>2028</v>
      </c>
      <c r="G221" s="235">
        <f t="shared" si="136"/>
        <v>2029</v>
      </c>
      <c r="H221" s="235">
        <f t="shared" si="136"/>
        <v>2030</v>
      </c>
      <c r="I221" s="235">
        <f t="shared" si="136"/>
        <v>2031</v>
      </c>
      <c r="J221" s="235">
        <f t="shared" si="136"/>
        <v>2032</v>
      </c>
      <c r="K221" s="235">
        <f t="shared" si="136"/>
        <v>2033</v>
      </c>
      <c r="L221" s="235">
        <f t="shared" si="136"/>
        <v>2034</v>
      </c>
      <c r="M221" s="235">
        <f t="shared" si="136"/>
        <v>2035</v>
      </c>
      <c r="N221" s="235">
        <f t="shared" si="136"/>
        <v>2036</v>
      </c>
      <c r="O221" s="235">
        <f t="shared" si="136"/>
        <v>2037</v>
      </c>
      <c r="P221" s="235">
        <f t="shared" si="136"/>
        <v>2038</v>
      </c>
      <c r="Q221" s="235">
        <f t="shared" si="136"/>
        <v>2039</v>
      </c>
      <c r="R221" s="235">
        <f t="shared" si="136"/>
        <v>2040</v>
      </c>
      <c r="S221" s="235">
        <f t="shared" si="136"/>
        <v>2041</v>
      </c>
      <c r="T221" s="235">
        <f t="shared" si="136"/>
        <v>2042</v>
      </c>
      <c r="U221" s="235">
        <f t="shared" si="136"/>
        <v>2043</v>
      </c>
      <c r="V221" s="235">
        <f t="shared" si="136"/>
        <v>2044</v>
      </c>
      <c r="W221" s="235">
        <f t="shared" si="136"/>
        <v>2045</v>
      </c>
      <c r="X221" s="235">
        <f t="shared" si="136"/>
        <v>2046</v>
      </c>
      <c r="Y221" s="235">
        <f t="shared" si="136"/>
        <v>2047</v>
      </c>
      <c r="Z221" s="235">
        <f t="shared" si="136"/>
        <v>2048</v>
      </c>
      <c r="AA221" s="235">
        <f t="shared" si="136"/>
        <v>2049</v>
      </c>
      <c r="AB221" s="235">
        <f t="shared" si="136"/>
        <v>2050</v>
      </c>
      <c r="AC221" s="235">
        <f t="shared" si="136"/>
        <v>2051</v>
      </c>
      <c r="AD221" s="235">
        <f t="shared" si="136"/>
        <v>2052</v>
      </c>
      <c r="AE221" s="235">
        <f t="shared" si="136"/>
        <v>2053</v>
      </c>
      <c r="AF221" s="235">
        <f t="shared" si="136"/>
        <v>2054</v>
      </c>
      <c r="AG221" s="235">
        <f t="shared" si="136"/>
        <v>2055</v>
      </c>
    </row>
    <row r="222" spans="1:33">
      <c r="A222" s="173" t="str">
        <f>A206</f>
        <v xml:space="preserve">Diesel   </v>
      </c>
      <c r="C222" s="280" t="e">
        <f t="shared" ref="C222:AG222" si="137">C206/C210</f>
        <v>#REF!</v>
      </c>
      <c r="D222" s="280" t="e">
        <f t="shared" si="137"/>
        <v>#REF!</v>
      </c>
      <c r="E222" s="280" t="e">
        <f t="shared" si="137"/>
        <v>#REF!</v>
      </c>
      <c r="F222" s="280" t="e">
        <f t="shared" si="137"/>
        <v>#REF!</v>
      </c>
      <c r="G222" s="280" t="e">
        <f t="shared" si="137"/>
        <v>#REF!</v>
      </c>
      <c r="H222" s="280" t="e">
        <f t="shared" si="137"/>
        <v>#REF!</v>
      </c>
      <c r="I222" s="280" t="e">
        <f t="shared" si="137"/>
        <v>#REF!</v>
      </c>
      <c r="J222" s="280" t="e">
        <f t="shared" si="137"/>
        <v>#REF!</v>
      </c>
      <c r="K222" s="280" t="e">
        <f t="shared" si="137"/>
        <v>#REF!</v>
      </c>
      <c r="L222" s="280" t="e">
        <f t="shared" si="137"/>
        <v>#REF!</v>
      </c>
      <c r="M222" s="280" t="e">
        <f t="shared" si="137"/>
        <v>#REF!</v>
      </c>
      <c r="N222" s="280" t="e">
        <f t="shared" si="137"/>
        <v>#REF!</v>
      </c>
      <c r="O222" s="280" t="e">
        <f t="shared" si="137"/>
        <v>#REF!</v>
      </c>
      <c r="P222" s="280" t="e">
        <f t="shared" si="137"/>
        <v>#REF!</v>
      </c>
      <c r="Q222" s="280" t="e">
        <f t="shared" si="137"/>
        <v>#REF!</v>
      </c>
      <c r="R222" s="280" t="e">
        <f t="shared" si="137"/>
        <v>#REF!</v>
      </c>
      <c r="S222" s="280" t="e">
        <f t="shared" si="137"/>
        <v>#REF!</v>
      </c>
      <c r="T222" s="280" t="e">
        <f t="shared" si="137"/>
        <v>#REF!</v>
      </c>
      <c r="U222" s="280" t="e">
        <f t="shared" si="137"/>
        <v>#REF!</v>
      </c>
      <c r="V222" s="280" t="e">
        <f t="shared" si="137"/>
        <v>#REF!</v>
      </c>
      <c r="W222" s="280" t="e">
        <f t="shared" si="137"/>
        <v>#REF!</v>
      </c>
      <c r="X222" s="280" t="e">
        <f t="shared" si="137"/>
        <v>#REF!</v>
      </c>
      <c r="Y222" s="280" t="e">
        <f t="shared" si="137"/>
        <v>#REF!</v>
      </c>
      <c r="Z222" s="280" t="e">
        <f t="shared" si="137"/>
        <v>#REF!</v>
      </c>
      <c r="AA222" s="280" t="e">
        <f t="shared" si="137"/>
        <v>#REF!</v>
      </c>
      <c r="AB222" s="280" t="e">
        <f t="shared" si="137"/>
        <v>#REF!</v>
      </c>
      <c r="AC222" s="280" t="e">
        <f t="shared" si="137"/>
        <v>#REF!</v>
      </c>
      <c r="AD222" s="280" t="e">
        <f t="shared" si="137"/>
        <v>#REF!</v>
      </c>
      <c r="AE222" s="280" t="e">
        <f t="shared" si="137"/>
        <v>#REF!</v>
      </c>
      <c r="AF222" s="280" t="e">
        <f t="shared" si="137"/>
        <v>#REF!</v>
      </c>
      <c r="AG222" s="280" t="e">
        <f t="shared" si="137"/>
        <v>#REF!</v>
      </c>
    </row>
    <row r="223" spans="1:33">
      <c r="A223" s="173" t="str">
        <f>A209</f>
        <v>H2-ICE</v>
      </c>
      <c r="C223" s="280" t="e">
        <f t="shared" ref="C223:AG223" si="138">C209/C210</f>
        <v>#REF!</v>
      </c>
      <c r="D223" s="280" t="e">
        <f t="shared" si="138"/>
        <v>#REF!</v>
      </c>
      <c r="E223" s="280" t="e">
        <f t="shared" si="138"/>
        <v>#REF!</v>
      </c>
      <c r="F223" s="280" t="e">
        <f t="shared" si="138"/>
        <v>#REF!</v>
      </c>
      <c r="G223" s="280" t="e">
        <f t="shared" si="138"/>
        <v>#REF!</v>
      </c>
      <c r="H223" s="280" t="e">
        <f t="shared" si="138"/>
        <v>#REF!</v>
      </c>
      <c r="I223" s="280" t="e">
        <f t="shared" si="138"/>
        <v>#REF!</v>
      </c>
      <c r="J223" s="280" t="e">
        <f t="shared" si="138"/>
        <v>#REF!</v>
      </c>
      <c r="K223" s="280" t="e">
        <f t="shared" si="138"/>
        <v>#REF!</v>
      </c>
      <c r="L223" s="280" t="e">
        <f t="shared" si="138"/>
        <v>#REF!</v>
      </c>
      <c r="M223" s="280" t="e">
        <f t="shared" si="138"/>
        <v>#REF!</v>
      </c>
      <c r="N223" s="280" t="e">
        <f t="shared" si="138"/>
        <v>#REF!</v>
      </c>
      <c r="O223" s="280" t="e">
        <f t="shared" si="138"/>
        <v>#REF!</v>
      </c>
      <c r="P223" s="280" t="e">
        <f t="shared" si="138"/>
        <v>#REF!</v>
      </c>
      <c r="Q223" s="280" t="e">
        <f t="shared" si="138"/>
        <v>#REF!</v>
      </c>
      <c r="R223" s="280" t="e">
        <f t="shared" si="138"/>
        <v>#REF!</v>
      </c>
      <c r="S223" s="280" t="e">
        <f t="shared" si="138"/>
        <v>#REF!</v>
      </c>
      <c r="T223" s="280" t="e">
        <f t="shared" si="138"/>
        <v>#REF!</v>
      </c>
      <c r="U223" s="280" t="e">
        <f t="shared" si="138"/>
        <v>#REF!</v>
      </c>
      <c r="V223" s="280" t="e">
        <f t="shared" si="138"/>
        <v>#REF!</v>
      </c>
      <c r="W223" s="280" t="e">
        <f t="shared" si="138"/>
        <v>#REF!</v>
      </c>
      <c r="X223" s="280" t="e">
        <f t="shared" si="138"/>
        <v>#REF!</v>
      </c>
      <c r="Y223" s="280" t="e">
        <f t="shared" si="138"/>
        <v>#REF!</v>
      </c>
      <c r="Z223" s="280" t="e">
        <f t="shared" si="138"/>
        <v>#REF!</v>
      </c>
      <c r="AA223" s="280" t="e">
        <f t="shared" si="138"/>
        <v>#REF!</v>
      </c>
      <c r="AB223" s="280" t="e">
        <f t="shared" si="138"/>
        <v>#REF!</v>
      </c>
      <c r="AC223" s="280" t="e">
        <f t="shared" si="138"/>
        <v>#REF!</v>
      </c>
      <c r="AD223" s="280" t="e">
        <f t="shared" si="138"/>
        <v>#REF!</v>
      </c>
      <c r="AE223" s="280" t="e">
        <f t="shared" si="138"/>
        <v>#REF!</v>
      </c>
      <c r="AF223" s="280" t="e">
        <f t="shared" si="138"/>
        <v>#REF!</v>
      </c>
      <c r="AG223" s="280" t="e">
        <f t="shared" si="138"/>
        <v>#REF!</v>
      </c>
    </row>
    <row r="224" spans="1:33">
      <c r="A224" s="173" t="str">
        <f>A211</f>
        <v>FCET</v>
      </c>
      <c r="C224" s="280" t="e">
        <f t="shared" ref="C224:AG224" si="139">C211/C210</f>
        <v>#REF!</v>
      </c>
      <c r="D224" s="280" t="e">
        <f t="shared" si="139"/>
        <v>#REF!</v>
      </c>
      <c r="E224" s="280" t="e">
        <f t="shared" si="139"/>
        <v>#REF!</v>
      </c>
      <c r="F224" s="280" t="e">
        <f t="shared" si="139"/>
        <v>#REF!</v>
      </c>
      <c r="G224" s="280" t="e">
        <f t="shared" si="139"/>
        <v>#REF!</v>
      </c>
      <c r="H224" s="280" t="e">
        <f t="shared" si="139"/>
        <v>#REF!</v>
      </c>
      <c r="I224" s="280" t="e">
        <f t="shared" si="139"/>
        <v>#REF!</v>
      </c>
      <c r="J224" s="280" t="e">
        <f t="shared" si="139"/>
        <v>#REF!</v>
      </c>
      <c r="K224" s="280" t="e">
        <f t="shared" si="139"/>
        <v>#REF!</v>
      </c>
      <c r="L224" s="280" t="e">
        <f t="shared" si="139"/>
        <v>#REF!</v>
      </c>
      <c r="M224" s="280" t="e">
        <f t="shared" si="139"/>
        <v>#REF!</v>
      </c>
      <c r="N224" s="280" t="e">
        <f t="shared" si="139"/>
        <v>#REF!</v>
      </c>
      <c r="O224" s="280" t="e">
        <f t="shared" si="139"/>
        <v>#REF!</v>
      </c>
      <c r="P224" s="280" t="e">
        <f t="shared" si="139"/>
        <v>#REF!</v>
      </c>
      <c r="Q224" s="280" t="e">
        <f t="shared" si="139"/>
        <v>#REF!</v>
      </c>
      <c r="R224" s="280" t="e">
        <f t="shared" si="139"/>
        <v>#REF!</v>
      </c>
      <c r="S224" s="280" t="e">
        <f t="shared" si="139"/>
        <v>#REF!</v>
      </c>
      <c r="T224" s="280" t="e">
        <f t="shared" si="139"/>
        <v>#REF!</v>
      </c>
      <c r="U224" s="280" t="e">
        <f t="shared" si="139"/>
        <v>#REF!</v>
      </c>
      <c r="V224" s="280" t="e">
        <f t="shared" si="139"/>
        <v>#REF!</v>
      </c>
      <c r="W224" s="280" t="e">
        <f t="shared" si="139"/>
        <v>#REF!</v>
      </c>
      <c r="X224" s="280" t="e">
        <f t="shared" si="139"/>
        <v>#REF!</v>
      </c>
      <c r="Y224" s="280" t="e">
        <f t="shared" si="139"/>
        <v>#REF!</v>
      </c>
      <c r="Z224" s="280" t="e">
        <f t="shared" si="139"/>
        <v>#REF!</v>
      </c>
      <c r="AA224" s="280" t="e">
        <f t="shared" si="139"/>
        <v>#REF!</v>
      </c>
      <c r="AB224" s="280" t="e">
        <f t="shared" si="139"/>
        <v>#REF!</v>
      </c>
      <c r="AC224" s="280" t="e">
        <f t="shared" si="139"/>
        <v>#REF!</v>
      </c>
      <c r="AD224" s="280" t="e">
        <f t="shared" si="139"/>
        <v>#REF!</v>
      </c>
      <c r="AE224" s="280" t="e">
        <f t="shared" si="139"/>
        <v>#REF!</v>
      </c>
      <c r="AF224" s="280" t="e">
        <f t="shared" si="139"/>
        <v>#REF!</v>
      </c>
      <c r="AG224" s="280" t="e">
        <f t="shared" si="139"/>
        <v>#REF!</v>
      </c>
    </row>
    <row r="225" spans="1:31"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</row>
    <row r="227" spans="1:31">
      <c r="A227" s="281"/>
      <c r="C227" s="173"/>
    </row>
    <row r="228" spans="1:31">
      <c r="C228" s="179"/>
      <c r="D228" s="179"/>
      <c r="E228" s="179"/>
      <c r="F228" s="179"/>
      <c r="G228" s="179"/>
    </row>
    <row r="229" spans="1:31">
      <c r="C229" s="179"/>
      <c r="D229" s="179"/>
      <c r="E229" s="179"/>
      <c r="F229" s="179"/>
      <c r="G229" s="179"/>
    </row>
    <row r="230" spans="1:31">
      <c r="C230" s="179"/>
      <c r="D230" s="179"/>
      <c r="E230" s="179"/>
      <c r="F230" s="179"/>
      <c r="G230" s="179"/>
    </row>
  </sheetData>
  <mergeCells count="1">
    <mergeCell ref="C72:G72"/>
  </mergeCells>
  <conditionalFormatting sqref="C19:C20">
    <cfRule type="expression" dxfId="2" priority="1">
      <formula>$C$19&lt;$G$82</formula>
    </cfRule>
  </conditionalFormatting>
  <dataValidations count="2">
    <dataValidation type="list" allowBlank="1" showInputMessage="1" showErrorMessage="1" sqref="B4" xr:uid="{00000000-0002-0000-0700-000000000000}">
      <formula1>$A$168:$A$169</formula1>
    </dataValidation>
    <dataValidation type="list" allowBlank="1" showInputMessage="1" showErrorMessage="1" sqref="B5" xr:uid="{00000000-0002-0000-0700-000001000000}">
      <formula1>$H$1:$H$2</formula1>
    </dataValidation>
  </dataValidations>
  <hyperlinks>
    <hyperlink ref="M8" r:id="rId1" xr:uid="{00000000-0004-0000-0700-000000000000}"/>
  </hyperlinks>
  <pageMargins left="0.7" right="0.7" top="0.75" bottom="0.75" header="0.3" footer="0.3"/>
  <pageSetup orientation="portrait" horizontalDpi="0" verticalDpi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229"/>
  <sheetViews>
    <sheetView zoomScale="110" zoomScaleNormal="110" workbookViewId="0">
      <pane ySplit="5" topLeftCell="A62" activePane="bottomLeft" state="frozen"/>
      <selection activeCell="C97" sqref="C97:AG97"/>
      <selection pane="bottomLeft" activeCell="C97" sqref="C97:AG97"/>
    </sheetView>
  </sheetViews>
  <sheetFormatPr defaultColWidth="9.109375" defaultRowHeight="14.4"/>
  <cols>
    <col min="1" max="1" width="28.44140625" style="173" customWidth="1"/>
    <col min="2" max="2" width="29" style="173" customWidth="1"/>
    <col min="3" max="3" width="15.44140625" style="221" customWidth="1"/>
    <col min="4" max="6" width="15.88671875" style="173" customWidth="1"/>
    <col min="7" max="31" width="14.44140625" style="173" customWidth="1"/>
    <col min="32" max="33" width="12.109375" style="173" bestFit="1" customWidth="1"/>
    <col min="34" max="34" width="10.88671875" style="173" bestFit="1" customWidth="1"/>
    <col min="35" max="36" width="12.109375" style="173" bestFit="1" customWidth="1"/>
    <col min="37" max="16384" width="9.109375" style="173"/>
  </cols>
  <sheetData>
    <row r="1" spans="1:21">
      <c r="G1" s="222" t="s">
        <v>247</v>
      </c>
      <c r="H1" s="173" t="s">
        <v>247</v>
      </c>
    </row>
    <row r="2" spans="1:21">
      <c r="A2" s="173" t="s">
        <v>248</v>
      </c>
      <c r="B2" s="173" t="s">
        <v>438</v>
      </c>
      <c r="F2" s="222" t="s">
        <v>249</v>
      </c>
      <c r="G2" s="222" t="s">
        <v>250</v>
      </c>
      <c r="H2" s="173" t="s">
        <v>250</v>
      </c>
    </row>
    <row r="3" spans="1:21">
      <c r="A3" s="173" t="s">
        <v>251</v>
      </c>
      <c r="B3" s="173" t="s">
        <v>364</v>
      </c>
      <c r="F3" s="222" t="s">
        <v>252</v>
      </c>
    </row>
    <row r="4" spans="1:21">
      <c r="A4" s="173" t="s">
        <v>338</v>
      </c>
      <c r="B4" s="173" t="s">
        <v>339</v>
      </c>
    </row>
    <row r="5" spans="1:21">
      <c r="A5" s="173" t="s">
        <v>340</v>
      </c>
      <c r="B5" s="173" t="s">
        <v>250</v>
      </c>
    </row>
    <row r="6" spans="1:21" s="225" customFormat="1">
      <c r="A6" s="223" t="s">
        <v>253</v>
      </c>
      <c r="B6" s="223"/>
      <c r="C6" s="224"/>
    </row>
    <row r="7" spans="1:21" ht="15.6">
      <c r="A7" s="171" t="s">
        <v>4</v>
      </c>
      <c r="C7" s="174"/>
      <c r="D7" s="226"/>
      <c r="G7" s="171"/>
      <c r="H7" s="171"/>
      <c r="I7" s="172" t="s">
        <v>178</v>
      </c>
      <c r="J7" s="172" t="s">
        <v>180</v>
      </c>
      <c r="K7" s="172" t="s">
        <v>238</v>
      </c>
      <c r="L7" s="172" t="s">
        <v>239</v>
      </c>
    </row>
    <row r="8" spans="1:21" ht="15.6">
      <c r="A8" s="171" t="s">
        <v>254</v>
      </c>
      <c r="B8" s="173" t="s">
        <v>255</v>
      </c>
      <c r="C8" s="227">
        <v>28</v>
      </c>
      <c r="D8" s="228" t="s">
        <v>169</v>
      </c>
      <c r="E8" s="228">
        <v>2</v>
      </c>
      <c r="G8" s="171" t="s">
        <v>240</v>
      </c>
      <c r="H8" s="171" t="s">
        <v>241</v>
      </c>
      <c r="I8" s="229">
        <v>45.5</v>
      </c>
      <c r="J8" s="174">
        <v>40</v>
      </c>
      <c r="K8" s="174">
        <v>120</v>
      </c>
      <c r="L8" s="174">
        <v>120</v>
      </c>
      <c r="M8" s="175" t="s">
        <v>242</v>
      </c>
    </row>
    <row r="9" spans="1:21" ht="15.6">
      <c r="A9" s="171" t="s">
        <v>365</v>
      </c>
      <c r="B9" s="173" t="s">
        <v>201</v>
      </c>
      <c r="C9" s="230">
        <v>1.0527</v>
      </c>
      <c r="D9" s="228" t="s">
        <v>169</v>
      </c>
      <c r="E9" s="228"/>
      <c r="G9" s="171" t="s">
        <v>240</v>
      </c>
      <c r="H9" s="171" t="s">
        <v>243</v>
      </c>
      <c r="I9" s="176">
        <f>I8/3.6</f>
        <v>12.638888888888889</v>
      </c>
      <c r="J9" s="176">
        <f>J8/3.6</f>
        <v>11.111111111111111</v>
      </c>
      <c r="K9" s="176">
        <f>K8/3.6</f>
        <v>33.333333333333336</v>
      </c>
      <c r="L9" s="176">
        <f>L8/3.6</f>
        <v>33.333333333333336</v>
      </c>
    </row>
    <row r="10" spans="1:21" ht="15.6">
      <c r="A10" s="171" t="s">
        <v>366</v>
      </c>
      <c r="B10" s="173" t="s">
        <v>367</v>
      </c>
      <c r="C10" s="227">
        <v>3000</v>
      </c>
      <c r="D10" s="228" t="s">
        <v>169</v>
      </c>
      <c r="E10" s="228">
        <v>4</v>
      </c>
      <c r="G10" s="171" t="s">
        <v>244</v>
      </c>
      <c r="H10" s="171" t="s">
        <v>245</v>
      </c>
      <c r="I10" s="174">
        <v>0.85</v>
      </c>
      <c r="J10" s="177">
        <v>0.2</v>
      </c>
      <c r="K10" s="177">
        <f>0.06</f>
        <v>0.06</v>
      </c>
      <c r="L10" s="177">
        <f>0.06</f>
        <v>0.06</v>
      </c>
    </row>
    <row r="11" spans="1:21" ht="15.6">
      <c r="A11" s="171" t="s">
        <v>308</v>
      </c>
      <c r="B11" s="173" t="s">
        <v>257</v>
      </c>
      <c r="C11" s="301" t="e">
        <f>#REF!</f>
        <v>#REF!</v>
      </c>
      <c r="D11" s="228" t="s">
        <v>169</v>
      </c>
      <c r="E11" s="228">
        <v>5</v>
      </c>
      <c r="H11" s="173" t="s">
        <v>246</v>
      </c>
      <c r="I11" s="178">
        <f>I9*I10</f>
        <v>10.743055555555555</v>
      </c>
      <c r="J11" s="178">
        <f>J9*J10</f>
        <v>2.2222222222222223</v>
      </c>
      <c r="K11" s="178">
        <f t="shared" ref="K11:L11" si="0">K9*K10</f>
        <v>2</v>
      </c>
      <c r="L11" s="178">
        <f t="shared" si="0"/>
        <v>2</v>
      </c>
    </row>
    <row r="12" spans="1:21" ht="15.6">
      <c r="A12" s="171" t="s">
        <v>368</v>
      </c>
      <c r="B12" s="173" t="s">
        <v>257</v>
      </c>
      <c r="C12" s="301" t="e">
        <f>#REF!</f>
        <v>#REF!</v>
      </c>
      <c r="D12" s="228" t="s">
        <v>169</v>
      </c>
      <c r="E12" s="228">
        <v>6</v>
      </c>
    </row>
    <row r="13" spans="1:21" ht="15.6">
      <c r="A13" s="171" t="s">
        <v>369</v>
      </c>
      <c r="B13" s="173" t="s">
        <v>370</v>
      </c>
      <c r="C13" s="230">
        <v>0.05</v>
      </c>
      <c r="D13" s="228" t="s">
        <v>169</v>
      </c>
      <c r="E13" s="228">
        <v>7</v>
      </c>
    </row>
    <row r="14" spans="1:21" ht="15.6">
      <c r="A14" s="171" t="s">
        <v>371</v>
      </c>
      <c r="B14" s="173" t="s">
        <v>257</v>
      </c>
      <c r="C14" s="301" t="e">
        <f>#REF!</f>
        <v>#REF!</v>
      </c>
      <c r="D14" s="228" t="s">
        <v>169</v>
      </c>
      <c r="E14" s="228">
        <v>8</v>
      </c>
    </row>
    <row r="15" spans="1:21" ht="15.6">
      <c r="A15" s="171" t="s">
        <v>372</v>
      </c>
      <c r="B15" s="173" t="s">
        <v>257</v>
      </c>
      <c r="C15" s="302" t="e">
        <f>#REF!</f>
        <v>#REF!</v>
      </c>
      <c r="D15" s="228" t="s">
        <v>169</v>
      </c>
      <c r="E15" s="228">
        <v>9</v>
      </c>
      <c r="S15" s="173" t="s">
        <v>341</v>
      </c>
      <c r="T15" s="173" t="s">
        <v>342</v>
      </c>
      <c r="U15" s="173" t="s">
        <v>343</v>
      </c>
    </row>
    <row r="16" spans="1:21" ht="15.6">
      <c r="A16" s="171" t="s">
        <v>373</v>
      </c>
      <c r="B16" s="173" t="s">
        <v>273</v>
      </c>
      <c r="C16" s="302" t="e">
        <f>#REF!</f>
        <v>#REF!</v>
      </c>
      <c r="D16" s="228"/>
      <c r="E16" s="228"/>
      <c r="S16" s="173">
        <v>800</v>
      </c>
      <c r="T16" s="173">
        <v>2028</v>
      </c>
      <c r="U16" s="173">
        <v>2034</v>
      </c>
    </row>
    <row r="17" spans="1:21" ht="15.6">
      <c r="A17" s="171" t="s">
        <v>374</v>
      </c>
      <c r="B17" s="173" t="s">
        <v>194</v>
      </c>
      <c r="C17" s="227">
        <v>40</v>
      </c>
      <c r="D17" s="228" t="s">
        <v>169</v>
      </c>
      <c r="E17" s="228">
        <v>10</v>
      </c>
      <c r="S17" s="173">
        <v>500</v>
      </c>
      <c r="T17" s="173">
        <v>2029</v>
      </c>
      <c r="U17" s="173">
        <v>2035</v>
      </c>
    </row>
    <row r="18" spans="1:21" ht="15.6">
      <c r="A18" s="171" t="s">
        <v>375</v>
      </c>
      <c r="B18" s="173" t="s">
        <v>194</v>
      </c>
      <c r="C18" s="227">
        <v>245</v>
      </c>
      <c r="D18" s="228" t="s">
        <v>169</v>
      </c>
      <c r="E18" s="228">
        <v>11</v>
      </c>
    </row>
    <row r="19" spans="1:21" ht="15.6">
      <c r="A19" s="171" t="s">
        <v>263</v>
      </c>
      <c r="B19" s="173" t="s">
        <v>193</v>
      </c>
      <c r="C19" s="301" t="e">
        <f>#REF!</f>
        <v>#REF!</v>
      </c>
      <c r="D19" s="228" t="s">
        <v>169</v>
      </c>
      <c r="E19" s="228">
        <v>12</v>
      </c>
    </row>
    <row r="20" spans="1:21" ht="15.6">
      <c r="A20" s="171" t="s">
        <v>376</v>
      </c>
      <c r="B20" s="173" t="s">
        <v>377</v>
      </c>
      <c r="C20" s="227">
        <v>25815.384615384617</v>
      </c>
      <c r="D20" s="228"/>
      <c r="E20" s="228"/>
    </row>
    <row r="21" spans="1:21" ht="15.6">
      <c r="A21" s="171" t="s">
        <v>266</v>
      </c>
      <c r="B21" s="173" t="s">
        <v>194</v>
      </c>
      <c r="C21" s="301" t="e">
        <f>#REF!</f>
        <v>#REF!</v>
      </c>
      <c r="D21" s="228" t="s">
        <v>169</v>
      </c>
      <c r="E21" s="228">
        <v>13</v>
      </c>
    </row>
    <row r="22" spans="1:21" ht="15.6">
      <c r="A22" s="171" t="s">
        <v>268</v>
      </c>
      <c r="B22" s="173" t="s">
        <v>193</v>
      </c>
      <c r="C22" s="301" t="e">
        <f>#REF!</f>
        <v>#REF!</v>
      </c>
      <c r="D22" s="228" t="s">
        <v>169</v>
      </c>
      <c r="E22" s="228">
        <v>14</v>
      </c>
    </row>
    <row r="23" spans="1:21" ht="15.6">
      <c r="A23" s="171" t="s">
        <v>378</v>
      </c>
      <c r="B23" s="173" t="s">
        <v>255</v>
      </c>
      <c r="C23" s="302" t="e">
        <f>#REF!/1000</f>
        <v>#REF!</v>
      </c>
      <c r="D23" s="228" t="s">
        <v>169</v>
      </c>
      <c r="E23" s="228">
        <v>18</v>
      </c>
    </row>
    <row r="24" spans="1:21" ht="15.6">
      <c r="A24" s="293" t="s">
        <v>379</v>
      </c>
      <c r="B24" s="173" t="s">
        <v>255</v>
      </c>
      <c r="C24" s="302" t="e">
        <f>#REF!/1000</f>
        <v>#REF!</v>
      </c>
      <c r="D24" s="228" t="s">
        <v>169</v>
      </c>
      <c r="E24" s="228">
        <v>19</v>
      </c>
    </row>
    <row r="25" spans="1:21" ht="15.6">
      <c r="A25" s="171" t="s">
        <v>380</v>
      </c>
      <c r="B25" s="173" t="s">
        <v>255</v>
      </c>
      <c r="C25" s="302" t="e">
        <f>#REF!/1000</f>
        <v>#REF!</v>
      </c>
      <c r="D25" s="228" t="s">
        <v>169</v>
      </c>
      <c r="E25" s="228">
        <v>20</v>
      </c>
    </row>
    <row r="26" spans="1:21" ht="15.6">
      <c r="A26" s="171" t="s">
        <v>381</v>
      </c>
      <c r="B26" s="173" t="s">
        <v>255</v>
      </c>
      <c r="C26" s="302" t="e">
        <f>C24</f>
        <v>#REF!</v>
      </c>
      <c r="D26" s="228" t="s">
        <v>169</v>
      </c>
      <c r="E26" s="228">
        <v>21</v>
      </c>
    </row>
    <row r="27" spans="1:21" ht="15.6">
      <c r="A27" s="171" t="s">
        <v>382</v>
      </c>
      <c r="B27" s="173" t="s">
        <v>195</v>
      </c>
      <c r="C27" s="301" t="e">
        <f>#REF!</f>
        <v>#REF!</v>
      </c>
      <c r="D27" s="228" t="s">
        <v>275</v>
      </c>
      <c r="E27" s="228">
        <v>2</v>
      </c>
    </row>
    <row r="28" spans="1:21" ht="15.6">
      <c r="A28" s="171" t="s">
        <v>172</v>
      </c>
      <c r="B28" s="173" t="s">
        <v>196</v>
      </c>
      <c r="C28" s="301" t="e">
        <f>#REF!</f>
        <v>#REF!</v>
      </c>
      <c r="D28" s="228" t="s">
        <v>275</v>
      </c>
      <c r="E28" s="228">
        <v>3</v>
      </c>
    </row>
    <row r="29" spans="1:21" ht="15.6">
      <c r="A29" s="171" t="s">
        <v>174</v>
      </c>
      <c r="B29" s="173" t="s">
        <v>197</v>
      </c>
      <c r="C29" s="301" t="e">
        <f>#REF!</f>
        <v>#REF!</v>
      </c>
      <c r="D29" s="228" t="s">
        <v>275</v>
      </c>
      <c r="E29" s="228">
        <v>4</v>
      </c>
    </row>
    <row r="30" spans="1:21" ht="15.6">
      <c r="A30" s="171" t="s">
        <v>276</v>
      </c>
      <c r="B30" s="173" t="s">
        <v>198</v>
      </c>
      <c r="C30" s="303" t="e">
        <f>#REF!</f>
        <v>#REF!</v>
      </c>
      <c r="D30" s="228" t="s">
        <v>275</v>
      </c>
      <c r="E30" s="228">
        <v>5</v>
      </c>
    </row>
    <row r="31" spans="1:21" ht="15.6">
      <c r="A31" s="171" t="s">
        <v>383</v>
      </c>
      <c r="B31" s="173" t="s">
        <v>277</v>
      </c>
      <c r="C31" s="174">
        <v>7</v>
      </c>
      <c r="D31" s="228" t="s">
        <v>384</v>
      </c>
      <c r="E31" s="222"/>
    </row>
    <row r="32" spans="1:21" ht="15.6">
      <c r="A32" s="171" t="s">
        <v>385</v>
      </c>
      <c r="B32" s="173" t="s">
        <v>198</v>
      </c>
      <c r="C32" s="232">
        <v>0.03</v>
      </c>
      <c r="D32" s="228" t="s">
        <v>384</v>
      </c>
      <c r="E32" s="222"/>
    </row>
    <row r="33" spans="1:39" ht="15.6">
      <c r="A33" s="171" t="s">
        <v>344</v>
      </c>
      <c r="B33" s="173" t="s">
        <v>198</v>
      </c>
      <c r="C33" s="233">
        <v>0.12</v>
      </c>
      <c r="D33" s="228" t="s">
        <v>384</v>
      </c>
      <c r="E33" s="222"/>
    </row>
    <row r="34" spans="1:39" ht="15.6">
      <c r="A34" s="171" t="s">
        <v>221</v>
      </c>
      <c r="B34" s="173" t="s">
        <v>198</v>
      </c>
      <c r="C34" s="234">
        <v>0.02</v>
      </c>
      <c r="D34" s="228" t="s">
        <v>384</v>
      </c>
      <c r="E34" s="222"/>
    </row>
    <row r="35" spans="1:39" ht="15.6">
      <c r="A35" s="171" t="s">
        <v>386</v>
      </c>
      <c r="B35" s="173" t="s">
        <v>198</v>
      </c>
      <c r="C35" s="233">
        <v>0.7</v>
      </c>
      <c r="D35" s="228"/>
      <c r="E35" s="222"/>
    </row>
    <row r="36" spans="1:39">
      <c r="C36" s="173"/>
      <c r="D36" s="221"/>
      <c r="F36" s="221"/>
      <c r="H36" s="221"/>
      <c r="J36" s="221"/>
      <c r="L36" s="221"/>
      <c r="N36" s="221"/>
      <c r="P36" s="221"/>
      <c r="R36" s="221"/>
      <c r="T36" s="221"/>
      <c r="V36" s="221"/>
      <c r="X36" s="221"/>
      <c r="Z36" s="221"/>
      <c r="AB36" s="221"/>
      <c r="AC36" s="221"/>
      <c r="AD36" s="221"/>
      <c r="AE36" s="221"/>
      <c r="AF36" s="221"/>
      <c r="AG36" s="221"/>
    </row>
    <row r="37" spans="1:39" s="225" customFormat="1">
      <c r="A37" s="223" t="s">
        <v>286</v>
      </c>
      <c r="B37" s="223"/>
    </row>
    <row r="38" spans="1:39">
      <c r="A38" s="235" t="s">
        <v>41</v>
      </c>
      <c r="B38" s="235"/>
      <c r="C38" s="235">
        <v>2025</v>
      </c>
      <c r="D38" s="235">
        <f t="shared" ref="D38:AG38" si="1">C38+1</f>
        <v>2026</v>
      </c>
      <c r="E38" s="235">
        <f t="shared" si="1"/>
        <v>2027</v>
      </c>
      <c r="F38" s="235">
        <f t="shared" si="1"/>
        <v>2028</v>
      </c>
      <c r="G38" s="235">
        <f t="shared" si="1"/>
        <v>2029</v>
      </c>
      <c r="H38" s="235">
        <f t="shared" si="1"/>
        <v>2030</v>
      </c>
      <c r="I38" s="235">
        <f t="shared" si="1"/>
        <v>2031</v>
      </c>
      <c r="J38" s="235">
        <f t="shared" si="1"/>
        <v>2032</v>
      </c>
      <c r="K38" s="235">
        <f t="shared" si="1"/>
        <v>2033</v>
      </c>
      <c r="L38" s="235">
        <f t="shared" si="1"/>
        <v>2034</v>
      </c>
      <c r="M38" s="235">
        <f t="shared" si="1"/>
        <v>2035</v>
      </c>
      <c r="N38" s="235">
        <f t="shared" si="1"/>
        <v>2036</v>
      </c>
      <c r="O38" s="235">
        <f t="shared" si="1"/>
        <v>2037</v>
      </c>
      <c r="P38" s="235">
        <f t="shared" si="1"/>
        <v>2038</v>
      </c>
      <c r="Q38" s="235">
        <f t="shared" si="1"/>
        <v>2039</v>
      </c>
      <c r="R38" s="235">
        <f t="shared" si="1"/>
        <v>2040</v>
      </c>
      <c r="S38" s="235">
        <f t="shared" si="1"/>
        <v>2041</v>
      </c>
      <c r="T38" s="235">
        <f t="shared" si="1"/>
        <v>2042</v>
      </c>
      <c r="U38" s="235">
        <f t="shared" si="1"/>
        <v>2043</v>
      </c>
      <c r="V38" s="235">
        <f t="shared" si="1"/>
        <v>2044</v>
      </c>
      <c r="W38" s="235">
        <f t="shared" si="1"/>
        <v>2045</v>
      </c>
      <c r="X38" s="235">
        <f t="shared" si="1"/>
        <v>2046</v>
      </c>
      <c r="Y38" s="235">
        <f t="shared" si="1"/>
        <v>2047</v>
      </c>
      <c r="Z38" s="235">
        <f t="shared" si="1"/>
        <v>2048</v>
      </c>
      <c r="AA38" s="235">
        <f t="shared" si="1"/>
        <v>2049</v>
      </c>
      <c r="AB38" s="235">
        <f t="shared" si="1"/>
        <v>2050</v>
      </c>
      <c r="AC38" s="235">
        <f t="shared" si="1"/>
        <v>2051</v>
      </c>
      <c r="AD38" s="235">
        <f t="shared" si="1"/>
        <v>2052</v>
      </c>
      <c r="AE38" s="235">
        <f t="shared" si="1"/>
        <v>2053</v>
      </c>
      <c r="AF38" s="235">
        <f t="shared" si="1"/>
        <v>2054</v>
      </c>
      <c r="AG38" s="235">
        <f t="shared" si="1"/>
        <v>2055</v>
      </c>
      <c r="AH38" s="171" t="s">
        <v>387</v>
      </c>
    </row>
    <row r="39" spans="1:39">
      <c r="A39" s="171" t="s">
        <v>287</v>
      </c>
      <c r="B39" s="171" t="s">
        <v>288</v>
      </c>
      <c r="C39" s="236">
        <v>92</v>
      </c>
      <c r="D39" s="236">
        <f t="shared" ref="D39:AG42" si="2">ROUND(C39*(1+$AH39),2)</f>
        <v>94.3</v>
      </c>
      <c r="E39" s="236">
        <f t="shared" si="2"/>
        <v>96.66</v>
      </c>
      <c r="F39" s="236">
        <f t="shared" si="2"/>
        <v>99.08</v>
      </c>
      <c r="G39" s="236">
        <f t="shared" si="2"/>
        <v>101.56</v>
      </c>
      <c r="H39" s="236">
        <f t="shared" si="2"/>
        <v>104.1</v>
      </c>
      <c r="I39" s="236">
        <f t="shared" si="2"/>
        <v>106.7</v>
      </c>
      <c r="J39" s="236">
        <f t="shared" si="2"/>
        <v>109.37</v>
      </c>
      <c r="K39" s="236">
        <f t="shared" si="2"/>
        <v>112.1</v>
      </c>
      <c r="L39" s="236">
        <f t="shared" si="2"/>
        <v>114.9</v>
      </c>
      <c r="M39" s="236">
        <f t="shared" si="2"/>
        <v>117.77</v>
      </c>
      <c r="N39" s="236">
        <f t="shared" si="2"/>
        <v>120.71</v>
      </c>
      <c r="O39" s="236">
        <f t="shared" si="2"/>
        <v>123.73</v>
      </c>
      <c r="P39" s="236">
        <f t="shared" si="2"/>
        <v>126.82</v>
      </c>
      <c r="Q39" s="236">
        <f t="shared" si="2"/>
        <v>129.99</v>
      </c>
      <c r="R39" s="236">
        <f t="shared" si="2"/>
        <v>133.24</v>
      </c>
      <c r="S39" s="236">
        <f t="shared" si="2"/>
        <v>136.57</v>
      </c>
      <c r="T39" s="236">
        <f t="shared" si="2"/>
        <v>139.97999999999999</v>
      </c>
      <c r="U39" s="236">
        <f t="shared" si="2"/>
        <v>143.47999999999999</v>
      </c>
      <c r="V39" s="236">
        <f t="shared" si="2"/>
        <v>147.07</v>
      </c>
      <c r="W39" s="236">
        <f t="shared" si="2"/>
        <v>150.75</v>
      </c>
      <c r="X39" s="236">
        <f t="shared" si="2"/>
        <v>154.52000000000001</v>
      </c>
      <c r="Y39" s="236">
        <f t="shared" si="2"/>
        <v>158.38</v>
      </c>
      <c r="Z39" s="236">
        <f t="shared" si="2"/>
        <v>162.34</v>
      </c>
      <c r="AA39" s="236">
        <f t="shared" si="2"/>
        <v>166.4</v>
      </c>
      <c r="AB39" s="236">
        <f t="shared" si="2"/>
        <v>170.56</v>
      </c>
      <c r="AC39" s="236">
        <f t="shared" si="2"/>
        <v>174.82</v>
      </c>
      <c r="AD39" s="236">
        <f t="shared" si="2"/>
        <v>179.19</v>
      </c>
      <c r="AE39" s="236">
        <f t="shared" si="2"/>
        <v>183.67</v>
      </c>
      <c r="AF39" s="236">
        <f t="shared" si="2"/>
        <v>188.26</v>
      </c>
      <c r="AG39" s="236">
        <f t="shared" si="2"/>
        <v>192.97</v>
      </c>
      <c r="AH39" s="237">
        <v>2.5000000000000001E-2</v>
      </c>
    </row>
    <row r="40" spans="1:39">
      <c r="A40" s="171" t="s">
        <v>289</v>
      </c>
      <c r="B40" s="171" t="s">
        <v>288</v>
      </c>
      <c r="C40" s="236">
        <v>55</v>
      </c>
      <c r="D40" s="236">
        <f t="shared" si="2"/>
        <v>56.38</v>
      </c>
      <c r="E40" s="236">
        <f t="shared" si="2"/>
        <v>57.79</v>
      </c>
      <c r="F40" s="236">
        <f t="shared" si="2"/>
        <v>59.23</v>
      </c>
      <c r="G40" s="236">
        <f t="shared" si="2"/>
        <v>60.71</v>
      </c>
      <c r="H40" s="236">
        <f t="shared" si="2"/>
        <v>62.23</v>
      </c>
      <c r="I40" s="236">
        <f t="shared" si="2"/>
        <v>63.79</v>
      </c>
      <c r="J40" s="236">
        <f t="shared" si="2"/>
        <v>65.38</v>
      </c>
      <c r="K40" s="236">
        <f t="shared" si="2"/>
        <v>67.010000000000005</v>
      </c>
      <c r="L40" s="236">
        <f t="shared" si="2"/>
        <v>68.69</v>
      </c>
      <c r="M40" s="236">
        <f t="shared" si="2"/>
        <v>70.41</v>
      </c>
      <c r="N40" s="236">
        <f t="shared" si="2"/>
        <v>72.17</v>
      </c>
      <c r="O40" s="236">
        <f t="shared" si="2"/>
        <v>73.97</v>
      </c>
      <c r="P40" s="236">
        <f t="shared" si="2"/>
        <v>75.819999999999993</v>
      </c>
      <c r="Q40" s="236">
        <f t="shared" si="2"/>
        <v>77.72</v>
      </c>
      <c r="R40" s="236">
        <f t="shared" si="2"/>
        <v>79.66</v>
      </c>
      <c r="S40" s="236">
        <f t="shared" si="2"/>
        <v>81.650000000000006</v>
      </c>
      <c r="T40" s="236">
        <f t="shared" si="2"/>
        <v>83.69</v>
      </c>
      <c r="U40" s="236">
        <f t="shared" si="2"/>
        <v>85.78</v>
      </c>
      <c r="V40" s="236">
        <f t="shared" si="2"/>
        <v>87.92</v>
      </c>
      <c r="W40" s="236">
        <f t="shared" si="2"/>
        <v>90.12</v>
      </c>
      <c r="X40" s="236">
        <f t="shared" si="2"/>
        <v>92.37</v>
      </c>
      <c r="Y40" s="236">
        <f t="shared" si="2"/>
        <v>94.68</v>
      </c>
      <c r="Z40" s="236">
        <f t="shared" si="2"/>
        <v>97.05</v>
      </c>
      <c r="AA40" s="236">
        <f t="shared" si="2"/>
        <v>99.48</v>
      </c>
      <c r="AB40" s="236">
        <f t="shared" si="2"/>
        <v>101.97</v>
      </c>
      <c r="AC40" s="236">
        <f t="shared" si="2"/>
        <v>104.52</v>
      </c>
      <c r="AD40" s="236">
        <f t="shared" si="2"/>
        <v>107.13</v>
      </c>
      <c r="AE40" s="236">
        <f t="shared" si="2"/>
        <v>109.81</v>
      </c>
      <c r="AF40" s="236">
        <f t="shared" si="2"/>
        <v>112.56</v>
      </c>
      <c r="AG40" s="236">
        <f t="shared" si="2"/>
        <v>115.37</v>
      </c>
      <c r="AH40" s="237">
        <v>2.5000000000000001E-2</v>
      </c>
    </row>
    <row r="41" spans="1:39">
      <c r="A41" s="171" t="s">
        <v>179</v>
      </c>
      <c r="B41" s="171" t="s">
        <v>290</v>
      </c>
      <c r="C41" s="236">
        <v>87</v>
      </c>
      <c r="D41" s="236">
        <f>ROUND(C41*(1+$AH41),2)</f>
        <v>89.18</v>
      </c>
      <c r="E41" s="236">
        <f t="shared" si="2"/>
        <v>91.41</v>
      </c>
      <c r="F41" s="236">
        <f t="shared" si="2"/>
        <v>93.7</v>
      </c>
      <c r="G41" s="236">
        <f t="shared" si="2"/>
        <v>96.04</v>
      </c>
      <c r="H41" s="236">
        <f t="shared" si="2"/>
        <v>98.44</v>
      </c>
      <c r="I41" s="236">
        <f t="shared" si="2"/>
        <v>100.9</v>
      </c>
      <c r="J41" s="236">
        <f t="shared" si="2"/>
        <v>103.42</v>
      </c>
      <c r="K41" s="236">
        <f t="shared" si="2"/>
        <v>106.01</v>
      </c>
      <c r="L41" s="236">
        <f t="shared" si="2"/>
        <v>108.66</v>
      </c>
      <c r="M41" s="236">
        <f t="shared" si="2"/>
        <v>111.38</v>
      </c>
      <c r="N41" s="236">
        <f t="shared" si="2"/>
        <v>114.16</v>
      </c>
      <c r="O41" s="236">
        <f t="shared" si="2"/>
        <v>117.01</v>
      </c>
      <c r="P41" s="236">
        <f t="shared" si="2"/>
        <v>119.94</v>
      </c>
      <c r="Q41" s="236">
        <f t="shared" si="2"/>
        <v>122.94</v>
      </c>
      <c r="R41" s="236">
        <f t="shared" si="2"/>
        <v>126.01</v>
      </c>
      <c r="S41" s="236">
        <f t="shared" si="2"/>
        <v>129.16</v>
      </c>
      <c r="T41" s="236">
        <f t="shared" si="2"/>
        <v>132.38999999999999</v>
      </c>
      <c r="U41" s="236">
        <f t="shared" si="2"/>
        <v>135.69999999999999</v>
      </c>
      <c r="V41" s="236">
        <f t="shared" si="2"/>
        <v>139.09</v>
      </c>
      <c r="W41" s="236">
        <f t="shared" si="2"/>
        <v>142.57</v>
      </c>
      <c r="X41" s="236">
        <f t="shared" si="2"/>
        <v>146.13</v>
      </c>
      <c r="Y41" s="236">
        <f t="shared" si="2"/>
        <v>149.78</v>
      </c>
      <c r="Z41" s="236">
        <f t="shared" si="2"/>
        <v>153.52000000000001</v>
      </c>
      <c r="AA41" s="236">
        <f t="shared" si="2"/>
        <v>157.36000000000001</v>
      </c>
      <c r="AB41" s="236">
        <f t="shared" si="2"/>
        <v>161.29</v>
      </c>
      <c r="AC41" s="236">
        <f t="shared" si="2"/>
        <v>165.32</v>
      </c>
      <c r="AD41" s="236">
        <f t="shared" si="2"/>
        <v>169.45</v>
      </c>
      <c r="AE41" s="236">
        <f t="shared" si="2"/>
        <v>173.69</v>
      </c>
      <c r="AF41" s="236">
        <f t="shared" si="2"/>
        <v>178.03</v>
      </c>
      <c r="AG41" s="236">
        <f t="shared" si="2"/>
        <v>182.48</v>
      </c>
      <c r="AH41" s="239">
        <v>2.5000000000000001E-2</v>
      </c>
    </row>
    <row r="42" spans="1:39">
      <c r="A42" s="171" t="s">
        <v>180</v>
      </c>
      <c r="B42" s="171" t="s">
        <v>290</v>
      </c>
      <c r="C42" s="238">
        <f>C39*0.9</f>
        <v>82.8</v>
      </c>
      <c r="D42" s="238">
        <f>ROUND(C42*(1+$AH42),2)</f>
        <v>84.87</v>
      </c>
      <c r="E42" s="238">
        <f t="shared" si="2"/>
        <v>86.99</v>
      </c>
      <c r="F42" s="238">
        <f t="shared" si="2"/>
        <v>89.16</v>
      </c>
      <c r="G42" s="238">
        <f t="shared" si="2"/>
        <v>91.39</v>
      </c>
      <c r="H42" s="238">
        <f t="shared" si="2"/>
        <v>93.67</v>
      </c>
      <c r="I42" s="238">
        <f t="shared" si="2"/>
        <v>96.01</v>
      </c>
      <c r="J42" s="238">
        <f t="shared" si="2"/>
        <v>98.41</v>
      </c>
      <c r="K42" s="238">
        <f t="shared" si="2"/>
        <v>100.87</v>
      </c>
      <c r="L42" s="238">
        <f t="shared" si="2"/>
        <v>103.39</v>
      </c>
      <c r="M42" s="238">
        <f t="shared" si="2"/>
        <v>105.97</v>
      </c>
      <c r="N42" s="238">
        <f t="shared" si="2"/>
        <v>108.62</v>
      </c>
      <c r="O42" s="238">
        <f t="shared" si="2"/>
        <v>111.34</v>
      </c>
      <c r="P42" s="238">
        <f t="shared" si="2"/>
        <v>114.12</v>
      </c>
      <c r="Q42" s="238">
        <f t="shared" si="2"/>
        <v>116.97</v>
      </c>
      <c r="R42" s="238">
        <f t="shared" si="2"/>
        <v>119.89</v>
      </c>
      <c r="S42" s="238">
        <f t="shared" si="2"/>
        <v>122.89</v>
      </c>
      <c r="T42" s="238">
        <f t="shared" si="2"/>
        <v>125.96</v>
      </c>
      <c r="U42" s="238">
        <f t="shared" si="2"/>
        <v>129.11000000000001</v>
      </c>
      <c r="V42" s="238">
        <f t="shared" si="2"/>
        <v>132.34</v>
      </c>
      <c r="W42" s="238">
        <f t="shared" si="2"/>
        <v>135.65</v>
      </c>
      <c r="X42" s="238">
        <f t="shared" si="2"/>
        <v>139.04</v>
      </c>
      <c r="Y42" s="238">
        <f t="shared" si="2"/>
        <v>142.52000000000001</v>
      </c>
      <c r="Z42" s="238">
        <f t="shared" si="2"/>
        <v>146.08000000000001</v>
      </c>
      <c r="AA42" s="238">
        <f t="shared" si="2"/>
        <v>149.72999999999999</v>
      </c>
      <c r="AB42" s="238">
        <f t="shared" si="2"/>
        <v>153.47</v>
      </c>
      <c r="AC42" s="238">
        <f t="shared" si="2"/>
        <v>157.31</v>
      </c>
      <c r="AD42" s="238">
        <f t="shared" si="2"/>
        <v>161.24</v>
      </c>
      <c r="AE42" s="238">
        <f t="shared" si="2"/>
        <v>165.27</v>
      </c>
      <c r="AF42" s="238">
        <f t="shared" si="2"/>
        <v>169.4</v>
      </c>
      <c r="AG42" s="238">
        <f t="shared" si="2"/>
        <v>173.64</v>
      </c>
      <c r="AH42" s="239">
        <v>2.5000000000000001E-2</v>
      </c>
    </row>
    <row r="43" spans="1:39">
      <c r="A43" s="293" t="s">
        <v>291</v>
      </c>
      <c r="B43" s="171" t="s">
        <v>290</v>
      </c>
      <c r="C43" s="238">
        <v>600</v>
      </c>
      <c r="D43" s="238" t="e">
        <f>ROUND(C43*(1+$AH43),2)</f>
        <v>#REF!</v>
      </c>
      <c r="E43" s="238" t="e">
        <f>ROUND(D43*(1+$AH43),2)</f>
        <v>#REF!</v>
      </c>
      <c r="F43" s="238" t="e">
        <f>ROUND(E43*(1+$AH43),2)</f>
        <v>#REF!</v>
      </c>
      <c r="G43" s="238" t="e">
        <f>ROUND(F43*(1+$AH43),2)</f>
        <v>#REF!</v>
      </c>
      <c r="H43" s="238" t="e">
        <f>ROUND(G43*(1+$AH43),2)</f>
        <v>#REF!</v>
      </c>
      <c r="I43" s="238" t="e">
        <f t="shared" ref="I43:R43" si="3">ROUND(H43*(1+$AI43),2)</f>
        <v>#REF!</v>
      </c>
      <c r="J43" s="238" t="e">
        <f t="shared" si="3"/>
        <v>#REF!</v>
      </c>
      <c r="K43" s="238" t="e">
        <f t="shared" si="3"/>
        <v>#REF!</v>
      </c>
      <c r="L43" s="238" t="e">
        <f t="shared" si="3"/>
        <v>#REF!</v>
      </c>
      <c r="M43" s="238" t="e">
        <f t="shared" si="3"/>
        <v>#REF!</v>
      </c>
      <c r="N43" s="238" t="e">
        <f t="shared" si="3"/>
        <v>#REF!</v>
      </c>
      <c r="O43" s="238" t="e">
        <f t="shared" si="3"/>
        <v>#REF!</v>
      </c>
      <c r="P43" s="238" t="e">
        <f t="shared" si="3"/>
        <v>#REF!</v>
      </c>
      <c r="Q43" s="238" t="e">
        <f t="shared" si="3"/>
        <v>#REF!</v>
      </c>
      <c r="R43" s="238" t="e">
        <f t="shared" si="3"/>
        <v>#REF!</v>
      </c>
      <c r="S43" s="238" t="e">
        <f t="shared" ref="S43:AG43" si="4">ROUND(R43*(1+$AJ43),2)</f>
        <v>#REF!</v>
      </c>
      <c r="T43" s="238" t="e">
        <f t="shared" si="4"/>
        <v>#REF!</v>
      </c>
      <c r="U43" s="238" t="e">
        <f t="shared" si="4"/>
        <v>#REF!</v>
      </c>
      <c r="V43" s="238" t="e">
        <f t="shared" si="4"/>
        <v>#REF!</v>
      </c>
      <c r="W43" s="238" t="e">
        <f t="shared" si="4"/>
        <v>#REF!</v>
      </c>
      <c r="X43" s="238" t="e">
        <f t="shared" si="4"/>
        <v>#REF!</v>
      </c>
      <c r="Y43" s="238" t="e">
        <f t="shared" si="4"/>
        <v>#REF!</v>
      </c>
      <c r="Z43" s="238" t="e">
        <f t="shared" si="4"/>
        <v>#REF!</v>
      </c>
      <c r="AA43" s="238" t="e">
        <f t="shared" si="4"/>
        <v>#REF!</v>
      </c>
      <c r="AB43" s="238" t="e">
        <f t="shared" si="4"/>
        <v>#REF!</v>
      </c>
      <c r="AC43" s="238" t="e">
        <f t="shared" si="4"/>
        <v>#REF!</v>
      </c>
      <c r="AD43" s="238" t="e">
        <f t="shared" si="4"/>
        <v>#REF!</v>
      </c>
      <c r="AE43" s="238" t="e">
        <f t="shared" si="4"/>
        <v>#REF!</v>
      </c>
      <c r="AF43" s="238" t="e">
        <f t="shared" si="4"/>
        <v>#REF!</v>
      </c>
      <c r="AG43" s="238" t="e">
        <f t="shared" si="4"/>
        <v>#REF!</v>
      </c>
      <c r="AH43" s="239" t="e">
        <f>#REF!</f>
        <v>#REF!</v>
      </c>
      <c r="AI43" s="240" t="e">
        <f>#REF!</f>
        <v>#REF!</v>
      </c>
      <c r="AJ43" s="240" t="e">
        <f>#REF!</f>
        <v>#REF!</v>
      </c>
      <c r="AK43" s="289" t="s">
        <v>388</v>
      </c>
      <c r="AL43" s="289" t="s">
        <v>389</v>
      </c>
      <c r="AM43" s="173" t="s">
        <v>390</v>
      </c>
    </row>
    <row r="44" spans="1:39" s="282" customFormat="1">
      <c r="A44" s="282" t="s">
        <v>391</v>
      </c>
      <c r="B44" s="282" t="s">
        <v>290</v>
      </c>
      <c r="C44" s="283">
        <v>528</v>
      </c>
      <c r="D44" s="283">
        <f t="shared" ref="D44:AA44" si="5">ROUND(C44*(1+$AJ44),2)</f>
        <v>528</v>
      </c>
      <c r="E44" s="283">
        <f t="shared" si="5"/>
        <v>528</v>
      </c>
      <c r="F44" s="283">
        <f t="shared" si="5"/>
        <v>528</v>
      </c>
      <c r="G44" s="283">
        <f t="shared" si="5"/>
        <v>528</v>
      </c>
      <c r="H44" s="283">
        <f t="shared" si="5"/>
        <v>528</v>
      </c>
      <c r="I44" s="283">
        <f t="shared" si="5"/>
        <v>528</v>
      </c>
      <c r="J44" s="283">
        <f t="shared" si="5"/>
        <v>528</v>
      </c>
      <c r="K44" s="283">
        <f t="shared" si="5"/>
        <v>528</v>
      </c>
      <c r="L44" s="283">
        <f t="shared" si="5"/>
        <v>528</v>
      </c>
      <c r="M44" s="283">
        <f t="shared" si="5"/>
        <v>528</v>
      </c>
      <c r="N44" s="283">
        <f t="shared" si="5"/>
        <v>528</v>
      </c>
      <c r="O44" s="283">
        <f t="shared" si="5"/>
        <v>528</v>
      </c>
      <c r="P44" s="283">
        <f t="shared" si="5"/>
        <v>528</v>
      </c>
      <c r="Q44" s="283">
        <f t="shared" si="5"/>
        <v>528</v>
      </c>
      <c r="R44" s="283">
        <f t="shared" si="5"/>
        <v>528</v>
      </c>
      <c r="S44" s="283">
        <f t="shared" si="5"/>
        <v>528</v>
      </c>
      <c r="T44" s="283">
        <f t="shared" si="5"/>
        <v>528</v>
      </c>
      <c r="U44" s="283">
        <f t="shared" si="5"/>
        <v>528</v>
      </c>
      <c r="V44" s="283">
        <f t="shared" si="5"/>
        <v>528</v>
      </c>
      <c r="W44" s="283">
        <f t="shared" si="5"/>
        <v>528</v>
      </c>
      <c r="X44" s="283">
        <f t="shared" si="5"/>
        <v>528</v>
      </c>
      <c r="Y44" s="283">
        <f t="shared" si="5"/>
        <v>528</v>
      </c>
      <c r="Z44" s="283">
        <f t="shared" si="5"/>
        <v>528</v>
      </c>
      <c r="AA44" s="283">
        <f t="shared" si="5"/>
        <v>528</v>
      </c>
      <c r="AB44" s="283" t="e">
        <f>AB43</f>
        <v>#REF!</v>
      </c>
      <c r="AC44" s="283" t="e">
        <f t="shared" ref="AC44:AG44" si="6">AC43</f>
        <v>#REF!</v>
      </c>
      <c r="AD44" s="283" t="e">
        <f t="shared" si="6"/>
        <v>#REF!</v>
      </c>
      <c r="AE44" s="283" t="e">
        <f t="shared" si="6"/>
        <v>#REF!</v>
      </c>
      <c r="AF44" s="283" t="e">
        <f t="shared" si="6"/>
        <v>#REF!</v>
      </c>
      <c r="AG44" s="283" t="e">
        <f t="shared" si="6"/>
        <v>#REF!</v>
      </c>
      <c r="AH44" s="284"/>
      <c r="AI44" s="285"/>
      <c r="AJ44" s="285"/>
    </row>
    <row r="45" spans="1:39">
      <c r="A45" s="293" t="s">
        <v>292</v>
      </c>
      <c r="B45" s="171" t="s">
        <v>290</v>
      </c>
      <c r="C45" s="236">
        <v>250</v>
      </c>
      <c r="D45" s="236" t="e">
        <f>ROUND(C45*(1+$AH45),2)</f>
        <v>#REF!</v>
      </c>
      <c r="E45" s="236" t="e">
        <f t="shared" ref="E45:AG45" si="7">ROUND(D45*(1+$AH45),2)</f>
        <v>#REF!</v>
      </c>
      <c r="F45" s="236" t="e">
        <f t="shared" si="7"/>
        <v>#REF!</v>
      </c>
      <c r="G45" s="236" t="e">
        <f t="shared" si="7"/>
        <v>#REF!</v>
      </c>
      <c r="H45" s="236" t="e">
        <f t="shared" si="7"/>
        <v>#REF!</v>
      </c>
      <c r="I45" s="236" t="e">
        <f t="shared" si="7"/>
        <v>#REF!</v>
      </c>
      <c r="J45" s="236" t="e">
        <f t="shared" si="7"/>
        <v>#REF!</v>
      </c>
      <c r="K45" s="236" t="e">
        <f t="shared" si="7"/>
        <v>#REF!</v>
      </c>
      <c r="L45" s="236" t="e">
        <f t="shared" si="7"/>
        <v>#REF!</v>
      </c>
      <c r="M45" s="236" t="e">
        <f t="shared" si="7"/>
        <v>#REF!</v>
      </c>
      <c r="N45" s="236" t="e">
        <f t="shared" si="7"/>
        <v>#REF!</v>
      </c>
      <c r="O45" s="236" t="e">
        <f t="shared" si="7"/>
        <v>#REF!</v>
      </c>
      <c r="P45" s="236" t="e">
        <f t="shared" si="7"/>
        <v>#REF!</v>
      </c>
      <c r="Q45" s="236" t="e">
        <f t="shared" si="7"/>
        <v>#REF!</v>
      </c>
      <c r="R45" s="236" t="e">
        <f t="shared" si="7"/>
        <v>#REF!</v>
      </c>
      <c r="S45" s="236" t="e">
        <f t="shared" si="7"/>
        <v>#REF!</v>
      </c>
      <c r="T45" s="236" t="e">
        <f t="shared" si="7"/>
        <v>#REF!</v>
      </c>
      <c r="U45" s="236" t="e">
        <f t="shared" si="7"/>
        <v>#REF!</v>
      </c>
      <c r="V45" s="236" t="e">
        <f t="shared" si="7"/>
        <v>#REF!</v>
      </c>
      <c r="W45" s="236" t="e">
        <f t="shared" si="7"/>
        <v>#REF!</v>
      </c>
      <c r="X45" s="236" t="e">
        <f t="shared" si="7"/>
        <v>#REF!</v>
      </c>
      <c r="Y45" s="236" t="e">
        <f t="shared" si="7"/>
        <v>#REF!</v>
      </c>
      <c r="Z45" s="236" t="e">
        <f t="shared" si="7"/>
        <v>#REF!</v>
      </c>
      <c r="AA45" s="236" t="e">
        <f t="shared" si="7"/>
        <v>#REF!</v>
      </c>
      <c r="AB45" s="236" t="e">
        <f t="shared" si="7"/>
        <v>#REF!</v>
      </c>
      <c r="AC45" s="236" t="e">
        <f t="shared" si="7"/>
        <v>#REF!</v>
      </c>
      <c r="AD45" s="236" t="e">
        <f t="shared" si="7"/>
        <v>#REF!</v>
      </c>
      <c r="AE45" s="236" t="e">
        <f t="shared" si="7"/>
        <v>#REF!</v>
      </c>
      <c r="AF45" s="236" t="e">
        <f t="shared" si="7"/>
        <v>#REF!</v>
      </c>
      <c r="AG45" s="236" t="e">
        <f t="shared" si="7"/>
        <v>#REF!</v>
      </c>
      <c r="AH45" s="242" t="e">
        <f>#REF!</f>
        <v>#REF!</v>
      </c>
      <c r="AI45" s="287"/>
      <c r="AJ45" s="242"/>
    </row>
    <row r="46" spans="1:39">
      <c r="A46" s="171" t="s">
        <v>348</v>
      </c>
      <c r="B46" s="171" t="s">
        <v>198</v>
      </c>
      <c r="C46" s="243">
        <v>0</v>
      </c>
      <c r="D46" s="243">
        <f>C46</f>
        <v>0</v>
      </c>
      <c r="E46" s="243">
        <f t="shared" ref="E46:H46" si="8">D46</f>
        <v>0</v>
      </c>
      <c r="F46" s="243">
        <f t="shared" si="8"/>
        <v>0</v>
      </c>
      <c r="G46" s="243">
        <f t="shared" si="8"/>
        <v>0</v>
      </c>
      <c r="H46" s="243">
        <f t="shared" si="8"/>
        <v>0</v>
      </c>
      <c r="I46" s="243">
        <v>0.25</v>
      </c>
      <c r="J46" s="243">
        <f t="shared" ref="J46:AG46" si="9">I46</f>
        <v>0.25</v>
      </c>
      <c r="K46" s="243">
        <f t="shared" si="9"/>
        <v>0.25</v>
      </c>
      <c r="L46" s="243">
        <f t="shared" si="9"/>
        <v>0.25</v>
      </c>
      <c r="M46" s="243">
        <f t="shared" si="9"/>
        <v>0.25</v>
      </c>
      <c r="N46" s="243">
        <v>0.5</v>
      </c>
      <c r="O46" s="243">
        <f t="shared" si="9"/>
        <v>0.5</v>
      </c>
      <c r="P46" s="243">
        <f t="shared" si="9"/>
        <v>0.5</v>
      </c>
      <c r="Q46" s="243">
        <f t="shared" si="9"/>
        <v>0.5</v>
      </c>
      <c r="R46" s="243">
        <f t="shared" si="9"/>
        <v>0.5</v>
      </c>
      <c r="S46" s="243">
        <v>0.75</v>
      </c>
      <c r="T46" s="243">
        <f t="shared" si="9"/>
        <v>0.75</v>
      </c>
      <c r="U46" s="243">
        <f t="shared" si="9"/>
        <v>0.75</v>
      </c>
      <c r="V46" s="243">
        <f t="shared" si="9"/>
        <v>0.75</v>
      </c>
      <c r="W46" s="243">
        <v>1</v>
      </c>
      <c r="X46" s="243">
        <f t="shared" si="9"/>
        <v>1</v>
      </c>
      <c r="Y46" s="243">
        <f t="shared" si="9"/>
        <v>1</v>
      </c>
      <c r="Z46" s="243">
        <f t="shared" si="9"/>
        <v>1</v>
      </c>
      <c r="AA46" s="243">
        <f t="shared" si="9"/>
        <v>1</v>
      </c>
      <c r="AB46" s="243">
        <f t="shared" si="9"/>
        <v>1</v>
      </c>
      <c r="AC46" s="243">
        <f t="shared" si="9"/>
        <v>1</v>
      </c>
      <c r="AD46" s="243">
        <f t="shared" si="9"/>
        <v>1</v>
      </c>
      <c r="AE46" s="243">
        <f t="shared" si="9"/>
        <v>1</v>
      </c>
      <c r="AF46" s="243">
        <f t="shared" si="9"/>
        <v>1</v>
      </c>
      <c r="AG46" s="243">
        <f t="shared" si="9"/>
        <v>1</v>
      </c>
      <c r="AH46" s="237"/>
      <c r="AI46" s="242"/>
    </row>
    <row r="47" spans="1:39">
      <c r="A47" s="171" t="s">
        <v>294</v>
      </c>
      <c r="B47" s="171" t="s">
        <v>290</v>
      </c>
      <c r="C47" s="238">
        <f t="shared" ref="C47:AG47" si="10">((C43*C46)+(C45*(1-C46)))</f>
        <v>250</v>
      </c>
      <c r="D47" s="238" t="e">
        <f t="shared" si="10"/>
        <v>#REF!</v>
      </c>
      <c r="E47" s="238" t="e">
        <f t="shared" si="10"/>
        <v>#REF!</v>
      </c>
      <c r="F47" s="238" t="e">
        <f t="shared" si="10"/>
        <v>#REF!</v>
      </c>
      <c r="G47" s="238" t="e">
        <f t="shared" si="10"/>
        <v>#REF!</v>
      </c>
      <c r="H47" s="238" t="e">
        <f t="shared" si="10"/>
        <v>#REF!</v>
      </c>
      <c r="I47" s="238" t="e">
        <f t="shared" si="10"/>
        <v>#REF!</v>
      </c>
      <c r="J47" s="238" t="e">
        <f t="shared" si="10"/>
        <v>#REF!</v>
      </c>
      <c r="K47" s="238" t="e">
        <f t="shared" si="10"/>
        <v>#REF!</v>
      </c>
      <c r="L47" s="238" t="e">
        <f t="shared" si="10"/>
        <v>#REF!</v>
      </c>
      <c r="M47" s="238" t="e">
        <f t="shared" si="10"/>
        <v>#REF!</v>
      </c>
      <c r="N47" s="238" t="e">
        <f t="shared" si="10"/>
        <v>#REF!</v>
      </c>
      <c r="O47" s="238" t="e">
        <f t="shared" si="10"/>
        <v>#REF!</v>
      </c>
      <c r="P47" s="238" t="e">
        <f t="shared" si="10"/>
        <v>#REF!</v>
      </c>
      <c r="Q47" s="238" t="e">
        <f t="shared" si="10"/>
        <v>#REF!</v>
      </c>
      <c r="R47" s="238" t="e">
        <f t="shared" si="10"/>
        <v>#REF!</v>
      </c>
      <c r="S47" s="238" t="e">
        <f t="shared" si="10"/>
        <v>#REF!</v>
      </c>
      <c r="T47" s="238" t="e">
        <f t="shared" si="10"/>
        <v>#REF!</v>
      </c>
      <c r="U47" s="238" t="e">
        <f t="shared" si="10"/>
        <v>#REF!</v>
      </c>
      <c r="V47" s="238" t="e">
        <f t="shared" si="10"/>
        <v>#REF!</v>
      </c>
      <c r="W47" s="238" t="e">
        <f t="shared" si="10"/>
        <v>#REF!</v>
      </c>
      <c r="X47" s="238" t="e">
        <f t="shared" si="10"/>
        <v>#REF!</v>
      </c>
      <c r="Y47" s="238" t="e">
        <f t="shared" si="10"/>
        <v>#REF!</v>
      </c>
      <c r="Z47" s="238" t="e">
        <f t="shared" si="10"/>
        <v>#REF!</v>
      </c>
      <c r="AA47" s="238" t="e">
        <f t="shared" si="10"/>
        <v>#REF!</v>
      </c>
      <c r="AB47" s="238" t="e">
        <f t="shared" si="10"/>
        <v>#REF!</v>
      </c>
      <c r="AC47" s="238" t="e">
        <f t="shared" si="10"/>
        <v>#REF!</v>
      </c>
      <c r="AD47" s="238" t="e">
        <f t="shared" si="10"/>
        <v>#REF!</v>
      </c>
      <c r="AE47" s="238" t="e">
        <f t="shared" si="10"/>
        <v>#REF!</v>
      </c>
      <c r="AF47" s="238" t="e">
        <f t="shared" si="10"/>
        <v>#REF!</v>
      </c>
      <c r="AG47" s="238" t="e">
        <f t="shared" si="10"/>
        <v>#REF!</v>
      </c>
      <c r="AH47" s="237"/>
      <c r="AI47" s="242"/>
    </row>
    <row r="48" spans="1:39">
      <c r="A48" s="171" t="s">
        <v>392</v>
      </c>
      <c r="B48" s="171" t="s">
        <v>290</v>
      </c>
      <c r="C48" s="238">
        <v>175</v>
      </c>
      <c r="D48" s="238" t="e">
        <f>ROUND(C48*(1+$AH48),2)</f>
        <v>#REF!</v>
      </c>
      <c r="E48" s="238" t="e">
        <f t="shared" ref="E48:AG48" si="11">ROUND(D48*(1+$AH48),2)</f>
        <v>#REF!</v>
      </c>
      <c r="F48" s="238" t="e">
        <f t="shared" si="11"/>
        <v>#REF!</v>
      </c>
      <c r="G48" s="238" t="e">
        <f t="shared" si="11"/>
        <v>#REF!</v>
      </c>
      <c r="H48" s="238" t="e">
        <f t="shared" si="11"/>
        <v>#REF!</v>
      </c>
      <c r="I48" s="238" t="e">
        <f t="shared" si="11"/>
        <v>#REF!</v>
      </c>
      <c r="J48" s="238" t="e">
        <f t="shared" si="11"/>
        <v>#REF!</v>
      </c>
      <c r="K48" s="238" t="e">
        <f t="shared" si="11"/>
        <v>#REF!</v>
      </c>
      <c r="L48" s="238" t="e">
        <f t="shared" si="11"/>
        <v>#REF!</v>
      </c>
      <c r="M48" s="238" t="e">
        <f t="shared" si="11"/>
        <v>#REF!</v>
      </c>
      <c r="N48" s="238" t="e">
        <f t="shared" si="11"/>
        <v>#REF!</v>
      </c>
      <c r="O48" s="238" t="e">
        <f t="shared" si="11"/>
        <v>#REF!</v>
      </c>
      <c r="P48" s="238" t="e">
        <f t="shared" si="11"/>
        <v>#REF!</v>
      </c>
      <c r="Q48" s="238" t="e">
        <f t="shared" si="11"/>
        <v>#REF!</v>
      </c>
      <c r="R48" s="238" t="e">
        <f t="shared" si="11"/>
        <v>#REF!</v>
      </c>
      <c r="S48" s="238" t="e">
        <f t="shared" si="11"/>
        <v>#REF!</v>
      </c>
      <c r="T48" s="238" t="e">
        <f t="shared" si="11"/>
        <v>#REF!</v>
      </c>
      <c r="U48" s="238" t="e">
        <f t="shared" si="11"/>
        <v>#REF!</v>
      </c>
      <c r="V48" s="238" t="e">
        <f t="shared" si="11"/>
        <v>#REF!</v>
      </c>
      <c r="W48" s="238" t="e">
        <f t="shared" si="11"/>
        <v>#REF!</v>
      </c>
      <c r="X48" s="238" t="e">
        <f t="shared" si="11"/>
        <v>#REF!</v>
      </c>
      <c r="Y48" s="238" t="e">
        <f t="shared" si="11"/>
        <v>#REF!</v>
      </c>
      <c r="Z48" s="238" t="e">
        <f t="shared" si="11"/>
        <v>#REF!</v>
      </c>
      <c r="AA48" s="238" t="e">
        <f t="shared" si="11"/>
        <v>#REF!</v>
      </c>
      <c r="AB48" s="238" t="e">
        <f t="shared" si="11"/>
        <v>#REF!</v>
      </c>
      <c r="AC48" s="238" t="e">
        <f t="shared" si="11"/>
        <v>#REF!</v>
      </c>
      <c r="AD48" s="238" t="e">
        <f t="shared" si="11"/>
        <v>#REF!</v>
      </c>
      <c r="AE48" s="238" t="e">
        <f t="shared" si="11"/>
        <v>#REF!</v>
      </c>
      <c r="AF48" s="238" t="e">
        <f t="shared" si="11"/>
        <v>#REF!</v>
      </c>
      <c r="AG48" s="238" t="e">
        <f t="shared" si="11"/>
        <v>#REF!</v>
      </c>
      <c r="AH48" s="286" t="e">
        <f>#REF!</f>
        <v>#REF!</v>
      </c>
      <c r="AI48" s="241"/>
      <c r="AJ48" s="286"/>
    </row>
    <row r="49" spans="1:41">
      <c r="A49" s="254" t="s">
        <v>295</v>
      </c>
      <c r="B49" s="171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37"/>
      <c r="AI49" s="242"/>
    </row>
    <row r="50" spans="1:41">
      <c r="A50" s="292" t="s">
        <v>349</v>
      </c>
      <c r="B50" s="171" t="s">
        <v>290</v>
      </c>
      <c r="C50" s="244">
        <f t="shared" ref="C50:AG50" si="12">C43+C48</f>
        <v>775</v>
      </c>
      <c r="D50" s="244" t="e">
        <f t="shared" si="12"/>
        <v>#REF!</v>
      </c>
      <c r="E50" s="244" t="e">
        <f t="shared" si="12"/>
        <v>#REF!</v>
      </c>
      <c r="F50" s="244" t="e">
        <f t="shared" si="12"/>
        <v>#REF!</v>
      </c>
      <c r="G50" s="244" t="e">
        <f t="shared" si="12"/>
        <v>#REF!</v>
      </c>
      <c r="H50" s="244" t="e">
        <f t="shared" si="12"/>
        <v>#REF!</v>
      </c>
      <c r="I50" s="244" t="e">
        <f t="shared" si="12"/>
        <v>#REF!</v>
      </c>
      <c r="J50" s="244" t="e">
        <f t="shared" si="12"/>
        <v>#REF!</v>
      </c>
      <c r="K50" s="244" t="e">
        <f t="shared" si="12"/>
        <v>#REF!</v>
      </c>
      <c r="L50" s="244" t="e">
        <f t="shared" si="12"/>
        <v>#REF!</v>
      </c>
      <c r="M50" s="244" t="e">
        <f t="shared" si="12"/>
        <v>#REF!</v>
      </c>
      <c r="N50" s="244" t="e">
        <f t="shared" si="12"/>
        <v>#REF!</v>
      </c>
      <c r="O50" s="244" t="e">
        <f t="shared" si="12"/>
        <v>#REF!</v>
      </c>
      <c r="P50" s="244" t="e">
        <f t="shared" si="12"/>
        <v>#REF!</v>
      </c>
      <c r="Q50" s="244" t="e">
        <f t="shared" si="12"/>
        <v>#REF!</v>
      </c>
      <c r="R50" s="244" t="e">
        <f t="shared" si="12"/>
        <v>#REF!</v>
      </c>
      <c r="S50" s="244" t="e">
        <f t="shared" si="12"/>
        <v>#REF!</v>
      </c>
      <c r="T50" s="244" t="e">
        <f t="shared" si="12"/>
        <v>#REF!</v>
      </c>
      <c r="U50" s="244" t="e">
        <f t="shared" si="12"/>
        <v>#REF!</v>
      </c>
      <c r="V50" s="244" t="e">
        <f t="shared" si="12"/>
        <v>#REF!</v>
      </c>
      <c r="W50" s="244" t="e">
        <f t="shared" si="12"/>
        <v>#REF!</v>
      </c>
      <c r="X50" s="244" t="e">
        <f t="shared" si="12"/>
        <v>#REF!</v>
      </c>
      <c r="Y50" s="244" t="e">
        <f t="shared" si="12"/>
        <v>#REF!</v>
      </c>
      <c r="Z50" s="244" t="e">
        <f t="shared" si="12"/>
        <v>#REF!</v>
      </c>
      <c r="AA50" s="244" t="e">
        <f t="shared" si="12"/>
        <v>#REF!</v>
      </c>
      <c r="AB50" s="244" t="e">
        <f t="shared" si="12"/>
        <v>#REF!</v>
      </c>
      <c r="AC50" s="244" t="e">
        <f t="shared" si="12"/>
        <v>#REF!</v>
      </c>
      <c r="AD50" s="244" t="e">
        <f t="shared" si="12"/>
        <v>#REF!</v>
      </c>
      <c r="AE50" s="244" t="e">
        <f t="shared" si="12"/>
        <v>#REF!</v>
      </c>
      <c r="AF50" s="244" t="e">
        <f t="shared" si="12"/>
        <v>#REF!</v>
      </c>
      <c r="AG50" s="244" t="e">
        <f t="shared" si="12"/>
        <v>#REF!</v>
      </c>
      <c r="AH50" s="237"/>
      <c r="AI50" s="242"/>
      <c r="AJ50" s="241"/>
    </row>
    <row r="51" spans="1:41" s="282" customFormat="1">
      <c r="A51" s="288" t="s">
        <v>393</v>
      </c>
      <c r="C51" s="283">
        <f t="shared" ref="C51:AG51" si="13">C44+C48</f>
        <v>703</v>
      </c>
      <c r="D51" s="283" t="e">
        <f t="shared" si="13"/>
        <v>#REF!</v>
      </c>
      <c r="E51" s="283" t="e">
        <f t="shared" si="13"/>
        <v>#REF!</v>
      </c>
      <c r="F51" s="283" t="e">
        <f t="shared" si="13"/>
        <v>#REF!</v>
      </c>
      <c r="G51" s="283" t="e">
        <f t="shared" si="13"/>
        <v>#REF!</v>
      </c>
      <c r="H51" s="283" t="e">
        <f t="shared" si="13"/>
        <v>#REF!</v>
      </c>
      <c r="I51" s="283" t="e">
        <f t="shared" si="13"/>
        <v>#REF!</v>
      </c>
      <c r="J51" s="283" t="e">
        <f t="shared" si="13"/>
        <v>#REF!</v>
      </c>
      <c r="K51" s="283" t="e">
        <f t="shared" si="13"/>
        <v>#REF!</v>
      </c>
      <c r="L51" s="283" t="e">
        <f t="shared" si="13"/>
        <v>#REF!</v>
      </c>
      <c r="M51" s="283" t="e">
        <f t="shared" si="13"/>
        <v>#REF!</v>
      </c>
      <c r="N51" s="283" t="e">
        <f t="shared" si="13"/>
        <v>#REF!</v>
      </c>
      <c r="O51" s="283" t="e">
        <f t="shared" si="13"/>
        <v>#REF!</v>
      </c>
      <c r="P51" s="283" t="e">
        <f t="shared" si="13"/>
        <v>#REF!</v>
      </c>
      <c r="Q51" s="283" t="e">
        <f t="shared" si="13"/>
        <v>#REF!</v>
      </c>
      <c r="R51" s="283" t="e">
        <f t="shared" si="13"/>
        <v>#REF!</v>
      </c>
      <c r="S51" s="283" t="e">
        <f t="shared" si="13"/>
        <v>#REF!</v>
      </c>
      <c r="T51" s="283" t="e">
        <f t="shared" si="13"/>
        <v>#REF!</v>
      </c>
      <c r="U51" s="283" t="e">
        <f t="shared" si="13"/>
        <v>#REF!</v>
      </c>
      <c r="V51" s="283" t="e">
        <f t="shared" si="13"/>
        <v>#REF!</v>
      </c>
      <c r="W51" s="283" t="e">
        <f t="shared" si="13"/>
        <v>#REF!</v>
      </c>
      <c r="X51" s="283" t="e">
        <f t="shared" si="13"/>
        <v>#REF!</v>
      </c>
      <c r="Y51" s="283" t="e">
        <f t="shared" si="13"/>
        <v>#REF!</v>
      </c>
      <c r="Z51" s="283" t="e">
        <f t="shared" si="13"/>
        <v>#REF!</v>
      </c>
      <c r="AA51" s="283" t="e">
        <f t="shared" si="13"/>
        <v>#REF!</v>
      </c>
      <c r="AB51" s="283" t="e">
        <f t="shared" si="13"/>
        <v>#REF!</v>
      </c>
      <c r="AC51" s="283" t="e">
        <f t="shared" si="13"/>
        <v>#REF!</v>
      </c>
      <c r="AD51" s="283" t="e">
        <f t="shared" si="13"/>
        <v>#REF!</v>
      </c>
      <c r="AE51" s="283" t="e">
        <f t="shared" si="13"/>
        <v>#REF!</v>
      </c>
      <c r="AF51" s="283" t="e">
        <f t="shared" si="13"/>
        <v>#REF!</v>
      </c>
      <c r="AG51" s="283" t="e">
        <f t="shared" si="13"/>
        <v>#REF!</v>
      </c>
      <c r="AH51" s="284"/>
      <c r="AI51" s="285"/>
      <c r="AJ51" s="285"/>
    </row>
    <row r="52" spans="1:41">
      <c r="A52" s="292" t="s">
        <v>350</v>
      </c>
      <c r="B52" s="171" t="s">
        <v>290</v>
      </c>
      <c r="C52" s="244">
        <f t="shared" ref="C52:AG52" si="14">C45+C48</f>
        <v>425</v>
      </c>
      <c r="D52" s="244" t="e">
        <f t="shared" si="14"/>
        <v>#REF!</v>
      </c>
      <c r="E52" s="244" t="e">
        <f t="shared" si="14"/>
        <v>#REF!</v>
      </c>
      <c r="F52" s="244" t="e">
        <f t="shared" si="14"/>
        <v>#REF!</v>
      </c>
      <c r="G52" s="244" t="e">
        <f t="shared" si="14"/>
        <v>#REF!</v>
      </c>
      <c r="H52" s="244" t="e">
        <f t="shared" si="14"/>
        <v>#REF!</v>
      </c>
      <c r="I52" s="244" t="e">
        <f t="shared" si="14"/>
        <v>#REF!</v>
      </c>
      <c r="J52" s="244" t="e">
        <f t="shared" si="14"/>
        <v>#REF!</v>
      </c>
      <c r="K52" s="244" t="e">
        <f t="shared" si="14"/>
        <v>#REF!</v>
      </c>
      <c r="L52" s="244" t="e">
        <f t="shared" si="14"/>
        <v>#REF!</v>
      </c>
      <c r="M52" s="244" t="e">
        <f t="shared" si="14"/>
        <v>#REF!</v>
      </c>
      <c r="N52" s="244" t="e">
        <f t="shared" si="14"/>
        <v>#REF!</v>
      </c>
      <c r="O52" s="244" t="e">
        <f t="shared" si="14"/>
        <v>#REF!</v>
      </c>
      <c r="P52" s="244" t="e">
        <f t="shared" si="14"/>
        <v>#REF!</v>
      </c>
      <c r="Q52" s="244" t="e">
        <f t="shared" si="14"/>
        <v>#REF!</v>
      </c>
      <c r="R52" s="244" t="e">
        <f t="shared" si="14"/>
        <v>#REF!</v>
      </c>
      <c r="S52" s="244" t="e">
        <f t="shared" si="14"/>
        <v>#REF!</v>
      </c>
      <c r="T52" s="244" t="e">
        <f t="shared" si="14"/>
        <v>#REF!</v>
      </c>
      <c r="U52" s="244" t="e">
        <f t="shared" si="14"/>
        <v>#REF!</v>
      </c>
      <c r="V52" s="244" t="e">
        <f t="shared" si="14"/>
        <v>#REF!</v>
      </c>
      <c r="W52" s="244" t="e">
        <f t="shared" si="14"/>
        <v>#REF!</v>
      </c>
      <c r="X52" s="244" t="e">
        <f t="shared" si="14"/>
        <v>#REF!</v>
      </c>
      <c r="Y52" s="244" t="e">
        <f t="shared" si="14"/>
        <v>#REF!</v>
      </c>
      <c r="Z52" s="244" t="e">
        <f t="shared" si="14"/>
        <v>#REF!</v>
      </c>
      <c r="AA52" s="244" t="e">
        <f t="shared" si="14"/>
        <v>#REF!</v>
      </c>
      <c r="AB52" s="244" t="e">
        <f t="shared" si="14"/>
        <v>#REF!</v>
      </c>
      <c r="AC52" s="244" t="e">
        <f t="shared" si="14"/>
        <v>#REF!</v>
      </c>
      <c r="AD52" s="244" t="e">
        <f t="shared" si="14"/>
        <v>#REF!</v>
      </c>
      <c r="AE52" s="244" t="e">
        <f t="shared" si="14"/>
        <v>#REF!</v>
      </c>
      <c r="AF52" s="244" t="e">
        <f t="shared" si="14"/>
        <v>#REF!</v>
      </c>
      <c r="AG52" s="244" t="e">
        <f t="shared" si="14"/>
        <v>#REF!</v>
      </c>
      <c r="AH52" s="237"/>
      <c r="AI52" s="242"/>
    </row>
    <row r="53" spans="1:41">
      <c r="A53" s="292" t="s">
        <v>351</v>
      </c>
      <c r="B53" s="171" t="s">
        <v>290</v>
      </c>
      <c r="C53" s="236">
        <f t="shared" ref="C53:AG53" si="15">C47+C48</f>
        <v>425</v>
      </c>
      <c r="D53" s="236" t="e">
        <f t="shared" si="15"/>
        <v>#REF!</v>
      </c>
      <c r="E53" s="236" t="e">
        <f t="shared" si="15"/>
        <v>#REF!</v>
      </c>
      <c r="F53" s="236" t="e">
        <f t="shared" si="15"/>
        <v>#REF!</v>
      </c>
      <c r="G53" s="236" t="e">
        <f t="shared" si="15"/>
        <v>#REF!</v>
      </c>
      <c r="H53" s="236" t="e">
        <f t="shared" si="15"/>
        <v>#REF!</v>
      </c>
      <c r="I53" s="236" t="e">
        <f t="shared" si="15"/>
        <v>#REF!</v>
      </c>
      <c r="J53" s="236" t="e">
        <f t="shared" si="15"/>
        <v>#REF!</v>
      </c>
      <c r="K53" s="236" t="e">
        <f t="shared" si="15"/>
        <v>#REF!</v>
      </c>
      <c r="L53" s="236" t="e">
        <f t="shared" si="15"/>
        <v>#REF!</v>
      </c>
      <c r="M53" s="236" t="e">
        <f t="shared" si="15"/>
        <v>#REF!</v>
      </c>
      <c r="N53" s="236" t="e">
        <f t="shared" si="15"/>
        <v>#REF!</v>
      </c>
      <c r="O53" s="236" t="e">
        <f t="shared" si="15"/>
        <v>#REF!</v>
      </c>
      <c r="P53" s="236" t="e">
        <f t="shared" si="15"/>
        <v>#REF!</v>
      </c>
      <c r="Q53" s="236" t="e">
        <f t="shared" si="15"/>
        <v>#REF!</v>
      </c>
      <c r="R53" s="236" t="e">
        <f t="shared" si="15"/>
        <v>#REF!</v>
      </c>
      <c r="S53" s="236" t="e">
        <f t="shared" si="15"/>
        <v>#REF!</v>
      </c>
      <c r="T53" s="236" t="e">
        <f t="shared" si="15"/>
        <v>#REF!</v>
      </c>
      <c r="U53" s="236" t="e">
        <f t="shared" si="15"/>
        <v>#REF!</v>
      </c>
      <c r="V53" s="236" t="e">
        <f t="shared" si="15"/>
        <v>#REF!</v>
      </c>
      <c r="W53" s="236" t="e">
        <f t="shared" si="15"/>
        <v>#REF!</v>
      </c>
      <c r="X53" s="236" t="e">
        <f t="shared" si="15"/>
        <v>#REF!</v>
      </c>
      <c r="Y53" s="236" t="e">
        <f t="shared" si="15"/>
        <v>#REF!</v>
      </c>
      <c r="Z53" s="236" t="e">
        <f t="shared" si="15"/>
        <v>#REF!</v>
      </c>
      <c r="AA53" s="236" t="e">
        <f t="shared" si="15"/>
        <v>#REF!</v>
      </c>
      <c r="AB53" s="236" t="e">
        <f t="shared" si="15"/>
        <v>#REF!</v>
      </c>
      <c r="AC53" s="236" t="e">
        <f t="shared" si="15"/>
        <v>#REF!</v>
      </c>
      <c r="AD53" s="236" t="e">
        <f t="shared" si="15"/>
        <v>#REF!</v>
      </c>
      <c r="AE53" s="236" t="e">
        <f t="shared" si="15"/>
        <v>#REF!</v>
      </c>
      <c r="AF53" s="236" t="e">
        <f t="shared" si="15"/>
        <v>#REF!</v>
      </c>
      <c r="AG53" s="236" t="e">
        <f t="shared" si="15"/>
        <v>#REF!</v>
      </c>
      <c r="AH53" s="237"/>
      <c r="AI53" s="242"/>
    </row>
    <row r="54" spans="1:41">
      <c r="A54" s="292" t="s">
        <v>394</v>
      </c>
      <c r="B54" s="171" t="s">
        <v>290</v>
      </c>
      <c r="C54" s="244">
        <f t="shared" ref="C54:AG54" si="16">MIN(C50:C53)</f>
        <v>425</v>
      </c>
      <c r="D54" s="244" t="e">
        <f t="shared" si="16"/>
        <v>#REF!</v>
      </c>
      <c r="E54" s="244" t="e">
        <f t="shared" si="16"/>
        <v>#REF!</v>
      </c>
      <c r="F54" s="244" t="e">
        <f t="shared" si="16"/>
        <v>#REF!</v>
      </c>
      <c r="G54" s="244" t="e">
        <f t="shared" si="16"/>
        <v>#REF!</v>
      </c>
      <c r="H54" s="244" t="e">
        <f t="shared" si="16"/>
        <v>#REF!</v>
      </c>
      <c r="I54" s="244" t="e">
        <f t="shared" si="16"/>
        <v>#REF!</v>
      </c>
      <c r="J54" s="244" t="e">
        <f t="shared" si="16"/>
        <v>#REF!</v>
      </c>
      <c r="K54" s="244" t="e">
        <f t="shared" si="16"/>
        <v>#REF!</v>
      </c>
      <c r="L54" s="244" t="e">
        <f t="shared" si="16"/>
        <v>#REF!</v>
      </c>
      <c r="M54" s="244" t="e">
        <f t="shared" si="16"/>
        <v>#REF!</v>
      </c>
      <c r="N54" s="244" t="e">
        <f t="shared" si="16"/>
        <v>#REF!</v>
      </c>
      <c r="O54" s="244" t="e">
        <f t="shared" si="16"/>
        <v>#REF!</v>
      </c>
      <c r="P54" s="244" t="e">
        <f t="shared" si="16"/>
        <v>#REF!</v>
      </c>
      <c r="Q54" s="244" t="e">
        <f t="shared" si="16"/>
        <v>#REF!</v>
      </c>
      <c r="R54" s="244" t="e">
        <f t="shared" si="16"/>
        <v>#REF!</v>
      </c>
      <c r="S54" s="244" t="e">
        <f t="shared" si="16"/>
        <v>#REF!</v>
      </c>
      <c r="T54" s="244" t="e">
        <f t="shared" si="16"/>
        <v>#REF!</v>
      </c>
      <c r="U54" s="244" t="e">
        <f t="shared" si="16"/>
        <v>#REF!</v>
      </c>
      <c r="V54" s="244" t="e">
        <f t="shared" si="16"/>
        <v>#REF!</v>
      </c>
      <c r="W54" s="244" t="e">
        <f t="shared" si="16"/>
        <v>#REF!</v>
      </c>
      <c r="X54" s="244" t="e">
        <f t="shared" si="16"/>
        <v>#REF!</v>
      </c>
      <c r="Y54" s="244" t="e">
        <f t="shared" si="16"/>
        <v>#REF!</v>
      </c>
      <c r="Z54" s="244" t="e">
        <f t="shared" si="16"/>
        <v>#REF!</v>
      </c>
      <c r="AA54" s="244" t="e">
        <f t="shared" si="16"/>
        <v>#REF!</v>
      </c>
      <c r="AB54" s="244" t="e">
        <f t="shared" si="16"/>
        <v>#REF!</v>
      </c>
      <c r="AC54" s="244" t="e">
        <f t="shared" si="16"/>
        <v>#REF!</v>
      </c>
      <c r="AD54" s="244" t="e">
        <f t="shared" si="16"/>
        <v>#REF!</v>
      </c>
      <c r="AE54" s="244" t="e">
        <f t="shared" si="16"/>
        <v>#REF!</v>
      </c>
      <c r="AF54" s="244" t="e">
        <f t="shared" si="16"/>
        <v>#REF!</v>
      </c>
      <c r="AG54" s="244" t="e">
        <f t="shared" si="16"/>
        <v>#REF!</v>
      </c>
      <c r="AH54" s="237"/>
      <c r="AI54" s="242"/>
    </row>
    <row r="55" spans="1:41">
      <c r="A55" s="171" t="s">
        <v>296</v>
      </c>
      <c r="B55" s="171" t="s">
        <v>297</v>
      </c>
      <c r="C55" s="236">
        <v>18</v>
      </c>
      <c r="D55" s="236" t="e">
        <f>ROUND(C55*(1+$AH55),2)</f>
        <v>#REF!</v>
      </c>
      <c r="E55" s="236" t="e">
        <f>ROUND(D55*(1+$AH55),2)</f>
        <v>#REF!</v>
      </c>
      <c r="F55" s="236" t="e">
        <f>ROUND(E55*(1+$AH55),2)</f>
        <v>#REF!</v>
      </c>
      <c r="G55" s="236" t="e">
        <f>ROUND(F55*(1+$AH55),2)</f>
        <v>#REF!</v>
      </c>
      <c r="H55" s="236" t="e">
        <f>ROUND(G55*(1+$AH55),2)</f>
        <v>#REF!</v>
      </c>
      <c r="I55" s="236" t="e">
        <f t="shared" ref="I55:AG55" si="17">ROUND(H55*(1+$AI55),2)</f>
        <v>#REF!</v>
      </c>
      <c r="J55" s="236" t="e">
        <f t="shared" si="17"/>
        <v>#REF!</v>
      </c>
      <c r="K55" s="236" t="e">
        <f t="shared" si="17"/>
        <v>#REF!</v>
      </c>
      <c r="L55" s="236" t="e">
        <f t="shared" si="17"/>
        <v>#REF!</v>
      </c>
      <c r="M55" s="236" t="e">
        <f t="shared" si="17"/>
        <v>#REF!</v>
      </c>
      <c r="N55" s="236" t="e">
        <f t="shared" si="17"/>
        <v>#REF!</v>
      </c>
      <c r="O55" s="236" t="e">
        <f t="shared" si="17"/>
        <v>#REF!</v>
      </c>
      <c r="P55" s="236" t="e">
        <f t="shared" si="17"/>
        <v>#REF!</v>
      </c>
      <c r="Q55" s="236" t="e">
        <f t="shared" si="17"/>
        <v>#REF!</v>
      </c>
      <c r="R55" s="236" t="e">
        <f t="shared" si="17"/>
        <v>#REF!</v>
      </c>
      <c r="S55" s="236" t="e">
        <f t="shared" si="17"/>
        <v>#REF!</v>
      </c>
      <c r="T55" s="236" t="e">
        <f t="shared" si="17"/>
        <v>#REF!</v>
      </c>
      <c r="U55" s="236" t="e">
        <f t="shared" si="17"/>
        <v>#REF!</v>
      </c>
      <c r="V55" s="236" t="e">
        <f t="shared" si="17"/>
        <v>#REF!</v>
      </c>
      <c r="W55" s="236" t="e">
        <f t="shared" si="17"/>
        <v>#REF!</v>
      </c>
      <c r="X55" s="236" t="e">
        <f t="shared" si="17"/>
        <v>#REF!</v>
      </c>
      <c r="Y55" s="236" t="e">
        <f t="shared" si="17"/>
        <v>#REF!</v>
      </c>
      <c r="Z55" s="236" t="e">
        <f t="shared" si="17"/>
        <v>#REF!</v>
      </c>
      <c r="AA55" s="236" t="e">
        <f t="shared" si="17"/>
        <v>#REF!</v>
      </c>
      <c r="AB55" s="236" t="e">
        <f t="shared" si="17"/>
        <v>#REF!</v>
      </c>
      <c r="AC55" s="236" t="e">
        <f t="shared" si="17"/>
        <v>#REF!</v>
      </c>
      <c r="AD55" s="236" t="e">
        <f t="shared" si="17"/>
        <v>#REF!</v>
      </c>
      <c r="AE55" s="236" t="e">
        <f t="shared" si="17"/>
        <v>#REF!</v>
      </c>
      <c r="AF55" s="236" t="e">
        <f t="shared" si="17"/>
        <v>#REF!</v>
      </c>
      <c r="AG55" s="236" t="e">
        <f t="shared" si="17"/>
        <v>#REF!</v>
      </c>
      <c r="AH55" s="237" t="e">
        <f>#REF!</f>
        <v>#REF!</v>
      </c>
      <c r="AI55" s="237" t="e">
        <f>#REF!</f>
        <v>#REF!</v>
      </c>
      <c r="AJ55" s="290" t="s">
        <v>352</v>
      </c>
      <c r="AK55" s="290" t="s">
        <v>353</v>
      </c>
    </row>
    <row r="56" spans="1:41">
      <c r="A56" s="171" t="s">
        <v>395</v>
      </c>
      <c r="B56" s="171" t="s">
        <v>297</v>
      </c>
      <c r="C56" s="238">
        <v>9900</v>
      </c>
      <c r="D56" s="236" t="e">
        <f>C56*(1+$AH$56)</f>
        <v>#REF!</v>
      </c>
      <c r="E56" s="236" t="e">
        <f>D56*(1+$AH$56)</f>
        <v>#REF!</v>
      </c>
      <c r="F56" s="236" t="e">
        <f>E56*(1+$AH$56)</f>
        <v>#REF!</v>
      </c>
      <c r="G56" s="236" t="e">
        <f>F56*(1+$AH$56)</f>
        <v>#REF!</v>
      </c>
      <c r="H56" s="236" t="e">
        <f>G56*(1+$AH$56)</f>
        <v>#REF!</v>
      </c>
      <c r="I56" s="236" t="e">
        <f t="shared" ref="I56:R56" si="18">H56*(1+$AI$56)</f>
        <v>#REF!</v>
      </c>
      <c r="J56" s="236" t="e">
        <f t="shared" si="18"/>
        <v>#REF!</v>
      </c>
      <c r="K56" s="236" t="e">
        <f t="shared" si="18"/>
        <v>#REF!</v>
      </c>
      <c r="L56" s="236" t="e">
        <f t="shared" si="18"/>
        <v>#REF!</v>
      </c>
      <c r="M56" s="236" t="e">
        <f t="shared" si="18"/>
        <v>#REF!</v>
      </c>
      <c r="N56" s="236" t="e">
        <f t="shared" si="18"/>
        <v>#REF!</v>
      </c>
      <c r="O56" s="236" t="e">
        <f t="shared" si="18"/>
        <v>#REF!</v>
      </c>
      <c r="P56" s="236" t="e">
        <f t="shared" si="18"/>
        <v>#REF!</v>
      </c>
      <c r="Q56" s="236" t="e">
        <f t="shared" si="18"/>
        <v>#REF!</v>
      </c>
      <c r="R56" s="236" t="e">
        <f t="shared" si="18"/>
        <v>#REF!</v>
      </c>
      <c r="S56" s="236" t="e">
        <f t="shared" ref="S56:AB56" si="19">R56*(1+$AJ$56)</f>
        <v>#REF!</v>
      </c>
      <c r="T56" s="236" t="e">
        <f t="shared" si="19"/>
        <v>#REF!</v>
      </c>
      <c r="U56" s="236" t="e">
        <f t="shared" si="19"/>
        <v>#REF!</v>
      </c>
      <c r="V56" s="236" t="e">
        <f t="shared" si="19"/>
        <v>#REF!</v>
      </c>
      <c r="W56" s="236" t="e">
        <f t="shared" si="19"/>
        <v>#REF!</v>
      </c>
      <c r="X56" s="236" t="e">
        <f t="shared" si="19"/>
        <v>#REF!</v>
      </c>
      <c r="Y56" s="236" t="e">
        <f t="shared" si="19"/>
        <v>#REF!</v>
      </c>
      <c r="Z56" s="236" t="e">
        <f t="shared" si="19"/>
        <v>#REF!</v>
      </c>
      <c r="AA56" s="236" t="e">
        <f t="shared" si="19"/>
        <v>#REF!</v>
      </c>
      <c r="AB56" s="236" t="e">
        <f t="shared" si="19"/>
        <v>#REF!</v>
      </c>
      <c r="AC56" s="236" t="e">
        <f>AB56*(1+$AK$56)</f>
        <v>#REF!</v>
      </c>
      <c r="AD56" s="236" t="e">
        <f t="shared" ref="AD56:AG56" si="20">AC56*(1+$AK$56)</f>
        <v>#REF!</v>
      </c>
      <c r="AE56" s="236" t="e">
        <f t="shared" si="20"/>
        <v>#REF!</v>
      </c>
      <c r="AF56" s="236" t="e">
        <f t="shared" si="20"/>
        <v>#REF!</v>
      </c>
      <c r="AG56" s="236" t="e">
        <f t="shared" si="20"/>
        <v>#REF!</v>
      </c>
      <c r="AH56" s="245" t="e">
        <f>#REF!</f>
        <v>#REF!</v>
      </c>
      <c r="AI56" s="245" t="e">
        <f>#REF!</f>
        <v>#REF!</v>
      </c>
      <c r="AJ56" s="245" t="e">
        <f>#REF!</f>
        <v>#REF!</v>
      </c>
      <c r="AK56" s="245" t="e">
        <f>#REF!</f>
        <v>#REF!</v>
      </c>
      <c r="AL56" s="173">
        <v>2030</v>
      </c>
      <c r="AM56" s="173">
        <v>2040</v>
      </c>
      <c r="AN56" s="173">
        <v>2050</v>
      </c>
      <c r="AO56" s="173">
        <v>2055</v>
      </c>
    </row>
    <row r="57" spans="1:41">
      <c r="A57" s="171" t="s">
        <v>396</v>
      </c>
      <c r="B57" s="171" t="s">
        <v>298</v>
      </c>
      <c r="C57" s="236">
        <v>36000</v>
      </c>
      <c r="D57" s="236" t="e">
        <f t="shared" ref="D57:R57" si="21">ROUND(C57*(1+$AH57),2)</f>
        <v>#REF!</v>
      </c>
      <c r="E57" s="236" t="e">
        <f t="shared" si="21"/>
        <v>#REF!</v>
      </c>
      <c r="F57" s="236" t="e">
        <f t="shared" si="21"/>
        <v>#REF!</v>
      </c>
      <c r="G57" s="236" t="e">
        <f t="shared" si="21"/>
        <v>#REF!</v>
      </c>
      <c r="H57" s="236" t="e">
        <f t="shared" si="21"/>
        <v>#REF!</v>
      </c>
      <c r="I57" s="236" t="e">
        <f t="shared" si="21"/>
        <v>#REF!</v>
      </c>
      <c r="J57" s="236" t="e">
        <f t="shared" si="21"/>
        <v>#REF!</v>
      </c>
      <c r="K57" s="236" t="e">
        <f t="shared" si="21"/>
        <v>#REF!</v>
      </c>
      <c r="L57" s="236" t="e">
        <f t="shared" si="21"/>
        <v>#REF!</v>
      </c>
      <c r="M57" s="236" t="e">
        <f t="shared" si="21"/>
        <v>#REF!</v>
      </c>
      <c r="N57" s="236" t="e">
        <f t="shared" si="21"/>
        <v>#REF!</v>
      </c>
      <c r="O57" s="236" t="e">
        <f t="shared" si="21"/>
        <v>#REF!</v>
      </c>
      <c r="P57" s="236" t="e">
        <f t="shared" si="21"/>
        <v>#REF!</v>
      </c>
      <c r="Q57" s="236" t="e">
        <f t="shared" si="21"/>
        <v>#REF!</v>
      </c>
      <c r="R57" s="236" t="e">
        <f t="shared" si="21"/>
        <v>#REF!</v>
      </c>
      <c r="S57" s="236" t="e">
        <f>ROUND(R57*(1+$AI57),2)</f>
        <v>#REF!</v>
      </c>
      <c r="T57" s="236" t="e">
        <f t="shared" ref="T57:AG57" si="22">ROUND(S57*(1+$AI57),2)</f>
        <v>#REF!</v>
      </c>
      <c r="U57" s="236" t="e">
        <f t="shared" si="22"/>
        <v>#REF!</v>
      </c>
      <c r="V57" s="236" t="e">
        <f t="shared" si="22"/>
        <v>#REF!</v>
      </c>
      <c r="W57" s="236" t="e">
        <f t="shared" si="22"/>
        <v>#REF!</v>
      </c>
      <c r="X57" s="236" t="e">
        <f t="shared" si="22"/>
        <v>#REF!</v>
      </c>
      <c r="Y57" s="236" t="e">
        <f t="shared" si="22"/>
        <v>#REF!</v>
      </c>
      <c r="Z57" s="236" t="e">
        <f t="shared" si="22"/>
        <v>#REF!</v>
      </c>
      <c r="AA57" s="236" t="e">
        <f t="shared" si="22"/>
        <v>#REF!</v>
      </c>
      <c r="AB57" s="236" t="e">
        <f t="shared" si="22"/>
        <v>#REF!</v>
      </c>
      <c r="AC57" s="236" t="e">
        <f t="shared" si="22"/>
        <v>#REF!</v>
      </c>
      <c r="AD57" s="236" t="e">
        <f t="shared" si="22"/>
        <v>#REF!</v>
      </c>
      <c r="AE57" s="236" t="e">
        <f t="shared" si="22"/>
        <v>#REF!</v>
      </c>
      <c r="AF57" s="236" t="e">
        <f t="shared" si="22"/>
        <v>#REF!</v>
      </c>
      <c r="AG57" s="236" t="e">
        <f t="shared" si="22"/>
        <v>#REF!</v>
      </c>
      <c r="AH57" s="245" t="e">
        <f>#REF!</f>
        <v>#REF!</v>
      </c>
      <c r="AI57" s="245" t="e">
        <f>#REF!</f>
        <v>#REF!</v>
      </c>
      <c r="AJ57" s="290" t="s">
        <v>354</v>
      </c>
      <c r="AK57" s="291" t="s">
        <v>355</v>
      </c>
    </row>
    <row r="58" spans="1:41" s="247" customFormat="1" ht="9.75" customHeight="1">
      <c r="A58" s="246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9"/>
    </row>
    <row r="59" spans="1:41">
      <c r="A59" s="171" t="s">
        <v>397</v>
      </c>
      <c r="B59" s="171" t="s">
        <v>290</v>
      </c>
      <c r="C59" s="236">
        <v>3050</v>
      </c>
      <c r="D59" s="236" t="e">
        <f>ROUND((C59*(1+$AH59))/10,0)*10</f>
        <v>#REF!</v>
      </c>
      <c r="E59" s="236" t="e">
        <f>ROUND((D59*(1+$AH59))/10,0)*10</f>
        <v>#REF!</v>
      </c>
      <c r="F59" s="236" t="e">
        <f>ROUND((E59*(1+$AH59))/10,0)*10</f>
        <v>#REF!</v>
      </c>
      <c r="G59" s="236" t="e">
        <f t="shared" ref="G59:AG59" si="23">ROUND((F59*(1+$AH59))/10,0)*10</f>
        <v>#REF!</v>
      </c>
      <c r="H59" s="236" t="e">
        <f t="shared" si="23"/>
        <v>#REF!</v>
      </c>
      <c r="I59" s="236" t="e">
        <f t="shared" si="23"/>
        <v>#REF!</v>
      </c>
      <c r="J59" s="236" t="e">
        <f t="shared" si="23"/>
        <v>#REF!</v>
      </c>
      <c r="K59" s="236" t="e">
        <f t="shared" si="23"/>
        <v>#REF!</v>
      </c>
      <c r="L59" s="236" t="e">
        <f t="shared" si="23"/>
        <v>#REF!</v>
      </c>
      <c r="M59" s="236" t="e">
        <f t="shared" si="23"/>
        <v>#REF!</v>
      </c>
      <c r="N59" s="236" t="e">
        <f t="shared" si="23"/>
        <v>#REF!</v>
      </c>
      <c r="O59" s="236" t="e">
        <f t="shared" si="23"/>
        <v>#REF!</v>
      </c>
      <c r="P59" s="236" t="e">
        <f t="shared" si="23"/>
        <v>#REF!</v>
      </c>
      <c r="Q59" s="236" t="e">
        <f t="shared" si="23"/>
        <v>#REF!</v>
      </c>
      <c r="R59" s="236" t="e">
        <f t="shared" si="23"/>
        <v>#REF!</v>
      </c>
      <c r="S59" s="236" t="e">
        <f t="shared" si="23"/>
        <v>#REF!</v>
      </c>
      <c r="T59" s="236" t="e">
        <f t="shared" si="23"/>
        <v>#REF!</v>
      </c>
      <c r="U59" s="236" t="e">
        <f t="shared" si="23"/>
        <v>#REF!</v>
      </c>
      <c r="V59" s="236" t="e">
        <f t="shared" si="23"/>
        <v>#REF!</v>
      </c>
      <c r="W59" s="236" t="e">
        <f t="shared" si="23"/>
        <v>#REF!</v>
      </c>
      <c r="X59" s="236" t="e">
        <f t="shared" si="23"/>
        <v>#REF!</v>
      </c>
      <c r="Y59" s="236" t="e">
        <f t="shared" si="23"/>
        <v>#REF!</v>
      </c>
      <c r="Z59" s="236" t="e">
        <f t="shared" si="23"/>
        <v>#REF!</v>
      </c>
      <c r="AA59" s="236" t="e">
        <f t="shared" si="23"/>
        <v>#REF!</v>
      </c>
      <c r="AB59" s="236" t="e">
        <f t="shared" si="23"/>
        <v>#REF!</v>
      </c>
      <c r="AC59" s="236" t="e">
        <f t="shared" si="23"/>
        <v>#REF!</v>
      </c>
      <c r="AD59" s="236" t="e">
        <f t="shared" si="23"/>
        <v>#REF!</v>
      </c>
      <c r="AE59" s="236" t="e">
        <f t="shared" si="23"/>
        <v>#REF!</v>
      </c>
      <c r="AF59" s="236" t="e">
        <f t="shared" si="23"/>
        <v>#REF!</v>
      </c>
      <c r="AG59" s="236" t="e">
        <f t="shared" si="23"/>
        <v>#REF!</v>
      </c>
      <c r="AH59" s="245" t="e">
        <f>#REF!</f>
        <v>#REF!</v>
      </c>
    </row>
    <row r="60" spans="1:41">
      <c r="A60" s="171" t="s">
        <v>398</v>
      </c>
      <c r="B60" s="171" t="s">
        <v>290</v>
      </c>
      <c r="C60" s="236">
        <v>56000</v>
      </c>
      <c r="D60" s="236" t="e">
        <f>ROUND((C60*(1+$AH60))/1000,0)*1000</f>
        <v>#REF!</v>
      </c>
      <c r="E60" s="236" t="e">
        <f t="shared" ref="E60:R60" si="24">ROUND((D60*(1+$AH60))/1000,0)*1000</f>
        <v>#REF!</v>
      </c>
      <c r="F60" s="236" t="e">
        <f t="shared" si="24"/>
        <v>#REF!</v>
      </c>
      <c r="G60" s="236" t="e">
        <f t="shared" si="24"/>
        <v>#REF!</v>
      </c>
      <c r="H60" s="236" t="e">
        <f t="shared" si="24"/>
        <v>#REF!</v>
      </c>
      <c r="I60" s="236" t="e">
        <f t="shared" si="24"/>
        <v>#REF!</v>
      </c>
      <c r="J60" s="236" t="e">
        <f t="shared" si="24"/>
        <v>#REF!</v>
      </c>
      <c r="K60" s="236" t="e">
        <f t="shared" si="24"/>
        <v>#REF!</v>
      </c>
      <c r="L60" s="236" t="e">
        <f t="shared" si="24"/>
        <v>#REF!</v>
      </c>
      <c r="M60" s="236" t="e">
        <f t="shared" si="24"/>
        <v>#REF!</v>
      </c>
      <c r="N60" s="236" t="e">
        <f t="shared" si="24"/>
        <v>#REF!</v>
      </c>
      <c r="O60" s="236" t="e">
        <f t="shared" si="24"/>
        <v>#REF!</v>
      </c>
      <c r="P60" s="236" t="e">
        <f t="shared" si="24"/>
        <v>#REF!</v>
      </c>
      <c r="Q60" s="236" t="e">
        <f t="shared" si="24"/>
        <v>#REF!</v>
      </c>
      <c r="R60" s="236" t="e">
        <f t="shared" si="24"/>
        <v>#REF!</v>
      </c>
      <c r="S60" s="236" t="e">
        <f>ROUND((R60*(1+$AI60))/100,0)*100</f>
        <v>#REF!</v>
      </c>
      <c r="T60" s="236" t="e">
        <f>ROUND((S60*(1+$AI60))/100,0)*100</f>
        <v>#REF!</v>
      </c>
      <c r="U60" s="236" t="e">
        <f>ROUND((T60*(1+$AI60))/100,0)*100</f>
        <v>#REF!</v>
      </c>
      <c r="V60" s="236" t="e">
        <f t="shared" ref="V60:AG60" si="25">ROUND((U60*(1+$AI60))/100,0)*100</f>
        <v>#REF!</v>
      </c>
      <c r="W60" s="236" t="e">
        <f t="shared" si="25"/>
        <v>#REF!</v>
      </c>
      <c r="X60" s="236" t="e">
        <f t="shared" si="25"/>
        <v>#REF!</v>
      </c>
      <c r="Y60" s="236" t="e">
        <f t="shared" si="25"/>
        <v>#REF!</v>
      </c>
      <c r="Z60" s="236" t="e">
        <f t="shared" si="25"/>
        <v>#REF!</v>
      </c>
      <c r="AA60" s="236" t="e">
        <f t="shared" si="25"/>
        <v>#REF!</v>
      </c>
      <c r="AB60" s="236" t="e">
        <f t="shared" si="25"/>
        <v>#REF!</v>
      </c>
      <c r="AC60" s="236" t="e">
        <f t="shared" si="25"/>
        <v>#REF!</v>
      </c>
      <c r="AD60" s="236" t="e">
        <f t="shared" si="25"/>
        <v>#REF!</v>
      </c>
      <c r="AE60" s="236" t="e">
        <f t="shared" si="25"/>
        <v>#REF!</v>
      </c>
      <c r="AF60" s="236" t="e">
        <f t="shared" si="25"/>
        <v>#REF!</v>
      </c>
      <c r="AG60" s="236" t="e">
        <f t="shared" si="25"/>
        <v>#REF!</v>
      </c>
      <c r="AH60" s="245" t="e">
        <f>#REF!</f>
        <v>#REF!</v>
      </c>
      <c r="AI60" s="232" t="e">
        <f>#REF!</f>
        <v>#REF!</v>
      </c>
      <c r="AJ60" s="290" t="s">
        <v>354</v>
      </c>
      <c r="AK60" s="291" t="s">
        <v>355</v>
      </c>
    </row>
    <row r="61" spans="1:41">
      <c r="A61" s="171" t="s">
        <v>399</v>
      </c>
      <c r="B61" s="171" t="s">
        <v>309</v>
      </c>
      <c r="C61" s="236" t="e">
        <f>C14</f>
        <v>#REF!</v>
      </c>
      <c r="D61" s="236" t="e">
        <f>ROUND((C61*(1+$AH61))/1000,0)*1000</f>
        <v>#REF!</v>
      </c>
      <c r="E61" s="236" t="e">
        <f>ROUND((D61*(1+$AH61))/1000,0)*1000</f>
        <v>#REF!</v>
      </c>
      <c r="F61" s="236" t="e">
        <f>ROUND((E61*(1+$AH61))/1000,0)*1000</f>
        <v>#REF!</v>
      </c>
      <c r="G61" s="236" t="e">
        <f>ROUND((F61*(1+$AI61))/1000,0)*1000</f>
        <v>#REF!</v>
      </c>
      <c r="H61" s="236" t="e">
        <f>ROUND((G61*(1+$AH61))/1000,0)*1000</f>
        <v>#REF!</v>
      </c>
      <c r="I61" s="236" t="e">
        <f t="shared" ref="I61:AG61" si="26">ROUND((H61*(1+$AI61))/1000,0)*1000</f>
        <v>#REF!</v>
      </c>
      <c r="J61" s="236" t="e">
        <f t="shared" si="26"/>
        <v>#REF!</v>
      </c>
      <c r="K61" s="236" t="e">
        <f t="shared" si="26"/>
        <v>#REF!</v>
      </c>
      <c r="L61" s="236" t="e">
        <f t="shared" si="26"/>
        <v>#REF!</v>
      </c>
      <c r="M61" s="236" t="e">
        <f t="shared" si="26"/>
        <v>#REF!</v>
      </c>
      <c r="N61" s="236" t="e">
        <f t="shared" si="26"/>
        <v>#REF!</v>
      </c>
      <c r="O61" s="236" t="e">
        <f t="shared" si="26"/>
        <v>#REF!</v>
      </c>
      <c r="P61" s="236" t="e">
        <f t="shared" si="26"/>
        <v>#REF!</v>
      </c>
      <c r="Q61" s="236" t="e">
        <f t="shared" si="26"/>
        <v>#REF!</v>
      </c>
      <c r="R61" s="236" t="e">
        <f t="shared" si="26"/>
        <v>#REF!</v>
      </c>
      <c r="S61" s="236" t="e">
        <f t="shared" si="26"/>
        <v>#REF!</v>
      </c>
      <c r="T61" s="236" t="e">
        <f t="shared" si="26"/>
        <v>#REF!</v>
      </c>
      <c r="U61" s="236" t="e">
        <f t="shared" si="26"/>
        <v>#REF!</v>
      </c>
      <c r="V61" s="236" t="e">
        <f t="shared" si="26"/>
        <v>#REF!</v>
      </c>
      <c r="W61" s="236" t="e">
        <f t="shared" si="26"/>
        <v>#REF!</v>
      </c>
      <c r="X61" s="236" t="e">
        <f t="shared" si="26"/>
        <v>#REF!</v>
      </c>
      <c r="Y61" s="236" t="e">
        <f t="shared" si="26"/>
        <v>#REF!</v>
      </c>
      <c r="Z61" s="236" t="e">
        <f t="shared" si="26"/>
        <v>#REF!</v>
      </c>
      <c r="AA61" s="236" t="e">
        <f t="shared" si="26"/>
        <v>#REF!</v>
      </c>
      <c r="AB61" s="236" t="e">
        <f t="shared" si="26"/>
        <v>#REF!</v>
      </c>
      <c r="AC61" s="236" t="e">
        <f t="shared" si="26"/>
        <v>#REF!</v>
      </c>
      <c r="AD61" s="236" t="e">
        <f t="shared" si="26"/>
        <v>#REF!</v>
      </c>
      <c r="AE61" s="236" t="e">
        <f t="shared" si="26"/>
        <v>#REF!</v>
      </c>
      <c r="AF61" s="236" t="e">
        <f t="shared" si="26"/>
        <v>#REF!</v>
      </c>
      <c r="AG61" s="236" t="e">
        <f t="shared" si="26"/>
        <v>#REF!</v>
      </c>
      <c r="AH61" s="245" t="e">
        <f>#REF!</f>
        <v>#REF!</v>
      </c>
      <c r="AI61" s="232" t="e">
        <f>#REF!</f>
        <v>#REF!</v>
      </c>
      <c r="AJ61" s="290" t="s">
        <v>352</v>
      </c>
      <c r="AK61" s="291" t="s">
        <v>353</v>
      </c>
    </row>
    <row r="62" spans="1:41" s="247" customFormat="1" ht="9.75" customHeight="1">
      <c r="A62" s="246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9"/>
    </row>
    <row r="63" spans="1:41">
      <c r="A63" s="293" t="s">
        <v>356</v>
      </c>
      <c r="B63" s="171" t="s">
        <v>300</v>
      </c>
      <c r="C63" s="304" t="e">
        <f>#REF!/($C$27*$C$28)</f>
        <v>#REF!</v>
      </c>
      <c r="D63" s="250" t="e">
        <f t="shared" ref="D63:AG66" si="27">ROUND(C63*(1+$AH63),2)</f>
        <v>#REF!</v>
      </c>
      <c r="E63" s="250" t="e">
        <f t="shared" si="27"/>
        <v>#REF!</v>
      </c>
      <c r="F63" s="250" t="e">
        <f t="shared" si="27"/>
        <v>#REF!</v>
      </c>
      <c r="G63" s="250" t="e">
        <f t="shared" si="27"/>
        <v>#REF!</v>
      </c>
      <c r="H63" s="250" t="e">
        <f t="shared" si="27"/>
        <v>#REF!</v>
      </c>
      <c r="I63" s="250" t="e">
        <f t="shared" si="27"/>
        <v>#REF!</v>
      </c>
      <c r="J63" s="250" t="e">
        <f t="shared" si="27"/>
        <v>#REF!</v>
      </c>
      <c r="K63" s="250" t="e">
        <f t="shared" si="27"/>
        <v>#REF!</v>
      </c>
      <c r="L63" s="250" t="e">
        <f t="shared" si="27"/>
        <v>#REF!</v>
      </c>
      <c r="M63" s="250" t="e">
        <f t="shared" si="27"/>
        <v>#REF!</v>
      </c>
      <c r="N63" s="250" t="e">
        <f t="shared" si="27"/>
        <v>#REF!</v>
      </c>
      <c r="O63" s="250" t="e">
        <f t="shared" si="27"/>
        <v>#REF!</v>
      </c>
      <c r="P63" s="250" t="e">
        <f t="shared" si="27"/>
        <v>#REF!</v>
      </c>
      <c r="Q63" s="250" t="e">
        <f t="shared" si="27"/>
        <v>#REF!</v>
      </c>
      <c r="R63" s="250" t="e">
        <f t="shared" si="27"/>
        <v>#REF!</v>
      </c>
      <c r="S63" s="250" t="e">
        <f t="shared" si="27"/>
        <v>#REF!</v>
      </c>
      <c r="T63" s="250" t="e">
        <f t="shared" si="27"/>
        <v>#REF!</v>
      </c>
      <c r="U63" s="250" t="e">
        <f t="shared" si="27"/>
        <v>#REF!</v>
      </c>
      <c r="V63" s="250" t="e">
        <f t="shared" si="27"/>
        <v>#REF!</v>
      </c>
      <c r="W63" s="250" t="e">
        <f t="shared" si="27"/>
        <v>#REF!</v>
      </c>
      <c r="X63" s="250" t="e">
        <f t="shared" si="27"/>
        <v>#REF!</v>
      </c>
      <c r="Y63" s="250" t="e">
        <f t="shared" si="27"/>
        <v>#REF!</v>
      </c>
      <c r="Z63" s="250" t="e">
        <f t="shared" si="27"/>
        <v>#REF!</v>
      </c>
      <c r="AA63" s="250" t="e">
        <f t="shared" si="27"/>
        <v>#REF!</v>
      </c>
      <c r="AB63" s="250" t="e">
        <f t="shared" si="27"/>
        <v>#REF!</v>
      </c>
      <c r="AC63" s="250" t="e">
        <f t="shared" si="27"/>
        <v>#REF!</v>
      </c>
      <c r="AD63" s="250" t="e">
        <f t="shared" si="27"/>
        <v>#REF!</v>
      </c>
      <c r="AE63" s="250" t="e">
        <f t="shared" si="27"/>
        <v>#REF!</v>
      </c>
      <c r="AF63" s="250" t="e">
        <f t="shared" si="27"/>
        <v>#REF!</v>
      </c>
      <c r="AG63" s="250" t="e">
        <f t="shared" si="27"/>
        <v>#REF!</v>
      </c>
      <c r="AH63" s="245" t="e">
        <f>#REF!</f>
        <v>#REF!</v>
      </c>
    </row>
    <row r="64" spans="1:41">
      <c r="A64" s="293" t="s">
        <v>357</v>
      </c>
      <c r="B64" s="171" t="s">
        <v>300</v>
      </c>
      <c r="C64" s="250" t="e">
        <f>C63+0.5</f>
        <v>#REF!</v>
      </c>
      <c r="D64" s="250" t="e">
        <f t="shared" si="27"/>
        <v>#REF!</v>
      </c>
      <c r="E64" s="250" t="e">
        <f t="shared" si="27"/>
        <v>#REF!</v>
      </c>
      <c r="F64" s="250" t="e">
        <f t="shared" si="27"/>
        <v>#REF!</v>
      </c>
      <c r="G64" s="250" t="e">
        <f t="shared" si="27"/>
        <v>#REF!</v>
      </c>
      <c r="H64" s="250" t="e">
        <f t="shared" si="27"/>
        <v>#REF!</v>
      </c>
      <c r="I64" s="250" t="e">
        <f t="shared" si="27"/>
        <v>#REF!</v>
      </c>
      <c r="J64" s="250" t="e">
        <f t="shared" si="27"/>
        <v>#REF!</v>
      </c>
      <c r="K64" s="250" t="e">
        <f t="shared" si="27"/>
        <v>#REF!</v>
      </c>
      <c r="L64" s="250" t="e">
        <f t="shared" si="27"/>
        <v>#REF!</v>
      </c>
      <c r="M64" s="250" t="e">
        <f t="shared" si="27"/>
        <v>#REF!</v>
      </c>
      <c r="N64" s="250" t="e">
        <f t="shared" si="27"/>
        <v>#REF!</v>
      </c>
      <c r="O64" s="250" t="e">
        <f t="shared" si="27"/>
        <v>#REF!</v>
      </c>
      <c r="P64" s="250" t="e">
        <f t="shared" si="27"/>
        <v>#REF!</v>
      </c>
      <c r="Q64" s="250" t="e">
        <f t="shared" si="27"/>
        <v>#REF!</v>
      </c>
      <c r="R64" s="250" t="e">
        <f t="shared" si="27"/>
        <v>#REF!</v>
      </c>
      <c r="S64" s="250" t="e">
        <f t="shared" si="27"/>
        <v>#REF!</v>
      </c>
      <c r="T64" s="250" t="e">
        <f t="shared" si="27"/>
        <v>#REF!</v>
      </c>
      <c r="U64" s="250" t="e">
        <f t="shared" si="27"/>
        <v>#REF!</v>
      </c>
      <c r="V64" s="250" t="e">
        <f t="shared" si="27"/>
        <v>#REF!</v>
      </c>
      <c r="W64" s="250" t="e">
        <f t="shared" si="27"/>
        <v>#REF!</v>
      </c>
      <c r="X64" s="250" t="e">
        <f t="shared" si="27"/>
        <v>#REF!</v>
      </c>
      <c r="Y64" s="250" t="e">
        <f t="shared" si="27"/>
        <v>#REF!</v>
      </c>
      <c r="Z64" s="250" t="e">
        <f t="shared" si="27"/>
        <v>#REF!</v>
      </c>
      <c r="AA64" s="250" t="e">
        <f t="shared" si="27"/>
        <v>#REF!</v>
      </c>
      <c r="AB64" s="250" t="e">
        <f t="shared" si="27"/>
        <v>#REF!</v>
      </c>
      <c r="AC64" s="250" t="e">
        <f t="shared" si="27"/>
        <v>#REF!</v>
      </c>
      <c r="AD64" s="250" t="e">
        <f t="shared" si="27"/>
        <v>#REF!</v>
      </c>
      <c r="AE64" s="250" t="e">
        <f t="shared" si="27"/>
        <v>#REF!</v>
      </c>
      <c r="AF64" s="250" t="e">
        <f t="shared" si="27"/>
        <v>#REF!</v>
      </c>
      <c r="AG64" s="250" t="e">
        <f t="shared" si="27"/>
        <v>#REF!</v>
      </c>
      <c r="AH64" s="245" t="e">
        <f>#REF!</f>
        <v>#REF!</v>
      </c>
    </row>
    <row r="65" spans="1:36">
      <c r="A65" s="171" t="s">
        <v>400</v>
      </c>
      <c r="B65" s="171" t="s">
        <v>300</v>
      </c>
      <c r="C65" s="250" t="e">
        <f>C15</f>
        <v>#REF!</v>
      </c>
      <c r="D65" s="250" t="e">
        <f t="shared" si="27"/>
        <v>#REF!</v>
      </c>
      <c r="E65" s="250" t="e">
        <f t="shared" si="27"/>
        <v>#REF!</v>
      </c>
      <c r="F65" s="250" t="e">
        <f t="shared" si="27"/>
        <v>#REF!</v>
      </c>
      <c r="G65" s="250" t="e">
        <f t="shared" si="27"/>
        <v>#REF!</v>
      </c>
      <c r="H65" s="250" t="e">
        <f t="shared" si="27"/>
        <v>#REF!</v>
      </c>
      <c r="I65" s="250" t="e">
        <f t="shared" si="27"/>
        <v>#REF!</v>
      </c>
      <c r="J65" s="250" t="e">
        <f t="shared" si="27"/>
        <v>#REF!</v>
      </c>
      <c r="K65" s="250" t="e">
        <f t="shared" si="27"/>
        <v>#REF!</v>
      </c>
      <c r="L65" s="250" t="e">
        <f t="shared" si="27"/>
        <v>#REF!</v>
      </c>
      <c r="M65" s="250" t="e">
        <f t="shared" si="27"/>
        <v>#REF!</v>
      </c>
      <c r="N65" s="250" t="e">
        <f t="shared" si="27"/>
        <v>#REF!</v>
      </c>
      <c r="O65" s="250" t="e">
        <f t="shared" si="27"/>
        <v>#REF!</v>
      </c>
      <c r="P65" s="250" t="e">
        <f t="shared" si="27"/>
        <v>#REF!</v>
      </c>
      <c r="Q65" s="250" t="e">
        <f t="shared" si="27"/>
        <v>#REF!</v>
      </c>
      <c r="R65" s="250" t="e">
        <f t="shared" si="27"/>
        <v>#REF!</v>
      </c>
      <c r="S65" s="250" t="e">
        <f t="shared" si="27"/>
        <v>#REF!</v>
      </c>
      <c r="T65" s="250" t="e">
        <f t="shared" si="27"/>
        <v>#REF!</v>
      </c>
      <c r="U65" s="250" t="e">
        <f t="shared" si="27"/>
        <v>#REF!</v>
      </c>
      <c r="V65" s="250" t="e">
        <f t="shared" si="27"/>
        <v>#REF!</v>
      </c>
      <c r="W65" s="250" t="e">
        <f t="shared" si="27"/>
        <v>#REF!</v>
      </c>
      <c r="X65" s="250" t="e">
        <f t="shared" si="27"/>
        <v>#REF!</v>
      </c>
      <c r="Y65" s="250" t="e">
        <f t="shared" si="27"/>
        <v>#REF!</v>
      </c>
      <c r="Z65" s="250" t="e">
        <f t="shared" si="27"/>
        <v>#REF!</v>
      </c>
      <c r="AA65" s="250" t="e">
        <f t="shared" si="27"/>
        <v>#REF!</v>
      </c>
      <c r="AB65" s="250" t="e">
        <f t="shared" si="27"/>
        <v>#REF!</v>
      </c>
      <c r="AC65" s="250" t="e">
        <f t="shared" si="27"/>
        <v>#REF!</v>
      </c>
      <c r="AD65" s="250" t="e">
        <f t="shared" si="27"/>
        <v>#REF!</v>
      </c>
      <c r="AE65" s="250" t="e">
        <f t="shared" si="27"/>
        <v>#REF!</v>
      </c>
      <c r="AF65" s="250" t="e">
        <f t="shared" si="27"/>
        <v>#REF!</v>
      </c>
      <c r="AG65" s="250" t="e">
        <f t="shared" si="27"/>
        <v>#REF!</v>
      </c>
      <c r="AH65" s="245" t="e">
        <f>#REF!</f>
        <v>#REF!</v>
      </c>
    </row>
    <row r="66" spans="1:36">
      <c r="A66" s="171" t="s">
        <v>401</v>
      </c>
      <c r="B66" s="171" t="s">
        <v>300</v>
      </c>
      <c r="C66" s="250" t="e">
        <f>C65+0.5</f>
        <v>#REF!</v>
      </c>
      <c r="D66" s="250" t="e">
        <f t="shared" si="27"/>
        <v>#REF!</v>
      </c>
      <c r="E66" s="250" t="e">
        <f t="shared" si="27"/>
        <v>#REF!</v>
      </c>
      <c r="F66" s="250" t="e">
        <f t="shared" si="27"/>
        <v>#REF!</v>
      </c>
      <c r="G66" s="250" t="e">
        <f t="shared" si="27"/>
        <v>#REF!</v>
      </c>
      <c r="H66" s="250" t="e">
        <f t="shared" si="27"/>
        <v>#REF!</v>
      </c>
      <c r="I66" s="250" t="e">
        <f t="shared" si="27"/>
        <v>#REF!</v>
      </c>
      <c r="J66" s="250" t="e">
        <f t="shared" si="27"/>
        <v>#REF!</v>
      </c>
      <c r="K66" s="250" t="e">
        <f t="shared" si="27"/>
        <v>#REF!</v>
      </c>
      <c r="L66" s="250" t="e">
        <f t="shared" si="27"/>
        <v>#REF!</v>
      </c>
      <c r="M66" s="250" t="e">
        <f t="shared" si="27"/>
        <v>#REF!</v>
      </c>
      <c r="N66" s="250" t="e">
        <f t="shared" si="27"/>
        <v>#REF!</v>
      </c>
      <c r="O66" s="250" t="e">
        <f t="shared" si="27"/>
        <v>#REF!</v>
      </c>
      <c r="P66" s="250" t="e">
        <f t="shared" si="27"/>
        <v>#REF!</v>
      </c>
      <c r="Q66" s="250" t="e">
        <f t="shared" si="27"/>
        <v>#REF!</v>
      </c>
      <c r="R66" s="250" t="e">
        <f t="shared" si="27"/>
        <v>#REF!</v>
      </c>
      <c r="S66" s="250" t="e">
        <f t="shared" si="27"/>
        <v>#REF!</v>
      </c>
      <c r="T66" s="250" t="e">
        <f t="shared" si="27"/>
        <v>#REF!</v>
      </c>
      <c r="U66" s="250" t="e">
        <f t="shared" si="27"/>
        <v>#REF!</v>
      </c>
      <c r="V66" s="250" t="e">
        <f t="shared" si="27"/>
        <v>#REF!</v>
      </c>
      <c r="W66" s="250" t="e">
        <f t="shared" si="27"/>
        <v>#REF!</v>
      </c>
      <c r="X66" s="250" t="e">
        <f t="shared" si="27"/>
        <v>#REF!</v>
      </c>
      <c r="Y66" s="250" t="e">
        <f t="shared" si="27"/>
        <v>#REF!</v>
      </c>
      <c r="Z66" s="250" t="e">
        <f t="shared" si="27"/>
        <v>#REF!</v>
      </c>
      <c r="AA66" s="250" t="e">
        <f t="shared" si="27"/>
        <v>#REF!</v>
      </c>
      <c r="AB66" s="250" t="e">
        <f t="shared" si="27"/>
        <v>#REF!</v>
      </c>
      <c r="AC66" s="250" t="e">
        <f t="shared" si="27"/>
        <v>#REF!</v>
      </c>
      <c r="AD66" s="250" t="e">
        <f t="shared" si="27"/>
        <v>#REF!</v>
      </c>
      <c r="AE66" s="250" t="e">
        <f t="shared" si="27"/>
        <v>#REF!</v>
      </c>
      <c r="AF66" s="250" t="e">
        <f t="shared" si="27"/>
        <v>#REF!</v>
      </c>
      <c r="AG66" s="250" t="e">
        <f t="shared" si="27"/>
        <v>#REF!</v>
      </c>
      <c r="AH66" s="245" t="e">
        <f>#REF!</f>
        <v>#REF!</v>
      </c>
    </row>
    <row r="67" spans="1:36">
      <c r="A67" s="171" t="s">
        <v>402</v>
      </c>
      <c r="B67" s="171" t="s">
        <v>300</v>
      </c>
      <c r="C67" s="250" t="e">
        <f>#REF!</f>
        <v>#REF!</v>
      </c>
      <c r="D67" s="250" t="e">
        <f>ROUND(C67*(1+$AH67),2)</f>
        <v>#REF!</v>
      </c>
      <c r="E67" s="250" t="e">
        <f>ROUND(D67*(1+$AH67),2)</f>
        <v>#REF!</v>
      </c>
      <c r="F67" s="250" t="e">
        <f>ROUND(E67*(1+$AH67),2)</f>
        <v>#REF!</v>
      </c>
      <c r="G67" s="250" t="e">
        <f>ROUND(F67*(1+$AH67),2)</f>
        <v>#REF!</v>
      </c>
      <c r="H67" s="250" t="e">
        <f>ROUND(G67*(1+$AH67),2)</f>
        <v>#REF!</v>
      </c>
      <c r="I67" s="250" t="e">
        <f>ROUND(H67*(1+$AI67),2)</f>
        <v>#REF!</v>
      </c>
      <c r="J67" s="250" t="e">
        <f t="shared" ref="J67:AG67" si="28">ROUND(I67*(1+$AI67),2)</f>
        <v>#REF!</v>
      </c>
      <c r="K67" s="250" t="e">
        <f t="shared" si="28"/>
        <v>#REF!</v>
      </c>
      <c r="L67" s="250" t="e">
        <f t="shared" si="28"/>
        <v>#REF!</v>
      </c>
      <c r="M67" s="250" t="e">
        <f t="shared" si="28"/>
        <v>#REF!</v>
      </c>
      <c r="N67" s="250" t="e">
        <f t="shared" si="28"/>
        <v>#REF!</v>
      </c>
      <c r="O67" s="250" t="e">
        <f t="shared" si="28"/>
        <v>#REF!</v>
      </c>
      <c r="P67" s="250" t="e">
        <f t="shared" si="28"/>
        <v>#REF!</v>
      </c>
      <c r="Q67" s="250" t="e">
        <f t="shared" si="28"/>
        <v>#REF!</v>
      </c>
      <c r="R67" s="250" t="e">
        <f t="shared" si="28"/>
        <v>#REF!</v>
      </c>
      <c r="S67" s="250" t="e">
        <f t="shared" si="28"/>
        <v>#REF!</v>
      </c>
      <c r="T67" s="250" t="e">
        <f t="shared" si="28"/>
        <v>#REF!</v>
      </c>
      <c r="U67" s="250" t="e">
        <f t="shared" si="28"/>
        <v>#REF!</v>
      </c>
      <c r="V67" s="250" t="e">
        <f t="shared" si="28"/>
        <v>#REF!</v>
      </c>
      <c r="W67" s="250" t="e">
        <f t="shared" si="28"/>
        <v>#REF!</v>
      </c>
      <c r="X67" s="250" t="e">
        <f t="shared" si="28"/>
        <v>#REF!</v>
      </c>
      <c r="Y67" s="250" t="e">
        <f t="shared" si="28"/>
        <v>#REF!</v>
      </c>
      <c r="Z67" s="250" t="e">
        <f t="shared" si="28"/>
        <v>#REF!</v>
      </c>
      <c r="AA67" s="250" t="e">
        <f t="shared" si="28"/>
        <v>#REF!</v>
      </c>
      <c r="AB67" s="250" t="e">
        <f t="shared" si="28"/>
        <v>#REF!</v>
      </c>
      <c r="AC67" s="250" t="e">
        <f t="shared" si="28"/>
        <v>#REF!</v>
      </c>
      <c r="AD67" s="250" t="e">
        <f t="shared" si="28"/>
        <v>#REF!</v>
      </c>
      <c r="AE67" s="250" t="e">
        <f t="shared" si="28"/>
        <v>#REF!</v>
      </c>
      <c r="AF67" s="250" t="e">
        <f t="shared" si="28"/>
        <v>#REF!</v>
      </c>
      <c r="AG67" s="250" t="e">
        <f t="shared" si="28"/>
        <v>#REF!</v>
      </c>
      <c r="AH67" s="245" t="e">
        <f>#REF!</f>
        <v>#REF!</v>
      </c>
      <c r="AI67" s="245" t="e">
        <f>#REF!</f>
        <v>#REF!</v>
      </c>
    </row>
    <row r="68" spans="1:36">
      <c r="A68" s="171" t="s">
        <v>358</v>
      </c>
      <c r="B68" s="171" t="s">
        <v>359</v>
      </c>
      <c r="C68" s="251">
        <v>25000</v>
      </c>
      <c r="D68" s="251">
        <f t="shared" ref="D68:AG68" si="29">C68</f>
        <v>25000</v>
      </c>
      <c r="E68" s="251">
        <f t="shared" si="29"/>
        <v>25000</v>
      </c>
      <c r="F68" s="251">
        <f t="shared" si="29"/>
        <v>25000</v>
      </c>
      <c r="G68" s="251">
        <f t="shared" si="29"/>
        <v>25000</v>
      </c>
      <c r="H68" s="251">
        <f t="shared" si="29"/>
        <v>25000</v>
      </c>
      <c r="I68" s="251">
        <f t="shared" si="29"/>
        <v>25000</v>
      </c>
      <c r="J68" s="251">
        <f t="shared" si="29"/>
        <v>25000</v>
      </c>
      <c r="K68" s="251">
        <f t="shared" si="29"/>
        <v>25000</v>
      </c>
      <c r="L68" s="251">
        <f t="shared" si="29"/>
        <v>25000</v>
      </c>
      <c r="M68" s="251">
        <f t="shared" si="29"/>
        <v>25000</v>
      </c>
      <c r="N68" s="251">
        <f t="shared" si="29"/>
        <v>25000</v>
      </c>
      <c r="O68" s="251">
        <f t="shared" si="29"/>
        <v>25000</v>
      </c>
      <c r="P68" s="251">
        <f t="shared" si="29"/>
        <v>25000</v>
      </c>
      <c r="Q68" s="251">
        <f t="shared" si="29"/>
        <v>25000</v>
      </c>
      <c r="R68" s="251">
        <f t="shared" si="29"/>
        <v>25000</v>
      </c>
      <c r="S68" s="251">
        <f t="shared" si="29"/>
        <v>25000</v>
      </c>
      <c r="T68" s="251">
        <f t="shared" si="29"/>
        <v>25000</v>
      </c>
      <c r="U68" s="251">
        <f t="shared" si="29"/>
        <v>25000</v>
      </c>
      <c r="V68" s="251">
        <f t="shared" si="29"/>
        <v>25000</v>
      </c>
      <c r="W68" s="251">
        <f t="shared" si="29"/>
        <v>25000</v>
      </c>
      <c r="X68" s="251">
        <f t="shared" si="29"/>
        <v>25000</v>
      </c>
      <c r="Y68" s="251">
        <f t="shared" si="29"/>
        <v>25000</v>
      </c>
      <c r="Z68" s="251">
        <f t="shared" si="29"/>
        <v>25000</v>
      </c>
      <c r="AA68" s="251">
        <f t="shared" si="29"/>
        <v>25000</v>
      </c>
      <c r="AB68" s="251">
        <f t="shared" si="29"/>
        <v>25000</v>
      </c>
      <c r="AC68" s="251">
        <f t="shared" si="29"/>
        <v>25000</v>
      </c>
      <c r="AD68" s="251">
        <f t="shared" si="29"/>
        <v>25000</v>
      </c>
      <c r="AE68" s="251">
        <f t="shared" si="29"/>
        <v>25000</v>
      </c>
      <c r="AF68" s="251">
        <f t="shared" si="29"/>
        <v>25000</v>
      </c>
      <c r="AG68" s="251">
        <f t="shared" si="29"/>
        <v>25000</v>
      </c>
      <c r="AH68" s="245"/>
    </row>
    <row r="69" spans="1:36">
      <c r="A69" s="171" t="s">
        <v>403</v>
      </c>
      <c r="B69" s="253" t="s">
        <v>300</v>
      </c>
      <c r="C69" s="250" t="e">
        <f>C67+1</f>
        <v>#REF!</v>
      </c>
      <c r="D69" s="250" t="e">
        <f t="shared" ref="D69:AG69" si="30">D67+1</f>
        <v>#REF!</v>
      </c>
      <c r="E69" s="250" t="e">
        <f t="shared" si="30"/>
        <v>#REF!</v>
      </c>
      <c r="F69" s="250" t="e">
        <f t="shared" si="30"/>
        <v>#REF!</v>
      </c>
      <c r="G69" s="250" t="e">
        <f t="shared" si="30"/>
        <v>#REF!</v>
      </c>
      <c r="H69" s="250" t="e">
        <f t="shared" si="30"/>
        <v>#REF!</v>
      </c>
      <c r="I69" s="250" t="e">
        <f t="shared" si="30"/>
        <v>#REF!</v>
      </c>
      <c r="J69" s="250" t="e">
        <f t="shared" si="30"/>
        <v>#REF!</v>
      </c>
      <c r="K69" s="250" t="e">
        <f t="shared" si="30"/>
        <v>#REF!</v>
      </c>
      <c r="L69" s="250" t="e">
        <f t="shared" si="30"/>
        <v>#REF!</v>
      </c>
      <c r="M69" s="250" t="e">
        <f t="shared" si="30"/>
        <v>#REF!</v>
      </c>
      <c r="N69" s="250" t="e">
        <f t="shared" si="30"/>
        <v>#REF!</v>
      </c>
      <c r="O69" s="250" t="e">
        <f t="shared" si="30"/>
        <v>#REF!</v>
      </c>
      <c r="P69" s="250" t="e">
        <f t="shared" si="30"/>
        <v>#REF!</v>
      </c>
      <c r="Q69" s="250" t="e">
        <f t="shared" si="30"/>
        <v>#REF!</v>
      </c>
      <c r="R69" s="250" t="e">
        <f t="shared" si="30"/>
        <v>#REF!</v>
      </c>
      <c r="S69" s="250" t="e">
        <f t="shared" si="30"/>
        <v>#REF!</v>
      </c>
      <c r="T69" s="250" t="e">
        <f t="shared" si="30"/>
        <v>#REF!</v>
      </c>
      <c r="U69" s="250" t="e">
        <f t="shared" si="30"/>
        <v>#REF!</v>
      </c>
      <c r="V69" s="250" t="e">
        <f t="shared" si="30"/>
        <v>#REF!</v>
      </c>
      <c r="W69" s="250" t="e">
        <f t="shared" si="30"/>
        <v>#REF!</v>
      </c>
      <c r="X69" s="250" t="e">
        <f t="shared" si="30"/>
        <v>#REF!</v>
      </c>
      <c r="Y69" s="250" t="e">
        <f t="shared" si="30"/>
        <v>#REF!</v>
      </c>
      <c r="Z69" s="250" t="e">
        <f t="shared" si="30"/>
        <v>#REF!</v>
      </c>
      <c r="AA69" s="250" t="e">
        <f t="shared" si="30"/>
        <v>#REF!</v>
      </c>
      <c r="AB69" s="250" t="e">
        <f t="shared" si="30"/>
        <v>#REF!</v>
      </c>
      <c r="AC69" s="250" t="e">
        <f t="shared" si="30"/>
        <v>#REF!</v>
      </c>
      <c r="AD69" s="250" t="e">
        <f t="shared" si="30"/>
        <v>#REF!</v>
      </c>
      <c r="AE69" s="250" t="e">
        <f t="shared" si="30"/>
        <v>#REF!</v>
      </c>
      <c r="AF69" s="250" t="e">
        <f t="shared" si="30"/>
        <v>#REF!</v>
      </c>
      <c r="AG69" s="250" t="e">
        <f t="shared" si="30"/>
        <v>#REF!</v>
      </c>
      <c r="AH69" s="245"/>
    </row>
    <row r="70" spans="1:36">
      <c r="A70" s="171" t="s">
        <v>360</v>
      </c>
      <c r="B70" s="253" t="s">
        <v>305</v>
      </c>
      <c r="C70" s="236" t="e">
        <f t="shared" ref="C70" si="31">$C$16*$C$27*$C$28</f>
        <v>#REF!</v>
      </c>
      <c r="D70" s="236" t="e">
        <f>C70</f>
        <v>#REF!</v>
      </c>
      <c r="E70" s="236" t="e">
        <f>D70*(1+$AH$70)</f>
        <v>#REF!</v>
      </c>
      <c r="F70" s="236" t="e">
        <f t="shared" ref="F70:AG70" si="32">E70</f>
        <v>#REF!</v>
      </c>
      <c r="G70" s="236" t="e">
        <f t="shared" si="32"/>
        <v>#REF!</v>
      </c>
      <c r="H70" s="236" t="e">
        <f>G70*(1+$AH$70)</f>
        <v>#REF!</v>
      </c>
      <c r="I70" s="236" t="e">
        <f t="shared" si="32"/>
        <v>#REF!</v>
      </c>
      <c r="J70" s="236" t="e">
        <f t="shared" si="32"/>
        <v>#REF!</v>
      </c>
      <c r="K70" s="236" t="e">
        <f>J70*(1+$AH$70)</f>
        <v>#REF!</v>
      </c>
      <c r="L70" s="236" t="e">
        <f t="shared" si="32"/>
        <v>#REF!</v>
      </c>
      <c r="M70" s="236" t="e">
        <f t="shared" si="32"/>
        <v>#REF!</v>
      </c>
      <c r="N70" s="236" t="e">
        <f>M70*(1+$AH$70)</f>
        <v>#REF!</v>
      </c>
      <c r="O70" s="236" t="e">
        <f t="shared" si="32"/>
        <v>#REF!</v>
      </c>
      <c r="P70" s="236" t="e">
        <f t="shared" si="32"/>
        <v>#REF!</v>
      </c>
      <c r="Q70" s="236" t="e">
        <f>P70*(1+$AH$70)</f>
        <v>#REF!</v>
      </c>
      <c r="R70" s="236" t="e">
        <f t="shared" si="32"/>
        <v>#REF!</v>
      </c>
      <c r="S70" s="236" t="e">
        <f t="shared" si="32"/>
        <v>#REF!</v>
      </c>
      <c r="T70" s="236" t="e">
        <f>S70*(1+$AH$70)</f>
        <v>#REF!</v>
      </c>
      <c r="U70" s="236" t="e">
        <f t="shared" si="32"/>
        <v>#REF!</v>
      </c>
      <c r="V70" s="236" t="e">
        <f t="shared" si="32"/>
        <v>#REF!</v>
      </c>
      <c r="W70" s="236" t="e">
        <f>V70*(1+$AH$70)</f>
        <v>#REF!</v>
      </c>
      <c r="X70" s="236" t="e">
        <f t="shared" si="32"/>
        <v>#REF!</v>
      </c>
      <c r="Y70" s="236" t="e">
        <f t="shared" si="32"/>
        <v>#REF!</v>
      </c>
      <c r="Z70" s="236" t="e">
        <f>Y70*(1+$AH$70)</f>
        <v>#REF!</v>
      </c>
      <c r="AA70" s="236" t="e">
        <f t="shared" si="32"/>
        <v>#REF!</v>
      </c>
      <c r="AB70" s="236" t="e">
        <f t="shared" si="32"/>
        <v>#REF!</v>
      </c>
      <c r="AC70" s="236" t="e">
        <f>AB70*(1+$AH$70)</f>
        <v>#REF!</v>
      </c>
      <c r="AD70" s="236" t="e">
        <f t="shared" si="32"/>
        <v>#REF!</v>
      </c>
      <c r="AE70" s="236" t="e">
        <f t="shared" si="32"/>
        <v>#REF!</v>
      </c>
      <c r="AF70" s="236" t="e">
        <f>AE70*(1+$AH$70)</f>
        <v>#REF!</v>
      </c>
      <c r="AG70" s="236" t="e">
        <f t="shared" si="32"/>
        <v>#REF!</v>
      </c>
      <c r="AH70" s="245" t="e">
        <f>#REF!</f>
        <v>#REF!</v>
      </c>
      <c r="AI70" s="294"/>
      <c r="AJ70" s="179"/>
    </row>
    <row r="71" spans="1:36">
      <c r="C71" s="975" t="s">
        <v>404</v>
      </c>
      <c r="D71" s="975"/>
      <c r="E71" s="975"/>
      <c r="F71" s="975"/>
      <c r="G71" s="975"/>
    </row>
    <row r="72" spans="1:36" s="256" customFormat="1">
      <c r="A72" s="254"/>
      <c r="B72" s="254"/>
      <c r="C72" s="255" t="s">
        <v>178</v>
      </c>
      <c r="D72" s="255" t="s">
        <v>179</v>
      </c>
      <c r="E72" s="255" t="s">
        <v>180</v>
      </c>
      <c r="F72" s="255" t="s">
        <v>181</v>
      </c>
      <c r="G72" s="255" t="s">
        <v>182</v>
      </c>
      <c r="H72" s="255" t="s">
        <v>239</v>
      </c>
    </row>
    <row r="73" spans="1:36">
      <c r="A73" s="171" t="s">
        <v>405</v>
      </c>
      <c r="B73" s="171" t="s">
        <v>281</v>
      </c>
      <c r="C73" s="257"/>
      <c r="D73" s="257"/>
      <c r="E73" s="307" t="e">
        <f>#REF!</f>
        <v>#REF!</v>
      </c>
      <c r="F73" s="308" t="e">
        <f>#REF!</f>
        <v>#REF!</v>
      </c>
      <c r="G73" s="171"/>
      <c r="H73" s="308" t="e">
        <f>#REF!</f>
        <v>#REF!</v>
      </c>
    </row>
    <row r="74" spans="1:36">
      <c r="A74" s="171" t="s">
        <v>405</v>
      </c>
      <c r="B74" s="171" t="s">
        <v>406</v>
      </c>
      <c r="C74" s="257">
        <v>250</v>
      </c>
      <c r="D74" s="257"/>
      <c r="E74" s="257"/>
      <c r="F74" s="257"/>
      <c r="G74" s="171"/>
      <c r="H74" s="257"/>
      <c r="J74" s="173">
        <f>139-69</f>
        <v>70</v>
      </c>
    </row>
    <row r="75" spans="1:36">
      <c r="A75" s="258" t="s">
        <v>407</v>
      </c>
      <c r="B75" s="258" t="s">
        <v>198</v>
      </c>
      <c r="C75" s="259">
        <v>0.85</v>
      </c>
      <c r="D75" s="259"/>
      <c r="E75" s="259">
        <v>0.85</v>
      </c>
      <c r="F75" s="259">
        <v>0.85</v>
      </c>
      <c r="G75" s="259">
        <v>0.87</v>
      </c>
      <c r="H75" s="259">
        <v>0.55000000000000004</v>
      </c>
      <c r="J75" s="173">
        <f>J74/139</f>
        <v>0.50359712230215825</v>
      </c>
    </row>
    <row r="76" spans="1:36">
      <c r="A76" s="171" t="s">
        <v>408</v>
      </c>
      <c r="B76" s="171" t="s">
        <v>198</v>
      </c>
      <c r="C76" s="233">
        <v>0.3</v>
      </c>
      <c r="D76" s="233"/>
      <c r="E76" s="233">
        <v>0.3</v>
      </c>
      <c r="F76" s="233">
        <v>0.33</v>
      </c>
      <c r="G76" s="233">
        <v>0.87</v>
      </c>
      <c r="H76" s="233">
        <v>0.5</v>
      </c>
    </row>
    <row r="77" spans="1:36">
      <c r="A77" s="171" t="s">
        <v>409</v>
      </c>
      <c r="B77" s="171" t="s">
        <v>198</v>
      </c>
      <c r="C77" s="233">
        <v>0</v>
      </c>
      <c r="D77" s="233"/>
      <c r="E77" s="233">
        <v>0</v>
      </c>
      <c r="F77" s="233">
        <v>0</v>
      </c>
      <c r="G77" s="233">
        <v>0.15</v>
      </c>
      <c r="H77" s="233">
        <v>0.15</v>
      </c>
    </row>
    <row r="78" spans="1:36">
      <c r="A78" s="171" t="s">
        <v>410</v>
      </c>
      <c r="B78" s="171" t="s">
        <v>198</v>
      </c>
      <c r="C78" s="260">
        <f>(C76)</f>
        <v>0.3</v>
      </c>
      <c r="D78" s="260"/>
      <c r="E78" s="260">
        <f t="shared" ref="E78:H78" si="33">(E76)</f>
        <v>0.3</v>
      </c>
      <c r="F78" s="260">
        <f t="shared" si="33"/>
        <v>0.33</v>
      </c>
      <c r="G78" s="260">
        <f t="shared" si="33"/>
        <v>0.87</v>
      </c>
      <c r="H78" s="260">
        <f t="shared" si="33"/>
        <v>0.5</v>
      </c>
      <c r="K78" s="173" t="s">
        <v>195</v>
      </c>
      <c r="L78" s="173" t="s">
        <v>285</v>
      </c>
      <c r="M78" s="173" t="s">
        <v>281</v>
      </c>
    </row>
    <row r="79" spans="1:36">
      <c r="A79" s="171" t="s">
        <v>345</v>
      </c>
      <c r="B79" s="171" t="s">
        <v>201</v>
      </c>
      <c r="C79" s="261"/>
      <c r="D79" s="261"/>
      <c r="E79" s="261"/>
      <c r="F79" s="261"/>
      <c r="G79" s="306" t="e">
        <f>#REF!</f>
        <v>#REF!</v>
      </c>
      <c r="H79" s="261"/>
      <c r="K79" s="173">
        <v>5</v>
      </c>
      <c r="L79" s="173">
        <v>1</v>
      </c>
      <c r="M79" s="173">
        <v>0.3</v>
      </c>
    </row>
    <row r="80" spans="1:36">
      <c r="A80" s="171"/>
      <c r="B80" s="171" t="s">
        <v>346</v>
      </c>
      <c r="C80" s="305" t="e">
        <f>#REF!</f>
        <v>#REF!</v>
      </c>
      <c r="D80" s="305" t="e">
        <f>#REF!</f>
        <v>#REF!</v>
      </c>
      <c r="E80" s="305" t="e">
        <f>#REF!</f>
        <v>#REF!</v>
      </c>
      <c r="F80" s="261" t="e">
        <f>3*C80</f>
        <v>#REF!</v>
      </c>
      <c r="G80" s="262"/>
      <c r="H80" s="261" t="e">
        <f>4*C80</f>
        <v>#REF!</v>
      </c>
      <c r="K80" s="173">
        <f>K79/M79</f>
        <v>16.666666666666668</v>
      </c>
      <c r="M80" s="173">
        <v>1</v>
      </c>
    </row>
    <row r="81" spans="1:35">
      <c r="A81" s="263" t="s">
        <v>411</v>
      </c>
      <c r="B81" s="263" t="s">
        <v>193</v>
      </c>
      <c r="C81" s="264"/>
      <c r="D81" s="264"/>
      <c r="E81" s="252" t="e">
        <f>E82/(C28)</f>
        <v>#REF!</v>
      </c>
      <c r="F81" s="264"/>
      <c r="G81" s="265" t="e">
        <f>C19</f>
        <v>#REF!</v>
      </c>
      <c r="H81" s="264"/>
    </row>
    <row r="82" spans="1:35" ht="29.1" customHeight="1">
      <c r="A82" s="266" t="s">
        <v>283</v>
      </c>
      <c r="B82" s="267" t="s">
        <v>412</v>
      </c>
      <c r="C82" s="252" t="e">
        <f>($C$27*$C$28)/C80</f>
        <v>#REF!</v>
      </c>
      <c r="D82" s="252" t="e">
        <f>($C$27*$C$28)/D80</f>
        <v>#REF!</v>
      </c>
      <c r="E82" s="252" t="e">
        <f>($C$27*$C$28)/E80</f>
        <v>#REF!</v>
      </c>
      <c r="F82" s="252" t="e">
        <f>($C$27*$C$28)/F80</f>
        <v>#REF!</v>
      </c>
      <c r="G82" s="252" t="e">
        <f>($C$27*$C$28*G79)</f>
        <v>#REF!</v>
      </c>
      <c r="H82" s="252" t="e">
        <f>($C$27*$C$28)/H80</f>
        <v>#REF!</v>
      </c>
      <c r="I82" s="268" t="e">
        <f>F82-H82</f>
        <v>#REF!</v>
      </c>
      <c r="J82" s="241" t="e">
        <f>I82/H82</f>
        <v>#REF!</v>
      </c>
      <c r="K82" s="173">
        <v>100</v>
      </c>
      <c r="M82" s="173">
        <v>9</v>
      </c>
    </row>
    <row r="83" spans="1:35">
      <c r="C83" s="173"/>
    </row>
    <row r="84" spans="1:35" s="225" customFormat="1">
      <c r="A84" s="223"/>
      <c r="B84" s="223"/>
    </row>
    <row r="85" spans="1:35">
      <c r="A85" s="235" t="s">
        <v>307</v>
      </c>
      <c r="B85" s="235"/>
      <c r="C85" s="235">
        <v>2025</v>
      </c>
      <c r="D85" s="235">
        <f t="shared" ref="D85:AG85" si="34">C85+1</f>
        <v>2026</v>
      </c>
      <c r="E85" s="235">
        <f t="shared" si="34"/>
        <v>2027</v>
      </c>
      <c r="F85" s="235">
        <f t="shared" si="34"/>
        <v>2028</v>
      </c>
      <c r="G85" s="235">
        <f t="shared" si="34"/>
        <v>2029</v>
      </c>
      <c r="H85" s="235">
        <f t="shared" si="34"/>
        <v>2030</v>
      </c>
      <c r="I85" s="235">
        <f t="shared" si="34"/>
        <v>2031</v>
      </c>
      <c r="J85" s="235">
        <f t="shared" si="34"/>
        <v>2032</v>
      </c>
      <c r="K85" s="235">
        <f t="shared" si="34"/>
        <v>2033</v>
      </c>
      <c r="L85" s="235">
        <f t="shared" si="34"/>
        <v>2034</v>
      </c>
      <c r="M85" s="235">
        <f t="shared" si="34"/>
        <v>2035</v>
      </c>
      <c r="N85" s="235">
        <f t="shared" si="34"/>
        <v>2036</v>
      </c>
      <c r="O85" s="235">
        <f t="shared" si="34"/>
        <v>2037</v>
      </c>
      <c r="P85" s="235">
        <f t="shared" si="34"/>
        <v>2038</v>
      </c>
      <c r="Q85" s="235">
        <f t="shared" si="34"/>
        <v>2039</v>
      </c>
      <c r="R85" s="235">
        <f t="shared" si="34"/>
        <v>2040</v>
      </c>
      <c r="S85" s="235">
        <f t="shared" si="34"/>
        <v>2041</v>
      </c>
      <c r="T85" s="235">
        <f t="shared" si="34"/>
        <v>2042</v>
      </c>
      <c r="U85" s="235">
        <f t="shared" si="34"/>
        <v>2043</v>
      </c>
      <c r="V85" s="235">
        <f t="shared" si="34"/>
        <v>2044</v>
      </c>
      <c r="W85" s="235">
        <f t="shared" si="34"/>
        <v>2045</v>
      </c>
      <c r="X85" s="235">
        <f t="shared" si="34"/>
        <v>2046</v>
      </c>
      <c r="Y85" s="235">
        <f t="shared" si="34"/>
        <v>2047</v>
      </c>
      <c r="Z85" s="235">
        <f t="shared" si="34"/>
        <v>2048</v>
      </c>
      <c r="AA85" s="235">
        <f t="shared" si="34"/>
        <v>2049</v>
      </c>
      <c r="AB85" s="235">
        <f t="shared" si="34"/>
        <v>2050</v>
      </c>
      <c r="AC85" s="235">
        <f t="shared" si="34"/>
        <v>2051</v>
      </c>
      <c r="AD85" s="235">
        <f t="shared" si="34"/>
        <v>2052</v>
      </c>
      <c r="AE85" s="235">
        <f t="shared" si="34"/>
        <v>2053</v>
      </c>
      <c r="AF85" s="235">
        <f t="shared" si="34"/>
        <v>2054</v>
      </c>
      <c r="AG85" s="235">
        <f t="shared" si="34"/>
        <v>2055</v>
      </c>
    </row>
    <row r="86" spans="1:35">
      <c r="A86" s="290" t="s">
        <v>308</v>
      </c>
      <c r="B86" s="173" t="s">
        <v>309</v>
      </c>
      <c r="C86" s="179" t="e">
        <f>C11</f>
        <v>#REF!</v>
      </c>
      <c r="D86" s="179" t="e">
        <f>ROUND(C86*(1+#REF!)/1000,0)*1000</f>
        <v>#REF!</v>
      </c>
      <c r="E86" s="179" t="e">
        <f>ROUND(D86*(1+#REF!)/1000,0)*1000</f>
        <v>#REF!</v>
      </c>
      <c r="F86" s="179" t="e">
        <f>ROUND(E86*(1+#REF!)/1000,0)*1000</f>
        <v>#REF!</v>
      </c>
      <c r="G86" s="179" t="e">
        <f>ROUND(F86*(1+#REF!)/1000,0)*1000</f>
        <v>#REF!</v>
      </c>
      <c r="H86" s="179" t="e">
        <f>ROUND(G86*(1+#REF!)/1000,0)*1000</f>
        <v>#REF!</v>
      </c>
      <c r="I86" s="179" t="e">
        <f>ROUND(H86*(1+#REF!)/1000,0)*1000+#REF!</f>
        <v>#REF!</v>
      </c>
      <c r="J86" s="179" t="e">
        <f>ROUND(I86*(1+#REF!)/1000,0)*1000</f>
        <v>#REF!</v>
      </c>
      <c r="K86" s="179" t="e">
        <f>ROUND(J86*(1+#REF!)/1000,0)*1000</f>
        <v>#REF!</v>
      </c>
      <c r="L86" s="179" t="e">
        <f>ROUND(K86*(1+#REF!)/1000,0)*1000</f>
        <v>#REF!</v>
      </c>
      <c r="M86" s="179" t="e">
        <f>ROUND(L86*(1+#REF!)/1000,0)*1000</f>
        <v>#REF!</v>
      </c>
      <c r="N86" s="179" t="e">
        <f>ROUND(M86*(1+#REF!)/1000,0)*1000</f>
        <v>#REF!</v>
      </c>
      <c r="O86" s="179" t="e">
        <f>ROUND(N86*(1+#REF!)/1000,0)*1000</f>
        <v>#REF!</v>
      </c>
      <c r="P86" s="179" t="e">
        <f>ROUND(O86*(1+#REF!)/1000,0)*1000</f>
        <v>#REF!</v>
      </c>
      <c r="Q86" s="179" t="e">
        <f>ROUND(P86*(1+#REF!)/1000,0)*1000</f>
        <v>#REF!</v>
      </c>
      <c r="R86" s="179" t="e">
        <f>ROUND(Q86*(1+#REF!)/1000,0)*1000</f>
        <v>#REF!</v>
      </c>
      <c r="S86" s="179" t="e">
        <f>ROUND(R86*(1+#REF!)/1000,0)*1000</f>
        <v>#REF!</v>
      </c>
      <c r="T86" s="179" t="e">
        <f>ROUND(S86*(1+#REF!)/1000,0)*1000</f>
        <v>#REF!</v>
      </c>
      <c r="U86" s="179" t="e">
        <f>ROUND(T86*(1+#REF!)/1000,0)*1000</f>
        <v>#REF!</v>
      </c>
      <c r="V86" s="179" t="e">
        <f>ROUND(U86*(1+#REF!)/1000,0)*1000</f>
        <v>#REF!</v>
      </c>
      <c r="W86" s="179" t="e">
        <f>ROUND(V86*(1+#REF!)/1000,0)*1000</f>
        <v>#REF!</v>
      </c>
      <c r="X86" s="179" t="e">
        <f>ROUND(W86*(1+#REF!)/1000,0)*1000</f>
        <v>#REF!</v>
      </c>
      <c r="Y86" s="179" t="e">
        <f>ROUND(X86*(1+#REF!)/1000,0)*1000</f>
        <v>#REF!</v>
      </c>
      <c r="Z86" s="179" t="e">
        <f>ROUND(Y86*(1+#REF!)/1000,0)*1000</f>
        <v>#REF!</v>
      </c>
      <c r="AA86" s="179" t="e">
        <f>ROUND(Z86*(1+#REF!)/1000,0)*1000</f>
        <v>#REF!</v>
      </c>
      <c r="AB86" s="179" t="e">
        <f>ROUND(AA86*(1+#REF!)/1000,0)*1000</f>
        <v>#REF!</v>
      </c>
      <c r="AC86" s="179" t="e">
        <f>ROUND(AB86*(1+#REF!)/1000,0)*1000</f>
        <v>#REF!</v>
      </c>
      <c r="AD86" s="179" t="e">
        <f>ROUND(AC86*(1+#REF!)/1000,0)*1000</f>
        <v>#REF!</v>
      </c>
      <c r="AE86" s="179" t="e">
        <f>ROUND(AD86*(1+#REF!)/1000,0)*1000</f>
        <v>#REF!</v>
      </c>
      <c r="AF86" s="179" t="e">
        <f>ROUND(AE86*(1+#REF!)/1000,0)*1000</f>
        <v>#REF!</v>
      </c>
      <c r="AG86" s="179" t="e">
        <f>ROUND(AF86*(1+#REF!)/1000,0)*1000</f>
        <v>#REF!</v>
      </c>
    </row>
    <row r="87" spans="1:35">
      <c r="A87" s="290" t="s">
        <v>314</v>
      </c>
      <c r="B87" s="173" t="s">
        <v>309</v>
      </c>
      <c r="C87" s="179" t="e">
        <f t="shared" ref="C87:AG87" si="35">C39*$C$82</f>
        <v>#REF!</v>
      </c>
      <c r="D87" s="179" t="e">
        <f t="shared" si="35"/>
        <v>#REF!</v>
      </c>
      <c r="E87" s="179" t="e">
        <f t="shared" si="35"/>
        <v>#REF!</v>
      </c>
      <c r="F87" s="179" t="e">
        <f t="shared" si="35"/>
        <v>#REF!</v>
      </c>
      <c r="G87" s="179" t="e">
        <f t="shared" si="35"/>
        <v>#REF!</v>
      </c>
      <c r="H87" s="179" t="e">
        <f t="shared" si="35"/>
        <v>#REF!</v>
      </c>
      <c r="I87" s="179" t="e">
        <f t="shared" si="35"/>
        <v>#REF!</v>
      </c>
      <c r="J87" s="179" t="e">
        <f t="shared" si="35"/>
        <v>#REF!</v>
      </c>
      <c r="K87" s="179" t="e">
        <f t="shared" si="35"/>
        <v>#REF!</v>
      </c>
      <c r="L87" s="179" t="e">
        <f t="shared" si="35"/>
        <v>#REF!</v>
      </c>
      <c r="M87" s="179" t="e">
        <f t="shared" si="35"/>
        <v>#REF!</v>
      </c>
      <c r="N87" s="179" t="e">
        <f t="shared" si="35"/>
        <v>#REF!</v>
      </c>
      <c r="O87" s="179" t="e">
        <f t="shared" si="35"/>
        <v>#REF!</v>
      </c>
      <c r="P87" s="179" t="e">
        <f t="shared" si="35"/>
        <v>#REF!</v>
      </c>
      <c r="Q87" s="179" t="e">
        <f t="shared" si="35"/>
        <v>#REF!</v>
      </c>
      <c r="R87" s="179" t="e">
        <f t="shared" si="35"/>
        <v>#REF!</v>
      </c>
      <c r="S87" s="179" t="e">
        <f t="shared" si="35"/>
        <v>#REF!</v>
      </c>
      <c r="T87" s="179" t="e">
        <f t="shared" si="35"/>
        <v>#REF!</v>
      </c>
      <c r="U87" s="179" t="e">
        <f t="shared" si="35"/>
        <v>#REF!</v>
      </c>
      <c r="V87" s="179" t="e">
        <f t="shared" si="35"/>
        <v>#REF!</v>
      </c>
      <c r="W87" s="179" t="e">
        <f t="shared" si="35"/>
        <v>#REF!</v>
      </c>
      <c r="X87" s="179" t="e">
        <f t="shared" si="35"/>
        <v>#REF!</v>
      </c>
      <c r="Y87" s="179" t="e">
        <f t="shared" si="35"/>
        <v>#REF!</v>
      </c>
      <c r="Z87" s="179" t="e">
        <f t="shared" si="35"/>
        <v>#REF!</v>
      </c>
      <c r="AA87" s="179" t="e">
        <f t="shared" si="35"/>
        <v>#REF!</v>
      </c>
      <c r="AB87" s="179" t="e">
        <f t="shared" si="35"/>
        <v>#REF!</v>
      </c>
      <c r="AC87" s="179" t="e">
        <f t="shared" si="35"/>
        <v>#REF!</v>
      </c>
      <c r="AD87" s="179" t="e">
        <f t="shared" si="35"/>
        <v>#REF!</v>
      </c>
      <c r="AE87" s="179" t="e">
        <f t="shared" si="35"/>
        <v>#REF!</v>
      </c>
      <c r="AF87" s="179" t="e">
        <f t="shared" si="35"/>
        <v>#REF!</v>
      </c>
      <c r="AG87" s="179" t="e">
        <f t="shared" si="35"/>
        <v>#REF!</v>
      </c>
    </row>
    <row r="88" spans="1:35">
      <c r="A88" s="290" t="s">
        <v>315</v>
      </c>
      <c r="B88" s="173" t="s">
        <v>309</v>
      </c>
      <c r="C88" s="238" t="e">
        <f>$C$82*$AH$88*C40</f>
        <v>#REF!</v>
      </c>
      <c r="D88" s="238" t="e">
        <f>$C$82*$AH$88*D40</f>
        <v>#REF!</v>
      </c>
      <c r="E88" s="238" t="e">
        <f t="shared" ref="E88:AG88" si="36">$C$82*$AH$88*E40</f>
        <v>#REF!</v>
      </c>
      <c r="F88" s="238" t="e">
        <f t="shared" si="36"/>
        <v>#REF!</v>
      </c>
      <c r="G88" s="238" t="e">
        <f t="shared" si="36"/>
        <v>#REF!</v>
      </c>
      <c r="H88" s="238" t="e">
        <f t="shared" si="36"/>
        <v>#REF!</v>
      </c>
      <c r="I88" s="238" t="e">
        <f t="shared" si="36"/>
        <v>#REF!</v>
      </c>
      <c r="J88" s="238" t="e">
        <f t="shared" si="36"/>
        <v>#REF!</v>
      </c>
      <c r="K88" s="238" t="e">
        <f t="shared" si="36"/>
        <v>#REF!</v>
      </c>
      <c r="L88" s="238" t="e">
        <f t="shared" si="36"/>
        <v>#REF!</v>
      </c>
      <c r="M88" s="238" t="e">
        <f t="shared" si="36"/>
        <v>#REF!</v>
      </c>
      <c r="N88" s="238" t="e">
        <f t="shared" si="36"/>
        <v>#REF!</v>
      </c>
      <c r="O88" s="238" t="e">
        <f t="shared" si="36"/>
        <v>#REF!</v>
      </c>
      <c r="P88" s="238" t="e">
        <f t="shared" si="36"/>
        <v>#REF!</v>
      </c>
      <c r="Q88" s="238" t="e">
        <f t="shared" si="36"/>
        <v>#REF!</v>
      </c>
      <c r="R88" s="238" t="e">
        <f t="shared" si="36"/>
        <v>#REF!</v>
      </c>
      <c r="S88" s="238" t="e">
        <f t="shared" si="36"/>
        <v>#REF!</v>
      </c>
      <c r="T88" s="238" t="e">
        <f t="shared" si="36"/>
        <v>#REF!</v>
      </c>
      <c r="U88" s="238" t="e">
        <f t="shared" si="36"/>
        <v>#REF!</v>
      </c>
      <c r="V88" s="238" t="e">
        <f t="shared" si="36"/>
        <v>#REF!</v>
      </c>
      <c r="W88" s="238" t="e">
        <f t="shared" si="36"/>
        <v>#REF!</v>
      </c>
      <c r="X88" s="238" t="e">
        <f t="shared" si="36"/>
        <v>#REF!</v>
      </c>
      <c r="Y88" s="238" t="e">
        <f t="shared" si="36"/>
        <v>#REF!</v>
      </c>
      <c r="Z88" s="238" t="e">
        <f t="shared" si="36"/>
        <v>#REF!</v>
      </c>
      <c r="AA88" s="238" t="e">
        <f t="shared" si="36"/>
        <v>#REF!</v>
      </c>
      <c r="AB88" s="238" t="e">
        <f t="shared" si="36"/>
        <v>#REF!</v>
      </c>
      <c r="AC88" s="238" t="e">
        <f t="shared" si="36"/>
        <v>#REF!</v>
      </c>
      <c r="AD88" s="238" t="e">
        <f t="shared" si="36"/>
        <v>#REF!</v>
      </c>
      <c r="AE88" s="238" t="e">
        <f t="shared" si="36"/>
        <v>#REF!</v>
      </c>
      <c r="AF88" s="238" t="e">
        <f t="shared" si="36"/>
        <v>#REF!</v>
      </c>
      <c r="AG88" s="238" t="e">
        <f t="shared" si="36"/>
        <v>#REF!</v>
      </c>
      <c r="AH88" s="269" t="e">
        <f>#REF!</f>
        <v>#REF!</v>
      </c>
      <c r="AI88" s="173" t="s">
        <v>316</v>
      </c>
    </row>
    <row r="89" spans="1:35">
      <c r="A89" s="173" t="s">
        <v>317</v>
      </c>
      <c r="B89" s="173" t="s">
        <v>309</v>
      </c>
      <c r="C89" s="179" t="e">
        <f t="shared" ref="C89:AG89" si="37">$C$28*$C$27*C65</f>
        <v>#REF!</v>
      </c>
      <c r="D89" s="179" t="e">
        <f t="shared" si="37"/>
        <v>#REF!</v>
      </c>
      <c r="E89" s="179" t="e">
        <f t="shared" si="37"/>
        <v>#REF!</v>
      </c>
      <c r="F89" s="179" t="e">
        <f t="shared" si="37"/>
        <v>#REF!</v>
      </c>
      <c r="G89" s="179" t="e">
        <f t="shared" si="37"/>
        <v>#REF!</v>
      </c>
      <c r="H89" s="179" t="e">
        <f t="shared" si="37"/>
        <v>#REF!</v>
      </c>
      <c r="I89" s="179" t="e">
        <f t="shared" si="37"/>
        <v>#REF!</v>
      </c>
      <c r="J89" s="179" t="e">
        <f t="shared" si="37"/>
        <v>#REF!</v>
      </c>
      <c r="K89" s="179" t="e">
        <f t="shared" si="37"/>
        <v>#REF!</v>
      </c>
      <c r="L89" s="179" t="e">
        <f t="shared" si="37"/>
        <v>#REF!</v>
      </c>
      <c r="M89" s="179" t="e">
        <f t="shared" si="37"/>
        <v>#REF!</v>
      </c>
      <c r="N89" s="179" t="e">
        <f t="shared" si="37"/>
        <v>#REF!</v>
      </c>
      <c r="O89" s="179" t="e">
        <f t="shared" si="37"/>
        <v>#REF!</v>
      </c>
      <c r="P89" s="179" t="e">
        <f t="shared" si="37"/>
        <v>#REF!</v>
      </c>
      <c r="Q89" s="179" t="e">
        <f t="shared" si="37"/>
        <v>#REF!</v>
      </c>
      <c r="R89" s="179" t="e">
        <f t="shared" si="37"/>
        <v>#REF!</v>
      </c>
      <c r="S89" s="179" t="e">
        <f t="shared" si="37"/>
        <v>#REF!</v>
      </c>
      <c r="T89" s="179" t="e">
        <f t="shared" si="37"/>
        <v>#REF!</v>
      </c>
      <c r="U89" s="179" t="e">
        <f t="shared" si="37"/>
        <v>#REF!</v>
      </c>
      <c r="V89" s="179" t="e">
        <f t="shared" si="37"/>
        <v>#REF!</v>
      </c>
      <c r="W89" s="179" t="e">
        <f t="shared" si="37"/>
        <v>#REF!</v>
      </c>
      <c r="X89" s="179" t="e">
        <f t="shared" si="37"/>
        <v>#REF!</v>
      </c>
      <c r="Y89" s="179" t="e">
        <f t="shared" si="37"/>
        <v>#REF!</v>
      </c>
      <c r="Z89" s="179" t="e">
        <f t="shared" si="37"/>
        <v>#REF!</v>
      </c>
      <c r="AA89" s="179" t="e">
        <f t="shared" si="37"/>
        <v>#REF!</v>
      </c>
      <c r="AB89" s="179" t="e">
        <f t="shared" si="37"/>
        <v>#REF!</v>
      </c>
      <c r="AC89" s="179" t="e">
        <f t="shared" si="37"/>
        <v>#REF!</v>
      </c>
      <c r="AD89" s="179" t="e">
        <f t="shared" si="37"/>
        <v>#REF!</v>
      </c>
      <c r="AE89" s="179" t="e">
        <f t="shared" si="37"/>
        <v>#REF!</v>
      </c>
      <c r="AF89" s="179" t="e">
        <f t="shared" si="37"/>
        <v>#REF!</v>
      </c>
      <c r="AG89" s="179" t="e">
        <f t="shared" si="37"/>
        <v>#REF!</v>
      </c>
    </row>
    <row r="90" spans="1:35">
      <c r="A90" s="173" t="s">
        <v>413</v>
      </c>
      <c r="B90" s="173" t="s">
        <v>309</v>
      </c>
      <c r="C90" s="179" t="e">
        <f t="shared" ref="C90:AG90" si="38">C70</f>
        <v>#REF!</v>
      </c>
      <c r="D90" s="179" t="e">
        <f t="shared" si="38"/>
        <v>#REF!</v>
      </c>
      <c r="E90" s="179" t="e">
        <f t="shared" si="38"/>
        <v>#REF!</v>
      </c>
      <c r="F90" s="179" t="e">
        <f t="shared" si="38"/>
        <v>#REF!</v>
      </c>
      <c r="G90" s="179" t="e">
        <f t="shared" si="38"/>
        <v>#REF!</v>
      </c>
      <c r="H90" s="179" t="e">
        <f t="shared" si="38"/>
        <v>#REF!</v>
      </c>
      <c r="I90" s="179" t="e">
        <f t="shared" si="38"/>
        <v>#REF!</v>
      </c>
      <c r="J90" s="179" t="e">
        <f t="shared" si="38"/>
        <v>#REF!</v>
      </c>
      <c r="K90" s="179" t="e">
        <f t="shared" si="38"/>
        <v>#REF!</v>
      </c>
      <c r="L90" s="179" t="e">
        <f t="shared" si="38"/>
        <v>#REF!</v>
      </c>
      <c r="M90" s="179" t="e">
        <f t="shared" si="38"/>
        <v>#REF!</v>
      </c>
      <c r="N90" s="179" t="e">
        <f t="shared" si="38"/>
        <v>#REF!</v>
      </c>
      <c r="O90" s="179" t="e">
        <f t="shared" si="38"/>
        <v>#REF!</v>
      </c>
      <c r="P90" s="179" t="e">
        <f t="shared" si="38"/>
        <v>#REF!</v>
      </c>
      <c r="Q90" s="179" t="e">
        <f t="shared" si="38"/>
        <v>#REF!</v>
      </c>
      <c r="R90" s="179" t="e">
        <f t="shared" si="38"/>
        <v>#REF!</v>
      </c>
      <c r="S90" s="179" t="e">
        <f t="shared" si="38"/>
        <v>#REF!</v>
      </c>
      <c r="T90" s="179" t="e">
        <f t="shared" si="38"/>
        <v>#REF!</v>
      </c>
      <c r="U90" s="179" t="e">
        <f t="shared" si="38"/>
        <v>#REF!</v>
      </c>
      <c r="V90" s="179" t="e">
        <f t="shared" si="38"/>
        <v>#REF!</v>
      </c>
      <c r="W90" s="179" t="e">
        <f t="shared" si="38"/>
        <v>#REF!</v>
      </c>
      <c r="X90" s="179" t="e">
        <f t="shared" si="38"/>
        <v>#REF!</v>
      </c>
      <c r="Y90" s="179" t="e">
        <f t="shared" si="38"/>
        <v>#REF!</v>
      </c>
      <c r="Z90" s="179" t="e">
        <f t="shared" si="38"/>
        <v>#REF!</v>
      </c>
      <c r="AA90" s="179" t="e">
        <f t="shared" si="38"/>
        <v>#REF!</v>
      </c>
      <c r="AB90" s="179" t="e">
        <f t="shared" si="38"/>
        <v>#REF!</v>
      </c>
      <c r="AC90" s="179" t="e">
        <f t="shared" si="38"/>
        <v>#REF!</v>
      </c>
      <c r="AD90" s="179" t="e">
        <f t="shared" si="38"/>
        <v>#REF!</v>
      </c>
      <c r="AE90" s="179" t="e">
        <f t="shared" si="38"/>
        <v>#REF!</v>
      </c>
      <c r="AF90" s="179" t="e">
        <f t="shared" si="38"/>
        <v>#REF!</v>
      </c>
      <c r="AG90" s="179" t="e">
        <f t="shared" si="38"/>
        <v>#REF!</v>
      </c>
    </row>
    <row r="91" spans="1:35">
      <c r="A91" s="173" t="s">
        <v>319</v>
      </c>
      <c r="B91" s="173" t="s">
        <v>309</v>
      </c>
      <c r="C91" s="179" t="e">
        <f t="shared" ref="C91:AG91" si="39">C86*$C$34</f>
        <v>#REF!</v>
      </c>
      <c r="D91" s="179" t="e">
        <f t="shared" si="39"/>
        <v>#REF!</v>
      </c>
      <c r="E91" s="179" t="e">
        <f t="shared" si="39"/>
        <v>#REF!</v>
      </c>
      <c r="F91" s="179" t="e">
        <f t="shared" si="39"/>
        <v>#REF!</v>
      </c>
      <c r="G91" s="179" t="e">
        <f t="shared" si="39"/>
        <v>#REF!</v>
      </c>
      <c r="H91" s="179" t="e">
        <f t="shared" si="39"/>
        <v>#REF!</v>
      </c>
      <c r="I91" s="179" t="e">
        <f t="shared" si="39"/>
        <v>#REF!</v>
      </c>
      <c r="J91" s="179" t="e">
        <f t="shared" si="39"/>
        <v>#REF!</v>
      </c>
      <c r="K91" s="179" t="e">
        <f t="shared" si="39"/>
        <v>#REF!</v>
      </c>
      <c r="L91" s="179" t="e">
        <f t="shared" si="39"/>
        <v>#REF!</v>
      </c>
      <c r="M91" s="179" t="e">
        <f t="shared" si="39"/>
        <v>#REF!</v>
      </c>
      <c r="N91" s="179" t="e">
        <f t="shared" si="39"/>
        <v>#REF!</v>
      </c>
      <c r="O91" s="179" t="e">
        <f t="shared" si="39"/>
        <v>#REF!</v>
      </c>
      <c r="P91" s="179" t="e">
        <f t="shared" si="39"/>
        <v>#REF!</v>
      </c>
      <c r="Q91" s="179" t="e">
        <f t="shared" si="39"/>
        <v>#REF!</v>
      </c>
      <c r="R91" s="179" t="e">
        <f t="shared" si="39"/>
        <v>#REF!</v>
      </c>
      <c r="S91" s="179" t="e">
        <f t="shared" si="39"/>
        <v>#REF!</v>
      </c>
      <c r="T91" s="179" t="e">
        <f t="shared" si="39"/>
        <v>#REF!</v>
      </c>
      <c r="U91" s="179" t="e">
        <f t="shared" si="39"/>
        <v>#REF!</v>
      </c>
      <c r="V91" s="179" t="e">
        <f t="shared" si="39"/>
        <v>#REF!</v>
      </c>
      <c r="W91" s="179" t="e">
        <f t="shared" si="39"/>
        <v>#REF!</v>
      </c>
      <c r="X91" s="179" t="e">
        <f t="shared" si="39"/>
        <v>#REF!</v>
      </c>
      <c r="Y91" s="179" t="e">
        <f t="shared" si="39"/>
        <v>#REF!</v>
      </c>
      <c r="Z91" s="179" t="e">
        <f t="shared" si="39"/>
        <v>#REF!</v>
      </c>
      <c r="AA91" s="179" t="e">
        <f t="shared" si="39"/>
        <v>#REF!</v>
      </c>
      <c r="AB91" s="179" t="e">
        <f t="shared" si="39"/>
        <v>#REF!</v>
      </c>
      <c r="AC91" s="179" t="e">
        <f t="shared" si="39"/>
        <v>#REF!</v>
      </c>
      <c r="AD91" s="179" t="e">
        <f t="shared" si="39"/>
        <v>#REF!</v>
      </c>
      <c r="AE91" s="179" t="e">
        <f t="shared" si="39"/>
        <v>#REF!</v>
      </c>
      <c r="AF91" s="179" t="e">
        <f t="shared" si="39"/>
        <v>#REF!</v>
      </c>
      <c r="AG91" s="179" t="e">
        <f t="shared" si="39"/>
        <v>#REF!</v>
      </c>
    </row>
    <row r="92" spans="1:35" s="247" customFormat="1" ht="11.85" customHeight="1">
      <c r="A92" s="270" t="s">
        <v>414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5">
      <c r="A93" s="173" t="s">
        <v>312</v>
      </c>
      <c r="B93" s="173" t="s">
        <v>313</v>
      </c>
      <c r="C93" s="179" t="e">
        <f t="shared" ref="C93:AG93" si="40">-PMT($C$33,$C$31,C86)</f>
        <v>#REF!</v>
      </c>
      <c r="D93" s="179" t="e">
        <f t="shared" si="40"/>
        <v>#REF!</v>
      </c>
      <c r="E93" s="179" t="e">
        <f t="shared" si="40"/>
        <v>#REF!</v>
      </c>
      <c r="F93" s="179" t="e">
        <f t="shared" si="40"/>
        <v>#REF!</v>
      </c>
      <c r="G93" s="179" t="e">
        <f t="shared" si="40"/>
        <v>#REF!</v>
      </c>
      <c r="H93" s="179" t="e">
        <f t="shared" si="40"/>
        <v>#REF!</v>
      </c>
      <c r="I93" s="179" t="e">
        <f t="shared" si="40"/>
        <v>#REF!</v>
      </c>
      <c r="J93" s="179" t="e">
        <f t="shared" si="40"/>
        <v>#REF!</v>
      </c>
      <c r="K93" s="179" t="e">
        <f t="shared" si="40"/>
        <v>#REF!</v>
      </c>
      <c r="L93" s="179" t="e">
        <f t="shared" si="40"/>
        <v>#REF!</v>
      </c>
      <c r="M93" s="179" t="e">
        <f t="shared" si="40"/>
        <v>#REF!</v>
      </c>
      <c r="N93" s="179" t="e">
        <f t="shared" si="40"/>
        <v>#REF!</v>
      </c>
      <c r="O93" s="179" t="e">
        <f t="shared" si="40"/>
        <v>#REF!</v>
      </c>
      <c r="P93" s="179" t="e">
        <f t="shared" si="40"/>
        <v>#REF!</v>
      </c>
      <c r="Q93" s="179" t="e">
        <f t="shared" si="40"/>
        <v>#REF!</v>
      </c>
      <c r="R93" s="179" t="e">
        <f t="shared" si="40"/>
        <v>#REF!</v>
      </c>
      <c r="S93" s="179" t="e">
        <f t="shared" si="40"/>
        <v>#REF!</v>
      </c>
      <c r="T93" s="179" t="e">
        <f t="shared" si="40"/>
        <v>#REF!</v>
      </c>
      <c r="U93" s="179" t="e">
        <f t="shared" si="40"/>
        <v>#REF!</v>
      </c>
      <c r="V93" s="179" t="e">
        <f t="shared" si="40"/>
        <v>#REF!</v>
      </c>
      <c r="W93" s="179" t="e">
        <f t="shared" si="40"/>
        <v>#REF!</v>
      </c>
      <c r="X93" s="179" t="e">
        <f t="shared" si="40"/>
        <v>#REF!</v>
      </c>
      <c r="Y93" s="179" t="e">
        <f t="shared" si="40"/>
        <v>#REF!</v>
      </c>
      <c r="Z93" s="179" t="e">
        <f t="shared" si="40"/>
        <v>#REF!</v>
      </c>
      <c r="AA93" s="179" t="e">
        <f t="shared" si="40"/>
        <v>#REF!</v>
      </c>
      <c r="AB93" s="179" t="e">
        <f t="shared" si="40"/>
        <v>#REF!</v>
      </c>
      <c r="AC93" s="179" t="e">
        <f t="shared" si="40"/>
        <v>#REF!</v>
      </c>
      <c r="AD93" s="179" t="e">
        <f t="shared" si="40"/>
        <v>#REF!</v>
      </c>
      <c r="AE93" s="179" t="e">
        <f t="shared" si="40"/>
        <v>#REF!</v>
      </c>
      <c r="AF93" s="179" t="e">
        <f t="shared" si="40"/>
        <v>#REF!</v>
      </c>
      <c r="AG93" s="179" t="e">
        <f t="shared" si="40"/>
        <v>#REF!</v>
      </c>
    </row>
    <row r="94" spans="1:35">
      <c r="A94" s="173" t="s">
        <v>321</v>
      </c>
      <c r="B94" s="173" t="s">
        <v>313</v>
      </c>
      <c r="C94" s="179" t="e">
        <f t="shared" ref="C94:AG98" si="41">C87</f>
        <v>#REF!</v>
      </c>
      <c r="D94" s="179" t="e">
        <f t="shared" si="41"/>
        <v>#REF!</v>
      </c>
      <c r="E94" s="179" t="e">
        <f t="shared" si="41"/>
        <v>#REF!</v>
      </c>
      <c r="F94" s="179" t="e">
        <f t="shared" si="41"/>
        <v>#REF!</v>
      </c>
      <c r="G94" s="179" t="e">
        <f t="shared" si="41"/>
        <v>#REF!</v>
      </c>
      <c r="H94" s="179" t="e">
        <f t="shared" si="41"/>
        <v>#REF!</v>
      </c>
      <c r="I94" s="179" t="e">
        <f t="shared" si="41"/>
        <v>#REF!</v>
      </c>
      <c r="J94" s="179" t="e">
        <f t="shared" si="41"/>
        <v>#REF!</v>
      </c>
      <c r="K94" s="179" t="e">
        <f t="shared" si="41"/>
        <v>#REF!</v>
      </c>
      <c r="L94" s="179" t="e">
        <f t="shared" si="41"/>
        <v>#REF!</v>
      </c>
      <c r="M94" s="179" t="e">
        <f t="shared" si="41"/>
        <v>#REF!</v>
      </c>
      <c r="N94" s="179" t="e">
        <f t="shared" si="41"/>
        <v>#REF!</v>
      </c>
      <c r="O94" s="179" t="e">
        <f t="shared" si="41"/>
        <v>#REF!</v>
      </c>
      <c r="P94" s="179" t="e">
        <f t="shared" si="41"/>
        <v>#REF!</v>
      </c>
      <c r="Q94" s="179" t="e">
        <f t="shared" si="41"/>
        <v>#REF!</v>
      </c>
      <c r="R94" s="179" t="e">
        <f t="shared" si="41"/>
        <v>#REF!</v>
      </c>
      <c r="S94" s="179" t="e">
        <f t="shared" si="41"/>
        <v>#REF!</v>
      </c>
      <c r="T94" s="179" t="e">
        <f t="shared" si="41"/>
        <v>#REF!</v>
      </c>
      <c r="U94" s="179" t="e">
        <f t="shared" si="41"/>
        <v>#REF!</v>
      </c>
      <c r="V94" s="179" t="e">
        <f t="shared" si="41"/>
        <v>#REF!</v>
      </c>
      <c r="W94" s="179" t="e">
        <f t="shared" si="41"/>
        <v>#REF!</v>
      </c>
      <c r="X94" s="179" t="e">
        <f t="shared" si="41"/>
        <v>#REF!</v>
      </c>
      <c r="Y94" s="179" t="e">
        <f t="shared" si="41"/>
        <v>#REF!</v>
      </c>
      <c r="Z94" s="179" t="e">
        <f t="shared" si="41"/>
        <v>#REF!</v>
      </c>
      <c r="AA94" s="179" t="e">
        <f t="shared" si="41"/>
        <v>#REF!</v>
      </c>
      <c r="AB94" s="179" t="e">
        <f t="shared" si="41"/>
        <v>#REF!</v>
      </c>
      <c r="AC94" s="179" t="e">
        <f t="shared" si="41"/>
        <v>#REF!</v>
      </c>
      <c r="AD94" s="179" t="e">
        <f t="shared" si="41"/>
        <v>#REF!</v>
      </c>
      <c r="AE94" s="179" t="e">
        <f t="shared" si="41"/>
        <v>#REF!</v>
      </c>
      <c r="AF94" s="179" t="e">
        <f t="shared" si="41"/>
        <v>#REF!</v>
      </c>
      <c r="AG94" s="179" t="e">
        <f t="shared" si="41"/>
        <v>#REF!</v>
      </c>
    </row>
    <row r="95" spans="1:35">
      <c r="A95" s="173" t="s">
        <v>315</v>
      </c>
      <c r="B95" s="173" t="s">
        <v>313</v>
      </c>
      <c r="C95" s="179" t="e">
        <f t="shared" si="41"/>
        <v>#REF!</v>
      </c>
      <c r="D95" s="179" t="e">
        <f t="shared" si="41"/>
        <v>#REF!</v>
      </c>
      <c r="E95" s="179" t="e">
        <f t="shared" si="41"/>
        <v>#REF!</v>
      </c>
      <c r="F95" s="179" t="e">
        <f t="shared" si="41"/>
        <v>#REF!</v>
      </c>
      <c r="G95" s="179" t="e">
        <f t="shared" si="41"/>
        <v>#REF!</v>
      </c>
      <c r="H95" s="179" t="e">
        <f t="shared" si="41"/>
        <v>#REF!</v>
      </c>
      <c r="I95" s="179" t="e">
        <f t="shared" si="41"/>
        <v>#REF!</v>
      </c>
      <c r="J95" s="179" t="e">
        <f t="shared" si="41"/>
        <v>#REF!</v>
      </c>
      <c r="K95" s="179" t="e">
        <f t="shared" si="41"/>
        <v>#REF!</v>
      </c>
      <c r="L95" s="179" t="e">
        <f t="shared" si="41"/>
        <v>#REF!</v>
      </c>
      <c r="M95" s="179" t="e">
        <f t="shared" si="41"/>
        <v>#REF!</v>
      </c>
      <c r="N95" s="179" t="e">
        <f t="shared" si="41"/>
        <v>#REF!</v>
      </c>
      <c r="O95" s="179" t="e">
        <f t="shared" si="41"/>
        <v>#REF!</v>
      </c>
      <c r="P95" s="179" t="e">
        <f t="shared" si="41"/>
        <v>#REF!</v>
      </c>
      <c r="Q95" s="179" t="e">
        <f t="shared" si="41"/>
        <v>#REF!</v>
      </c>
      <c r="R95" s="179" t="e">
        <f t="shared" si="41"/>
        <v>#REF!</v>
      </c>
      <c r="S95" s="179" t="e">
        <f t="shared" si="41"/>
        <v>#REF!</v>
      </c>
      <c r="T95" s="179" t="e">
        <f t="shared" si="41"/>
        <v>#REF!</v>
      </c>
      <c r="U95" s="179" t="e">
        <f t="shared" si="41"/>
        <v>#REF!</v>
      </c>
      <c r="V95" s="179" t="e">
        <f t="shared" si="41"/>
        <v>#REF!</v>
      </c>
      <c r="W95" s="179" t="e">
        <f t="shared" si="41"/>
        <v>#REF!</v>
      </c>
      <c r="X95" s="179" t="e">
        <f t="shared" si="41"/>
        <v>#REF!</v>
      </c>
      <c r="Y95" s="179" t="e">
        <f t="shared" si="41"/>
        <v>#REF!</v>
      </c>
      <c r="Z95" s="179" t="e">
        <f t="shared" si="41"/>
        <v>#REF!</v>
      </c>
      <c r="AA95" s="179" t="e">
        <f t="shared" si="41"/>
        <v>#REF!</v>
      </c>
      <c r="AB95" s="179" t="e">
        <f t="shared" si="41"/>
        <v>#REF!</v>
      </c>
      <c r="AC95" s="179" t="e">
        <f t="shared" si="41"/>
        <v>#REF!</v>
      </c>
      <c r="AD95" s="179" t="e">
        <f t="shared" si="41"/>
        <v>#REF!</v>
      </c>
      <c r="AE95" s="179" t="e">
        <f t="shared" si="41"/>
        <v>#REF!</v>
      </c>
      <c r="AF95" s="179" t="e">
        <f t="shared" si="41"/>
        <v>#REF!</v>
      </c>
      <c r="AG95" s="179" t="e">
        <f t="shared" si="41"/>
        <v>#REF!</v>
      </c>
    </row>
    <row r="96" spans="1:35">
      <c r="A96" s="173" t="str">
        <f>A89</f>
        <v>Maintenance</v>
      </c>
      <c r="B96" s="173" t="s">
        <v>313</v>
      </c>
      <c r="C96" s="179" t="e">
        <f t="shared" si="41"/>
        <v>#REF!</v>
      </c>
      <c r="D96" s="179" t="e">
        <f t="shared" si="41"/>
        <v>#REF!</v>
      </c>
      <c r="E96" s="179" t="e">
        <f t="shared" si="41"/>
        <v>#REF!</v>
      </c>
      <c r="F96" s="179" t="e">
        <f t="shared" si="41"/>
        <v>#REF!</v>
      </c>
      <c r="G96" s="179" t="e">
        <f t="shared" si="41"/>
        <v>#REF!</v>
      </c>
      <c r="H96" s="179" t="e">
        <f t="shared" si="41"/>
        <v>#REF!</v>
      </c>
      <c r="I96" s="179" t="e">
        <f t="shared" si="41"/>
        <v>#REF!</v>
      </c>
      <c r="J96" s="179" t="e">
        <f t="shared" si="41"/>
        <v>#REF!</v>
      </c>
      <c r="K96" s="179" t="e">
        <f t="shared" si="41"/>
        <v>#REF!</v>
      </c>
      <c r="L96" s="179" t="e">
        <f t="shared" si="41"/>
        <v>#REF!</v>
      </c>
      <c r="M96" s="179" t="e">
        <f t="shared" si="41"/>
        <v>#REF!</v>
      </c>
      <c r="N96" s="179" t="e">
        <f t="shared" si="41"/>
        <v>#REF!</v>
      </c>
      <c r="O96" s="179" t="e">
        <f t="shared" si="41"/>
        <v>#REF!</v>
      </c>
      <c r="P96" s="179" t="e">
        <f t="shared" si="41"/>
        <v>#REF!</v>
      </c>
      <c r="Q96" s="179" t="e">
        <f t="shared" si="41"/>
        <v>#REF!</v>
      </c>
      <c r="R96" s="179" t="e">
        <f t="shared" si="41"/>
        <v>#REF!</v>
      </c>
      <c r="S96" s="179" t="e">
        <f t="shared" si="41"/>
        <v>#REF!</v>
      </c>
      <c r="T96" s="179" t="e">
        <f t="shared" si="41"/>
        <v>#REF!</v>
      </c>
      <c r="U96" s="179" t="e">
        <f t="shared" si="41"/>
        <v>#REF!</v>
      </c>
      <c r="V96" s="179" t="e">
        <f t="shared" si="41"/>
        <v>#REF!</v>
      </c>
      <c r="W96" s="179" t="e">
        <f t="shared" si="41"/>
        <v>#REF!</v>
      </c>
      <c r="X96" s="179" t="e">
        <f t="shared" si="41"/>
        <v>#REF!</v>
      </c>
      <c r="Y96" s="179" t="e">
        <f t="shared" si="41"/>
        <v>#REF!</v>
      </c>
      <c r="Z96" s="179" t="e">
        <f t="shared" si="41"/>
        <v>#REF!</v>
      </c>
      <c r="AA96" s="179" t="e">
        <f t="shared" si="41"/>
        <v>#REF!</v>
      </c>
      <c r="AB96" s="179" t="e">
        <f t="shared" si="41"/>
        <v>#REF!</v>
      </c>
      <c r="AC96" s="179" t="e">
        <f t="shared" si="41"/>
        <v>#REF!</v>
      </c>
      <c r="AD96" s="179" t="e">
        <f t="shared" si="41"/>
        <v>#REF!</v>
      </c>
      <c r="AE96" s="179" t="e">
        <f t="shared" si="41"/>
        <v>#REF!</v>
      </c>
      <c r="AF96" s="179" t="e">
        <f t="shared" si="41"/>
        <v>#REF!</v>
      </c>
      <c r="AG96" s="179" t="e">
        <f t="shared" si="41"/>
        <v>#REF!</v>
      </c>
    </row>
    <row r="97" spans="1:33">
      <c r="A97" s="173" t="str">
        <f>A90</f>
        <v>Toll Tax</v>
      </c>
      <c r="B97" s="173" t="s">
        <v>313</v>
      </c>
      <c r="C97" s="179" t="e">
        <f t="shared" si="41"/>
        <v>#REF!</v>
      </c>
      <c r="D97" s="179" t="e">
        <f t="shared" si="41"/>
        <v>#REF!</v>
      </c>
      <c r="E97" s="179" t="e">
        <f t="shared" si="41"/>
        <v>#REF!</v>
      </c>
      <c r="F97" s="179" t="e">
        <f t="shared" si="41"/>
        <v>#REF!</v>
      </c>
      <c r="G97" s="179" t="e">
        <f t="shared" si="41"/>
        <v>#REF!</v>
      </c>
      <c r="H97" s="179" t="e">
        <f t="shared" si="41"/>
        <v>#REF!</v>
      </c>
      <c r="I97" s="179" t="e">
        <f t="shared" si="41"/>
        <v>#REF!</v>
      </c>
      <c r="J97" s="179" t="e">
        <f t="shared" si="41"/>
        <v>#REF!</v>
      </c>
      <c r="K97" s="179" t="e">
        <f t="shared" si="41"/>
        <v>#REF!</v>
      </c>
      <c r="L97" s="179" t="e">
        <f t="shared" si="41"/>
        <v>#REF!</v>
      </c>
      <c r="M97" s="179" t="e">
        <f t="shared" si="41"/>
        <v>#REF!</v>
      </c>
      <c r="N97" s="179" t="e">
        <f t="shared" si="41"/>
        <v>#REF!</v>
      </c>
      <c r="O97" s="179" t="e">
        <f t="shared" si="41"/>
        <v>#REF!</v>
      </c>
      <c r="P97" s="179" t="e">
        <f t="shared" si="41"/>
        <v>#REF!</v>
      </c>
      <c r="Q97" s="179" t="e">
        <f t="shared" si="41"/>
        <v>#REF!</v>
      </c>
      <c r="R97" s="179" t="e">
        <f t="shared" si="41"/>
        <v>#REF!</v>
      </c>
      <c r="S97" s="179" t="e">
        <f t="shared" si="41"/>
        <v>#REF!</v>
      </c>
      <c r="T97" s="179" t="e">
        <f t="shared" si="41"/>
        <v>#REF!</v>
      </c>
      <c r="U97" s="179" t="e">
        <f t="shared" si="41"/>
        <v>#REF!</v>
      </c>
      <c r="V97" s="179" t="e">
        <f t="shared" si="41"/>
        <v>#REF!</v>
      </c>
      <c r="W97" s="179" t="e">
        <f t="shared" si="41"/>
        <v>#REF!</v>
      </c>
      <c r="X97" s="179" t="e">
        <f t="shared" si="41"/>
        <v>#REF!</v>
      </c>
      <c r="Y97" s="179" t="e">
        <f t="shared" si="41"/>
        <v>#REF!</v>
      </c>
      <c r="Z97" s="179" t="e">
        <f t="shared" si="41"/>
        <v>#REF!</v>
      </c>
      <c r="AA97" s="179" t="e">
        <f t="shared" si="41"/>
        <v>#REF!</v>
      </c>
      <c r="AB97" s="179" t="e">
        <f t="shared" si="41"/>
        <v>#REF!</v>
      </c>
      <c r="AC97" s="179" t="e">
        <f t="shared" si="41"/>
        <v>#REF!</v>
      </c>
      <c r="AD97" s="179" t="e">
        <f t="shared" si="41"/>
        <v>#REF!</v>
      </c>
      <c r="AE97" s="179" t="e">
        <f t="shared" si="41"/>
        <v>#REF!</v>
      </c>
      <c r="AF97" s="179" t="e">
        <f t="shared" si="41"/>
        <v>#REF!</v>
      </c>
      <c r="AG97" s="179" t="e">
        <f t="shared" si="41"/>
        <v>#REF!</v>
      </c>
    </row>
    <row r="98" spans="1:33">
      <c r="A98" s="173" t="s">
        <v>319</v>
      </c>
      <c r="B98" s="173" t="s">
        <v>313</v>
      </c>
      <c r="C98" s="179" t="e">
        <f t="shared" si="41"/>
        <v>#REF!</v>
      </c>
      <c r="D98" s="179" t="e">
        <f t="shared" si="41"/>
        <v>#REF!</v>
      </c>
      <c r="E98" s="179" t="e">
        <f t="shared" si="41"/>
        <v>#REF!</v>
      </c>
      <c r="F98" s="179" t="e">
        <f t="shared" si="41"/>
        <v>#REF!</v>
      </c>
      <c r="G98" s="179" t="e">
        <f t="shared" si="41"/>
        <v>#REF!</v>
      </c>
      <c r="H98" s="179" t="e">
        <f t="shared" si="41"/>
        <v>#REF!</v>
      </c>
      <c r="I98" s="179" t="e">
        <f t="shared" si="41"/>
        <v>#REF!</v>
      </c>
      <c r="J98" s="179" t="e">
        <f t="shared" si="41"/>
        <v>#REF!</v>
      </c>
      <c r="K98" s="179" t="e">
        <f t="shared" si="41"/>
        <v>#REF!</v>
      </c>
      <c r="L98" s="179" t="e">
        <f t="shared" si="41"/>
        <v>#REF!</v>
      </c>
      <c r="M98" s="179" t="e">
        <f t="shared" si="41"/>
        <v>#REF!</v>
      </c>
      <c r="N98" s="179" t="e">
        <f t="shared" si="41"/>
        <v>#REF!</v>
      </c>
      <c r="O98" s="179" t="e">
        <f t="shared" si="41"/>
        <v>#REF!</v>
      </c>
      <c r="P98" s="179" t="e">
        <f t="shared" si="41"/>
        <v>#REF!</v>
      </c>
      <c r="Q98" s="179" t="e">
        <f t="shared" si="41"/>
        <v>#REF!</v>
      </c>
      <c r="R98" s="179" t="e">
        <f t="shared" si="41"/>
        <v>#REF!</v>
      </c>
      <c r="S98" s="179" t="e">
        <f t="shared" si="41"/>
        <v>#REF!</v>
      </c>
      <c r="T98" s="179" t="e">
        <f t="shared" si="41"/>
        <v>#REF!</v>
      </c>
      <c r="U98" s="179" t="e">
        <f t="shared" si="41"/>
        <v>#REF!</v>
      </c>
      <c r="V98" s="179" t="e">
        <f t="shared" si="41"/>
        <v>#REF!</v>
      </c>
      <c r="W98" s="179" t="e">
        <f t="shared" si="41"/>
        <v>#REF!</v>
      </c>
      <c r="X98" s="179" t="e">
        <f t="shared" si="41"/>
        <v>#REF!</v>
      </c>
      <c r="Y98" s="179" t="e">
        <f t="shared" si="41"/>
        <v>#REF!</v>
      </c>
      <c r="Z98" s="179" t="e">
        <f t="shared" si="41"/>
        <v>#REF!</v>
      </c>
      <c r="AA98" s="179" t="e">
        <f t="shared" si="41"/>
        <v>#REF!</v>
      </c>
      <c r="AB98" s="179" t="e">
        <f t="shared" si="41"/>
        <v>#REF!</v>
      </c>
      <c r="AC98" s="179" t="e">
        <f t="shared" si="41"/>
        <v>#REF!</v>
      </c>
      <c r="AD98" s="179" t="e">
        <f t="shared" si="41"/>
        <v>#REF!</v>
      </c>
      <c r="AE98" s="179" t="e">
        <f t="shared" si="41"/>
        <v>#REF!</v>
      </c>
      <c r="AF98" s="179" t="e">
        <f t="shared" si="41"/>
        <v>#REF!</v>
      </c>
      <c r="AG98" s="179" t="e">
        <f t="shared" si="41"/>
        <v>#REF!</v>
      </c>
    </row>
    <row r="99" spans="1:33" s="247" customFormat="1" ht="11.85" customHeight="1">
      <c r="A99" s="270" t="s">
        <v>320</v>
      </c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</row>
    <row r="100" spans="1:33">
      <c r="A100" s="173" t="s">
        <v>312</v>
      </c>
      <c r="B100" s="173" t="s">
        <v>300</v>
      </c>
      <c r="C100" s="179" t="e">
        <f t="shared" ref="C100:AG100" si="42">C93/($C$28*$C$27)</f>
        <v>#REF!</v>
      </c>
      <c r="D100" s="179" t="e">
        <f t="shared" si="42"/>
        <v>#REF!</v>
      </c>
      <c r="E100" s="179" t="e">
        <f t="shared" si="42"/>
        <v>#REF!</v>
      </c>
      <c r="F100" s="179" t="e">
        <f t="shared" si="42"/>
        <v>#REF!</v>
      </c>
      <c r="G100" s="179" t="e">
        <f t="shared" si="42"/>
        <v>#REF!</v>
      </c>
      <c r="H100" s="179" t="e">
        <f t="shared" si="42"/>
        <v>#REF!</v>
      </c>
      <c r="I100" s="179" t="e">
        <f t="shared" si="42"/>
        <v>#REF!</v>
      </c>
      <c r="J100" s="179" t="e">
        <f t="shared" si="42"/>
        <v>#REF!</v>
      </c>
      <c r="K100" s="179" t="e">
        <f t="shared" si="42"/>
        <v>#REF!</v>
      </c>
      <c r="L100" s="179" t="e">
        <f t="shared" si="42"/>
        <v>#REF!</v>
      </c>
      <c r="M100" s="179" t="e">
        <f t="shared" si="42"/>
        <v>#REF!</v>
      </c>
      <c r="N100" s="179" t="e">
        <f t="shared" si="42"/>
        <v>#REF!</v>
      </c>
      <c r="O100" s="179" t="e">
        <f t="shared" si="42"/>
        <v>#REF!</v>
      </c>
      <c r="P100" s="179" t="e">
        <f t="shared" si="42"/>
        <v>#REF!</v>
      </c>
      <c r="Q100" s="179" t="e">
        <f t="shared" si="42"/>
        <v>#REF!</v>
      </c>
      <c r="R100" s="179" t="e">
        <f t="shared" si="42"/>
        <v>#REF!</v>
      </c>
      <c r="S100" s="179" t="e">
        <f t="shared" si="42"/>
        <v>#REF!</v>
      </c>
      <c r="T100" s="179" t="e">
        <f t="shared" si="42"/>
        <v>#REF!</v>
      </c>
      <c r="U100" s="179" t="e">
        <f t="shared" si="42"/>
        <v>#REF!</v>
      </c>
      <c r="V100" s="179" t="e">
        <f t="shared" si="42"/>
        <v>#REF!</v>
      </c>
      <c r="W100" s="179" t="e">
        <f t="shared" si="42"/>
        <v>#REF!</v>
      </c>
      <c r="X100" s="179" t="e">
        <f t="shared" si="42"/>
        <v>#REF!</v>
      </c>
      <c r="Y100" s="179" t="e">
        <f t="shared" si="42"/>
        <v>#REF!</v>
      </c>
      <c r="Z100" s="179" t="e">
        <f t="shared" si="42"/>
        <v>#REF!</v>
      </c>
      <c r="AA100" s="179" t="e">
        <f t="shared" si="42"/>
        <v>#REF!</v>
      </c>
      <c r="AB100" s="179" t="e">
        <f t="shared" si="42"/>
        <v>#REF!</v>
      </c>
      <c r="AC100" s="179" t="e">
        <f t="shared" si="42"/>
        <v>#REF!</v>
      </c>
      <c r="AD100" s="179" t="e">
        <f t="shared" si="42"/>
        <v>#REF!</v>
      </c>
      <c r="AE100" s="179" t="e">
        <f t="shared" si="42"/>
        <v>#REF!</v>
      </c>
      <c r="AF100" s="179" t="e">
        <f t="shared" si="42"/>
        <v>#REF!</v>
      </c>
      <c r="AG100" s="179" t="e">
        <f t="shared" si="42"/>
        <v>#REF!</v>
      </c>
    </row>
    <row r="101" spans="1:33">
      <c r="A101" s="173" t="s">
        <v>321</v>
      </c>
      <c r="B101" s="173" t="s">
        <v>300</v>
      </c>
      <c r="C101" s="179" t="e">
        <f t="shared" ref="C101:AG101" si="43">(C94+C95)/($C$28*$C$27)</f>
        <v>#REF!</v>
      </c>
      <c r="D101" s="179" t="e">
        <f t="shared" si="43"/>
        <v>#REF!</v>
      </c>
      <c r="E101" s="179" t="e">
        <f t="shared" si="43"/>
        <v>#REF!</v>
      </c>
      <c r="F101" s="179" t="e">
        <f t="shared" si="43"/>
        <v>#REF!</v>
      </c>
      <c r="G101" s="179" t="e">
        <f t="shared" si="43"/>
        <v>#REF!</v>
      </c>
      <c r="H101" s="179" t="e">
        <f t="shared" si="43"/>
        <v>#REF!</v>
      </c>
      <c r="I101" s="179" t="e">
        <f t="shared" si="43"/>
        <v>#REF!</v>
      </c>
      <c r="J101" s="179" t="e">
        <f t="shared" si="43"/>
        <v>#REF!</v>
      </c>
      <c r="K101" s="179" t="e">
        <f t="shared" si="43"/>
        <v>#REF!</v>
      </c>
      <c r="L101" s="179" t="e">
        <f t="shared" si="43"/>
        <v>#REF!</v>
      </c>
      <c r="M101" s="179" t="e">
        <f t="shared" si="43"/>
        <v>#REF!</v>
      </c>
      <c r="N101" s="179" t="e">
        <f t="shared" si="43"/>
        <v>#REF!</v>
      </c>
      <c r="O101" s="179" t="e">
        <f t="shared" si="43"/>
        <v>#REF!</v>
      </c>
      <c r="P101" s="179" t="e">
        <f t="shared" si="43"/>
        <v>#REF!</v>
      </c>
      <c r="Q101" s="179" t="e">
        <f t="shared" si="43"/>
        <v>#REF!</v>
      </c>
      <c r="R101" s="179" t="e">
        <f t="shared" si="43"/>
        <v>#REF!</v>
      </c>
      <c r="S101" s="179" t="e">
        <f t="shared" si="43"/>
        <v>#REF!</v>
      </c>
      <c r="T101" s="179" t="e">
        <f t="shared" si="43"/>
        <v>#REF!</v>
      </c>
      <c r="U101" s="179" t="e">
        <f t="shared" si="43"/>
        <v>#REF!</v>
      </c>
      <c r="V101" s="179" t="e">
        <f t="shared" si="43"/>
        <v>#REF!</v>
      </c>
      <c r="W101" s="179" t="e">
        <f t="shared" si="43"/>
        <v>#REF!</v>
      </c>
      <c r="X101" s="179" t="e">
        <f t="shared" si="43"/>
        <v>#REF!</v>
      </c>
      <c r="Y101" s="179" t="e">
        <f t="shared" si="43"/>
        <v>#REF!</v>
      </c>
      <c r="Z101" s="179" t="e">
        <f t="shared" si="43"/>
        <v>#REF!</v>
      </c>
      <c r="AA101" s="179" t="e">
        <f t="shared" si="43"/>
        <v>#REF!</v>
      </c>
      <c r="AB101" s="179" t="e">
        <f t="shared" si="43"/>
        <v>#REF!</v>
      </c>
      <c r="AC101" s="179" t="e">
        <f t="shared" si="43"/>
        <v>#REF!</v>
      </c>
      <c r="AD101" s="179" t="e">
        <f t="shared" si="43"/>
        <v>#REF!</v>
      </c>
      <c r="AE101" s="179" t="e">
        <f t="shared" si="43"/>
        <v>#REF!</v>
      </c>
      <c r="AF101" s="179" t="e">
        <f t="shared" si="43"/>
        <v>#REF!</v>
      </c>
      <c r="AG101" s="179" t="e">
        <f t="shared" si="43"/>
        <v>#REF!</v>
      </c>
    </row>
    <row r="102" spans="1:33">
      <c r="A102" s="173" t="s">
        <v>322</v>
      </c>
      <c r="B102" s="173" t="s">
        <v>300</v>
      </c>
      <c r="C102" s="179" t="e">
        <f t="shared" ref="C102:AG102" si="44">(C96+C98+C70)/($C$28*$C$27)+C63</f>
        <v>#REF!</v>
      </c>
      <c r="D102" s="179" t="e">
        <f t="shared" si="44"/>
        <v>#REF!</v>
      </c>
      <c r="E102" s="179" t="e">
        <f t="shared" si="44"/>
        <v>#REF!</v>
      </c>
      <c r="F102" s="179" t="e">
        <f t="shared" si="44"/>
        <v>#REF!</v>
      </c>
      <c r="G102" s="179" t="e">
        <f t="shared" si="44"/>
        <v>#REF!</v>
      </c>
      <c r="H102" s="179" t="e">
        <f t="shared" si="44"/>
        <v>#REF!</v>
      </c>
      <c r="I102" s="179" t="e">
        <f t="shared" si="44"/>
        <v>#REF!</v>
      </c>
      <c r="J102" s="179" t="e">
        <f t="shared" si="44"/>
        <v>#REF!</v>
      </c>
      <c r="K102" s="179" t="e">
        <f t="shared" si="44"/>
        <v>#REF!</v>
      </c>
      <c r="L102" s="179" t="e">
        <f t="shared" si="44"/>
        <v>#REF!</v>
      </c>
      <c r="M102" s="179" t="e">
        <f t="shared" si="44"/>
        <v>#REF!</v>
      </c>
      <c r="N102" s="179" t="e">
        <f t="shared" si="44"/>
        <v>#REF!</v>
      </c>
      <c r="O102" s="179" t="e">
        <f t="shared" si="44"/>
        <v>#REF!</v>
      </c>
      <c r="P102" s="179" t="e">
        <f t="shared" si="44"/>
        <v>#REF!</v>
      </c>
      <c r="Q102" s="179" t="e">
        <f t="shared" si="44"/>
        <v>#REF!</v>
      </c>
      <c r="R102" s="179" t="e">
        <f t="shared" si="44"/>
        <v>#REF!</v>
      </c>
      <c r="S102" s="179" t="e">
        <f t="shared" si="44"/>
        <v>#REF!</v>
      </c>
      <c r="T102" s="179" t="e">
        <f t="shared" si="44"/>
        <v>#REF!</v>
      </c>
      <c r="U102" s="179" t="e">
        <f t="shared" si="44"/>
        <v>#REF!</v>
      </c>
      <c r="V102" s="179" t="e">
        <f t="shared" si="44"/>
        <v>#REF!</v>
      </c>
      <c r="W102" s="179" t="e">
        <f t="shared" si="44"/>
        <v>#REF!</v>
      </c>
      <c r="X102" s="179" t="e">
        <f t="shared" si="44"/>
        <v>#REF!</v>
      </c>
      <c r="Y102" s="179" t="e">
        <f t="shared" si="44"/>
        <v>#REF!</v>
      </c>
      <c r="Z102" s="179" t="e">
        <f t="shared" si="44"/>
        <v>#REF!</v>
      </c>
      <c r="AA102" s="179" t="e">
        <f t="shared" si="44"/>
        <v>#REF!</v>
      </c>
      <c r="AB102" s="179" t="e">
        <f t="shared" si="44"/>
        <v>#REF!</v>
      </c>
      <c r="AC102" s="179" t="e">
        <f t="shared" si="44"/>
        <v>#REF!</v>
      </c>
      <c r="AD102" s="179" t="e">
        <f t="shared" si="44"/>
        <v>#REF!</v>
      </c>
      <c r="AE102" s="179" t="e">
        <f t="shared" si="44"/>
        <v>#REF!</v>
      </c>
      <c r="AF102" s="179" t="e">
        <f t="shared" si="44"/>
        <v>#REF!</v>
      </c>
      <c r="AG102" s="179" t="e">
        <f t="shared" si="44"/>
        <v>#REF!</v>
      </c>
    </row>
    <row r="103" spans="1:33">
      <c r="C103" s="271" t="e">
        <f t="shared" ref="C103:AB103" si="45">SUM(C100:C102)</f>
        <v>#REF!</v>
      </c>
      <c r="D103" s="271" t="e">
        <f t="shared" si="45"/>
        <v>#REF!</v>
      </c>
      <c r="E103" s="271" t="e">
        <f t="shared" si="45"/>
        <v>#REF!</v>
      </c>
      <c r="F103" s="271" t="e">
        <f t="shared" si="45"/>
        <v>#REF!</v>
      </c>
      <c r="G103" s="271" t="e">
        <f t="shared" si="45"/>
        <v>#REF!</v>
      </c>
      <c r="H103" s="271" t="e">
        <f t="shared" si="45"/>
        <v>#REF!</v>
      </c>
      <c r="I103" s="271" t="e">
        <f t="shared" si="45"/>
        <v>#REF!</v>
      </c>
      <c r="J103" s="271" t="e">
        <f t="shared" si="45"/>
        <v>#REF!</v>
      </c>
      <c r="K103" s="271" t="e">
        <f t="shared" si="45"/>
        <v>#REF!</v>
      </c>
      <c r="L103" s="271" t="e">
        <f t="shared" si="45"/>
        <v>#REF!</v>
      </c>
      <c r="M103" s="271" t="e">
        <f t="shared" si="45"/>
        <v>#REF!</v>
      </c>
      <c r="N103" s="271" t="e">
        <f t="shared" si="45"/>
        <v>#REF!</v>
      </c>
      <c r="O103" s="271" t="e">
        <f t="shared" si="45"/>
        <v>#REF!</v>
      </c>
      <c r="P103" s="271" t="e">
        <f t="shared" si="45"/>
        <v>#REF!</v>
      </c>
      <c r="Q103" s="271" t="e">
        <f t="shared" si="45"/>
        <v>#REF!</v>
      </c>
      <c r="R103" s="271" t="e">
        <f t="shared" si="45"/>
        <v>#REF!</v>
      </c>
      <c r="S103" s="271" t="e">
        <f t="shared" si="45"/>
        <v>#REF!</v>
      </c>
      <c r="T103" s="271" t="e">
        <f t="shared" si="45"/>
        <v>#REF!</v>
      </c>
      <c r="U103" s="271" t="e">
        <f t="shared" si="45"/>
        <v>#REF!</v>
      </c>
      <c r="V103" s="271" t="e">
        <f t="shared" si="45"/>
        <v>#REF!</v>
      </c>
      <c r="W103" s="271" t="e">
        <f t="shared" si="45"/>
        <v>#REF!</v>
      </c>
      <c r="X103" s="271" t="e">
        <f t="shared" si="45"/>
        <v>#REF!</v>
      </c>
      <c r="Y103" s="271" t="e">
        <f t="shared" si="45"/>
        <v>#REF!</v>
      </c>
      <c r="Z103" s="271" t="e">
        <f t="shared" si="45"/>
        <v>#REF!</v>
      </c>
      <c r="AA103" s="271" t="e">
        <f t="shared" si="45"/>
        <v>#REF!</v>
      </c>
      <c r="AB103" s="271" t="e">
        <f t="shared" si="45"/>
        <v>#REF!</v>
      </c>
      <c r="AC103" s="271" t="e">
        <f t="shared" ref="AC103:AG103" si="46">SUM(AC100:AC102)</f>
        <v>#REF!</v>
      </c>
      <c r="AD103" s="271" t="e">
        <f t="shared" si="46"/>
        <v>#REF!</v>
      </c>
      <c r="AE103" s="271" t="e">
        <f t="shared" si="46"/>
        <v>#REF!</v>
      </c>
      <c r="AF103" s="271" t="e">
        <f t="shared" si="46"/>
        <v>#REF!</v>
      </c>
      <c r="AG103" s="271" t="e">
        <f t="shared" si="46"/>
        <v>#REF!</v>
      </c>
    </row>
    <row r="104" spans="1:33" s="225" customFormat="1">
      <c r="A104" s="223" t="s">
        <v>179</v>
      </c>
      <c r="B104" s="223"/>
      <c r="H104" s="272" t="e">
        <f>H107/K69</f>
        <v>#REF!</v>
      </c>
      <c r="AB104" s="272" t="e">
        <f>AB107/AE69</f>
        <v>#REF!</v>
      </c>
    </row>
    <row r="105" spans="1:33">
      <c r="A105" s="235" t="s">
        <v>41</v>
      </c>
      <c r="B105" s="235"/>
      <c r="C105" s="235">
        <v>2025</v>
      </c>
      <c r="D105" s="235">
        <f t="shared" ref="D105:AG105" si="47">C105+1</f>
        <v>2026</v>
      </c>
      <c r="E105" s="235">
        <f t="shared" si="47"/>
        <v>2027</v>
      </c>
      <c r="F105" s="235">
        <f t="shared" si="47"/>
        <v>2028</v>
      </c>
      <c r="G105" s="235">
        <f t="shared" si="47"/>
        <v>2029</v>
      </c>
      <c r="H105" s="235">
        <f t="shared" si="47"/>
        <v>2030</v>
      </c>
      <c r="I105" s="235">
        <f t="shared" si="47"/>
        <v>2031</v>
      </c>
      <c r="J105" s="235">
        <f t="shared" si="47"/>
        <v>2032</v>
      </c>
      <c r="K105" s="235">
        <f t="shared" si="47"/>
        <v>2033</v>
      </c>
      <c r="L105" s="235">
        <f t="shared" si="47"/>
        <v>2034</v>
      </c>
      <c r="M105" s="235">
        <f t="shared" si="47"/>
        <v>2035</v>
      </c>
      <c r="N105" s="235">
        <f t="shared" si="47"/>
        <v>2036</v>
      </c>
      <c r="O105" s="235">
        <f t="shared" si="47"/>
        <v>2037</v>
      </c>
      <c r="P105" s="235">
        <f t="shared" si="47"/>
        <v>2038</v>
      </c>
      <c r="Q105" s="235">
        <f t="shared" si="47"/>
        <v>2039</v>
      </c>
      <c r="R105" s="235">
        <f t="shared" si="47"/>
        <v>2040</v>
      </c>
      <c r="S105" s="235">
        <f t="shared" si="47"/>
        <v>2041</v>
      </c>
      <c r="T105" s="235">
        <f t="shared" si="47"/>
        <v>2042</v>
      </c>
      <c r="U105" s="235">
        <f t="shared" si="47"/>
        <v>2043</v>
      </c>
      <c r="V105" s="235">
        <f t="shared" si="47"/>
        <v>2044</v>
      </c>
      <c r="W105" s="235">
        <f t="shared" si="47"/>
        <v>2045</v>
      </c>
      <c r="X105" s="235">
        <f t="shared" si="47"/>
        <v>2046</v>
      </c>
      <c r="Y105" s="235">
        <f t="shared" si="47"/>
        <v>2047</v>
      </c>
      <c r="Z105" s="235">
        <f t="shared" si="47"/>
        <v>2048</v>
      </c>
      <c r="AA105" s="235">
        <f t="shared" si="47"/>
        <v>2049</v>
      </c>
      <c r="AB105" s="235">
        <f t="shared" si="47"/>
        <v>2050</v>
      </c>
      <c r="AC105" s="235">
        <f t="shared" si="47"/>
        <v>2051</v>
      </c>
      <c r="AD105" s="235">
        <f t="shared" si="47"/>
        <v>2052</v>
      </c>
      <c r="AE105" s="235">
        <f t="shared" si="47"/>
        <v>2053</v>
      </c>
      <c r="AF105" s="235">
        <f t="shared" si="47"/>
        <v>2054</v>
      </c>
      <c r="AG105" s="235">
        <f t="shared" si="47"/>
        <v>2055</v>
      </c>
    </row>
    <row r="106" spans="1:33">
      <c r="A106" s="290" t="s">
        <v>415</v>
      </c>
      <c r="B106" s="173" t="s">
        <v>309</v>
      </c>
      <c r="C106" s="309" t="e">
        <f>#REF!</f>
        <v>#REF!</v>
      </c>
      <c r="D106" s="179" t="e">
        <f>ROUND((C106*(1+#REF!))/1000,0)*1000</f>
        <v>#REF!</v>
      </c>
      <c r="E106" s="179" t="e">
        <f>ROUND((D106*(1+#REF!))/1000,0)*1000</f>
        <v>#REF!</v>
      </c>
      <c r="F106" s="179" t="e">
        <f>ROUND((E106*(1+#REF!))/1000,0)*1000</f>
        <v>#REF!</v>
      </c>
      <c r="G106" s="179" t="e">
        <f>ROUND((F106*(1+#REF!))/1000,0)*1000</f>
        <v>#REF!</v>
      </c>
      <c r="H106" s="179" t="e">
        <f>ROUND((G106*(1+#REF!))/1000,0)*1000</f>
        <v>#REF!</v>
      </c>
      <c r="I106" s="179" t="e">
        <f>ROUND((H106*(1+#REF!))/1000,0)*1000</f>
        <v>#REF!</v>
      </c>
      <c r="J106" s="179" t="e">
        <f>ROUND((I106*(1+#REF!))/1000,0)*1000</f>
        <v>#REF!</v>
      </c>
      <c r="K106" s="179" t="e">
        <f>ROUND((J106*(1+#REF!))/1000,0)*1000</f>
        <v>#REF!</v>
      </c>
      <c r="L106" s="179" t="e">
        <f>ROUND((K106*(1+#REF!))/1000,0)*1000</f>
        <v>#REF!</v>
      </c>
      <c r="M106" s="179" t="e">
        <f>ROUND((L106*(1+#REF!))/1000,0)*1000</f>
        <v>#REF!</v>
      </c>
      <c r="N106" s="179" t="e">
        <f>ROUND((M106*(1+#REF!))/1000,0)*1000</f>
        <v>#REF!</v>
      </c>
      <c r="O106" s="179" t="e">
        <f>ROUND((N106*(1+#REF!))/1000,0)*1000</f>
        <v>#REF!</v>
      </c>
      <c r="P106" s="179" t="e">
        <f>ROUND((O106*(1+#REF!))/1000,0)*1000</f>
        <v>#REF!</v>
      </c>
      <c r="Q106" s="179" t="e">
        <f>ROUND((P106*(1+#REF!))/1000,0)*1000</f>
        <v>#REF!</v>
      </c>
      <c r="R106" s="179" t="e">
        <f>ROUND((Q106*(1+#REF!))/1000,0)*1000</f>
        <v>#REF!</v>
      </c>
      <c r="S106" s="179" t="e">
        <f>ROUND((R106*(1+#REF!))/1000,0)*1000</f>
        <v>#REF!</v>
      </c>
      <c r="T106" s="179" t="e">
        <f>ROUND((S106*(1+#REF!))/1000,0)*1000</f>
        <v>#REF!</v>
      </c>
      <c r="U106" s="179" t="e">
        <f>ROUND((T106*(1+#REF!))/1000,0)*1000</f>
        <v>#REF!</v>
      </c>
      <c r="V106" s="179" t="e">
        <f>ROUND((U106*(1+#REF!))/1000,0)*1000</f>
        <v>#REF!</v>
      </c>
      <c r="W106" s="179" t="e">
        <f>ROUND((V106*(1+#REF!))/1000,0)*1000</f>
        <v>#REF!</v>
      </c>
      <c r="X106" s="179" t="e">
        <f>ROUND((W106*(1+#REF!))/1000,0)*1000</f>
        <v>#REF!</v>
      </c>
      <c r="Y106" s="179" t="e">
        <f>ROUND((X106*(1+#REF!))/1000,0)*1000</f>
        <v>#REF!</v>
      </c>
      <c r="Z106" s="179" t="e">
        <f>ROUND((Y106*(1+#REF!))/1000,0)*1000</f>
        <v>#REF!</v>
      </c>
      <c r="AA106" s="179" t="e">
        <f>ROUND((Z106*(1+#REF!))/1000,0)*1000</f>
        <v>#REF!</v>
      </c>
      <c r="AB106" s="179" t="e">
        <f>ROUND((AA106*(1+#REF!))/1000,0)*1000</f>
        <v>#REF!</v>
      </c>
      <c r="AC106" s="179" t="e">
        <f>ROUND((AB106*(1+#REF!))/1000,0)*1000</f>
        <v>#REF!</v>
      </c>
      <c r="AD106" s="179" t="e">
        <f>ROUND((AC106*(1+#REF!))/1000,0)*1000</f>
        <v>#REF!</v>
      </c>
      <c r="AE106" s="179" t="e">
        <f>ROUND((AD106*(1+#REF!))/1000,0)*1000</f>
        <v>#REF!</v>
      </c>
      <c r="AF106" s="179" t="e">
        <f>ROUND((AE106*(1+#REF!))/1000,0)*1000</f>
        <v>#REF!</v>
      </c>
      <c r="AG106" s="179" t="e">
        <f>ROUND((AF106*(1+#REF!))/1000,0)*1000</f>
        <v>#REF!</v>
      </c>
    </row>
    <row r="107" spans="1:33">
      <c r="A107" s="290" t="s">
        <v>324</v>
      </c>
      <c r="B107" s="173" t="s">
        <v>309</v>
      </c>
      <c r="C107" s="309" t="e">
        <f>C86+C106</f>
        <v>#REF!</v>
      </c>
      <c r="D107" s="309" t="e">
        <f>D86+D106</f>
        <v>#REF!</v>
      </c>
      <c r="E107" s="309" t="e">
        <f>E86+E106</f>
        <v>#REF!</v>
      </c>
      <c r="F107" s="309" t="e">
        <f t="shared" ref="F107:AG107" si="48">F86+F106</f>
        <v>#REF!</v>
      </c>
      <c r="G107" s="309" t="e">
        <f t="shared" si="48"/>
        <v>#REF!</v>
      </c>
      <c r="H107" s="309" t="e">
        <f t="shared" si="48"/>
        <v>#REF!</v>
      </c>
      <c r="I107" s="309" t="e">
        <f t="shared" si="48"/>
        <v>#REF!</v>
      </c>
      <c r="J107" s="309" t="e">
        <f t="shared" si="48"/>
        <v>#REF!</v>
      </c>
      <c r="K107" s="309" t="e">
        <f t="shared" si="48"/>
        <v>#REF!</v>
      </c>
      <c r="L107" s="309" t="e">
        <f t="shared" si="48"/>
        <v>#REF!</v>
      </c>
      <c r="M107" s="309" t="e">
        <f t="shared" si="48"/>
        <v>#REF!</v>
      </c>
      <c r="N107" s="309" t="e">
        <f t="shared" si="48"/>
        <v>#REF!</v>
      </c>
      <c r="O107" s="309" t="e">
        <f t="shared" si="48"/>
        <v>#REF!</v>
      </c>
      <c r="P107" s="309" t="e">
        <f t="shared" si="48"/>
        <v>#REF!</v>
      </c>
      <c r="Q107" s="309" t="e">
        <f t="shared" si="48"/>
        <v>#REF!</v>
      </c>
      <c r="R107" s="309" t="e">
        <f t="shared" si="48"/>
        <v>#REF!</v>
      </c>
      <c r="S107" s="309" t="e">
        <f t="shared" si="48"/>
        <v>#REF!</v>
      </c>
      <c r="T107" s="309" t="e">
        <f t="shared" si="48"/>
        <v>#REF!</v>
      </c>
      <c r="U107" s="309" t="e">
        <f t="shared" si="48"/>
        <v>#REF!</v>
      </c>
      <c r="V107" s="309" t="e">
        <f t="shared" si="48"/>
        <v>#REF!</v>
      </c>
      <c r="W107" s="309" t="e">
        <f t="shared" si="48"/>
        <v>#REF!</v>
      </c>
      <c r="X107" s="309" t="e">
        <f t="shared" si="48"/>
        <v>#REF!</v>
      </c>
      <c r="Y107" s="309" t="e">
        <f t="shared" si="48"/>
        <v>#REF!</v>
      </c>
      <c r="Z107" s="309" t="e">
        <f t="shared" si="48"/>
        <v>#REF!</v>
      </c>
      <c r="AA107" s="309" t="e">
        <f t="shared" si="48"/>
        <v>#REF!</v>
      </c>
      <c r="AB107" s="309" t="e">
        <f t="shared" si="48"/>
        <v>#REF!</v>
      </c>
      <c r="AC107" s="309" t="e">
        <f t="shared" si="48"/>
        <v>#REF!</v>
      </c>
      <c r="AD107" s="309" t="e">
        <f t="shared" si="48"/>
        <v>#REF!</v>
      </c>
      <c r="AE107" s="309" t="e">
        <f t="shared" si="48"/>
        <v>#REF!</v>
      </c>
      <c r="AF107" s="309" t="e">
        <f t="shared" si="48"/>
        <v>#REF!</v>
      </c>
      <c r="AG107" s="309" t="e">
        <f t="shared" si="48"/>
        <v>#REF!</v>
      </c>
    </row>
    <row r="108" spans="1:33">
      <c r="A108" s="173" t="s">
        <v>321</v>
      </c>
      <c r="B108" s="173" t="s">
        <v>309</v>
      </c>
      <c r="C108" s="179" t="e">
        <f t="shared" ref="C108:AG108" si="49">C41*$D$82</f>
        <v>#REF!</v>
      </c>
      <c r="D108" s="179" t="e">
        <f t="shared" si="49"/>
        <v>#REF!</v>
      </c>
      <c r="E108" s="179" t="e">
        <f t="shared" si="49"/>
        <v>#REF!</v>
      </c>
      <c r="F108" s="179" t="e">
        <f t="shared" si="49"/>
        <v>#REF!</v>
      </c>
      <c r="G108" s="179" t="e">
        <f t="shared" si="49"/>
        <v>#REF!</v>
      </c>
      <c r="H108" s="179" t="e">
        <f t="shared" si="49"/>
        <v>#REF!</v>
      </c>
      <c r="I108" s="179" t="e">
        <f t="shared" si="49"/>
        <v>#REF!</v>
      </c>
      <c r="J108" s="179" t="e">
        <f t="shared" si="49"/>
        <v>#REF!</v>
      </c>
      <c r="K108" s="179" t="e">
        <f t="shared" si="49"/>
        <v>#REF!</v>
      </c>
      <c r="L108" s="179" t="e">
        <f t="shared" si="49"/>
        <v>#REF!</v>
      </c>
      <c r="M108" s="179" t="e">
        <f t="shared" si="49"/>
        <v>#REF!</v>
      </c>
      <c r="N108" s="179" t="e">
        <f t="shared" si="49"/>
        <v>#REF!</v>
      </c>
      <c r="O108" s="179" t="e">
        <f t="shared" si="49"/>
        <v>#REF!</v>
      </c>
      <c r="P108" s="179" t="e">
        <f t="shared" si="49"/>
        <v>#REF!</v>
      </c>
      <c r="Q108" s="179" t="e">
        <f t="shared" si="49"/>
        <v>#REF!</v>
      </c>
      <c r="R108" s="179" t="e">
        <f t="shared" si="49"/>
        <v>#REF!</v>
      </c>
      <c r="S108" s="179" t="e">
        <f t="shared" si="49"/>
        <v>#REF!</v>
      </c>
      <c r="T108" s="179" t="e">
        <f t="shared" si="49"/>
        <v>#REF!</v>
      </c>
      <c r="U108" s="179" t="e">
        <f t="shared" si="49"/>
        <v>#REF!</v>
      </c>
      <c r="V108" s="179" t="e">
        <f t="shared" si="49"/>
        <v>#REF!</v>
      </c>
      <c r="W108" s="179" t="e">
        <f t="shared" si="49"/>
        <v>#REF!</v>
      </c>
      <c r="X108" s="179" t="e">
        <f t="shared" si="49"/>
        <v>#REF!</v>
      </c>
      <c r="Y108" s="179" t="e">
        <f t="shared" si="49"/>
        <v>#REF!</v>
      </c>
      <c r="Z108" s="179" t="e">
        <f t="shared" si="49"/>
        <v>#REF!</v>
      </c>
      <c r="AA108" s="179" t="e">
        <f t="shared" si="49"/>
        <v>#REF!</v>
      </c>
      <c r="AB108" s="179" t="e">
        <f t="shared" si="49"/>
        <v>#REF!</v>
      </c>
      <c r="AC108" s="179" t="e">
        <f t="shared" si="49"/>
        <v>#REF!</v>
      </c>
      <c r="AD108" s="179" t="e">
        <f t="shared" si="49"/>
        <v>#REF!</v>
      </c>
      <c r="AE108" s="179" t="e">
        <f t="shared" si="49"/>
        <v>#REF!</v>
      </c>
      <c r="AF108" s="179" t="e">
        <f t="shared" si="49"/>
        <v>#REF!</v>
      </c>
      <c r="AG108" s="179" t="e">
        <f t="shared" si="49"/>
        <v>#REF!</v>
      </c>
    </row>
    <row r="109" spans="1:33">
      <c r="A109" s="173" t="s">
        <v>317</v>
      </c>
      <c r="B109" s="173" t="s">
        <v>309</v>
      </c>
      <c r="C109" s="179" t="e">
        <f t="shared" ref="C109:AG109" si="50">C66*$C$27*$C$28</f>
        <v>#REF!</v>
      </c>
      <c r="D109" s="179" t="e">
        <f t="shared" si="50"/>
        <v>#REF!</v>
      </c>
      <c r="E109" s="179" t="e">
        <f t="shared" si="50"/>
        <v>#REF!</v>
      </c>
      <c r="F109" s="179" t="e">
        <f t="shared" si="50"/>
        <v>#REF!</v>
      </c>
      <c r="G109" s="179" t="e">
        <f t="shared" si="50"/>
        <v>#REF!</v>
      </c>
      <c r="H109" s="179" t="e">
        <f t="shared" si="50"/>
        <v>#REF!</v>
      </c>
      <c r="I109" s="179" t="e">
        <f t="shared" si="50"/>
        <v>#REF!</v>
      </c>
      <c r="J109" s="179" t="e">
        <f t="shared" si="50"/>
        <v>#REF!</v>
      </c>
      <c r="K109" s="179" t="e">
        <f t="shared" si="50"/>
        <v>#REF!</v>
      </c>
      <c r="L109" s="179" t="e">
        <f t="shared" si="50"/>
        <v>#REF!</v>
      </c>
      <c r="M109" s="179" t="e">
        <f t="shared" si="50"/>
        <v>#REF!</v>
      </c>
      <c r="N109" s="179" t="e">
        <f t="shared" si="50"/>
        <v>#REF!</v>
      </c>
      <c r="O109" s="179" t="e">
        <f t="shared" si="50"/>
        <v>#REF!</v>
      </c>
      <c r="P109" s="179" t="e">
        <f t="shared" si="50"/>
        <v>#REF!</v>
      </c>
      <c r="Q109" s="179" t="e">
        <f t="shared" si="50"/>
        <v>#REF!</v>
      </c>
      <c r="R109" s="179" t="e">
        <f t="shared" si="50"/>
        <v>#REF!</v>
      </c>
      <c r="S109" s="179" t="e">
        <f t="shared" si="50"/>
        <v>#REF!</v>
      </c>
      <c r="T109" s="179" t="e">
        <f t="shared" si="50"/>
        <v>#REF!</v>
      </c>
      <c r="U109" s="179" t="e">
        <f t="shared" si="50"/>
        <v>#REF!</v>
      </c>
      <c r="V109" s="179" t="e">
        <f t="shared" si="50"/>
        <v>#REF!</v>
      </c>
      <c r="W109" s="179" t="e">
        <f t="shared" si="50"/>
        <v>#REF!</v>
      </c>
      <c r="X109" s="179" t="e">
        <f t="shared" si="50"/>
        <v>#REF!</v>
      </c>
      <c r="Y109" s="179" t="e">
        <f t="shared" si="50"/>
        <v>#REF!</v>
      </c>
      <c r="Z109" s="179" t="e">
        <f t="shared" si="50"/>
        <v>#REF!</v>
      </c>
      <c r="AA109" s="179" t="e">
        <f t="shared" si="50"/>
        <v>#REF!</v>
      </c>
      <c r="AB109" s="179" t="e">
        <f t="shared" si="50"/>
        <v>#REF!</v>
      </c>
      <c r="AC109" s="179" t="e">
        <f t="shared" si="50"/>
        <v>#REF!</v>
      </c>
      <c r="AD109" s="179" t="e">
        <f t="shared" si="50"/>
        <v>#REF!</v>
      </c>
      <c r="AE109" s="179" t="e">
        <f t="shared" si="50"/>
        <v>#REF!</v>
      </c>
      <c r="AF109" s="179" t="e">
        <f t="shared" si="50"/>
        <v>#REF!</v>
      </c>
      <c r="AG109" s="179" t="e">
        <f t="shared" si="50"/>
        <v>#REF!</v>
      </c>
    </row>
    <row r="110" spans="1:33">
      <c r="A110" s="173" t="s">
        <v>319</v>
      </c>
      <c r="B110" s="173" t="s">
        <v>309</v>
      </c>
      <c r="C110" s="179" t="e">
        <f t="shared" ref="C110:AG110" si="51">C107*$C$34</f>
        <v>#REF!</v>
      </c>
      <c r="D110" s="179" t="e">
        <f t="shared" si="51"/>
        <v>#REF!</v>
      </c>
      <c r="E110" s="179" t="e">
        <f t="shared" si="51"/>
        <v>#REF!</v>
      </c>
      <c r="F110" s="179" t="e">
        <f t="shared" si="51"/>
        <v>#REF!</v>
      </c>
      <c r="G110" s="179" t="e">
        <f t="shared" si="51"/>
        <v>#REF!</v>
      </c>
      <c r="H110" s="179" t="e">
        <f t="shared" si="51"/>
        <v>#REF!</v>
      </c>
      <c r="I110" s="179" t="e">
        <f t="shared" si="51"/>
        <v>#REF!</v>
      </c>
      <c r="J110" s="179" t="e">
        <f t="shared" si="51"/>
        <v>#REF!</v>
      </c>
      <c r="K110" s="179" t="e">
        <f t="shared" si="51"/>
        <v>#REF!</v>
      </c>
      <c r="L110" s="179" t="e">
        <f t="shared" si="51"/>
        <v>#REF!</v>
      </c>
      <c r="M110" s="179" t="e">
        <f t="shared" si="51"/>
        <v>#REF!</v>
      </c>
      <c r="N110" s="179" t="e">
        <f t="shared" si="51"/>
        <v>#REF!</v>
      </c>
      <c r="O110" s="179" t="e">
        <f t="shared" si="51"/>
        <v>#REF!</v>
      </c>
      <c r="P110" s="179" t="e">
        <f t="shared" si="51"/>
        <v>#REF!</v>
      </c>
      <c r="Q110" s="179" t="e">
        <f t="shared" si="51"/>
        <v>#REF!</v>
      </c>
      <c r="R110" s="179" t="e">
        <f t="shared" si="51"/>
        <v>#REF!</v>
      </c>
      <c r="S110" s="179" t="e">
        <f t="shared" si="51"/>
        <v>#REF!</v>
      </c>
      <c r="T110" s="179" t="e">
        <f t="shared" si="51"/>
        <v>#REF!</v>
      </c>
      <c r="U110" s="179" t="e">
        <f t="shared" si="51"/>
        <v>#REF!</v>
      </c>
      <c r="V110" s="179" t="e">
        <f t="shared" si="51"/>
        <v>#REF!</v>
      </c>
      <c r="W110" s="179" t="e">
        <f t="shared" si="51"/>
        <v>#REF!</v>
      </c>
      <c r="X110" s="179" t="e">
        <f t="shared" si="51"/>
        <v>#REF!</v>
      </c>
      <c r="Y110" s="179" t="e">
        <f t="shared" si="51"/>
        <v>#REF!</v>
      </c>
      <c r="Z110" s="179" t="e">
        <f t="shared" si="51"/>
        <v>#REF!</v>
      </c>
      <c r="AA110" s="179" t="e">
        <f t="shared" si="51"/>
        <v>#REF!</v>
      </c>
      <c r="AB110" s="179" t="e">
        <f t="shared" si="51"/>
        <v>#REF!</v>
      </c>
      <c r="AC110" s="179" t="e">
        <f t="shared" si="51"/>
        <v>#REF!</v>
      </c>
      <c r="AD110" s="179" t="e">
        <f t="shared" si="51"/>
        <v>#REF!</v>
      </c>
      <c r="AE110" s="179" t="e">
        <f t="shared" si="51"/>
        <v>#REF!</v>
      </c>
      <c r="AF110" s="179" t="e">
        <f t="shared" si="51"/>
        <v>#REF!</v>
      </c>
      <c r="AG110" s="179" t="e">
        <f t="shared" si="51"/>
        <v>#REF!</v>
      </c>
    </row>
    <row r="111" spans="1:33" s="247" customFormat="1" ht="11.85" customHeight="1">
      <c r="A111" s="270" t="s">
        <v>414</v>
      </c>
    </row>
    <row r="112" spans="1:33">
      <c r="A112" s="173" t="s">
        <v>325</v>
      </c>
      <c r="B112" s="173" t="s">
        <v>313</v>
      </c>
      <c r="C112" s="179" t="e">
        <f t="shared" ref="C112:AG112" si="52">-PMT($C$33,$C$31,C107)</f>
        <v>#REF!</v>
      </c>
      <c r="D112" s="179" t="e">
        <f t="shared" si="52"/>
        <v>#REF!</v>
      </c>
      <c r="E112" s="179" t="e">
        <f t="shared" si="52"/>
        <v>#REF!</v>
      </c>
      <c r="F112" s="179" t="e">
        <f t="shared" si="52"/>
        <v>#REF!</v>
      </c>
      <c r="G112" s="179" t="e">
        <f t="shared" si="52"/>
        <v>#REF!</v>
      </c>
      <c r="H112" s="179" t="e">
        <f t="shared" si="52"/>
        <v>#REF!</v>
      </c>
      <c r="I112" s="179" t="e">
        <f t="shared" si="52"/>
        <v>#REF!</v>
      </c>
      <c r="J112" s="179" t="e">
        <f t="shared" si="52"/>
        <v>#REF!</v>
      </c>
      <c r="K112" s="179" t="e">
        <f t="shared" si="52"/>
        <v>#REF!</v>
      </c>
      <c r="L112" s="179" t="e">
        <f t="shared" si="52"/>
        <v>#REF!</v>
      </c>
      <c r="M112" s="179" t="e">
        <f t="shared" si="52"/>
        <v>#REF!</v>
      </c>
      <c r="N112" s="179" t="e">
        <f t="shared" si="52"/>
        <v>#REF!</v>
      </c>
      <c r="O112" s="179" t="e">
        <f t="shared" si="52"/>
        <v>#REF!</v>
      </c>
      <c r="P112" s="179" t="e">
        <f t="shared" si="52"/>
        <v>#REF!</v>
      </c>
      <c r="Q112" s="179" t="e">
        <f t="shared" si="52"/>
        <v>#REF!</v>
      </c>
      <c r="R112" s="179" t="e">
        <f t="shared" si="52"/>
        <v>#REF!</v>
      </c>
      <c r="S112" s="179" t="e">
        <f t="shared" si="52"/>
        <v>#REF!</v>
      </c>
      <c r="T112" s="179" t="e">
        <f t="shared" si="52"/>
        <v>#REF!</v>
      </c>
      <c r="U112" s="179" t="e">
        <f t="shared" si="52"/>
        <v>#REF!</v>
      </c>
      <c r="V112" s="179" t="e">
        <f t="shared" si="52"/>
        <v>#REF!</v>
      </c>
      <c r="W112" s="179" t="e">
        <f t="shared" si="52"/>
        <v>#REF!</v>
      </c>
      <c r="X112" s="179" t="e">
        <f t="shared" si="52"/>
        <v>#REF!</v>
      </c>
      <c r="Y112" s="179" t="e">
        <f t="shared" si="52"/>
        <v>#REF!</v>
      </c>
      <c r="Z112" s="179" t="e">
        <f t="shared" si="52"/>
        <v>#REF!</v>
      </c>
      <c r="AA112" s="179" t="e">
        <f t="shared" si="52"/>
        <v>#REF!</v>
      </c>
      <c r="AB112" s="179" t="e">
        <f t="shared" si="52"/>
        <v>#REF!</v>
      </c>
      <c r="AC112" s="179" t="e">
        <f t="shared" si="52"/>
        <v>#REF!</v>
      </c>
      <c r="AD112" s="179" t="e">
        <f t="shared" si="52"/>
        <v>#REF!</v>
      </c>
      <c r="AE112" s="179" t="e">
        <f t="shared" si="52"/>
        <v>#REF!</v>
      </c>
      <c r="AF112" s="179" t="e">
        <f t="shared" si="52"/>
        <v>#REF!</v>
      </c>
      <c r="AG112" s="179" t="e">
        <f t="shared" si="52"/>
        <v>#REF!</v>
      </c>
    </row>
    <row r="113" spans="1:33">
      <c r="A113" s="173" t="s">
        <v>321</v>
      </c>
      <c r="B113" s="173" t="s">
        <v>313</v>
      </c>
      <c r="C113" s="179" t="e">
        <f t="shared" ref="C113:AG115" si="53">C108</f>
        <v>#REF!</v>
      </c>
      <c r="D113" s="179" t="e">
        <f t="shared" si="53"/>
        <v>#REF!</v>
      </c>
      <c r="E113" s="179" t="e">
        <f t="shared" si="53"/>
        <v>#REF!</v>
      </c>
      <c r="F113" s="179" t="e">
        <f t="shared" si="53"/>
        <v>#REF!</v>
      </c>
      <c r="G113" s="179" t="e">
        <f t="shared" si="53"/>
        <v>#REF!</v>
      </c>
      <c r="H113" s="179" t="e">
        <f t="shared" si="53"/>
        <v>#REF!</v>
      </c>
      <c r="I113" s="179" t="e">
        <f t="shared" si="53"/>
        <v>#REF!</v>
      </c>
      <c r="J113" s="179" t="e">
        <f t="shared" si="53"/>
        <v>#REF!</v>
      </c>
      <c r="K113" s="179" t="e">
        <f t="shared" si="53"/>
        <v>#REF!</v>
      </c>
      <c r="L113" s="179" t="e">
        <f t="shared" si="53"/>
        <v>#REF!</v>
      </c>
      <c r="M113" s="179" t="e">
        <f t="shared" si="53"/>
        <v>#REF!</v>
      </c>
      <c r="N113" s="179" t="e">
        <f t="shared" si="53"/>
        <v>#REF!</v>
      </c>
      <c r="O113" s="179" t="e">
        <f t="shared" si="53"/>
        <v>#REF!</v>
      </c>
      <c r="P113" s="179" t="e">
        <f t="shared" si="53"/>
        <v>#REF!</v>
      </c>
      <c r="Q113" s="179" t="e">
        <f t="shared" si="53"/>
        <v>#REF!</v>
      </c>
      <c r="R113" s="179" t="e">
        <f t="shared" si="53"/>
        <v>#REF!</v>
      </c>
      <c r="S113" s="179" t="e">
        <f t="shared" si="53"/>
        <v>#REF!</v>
      </c>
      <c r="T113" s="179" t="e">
        <f t="shared" si="53"/>
        <v>#REF!</v>
      </c>
      <c r="U113" s="179" t="e">
        <f t="shared" si="53"/>
        <v>#REF!</v>
      </c>
      <c r="V113" s="179" t="e">
        <f t="shared" si="53"/>
        <v>#REF!</v>
      </c>
      <c r="W113" s="179" t="e">
        <f t="shared" si="53"/>
        <v>#REF!</v>
      </c>
      <c r="X113" s="179" t="e">
        <f t="shared" si="53"/>
        <v>#REF!</v>
      </c>
      <c r="Y113" s="179" t="e">
        <f t="shared" si="53"/>
        <v>#REF!</v>
      </c>
      <c r="Z113" s="179" t="e">
        <f t="shared" si="53"/>
        <v>#REF!</v>
      </c>
      <c r="AA113" s="179" t="e">
        <f t="shared" si="53"/>
        <v>#REF!</v>
      </c>
      <c r="AB113" s="179" t="e">
        <f t="shared" si="53"/>
        <v>#REF!</v>
      </c>
      <c r="AC113" s="179" t="e">
        <f t="shared" si="53"/>
        <v>#REF!</v>
      </c>
      <c r="AD113" s="179" t="e">
        <f t="shared" si="53"/>
        <v>#REF!</v>
      </c>
      <c r="AE113" s="179" t="e">
        <f t="shared" si="53"/>
        <v>#REF!</v>
      </c>
      <c r="AF113" s="179" t="e">
        <f t="shared" si="53"/>
        <v>#REF!</v>
      </c>
      <c r="AG113" s="179" t="e">
        <f t="shared" si="53"/>
        <v>#REF!</v>
      </c>
    </row>
    <row r="114" spans="1:33">
      <c r="A114" s="173" t="s">
        <v>317</v>
      </c>
      <c r="B114" s="173" t="s">
        <v>313</v>
      </c>
      <c r="C114" s="179" t="e">
        <f>C109</f>
        <v>#REF!</v>
      </c>
      <c r="D114" s="179" t="e">
        <f t="shared" si="53"/>
        <v>#REF!</v>
      </c>
      <c r="E114" s="179" t="e">
        <f t="shared" si="53"/>
        <v>#REF!</v>
      </c>
      <c r="F114" s="179" t="e">
        <f t="shared" si="53"/>
        <v>#REF!</v>
      </c>
      <c r="G114" s="179" t="e">
        <f t="shared" si="53"/>
        <v>#REF!</v>
      </c>
      <c r="H114" s="179" t="e">
        <f t="shared" si="53"/>
        <v>#REF!</v>
      </c>
      <c r="I114" s="179" t="e">
        <f t="shared" si="53"/>
        <v>#REF!</v>
      </c>
      <c r="J114" s="179" t="e">
        <f t="shared" si="53"/>
        <v>#REF!</v>
      </c>
      <c r="K114" s="179" t="e">
        <f t="shared" si="53"/>
        <v>#REF!</v>
      </c>
      <c r="L114" s="179" t="e">
        <f t="shared" si="53"/>
        <v>#REF!</v>
      </c>
      <c r="M114" s="179" t="e">
        <f t="shared" si="53"/>
        <v>#REF!</v>
      </c>
      <c r="N114" s="179" t="e">
        <f t="shared" si="53"/>
        <v>#REF!</v>
      </c>
      <c r="O114" s="179" t="e">
        <f t="shared" si="53"/>
        <v>#REF!</v>
      </c>
      <c r="P114" s="179" t="e">
        <f t="shared" si="53"/>
        <v>#REF!</v>
      </c>
      <c r="Q114" s="179" t="e">
        <f t="shared" si="53"/>
        <v>#REF!</v>
      </c>
      <c r="R114" s="179" t="e">
        <f t="shared" si="53"/>
        <v>#REF!</v>
      </c>
      <c r="S114" s="179" t="e">
        <f t="shared" si="53"/>
        <v>#REF!</v>
      </c>
      <c r="T114" s="179" t="e">
        <f t="shared" si="53"/>
        <v>#REF!</v>
      </c>
      <c r="U114" s="179" t="e">
        <f t="shared" si="53"/>
        <v>#REF!</v>
      </c>
      <c r="V114" s="179" t="e">
        <f t="shared" si="53"/>
        <v>#REF!</v>
      </c>
      <c r="W114" s="179" t="e">
        <f t="shared" si="53"/>
        <v>#REF!</v>
      </c>
      <c r="X114" s="179" t="e">
        <f t="shared" si="53"/>
        <v>#REF!</v>
      </c>
      <c r="Y114" s="179" t="e">
        <f t="shared" si="53"/>
        <v>#REF!</v>
      </c>
      <c r="Z114" s="179" t="e">
        <f t="shared" si="53"/>
        <v>#REF!</v>
      </c>
      <c r="AA114" s="179" t="e">
        <f t="shared" si="53"/>
        <v>#REF!</v>
      </c>
      <c r="AB114" s="179" t="e">
        <f t="shared" si="53"/>
        <v>#REF!</v>
      </c>
      <c r="AC114" s="179" t="e">
        <f t="shared" si="53"/>
        <v>#REF!</v>
      </c>
      <c r="AD114" s="179" t="e">
        <f t="shared" si="53"/>
        <v>#REF!</v>
      </c>
      <c r="AE114" s="179" t="e">
        <f t="shared" si="53"/>
        <v>#REF!</v>
      </c>
      <c r="AF114" s="179" t="e">
        <f t="shared" si="53"/>
        <v>#REF!</v>
      </c>
      <c r="AG114" s="179" t="e">
        <f t="shared" si="53"/>
        <v>#REF!</v>
      </c>
    </row>
    <row r="115" spans="1:33">
      <c r="A115" s="173" t="s">
        <v>319</v>
      </c>
      <c r="B115" s="173" t="s">
        <v>313</v>
      </c>
      <c r="C115" s="179" t="e">
        <f>C110</f>
        <v>#REF!</v>
      </c>
      <c r="D115" s="179" t="e">
        <f t="shared" si="53"/>
        <v>#REF!</v>
      </c>
      <c r="E115" s="179" t="e">
        <f t="shared" si="53"/>
        <v>#REF!</v>
      </c>
      <c r="F115" s="179" t="e">
        <f t="shared" si="53"/>
        <v>#REF!</v>
      </c>
      <c r="G115" s="179" t="e">
        <f t="shared" si="53"/>
        <v>#REF!</v>
      </c>
      <c r="H115" s="179" t="e">
        <f t="shared" si="53"/>
        <v>#REF!</v>
      </c>
      <c r="I115" s="179" t="e">
        <f t="shared" si="53"/>
        <v>#REF!</v>
      </c>
      <c r="J115" s="179" t="e">
        <f t="shared" si="53"/>
        <v>#REF!</v>
      </c>
      <c r="K115" s="179" t="e">
        <f t="shared" si="53"/>
        <v>#REF!</v>
      </c>
      <c r="L115" s="179" t="e">
        <f t="shared" si="53"/>
        <v>#REF!</v>
      </c>
      <c r="M115" s="179" t="e">
        <f t="shared" si="53"/>
        <v>#REF!</v>
      </c>
      <c r="N115" s="179" t="e">
        <f t="shared" si="53"/>
        <v>#REF!</v>
      </c>
      <c r="O115" s="179" t="e">
        <f t="shared" si="53"/>
        <v>#REF!</v>
      </c>
      <c r="P115" s="179" t="e">
        <f t="shared" si="53"/>
        <v>#REF!</v>
      </c>
      <c r="Q115" s="179" t="e">
        <f t="shared" si="53"/>
        <v>#REF!</v>
      </c>
      <c r="R115" s="179" t="e">
        <f t="shared" si="53"/>
        <v>#REF!</v>
      </c>
      <c r="S115" s="179" t="e">
        <f t="shared" si="53"/>
        <v>#REF!</v>
      </c>
      <c r="T115" s="179" t="e">
        <f t="shared" si="53"/>
        <v>#REF!</v>
      </c>
      <c r="U115" s="179" t="e">
        <f t="shared" si="53"/>
        <v>#REF!</v>
      </c>
      <c r="V115" s="179" t="e">
        <f t="shared" si="53"/>
        <v>#REF!</v>
      </c>
      <c r="W115" s="179" t="e">
        <f t="shared" si="53"/>
        <v>#REF!</v>
      </c>
      <c r="X115" s="179" t="e">
        <f t="shared" si="53"/>
        <v>#REF!</v>
      </c>
      <c r="Y115" s="179" t="e">
        <f t="shared" si="53"/>
        <v>#REF!</v>
      </c>
      <c r="Z115" s="179" t="e">
        <f t="shared" si="53"/>
        <v>#REF!</v>
      </c>
      <c r="AA115" s="179" t="e">
        <f t="shared" si="53"/>
        <v>#REF!</v>
      </c>
      <c r="AB115" s="179" t="e">
        <f t="shared" si="53"/>
        <v>#REF!</v>
      </c>
      <c r="AC115" s="179" t="e">
        <f t="shared" si="53"/>
        <v>#REF!</v>
      </c>
      <c r="AD115" s="179" t="e">
        <f t="shared" si="53"/>
        <v>#REF!</v>
      </c>
      <c r="AE115" s="179" t="e">
        <f t="shared" si="53"/>
        <v>#REF!</v>
      </c>
      <c r="AF115" s="179" t="e">
        <f t="shared" si="53"/>
        <v>#REF!</v>
      </c>
      <c r="AG115" s="179" t="e">
        <f t="shared" si="53"/>
        <v>#REF!</v>
      </c>
    </row>
    <row r="116" spans="1:33" s="247" customFormat="1" ht="11.85" customHeight="1">
      <c r="A116" s="270" t="s">
        <v>320</v>
      </c>
    </row>
    <row r="117" spans="1:33">
      <c r="A117" s="173" t="s">
        <v>325</v>
      </c>
      <c r="B117" s="173" t="s">
        <v>300</v>
      </c>
      <c r="C117" s="179" t="e">
        <f t="shared" ref="C117:AG118" si="54">C112/($C$28*$C$27)</f>
        <v>#REF!</v>
      </c>
      <c r="D117" s="179" t="e">
        <f t="shared" si="54"/>
        <v>#REF!</v>
      </c>
      <c r="E117" s="179" t="e">
        <f t="shared" si="54"/>
        <v>#REF!</v>
      </c>
      <c r="F117" s="179" t="e">
        <f t="shared" si="54"/>
        <v>#REF!</v>
      </c>
      <c r="G117" s="179" t="e">
        <f t="shared" si="54"/>
        <v>#REF!</v>
      </c>
      <c r="H117" s="179" t="e">
        <f t="shared" si="54"/>
        <v>#REF!</v>
      </c>
      <c r="I117" s="179" t="e">
        <f t="shared" si="54"/>
        <v>#REF!</v>
      </c>
      <c r="J117" s="179" t="e">
        <f t="shared" si="54"/>
        <v>#REF!</v>
      </c>
      <c r="K117" s="179" t="e">
        <f t="shared" si="54"/>
        <v>#REF!</v>
      </c>
      <c r="L117" s="179" t="e">
        <f t="shared" si="54"/>
        <v>#REF!</v>
      </c>
      <c r="M117" s="179" t="e">
        <f t="shared" si="54"/>
        <v>#REF!</v>
      </c>
      <c r="N117" s="179" t="e">
        <f t="shared" si="54"/>
        <v>#REF!</v>
      </c>
      <c r="O117" s="179" t="e">
        <f t="shared" si="54"/>
        <v>#REF!</v>
      </c>
      <c r="P117" s="179" t="e">
        <f t="shared" si="54"/>
        <v>#REF!</v>
      </c>
      <c r="Q117" s="179" t="e">
        <f t="shared" si="54"/>
        <v>#REF!</v>
      </c>
      <c r="R117" s="179" t="e">
        <f t="shared" si="54"/>
        <v>#REF!</v>
      </c>
      <c r="S117" s="179" t="e">
        <f t="shared" si="54"/>
        <v>#REF!</v>
      </c>
      <c r="T117" s="179" t="e">
        <f t="shared" si="54"/>
        <v>#REF!</v>
      </c>
      <c r="U117" s="179" t="e">
        <f t="shared" si="54"/>
        <v>#REF!</v>
      </c>
      <c r="V117" s="179" t="e">
        <f t="shared" si="54"/>
        <v>#REF!</v>
      </c>
      <c r="W117" s="179" t="e">
        <f t="shared" si="54"/>
        <v>#REF!</v>
      </c>
      <c r="X117" s="179" t="e">
        <f t="shared" si="54"/>
        <v>#REF!</v>
      </c>
      <c r="Y117" s="179" t="e">
        <f t="shared" si="54"/>
        <v>#REF!</v>
      </c>
      <c r="Z117" s="179" t="e">
        <f t="shared" si="54"/>
        <v>#REF!</v>
      </c>
      <c r="AA117" s="179" t="e">
        <f t="shared" si="54"/>
        <v>#REF!</v>
      </c>
      <c r="AB117" s="179" t="e">
        <f t="shared" si="54"/>
        <v>#REF!</v>
      </c>
      <c r="AC117" s="179" t="e">
        <f t="shared" si="54"/>
        <v>#REF!</v>
      </c>
      <c r="AD117" s="179" t="e">
        <f t="shared" si="54"/>
        <v>#REF!</v>
      </c>
      <c r="AE117" s="179" t="e">
        <f t="shared" si="54"/>
        <v>#REF!</v>
      </c>
      <c r="AF117" s="179" t="e">
        <f t="shared" si="54"/>
        <v>#REF!</v>
      </c>
      <c r="AG117" s="179" t="e">
        <f t="shared" si="54"/>
        <v>#REF!</v>
      </c>
    </row>
    <row r="118" spans="1:33">
      <c r="A118" s="173" t="s">
        <v>321</v>
      </c>
      <c r="B118" s="173" t="s">
        <v>300</v>
      </c>
      <c r="C118" s="179" t="e">
        <f t="shared" si="54"/>
        <v>#REF!</v>
      </c>
      <c r="D118" s="179" t="e">
        <f t="shared" si="54"/>
        <v>#REF!</v>
      </c>
      <c r="E118" s="179" t="e">
        <f t="shared" si="54"/>
        <v>#REF!</v>
      </c>
      <c r="F118" s="179" t="e">
        <f t="shared" si="54"/>
        <v>#REF!</v>
      </c>
      <c r="G118" s="179" t="e">
        <f t="shared" si="54"/>
        <v>#REF!</v>
      </c>
      <c r="H118" s="179" t="e">
        <f t="shared" si="54"/>
        <v>#REF!</v>
      </c>
      <c r="I118" s="179" t="e">
        <f t="shared" si="54"/>
        <v>#REF!</v>
      </c>
      <c r="J118" s="179" t="e">
        <f t="shared" si="54"/>
        <v>#REF!</v>
      </c>
      <c r="K118" s="179" t="e">
        <f t="shared" si="54"/>
        <v>#REF!</v>
      </c>
      <c r="L118" s="179" t="e">
        <f t="shared" si="54"/>
        <v>#REF!</v>
      </c>
      <c r="M118" s="179" t="e">
        <f t="shared" si="54"/>
        <v>#REF!</v>
      </c>
      <c r="N118" s="179" t="e">
        <f t="shared" si="54"/>
        <v>#REF!</v>
      </c>
      <c r="O118" s="179" t="e">
        <f t="shared" si="54"/>
        <v>#REF!</v>
      </c>
      <c r="P118" s="179" t="e">
        <f t="shared" si="54"/>
        <v>#REF!</v>
      </c>
      <c r="Q118" s="179" t="e">
        <f t="shared" si="54"/>
        <v>#REF!</v>
      </c>
      <c r="R118" s="179" t="e">
        <f t="shared" si="54"/>
        <v>#REF!</v>
      </c>
      <c r="S118" s="179" t="e">
        <f t="shared" si="54"/>
        <v>#REF!</v>
      </c>
      <c r="T118" s="179" t="e">
        <f t="shared" si="54"/>
        <v>#REF!</v>
      </c>
      <c r="U118" s="179" t="e">
        <f t="shared" si="54"/>
        <v>#REF!</v>
      </c>
      <c r="V118" s="179" t="e">
        <f t="shared" si="54"/>
        <v>#REF!</v>
      </c>
      <c r="W118" s="179" t="e">
        <f t="shared" si="54"/>
        <v>#REF!</v>
      </c>
      <c r="X118" s="179" t="e">
        <f t="shared" si="54"/>
        <v>#REF!</v>
      </c>
      <c r="Y118" s="179" t="e">
        <f t="shared" si="54"/>
        <v>#REF!</v>
      </c>
      <c r="Z118" s="179" t="e">
        <f t="shared" si="54"/>
        <v>#REF!</v>
      </c>
      <c r="AA118" s="179" t="e">
        <f t="shared" si="54"/>
        <v>#REF!</v>
      </c>
      <c r="AB118" s="179" t="e">
        <f t="shared" si="54"/>
        <v>#REF!</v>
      </c>
      <c r="AC118" s="179" t="e">
        <f t="shared" si="54"/>
        <v>#REF!</v>
      </c>
      <c r="AD118" s="179" t="e">
        <f t="shared" si="54"/>
        <v>#REF!</v>
      </c>
      <c r="AE118" s="179" t="e">
        <f t="shared" si="54"/>
        <v>#REF!</v>
      </c>
      <c r="AF118" s="179" t="e">
        <f t="shared" si="54"/>
        <v>#REF!</v>
      </c>
      <c r="AG118" s="179" t="e">
        <f t="shared" si="54"/>
        <v>#REF!</v>
      </c>
    </row>
    <row r="119" spans="1:33">
      <c r="A119" s="173" t="s">
        <v>322</v>
      </c>
      <c r="B119" s="173" t="s">
        <v>300</v>
      </c>
      <c r="C119" s="179" t="e">
        <f t="shared" ref="C119:AG119" si="55">(C114+C115+C70)/($C$28*$C$27)+C63</f>
        <v>#REF!</v>
      </c>
      <c r="D119" s="179" t="e">
        <f t="shared" si="55"/>
        <v>#REF!</v>
      </c>
      <c r="E119" s="179" t="e">
        <f t="shared" si="55"/>
        <v>#REF!</v>
      </c>
      <c r="F119" s="179" t="e">
        <f t="shared" si="55"/>
        <v>#REF!</v>
      </c>
      <c r="G119" s="179" t="e">
        <f t="shared" si="55"/>
        <v>#REF!</v>
      </c>
      <c r="H119" s="179" t="e">
        <f t="shared" si="55"/>
        <v>#REF!</v>
      </c>
      <c r="I119" s="179" t="e">
        <f t="shared" si="55"/>
        <v>#REF!</v>
      </c>
      <c r="J119" s="179" t="e">
        <f t="shared" si="55"/>
        <v>#REF!</v>
      </c>
      <c r="K119" s="179" t="e">
        <f t="shared" si="55"/>
        <v>#REF!</v>
      </c>
      <c r="L119" s="179" t="e">
        <f t="shared" si="55"/>
        <v>#REF!</v>
      </c>
      <c r="M119" s="179" t="e">
        <f t="shared" si="55"/>
        <v>#REF!</v>
      </c>
      <c r="N119" s="179" t="e">
        <f t="shared" si="55"/>
        <v>#REF!</v>
      </c>
      <c r="O119" s="179" t="e">
        <f t="shared" si="55"/>
        <v>#REF!</v>
      </c>
      <c r="P119" s="179" t="e">
        <f t="shared" si="55"/>
        <v>#REF!</v>
      </c>
      <c r="Q119" s="179" t="e">
        <f t="shared" si="55"/>
        <v>#REF!</v>
      </c>
      <c r="R119" s="179" t="e">
        <f t="shared" si="55"/>
        <v>#REF!</v>
      </c>
      <c r="S119" s="179" t="e">
        <f t="shared" si="55"/>
        <v>#REF!</v>
      </c>
      <c r="T119" s="179" t="e">
        <f t="shared" si="55"/>
        <v>#REF!</v>
      </c>
      <c r="U119" s="179" t="e">
        <f t="shared" si="55"/>
        <v>#REF!</v>
      </c>
      <c r="V119" s="179" t="e">
        <f t="shared" si="55"/>
        <v>#REF!</v>
      </c>
      <c r="W119" s="179" t="e">
        <f t="shared" si="55"/>
        <v>#REF!</v>
      </c>
      <c r="X119" s="179" t="e">
        <f t="shared" si="55"/>
        <v>#REF!</v>
      </c>
      <c r="Y119" s="179" t="e">
        <f t="shared" si="55"/>
        <v>#REF!</v>
      </c>
      <c r="Z119" s="179" t="e">
        <f t="shared" si="55"/>
        <v>#REF!</v>
      </c>
      <c r="AA119" s="179" t="e">
        <f t="shared" si="55"/>
        <v>#REF!</v>
      </c>
      <c r="AB119" s="179" t="e">
        <f t="shared" si="55"/>
        <v>#REF!</v>
      </c>
      <c r="AC119" s="179" t="e">
        <f t="shared" si="55"/>
        <v>#REF!</v>
      </c>
      <c r="AD119" s="179" t="e">
        <f t="shared" si="55"/>
        <v>#REF!</v>
      </c>
      <c r="AE119" s="179" t="e">
        <f t="shared" si="55"/>
        <v>#REF!</v>
      </c>
      <c r="AF119" s="179" t="e">
        <f t="shared" si="55"/>
        <v>#REF!</v>
      </c>
      <c r="AG119" s="179" t="e">
        <f t="shared" si="55"/>
        <v>#REF!</v>
      </c>
    </row>
    <row r="120" spans="1:33">
      <c r="C120" s="274" t="e">
        <f t="shared" ref="C120:AG120" si="56">SUM(C117:C119)</f>
        <v>#REF!</v>
      </c>
      <c r="D120" s="274" t="e">
        <f t="shared" si="56"/>
        <v>#REF!</v>
      </c>
      <c r="E120" s="274" t="e">
        <f t="shared" si="56"/>
        <v>#REF!</v>
      </c>
      <c r="F120" s="274" t="e">
        <f t="shared" si="56"/>
        <v>#REF!</v>
      </c>
      <c r="G120" s="274" t="e">
        <f t="shared" si="56"/>
        <v>#REF!</v>
      </c>
      <c r="H120" s="274" t="e">
        <f t="shared" si="56"/>
        <v>#REF!</v>
      </c>
      <c r="I120" s="274" t="e">
        <f t="shared" si="56"/>
        <v>#REF!</v>
      </c>
      <c r="J120" s="274" t="e">
        <f t="shared" si="56"/>
        <v>#REF!</v>
      </c>
      <c r="K120" s="274" t="e">
        <f t="shared" si="56"/>
        <v>#REF!</v>
      </c>
      <c r="L120" s="274" t="e">
        <f t="shared" si="56"/>
        <v>#REF!</v>
      </c>
      <c r="M120" s="274" t="e">
        <f t="shared" si="56"/>
        <v>#REF!</v>
      </c>
      <c r="N120" s="274" t="e">
        <f t="shared" si="56"/>
        <v>#REF!</v>
      </c>
      <c r="O120" s="274" t="e">
        <f t="shared" si="56"/>
        <v>#REF!</v>
      </c>
      <c r="P120" s="274" t="e">
        <f t="shared" si="56"/>
        <v>#REF!</v>
      </c>
      <c r="Q120" s="274" t="e">
        <f t="shared" si="56"/>
        <v>#REF!</v>
      </c>
      <c r="R120" s="274" t="e">
        <f t="shared" si="56"/>
        <v>#REF!</v>
      </c>
      <c r="S120" s="274" t="e">
        <f t="shared" si="56"/>
        <v>#REF!</v>
      </c>
      <c r="T120" s="274" t="e">
        <f t="shared" si="56"/>
        <v>#REF!</v>
      </c>
      <c r="U120" s="274" t="e">
        <f t="shared" si="56"/>
        <v>#REF!</v>
      </c>
      <c r="V120" s="274" t="e">
        <f t="shared" si="56"/>
        <v>#REF!</v>
      </c>
      <c r="W120" s="274" t="e">
        <f t="shared" si="56"/>
        <v>#REF!</v>
      </c>
      <c r="X120" s="274" t="e">
        <f t="shared" si="56"/>
        <v>#REF!</v>
      </c>
      <c r="Y120" s="274" t="e">
        <f t="shared" si="56"/>
        <v>#REF!</v>
      </c>
      <c r="Z120" s="274" t="e">
        <f t="shared" si="56"/>
        <v>#REF!</v>
      </c>
      <c r="AA120" s="274" t="e">
        <f t="shared" si="56"/>
        <v>#REF!</v>
      </c>
      <c r="AB120" s="274" t="e">
        <f t="shared" si="56"/>
        <v>#REF!</v>
      </c>
      <c r="AC120" s="274" t="e">
        <f t="shared" si="56"/>
        <v>#REF!</v>
      </c>
      <c r="AD120" s="274" t="e">
        <f t="shared" si="56"/>
        <v>#REF!</v>
      </c>
      <c r="AE120" s="274" t="e">
        <f t="shared" si="56"/>
        <v>#REF!</v>
      </c>
      <c r="AF120" s="274" t="e">
        <f t="shared" si="56"/>
        <v>#REF!</v>
      </c>
      <c r="AG120" s="274" t="e">
        <f t="shared" si="56"/>
        <v>#REF!</v>
      </c>
    </row>
    <row r="121" spans="1:33" s="225" customFormat="1">
      <c r="A121" s="223" t="s">
        <v>180</v>
      </c>
      <c r="B121" s="223"/>
      <c r="H121" s="272" t="e">
        <f>H124/H86</f>
        <v>#REF!</v>
      </c>
      <c r="AB121" s="272" t="e">
        <f>AB124/AB86</f>
        <v>#REF!</v>
      </c>
    </row>
    <row r="122" spans="1:33">
      <c r="A122" s="235" t="s">
        <v>41</v>
      </c>
      <c r="B122" s="235"/>
      <c r="C122" s="235">
        <v>2025</v>
      </c>
      <c r="D122" s="235">
        <f t="shared" ref="D122:AG122" si="57">C122+1</f>
        <v>2026</v>
      </c>
      <c r="E122" s="235">
        <f t="shared" si="57"/>
        <v>2027</v>
      </c>
      <c r="F122" s="235">
        <f t="shared" si="57"/>
        <v>2028</v>
      </c>
      <c r="G122" s="235">
        <f t="shared" si="57"/>
        <v>2029</v>
      </c>
      <c r="H122" s="235">
        <f t="shared" si="57"/>
        <v>2030</v>
      </c>
      <c r="I122" s="235">
        <f t="shared" si="57"/>
        <v>2031</v>
      </c>
      <c r="J122" s="235">
        <f t="shared" si="57"/>
        <v>2032</v>
      </c>
      <c r="K122" s="235">
        <f t="shared" si="57"/>
        <v>2033</v>
      </c>
      <c r="L122" s="235">
        <f t="shared" si="57"/>
        <v>2034</v>
      </c>
      <c r="M122" s="235">
        <f t="shared" si="57"/>
        <v>2035</v>
      </c>
      <c r="N122" s="235">
        <f t="shared" si="57"/>
        <v>2036</v>
      </c>
      <c r="O122" s="235">
        <f t="shared" si="57"/>
        <v>2037</v>
      </c>
      <c r="P122" s="235">
        <f t="shared" si="57"/>
        <v>2038</v>
      </c>
      <c r="Q122" s="235">
        <f t="shared" si="57"/>
        <v>2039</v>
      </c>
      <c r="R122" s="235">
        <f t="shared" si="57"/>
        <v>2040</v>
      </c>
      <c r="S122" s="235">
        <f t="shared" si="57"/>
        <v>2041</v>
      </c>
      <c r="T122" s="235">
        <f t="shared" si="57"/>
        <v>2042</v>
      </c>
      <c r="U122" s="235">
        <f t="shared" si="57"/>
        <v>2043</v>
      </c>
      <c r="V122" s="235">
        <f t="shared" si="57"/>
        <v>2044</v>
      </c>
      <c r="W122" s="235">
        <f t="shared" si="57"/>
        <v>2045</v>
      </c>
      <c r="X122" s="235">
        <f t="shared" si="57"/>
        <v>2046</v>
      </c>
      <c r="Y122" s="235">
        <f t="shared" si="57"/>
        <v>2047</v>
      </c>
      <c r="Z122" s="235">
        <f t="shared" si="57"/>
        <v>2048</v>
      </c>
      <c r="AA122" s="235">
        <f t="shared" si="57"/>
        <v>2049</v>
      </c>
      <c r="AB122" s="235">
        <f t="shared" si="57"/>
        <v>2050</v>
      </c>
      <c r="AC122" s="235">
        <f t="shared" si="57"/>
        <v>2051</v>
      </c>
      <c r="AD122" s="235">
        <f t="shared" si="57"/>
        <v>2052</v>
      </c>
      <c r="AE122" s="235">
        <f t="shared" si="57"/>
        <v>2053</v>
      </c>
      <c r="AF122" s="235">
        <f t="shared" si="57"/>
        <v>2054</v>
      </c>
      <c r="AG122" s="235">
        <f t="shared" si="57"/>
        <v>2055</v>
      </c>
    </row>
    <row r="123" spans="1:33">
      <c r="A123" s="290" t="s">
        <v>417</v>
      </c>
      <c r="B123" s="173" t="s">
        <v>309</v>
      </c>
      <c r="C123" s="179" t="e">
        <f>ROUND(($E$73*C59)/1000,0)*1000</f>
        <v>#REF!</v>
      </c>
      <c r="D123" s="179" t="e">
        <f t="shared" ref="D123:AG123" si="58">ROUND(($E$73*D59)/1000,0)*1000</f>
        <v>#REF!</v>
      </c>
      <c r="E123" s="179" t="e">
        <f t="shared" si="58"/>
        <v>#REF!</v>
      </c>
      <c r="F123" s="179" t="e">
        <f t="shared" si="58"/>
        <v>#REF!</v>
      </c>
      <c r="G123" s="179" t="e">
        <f t="shared" si="58"/>
        <v>#REF!</v>
      </c>
      <c r="H123" s="179" t="e">
        <f t="shared" si="58"/>
        <v>#REF!</v>
      </c>
      <c r="I123" s="179" t="e">
        <f t="shared" si="58"/>
        <v>#REF!</v>
      </c>
      <c r="J123" s="179" t="e">
        <f t="shared" si="58"/>
        <v>#REF!</v>
      </c>
      <c r="K123" s="179" t="e">
        <f t="shared" si="58"/>
        <v>#REF!</v>
      </c>
      <c r="L123" s="179" t="e">
        <f t="shared" si="58"/>
        <v>#REF!</v>
      </c>
      <c r="M123" s="179" t="e">
        <f t="shared" si="58"/>
        <v>#REF!</v>
      </c>
      <c r="N123" s="179" t="e">
        <f t="shared" si="58"/>
        <v>#REF!</v>
      </c>
      <c r="O123" s="179" t="e">
        <f t="shared" si="58"/>
        <v>#REF!</v>
      </c>
      <c r="P123" s="179" t="e">
        <f t="shared" si="58"/>
        <v>#REF!</v>
      </c>
      <c r="Q123" s="179" t="e">
        <f t="shared" si="58"/>
        <v>#REF!</v>
      </c>
      <c r="R123" s="179" t="e">
        <f t="shared" si="58"/>
        <v>#REF!</v>
      </c>
      <c r="S123" s="179" t="e">
        <f t="shared" si="58"/>
        <v>#REF!</v>
      </c>
      <c r="T123" s="179" t="e">
        <f t="shared" si="58"/>
        <v>#REF!</v>
      </c>
      <c r="U123" s="179" t="e">
        <f t="shared" si="58"/>
        <v>#REF!</v>
      </c>
      <c r="V123" s="179" t="e">
        <f t="shared" si="58"/>
        <v>#REF!</v>
      </c>
      <c r="W123" s="179" t="e">
        <f t="shared" si="58"/>
        <v>#REF!</v>
      </c>
      <c r="X123" s="179" t="e">
        <f t="shared" si="58"/>
        <v>#REF!</v>
      </c>
      <c r="Y123" s="179" t="e">
        <f t="shared" si="58"/>
        <v>#REF!</v>
      </c>
      <c r="Z123" s="179" t="e">
        <f t="shared" si="58"/>
        <v>#REF!</v>
      </c>
      <c r="AA123" s="179" t="e">
        <f t="shared" si="58"/>
        <v>#REF!</v>
      </c>
      <c r="AB123" s="179" t="e">
        <f t="shared" si="58"/>
        <v>#REF!</v>
      </c>
      <c r="AC123" s="179" t="e">
        <f t="shared" si="58"/>
        <v>#REF!</v>
      </c>
      <c r="AD123" s="179" t="e">
        <f t="shared" si="58"/>
        <v>#REF!</v>
      </c>
      <c r="AE123" s="179" t="e">
        <f t="shared" si="58"/>
        <v>#REF!</v>
      </c>
      <c r="AF123" s="179" t="e">
        <f t="shared" si="58"/>
        <v>#REF!</v>
      </c>
      <c r="AG123" s="179" t="e">
        <f t="shared" si="58"/>
        <v>#REF!</v>
      </c>
    </row>
    <row r="124" spans="1:33">
      <c r="A124" s="290" t="s">
        <v>326</v>
      </c>
      <c r="B124" s="173" t="s">
        <v>309</v>
      </c>
      <c r="C124" s="179" t="e">
        <f t="shared" ref="C124:AG124" si="59">C123+C86</f>
        <v>#REF!</v>
      </c>
      <c r="D124" s="179" t="e">
        <f t="shared" si="59"/>
        <v>#REF!</v>
      </c>
      <c r="E124" s="179" t="e">
        <f t="shared" si="59"/>
        <v>#REF!</v>
      </c>
      <c r="F124" s="179" t="e">
        <f t="shared" si="59"/>
        <v>#REF!</v>
      </c>
      <c r="G124" s="179" t="e">
        <f t="shared" si="59"/>
        <v>#REF!</v>
      </c>
      <c r="H124" s="179" t="e">
        <f t="shared" si="59"/>
        <v>#REF!</v>
      </c>
      <c r="I124" s="179" t="e">
        <f t="shared" si="59"/>
        <v>#REF!</v>
      </c>
      <c r="J124" s="179" t="e">
        <f t="shared" si="59"/>
        <v>#REF!</v>
      </c>
      <c r="K124" s="179" t="e">
        <f t="shared" si="59"/>
        <v>#REF!</v>
      </c>
      <c r="L124" s="179" t="e">
        <f t="shared" si="59"/>
        <v>#REF!</v>
      </c>
      <c r="M124" s="179" t="e">
        <f t="shared" si="59"/>
        <v>#REF!</v>
      </c>
      <c r="N124" s="179" t="e">
        <f t="shared" si="59"/>
        <v>#REF!</v>
      </c>
      <c r="O124" s="179" t="e">
        <f t="shared" si="59"/>
        <v>#REF!</v>
      </c>
      <c r="P124" s="179" t="e">
        <f t="shared" si="59"/>
        <v>#REF!</v>
      </c>
      <c r="Q124" s="179" t="e">
        <f t="shared" si="59"/>
        <v>#REF!</v>
      </c>
      <c r="R124" s="179" t="e">
        <f t="shared" si="59"/>
        <v>#REF!</v>
      </c>
      <c r="S124" s="179" t="e">
        <f t="shared" si="59"/>
        <v>#REF!</v>
      </c>
      <c r="T124" s="179" t="e">
        <f t="shared" si="59"/>
        <v>#REF!</v>
      </c>
      <c r="U124" s="179" t="e">
        <f t="shared" si="59"/>
        <v>#REF!</v>
      </c>
      <c r="V124" s="179" t="e">
        <f t="shared" si="59"/>
        <v>#REF!</v>
      </c>
      <c r="W124" s="179" t="e">
        <f t="shared" si="59"/>
        <v>#REF!</v>
      </c>
      <c r="X124" s="179" t="e">
        <f t="shared" si="59"/>
        <v>#REF!</v>
      </c>
      <c r="Y124" s="179" t="e">
        <f t="shared" si="59"/>
        <v>#REF!</v>
      </c>
      <c r="Z124" s="179" t="e">
        <f t="shared" si="59"/>
        <v>#REF!</v>
      </c>
      <c r="AA124" s="179" t="e">
        <f t="shared" si="59"/>
        <v>#REF!</v>
      </c>
      <c r="AB124" s="179" t="e">
        <f t="shared" si="59"/>
        <v>#REF!</v>
      </c>
      <c r="AC124" s="179" t="e">
        <f t="shared" si="59"/>
        <v>#REF!</v>
      </c>
      <c r="AD124" s="179" t="e">
        <f t="shared" si="59"/>
        <v>#REF!</v>
      </c>
      <c r="AE124" s="179" t="e">
        <f t="shared" si="59"/>
        <v>#REF!</v>
      </c>
      <c r="AF124" s="179" t="e">
        <f t="shared" si="59"/>
        <v>#REF!</v>
      </c>
      <c r="AG124" s="179" t="e">
        <f t="shared" si="59"/>
        <v>#REF!</v>
      </c>
    </row>
    <row r="125" spans="1:33">
      <c r="A125" s="173" t="s">
        <v>321</v>
      </c>
      <c r="B125" s="173" t="s">
        <v>309</v>
      </c>
      <c r="C125" s="179" t="e">
        <f t="shared" ref="C125:AG125" si="60">$E$82*C42</f>
        <v>#REF!</v>
      </c>
      <c r="D125" s="179" t="e">
        <f t="shared" si="60"/>
        <v>#REF!</v>
      </c>
      <c r="E125" s="179" t="e">
        <f t="shared" si="60"/>
        <v>#REF!</v>
      </c>
      <c r="F125" s="179" t="e">
        <f t="shared" si="60"/>
        <v>#REF!</v>
      </c>
      <c r="G125" s="179" t="e">
        <f t="shared" si="60"/>
        <v>#REF!</v>
      </c>
      <c r="H125" s="179" t="e">
        <f t="shared" si="60"/>
        <v>#REF!</v>
      </c>
      <c r="I125" s="179" t="e">
        <f t="shared" si="60"/>
        <v>#REF!</v>
      </c>
      <c r="J125" s="179" t="e">
        <f t="shared" si="60"/>
        <v>#REF!</v>
      </c>
      <c r="K125" s="179" t="e">
        <f t="shared" si="60"/>
        <v>#REF!</v>
      </c>
      <c r="L125" s="179" t="e">
        <f t="shared" si="60"/>
        <v>#REF!</v>
      </c>
      <c r="M125" s="179" t="e">
        <f t="shared" si="60"/>
        <v>#REF!</v>
      </c>
      <c r="N125" s="179" t="e">
        <f t="shared" si="60"/>
        <v>#REF!</v>
      </c>
      <c r="O125" s="179" t="e">
        <f t="shared" si="60"/>
        <v>#REF!</v>
      </c>
      <c r="P125" s="179" t="e">
        <f t="shared" si="60"/>
        <v>#REF!</v>
      </c>
      <c r="Q125" s="179" t="e">
        <f t="shared" si="60"/>
        <v>#REF!</v>
      </c>
      <c r="R125" s="179" t="e">
        <f t="shared" si="60"/>
        <v>#REF!</v>
      </c>
      <c r="S125" s="179" t="e">
        <f t="shared" si="60"/>
        <v>#REF!</v>
      </c>
      <c r="T125" s="179" t="e">
        <f t="shared" si="60"/>
        <v>#REF!</v>
      </c>
      <c r="U125" s="179" t="e">
        <f t="shared" si="60"/>
        <v>#REF!</v>
      </c>
      <c r="V125" s="179" t="e">
        <f t="shared" si="60"/>
        <v>#REF!</v>
      </c>
      <c r="W125" s="179" t="e">
        <f t="shared" si="60"/>
        <v>#REF!</v>
      </c>
      <c r="X125" s="179" t="e">
        <f t="shared" si="60"/>
        <v>#REF!</v>
      </c>
      <c r="Y125" s="179" t="e">
        <f t="shared" si="60"/>
        <v>#REF!</v>
      </c>
      <c r="Z125" s="179" t="e">
        <f t="shared" si="60"/>
        <v>#REF!</v>
      </c>
      <c r="AA125" s="179" t="e">
        <f t="shared" si="60"/>
        <v>#REF!</v>
      </c>
      <c r="AB125" s="179" t="e">
        <f t="shared" si="60"/>
        <v>#REF!</v>
      </c>
      <c r="AC125" s="179" t="e">
        <f t="shared" si="60"/>
        <v>#REF!</v>
      </c>
      <c r="AD125" s="179" t="e">
        <f t="shared" si="60"/>
        <v>#REF!</v>
      </c>
      <c r="AE125" s="179" t="e">
        <f t="shared" si="60"/>
        <v>#REF!</v>
      </c>
      <c r="AF125" s="179" t="e">
        <f t="shared" si="60"/>
        <v>#REF!</v>
      </c>
      <c r="AG125" s="179" t="e">
        <f t="shared" si="60"/>
        <v>#REF!</v>
      </c>
    </row>
    <row r="126" spans="1:33">
      <c r="A126" s="173" t="s">
        <v>317</v>
      </c>
      <c r="B126" s="173" t="s">
        <v>309</v>
      </c>
      <c r="C126" s="179" t="e">
        <f t="shared" ref="C126:AG126" si="61">C66*$C$27*$C$28</f>
        <v>#REF!</v>
      </c>
      <c r="D126" s="179" t="e">
        <f t="shared" si="61"/>
        <v>#REF!</v>
      </c>
      <c r="E126" s="179" t="e">
        <f t="shared" si="61"/>
        <v>#REF!</v>
      </c>
      <c r="F126" s="179" t="e">
        <f t="shared" si="61"/>
        <v>#REF!</v>
      </c>
      <c r="G126" s="179" t="e">
        <f t="shared" si="61"/>
        <v>#REF!</v>
      </c>
      <c r="H126" s="179" t="e">
        <f t="shared" si="61"/>
        <v>#REF!</v>
      </c>
      <c r="I126" s="179" t="e">
        <f t="shared" si="61"/>
        <v>#REF!</v>
      </c>
      <c r="J126" s="179" t="e">
        <f t="shared" si="61"/>
        <v>#REF!</v>
      </c>
      <c r="K126" s="179" t="e">
        <f t="shared" si="61"/>
        <v>#REF!</v>
      </c>
      <c r="L126" s="179" t="e">
        <f t="shared" si="61"/>
        <v>#REF!</v>
      </c>
      <c r="M126" s="179" t="e">
        <f t="shared" si="61"/>
        <v>#REF!</v>
      </c>
      <c r="N126" s="179" t="e">
        <f t="shared" si="61"/>
        <v>#REF!</v>
      </c>
      <c r="O126" s="179" t="e">
        <f t="shared" si="61"/>
        <v>#REF!</v>
      </c>
      <c r="P126" s="179" t="e">
        <f t="shared" si="61"/>
        <v>#REF!</v>
      </c>
      <c r="Q126" s="179" t="e">
        <f t="shared" si="61"/>
        <v>#REF!</v>
      </c>
      <c r="R126" s="179" t="e">
        <f t="shared" si="61"/>
        <v>#REF!</v>
      </c>
      <c r="S126" s="179" t="e">
        <f t="shared" si="61"/>
        <v>#REF!</v>
      </c>
      <c r="T126" s="179" t="e">
        <f t="shared" si="61"/>
        <v>#REF!</v>
      </c>
      <c r="U126" s="179" t="e">
        <f t="shared" si="61"/>
        <v>#REF!</v>
      </c>
      <c r="V126" s="179" t="e">
        <f t="shared" si="61"/>
        <v>#REF!</v>
      </c>
      <c r="W126" s="179" t="e">
        <f t="shared" si="61"/>
        <v>#REF!</v>
      </c>
      <c r="X126" s="179" t="e">
        <f t="shared" si="61"/>
        <v>#REF!</v>
      </c>
      <c r="Y126" s="179" t="e">
        <f t="shared" si="61"/>
        <v>#REF!</v>
      </c>
      <c r="Z126" s="179" t="e">
        <f t="shared" si="61"/>
        <v>#REF!</v>
      </c>
      <c r="AA126" s="179" t="e">
        <f t="shared" si="61"/>
        <v>#REF!</v>
      </c>
      <c r="AB126" s="179" t="e">
        <f t="shared" si="61"/>
        <v>#REF!</v>
      </c>
      <c r="AC126" s="179" t="e">
        <f t="shared" si="61"/>
        <v>#REF!</v>
      </c>
      <c r="AD126" s="179" t="e">
        <f t="shared" si="61"/>
        <v>#REF!</v>
      </c>
      <c r="AE126" s="179" t="e">
        <f t="shared" si="61"/>
        <v>#REF!</v>
      </c>
      <c r="AF126" s="179" t="e">
        <f t="shared" si="61"/>
        <v>#REF!</v>
      </c>
      <c r="AG126" s="179" t="e">
        <f t="shared" si="61"/>
        <v>#REF!</v>
      </c>
    </row>
    <row r="127" spans="1:33">
      <c r="A127" s="173" t="s">
        <v>319</v>
      </c>
      <c r="B127" s="173" t="s">
        <v>309</v>
      </c>
      <c r="C127" s="179" t="e">
        <f t="shared" ref="C127:AG127" si="62">C124*$C$34</f>
        <v>#REF!</v>
      </c>
      <c r="D127" s="179" t="e">
        <f t="shared" si="62"/>
        <v>#REF!</v>
      </c>
      <c r="E127" s="179" t="e">
        <f t="shared" si="62"/>
        <v>#REF!</v>
      </c>
      <c r="F127" s="179" t="e">
        <f t="shared" si="62"/>
        <v>#REF!</v>
      </c>
      <c r="G127" s="179" t="e">
        <f t="shared" si="62"/>
        <v>#REF!</v>
      </c>
      <c r="H127" s="179" t="e">
        <f t="shared" si="62"/>
        <v>#REF!</v>
      </c>
      <c r="I127" s="179" t="e">
        <f t="shared" si="62"/>
        <v>#REF!</v>
      </c>
      <c r="J127" s="179" t="e">
        <f t="shared" si="62"/>
        <v>#REF!</v>
      </c>
      <c r="K127" s="179" t="e">
        <f t="shared" si="62"/>
        <v>#REF!</v>
      </c>
      <c r="L127" s="179" t="e">
        <f t="shared" si="62"/>
        <v>#REF!</v>
      </c>
      <c r="M127" s="179" t="e">
        <f t="shared" si="62"/>
        <v>#REF!</v>
      </c>
      <c r="N127" s="179" t="e">
        <f t="shared" si="62"/>
        <v>#REF!</v>
      </c>
      <c r="O127" s="179" t="e">
        <f t="shared" si="62"/>
        <v>#REF!</v>
      </c>
      <c r="P127" s="179" t="e">
        <f t="shared" si="62"/>
        <v>#REF!</v>
      </c>
      <c r="Q127" s="179" t="e">
        <f t="shared" si="62"/>
        <v>#REF!</v>
      </c>
      <c r="R127" s="179" t="e">
        <f t="shared" si="62"/>
        <v>#REF!</v>
      </c>
      <c r="S127" s="179" t="e">
        <f t="shared" si="62"/>
        <v>#REF!</v>
      </c>
      <c r="T127" s="179" t="e">
        <f t="shared" si="62"/>
        <v>#REF!</v>
      </c>
      <c r="U127" s="179" t="e">
        <f t="shared" si="62"/>
        <v>#REF!</v>
      </c>
      <c r="V127" s="179" t="e">
        <f t="shared" si="62"/>
        <v>#REF!</v>
      </c>
      <c r="W127" s="179" t="e">
        <f t="shared" si="62"/>
        <v>#REF!</v>
      </c>
      <c r="X127" s="179" t="e">
        <f t="shared" si="62"/>
        <v>#REF!</v>
      </c>
      <c r="Y127" s="179" t="e">
        <f t="shared" si="62"/>
        <v>#REF!</v>
      </c>
      <c r="Z127" s="179" t="e">
        <f t="shared" si="62"/>
        <v>#REF!</v>
      </c>
      <c r="AA127" s="179" t="e">
        <f t="shared" si="62"/>
        <v>#REF!</v>
      </c>
      <c r="AB127" s="179" t="e">
        <f t="shared" si="62"/>
        <v>#REF!</v>
      </c>
      <c r="AC127" s="179" t="e">
        <f t="shared" si="62"/>
        <v>#REF!</v>
      </c>
      <c r="AD127" s="179" t="e">
        <f t="shared" si="62"/>
        <v>#REF!</v>
      </c>
      <c r="AE127" s="179" t="e">
        <f t="shared" si="62"/>
        <v>#REF!</v>
      </c>
      <c r="AF127" s="179" t="e">
        <f t="shared" si="62"/>
        <v>#REF!</v>
      </c>
      <c r="AG127" s="179" t="e">
        <f t="shared" si="62"/>
        <v>#REF!</v>
      </c>
    </row>
    <row r="128" spans="1:33" s="247" customFormat="1" ht="11.85" customHeight="1">
      <c r="A128" s="270" t="s">
        <v>414</v>
      </c>
    </row>
    <row r="129" spans="1:33">
      <c r="A129" s="173" t="s">
        <v>325</v>
      </c>
      <c r="B129" s="173" t="s">
        <v>313</v>
      </c>
      <c r="C129" s="179" t="e">
        <f t="shared" ref="C129:AG129" si="63">-PMT($C$33,$C$31,C124)</f>
        <v>#REF!</v>
      </c>
      <c r="D129" s="179" t="e">
        <f t="shared" si="63"/>
        <v>#REF!</v>
      </c>
      <c r="E129" s="179" t="e">
        <f t="shared" si="63"/>
        <v>#REF!</v>
      </c>
      <c r="F129" s="179" t="e">
        <f t="shared" si="63"/>
        <v>#REF!</v>
      </c>
      <c r="G129" s="179" t="e">
        <f t="shared" si="63"/>
        <v>#REF!</v>
      </c>
      <c r="H129" s="179" t="e">
        <f t="shared" si="63"/>
        <v>#REF!</v>
      </c>
      <c r="I129" s="179" t="e">
        <f t="shared" si="63"/>
        <v>#REF!</v>
      </c>
      <c r="J129" s="179" t="e">
        <f t="shared" si="63"/>
        <v>#REF!</v>
      </c>
      <c r="K129" s="179" t="e">
        <f t="shared" si="63"/>
        <v>#REF!</v>
      </c>
      <c r="L129" s="179" t="e">
        <f t="shared" si="63"/>
        <v>#REF!</v>
      </c>
      <c r="M129" s="179" t="e">
        <f t="shared" si="63"/>
        <v>#REF!</v>
      </c>
      <c r="N129" s="179" t="e">
        <f t="shared" si="63"/>
        <v>#REF!</v>
      </c>
      <c r="O129" s="179" t="e">
        <f t="shared" si="63"/>
        <v>#REF!</v>
      </c>
      <c r="P129" s="179" t="e">
        <f t="shared" si="63"/>
        <v>#REF!</v>
      </c>
      <c r="Q129" s="179" t="e">
        <f t="shared" si="63"/>
        <v>#REF!</v>
      </c>
      <c r="R129" s="179" t="e">
        <f t="shared" si="63"/>
        <v>#REF!</v>
      </c>
      <c r="S129" s="179" t="e">
        <f t="shared" si="63"/>
        <v>#REF!</v>
      </c>
      <c r="T129" s="179" t="e">
        <f t="shared" si="63"/>
        <v>#REF!</v>
      </c>
      <c r="U129" s="179" t="e">
        <f t="shared" si="63"/>
        <v>#REF!</v>
      </c>
      <c r="V129" s="179" t="e">
        <f t="shared" si="63"/>
        <v>#REF!</v>
      </c>
      <c r="W129" s="179" t="e">
        <f t="shared" si="63"/>
        <v>#REF!</v>
      </c>
      <c r="X129" s="179" t="e">
        <f t="shared" si="63"/>
        <v>#REF!</v>
      </c>
      <c r="Y129" s="179" t="e">
        <f t="shared" si="63"/>
        <v>#REF!</v>
      </c>
      <c r="Z129" s="179" t="e">
        <f t="shared" si="63"/>
        <v>#REF!</v>
      </c>
      <c r="AA129" s="179" t="e">
        <f t="shared" si="63"/>
        <v>#REF!</v>
      </c>
      <c r="AB129" s="179" t="e">
        <f t="shared" si="63"/>
        <v>#REF!</v>
      </c>
      <c r="AC129" s="179" t="e">
        <f t="shared" si="63"/>
        <v>#REF!</v>
      </c>
      <c r="AD129" s="179" t="e">
        <f t="shared" si="63"/>
        <v>#REF!</v>
      </c>
      <c r="AE129" s="179" t="e">
        <f t="shared" si="63"/>
        <v>#REF!</v>
      </c>
      <c r="AF129" s="179" t="e">
        <f t="shared" si="63"/>
        <v>#REF!</v>
      </c>
      <c r="AG129" s="179" t="e">
        <f t="shared" si="63"/>
        <v>#REF!</v>
      </c>
    </row>
    <row r="130" spans="1:33">
      <c r="A130" s="173" t="s">
        <v>321</v>
      </c>
      <c r="B130" s="173" t="s">
        <v>313</v>
      </c>
      <c r="C130" s="179" t="e">
        <f t="shared" ref="C130:AG131" si="64">C125</f>
        <v>#REF!</v>
      </c>
      <c r="D130" s="179" t="e">
        <f t="shared" si="64"/>
        <v>#REF!</v>
      </c>
      <c r="E130" s="179" t="e">
        <f t="shared" si="64"/>
        <v>#REF!</v>
      </c>
      <c r="F130" s="179" t="e">
        <f t="shared" si="64"/>
        <v>#REF!</v>
      </c>
      <c r="G130" s="179" t="e">
        <f t="shared" si="64"/>
        <v>#REF!</v>
      </c>
      <c r="H130" s="179" t="e">
        <f t="shared" si="64"/>
        <v>#REF!</v>
      </c>
      <c r="I130" s="179" t="e">
        <f t="shared" si="64"/>
        <v>#REF!</v>
      </c>
      <c r="J130" s="179" t="e">
        <f t="shared" si="64"/>
        <v>#REF!</v>
      </c>
      <c r="K130" s="179" t="e">
        <f t="shared" si="64"/>
        <v>#REF!</v>
      </c>
      <c r="L130" s="179" t="e">
        <f t="shared" si="64"/>
        <v>#REF!</v>
      </c>
      <c r="M130" s="179" t="e">
        <f t="shared" si="64"/>
        <v>#REF!</v>
      </c>
      <c r="N130" s="179" t="e">
        <f t="shared" si="64"/>
        <v>#REF!</v>
      </c>
      <c r="O130" s="179" t="e">
        <f t="shared" si="64"/>
        <v>#REF!</v>
      </c>
      <c r="P130" s="179" t="e">
        <f t="shared" si="64"/>
        <v>#REF!</v>
      </c>
      <c r="Q130" s="179" t="e">
        <f t="shared" si="64"/>
        <v>#REF!</v>
      </c>
      <c r="R130" s="179" t="e">
        <f t="shared" si="64"/>
        <v>#REF!</v>
      </c>
      <c r="S130" s="179" t="e">
        <f t="shared" si="64"/>
        <v>#REF!</v>
      </c>
      <c r="T130" s="179" t="e">
        <f t="shared" si="64"/>
        <v>#REF!</v>
      </c>
      <c r="U130" s="179" t="e">
        <f t="shared" si="64"/>
        <v>#REF!</v>
      </c>
      <c r="V130" s="179" t="e">
        <f t="shared" si="64"/>
        <v>#REF!</v>
      </c>
      <c r="W130" s="179" t="e">
        <f t="shared" si="64"/>
        <v>#REF!</v>
      </c>
      <c r="X130" s="179" t="e">
        <f t="shared" si="64"/>
        <v>#REF!</v>
      </c>
      <c r="Y130" s="179" t="e">
        <f t="shared" si="64"/>
        <v>#REF!</v>
      </c>
      <c r="Z130" s="179" t="e">
        <f t="shared" si="64"/>
        <v>#REF!</v>
      </c>
      <c r="AA130" s="179" t="e">
        <f t="shared" si="64"/>
        <v>#REF!</v>
      </c>
      <c r="AB130" s="179" t="e">
        <f t="shared" si="64"/>
        <v>#REF!</v>
      </c>
      <c r="AC130" s="179" t="e">
        <f t="shared" si="64"/>
        <v>#REF!</v>
      </c>
      <c r="AD130" s="179" t="e">
        <f t="shared" si="64"/>
        <v>#REF!</v>
      </c>
      <c r="AE130" s="179" t="e">
        <f t="shared" si="64"/>
        <v>#REF!</v>
      </c>
      <c r="AF130" s="179" t="e">
        <f t="shared" si="64"/>
        <v>#REF!</v>
      </c>
      <c r="AG130" s="179" t="e">
        <f t="shared" si="64"/>
        <v>#REF!</v>
      </c>
    </row>
    <row r="131" spans="1:33">
      <c r="A131" s="173" t="s">
        <v>317</v>
      </c>
      <c r="B131" s="173" t="s">
        <v>313</v>
      </c>
      <c r="C131" s="179" t="e">
        <f>C126</f>
        <v>#REF!</v>
      </c>
      <c r="D131" s="179" t="e">
        <f t="shared" si="64"/>
        <v>#REF!</v>
      </c>
      <c r="E131" s="179" t="e">
        <f t="shared" si="64"/>
        <v>#REF!</v>
      </c>
      <c r="F131" s="179" t="e">
        <f t="shared" si="64"/>
        <v>#REF!</v>
      </c>
      <c r="G131" s="179" t="e">
        <f t="shared" si="64"/>
        <v>#REF!</v>
      </c>
      <c r="H131" s="179" t="e">
        <f t="shared" si="64"/>
        <v>#REF!</v>
      </c>
      <c r="I131" s="179" t="e">
        <f t="shared" si="64"/>
        <v>#REF!</v>
      </c>
      <c r="J131" s="179" t="e">
        <f t="shared" si="64"/>
        <v>#REF!</v>
      </c>
      <c r="K131" s="179" t="e">
        <f t="shared" si="64"/>
        <v>#REF!</v>
      </c>
      <c r="L131" s="179" t="e">
        <f t="shared" si="64"/>
        <v>#REF!</v>
      </c>
      <c r="M131" s="179" t="e">
        <f t="shared" si="64"/>
        <v>#REF!</v>
      </c>
      <c r="N131" s="179" t="e">
        <f t="shared" si="64"/>
        <v>#REF!</v>
      </c>
      <c r="O131" s="179" t="e">
        <f t="shared" si="64"/>
        <v>#REF!</v>
      </c>
      <c r="P131" s="179" t="e">
        <f t="shared" si="64"/>
        <v>#REF!</v>
      </c>
      <c r="Q131" s="179" t="e">
        <f t="shared" si="64"/>
        <v>#REF!</v>
      </c>
      <c r="R131" s="179" t="e">
        <f t="shared" si="64"/>
        <v>#REF!</v>
      </c>
      <c r="S131" s="179" t="e">
        <f t="shared" si="64"/>
        <v>#REF!</v>
      </c>
      <c r="T131" s="179" t="e">
        <f t="shared" si="64"/>
        <v>#REF!</v>
      </c>
      <c r="U131" s="179" t="e">
        <f t="shared" si="64"/>
        <v>#REF!</v>
      </c>
      <c r="V131" s="179" t="e">
        <f t="shared" si="64"/>
        <v>#REF!</v>
      </c>
      <c r="W131" s="179" t="e">
        <f t="shared" si="64"/>
        <v>#REF!</v>
      </c>
      <c r="X131" s="179" t="e">
        <f t="shared" si="64"/>
        <v>#REF!</v>
      </c>
      <c r="Y131" s="179" t="e">
        <f t="shared" si="64"/>
        <v>#REF!</v>
      </c>
      <c r="Z131" s="179" t="e">
        <f t="shared" si="64"/>
        <v>#REF!</v>
      </c>
      <c r="AA131" s="179" t="e">
        <f t="shared" si="64"/>
        <v>#REF!</v>
      </c>
      <c r="AB131" s="179" t="e">
        <f t="shared" si="64"/>
        <v>#REF!</v>
      </c>
      <c r="AC131" s="179" t="e">
        <f t="shared" si="64"/>
        <v>#REF!</v>
      </c>
      <c r="AD131" s="179" t="e">
        <f t="shared" si="64"/>
        <v>#REF!</v>
      </c>
      <c r="AE131" s="179" t="e">
        <f t="shared" si="64"/>
        <v>#REF!</v>
      </c>
      <c r="AF131" s="179" t="e">
        <f t="shared" si="64"/>
        <v>#REF!</v>
      </c>
      <c r="AG131" s="179" t="e">
        <f t="shared" si="64"/>
        <v>#REF!</v>
      </c>
    </row>
    <row r="132" spans="1:33">
      <c r="A132" s="173" t="s">
        <v>319</v>
      </c>
      <c r="B132" s="173" t="s">
        <v>313</v>
      </c>
      <c r="C132" s="179" t="e">
        <f>C127</f>
        <v>#REF!</v>
      </c>
      <c r="D132" s="179" t="e">
        <f t="shared" ref="D132:AG132" si="65">D127</f>
        <v>#REF!</v>
      </c>
      <c r="E132" s="179" t="e">
        <f t="shared" si="65"/>
        <v>#REF!</v>
      </c>
      <c r="F132" s="179" t="e">
        <f t="shared" si="65"/>
        <v>#REF!</v>
      </c>
      <c r="G132" s="179" t="e">
        <f t="shared" si="65"/>
        <v>#REF!</v>
      </c>
      <c r="H132" s="179" t="e">
        <f t="shared" si="65"/>
        <v>#REF!</v>
      </c>
      <c r="I132" s="179" t="e">
        <f t="shared" si="65"/>
        <v>#REF!</v>
      </c>
      <c r="J132" s="179" t="e">
        <f t="shared" si="65"/>
        <v>#REF!</v>
      </c>
      <c r="K132" s="179" t="e">
        <f t="shared" si="65"/>
        <v>#REF!</v>
      </c>
      <c r="L132" s="179" t="e">
        <f t="shared" si="65"/>
        <v>#REF!</v>
      </c>
      <c r="M132" s="179" t="e">
        <f t="shared" si="65"/>
        <v>#REF!</v>
      </c>
      <c r="N132" s="179" t="e">
        <f t="shared" si="65"/>
        <v>#REF!</v>
      </c>
      <c r="O132" s="179" t="e">
        <f t="shared" si="65"/>
        <v>#REF!</v>
      </c>
      <c r="P132" s="179" t="e">
        <f t="shared" si="65"/>
        <v>#REF!</v>
      </c>
      <c r="Q132" s="179" t="e">
        <f t="shared" si="65"/>
        <v>#REF!</v>
      </c>
      <c r="R132" s="179" t="e">
        <f t="shared" si="65"/>
        <v>#REF!</v>
      </c>
      <c r="S132" s="179" t="e">
        <f t="shared" si="65"/>
        <v>#REF!</v>
      </c>
      <c r="T132" s="179" t="e">
        <f t="shared" si="65"/>
        <v>#REF!</v>
      </c>
      <c r="U132" s="179" t="e">
        <f t="shared" si="65"/>
        <v>#REF!</v>
      </c>
      <c r="V132" s="179" t="e">
        <f t="shared" si="65"/>
        <v>#REF!</v>
      </c>
      <c r="W132" s="179" t="e">
        <f t="shared" si="65"/>
        <v>#REF!</v>
      </c>
      <c r="X132" s="179" t="e">
        <f t="shared" si="65"/>
        <v>#REF!</v>
      </c>
      <c r="Y132" s="179" t="e">
        <f t="shared" si="65"/>
        <v>#REF!</v>
      </c>
      <c r="Z132" s="179" t="e">
        <f t="shared" si="65"/>
        <v>#REF!</v>
      </c>
      <c r="AA132" s="179" t="e">
        <f t="shared" si="65"/>
        <v>#REF!</v>
      </c>
      <c r="AB132" s="179" t="e">
        <f t="shared" si="65"/>
        <v>#REF!</v>
      </c>
      <c r="AC132" s="179" t="e">
        <f t="shared" si="65"/>
        <v>#REF!</v>
      </c>
      <c r="AD132" s="179" t="e">
        <f t="shared" si="65"/>
        <v>#REF!</v>
      </c>
      <c r="AE132" s="179" t="e">
        <f t="shared" si="65"/>
        <v>#REF!</v>
      </c>
      <c r="AF132" s="179" t="e">
        <f t="shared" si="65"/>
        <v>#REF!</v>
      </c>
      <c r="AG132" s="179" t="e">
        <f t="shared" si="65"/>
        <v>#REF!</v>
      </c>
    </row>
    <row r="133" spans="1:33" s="247" customFormat="1" ht="11.85" customHeight="1">
      <c r="A133" s="270" t="s">
        <v>320</v>
      </c>
    </row>
    <row r="134" spans="1:33">
      <c r="A134" s="173" t="s">
        <v>325</v>
      </c>
      <c r="B134" s="173" t="s">
        <v>300</v>
      </c>
      <c r="C134" s="179" t="e">
        <f t="shared" ref="C134:AG135" si="66">C129/($C$28*$C$27)</f>
        <v>#REF!</v>
      </c>
      <c r="D134" s="179" t="e">
        <f t="shared" si="66"/>
        <v>#REF!</v>
      </c>
      <c r="E134" s="179" t="e">
        <f t="shared" si="66"/>
        <v>#REF!</v>
      </c>
      <c r="F134" s="179" t="e">
        <f t="shared" si="66"/>
        <v>#REF!</v>
      </c>
      <c r="G134" s="179" t="e">
        <f t="shared" si="66"/>
        <v>#REF!</v>
      </c>
      <c r="H134" s="179" t="e">
        <f t="shared" si="66"/>
        <v>#REF!</v>
      </c>
      <c r="I134" s="179" t="e">
        <f t="shared" si="66"/>
        <v>#REF!</v>
      </c>
      <c r="J134" s="179" t="e">
        <f t="shared" si="66"/>
        <v>#REF!</v>
      </c>
      <c r="K134" s="179" t="e">
        <f t="shared" si="66"/>
        <v>#REF!</v>
      </c>
      <c r="L134" s="179" t="e">
        <f t="shared" si="66"/>
        <v>#REF!</v>
      </c>
      <c r="M134" s="179" t="e">
        <f t="shared" si="66"/>
        <v>#REF!</v>
      </c>
      <c r="N134" s="179" t="e">
        <f t="shared" si="66"/>
        <v>#REF!</v>
      </c>
      <c r="O134" s="179" t="e">
        <f t="shared" si="66"/>
        <v>#REF!</v>
      </c>
      <c r="P134" s="179" t="e">
        <f t="shared" si="66"/>
        <v>#REF!</v>
      </c>
      <c r="Q134" s="179" t="e">
        <f t="shared" si="66"/>
        <v>#REF!</v>
      </c>
      <c r="R134" s="179" t="e">
        <f t="shared" si="66"/>
        <v>#REF!</v>
      </c>
      <c r="S134" s="179" t="e">
        <f t="shared" si="66"/>
        <v>#REF!</v>
      </c>
      <c r="T134" s="179" t="e">
        <f t="shared" si="66"/>
        <v>#REF!</v>
      </c>
      <c r="U134" s="179" t="e">
        <f t="shared" si="66"/>
        <v>#REF!</v>
      </c>
      <c r="V134" s="179" t="e">
        <f t="shared" si="66"/>
        <v>#REF!</v>
      </c>
      <c r="W134" s="179" t="e">
        <f t="shared" si="66"/>
        <v>#REF!</v>
      </c>
      <c r="X134" s="179" t="e">
        <f t="shared" si="66"/>
        <v>#REF!</v>
      </c>
      <c r="Y134" s="179" t="e">
        <f t="shared" si="66"/>
        <v>#REF!</v>
      </c>
      <c r="Z134" s="179" t="e">
        <f t="shared" si="66"/>
        <v>#REF!</v>
      </c>
      <c r="AA134" s="179" t="e">
        <f t="shared" si="66"/>
        <v>#REF!</v>
      </c>
      <c r="AB134" s="179" t="e">
        <f t="shared" si="66"/>
        <v>#REF!</v>
      </c>
      <c r="AC134" s="179" t="e">
        <f t="shared" si="66"/>
        <v>#REF!</v>
      </c>
      <c r="AD134" s="179" t="e">
        <f t="shared" si="66"/>
        <v>#REF!</v>
      </c>
      <c r="AE134" s="179" t="e">
        <f t="shared" si="66"/>
        <v>#REF!</v>
      </c>
      <c r="AF134" s="179" t="e">
        <f t="shared" si="66"/>
        <v>#REF!</v>
      </c>
      <c r="AG134" s="179" t="e">
        <f t="shared" si="66"/>
        <v>#REF!</v>
      </c>
    </row>
    <row r="135" spans="1:33">
      <c r="A135" s="173" t="s">
        <v>321</v>
      </c>
      <c r="B135" s="173" t="s">
        <v>300</v>
      </c>
      <c r="C135" s="179" t="e">
        <f t="shared" si="66"/>
        <v>#REF!</v>
      </c>
      <c r="D135" s="179" t="e">
        <f t="shared" si="66"/>
        <v>#REF!</v>
      </c>
      <c r="E135" s="179" t="e">
        <f t="shared" si="66"/>
        <v>#REF!</v>
      </c>
      <c r="F135" s="179" t="e">
        <f t="shared" si="66"/>
        <v>#REF!</v>
      </c>
      <c r="G135" s="179" t="e">
        <f t="shared" si="66"/>
        <v>#REF!</v>
      </c>
      <c r="H135" s="179" t="e">
        <f t="shared" si="66"/>
        <v>#REF!</v>
      </c>
      <c r="I135" s="179" t="e">
        <f t="shared" si="66"/>
        <v>#REF!</v>
      </c>
      <c r="J135" s="179" t="e">
        <f t="shared" si="66"/>
        <v>#REF!</v>
      </c>
      <c r="K135" s="179" t="e">
        <f t="shared" si="66"/>
        <v>#REF!</v>
      </c>
      <c r="L135" s="179" t="e">
        <f t="shared" si="66"/>
        <v>#REF!</v>
      </c>
      <c r="M135" s="179" t="e">
        <f t="shared" si="66"/>
        <v>#REF!</v>
      </c>
      <c r="N135" s="179" t="e">
        <f t="shared" si="66"/>
        <v>#REF!</v>
      </c>
      <c r="O135" s="179" t="e">
        <f t="shared" si="66"/>
        <v>#REF!</v>
      </c>
      <c r="P135" s="179" t="e">
        <f t="shared" si="66"/>
        <v>#REF!</v>
      </c>
      <c r="Q135" s="179" t="e">
        <f t="shared" si="66"/>
        <v>#REF!</v>
      </c>
      <c r="R135" s="179" t="e">
        <f t="shared" si="66"/>
        <v>#REF!</v>
      </c>
      <c r="S135" s="179" t="e">
        <f t="shared" si="66"/>
        <v>#REF!</v>
      </c>
      <c r="T135" s="179" t="e">
        <f t="shared" si="66"/>
        <v>#REF!</v>
      </c>
      <c r="U135" s="179" t="e">
        <f t="shared" si="66"/>
        <v>#REF!</v>
      </c>
      <c r="V135" s="179" t="e">
        <f t="shared" si="66"/>
        <v>#REF!</v>
      </c>
      <c r="W135" s="179" t="e">
        <f t="shared" si="66"/>
        <v>#REF!</v>
      </c>
      <c r="X135" s="179" t="e">
        <f t="shared" si="66"/>
        <v>#REF!</v>
      </c>
      <c r="Y135" s="179" t="e">
        <f t="shared" si="66"/>
        <v>#REF!</v>
      </c>
      <c r="Z135" s="179" t="e">
        <f t="shared" si="66"/>
        <v>#REF!</v>
      </c>
      <c r="AA135" s="179" t="e">
        <f t="shared" si="66"/>
        <v>#REF!</v>
      </c>
      <c r="AB135" s="179" t="e">
        <f t="shared" si="66"/>
        <v>#REF!</v>
      </c>
      <c r="AC135" s="179" t="e">
        <f t="shared" si="66"/>
        <v>#REF!</v>
      </c>
      <c r="AD135" s="179" t="e">
        <f t="shared" si="66"/>
        <v>#REF!</v>
      </c>
      <c r="AE135" s="179" t="e">
        <f t="shared" si="66"/>
        <v>#REF!</v>
      </c>
      <c r="AF135" s="179" t="e">
        <f t="shared" si="66"/>
        <v>#REF!</v>
      </c>
      <c r="AG135" s="179" t="e">
        <f t="shared" si="66"/>
        <v>#REF!</v>
      </c>
    </row>
    <row r="136" spans="1:33">
      <c r="A136" s="173" t="s">
        <v>322</v>
      </c>
      <c r="B136" s="173" t="s">
        <v>300</v>
      </c>
      <c r="C136" s="179" t="e">
        <f t="shared" ref="C136:AG136" si="67">(C131+C132+C70)/($C$28*$C$27)+C63</f>
        <v>#REF!</v>
      </c>
      <c r="D136" s="179" t="e">
        <f t="shared" si="67"/>
        <v>#REF!</v>
      </c>
      <c r="E136" s="179" t="e">
        <f t="shared" si="67"/>
        <v>#REF!</v>
      </c>
      <c r="F136" s="179" t="e">
        <f t="shared" si="67"/>
        <v>#REF!</v>
      </c>
      <c r="G136" s="179" t="e">
        <f t="shared" si="67"/>
        <v>#REF!</v>
      </c>
      <c r="H136" s="179" t="e">
        <f t="shared" si="67"/>
        <v>#REF!</v>
      </c>
      <c r="I136" s="179" t="e">
        <f t="shared" si="67"/>
        <v>#REF!</v>
      </c>
      <c r="J136" s="179" t="e">
        <f t="shared" si="67"/>
        <v>#REF!</v>
      </c>
      <c r="K136" s="179" t="e">
        <f t="shared" si="67"/>
        <v>#REF!</v>
      </c>
      <c r="L136" s="179" t="e">
        <f t="shared" si="67"/>
        <v>#REF!</v>
      </c>
      <c r="M136" s="179" t="e">
        <f t="shared" si="67"/>
        <v>#REF!</v>
      </c>
      <c r="N136" s="179" t="e">
        <f t="shared" si="67"/>
        <v>#REF!</v>
      </c>
      <c r="O136" s="179" t="e">
        <f t="shared" si="67"/>
        <v>#REF!</v>
      </c>
      <c r="P136" s="179" t="e">
        <f t="shared" si="67"/>
        <v>#REF!</v>
      </c>
      <c r="Q136" s="179" t="e">
        <f t="shared" si="67"/>
        <v>#REF!</v>
      </c>
      <c r="R136" s="179" t="e">
        <f t="shared" si="67"/>
        <v>#REF!</v>
      </c>
      <c r="S136" s="179" t="e">
        <f t="shared" si="67"/>
        <v>#REF!</v>
      </c>
      <c r="T136" s="179" t="e">
        <f t="shared" si="67"/>
        <v>#REF!</v>
      </c>
      <c r="U136" s="179" t="e">
        <f t="shared" si="67"/>
        <v>#REF!</v>
      </c>
      <c r="V136" s="179" t="e">
        <f t="shared" si="67"/>
        <v>#REF!</v>
      </c>
      <c r="W136" s="179" t="e">
        <f t="shared" si="67"/>
        <v>#REF!</v>
      </c>
      <c r="X136" s="179" t="e">
        <f t="shared" si="67"/>
        <v>#REF!</v>
      </c>
      <c r="Y136" s="179" t="e">
        <f t="shared" si="67"/>
        <v>#REF!</v>
      </c>
      <c r="Z136" s="179" t="e">
        <f t="shared" si="67"/>
        <v>#REF!</v>
      </c>
      <c r="AA136" s="179" t="e">
        <f t="shared" si="67"/>
        <v>#REF!</v>
      </c>
      <c r="AB136" s="179" t="e">
        <f t="shared" si="67"/>
        <v>#REF!</v>
      </c>
      <c r="AC136" s="179" t="e">
        <f t="shared" si="67"/>
        <v>#REF!</v>
      </c>
      <c r="AD136" s="179" t="e">
        <f t="shared" si="67"/>
        <v>#REF!</v>
      </c>
      <c r="AE136" s="179" t="e">
        <f t="shared" si="67"/>
        <v>#REF!</v>
      </c>
      <c r="AF136" s="179" t="e">
        <f t="shared" si="67"/>
        <v>#REF!</v>
      </c>
      <c r="AG136" s="179" t="e">
        <f t="shared" si="67"/>
        <v>#REF!</v>
      </c>
    </row>
    <row r="137" spans="1:33">
      <c r="C137" s="274" t="e">
        <f t="shared" ref="C137:AC137" si="68">SUM(C134:C136)</f>
        <v>#REF!</v>
      </c>
      <c r="D137" s="274" t="e">
        <f t="shared" si="68"/>
        <v>#REF!</v>
      </c>
      <c r="E137" s="274" t="e">
        <f t="shared" si="68"/>
        <v>#REF!</v>
      </c>
      <c r="F137" s="274" t="e">
        <f t="shared" si="68"/>
        <v>#REF!</v>
      </c>
      <c r="G137" s="274" t="e">
        <f t="shared" si="68"/>
        <v>#REF!</v>
      </c>
      <c r="H137" s="274" t="e">
        <f t="shared" si="68"/>
        <v>#REF!</v>
      </c>
      <c r="I137" s="274" t="e">
        <f t="shared" si="68"/>
        <v>#REF!</v>
      </c>
      <c r="J137" s="274" t="e">
        <f t="shared" si="68"/>
        <v>#REF!</v>
      </c>
      <c r="K137" s="274" t="e">
        <f t="shared" si="68"/>
        <v>#REF!</v>
      </c>
      <c r="L137" s="274" t="e">
        <f t="shared" si="68"/>
        <v>#REF!</v>
      </c>
      <c r="M137" s="274" t="e">
        <f t="shared" si="68"/>
        <v>#REF!</v>
      </c>
      <c r="N137" s="274" t="e">
        <f t="shared" si="68"/>
        <v>#REF!</v>
      </c>
      <c r="O137" s="274" t="e">
        <f t="shared" si="68"/>
        <v>#REF!</v>
      </c>
      <c r="P137" s="274" t="e">
        <f t="shared" si="68"/>
        <v>#REF!</v>
      </c>
      <c r="Q137" s="274" t="e">
        <f t="shared" si="68"/>
        <v>#REF!</v>
      </c>
      <c r="R137" s="274" t="e">
        <f t="shared" si="68"/>
        <v>#REF!</v>
      </c>
      <c r="S137" s="274" t="e">
        <f t="shared" si="68"/>
        <v>#REF!</v>
      </c>
      <c r="T137" s="274" t="e">
        <f t="shared" si="68"/>
        <v>#REF!</v>
      </c>
      <c r="U137" s="274" t="e">
        <f t="shared" si="68"/>
        <v>#REF!</v>
      </c>
      <c r="V137" s="274" t="e">
        <f t="shared" si="68"/>
        <v>#REF!</v>
      </c>
      <c r="W137" s="274" t="e">
        <f t="shared" si="68"/>
        <v>#REF!</v>
      </c>
      <c r="X137" s="274" t="e">
        <f t="shared" si="68"/>
        <v>#REF!</v>
      </c>
      <c r="Y137" s="274" t="e">
        <f t="shared" si="68"/>
        <v>#REF!</v>
      </c>
      <c r="Z137" s="274" t="e">
        <f t="shared" si="68"/>
        <v>#REF!</v>
      </c>
      <c r="AA137" s="274" t="e">
        <f t="shared" si="68"/>
        <v>#REF!</v>
      </c>
      <c r="AB137" s="274" t="e">
        <f t="shared" si="68"/>
        <v>#REF!</v>
      </c>
      <c r="AC137" s="274" t="e">
        <f t="shared" si="68"/>
        <v>#REF!</v>
      </c>
      <c r="AD137" s="274" t="e">
        <f t="shared" ref="AD137:AG137" si="69">SUM(AD134:AD136)</f>
        <v>#REF!</v>
      </c>
      <c r="AE137" s="274" t="e">
        <f t="shared" si="69"/>
        <v>#REF!</v>
      </c>
      <c r="AF137" s="274" t="e">
        <f t="shared" si="69"/>
        <v>#REF!</v>
      </c>
      <c r="AG137" s="274" t="e">
        <f t="shared" si="69"/>
        <v>#REF!</v>
      </c>
    </row>
    <row r="138" spans="1:33" s="225" customFormat="1">
      <c r="A138" s="223" t="s">
        <v>327</v>
      </c>
      <c r="B138" s="223"/>
      <c r="H138" s="272" t="e">
        <f>H141/H86</f>
        <v>#REF!</v>
      </c>
      <c r="AB138" s="272" t="e">
        <f>AB141/AB86</f>
        <v>#REF!</v>
      </c>
    </row>
    <row r="139" spans="1:33">
      <c r="A139" s="235" t="s">
        <v>41</v>
      </c>
      <c r="B139" s="235"/>
      <c r="C139" s="235">
        <v>2025</v>
      </c>
      <c r="D139" s="235">
        <f t="shared" ref="D139:AG139" si="70">C139+1</f>
        <v>2026</v>
      </c>
      <c r="E139" s="235">
        <f t="shared" si="70"/>
        <v>2027</v>
      </c>
      <c r="F139" s="235">
        <f t="shared" si="70"/>
        <v>2028</v>
      </c>
      <c r="G139" s="235">
        <f t="shared" si="70"/>
        <v>2029</v>
      </c>
      <c r="H139" s="235">
        <f t="shared" si="70"/>
        <v>2030</v>
      </c>
      <c r="I139" s="235">
        <f t="shared" si="70"/>
        <v>2031</v>
      </c>
      <c r="J139" s="235">
        <f t="shared" si="70"/>
        <v>2032</v>
      </c>
      <c r="K139" s="235">
        <f t="shared" si="70"/>
        <v>2033</v>
      </c>
      <c r="L139" s="235">
        <f t="shared" si="70"/>
        <v>2034</v>
      </c>
      <c r="M139" s="235">
        <f t="shared" si="70"/>
        <v>2035</v>
      </c>
      <c r="N139" s="235">
        <f t="shared" si="70"/>
        <v>2036</v>
      </c>
      <c r="O139" s="235">
        <f t="shared" si="70"/>
        <v>2037</v>
      </c>
      <c r="P139" s="235">
        <f t="shared" si="70"/>
        <v>2038</v>
      </c>
      <c r="Q139" s="235">
        <f t="shared" si="70"/>
        <v>2039</v>
      </c>
      <c r="R139" s="235">
        <f t="shared" si="70"/>
        <v>2040</v>
      </c>
      <c r="S139" s="235">
        <f t="shared" si="70"/>
        <v>2041</v>
      </c>
      <c r="T139" s="235">
        <f t="shared" si="70"/>
        <v>2042</v>
      </c>
      <c r="U139" s="235">
        <f t="shared" si="70"/>
        <v>2043</v>
      </c>
      <c r="V139" s="235">
        <f t="shared" si="70"/>
        <v>2044</v>
      </c>
      <c r="W139" s="235">
        <f t="shared" si="70"/>
        <v>2045</v>
      </c>
      <c r="X139" s="235">
        <f t="shared" si="70"/>
        <v>2046</v>
      </c>
      <c r="Y139" s="235">
        <f t="shared" si="70"/>
        <v>2047</v>
      </c>
      <c r="Z139" s="235">
        <f t="shared" si="70"/>
        <v>2048</v>
      </c>
      <c r="AA139" s="235">
        <f t="shared" si="70"/>
        <v>2049</v>
      </c>
      <c r="AB139" s="235">
        <f t="shared" si="70"/>
        <v>2050</v>
      </c>
      <c r="AC139" s="235">
        <f t="shared" si="70"/>
        <v>2051</v>
      </c>
      <c r="AD139" s="235">
        <f t="shared" si="70"/>
        <v>2052</v>
      </c>
      <c r="AE139" s="235">
        <f t="shared" si="70"/>
        <v>2053</v>
      </c>
      <c r="AF139" s="235">
        <f t="shared" si="70"/>
        <v>2054</v>
      </c>
      <c r="AG139" s="235">
        <f t="shared" si="70"/>
        <v>2055</v>
      </c>
    </row>
    <row r="140" spans="1:33">
      <c r="A140" s="173" t="s">
        <v>418</v>
      </c>
      <c r="B140" s="173" t="s">
        <v>309</v>
      </c>
      <c r="C140" s="179" t="e">
        <f>ROUND(($F$73*C60)/1000,0)*1000</f>
        <v>#REF!</v>
      </c>
      <c r="D140" s="179" t="e">
        <f>ROUND(($F$73*D60)/1000,0)*1000</f>
        <v>#REF!</v>
      </c>
      <c r="E140" s="179" t="e">
        <f>ROUND(($F$73*E60)/1000,0)*1000</f>
        <v>#REF!</v>
      </c>
      <c r="F140" s="179" t="e">
        <f t="shared" ref="F140:AG140" si="71">ROUND(($F$73*F60)/1000,0)*1000</f>
        <v>#REF!</v>
      </c>
      <c r="G140" s="179" t="e">
        <f t="shared" si="71"/>
        <v>#REF!</v>
      </c>
      <c r="H140" s="179" t="e">
        <f t="shared" si="71"/>
        <v>#REF!</v>
      </c>
      <c r="I140" s="179" t="e">
        <f t="shared" si="71"/>
        <v>#REF!</v>
      </c>
      <c r="J140" s="179" t="e">
        <f t="shared" si="71"/>
        <v>#REF!</v>
      </c>
      <c r="K140" s="179" t="e">
        <f t="shared" si="71"/>
        <v>#REF!</v>
      </c>
      <c r="L140" s="179" t="e">
        <f t="shared" si="71"/>
        <v>#REF!</v>
      </c>
      <c r="M140" s="179" t="e">
        <f t="shared" si="71"/>
        <v>#REF!</v>
      </c>
      <c r="N140" s="179" t="e">
        <f t="shared" si="71"/>
        <v>#REF!</v>
      </c>
      <c r="O140" s="179" t="e">
        <f t="shared" si="71"/>
        <v>#REF!</v>
      </c>
      <c r="P140" s="179" t="e">
        <f t="shared" si="71"/>
        <v>#REF!</v>
      </c>
      <c r="Q140" s="179" t="e">
        <f t="shared" si="71"/>
        <v>#REF!</v>
      </c>
      <c r="R140" s="179" t="e">
        <f t="shared" si="71"/>
        <v>#REF!</v>
      </c>
      <c r="S140" s="179" t="e">
        <f t="shared" si="71"/>
        <v>#REF!</v>
      </c>
      <c r="T140" s="179" t="e">
        <f t="shared" si="71"/>
        <v>#REF!</v>
      </c>
      <c r="U140" s="179" t="e">
        <f t="shared" si="71"/>
        <v>#REF!</v>
      </c>
      <c r="V140" s="179" t="e">
        <f t="shared" si="71"/>
        <v>#REF!</v>
      </c>
      <c r="W140" s="179" t="e">
        <f t="shared" si="71"/>
        <v>#REF!</v>
      </c>
      <c r="X140" s="179" t="e">
        <f t="shared" si="71"/>
        <v>#REF!</v>
      </c>
      <c r="Y140" s="179" t="e">
        <f t="shared" si="71"/>
        <v>#REF!</v>
      </c>
      <c r="Z140" s="179" t="e">
        <f t="shared" si="71"/>
        <v>#REF!</v>
      </c>
      <c r="AA140" s="179" t="e">
        <f t="shared" si="71"/>
        <v>#REF!</v>
      </c>
      <c r="AB140" s="179" t="e">
        <f t="shared" si="71"/>
        <v>#REF!</v>
      </c>
      <c r="AC140" s="179" t="e">
        <f t="shared" si="71"/>
        <v>#REF!</v>
      </c>
      <c r="AD140" s="179" t="e">
        <f t="shared" si="71"/>
        <v>#REF!</v>
      </c>
      <c r="AE140" s="179" t="e">
        <f t="shared" si="71"/>
        <v>#REF!</v>
      </c>
      <c r="AF140" s="179" t="e">
        <f t="shared" si="71"/>
        <v>#REF!</v>
      </c>
      <c r="AG140" s="179" t="e">
        <f t="shared" si="71"/>
        <v>#REF!</v>
      </c>
    </row>
    <row r="141" spans="1:33">
      <c r="A141" s="290" t="s">
        <v>328</v>
      </c>
      <c r="B141" s="173" t="s">
        <v>309</v>
      </c>
      <c r="C141" s="179" t="e">
        <f t="shared" ref="C141:AG141" si="72">C86+C140</f>
        <v>#REF!</v>
      </c>
      <c r="D141" s="179" t="e">
        <f t="shared" si="72"/>
        <v>#REF!</v>
      </c>
      <c r="E141" s="179" t="e">
        <f t="shared" si="72"/>
        <v>#REF!</v>
      </c>
      <c r="F141" s="179" t="e">
        <f t="shared" si="72"/>
        <v>#REF!</v>
      </c>
      <c r="G141" s="179" t="e">
        <f t="shared" si="72"/>
        <v>#REF!</v>
      </c>
      <c r="H141" s="179" t="e">
        <f t="shared" si="72"/>
        <v>#REF!</v>
      </c>
      <c r="I141" s="179" t="e">
        <f t="shared" si="72"/>
        <v>#REF!</v>
      </c>
      <c r="J141" s="179" t="e">
        <f t="shared" si="72"/>
        <v>#REF!</v>
      </c>
      <c r="K141" s="179" t="e">
        <f t="shared" si="72"/>
        <v>#REF!</v>
      </c>
      <c r="L141" s="179" t="e">
        <f t="shared" si="72"/>
        <v>#REF!</v>
      </c>
      <c r="M141" s="179" t="e">
        <f t="shared" si="72"/>
        <v>#REF!</v>
      </c>
      <c r="N141" s="179" t="e">
        <f t="shared" si="72"/>
        <v>#REF!</v>
      </c>
      <c r="O141" s="179" t="e">
        <f t="shared" si="72"/>
        <v>#REF!</v>
      </c>
      <c r="P141" s="179" t="e">
        <f t="shared" si="72"/>
        <v>#REF!</v>
      </c>
      <c r="Q141" s="179" t="e">
        <f t="shared" si="72"/>
        <v>#REF!</v>
      </c>
      <c r="R141" s="179" t="e">
        <f t="shared" si="72"/>
        <v>#REF!</v>
      </c>
      <c r="S141" s="179" t="e">
        <f t="shared" si="72"/>
        <v>#REF!</v>
      </c>
      <c r="T141" s="179" t="e">
        <f t="shared" si="72"/>
        <v>#REF!</v>
      </c>
      <c r="U141" s="179" t="e">
        <f t="shared" si="72"/>
        <v>#REF!</v>
      </c>
      <c r="V141" s="179" t="e">
        <f t="shared" si="72"/>
        <v>#REF!</v>
      </c>
      <c r="W141" s="179" t="e">
        <f t="shared" si="72"/>
        <v>#REF!</v>
      </c>
      <c r="X141" s="179" t="e">
        <f t="shared" si="72"/>
        <v>#REF!</v>
      </c>
      <c r="Y141" s="179" t="e">
        <f t="shared" si="72"/>
        <v>#REF!</v>
      </c>
      <c r="Z141" s="179" t="e">
        <f t="shared" si="72"/>
        <v>#REF!</v>
      </c>
      <c r="AA141" s="179" t="e">
        <f t="shared" si="72"/>
        <v>#REF!</v>
      </c>
      <c r="AB141" s="179" t="e">
        <f t="shared" si="72"/>
        <v>#REF!</v>
      </c>
      <c r="AC141" s="179" t="e">
        <f t="shared" si="72"/>
        <v>#REF!</v>
      </c>
      <c r="AD141" s="179" t="e">
        <f t="shared" si="72"/>
        <v>#REF!</v>
      </c>
      <c r="AE141" s="179" t="e">
        <f t="shared" si="72"/>
        <v>#REF!</v>
      </c>
      <c r="AF141" s="179" t="e">
        <f t="shared" si="72"/>
        <v>#REF!</v>
      </c>
      <c r="AG141" s="179" t="e">
        <f t="shared" si="72"/>
        <v>#REF!</v>
      </c>
    </row>
    <row r="142" spans="1:33">
      <c r="A142" s="173" t="s">
        <v>321</v>
      </c>
      <c r="B142" s="173" t="s">
        <v>309</v>
      </c>
      <c r="C142" s="179" t="e">
        <f t="shared" ref="C142:AG142" si="73">$F$82*C50</f>
        <v>#REF!</v>
      </c>
      <c r="D142" s="179" t="e">
        <f t="shared" si="73"/>
        <v>#REF!</v>
      </c>
      <c r="E142" s="179" t="e">
        <f t="shared" si="73"/>
        <v>#REF!</v>
      </c>
      <c r="F142" s="179" t="e">
        <f t="shared" si="73"/>
        <v>#REF!</v>
      </c>
      <c r="G142" s="179" t="e">
        <f t="shared" si="73"/>
        <v>#REF!</v>
      </c>
      <c r="H142" s="179" t="e">
        <f t="shared" si="73"/>
        <v>#REF!</v>
      </c>
      <c r="I142" s="179" t="e">
        <f t="shared" si="73"/>
        <v>#REF!</v>
      </c>
      <c r="J142" s="179" t="e">
        <f t="shared" si="73"/>
        <v>#REF!</v>
      </c>
      <c r="K142" s="179" t="e">
        <f t="shared" si="73"/>
        <v>#REF!</v>
      </c>
      <c r="L142" s="179" t="e">
        <f t="shared" si="73"/>
        <v>#REF!</v>
      </c>
      <c r="M142" s="179" t="e">
        <f t="shared" si="73"/>
        <v>#REF!</v>
      </c>
      <c r="N142" s="179" t="e">
        <f t="shared" si="73"/>
        <v>#REF!</v>
      </c>
      <c r="O142" s="179" t="e">
        <f t="shared" si="73"/>
        <v>#REF!</v>
      </c>
      <c r="P142" s="179" t="e">
        <f t="shared" si="73"/>
        <v>#REF!</v>
      </c>
      <c r="Q142" s="179" t="e">
        <f t="shared" si="73"/>
        <v>#REF!</v>
      </c>
      <c r="R142" s="179" t="e">
        <f t="shared" si="73"/>
        <v>#REF!</v>
      </c>
      <c r="S142" s="179" t="e">
        <f t="shared" si="73"/>
        <v>#REF!</v>
      </c>
      <c r="T142" s="179" t="e">
        <f t="shared" si="73"/>
        <v>#REF!</v>
      </c>
      <c r="U142" s="179" t="e">
        <f t="shared" si="73"/>
        <v>#REF!</v>
      </c>
      <c r="V142" s="179" t="e">
        <f t="shared" si="73"/>
        <v>#REF!</v>
      </c>
      <c r="W142" s="179" t="e">
        <f t="shared" si="73"/>
        <v>#REF!</v>
      </c>
      <c r="X142" s="179" t="e">
        <f t="shared" si="73"/>
        <v>#REF!</v>
      </c>
      <c r="Y142" s="179" t="e">
        <f t="shared" si="73"/>
        <v>#REF!</v>
      </c>
      <c r="Z142" s="179" t="e">
        <f t="shared" si="73"/>
        <v>#REF!</v>
      </c>
      <c r="AA142" s="179" t="e">
        <f t="shared" si="73"/>
        <v>#REF!</v>
      </c>
      <c r="AB142" s="179" t="e">
        <f t="shared" si="73"/>
        <v>#REF!</v>
      </c>
      <c r="AC142" s="179" t="e">
        <f t="shared" si="73"/>
        <v>#REF!</v>
      </c>
      <c r="AD142" s="179" t="e">
        <f t="shared" si="73"/>
        <v>#REF!</v>
      </c>
      <c r="AE142" s="179" t="e">
        <f t="shared" si="73"/>
        <v>#REF!</v>
      </c>
      <c r="AF142" s="179" t="e">
        <f t="shared" si="73"/>
        <v>#REF!</v>
      </c>
      <c r="AG142" s="179" t="e">
        <f t="shared" si="73"/>
        <v>#REF!</v>
      </c>
    </row>
    <row r="143" spans="1:33">
      <c r="A143" s="173" t="s">
        <v>317</v>
      </c>
      <c r="B143" s="173" t="s">
        <v>309</v>
      </c>
      <c r="C143" s="179" t="e">
        <f t="shared" ref="C143:AG143" si="74">$C$28*$C$27*C66</f>
        <v>#REF!</v>
      </c>
      <c r="D143" s="179" t="e">
        <f t="shared" si="74"/>
        <v>#REF!</v>
      </c>
      <c r="E143" s="179" t="e">
        <f t="shared" si="74"/>
        <v>#REF!</v>
      </c>
      <c r="F143" s="179" t="e">
        <f t="shared" si="74"/>
        <v>#REF!</v>
      </c>
      <c r="G143" s="179" t="e">
        <f t="shared" si="74"/>
        <v>#REF!</v>
      </c>
      <c r="H143" s="179" t="e">
        <f t="shared" si="74"/>
        <v>#REF!</v>
      </c>
      <c r="I143" s="179" t="e">
        <f t="shared" si="74"/>
        <v>#REF!</v>
      </c>
      <c r="J143" s="179" t="e">
        <f t="shared" si="74"/>
        <v>#REF!</v>
      </c>
      <c r="K143" s="179" t="e">
        <f t="shared" si="74"/>
        <v>#REF!</v>
      </c>
      <c r="L143" s="179" t="e">
        <f t="shared" si="74"/>
        <v>#REF!</v>
      </c>
      <c r="M143" s="179" t="e">
        <f t="shared" si="74"/>
        <v>#REF!</v>
      </c>
      <c r="N143" s="179" t="e">
        <f t="shared" si="74"/>
        <v>#REF!</v>
      </c>
      <c r="O143" s="179" t="e">
        <f t="shared" si="74"/>
        <v>#REF!</v>
      </c>
      <c r="P143" s="179" t="e">
        <f t="shared" si="74"/>
        <v>#REF!</v>
      </c>
      <c r="Q143" s="179" t="e">
        <f t="shared" si="74"/>
        <v>#REF!</v>
      </c>
      <c r="R143" s="179" t="e">
        <f t="shared" si="74"/>
        <v>#REF!</v>
      </c>
      <c r="S143" s="179" t="e">
        <f t="shared" si="74"/>
        <v>#REF!</v>
      </c>
      <c r="T143" s="179" t="e">
        <f t="shared" si="74"/>
        <v>#REF!</v>
      </c>
      <c r="U143" s="179" t="e">
        <f t="shared" si="74"/>
        <v>#REF!</v>
      </c>
      <c r="V143" s="179" t="e">
        <f t="shared" si="74"/>
        <v>#REF!</v>
      </c>
      <c r="W143" s="179" t="e">
        <f t="shared" si="74"/>
        <v>#REF!</v>
      </c>
      <c r="X143" s="179" t="e">
        <f t="shared" si="74"/>
        <v>#REF!</v>
      </c>
      <c r="Y143" s="179" t="e">
        <f t="shared" si="74"/>
        <v>#REF!</v>
      </c>
      <c r="Z143" s="179" t="e">
        <f t="shared" si="74"/>
        <v>#REF!</v>
      </c>
      <c r="AA143" s="179" t="e">
        <f t="shared" si="74"/>
        <v>#REF!</v>
      </c>
      <c r="AB143" s="179" t="e">
        <f t="shared" si="74"/>
        <v>#REF!</v>
      </c>
      <c r="AC143" s="179" t="e">
        <f t="shared" si="74"/>
        <v>#REF!</v>
      </c>
      <c r="AD143" s="179" t="e">
        <f t="shared" si="74"/>
        <v>#REF!</v>
      </c>
      <c r="AE143" s="179" t="e">
        <f t="shared" si="74"/>
        <v>#REF!</v>
      </c>
      <c r="AF143" s="179" t="e">
        <f t="shared" si="74"/>
        <v>#REF!</v>
      </c>
      <c r="AG143" s="179" t="e">
        <f t="shared" si="74"/>
        <v>#REF!</v>
      </c>
    </row>
    <row r="144" spans="1:33">
      <c r="A144" s="173" t="s">
        <v>319</v>
      </c>
      <c r="B144" s="173" t="s">
        <v>309</v>
      </c>
      <c r="C144" s="179" t="e">
        <f t="shared" ref="C144:AG144" si="75">C141*$C$34</f>
        <v>#REF!</v>
      </c>
      <c r="D144" s="179" t="e">
        <f t="shared" si="75"/>
        <v>#REF!</v>
      </c>
      <c r="E144" s="179" t="e">
        <f t="shared" si="75"/>
        <v>#REF!</v>
      </c>
      <c r="F144" s="179" t="e">
        <f t="shared" si="75"/>
        <v>#REF!</v>
      </c>
      <c r="G144" s="179" t="e">
        <f t="shared" si="75"/>
        <v>#REF!</v>
      </c>
      <c r="H144" s="179" t="e">
        <f t="shared" si="75"/>
        <v>#REF!</v>
      </c>
      <c r="I144" s="179" t="e">
        <f t="shared" si="75"/>
        <v>#REF!</v>
      </c>
      <c r="J144" s="179" t="e">
        <f t="shared" si="75"/>
        <v>#REF!</v>
      </c>
      <c r="K144" s="179" t="e">
        <f t="shared" si="75"/>
        <v>#REF!</v>
      </c>
      <c r="L144" s="179" t="e">
        <f t="shared" si="75"/>
        <v>#REF!</v>
      </c>
      <c r="M144" s="179" t="e">
        <f t="shared" si="75"/>
        <v>#REF!</v>
      </c>
      <c r="N144" s="179" t="e">
        <f t="shared" si="75"/>
        <v>#REF!</v>
      </c>
      <c r="O144" s="179" t="e">
        <f t="shared" si="75"/>
        <v>#REF!</v>
      </c>
      <c r="P144" s="179" t="e">
        <f t="shared" si="75"/>
        <v>#REF!</v>
      </c>
      <c r="Q144" s="179" t="e">
        <f t="shared" si="75"/>
        <v>#REF!</v>
      </c>
      <c r="R144" s="179" t="e">
        <f t="shared" si="75"/>
        <v>#REF!</v>
      </c>
      <c r="S144" s="179" t="e">
        <f t="shared" si="75"/>
        <v>#REF!</v>
      </c>
      <c r="T144" s="179" t="e">
        <f t="shared" si="75"/>
        <v>#REF!</v>
      </c>
      <c r="U144" s="179" t="e">
        <f t="shared" si="75"/>
        <v>#REF!</v>
      </c>
      <c r="V144" s="179" t="e">
        <f t="shared" si="75"/>
        <v>#REF!</v>
      </c>
      <c r="W144" s="179" t="e">
        <f t="shared" si="75"/>
        <v>#REF!</v>
      </c>
      <c r="X144" s="179" t="e">
        <f t="shared" si="75"/>
        <v>#REF!</v>
      </c>
      <c r="Y144" s="179" t="e">
        <f t="shared" si="75"/>
        <v>#REF!</v>
      </c>
      <c r="Z144" s="179" t="e">
        <f t="shared" si="75"/>
        <v>#REF!</v>
      </c>
      <c r="AA144" s="179" t="e">
        <f t="shared" si="75"/>
        <v>#REF!</v>
      </c>
      <c r="AB144" s="179" t="e">
        <f t="shared" si="75"/>
        <v>#REF!</v>
      </c>
      <c r="AC144" s="179" t="e">
        <f t="shared" si="75"/>
        <v>#REF!</v>
      </c>
      <c r="AD144" s="179" t="e">
        <f t="shared" si="75"/>
        <v>#REF!</v>
      </c>
      <c r="AE144" s="179" t="e">
        <f t="shared" si="75"/>
        <v>#REF!</v>
      </c>
      <c r="AF144" s="179" t="e">
        <f t="shared" si="75"/>
        <v>#REF!</v>
      </c>
      <c r="AG144" s="179" t="e">
        <f t="shared" si="75"/>
        <v>#REF!</v>
      </c>
    </row>
    <row r="145" spans="1:34" s="247" customFormat="1" ht="11.85" customHeight="1">
      <c r="A145" s="270" t="s">
        <v>414</v>
      </c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</row>
    <row r="146" spans="1:34">
      <c r="A146" s="173" t="s">
        <v>325</v>
      </c>
      <c r="B146" s="173" t="s">
        <v>313</v>
      </c>
      <c r="C146" s="179" t="e">
        <f t="shared" ref="C146:AG146" si="76">-PMT($C$33,$C$31,C141)</f>
        <v>#REF!</v>
      </c>
      <c r="D146" s="179" t="e">
        <f t="shared" si="76"/>
        <v>#REF!</v>
      </c>
      <c r="E146" s="179" t="e">
        <f t="shared" si="76"/>
        <v>#REF!</v>
      </c>
      <c r="F146" s="179" t="e">
        <f t="shared" si="76"/>
        <v>#REF!</v>
      </c>
      <c r="G146" s="179" t="e">
        <f t="shared" si="76"/>
        <v>#REF!</v>
      </c>
      <c r="H146" s="179" t="e">
        <f t="shared" si="76"/>
        <v>#REF!</v>
      </c>
      <c r="I146" s="179" t="e">
        <f t="shared" si="76"/>
        <v>#REF!</v>
      </c>
      <c r="J146" s="179" t="e">
        <f t="shared" si="76"/>
        <v>#REF!</v>
      </c>
      <c r="K146" s="179" t="e">
        <f t="shared" si="76"/>
        <v>#REF!</v>
      </c>
      <c r="L146" s="179" t="e">
        <f t="shared" si="76"/>
        <v>#REF!</v>
      </c>
      <c r="M146" s="179" t="e">
        <f t="shared" si="76"/>
        <v>#REF!</v>
      </c>
      <c r="N146" s="179" t="e">
        <f t="shared" si="76"/>
        <v>#REF!</v>
      </c>
      <c r="O146" s="179" t="e">
        <f t="shared" si="76"/>
        <v>#REF!</v>
      </c>
      <c r="P146" s="179" t="e">
        <f t="shared" si="76"/>
        <v>#REF!</v>
      </c>
      <c r="Q146" s="179" t="e">
        <f t="shared" si="76"/>
        <v>#REF!</v>
      </c>
      <c r="R146" s="179" t="e">
        <f t="shared" si="76"/>
        <v>#REF!</v>
      </c>
      <c r="S146" s="179" t="e">
        <f t="shared" si="76"/>
        <v>#REF!</v>
      </c>
      <c r="T146" s="179" t="e">
        <f t="shared" si="76"/>
        <v>#REF!</v>
      </c>
      <c r="U146" s="179" t="e">
        <f t="shared" si="76"/>
        <v>#REF!</v>
      </c>
      <c r="V146" s="179" t="e">
        <f t="shared" si="76"/>
        <v>#REF!</v>
      </c>
      <c r="W146" s="179" t="e">
        <f t="shared" si="76"/>
        <v>#REF!</v>
      </c>
      <c r="X146" s="179" t="e">
        <f t="shared" si="76"/>
        <v>#REF!</v>
      </c>
      <c r="Y146" s="179" t="e">
        <f t="shared" si="76"/>
        <v>#REF!</v>
      </c>
      <c r="Z146" s="179" t="e">
        <f t="shared" si="76"/>
        <v>#REF!</v>
      </c>
      <c r="AA146" s="179" t="e">
        <f t="shared" si="76"/>
        <v>#REF!</v>
      </c>
      <c r="AB146" s="179" t="e">
        <f t="shared" si="76"/>
        <v>#REF!</v>
      </c>
      <c r="AC146" s="179" t="e">
        <f t="shared" si="76"/>
        <v>#REF!</v>
      </c>
      <c r="AD146" s="179" t="e">
        <f t="shared" si="76"/>
        <v>#REF!</v>
      </c>
      <c r="AE146" s="179" t="e">
        <f t="shared" si="76"/>
        <v>#REF!</v>
      </c>
      <c r="AF146" s="179" t="e">
        <f t="shared" si="76"/>
        <v>#REF!</v>
      </c>
      <c r="AG146" s="179" t="e">
        <f t="shared" si="76"/>
        <v>#REF!</v>
      </c>
    </row>
    <row r="147" spans="1:34">
      <c r="A147" s="173" t="s">
        <v>321</v>
      </c>
      <c r="B147" s="173" t="s">
        <v>313</v>
      </c>
      <c r="C147" s="179" t="e">
        <f t="shared" ref="C147:AG149" si="77">C142</f>
        <v>#REF!</v>
      </c>
      <c r="D147" s="179" t="e">
        <f t="shared" si="77"/>
        <v>#REF!</v>
      </c>
      <c r="E147" s="179" t="e">
        <f t="shared" si="77"/>
        <v>#REF!</v>
      </c>
      <c r="F147" s="179" t="e">
        <f t="shared" si="77"/>
        <v>#REF!</v>
      </c>
      <c r="G147" s="179" t="e">
        <f t="shared" si="77"/>
        <v>#REF!</v>
      </c>
      <c r="H147" s="179" t="e">
        <f t="shared" si="77"/>
        <v>#REF!</v>
      </c>
      <c r="I147" s="179" t="e">
        <f t="shared" si="77"/>
        <v>#REF!</v>
      </c>
      <c r="J147" s="179" t="e">
        <f t="shared" si="77"/>
        <v>#REF!</v>
      </c>
      <c r="K147" s="179" t="e">
        <f t="shared" si="77"/>
        <v>#REF!</v>
      </c>
      <c r="L147" s="179" t="e">
        <f t="shared" si="77"/>
        <v>#REF!</v>
      </c>
      <c r="M147" s="179" t="e">
        <f t="shared" si="77"/>
        <v>#REF!</v>
      </c>
      <c r="N147" s="179" t="e">
        <f t="shared" si="77"/>
        <v>#REF!</v>
      </c>
      <c r="O147" s="179" t="e">
        <f t="shared" si="77"/>
        <v>#REF!</v>
      </c>
      <c r="P147" s="179" t="e">
        <f t="shared" si="77"/>
        <v>#REF!</v>
      </c>
      <c r="Q147" s="179" t="e">
        <f t="shared" si="77"/>
        <v>#REF!</v>
      </c>
      <c r="R147" s="179" t="e">
        <f t="shared" si="77"/>
        <v>#REF!</v>
      </c>
      <c r="S147" s="179" t="e">
        <f t="shared" si="77"/>
        <v>#REF!</v>
      </c>
      <c r="T147" s="179" t="e">
        <f t="shared" si="77"/>
        <v>#REF!</v>
      </c>
      <c r="U147" s="179" t="e">
        <f t="shared" si="77"/>
        <v>#REF!</v>
      </c>
      <c r="V147" s="179" t="e">
        <f t="shared" si="77"/>
        <v>#REF!</v>
      </c>
      <c r="W147" s="179" t="e">
        <f t="shared" si="77"/>
        <v>#REF!</v>
      </c>
      <c r="X147" s="179" t="e">
        <f t="shared" si="77"/>
        <v>#REF!</v>
      </c>
      <c r="Y147" s="179" t="e">
        <f t="shared" si="77"/>
        <v>#REF!</v>
      </c>
      <c r="Z147" s="179" t="e">
        <f t="shared" si="77"/>
        <v>#REF!</v>
      </c>
      <c r="AA147" s="179" t="e">
        <f t="shared" si="77"/>
        <v>#REF!</v>
      </c>
      <c r="AB147" s="179" t="e">
        <f t="shared" si="77"/>
        <v>#REF!</v>
      </c>
      <c r="AC147" s="179" t="e">
        <f t="shared" si="77"/>
        <v>#REF!</v>
      </c>
      <c r="AD147" s="179" t="e">
        <f t="shared" si="77"/>
        <v>#REF!</v>
      </c>
      <c r="AE147" s="179" t="e">
        <f t="shared" si="77"/>
        <v>#REF!</v>
      </c>
      <c r="AF147" s="179" t="e">
        <f t="shared" si="77"/>
        <v>#REF!</v>
      </c>
      <c r="AG147" s="179" t="e">
        <f t="shared" si="77"/>
        <v>#REF!</v>
      </c>
    </row>
    <row r="148" spans="1:34">
      <c r="A148" s="173" t="s">
        <v>317</v>
      </c>
      <c r="B148" s="173" t="s">
        <v>313</v>
      </c>
      <c r="C148" s="179" t="e">
        <f>C143</f>
        <v>#REF!</v>
      </c>
      <c r="D148" s="179" t="e">
        <f t="shared" si="77"/>
        <v>#REF!</v>
      </c>
      <c r="E148" s="179" t="e">
        <f t="shared" si="77"/>
        <v>#REF!</v>
      </c>
      <c r="F148" s="179" t="e">
        <f t="shared" si="77"/>
        <v>#REF!</v>
      </c>
      <c r="G148" s="179" t="e">
        <f t="shared" si="77"/>
        <v>#REF!</v>
      </c>
      <c r="H148" s="179" t="e">
        <f t="shared" si="77"/>
        <v>#REF!</v>
      </c>
      <c r="I148" s="179" t="e">
        <f t="shared" si="77"/>
        <v>#REF!</v>
      </c>
      <c r="J148" s="179" t="e">
        <f t="shared" si="77"/>
        <v>#REF!</v>
      </c>
      <c r="K148" s="179" t="e">
        <f t="shared" si="77"/>
        <v>#REF!</v>
      </c>
      <c r="L148" s="179" t="e">
        <f t="shared" si="77"/>
        <v>#REF!</v>
      </c>
      <c r="M148" s="179" t="e">
        <f t="shared" si="77"/>
        <v>#REF!</v>
      </c>
      <c r="N148" s="179" t="e">
        <f t="shared" si="77"/>
        <v>#REF!</v>
      </c>
      <c r="O148" s="179" t="e">
        <f t="shared" si="77"/>
        <v>#REF!</v>
      </c>
      <c r="P148" s="179" t="e">
        <f t="shared" si="77"/>
        <v>#REF!</v>
      </c>
      <c r="Q148" s="179" t="e">
        <f t="shared" si="77"/>
        <v>#REF!</v>
      </c>
      <c r="R148" s="179" t="e">
        <f t="shared" si="77"/>
        <v>#REF!</v>
      </c>
      <c r="S148" s="179" t="e">
        <f t="shared" si="77"/>
        <v>#REF!</v>
      </c>
      <c r="T148" s="179" t="e">
        <f t="shared" si="77"/>
        <v>#REF!</v>
      </c>
      <c r="U148" s="179" t="e">
        <f t="shared" si="77"/>
        <v>#REF!</v>
      </c>
      <c r="V148" s="179" t="e">
        <f t="shared" si="77"/>
        <v>#REF!</v>
      </c>
      <c r="W148" s="179" t="e">
        <f t="shared" si="77"/>
        <v>#REF!</v>
      </c>
      <c r="X148" s="179" t="e">
        <f t="shared" si="77"/>
        <v>#REF!</v>
      </c>
      <c r="Y148" s="179" t="e">
        <f t="shared" si="77"/>
        <v>#REF!</v>
      </c>
      <c r="Z148" s="179" t="e">
        <f t="shared" si="77"/>
        <v>#REF!</v>
      </c>
      <c r="AA148" s="179" t="e">
        <f t="shared" si="77"/>
        <v>#REF!</v>
      </c>
      <c r="AB148" s="179" t="e">
        <f t="shared" si="77"/>
        <v>#REF!</v>
      </c>
      <c r="AC148" s="179" t="e">
        <f t="shared" si="77"/>
        <v>#REF!</v>
      </c>
      <c r="AD148" s="179" t="e">
        <f t="shared" si="77"/>
        <v>#REF!</v>
      </c>
      <c r="AE148" s="179" t="e">
        <f t="shared" si="77"/>
        <v>#REF!</v>
      </c>
      <c r="AF148" s="179" t="e">
        <f t="shared" si="77"/>
        <v>#REF!</v>
      </c>
      <c r="AG148" s="179" t="e">
        <f t="shared" si="77"/>
        <v>#REF!</v>
      </c>
    </row>
    <row r="149" spans="1:34">
      <c r="A149" s="173" t="s">
        <v>319</v>
      </c>
      <c r="B149" s="173" t="s">
        <v>313</v>
      </c>
      <c r="C149" s="179" t="e">
        <f>C144</f>
        <v>#REF!</v>
      </c>
      <c r="D149" s="179" t="e">
        <f t="shared" si="77"/>
        <v>#REF!</v>
      </c>
      <c r="E149" s="179" t="e">
        <f t="shared" si="77"/>
        <v>#REF!</v>
      </c>
      <c r="F149" s="179" t="e">
        <f t="shared" si="77"/>
        <v>#REF!</v>
      </c>
      <c r="G149" s="179" t="e">
        <f t="shared" si="77"/>
        <v>#REF!</v>
      </c>
      <c r="H149" s="179" t="e">
        <f t="shared" si="77"/>
        <v>#REF!</v>
      </c>
      <c r="I149" s="179" t="e">
        <f t="shared" si="77"/>
        <v>#REF!</v>
      </c>
      <c r="J149" s="179" t="e">
        <f t="shared" si="77"/>
        <v>#REF!</v>
      </c>
      <c r="K149" s="179" t="e">
        <f t="shared" si="77"/>
        <v>#REF!</v>
      </c>
      <c r="L149" s="179" t="e">
        <f t="shared" si="77"/>
        <v>#REF!</v>
      </c>
      <c r="M149" s="179" t="e">
        <f t="shared" si="77"/>
        <v>#REF!</v>
      </c>
      <c r="N149" s="179" t="e">
        <f t="shared" si="77"/>
        <v>#REF!</v>
      </c>
      <c r="O149" s="179" t="e">
        <f t="shared" si="77"/>
        <v>#REF!</v>
      </c>
      <c r="P149" s="179" t="e">
        <f t="shared" si="77"/>
        <v>#REF!</v>
      </c>
      <c r="Q149" s="179" t="e">
        <f t="shared" si="77"/>
        <v>#REF!</v>
      </c>
      <c r="R149" s="179" t="e">
        <f t="shared" si="77"/>
        <v>#REF!</v>
      </c>
      <c r="S149" s="179" t="e">
        <f t="shared" si="77"/>
        <v>#REF!</v>
      </c>
      <c r="T149" s="179" t="e">
        <f t="shared" si="77"/>
        <v>#REF!</v>
      </c>
      <c r="U149" s="179" t="e">
        <f t="shared" si="77"/>
        <v>#REF!</v>
      </c>
      <c r="V149" s="179" t="e">
        <f t="shared" si="77"/>
        <v>#REF!</v>
      </c>
      <c r="W149" s="179" t="e">
        <f t="shared" si="77"/>
        <v>#REF!</v>
      </c>
      <c r="X149" s="179" t="e">
        <f t="shared" si="77"/>
        <v>#REF!</v>
      </c>
      <c r="Y149" s="179" t="e">
        <f t="shared" si="77"/>
        <v>#REF!</v>
      </c>
      <c r="Z149" s="179" t="e">
        <f t="shared" si="77"/>
        <v>#REF!</v>
      </c>
      <c r="AA149" s="179" t="e">
        <f t="shared" si="77"/>
        <v>#REF!</v>
      </c>
      <c r="AB149" s="179" t="e">
        <f t="shared" si="77"/>
        <v>#REF!</v>
      </c>
      <c r="AC149" s="179" t="e">
        <f t="shared" si="77"/>
        <v>#REF!</v>
      </c>
      <c r="AD149" s="179" t="e">
        <f t="shared" si="77"/>
        <v>#REF!</v>
      </c>
      <c r="AE149" s="179" t="e">
        <f t="shared" si="77"/>
        <v>#REF!</v>
      </c>
      <c r="AF149" s="179" t="e">
        <f t="shared" si="77"/>
        <v>#REF!</v>
      </c>
      <c r="AG149" s="179" t="e">
        <f t="shared" si="77"/>
        <v>#REF!</v>
      </c>
    </row>
    <row r="150" spans="1:34" s="247" customFormat="1" ht="11.85" customHeight="1">
      <c r="A150" s="270" t="s">
        <v>320</v>
      </c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</row>
    <row r="151" spans="1:34">
      <c r="A151" s="173" t="s">
        <v>325</v>
      </c>
      <c r="B151" s="173" t="s">
        <v>300</v>
      </c>
      <c r="C151" s="179" t="e">
        <f t="shared" ref="C151:AG152" si="78">C146/($C$28*$C$27)</f>
        <v>#REF!</v>
      </c>
      <c r="D151" s="179" t="e">
        <f t="shared" si="78"/>
        <v>#REF!</v>
      </c>
      <c r="E151" s="179" t="e">
        <f t="shared" si="78"/>
        <v>#REF!</v>
      </c>
      <c r="F151" s="179" t="e">
        <f t="shared" si="78"/>
        <v>#REF!</v>
      </c>
      <c r="G151" s="179" t="e">
        <f t="shared" si="78"/>
        <v>#REF!</v>
      </c>
      <c r="H151" s="179" t="e">
        <f t="shared" si="78"/>
        <v>#REF!</v>
      </c>
      <c r="I151" s="179" t="e">
        <f t="shared" si="78"/>
        <v>#REF!</v>
      </c>
      <c r="J151" s="179" t="e">
        <f t="shared" si="78"/>
        <v>#REF!</v>
      </c>
      <c r="K151" s="179" t="e">
        <f t="shared" si="78"/>
        <v>#REF!</v>
      </c>
      <c r="L151" s="179" t="e">
        <f t="shared" si="78"/>
        <v>#REF!</v>
      </c>
      <c r="M151" s="179" t="e">
        <f t="shared" si="78"/>
        <v>#REF!</v>
      </c>
      <c r="N151" s="179" t="e">
        <f t="shared" si="78"/>
        <v>#REF!</v>
      </c>
      <c r="O151" s="179" t="e">
        <f t="shared" si="78"/>
        <v>#REF!</v>
      </c>
      <c r="P151" s="179" t="e">
        <f t="shared" si="78"/>
        <v>#REF!</v>
      </c>
      <c r="Q151" s="179" t="e">
        <f t="shared" si="78"/>
        <v>#REF!</v>
      </c>
      <c r="R151" s="179" t="e">
        <f t="shared" si="78"/>
        <v>#REF!</v>
      </c>
      <c r="S151" s="179" t="e">
        <f t="shared" si="78"/>
        <v>#REF!</v>
      </c>
      <c r="T151" s="179" t="e">
        <f t="shared" si="78"/>
        <v>#REF!</v>
      </c>
      <c r="U151" s="179" t="e">
        <f t="shared" si="78"/>
        <v>#REF!</v>
      </c>
      <c r="V151" s="179" t="e">
        <f t="shared" si="78"/>
        <v>#REF!</v>
      </c>
      <c r="W151" s="179" t="e">
        <f t="shared" si="78"/>
        <v>#REF!</v>
      </c>
      <c r="X151" s="179" t="e">
        <f t="shared" si="78"/>
        <v>#REF!</v>
      </c>
      <c r="Y151" s="179" t="e">
        <f t="shared" si="78"/>
        <v>#REF!</v>
      </c>
      <c r="Z151" s="179" t="e">
        <f t="shared" si="78"/>
        <v>#REF!</v>
      </c>
      <c r="AA151" s="179" t="e">
        <f t="shared" si="78"/>
        <v>#REF!</v>
      </c>
      <c r="AB151" s="179" t="e">
        <f t="shared" si="78"/>
        <v>#REF!</v>
      </c>
      <c r="AC151" s="179" t="e">
        <f t="shared" si="78"/>
        <v>#REF!</v>
      </c>
      <c r="AD151" s="179" t="e">
        <f t="shared" si="78"/>
        <v>#REF!</v>
      </c>
      <c r="AE151" s="179" t="e">
        <f t="shared" si="78"/>
        <v>#REF!</v>
      </c>
      <c r="AF151" s="179" t="e">
        <f t="shared" si="78"/>
        <v>#REF!</v>
      </c>
      <c r="AG151" s="179" t="e">
        <f t="shared" si="78"/>
        <v>#REF!</v>
      </c>
    </row>
    <row r="152" spans="1:34">
      <c r="A152" s="173" t="s">
        <v>321</v>
      </c>
      <c r="B152" s="173" t="s">
        <v>300</v>
      </c>
      <c r="C152" s="179" t="e">
        <f t="shared" si="78"/>
        <v>#REF!</v>
      </c>
      <c r="D152" s="179" t="e">
        <f t="shared" si="78"/>
        <v>#REF!</v>
      </c>
      <c r="E152" s="179" t="e">
        <f t="shared" si="78"/>
        <v>#REF!</v>
      </c>
      <c r="F152" s="179" t="e">
        <f t="shared" si="78"/>
        <v>#REF!</v>
      </c>
      <c r="G152" s="179" t="e">
        <f t="shared" si="78"/>
        <v>#REF!</v>
      </c>
      <c r="H152" s="179" t="e">
        <f t="shared" si="78"/>
        <v>#REF!</v>
      </c>
      <c r="I152" s="179" t="e">
        <f t="shared" si="78"/>
        <v>#REF!</v>
      </c>
      <c r="J152" s="179" t="e">
        <f t="shared" si="78"/>
        <v>#REF!</v>
      </c>
      <c r="K152" s="179" t="e">
        <f t="shared" si="78"/>
        <v>#REF!</v>
      </c>
      <c r="L152" s="179" t="e">
        <f t="shared" si="78"/>
        <v>#REF!</v>
      </c>
      <c r="M152" s="179" t="e">
        <f t="shared" si="78"/>
        <v>#REF!</v>
      </c>
      <c r="N152" s="179" t="e">
        <f t="shared" si="78"/>
        <v>#REF!</v>
      </c>
      <c r="O152" s="179" t="e">
        <f t="shared" si="78"/>
        <v>#REF!</v>
      </c>
      <c r="P152" s="179" t="e">
        <f t="shared" si="78"/>
        <v>#REF!</v>
      </c>
      <c r="Q152" s="179" t="e">
        <f t="shared" si="78"/>
        <v>#REF!</v>
      </c>
      <c r="R152" s="179" t="e">
        <f t="shared" si="78"/>
        <v>#REF!</v>
      </c>
      <c r="S152" s="179" t="e">
        <f t="shared" si="78"/>
        <v>#REF!</v>
      </c>
      <c r="T152" s="179" t="e">
        <f t="shared" si="78"/>
        <v>#REF!</v>
      </c>
      <c r="U152" s="179" t="e">
        <f t="shared" si="78"/>
        <v>#REF!</v>
      </c>
      <c r="V152" s="179" t="e">
        <f t="shared" si="78"/>
        <v>#REF!</v>
      </c>
      <c r="W152" s="179" t="e">
        <f t="shared" si="78"/>
        <v>#REF!</v>
      </c>
      <c r="X152" s="179" t="e">
        <f t="shared" si="78"/>
        <v>#REF!</v>
      </c>
      <c r="Y152" s="179" t="e">
        <f t="shared" si="78"/>
        <v>#REF!</v>
      </c>
      <c r="Z152" s="179" t="e">
        <f t="shared" si="78"/>
        <v>#REF!</v>
      </c>
      <c r="AA152" s="179" t="e">
        <f t="shared" si="78"/>
        <v>#REF!</v>
      </c>
      <c r="AB152" s="179" t="e">
        <f t="shared" si="78"/>
        <v>#REF!</v>
      </c>
      <c r="AC152" s="179" t="e">
        <f t="shared" si="78"/>
        <v>#REF!</v>
      </c>
      <c r="AD152" s="179" t="e">
        <f t="shared" si="78"/>
        <v>#REF!</v>
      </c>
      <c r="AE152" s="179" t="e">
        <f t="shared" si="78"/>
        <v>#REF!</v>
      </c>
      <c r="AF152" s="179" t="e">
        <f t="shared" si="78"/>
        <v>#REF!</v>
      </c>
      <c r="AG152" s="179" t="e">
        <f t="shared" si="78"/>
        <v>#REF!</v>
      </c>
    </row>
    <row r="153" spans="1:34">
      <c r="A153" s="173" t="s">
        <v>322</v>
      </c>
      <c r="B153" s="173" t="s">
        <v>300</v>
      </c>
      <c r="C153" s="179" t="e">
        <f t="shared" ref="C153:AG153" si="79">(C148+C149+C70)/($C$28*$C$27)+C63</f>
        <v>#REF!</v>
      </c>
      <c r="D153" s="179" t="e">
        <f t="shared" si="79"/>
        <v>#REF!</v>
      </c>
      <c r="E153" s="179" t="e">
        <f t="shared" si="79"/>
        <v>#REF!</v>
      </c>
      <c r="F153" s="179" t="e">
        <f t="shared" si="79"/>
        <v>#REF!</v>
      </c>
      <c r="G153" s="179" t="e">
        <f t="shared" si="79"/>
        <v>#REF!</v>
      </c>
      <c r="H153" s="179" t="e">
        <f t="shared" si="79"/>
        <v>#REF!</v>
      </c>
      <c r="I153" s="179" t="e">
        <f t="shared" si="79"/>
        <v>#REF!</v>
      </c>
      <c r="J153" s="179" t="e">
        <f t="shared" si="79"/>
        <v>#REF!</v>
      </c>
      <c r="K153" s="179" t="e">
        <f t="shared" si="79"/>
        <v>#REF!</v>
      </c>
      <c r="L153" s="179" t="e">
        <f t="shared" si="79"/>
        <v>#REF!</v>
      </c>
      <c r="M153" s="179" t="e">
        <f t="shared" si="79"/>
        <v>#REF!</v>
      </c>
      <c r="N153" s="179" t="e">
        <f t="shared" si="79"/>
        <v>#REF!</v>
      </c>
      <c r="O153" s="179" t="e">
        <f t="shared" si="79"/>
        <v>#REF!</v>
      </c>
      <c r="P153" s="179" t="e">
        <f t="shared" si="79"/>
        <v>#REF!</v>
      </c>
      <c r="Q153" s="179" t="e">
        <f t="shared" si="79"/>
        <v>#REF!</v>
      </c>
      <c r="R153" s="179" t="e">
        <f t="shared" si="79"/>
        <v>#REF!</v>
      </c>
      <c r="S153" s="179" t="e">
        <f t="shared" si="79"/>
        <v>#REF!</v>
      </c>
      <c r="T153" s="179" t="e">
        <f t="shared" si="79"/>
        <v>#REF!</v>
      </c>
      <c r="U153" s="179" t="e">
        <f t="shared" si="79"/>
        <v>#REF!</v>
      </c>
      <c r="V153" s="179" t="e">
        <f t="shared" si="79"/>
        <v>#REF!</v>
      </c>
      <c r="W153" s="179" t="e">
        <f t="shared" si="79"/>
        <v>#REF!</v>
      </c>
      <c r="X153" s="179" t="e">
        <f t="shared" si="79"/>
        <v>#REF!</v>
      </c>
      <c r="Y153" s="179" t="e">
        <f t="shared" si="79"/>
        <v>#REF!</v>
      </c>
      <c r="Z153" s="179" t="e">
        <f t="shared" si="79"/>
        <v>#REF!</v>
      </c>
      <c r="AA153" s="179" t="e">
        <f t="shared" si="79"/>
        <v>#REF!</v>
      </c>
      <c r="AB153" s="179" t="e">
        <f t="shared" si="79"/>
        <v>#REF!</v>
      </c>
      <c r="AC153" s="179" t="e">
        <f t="shared" si="79"/>
        <v>#REF!</v>
      </c>
      <c r="AD153" s="179" t="e">
        <f t="shared" si="79"/>
        <v>#REF!</v>
      </c>
      <c r="AE153" s="179" t="e">
        <f t="shared" si="79"/>
        <v>#REF!</v>
      </c>
      <c r="AF153" s="179" t="e">
        <f t="shared" si="79"/>
        <v>#REF!</v>
      </c>
      <c r="AG153" s="179" t="e">
        <f t="shared" si="79"/>
        <v>#REF!</v>
      </c>
    </row>
    <row r="154" spans="1:34">
      <c r="C154" s="295" t="e">
        <f>SUM(C151:C153)</f>
        <v>#REF!</v>
      </c>
      <c r="D154" s="295" t="e">
        <f t="shared" ref="D154:AG154" si="80">SUM(D151:D153)</f>
        <v>#REF!</v>
      </c>
      <c r="E154" s="295" t="e">
        <f t="shared" si="80"/>
        <v>#REF!</v>
      </c>
      <c r="F154" s="295" t="e">
        <f t="shared" si="80"/>
        <v>#REF!</v>
      </c>
      <c r="G154" s="295" t="e">
        <f t="shared" si="80"/>
        <v>#REF!</v>
      </c>
      <c r="H154" s="295" t="e">
        <f t="shared" si="80"/>
        <v>#REF!</v>
      </c>
      <c r="I154" s="295" t="e">
        <f t="shared" si="80"/>
        <v>#REF!</v>
      </c>
      <c r="J154" s="295" t="e">
        <f t="shared" si="80"/>
        <v>#REF!</v>
      </c>
      <c r="K154" s="295" t="e">
        <f t="shared" si="80"/>
        <v>#REF!</v>
      </c>
      <c r="L154" s="295" t="e">
        <f t="shared" si="80"/>
        <v>#REF!</v>
      </c>
      <c r="M154" s="295" t="e">
        <f t="shared" si="80"/>
        <v>#REF!</v>
      </c>
      <c r="N154" s="295" t="e">
        <f t="shared" si="80"/>
        <v>#REF!</v>
      </c>
      <c r="O154" s="295" t="e">
        <f t="shared" si="80"/>
        <v>#REF!</v>
      </c>
      <c r="P154" s="295" t="e">
        <f t="shared" si="80"/>
        <v>#REF!</v>
      </c>
      <c r="Q154" s="295" t="e">
        <f t="shared" si="80"/>
        <v>#REF!</v>
      </c>
      <c r="R154" s="295" t="e">
        <f t="shared" si="80"/>
        <v>#REF!</v>
      </c>
      <c r="S154" s="295" t="e">
        <f t="shared" si="80"/>
        <v>#REF!</v>
      </c>
      <c r="T154" s="295" t="e">
        <f t="shared" si="80"/>
        <v>#REF!</v>
      </c>
      <c r="U154" s="295" t="e">
        <f t="shared" si="80"/>
        <v>#REF!</v>
      </c>
      <c r="V154" s="295" t="e">
        <f t="shared" si="80"/>
        <v>#REF!</v>
      </c>
      <c r="W154" s="295" t="e">
        <f t="shared" si="80"/>
        <v>#REF!</v>
      </c>
      <c r="X154" s="295" t="e">
        <f t="shared" si="80"/>
        <v>#REF!</v>
      </c>
      <c r="Y154" s="295" t="e">
        <f t="shared" si="80"/>
        <v>#REF!</v>
      </c>
      <c r="Z154" s="295" t="e">
        <f t="shared" si="80"/>
        <v>#REF!</v>
      </c>
      <c r="AA154" s="295" t="e">
        <f t="shared" si="80"/>
        <v>#REF!</v>
      </c>
      <c r="AB154" s="295" t="e">
        <f t="shared" si="80"/>
        <v>#REF!</v>
      </c>
      <c r="AC154" s="295" t="e">
        <f t="shared" si="80"/>
        <v>#REF!</v>
      </c>
      <c r="AD154" s="295" t="e">
        <f t="shared" si="80"/>
        <v>#REF!</v>
      </c>
      <c r="AE154" s="295" t="e">
        <f t="shared" si="80"/>
        <v>#REF!</v>
      </c>
      <c r="AF154" s="295" t="e">
        <f t="shared" si="80"/>
        <v>#REF!</v>
      </c>
      <c r="AG154" s="295" t="e">
        <f t="shared" si="80"/>
        <v>#REF!</v>
      </c>
    </row>
    <row r="155" spans="1:34" s="225" customFormat="1">
      <c r="A155" s="223" t="s">
        <v>182</v>
      </c>
      <c r="B155" s="223"/>
      <c r="H155" s="275" t="e">
        <f>SUM(H157:H160)/H86</f>
        <v>#REF!</v>
      </c>
      <c r="AB155" s="275" t="e">
        <f>SUM(AB157:AB160)/AB86</f>
        <v>#REF!</v>
      </c>
    </row>
    <row r="156" spans="1:34">
      <c r="A156" s="235" t="s">
        <v>41</v>
      </c>
      <c r="B156" s="235"/>
      <c r="C156" s="235">
        <v>2025</v>
      </c>
      <c r="D156" s="235">
        <f t="shared" ref="D156:AG156" si="81">C156+1</f>
        <v>2026</v>
      </c>
      <c r="E156" s="235">
        <f t="shared" si="81"/>
        <v>2027</v>
      </c>
      <c r="F156" s="235">
        <f t="shared" si="81"/>
        <v>2028</v>
      </c>
      <c r="G156" s="235">
        <f t="shared" si="81"/>
        <v>2029</v>
      </c>
      <c r="H156" s="235">
        <f t="shared" si="81"/>
        <v>2030</v>
      </c>
      <c r="I156" s="235">
        <f t="shared" si="81"/>
        <v>2031</v>
      </c>
      <c r="J156" s="235">
        <f t="shared" si="81"/>
        <v>2032</v>
      </c>
      <c r="K156" s="235">
        <f t="shared" si="81"/>
        <v>2033</v>
      </c>
      <c r="L156" s="235">
        <f t="shared" si="81"/>
        <v>2034</v>
      </c>
      <c r="M156" s="235">
        <f t="shared" si="81"/>
        <v>2035</v>
      </c>
      <c r="N156" s="235">
        <f t="shared" si="81"/>
        <v>2036</v>
      </c>
      <c r="O156" s="235">
        <f t="shared" si="81"/>
        <v>2037</v>
      </c>
      <c r="P156" s="235">
        <f t="shared" si="81"/>
        <v>2038</v>
      </c>
      <c r="Q156" s="235">
        <f t="shared" si="81"/>
        <v>2039</v>
      </c>
      <c r="R156" s="235">
        <f t="shared" si="81"/>
        <v>2040</v>
      </c>
      <c r="S156" s="235">
        <f t="shared" si="81"/>
        <v>2041</v>
      </c>
      <c r="T156" s="235">
        <f t="shared" si="81"/>
        <v>2042</v>
      </c>
      <c r="U156" s="235">
        <f t="shared" si="81"/>
        <v>2043</v>
      </c>
      <c r="V156" s="235">
        <f t="shared" si="81"/>
        <v>2044</v>
      </c>
      <c r="W156" s="235">
        <f t="shared" si="81"/>
        <v>2045</v>
      </c>
      <c r="X156" s="235">
        <f t="shared" si="81"/>
        <v>2046</v>
      </c>
      <c r="Y156" s="235">
        <f t="shared" si="81"/>
        <v>2047</v>
      </c>
      <c r="Z156" s="235">
        <f t="shared" si="81"/>
        <v>2048</v>
      </c>
      <c r="AA156" s="235">
        <f t="shared" si="81"/>
        <v>2049</v>
      </c>
      <c r="AB156" s="235">
        <f t="shared" si="81"/>
        <v>2050</v>
      </c>
      <c r="AC156" s="235">
        <f t="shared" si="81"/>
        <v>2051</v>
      </c>
      <c r="AD156" s="235">
        <f t="shared" si="81"/>
        <v>2052</v>
      </c>
      <c r="AE156" s="235">
        <f t="shared" si="81"/>
        <v>2053</v>
      </c>
      <c r="AF156" s="235">
        <f t="shared" si="81"/>
        <v>2054</v>
      </c>
      <c r="AG156" s="235">
        <f t="shared" si="81"/>
        <v>2055</v>
      </c>
    </row>
    <row r="157" spans="1:34">
      <c r="A157" s="290" t="s">
        <v>419</v>
      </c>
      <c r="B157" s="173" t="s">
        <v>309</v>
      </c>
      <c r="C157" s="238" t="e">
        <f>ROUND(($G$81*C56)/1000,0)*1000</f>
        <v>#REF!</v>
      </c>
      <c r="D157" s="238" t="e">
        <f>ROUND(($G$81*D56)/1000,0)*1000</f>
        <v>#REF!</v>
      </c>
      <c r="E157" s="238" t="e">
        <f>ROUND(($G$81*E56)/1000,0)*1000</f>
        <v>#REF!</v>
      </c>
      <c r="F157" s="238" t="e">
        <f t="shared" ref="F157:AG157" si="82">ROUND(($G$81*F56)/1000,0)*1000</f>
        <v>#REF!</v>
      </c>
      <c r="G157" s="238" t="e">
        <f t="shared" si="82"/>
        <v>#REF!</v>
      </c>
      <c r="H157" s="238" t="e">
        <f t="shared" si="82"/>
        <v>#REF!</v>
      </c>
      <c r="I157" s="238" t="e">
        <f t="shared" si="82"/>
        <v>#REF!</v>
      </c>
      <c r="J157" s="238" t="e">
        <f t="shared" si="82"/>
        <v>#REF!</v>
      </c>
      <c r="K157" s="238" t="e">
        <f t="shared" si="82"/>
        <v>#REF!</v>
      </c>
      <c r="L157" s="238" t="e">
        <f t="shared" si="82"/>
        <v>#REF!</v>
      </c>
      <c r="M157" s="238" t="e">
        <f t="shared" si="82"/>
        <v>#REF!</v>
      </c>
      <c r="N157" s="238" t="e">
        <f t="shared" si="82"/>
        <v>#REF!</v>
      </c>
      <c r="O157" s="238" t="e">
        <f t="shared" si="82"/>
        <v>#REF!</v>
      </c>
      <c r="P157" s="238" t="e">
        <f t="shared" si="82"/>
        <v>#REF!</v>
      </c>
      <c r="Q157" s="238" t="e">
        <f t="shared" si="82"/>
        <v>#REF!</v>
      </c>
      <c r="R157" s="238" t="e">
        <f t="shared" si="82"/>
        <v>#REF!</v>
      </c>
      <c r="S157" s="238" t="e">
        <f t="shared" si="82"/>
        <v>#REF!</v>
      </c>
      <c r="T157" s="238" t="e">
        <f t="shared" si="82"/>
        <v>#REF!</v>
      </c>
      <c r="U157" s="238" t="e">
        <f t="shared" si="82"/>
        <v>#REF!</v>
      </c>
      <c r="V157" s="238" t="e">
        <f t="shared" si="82"/>
        <v>#REF!</v>
      </c>
      <c r="W157" s="238" t="e">
        <f t="shared" si="82"/>
        <v>#REF!</v>
      </c>
      <c r="X157" s="238" t="e">
        <f t="shared" si="82"/>
        <v>#REF!</v>
      </c>
      <c r="Y157" s="238" t="e">
        <f t="shared" si="82"/>
        <v>#REF!</v>
      </c>
      <c r="Z157" s="238" t="e">
        <f t="shared" si="82"/>
        <v>#REF!</v>
      </c>
      <c r="AA157" s="238" t="e">
        <f t="shared" si="82"/>
        <v>#REF!</v>
      </c>
      <c r="AB157" s="238" t="e">
        <f t="shared" si="82"/>
        <v>#REF!</v>
      </c>
      <c r="AC157" s="238" t="e">
        <f t="shared" si="82"/>
        <v>#REF!</v>
      </c>
      <c r="AD157" s="238" t="e">
        <f t="shared" si="82"/>
        <v>#REF!</v>
      </c>
      <c r="AE157" s="238" t="e">
        <f t="shared" si="82"/>
        <v>#REF!</v>
      </c>
      <c r="AF157" s="238" t="e">
        <f t="shared" si="82"/>
        <v>#REF!</v>
      </c>
      <c r="AG157" s="238" t="e">
        <f t="shared" si="82"/>
        <v>#REF!</v>
      </c>
    </row>
    <row r="158" spans="1:34">
      <c r="A158" s="290" t="s">
        <v>420</v>
      </c>
      <c r="B158" s="173" t="s">
        <v>309</v>
      </c>
      <c r="C158" s="179" t="e">
        <f t="shared" ref="C158:AG158" si="83">C61</f>
        <v>#REF!</v>
      </c>
      <c r="D158" s="179" t="e">
        <f t="shared" si="83"/>
        <v>#REF!</v>
      </c>
      <c r="E158" s="179" t="e">
        <f t="shared" si="83"/>
        <v>#REF!</v>
      </c>
      <c r="F158" s="179" t="e">
        <f t="shared" si="83"/>
        <v>#REF!</v>
      </c>
      <c r="G158" s="179" t="e">
        <f t="shared" si="83"/>
        <v>#REF!</v>
      </c>
      <c r="H158" s="179" t="e">
        <f t="shared" si="83"/>
        <v>#REF!</v>
      </c>
      <c r="I158" s="179" t="e">
        <f t="shared" si="83"/>
        <v>#REF!</v>
      </c>
      <c r="J158" s="179" t="e">
        <f t="shared" si="83"/>
        <v>#REF!</v>
      </c>
      <c r="K158" s="179" t="e">
        <f t="shared" si="83"/>
        <v>#REF!</v>
      </c>
      <c r="L158" s="179" t="e">
        <f t="shared" si="83"/>
        <v>#REF!</v>
      </c>
      <c r="M158" s="179" t="e">
        <f t="shared" si="83"/>
        <v>#REF!</v>
      </c>
      <c r="N158" s="179" t="e">
        <f t="shared" si="83"/>
        <v>#REF!</v>
      </c>
      <c r="O158" s="179" t="e">
        <f t="shared" si="83"/>
        <v>#REF!</v>
      </c>
      <c r="P158" s="179" t="e">
        <f t="shared" si="83"/>
        <v>#REF!</v>
      </c>
      <c r="Q158" s="179" t="e">
        <f t="shared" si="83"/>
        <v>#REF!</v>
      </c>
      <c r="R158" s="179" t="e">
        <f t="shared" si="83"/>
        <v>#REF!</v>
      </c>
      <c r="S158" s="179" t="e">
        <f t="shared" si="83"/>
        <v>#REF!</v>
      </c>
      <c r="T158" s="179" t="e">
        <f t="shared" si="83"/>
        <v>#REF!</v>
      </c>
      <c r="U158" s="179" t="e">
        <f t="shared" si="83"/>
        <v>#REF!</v>
      </c>
      <c r="V158" s="179" t="e">
        <f t="shared" si="83"/>
        <v>#REF!</v>
      </c>
      <c r="W158" s="179" t="e">
        <f t="shared" si="83"/>
        <v>#REF!</v>
      </c>
      <c r="X158" s="179" t="e">
        <f t="shared" si="83"/>
        <v>#REF!</v>
      </c>
      <c r="Y158" s="179" t="e">
        <f t="shared" si="83"/>
        <v>#REF!</v>
      </c>
      <c r="Z158" s="179" t="e">
        <f t="shared" si="83"/>
        <v>#REF!</v>
      </c>
      <c r="AA158" s="179" t="e">
        <f t="shared" si="83"/>
        <v>#REF!</v>
      </c>
      <c r="AB158" s="179" t="e">
        <f t="shared" si="83"/>
        <v>#REF!</v>
      </c>
      <c r="AC158" s="179" t="e">
        <f t="shared" si="83"/>
        <v>#REF!</v>
      </c>
      <c r="AD158" s="179" t="e">
        <f t="shared" si="83"/>
        <v>#REF!</v>
      </c>
      <c r="AE158" s="179" t="e">
        <f t="shared" si="83"/>
        <v>#REF!</v>
      </c>
      <c r="AF158" s="179" t="e">
        <f t="shared" si="83"/>
        <v>#REF!</v>
      </c>
      <c r="AG158" s="179" t="e">
        <f t="shared" si="83"/>
        <v>#REF!</v>
      </c>
    </row>
    <row r="159" spans="1:34">
      <c r="A159" s="291" t="s">
        <v>421</v>
      </c>
      <c r="B159" s="229"/>
      <c r="C159" s="238" t="e">
        <f>C12</f>
        <v>#REF!</v>
      </c>
      <c r="D159" s="238" t="e">
        <f>ROUND((C159*(1+$AH159))/1000,0)*1000</f>
        <v>#REF!</v>
      </c>
      <c r="E159" s="238" t="e">
        <f>ROUND((D159*(1+$AH159))/1000,0)*1000</f>
        <v>#REF!</v>
      </c>
      <c r="F159" s="238" t="e">
        <f>ROUND((E159*(1+$AH159))/1000,0)*1000</f>
        <v>#REF!</v>
      </c>
      <c r="G159" s="238" t="e">
        <f>ROUND((F159*(1+$AH159))/1000,0)*1000</f>
        <v>#REF!</v>
      </c>
      <c r="H159" s="238" t="e">
        <f t="shared" ref="H159:AG159" si="84">ROUND((G159*(1+$AH159))/1000,0)*1000</f>
        <v>#REF!</v>
      </c>
      <c r="I159" s="238" t="e">
        <f t="shared" si="84"/>
        <v>#REF!</v>
      </c>
      <c r="J159" s="238" t="e">
        <f t="shared" si="84"/>
        <v>#REF!</v>
      </c>
      <c r="K159" s="238" t="e">
        <f t="shared" si="84"/>
        <v>#REF!</v>
      </c>
      <c r="L159" s="238" t="e">
        <f t="shared" si="84"/>
        <v>#REF!</v>
      </c>
      <c r="M159" s="238" t="e">
        <f t="shared" si="84"/>
        <v>#REF!</v>
      </c>
      <c r="N159" s="238" t="e">
        <f t="shared" si="84"/>
        <v>#REF!</v>
      </c>
      <c r="O159" s="238" t="e">
        <f t="shared" si="84"/>
        <v>#REF!</v>
      </c>
      <c r="P159" s="238" t="e">
        <f t="shared" si="84"/>
        <v>#REF!</v>
      </c>
      <c r="Q159" s="238" t="e">
        <f t="shared" si="84"/>
        <v>#REF!</v>
      </c>
      <c r="R159" s="238" t="e">
        <f t="shared" si="84"/>
        <v>#REF!</v>
      </c>
      <c r="S159" s="238" t="e">
        <f t="shared" si="84"/>
        <v>#REF!</v>
      </c>
      <c r="T159" s="238" t="e">
        <f t="shared" si="84"/>
        <v>#REF!</v>
      </c>
      <c r="U159" s="238" t="e">
        <f t="shared" si="84"/>
        <v>#REF!</v>
      </c>
      <c r="V159" s="238" t="e">
        <f t="shared" si="84"/>
        <v>#REF!</v>
      </c>
      <c r="W159" s="238" t="e">
        <f t="shared" si="84"/>
        <v>#REF!</v>
      </c>
      <c r="X159" s="238" t="e">
        <f t="shared" si="84"/>
        <v>#REF!</v>
      </c>
      <c r="Y159" s="238" t="e">
        <f t="shared" si="84"/>
        <v>#REF!</v>
      </c>
      <c r="Z159" s="238" t="e">
        <f t="shared" si="84"/>
        <v>#REF!</v>
      </c>
      <c r="AA159" s="238" t="e">
        <f t="shared" si="84"/>
        <v>#REF!</v>
      </c>
      <c r="AB159" s="238" t="e">
        <f t="shared" si="84"/>
        <v>#REF!</v>
      </c>
      <c r="AC159" s="238" t="e">
        <f t="shared" si="84"/>
        <v>#REF!</v>
      </c>
      <c r="AD159" s="238" t="e">
        <f t="shared" si="84"/>
        <v>#REF!</v>
      </c>
      <c r="AE159" s="238" t="e">
        <f t="shared" si="84"/>
        <v>#REF!</v>
      </c>
      <c r="AF159" s="238" t="e">
        <f t="shared" si="84"/>
        <v>#REF!</v>
      </c>
      <c r="AG159" s="238" t="e">
        <f t="shared" si="84"/>
        <v>#REF!</v>
      </c>
      <c r="AH159" s="237">
        <v>1.4999999999999999E-2</v>
      </c>
    </row>
    <row r="160" spans="1:34">
      <c r="A160" s="290" t="s">
        <v>422</v>
      </c>
      <c r="B160" s="173" t="s">
        <v>309</v>
      </c>
      <c r="C160" s="238" t="e">
        <f t="shared" ref="C160:AG160" si="85">(C86-C159+(C158))</f>
        <v>#REF!</v>
      </c>
      <c r="D160" s="238" t="e">
        <f t="shared" si="85"/>
        <v>#REF!</v>
      </c>
      <c r="E160" s="238" t="e">
        <f t="shared" si="85"/>
        <v>#REF!</v>
      </c>
      <c r="F160" s="238" t="e">
        <f t="shared" si="85"/>
        <v>#REF!</v>
      </c>
      <c r="G160" s="238" t="e">
        <f t="shared" si="85"/>
        <v>#REF!</v>
      </c>
      <c r="H160" s="238" t="e">
        <f t="shared" si="85"/>
        <v>#REF!</v>
      </c>
      <c r="I160" s="238" t="e">
        <f t="shared" si="85"/>
        <v>#REF!</v>
      </c>
      <c r="J160" s="238" t="e">
        <f t="shared" si="85"/>
        <v>#REF!</v>
      </c>
      <c r="K160" s="238" t="e">
        <f t="shared" si="85"/>
        <v>#REF!</v>
      </c>
      <c r="L160" s="238" t="e">
        <f t="shared" si="85"/>
        <v>#REF!</v>
      </c>
      <c r="M160" s="238" t="e">
        <f t="shared" si="85"/>
        <v>#REF!</v>
      </c>
      <c r="N160" s="238" t="e">
        <f t="shared" si="85"/>
        <v>#REF!</v>
      </c>
      <c r="O160" s="238" t="e">
        <f t="shared" si="85"/>
        <v>#REF!</v>
      </c>
      <c r="P160" s="238" t="e">
        <f t="shared" si="85"/>
        <v>#REF!</v>
      </c>
      <c r="Q160" s="238" t="e">
        <f t="shared" si="85"/>
        <v>#REF!</v>
      </c>
      <c r="R160" s="238" t="e">
        <f t="shared" si="85"/>
        <v>#REF!</v>
      </c>
      <c r="S160" s="238" t="e">
        <f t="shared" si="85"/>
        <v>#REF!</v>
      </c>
      <c r="T160" s="238" t="e">
        <f t="shared" si="85"/>
        <v>#REF!</v>
      </c>
      <c r="U160" s="238" t="e">
        <f t="shared" si="85"/>
        <v>#REF!</v>
      </c>
      <c r="V160" s="238" t="e">
        <f t="shared" si="85"/>
        <v>#REF!</v>
      </c>
      <c r="W160" s="238" t="e">
        <f t="shared" si="85"/>
        <v>#REF!</v>
      </c>
      <c r="X160" s="238" t="e">
        <f t="shared" si="85"/>
        <v>#REF!</v>
      </c>
      <c r="Y160" s="238" t="e">
        <f t="shared" si="85"/>
        <v>#REF!</v>
      </c>
      <c r="Z160" s="238" t="e">
        <f t="shared" si="85"/>
        <v>#REF!</v>
      </c>
      <c r="AA160" s="238" t="e">
        <f t="shared" si="85"/>
        <v>#REF!</v>
      </c>
      <c r="AB160" s="238" t="e">
        <f t="shared" si="85"/>
        <v>#REF!</v>
      </c>
      <c r="AC160" s="238" t="e">
        <f t="shared" si="85"/>
        <v>#REF!</v>
      </c>
      <c r="AD160" s="238" t="e">
        <f t="shared" si="85"/>
        <v>#REF!</v>
      </c>
      <c r="AE160" s="238" t="e">
        <f t="shared" si="85"/>
        <v>#REF!</v>
      </c>
      <c r="AF160" s="238" t="e">
        <f t="shared" si="85"/>
        <v>#REF!</v>
      </c>
      <c r="AG160" s="238" t="e">
        <f t="shared" si="85"/>
        <v>#REF!</v>
      </c>
    </row>
    <row r="161" spans="1:33">
      <c r="A161" s="173" t="s">
        <v>423</v>
      </c>
      <c r="B161" s="173" t="s">
        <v>309</v>
      </c>
      <c r="C161" s="238" t="e">
        <f t="shared" ref="C161:AG161" si="86">$C$35*C157</f>
        <v>#REF!</v>
      </c>
      <c r="D161" s="238" t="e">
        <f t="shared" si="86"/>
        <v>#REF!</v>
      </c>
      <c r="E161" s="238" t="e">
        <f t="shared" si="86"/>
        <v>#REF!</v>
      </c>
      <c r="F161" s="238" t="e">
        <f t="shared" si="86"/>
        <v>#REF!</v>
      </c>
      <c r="G161" s="238" t="e">
        <f t="shared" si="86"/>
        <v>#REF!</v>
      </c>
      <c r="H161" s="238" t="e">
        <f t="shared" si="86"/>
        <v>#REF!</v>
      </c>
      <c r="I161" s="238" t="e">
        <f t="shared" si="86"/>
        <v>#REF!</v>
      </c>
      <c r="J161" s="238" t="e">
        <f t="shared" si="86"/>
        <v>#REF!</v>
      </c>
      <c r="K161" s="238" t="e">
        <f t="shared" si="86"/>
        <v>#REF!</v>
      </c>
      <c r="L161" s="238" t="e">
        <f t="shared" si="86"/>
        <v>#REF!</v>
      </c>
      <c r="M161" s="238" t="e">
        <f t="shared" si="86"/>
        <v>#REF!</v>
      </c>
      <c r="N161" s="238" t="e">
        <f t="shared" si="86"/>
        <v>#REF!</v>
      </c>
      <c r="O161" s="238" t="e">
        <f t="shared" si="86"/>
        <v>#REF!</v>
      </c>
      <c r="P161" s="238" t="e">
        <f t="shared" si="86"/>
        <v>#REF!</v>
      </c>
      <c r="Q161" s="238" t="e">
        <f t="shared" si="86"/>
        <v>#REF!</v>
      </c>
      <c r="R161" s="238" t="e">
        <f t="shared" si="86"/>
        <v>#REF!</v>
      </c>
      <c r="S161" s="238" t="e">
        <f t="shared" si="86"/>
        <v>#REF!</v>
      </c>
      <c r="T161" s="238" t="e">
        <f t="shared" si="86"/>
        <v>#REF!</v>
      </c>
      <c r="U161" s="238" t="e">
        <f t="shared" si="86"/>
        <v>#REF!</v>
      </c>
      <c r="V161" s="238" t="e">
        <f t="shared" si="86"/>
        <v>#REF!</v>
      </c>
      <c r="W161" s="238" t="e">
        <f t="shared" si="86"/>
        <v>#REF!</v>
      </c>
      <c r="X161" s="238" t="e">
        <f t="shared" si="86"/>
        <v>#REF!</v>
      </c>
      <c r="Y161" s="238" t="e">
        <f t="shared" si="86"/>
        <v>#REF!</v>
      </c>
      <c r="Z161" s="238" t="e">
        <f t="shared" si="86"/>
        <v>#REF!</v>
      </c>
      <c r="AA161" s="238" t="e">
        <f t="shared" si="86"/>
        <v>#REF!</v>
      </c>
      <c r="AB161" s="238" t="e">
        <f t="shared" si="86"/>
        <v>#REF!</v>
      </c>
      <c r="AC161" s="238" t="e">
        <f t="shared" si="86"/>
        <v>#REF!</v>
      </c>
      <c r="AD161" s="238" t="e">
        <f t="shared" si="86"/>
        <v>#REF!</v>
      </c>
      <c r="AE161" s="238" t="e">
        <f t="shared" si="86"/>
        <v>#REF!</v>
      </c>
      <c r="AF161" s="238" t="e">
        <f t="shared" si="86"/>
        <v>#REF!</v>
      </c>
      <c r="AG161" s="238" t="e">
        <f t="shared" si="86"/>
        <v>#REF!</v>
      </c>
    </row>
    <row r="162" spans="1:33">
      <c r="A162" s="290" t="s">
        <v>329</v>
      </c>
      <c r="B162" s="173" t="s">
        <v>309</v>
      </c>
      <c r="C162" s="179" t="e">
        <f t="shared" ref="C162:AG162" si="87">C160+C157+C161</f>
        <v>#REF!</v>
      </c>
      <c r="D162" s="179" t="e">
        <f t="shared" si="87"/>
        <v>#REF!</v>
      </c>
      <c r="E162" s="179" t="e">
        <f t="shared" si="87"/>
        <v>#REF!</v>
      </c>
      <c r="F162" s="179" t="e">
        <f t="shared" si="87"/>
        <v>#REF!</v>
      </c>
      <c r="G162" s="179" t="e">
        <f t="shared" si="87"/>
        <v>#REF!</v>
      </c>
      <c r="H162" s="179" t="e">
        <f t="shared" si="87"/>
        <v>#REF!</v>
      </c>
      <c r="I162" s="179" t="e">
        <f t="shared" si="87"/>
        <v>#REF!</v>
      </c>
      <c r="J162" s="179" t="e">
        <f t="shared" si="87"/>
        <v>#REF!</v>
      </c>
      <c r="K162" s="179" t="e">
        <f t="shared" si="87"/>
        <v>#REF!</v>
      </c>
      <c r="L162" s="179" t="e">
        <f t="shared" si="87"/>
        <v>#REF!</v>
      </c>
      <c r="M162" s="179" t="e">
        <f t="shared" si="87"/>
        <v>#REF!</v>
      </c>
      <c r="N162" s="179" t="e">
        <f t="shared" si="87"/>
        <v>#REF!</v>
      </c>
      <c r="O162" s="179" t="e">
        <f t="shared" si="87"/>
        <v>#REF!</v>
      </c>
      <c r="P162" s="179" t="e">
        <f t="shared" si="87"/>
        <v>#REF!</v>
      </c>
      <c r="Q162" s="179" t="e">
        <f t="shared" si="87"/>
        <v>#REF!</v>
      </c>
      <c r="R162" s="179" t="e">
        <f t="shared" si="87"/>
        <v>#REF!</v>
      </c>
      <c r="S162" s="179" t="e">
        <f t="shared" si="87"/>
        <v>#REF!</v>
      </c>
      <c r="T162" s="179" t="e">
        <f t="shared" si="87"/>
        <v>#REF!</v>
      </c>
      <c r="U162" s="179" t="e">
        <f t="shared" si="87"/>
        <v>#REF!</v>
      </c>
      <c r="V162" s="179" t="e">
        <f t="shared" si="87"/>
        <v>#REF!</v>
      </c>
      <c r="W162" s="179" t="e">
        <f t="shared" si="87"/>
        <v>#REF!</v>
      </c>
      <c r="X162" s="179" t="e">
        <f t="shared" si="87"/>
        <v>#REF!</v>
      </c>
      <c r="Y162" s="179" t="e">
        <f t="shared" si="87"/>
        <v>#REF!</v>
      </c>
      <c r="Z162" s="179" t="e">
        <f t="shared" si="87"/>
        <v>#REF!</v>
      </c>
      <c r="AA162" s="179" t="e">
        <f t="shared" si="87"/>
        <v>#REF!</v>
      </c>
      <c r="AB162" s="179" t="e">
        <f t="shared" si="87"/>
        <v>#REF!</v>
      </c>
      <c r="AC162" s="179" t="e">
        <f t="shared" si="87"/>
        <v>#REF!</v>
      </c>
      <c r="AD162" s="179" t="e">
        <f t="shared" si="87"/>
        <v>#REF!</v>
      </c>
      <c r="AE162" s="179" t="e">
        <f t="shared" si="87"/>
        <v>#REF!</v>
      </c>
      <c r="AF162" s="179" t="e">
        <f t="shared" si="87"/>
        <v>#REF!</v>
      </c>
      <c r="AG162" s="179" t="e">
        <f t="shared" si="87"/>
        <v>#REF!</v>
      </c>
    </row>
    <row r="163" spans="1:33">
      <c r="A163" s="173" t="s">
        <v>340</v>
      </c>
      <c r="B163" s="173" t="s">
        <v>309</v>
      </c>
      <c r="C163" s="179">
        <f t="shared" ref="C163:F163" si="88">IF($B$5="Yes",MIN(10000*$G$81,3000000),0)</f>
        <v>0</v>
      </c>
      <c r="D163" s="179">
        <f t="shared" si="88"/>
        <v>0</v>
      </c>
      <c r="E163" s="179">
        <f t="shared" si="88"/>
        <v>0</v>
      </c>
      <c r="F163" s="179">
        <f t="shared" si="88"/>
        <v>0</v>
      </c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</row>
    <row r="164" spans="1:33">
      <c r="A164" s="173" t="s">
        <v>424</v>
      </c>
      <c r="B164" s="173" t="s">
        <v>41</v>
      </c>
      <c r="C164" s="276" t="e">
        <f>$C$10/($G$82/$G$81)</f>
        <v>#REF!</v>
      </c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</row>
    <row r="165" spans="1:33">
      <c r="A165" s="173" t="s">
        <v>330</v>
      </c>
      <c r="B165" s="173" t="s">
        <v>309</v>
      </c>
      <c r="C165" s="179" t="e">
        <f t="shared" ref="C165:AG165" si="89">$G$82*C55</f>
        <v>#REF!</v>
      </c>
      <c r="D165" s="179" t="e">
        <f t="shared" si="89"/>
        <v>#REF!</v>
      </c>
      <c r="E165" s="179" t="e">
        <f t="shared" si="89"/>
        <v>#REF!</v>
      </c>
      <c r="F165" s="179" t="e">
        <f t="shared" si="89"/>
        <v>#REF!</v>
      </c>
      <c r="G165" s="179" t="e">
        <f t="shared" si="89"/>
        <v>#REF!</v>
      </c>
      <c r="H165" s="179" t="e">
        <f t="shared" si="89"/>
        <v>#REF!</v>
      </c>
      <c r="I165" s="179" t="e">
        <f t="shared" si="89"/>
        <v>#REF!</v>
      </c>
      <c r="J165" s="179" t="e">
        <f t="shared" si="89"/>
        <v>#REF!</v>
      </c>
      <c r="K165" s="179" t="e">
        <f t="shared" si="89"/>
        <v>#REF!</v>
      </c>
      <c r="L165" s="179" t="e">
        <f t="shared" si="89"/>
        <v>#REF!</v>
      </c>
      <c r="M165" s="179" t="e">
        <f t="shared" si="89"/>
        <v>#REF!</v>
      </c>
      <c r="N165" s="179" t="e">
        <f t="shared" si="89"/>
        <v>#REF!</v>
      </c>
      <c r="O165" s="179" t="e">
        <f t="shared" si="89"/>
        <v>#REF!</v>
      </c>
      <c r="P165" s="179" t="e">
        <f t="shared" si="89"/>
        <v>#REF!</v>
      </c>
      <c r="Q165" s="179" t="e">
        <f t="shared" si="89"/>
        <v>#REF!</v>
      </c>
      <c r="R165" s="179" t="e">
        <f t="shared" si="89"/>
        <v>#REF!</v>
      </c>
      <c r="S165" s="179" t="e">
        <f t="shared" si="89"/>
        <v>#REF!</v>
      </c>
      <c r="T165" s="179" t="e">
        <f t="shared" si="89"/>
        <v>#REF!</v>
      </c>
      <c r="U165" s="179" t="e">
        <f t="shared" si="89"/>
        <v>#REF!</v>
      </c>
      <c r="V165" s="179" t="e">
        <f t="shared" si="89"/>
        <v>#REF!</v>
      </c>
      <c r="W165" s="179" t="e">
        <f t="shared" si="89"/>
        <v>#REF!</v>
      </c>
      <c r="X165" s="179" t="e">
        <f t="shared" si="89"/>
        <v>#REF!</v>
      </c>
      <c r="Y165" s="179" t="e">
        <f t="shared" si="89"/>
        <v>#REF!</v>
      </c>
      <c r="Z165" s="179" t="e">
        <f t="shared" si="89"/>
        <v>#REF!</v>
      </c>
      <c r="AA165" s="179" t="e">
        <f t="shared" si="89"/>
        <v>#REF!</v>
      </c>
      <c r="AB165" s="179" t="e">
        <f t="shared" si="89"/>
        <v>#REF!</v>
      </c>
      <c r="AC165" s="179" t="e">
        <f t="shared" si="89"/>
        <v>#REF!</v>
      </c>
      <c r="AD165" s="179" t="e">
        <f t="shared" si="89"/>
        <v>#REF!</v>
      </c>
      <c r="AE165" s="179" t="e">
        <f t="shared" si="89"/>
        <v>#REF!</v>
      </c>
      <c r="AF165" s="179" t="e">
        <f t="shared" si="89"/>
        <v>#REF!</v>
      </c>
      <c r="AG165" s="179" t="e">
        <f t="shared" si="89"/>
        <v>#REF!</v>
      </c>
    </row>
    <row r="166" spans="1:33">
      <c r="A166" s="173" t="str">
        <f>A96</f>
        <v>Maintenance</v>
      </c>
      <c r="B166" s="173" t="s">
        <v>309</v>
      </c>
      <c r="C166" s="179" t="e">
        <f t="shared" ref="C166:AG166" si="90">$C$28*$C$27*C67</f>
        <v>#REF!</v>
      </c>
      <c r="D166" s="179" t="e">
        <f t="shared" si="90"/>
        <v>#REF!</v>
      </c>
      <c r="E166" s="179" t="e">
        <f t="shared" si="90"/>
        <v>#REF!</v>
      </c>
      <c r="F166" s="179" t="e">
        <f t="shared" si="90"/>
        <v>#REF!</v>
      </c>
      <c r="G166" s="179" t="e">
        <f t="shared" si="90"/>
        <v>#REF!</v>
      </c>
      <c r="H166" s="179" t="e">
        <f t="shared" si="90"/>
        <v>#REF!</v>
      </c>
      <c r="I166" s="179" t="e">
        <f t="shared" si="90"/>
        <v>#REF!</v>
      </c>
      <c r="J166" s="179" t="e">
        <f t="shared" si="90"/>
        <v>#REF!</v>
      </c>
      <c r="K166" s="179" t="e">
        <f t="shared" si="90"/>
        <v>#REF!</v>
      </c>
      <c r="L166" s="179" t="e">
        <f t="shared" si="90"/>
        <v>#REF!</v>
      </c>
      <c r="M166" s="179" t="e">
        <f t="shared" si="90"/>
        <v>#REF!</v>
      </c>
      <c r="N166" s="179" t="e">
        <f t="shared" si="90"/>
        <v>#REF!</v>
      </c>
      <c r="O166" s="179" t="e">
        <f t="shared" si="90"/>
        <v>#REF!</v>
      </c>
      <c r="P166" s="179" t="e">
        <f t="shared" si="90"/>
        <v>#REF!</v>
      </c>
      <c r="Q166" s="179" t="e">
        <f t="shared" si="90"/>
        <v>#REF!</v>
      </c>
      <c r="R166" s="179" t="e">
        <f t="shared" si="90"/>
        <v>#REF!</v>
      </c>
      <c r="S166" s="179" t="e">
        <f t="shared" si="90"/>
        <v>#REF!</v>
      </c>
      <c r="T166" s="179" t="e">
        <f t="shared" si="90"/>
        <v>#REF!</v>
      </c>
      <c r="U166" s="179" t="e">
        <f t="shared" si="90"/>
        <v>#REF!</v>
      </c>
      <c r="V166" s="179" t="e">
        <f t="shared" si="90"/>
        <v>#REF!</v>
      </c>
      <c r="W166" s="179" t="e">
        <f t="shared" si="90"/>
        <v>#REF!</v>
      </c>
      <c r="X166" s="179" t="e">
        <f t="shared" si="90"/>
        <v>#REF!</v>
      </c>
      <c r="Y166" s="179" t="e">
        <f t="shared" si="90"/>
        <v>#REF!</v>
      </c>
      <c r="Z166" s="179" t="e">
        <f t="shared" si="90"/>
        <v>#REF!</v>
      </c>
      <c r="AA166" s="179" t="e">
        <f t="shared" si="90"/>
        <v>#REF!</v>
      </c>
      <c r="AB166" s="179" t="e">
        <f t="shared" si="90"/>
        <v>#REF!</v>
      </c>
      <c r="AC166" s="179" t="e">
        <f t="shared" si="90"/>
        <v>#REF!</v>
      </c>
      <c r="AD166" s="179" t="e">
        <f t="shared" si="90"/>
        <v>#REF!</v>
      </c>
      <c r="AE166" s="179" t="e">
        <f t="shared" si="90"/>
        <v>#REF!</v>
      </c>
      <c r="AF166" s="179" t="e">
        <f t="shared" si="90"/>
        <v>#REF!</v>
      </c>
      <c r="AG166" s="179" t="e">
        <f t="shared" si="90"/>
        <v>#REF!</v>
      </c>
    </row>
    <row r="167" spans="1:33">
      <c r="A167" s="173" t="s">
        <v>339</v>
      </c>
      <c r="B167" s="173" t="str">
        <f>B166</f>
        <v>INR</v>
      </c>
      <c r="C167" s="179" t="e">
        <f t="shared" ref="C167:AG167" si="91">$C$16*$C$27*$C$28</f>
        <v>#REF!</v>
      </c>
      <c r="D167" s="179" t="e">
        <f t="shared" si="91"/>
        <v>#REF!</v>
      </c>
      <c r="E167" s="179" t="e">
        <f t="shared" si="91"/>
        <v>#REF!</v>
      </c>
      <c r="F167" s="179" t="e">
        <f t="shared" si="91"/>
        <v>#REF!</v>
      </c>
      <c r="G167" s="179" t="e">
        <f t="shared" si="91"/>
        <v>#REF!</v>
      </c>
      <c r="H167" s="179" t="e">
        <f t="shared" si="91"/>
        <v>#REF!</v>
      </c>
      <c r="I167" s="179" t="e">
        <f t="shared" si="91"/>
        <v>#REF!</v>
      </c>
      <c r="J167" s="179" t="e">
        <f t="shared" si="91"/>
        <v>#REF!</v>
      </c>
      <c r="K167" s="179" t="e">
        <f t="shared" si="91"/>
        <v>#REF!</v>
      </c>
      <c r="L167" s="179" t="e">
        <f t="shared" si="91"/>
        <v>#REF!</v>
      </c>
      <c r="M167" s="179" t="e">
        <f t="shared" si="91"/>
        <v>#REF!</v>
      </c>
      <c r="N167" s="179" t="e">
        <f t="shared" si="91"/>
        <v>#REF!</v>
      </c>
      <c r="O167" s="179" t="e">
        <f t="shared" si="91"/>
        <v>#REF!</v>
      </c>
      <c r="P167" s="179" t="e">
        <f t="shared" si="91"/>
        <v>#REF!</v>
      </c>
      <c r="Q167" s="179" t="e">
        <f t="shared" si="91"/>
        <v>#REF!</v>
      </c>
      <c r="R167" s="179" t="e">
        <f t="shared" si="91"/>
        <v>#REF!</v>
      </c>
      <c r="S167" s="179" t="e">
        <f t="shared" si="91"/>
        <v>#REF!</v>
      </c>
      <c r="T167" s="179" t="e">
        <f t="shared" si="91"/>
        <v>#REF!</v>
      </c>
      <c r="U167" s="179" t="e">
        <f t="shared" si="91"/>
        <v>#REF!</v>
      </c>
      <c r="V167" s="179" t="e">
        <f t="shared" si="91"/>
        <v>#REF!</v>
      </c>
      <c r="W167" s="179" t="e">
        <f t="shared" si="91"/>
        <v>#REF!</v>
      </c>
      <c r="X167" s="179" t="e">
        <f t="shared" si="91"/>
        <v>#REF!</v>
      </c>
      <c r="Y167" s="179" t="e">
        <f t="shared" si="91"/>
        <v>#REF!</v>
      </c>
      <c r="Z167" s="179" t="e">
        <f t="shared" si="91"/>
        <v>#REF!</v>
      </c>
      <c r="AA167" s="179" t="e">
        <f t="shared" si="91"/>
        <v>#REF!</v>
      </c>
      <c r="AB167" s="179" t="e">
        <f t="shared" si="91"/>
        <v>#REF!</v>
      </c>
      <c r="AC167" s="179" t="e">
        <f t="shared" si="91"/>
        <v>#REF!</v>
      </c>
      <c r="AD167" s="179" t="e">
        <f t="shared" si="91"/>
        <v>#REF!</v>
      </c>
      <c r="AE167" s="179" t="e">
        <f t="shared" si="91"/>
        <v>#REF!</v>
      </c>
      <c r="AF167" s="179" t="e">
        <f t="shared" si="91"/>
        <v>#REF!</v>
      </c>
      <c r="AG167" s="179" t="e">
        <f t="shared" si="91"/>
        <v>#REF!</v>
      </c>
    </row>
    <row r="168" spans="1:33">
      <c r="A168" s="173" t="s">
        <v>425</v>
      </c>
      <c r="B168" s="173" t="s">
        <v>309</v>
      </c>
      <c r="C168" s="179">
        <v>0</v>
      </c>
      <c r="D168" s="179">
        <v>0</v>
      </c>
      <c r="E168" s="179">
        <v>0</v>
      </c>
      <c r="F168" s="179">
        <v>0</v>
      </c>
      <c r="G168" s="179">
        <v>367500</v>
      </c>
      <c r="H168" s="179">
        <v>367500</v>
      </c>
      <c r="I168" s="179">
        <v>367500</v>
      </c>
      <c r="J168" s="179">
        <v>367500</v>
      </c>
      <c r="K168" s="179">
        <v>367500</v>
      </c>
      <c r="L168" s="179">
        <v>735000</v>
      </c>
      <c r="M168" s="179">
        <v>735000</v>
      </c>
      <c r="N168" s="179">
        <v>735000</v>
      </c>
      <c r="O168" s="179">
        <v>735000</v>
      </c>
      <c r="P168" s="179">
        <v>735000</v>
      </c>
      <c r="Q168" s="179">
        <v>735000</v>
      </c>
      <c r="R168" s="179">
        <v>735000</v>
      </c>
      <c r="S168" s="179">
        <v>735000</v>
      </c>
      <c r="T168" s="179">
        <v>735000</v>
      </c>
      <c r="U168" s="179">
        <v>735000</v>
      </c>
      <c r="V168" s="179">
        <v>735000</v>
      </c>
      <c r="W168" s="179">
        <v>735000</v>
      </c>
      <c r="X168" s="179">
        <v>735000</v>
      </c>
      <c r="Y168" s="179">
        <v>735000</v>
      </c>
      <c r="Z168" s="179">
        <v>735000</v>
      </c>
      <c r="AA168" s="179">
        <v>735000</v>
      </c>
      <c r="AB168" s="179">
        <v>735000</v>
      </c>
      <c r="AC168" s="179">
        <v>735000</v>
      </c>
      <c r="AD168" s="179">
        <v>735000</v>
      </c>
      <c r="AE168" s="179">
        <v>735000</v>
      </c>
      <c r="AF168" s="179">
        <v>735000</v>
      </c>
      <c r="AG168" s="179">
        <v>735000</v>
      </c>
    </row>
    <row r="169" spans="1:33">
      <c r="A169" s="173" t="s">
        <v>319</v>
      </c>
      <c r="B169" s="173" t="s">
        <v>309</v>
      </c>
      <c r="C169" s="277" t="e">
        <f>((C162)*$C$34)</f>
        <v>#REF!</v>
      </c>
      <c r="D169" s="277" t="e">
        <f t="shared" ref="D169:AG169" si="92">((D162)*$C$34)</f>
        <v>#REF!</v>
      </c>
      <c r="E169" s="277" t="e">
        <f t="shared" si="92"/>
        <v>#REF!</v>
      </c>
      <c r="F169" s="277" t="e">
        <f t="shared" si="92"/>
        <v>#REF!</v>
      </c>
      <c r="G169" s="277" t="e">
        <f t="shared" si="92"/>
        <v>#REF!</v>
      </c>
      <c r="H169" s="277" t="e">
        <f t="shared" si="92"/>
        <v>#REF!</v>
      </c>
      <c r="I169" s="277" t="e">
        <f t="shared" si="92"/>
        <v>#REF!</v>
      </c>
      <c r="J169" s="277" t="e">
        <f t="shared" si="92"/>
        <v>#REF!</v>
      </c>
      <c r="K169" s="277" t="e">
        <f t="shared" si="92"/>
        <v>#REF!</v>
      </c>
      <c r="L169" s="277" t="e">
        <f t="shared" si="92"/>
        <v>#REF!</v>
      </c>
      <c r="M169" s="277" t="e">
        <f t="shared" si="92"/>
        <v>#REF!</v>
      </c>
      <c r="N169" s="277" t="e">
        <f t="shared" si="92"/>
        <v>#REF!</v>
      </c>
      <c r="O169" s="277" t="e">
        <f t="shared" si="92"/>
        <v>#REF!</v>
      </c>
      <c r="P169" s="277" t="e">
        <f t="shared" si="92"/>
        <v>#REF!</v>
      </c>
      <c r="Q169" s="277" t="e">
        <f t="shared" si="92"/>
        <v>#REF!</v>
      </c>
      <c r="R169" s="277" t="e">
        <f t="shared" si="92"/>
        <v>#REF!</v>
      </c>
      <c r="S169" s="277" t="e">
        <f t="shared" si="92"/>
        <v>#REF!</v>
      </c>
      <c r="T169" s="277" t="e">
        <f t="shared" si="92"/>
        <v>#REF!</v>
      </c>
      <c r="U169" s="277" t="e">
        <f t="shared" si="92"/>
        <v>#REF!</v>
      </c>
      <c r="V169" s="277" t="e">
        <f t="shared" si="92"/>
        <v>#REF!</v>
      </c>
      <c r="W169" s="277" t="e">
        <f t="shared" si="92"/>
        <v>#REF!</v>
      </c>
      <c r="X169" s="277" t="e">
        <f t="shared" si="92"/>
        <v>#REF!</v>
      </c>
      <c r="Y169" s="277" t="e">
        <f t="shared" si="92"/>
        <v>#REF!</v>
      </c>
      <c r="Z169" s="277" t="e">
        <f t="shared" si="92"/>
        <v>#REF!</v>
      </c>
      <c r="AA169" s="277" t="e">
        <f t="shared" si="92"/>
        <v>#REF!</v>
      </c>
      <c r="AB169" s="277" t="e">
        <f t="shared" si="92"/>
        <v>#REF!</v>
      </c>
      <c r="AC169" s="277" t="e">
        <f t="shared" si="92"/>
        <v>#REF!</v>
      </c>
      <c r="AD169" s="277" t="e">
        <f t="shared" si="92"/>
        <v>#REF!</v>
      </c>
      <c r="AE169" s="277" t="e">
        <f t="shared" si="92"/>
        <v>#REF!</v>
      </c>
      <c r="AF169" s="277" t="e">
        <f t="shared" si="92"/>
        <v>#REF!</v>
      </c>
      <c r="AG169" s="277" t="e">
        <f t="shared" si="92"/>
        <v>#REF!</v>
      </c>
    </row>
    <row r="170" spans="1:33" s="247" customFormat="1" ht="11.85" customHeight="1">
      <c r="A170" s="270" t="s">
        <v>414</v>
      </c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</row>
    <row r="171" spans="1:33">
      <c r="A171" s="173" t="s">
        <v>325</v>
      </c>
      <c r="B171" s="173" t="s">
        <v>313</v>
      </c>
      <c r="C171" s="179" t="e">
        <f t="shared" ref="C171:AG171" si="93">-PMT($C$33,$C$31,C160-C163)</f>
        <v>#REF!</v>
      </c>
      <c r="D171" s="179" t="e">
        <f t="shared" si="93"/>
        <v>#REF!</v>
      </c>
      <c r="E171" s="179" t="e">
        <f t="shared" si="93"/>
        <v>#REF!</v>
      </c>
      <c r="F171" s="179" t="e">
        <f t="shared" si="93"/>
        <v>#REF!</v>
      </c>
      <c r="G171" s="179" t="e">
        <f t="shared" si="93"/>
        <v>#REF!</v>
      </c>
      <c r="H171" s="179" t="e">
        <f t="shared" si="93"/>
        <v>#REF!</v>
      </c>
      <c r="I171" s="179" t="e">
        <f t="shared" si="93"/>
        <v>#REF!</v>
      </c>
      <c r="J171" s="179" t="e">
        <f t="shared" si="93"/>
        <v>#REF!</v>
      </c>
      <c r="K171" s="179" t="e">
        <f t="shared" si="93"/>
        <v>#REF!</v>
      </c>
      <c r="L171" s="179" t="e">
        <f t="shared" si="93"/>
        <v>#REF!</v>
      </c>
      <c r="M171" s="179" t="e">
        <f t="shared" si="93"/>
        <v>#REF!</v>
      </c>
      <c r="N171" s="179" t="e">
        <f t="shared" si="93"/>
        <v>#REF!</v>
      </c>
      <c r="O171" s="179" t="e">
        <f t="shared" si="93"/>
        <v>#REF!</v>
      </c>
      <c r="P171" s="179" t="e">
        <f t="shared" si="93"/>
        <v>#REF!</v>
      </c>
      <c r="Q171" s="179" t="e">
        <f t="shared" si="93"/>
        <v>#REF!</v>
      </c>
      <c r="R171" s="179" t="e">
        <f t="shared" si="93"/>
        <v>#REF!</v>
      </c>
      <c r="S171" s="179" t="e">
        <f t="shared" si="93"/>
        <v>#REF!</v>
      </c>
      <c r="T171" s="179" t="e">
        <f t="shared" si="93"/>
        <v>#REF!</v>
      </c>
      <c r="U171" s="179" t="e">
        <f t="shared" si="93"/>
        <v>#REF!</v>
      </c>
      <c r="V171" s="179" t="e">
        <f t="shared" si="93"/>
        <v>#REF!</v>
      </c>
      <c r="W171" s="179" t="e">
        <f t="shared" si="93"/>
        <v>#REF!</v>
      </c>
      <c r="X171" s="179" t="e">
        <f t="shared" si="93"/>
        <v>#REF!</v>
      </c>
      <c r="Y171" s="179" t="e">
        <f t="shared" si="93"/>
        <v>#REF!</v>
      </c>
      <c r="Z171" s="179" t="e">
        <f t="shared" si="93"/>
        <v>#REF!</v>
      </c>
      <c r="AA171" s="179" t="e">
        <f t="shared" si="93"/>
        <v>#REF!</v>
      </c>
      <c r="AB171" s="179" t="e">
        <f t="shared" si="93"/>
        <v>#REF!</v>
      </c>
      <c r="AC171" s="179" t="e">
        <f t="shared" si="93"/>
        <v>#REF!</v>
      </c>
      <c r="AD171" s="179" t="e">
        <f t="shared" si="93"/>
        <v>#REF!</v>
      </c>
      <c r="AE171" s="179" t="e">
        <f t="shared" si="93"/>
        <v>#REF!</v>
      </c>
      <c r="AF171" s="179" t="e">
        <f t="shared" si="93"/>
        <v>#REF!</v>
      </c>
      <c r="AG171" s="179" t="e">
        <f t="shared" si="93"/>
        <v>#REF!</v>
      </c>
    </row>
    <row r="172" spans="1:33">
      <c r="A172" s="173" t="s">
        <v>426</v>
      </c>
      <c r="B172" s="173" t="s">
        <v>313</v>
      </c>
      <c r="C172" s="179" t="e">
        <f t="shared" ref="C172:AG172" si="94">-PMT($C$33,$C$164,C157)</f>
        <v>#REF!</v>
      </c>
      <c r="D172" s="179" t="e">
        <f t="shared" si="94"/>
        <v>#REF!</v>
      </c>
      <c r="E172" s="179" t="e">
        <f t="shared" si="94"/>
        <v>#REF!</v>
      </c>
      <c r="F172" s="179" t="e">
        <f t="shared" si="94"/>
        <v>#REF!</v>
      </c>
      <c r="G172" s="179" t="e">
        <f t="shared" si="94"/>
        <v>#REF!</v>
      </c>
      <c r="H172" s="179" t="e">
        <f t="shared" si="94"/>
        <v>#REF!</v>
      </c>
      <c r="I172" s="179" t="e">
        <f t="shared" si="94"/>
        <v>#REF!</v>
      </c>
      <c r="J172" s="179" t="e">
        <f t="shared" si="94"/>
        <v>#REF!</v>
      </c>
      <c r="K172" s="179" t="e">
        <f t="shared" si="94"/>
        <v>#REF!</v>
      </c>
      <c r="L172" s="179" t="e">
        <f t="shared" si="94"/>
        <v>#REF!</v>
      </c>
      <c r="M172" s="179" t="e">
        <f t="shared" si="94"/>
        <v>#REF!</v>
      </c>
      <c r="N172" s="179" t="e">
        <f t="shared" si="94"/>
        <v>#REF!</v>
      </c>
      <c r="O172" s="179" t="e">
        <f t="shared" si="94"/>
        <v>#REF!</v>
      </c>
      <c r="P172" s="179" t="e">
        <f t="shared" si="94"/>
        <v>#REF!</v>
      </c>
      <c r="Q172" s="179" t="e">
        <f t="shared" si="94"/>
        <v>#REF!</v>
      </c>
      <c r="R172" s="179" t="e">
        <f t="shared" si="94"/>
        <v>#REF!</v>
      </c>
      <c r="S172" s="179" t="e">
        <f t="shared" si="94"/>
        <v>#REF!</v>
      </c>
      <c r="T172" s="179" t="e">
        <f t="shared" si="94"/>
        <v>#REF!</v>
      </c>
      <c r="U172" s="179" t="e">
        <f t="shared" si="94"/>
        <v>#REF!</v>
      </c>
      <c r="V172" s="179" t="e">
        <f t="shared" si="94"/>
        <v>#REF!</v>
      </c>
      <c r="W172" s="179" t="e">
        <f t="shared" si="94"/>
        <v>#REF!</v>
      </c>
      <c r="X172" s="179" t="e">
        <f t="shared" si="94"/>
        <v>#REF!</v>
      </c>
      <c r="Y172" s="179" t="e">
        <f t="shared" si="94"/>
        <v>#REF!</v>
      </c>
      <c r="Z172" s="179" t="e">
        <f t="shared" si="94"/>
        <v>#REF!</v>
      </c>
      <c r="AA172" s="179" t="e">
        <f t="shared" si="94"/>
        <v>#REF!</v>
      </c>
      <c r="AB172" s="179" t="e">
        <f t="shared" si="94"/>
        <v>#REF!</v>
      </c>
      <c r="AC172" s="179" t="e">
        <f t="shared" si="94"/>
        <v>#REF!</v>
      </c>
      <c r="AD172" s="179" t="e">
        <f t="shared" si="94"/>
        <v>#REF!</v>
      </c>
      <c r="AE172" s="179" t="e">
        <f t="shared" si="94"/>
        <v>#REF!</v>
      </c>
      <c r="AF172" s="179" t="e">
        <f t="shared" si="94"/>
        <v>#REF!</v>
      </c>
      <c r="AG172" s="179" t="e">
        <f t="shared" si="94"/>
        <v>#REF!</v>
      </c>
    </row>
    <row r="173" spans="1:33">
      <c r="A173" s="173" t="s">
        <v>330</v>
      </c>
      <c r="B173" s="173" t="s">
        <v>313</v>
      </c>
      <c r="C173" s="179" t="e">
        <f t="shared" ref="C173:AG174" si="95">C165</f>
        <v>#REF!</v>
      </c>
      <c r="D173" s="179" t="e">
        <f t="shared" si="95"/>
        <v>#REF!</v>
      </c>
      <c r="E173" s="179" t="e">
        <f t="shared" si="95"/>
        <v>#REF!</v>
      </c>
      <c r="F173" s="179" t="e">
        <f t="shared" si="95"/>
        <v>#REF!</v>
      </c>
      <c r="G173" s="179" t="e">
        <f t="shared" si="95"/>
        <v>#REF!</v>
      </c>
      <c r="H173" s="179" t="e">
        <f t="shared" si="95"/>
        <v>#REF!</v>
      </c>
      <c r="I173" s="179" t="e">
        <f t="shared" si="95"/>
        <v>#REF!</v>
      </c>
      <c r="J173" s="179" t="e">
        <f t="shared" si="95"/>
        <v>#REF!</v>
      </c>
      <c r="K173" s="179" t="e">
        <f t="shared" si="95"/>
        <v>#REF!</v>
      </c>
      <c r="L173" s="179" t="e">
        <f t="shared" si="95"/>
        <v>#REF!</v>
      </c>
      <c r="M173" s="179" t="e">
        <f t="shared" si="95"/>
        <v>#REF!</v>
      </c>
      <c r="N173" s="179" t="e">
        <f t="shared" si="95"/>
        <v>#REF!</v>
      </c>
      <c r="O173" s="179" t="e">
        <f t="shared" si="95"/>
        <v>#REF!</v>
      </c>
      <c r="P173" s="179" t="e">
        <f t="shared" si="95"/>
        <v>#REF!</v>
      </c>
      <c r="Q173" s="179" t="e">
        <f t="shared" si="95"/>
        <v>#REF!</v>
      </c>
      <c r="R173" s="179" t="e">
        <f t="shared" si="95"/>
        <v>#REF!</v>
      </c>
      <c r="S173" s="179" t="e">
        <f t="shared" si="95"/>
        <v>#REF!</v>
      </c>
      <c r="T173" s="179" t="e">
        <f t="shared" si="95"/>
        <v>#REF!</v>
      </c>
      <c r="U173" s="179" t="e">
        <f t="shared" si="95"/>
        <v>#REF!</v>
      </c>
      <c r="V173" s="179" t="e">
        <f t="shared" si="95"/>
        <v>#REF!</v>
      </c>
      <c r="W173" s="179" t="e">
        <f t="shared" si="95"/>
        <v>#REF!</v>
      </c>
      <c r="X173" s="179" t="e">
        <f t="shared" si="95"/>
        <v>#REF!</v>
      </c>
      <c r="Y173" s="179" t="e">
        <f t="shared" si="95"/>
        <v>#REF!</v>
      </c>
      <c r="Z173" s="179" t="e">
        <f t="shared" si="95"/>
        <v>#REF!</v>
      </c>
      <c r="AA173" s="179" t="e">
        <f t="shared" si="95"/>
        <v>#REF!</v>
      </c>
      <c r="AB173" s="179" t="e">
        <f t="shared" si="95"/>
        <v>#REF!</v>
      </c>
      <c r="AC173" s="179" t="e">
        <f t="shared" si="95"/>
        <v>#REF!</v>
      </c>
      <c r="AD173" s="179" t="e">
        <f t="shared" si="95"/>
        <v>#REF!</v>
      </c>
      <c r="AE173" s="179" t="e">
        <f t="shared" si="95"/>
        <v>#REF!</v>
      </c>
      <c r="AF173" s="179" t="e">
        <f t="shared" si="95"/>
        <v>#REF!</v>
      </c>
      <c r="AG173" s="179" t="e">
        <f t="shared" si="95"/>
        <v>#REF!</v>
      </c>
    </row>
    <row r="174" spans="1:33">
      <c r="A174" s="173" t="str">
        <f>A166</f>
        <v>Maintenance</v>
      </c>
      <c r="B174" s="173" t="s">
        <v>309</v>
      </c>
      <c r="C174" s="179" t="e">
        <f t="shared" si="95"/>
        <v>#REF!</v>
      </c>
      <c r="D174" s="179" t="e">
        <f t="shared" si="95"/>
        <v>#REF!</v>
      </c>
      <c r="E174" s="179" t="e">
        <f t="shared" si="95"/>
        <v>#REF!</v>
      </c>
      <c r="F174" s="179" t="e">
        <f t="shared" si="95"/>
        <v>#REF!</v>
      </c>
      <c r="G174" s="179" t="e">
        <f t="shared" si="95"/>
        <v>#REF!</v>
      </c>
      <c r="H174" s="179" t="e">
        <f t="shared" si="95"/>
        <v>#REF!</v>
      </c>
      <c r="I174" s="179" t="e">
        <f t="shared" si="95"/>
        <v>#REF!</v>
      </c>
      <c r="J174" s="179" t="e">
        <f t="shared" si="95"/>
        <v>#REF!</v>
      </c>
      <c r="K174" s="179" t="e">
        <f t="shared" si="95"/>
        <v>#REF!</v>
      </c>
      <c r="L174" s="179" t="e">
        <f t="shared" si="95"/>
        <v>#REF!</v>
      </c>
      <c r="M174" s="179" t="e">
        <f t="shared" si="95"/>
        <v>#REF!</v>
      </c>
      <c r="N174" s="179" t="e">
        <f t="shared" si="95"/>
        <v>#REF!</v>
      </c>
      <c r="O174" s="179" t="e">
        <f t="shared" si="95"/>
        <v>#REF!</v>
      </c>
      <c r="P174" s="179" t="e">
        <f t="shared" si="95"/>
        <v>#REF!</v>
      </c>
      <c r="Q174" s="179" t="e">
        <f t="shared" si="95"/>
        <v>#REF!</v>
      </c>
      <c r="R174" s="179" t="e">
        <f t="shared" si="95"/>
        <v>#REF!</v>
      </c>
      <c r="S174" s="179" t="e">
        <f t="shared" si="95"/>
        <v>#REF!</v>
      </c>
      <c r="T174" s="179" t="e">
        <f t="shared" si="95"/>
        <v>#REF!</v>
      </c>
      <c r="U174" s="179" t="e">
        <f t="shared" si="95"/>
        <v>#REF!</v>
      </c>
      <c r="V174" s="179" t="e">
        <f t="shared" si="95"/>
        <v>#REF!</v>
      </c>
      <c r="W174" s="179" t="e">
        <f t="shared" si="95"/>
        <v>#REF!</v>
      </c>
      <c r="X174" s="179" t="e">
        <f t="shared" si="95"/>
        <v>#REF!</v>
      </c>
      <c r="Y174" s="179" t="e">
        <f t="shared" si="95"/>
        <v>#REF!</v>
      </c>
      <c r="Z174" s="179" t="e">
        <f t="shared" si="95"/>
        <v>#REF!</v>
      </c>
      <c r="AA174" s="179" t="e">
        <f t="shared" si="95"/>
        <v>#REF!</v>
      </c>
      <c r="AB174" s="179" t="e">
        <f t="shared" si="95"/>
        <v>#REF!</v>
      </c>
      <c r="AC174" s="179" t="e">
        <f t="shared" si="95"/>
        <v>#REF!</v>
      </c>
      <c r="AD174" s="179" t="e">
        <f t="shared" si="95"/>
        <v>#REF!</v>
      </c>
      <c r="AE174" s="179" t="e">
        <f t="shared" si="95"/>
        <v>#REF!</v>
      </c>
      <c r="AF174" s="179" t="e">
        <f t="shared" si="95"/>
        <v>#REF!</v>
      </c>
      <c r="AG174" s="179" t="e">
        <f t="shared" si="95"/>
        <v>#REF!</v>
      </c>
    </row>
    <row r="175" spans="1:33">
      <c r="A175" s="173" t="str">
        <f>A167</f>
        <v>Toll Tax without waiver</v>
      </c>
      <c r="B175" s="173" t="str">
        <f>B167</f>
        <v>INR</v>
      </c>
      <c r="C175" s="179" t="e">
        <f t="shared" ref="C175:AG175" si="96">$C$16*$C$27*$C$28</f>
        <v>#REF!</v>
      </c>
      <c r="D175" s="179" t="e">
        <f t="shared" si="96"/>
        <v>#REF!</v>
      </c>
      <c r="E175" s="179" t="e">
        <f t="shared" si="96"/>
        <v>#REF!</v>
      </c>
      <c r="F175" s="179" t="e">
        <f t="shared" si="96"/>
        <v>#REF!</v>
      </c>
      <c r="G175" s="179" t="e">
        <f t="shared" si="96"/>
        <v>#REF!</v>
      </c>
      <c r="H175" s="179" t="e">
        <f t="shared" si="96"/>
        <v>#REF!</v>
      </c>
      <c r="I175" s="179" t="e">
        <f t="shared" si="96"/>
        <v>#REF!</v>
      </c>
      <c r="J175" s="179" t="e">
        <f t="shared" si="96"/>
        <v>#REF!</v>
      </c>
      <c r="K175" s="179" t="e">
        <f t="shared" si="96"/>
        <v>#REF!</v>
      </c>
      <c r="L175" s="179" t="e">
        <f t="shared" si="96"/>
        <v>#REF!</v>
      </c>
      <c r="M175" s="179" t="e">
        <f t="shared" si="96"/>
        <v>#REF!</v>
      </c>
      <c r="N175" s="179" t="e">
        <f t="shared" si="96"/>
        <v>#REF!</v>
      </c>
      <c r="O175" s="179" t="e">
        <f t="shared" si="96"/>
        <v>#REF!</v>
      </c>
      <c r="P175" s="179" t="e">
        <f t="shared" si="96"/>
        <v>#REF!</v>
      </c>
      <c r="Q175" s="179" t="e">
        <f t="shared" si="96"/>
        <v>#REF!</v>
      </c>
      <c r="R175" s="179" t="e">
        <f t="shared" si="96"/>
        <v>#REF!</v>
      </c>
      <c r="S175" s="179" t="e">
        <f t="shared" si="96"/>
        <v>#REF!</v>
      </c>
      <c r="T175" s="179" t="e">
        <f t="shared" si="96"/>
        <v>#REF!</v>
      </c>
      <c r="U175" s="179" t="e">
        <f t="shared" si="96"/>
        <v>#REF!</v>
      </c>
      <c r="V175" s="179" t="e">
        <f t="shared" si="96"/>
        <v>#REF!</v>
      </c>
      <c r="W175" s="179" t="e">
        <f t="shared" si="96"/>
        <v>#REF!</v>
      </c>
      <c r="X175" s="179" t="e">
        <f t="shared" si="96"/>
        <v>#REF!</v>
      </c>
      <c r="Y175" s="179" t="e">
        <f t="shared" si="96"/>
        <v>#REF!</v>
      </c>
      <c r="Z175" s="179" t="e">
        <f t="shared" si="96"/>
        <v>#REF!</v>
      </c>
      <c r="AA175" s="179" t="e">
        <f t="shared" si="96"/>
        <v>#REF!</v>
      </c>
      <c r="AB175" s="179" t="e">
        <f t="shared" si="96"/>
        <v>#REF!</v>
      </c>
      <c r="AC175" s="179" t="e">
        <f t="shared" si="96"/>
        <v>#REF!</v>
      </c>
      <c r="AD175" s="179" t="e">
        <f t="shared" si="96"/>
        <v>#REF!</v>
      </c>
      <c r="AE175" s="179" t="e">
        <f t="shared" si="96"/>
        <v>#REF!</v>
      </c>
      <c r="AF175" s="179" t="e">
        <f t="shared" si="96"/>
        <v>#REF!</v>
      </c>
      <c r="AG175" s="179" t="e">
        <f t="shared" si="96"/>
        <v>#REF!</v>
      </c>
    </row>
    <row r="176" spans="1:33">
      <c r="A176" s="173" t="s">
        <v>319</v>
      </c>
      <c r="B176" s="173" t="s">
        <v>309</v>
      </c>
      <c r="C176" s="179" t="e">
        <f t="shared" ref="C176:AG176" si="97">C169</f>
        <v>#REF!</v>
      </c>
      <c r="D176" s="179" t="e">
        <f t="shared" si="97"/>
        <v>#REF!</v>
      </c>
      <c r="E176" s="179" t="e">
        <f t="shared" si="97"/>
        <v>#REF!</v>
      </c>
      <c r="F176" s="179" t="e">
        <f t="shared" si="97"/>
        <v>#REF!</v>
      </c>
      <c r="G176" s="179" t="e">
        <f t="shared" si="97"/>
        <v>#REF!</v>
      </c>
      <c r="H176" s="179" t="e">
        <f t="shared" si="97"/>
        <v>#REF!</v>
      </c>
      <c r="I176" s="179" t="e">
        <f t="shared" si="97"/>
        <v>#REF!</v>
      </c>
      <c r="J176" s="179" t="e">
        <f t="shared" si="97"/>
        <v>#REF!</v>
      </c>
      <c r="K176" s="179" t="e">
        <f t="shared" si="97"/>
        <v>#REF!</v>
      </c>
      <c r="L176" s="179" t="e">
        <f t="shared" si="97"/>
        <v>#REF!</v>
      </c>
      <c r="M176" s="179" t="e">
        <f t="shared" si="97"/>
        <v>#REF!</v>
      </c>
      <c r="N176" s="179" t="e">
        <f t="shared" si="97"/>
        <v>#REF!</v>
      </c>
      <c r="O176" s="179" t="e">
        <f t="shared" si="97"/>
        <v>#REF!</v>
      </c>
      <c r="P176" s="179" t="e">
        <f t="shared" si="97"/>
        <v>#REF!</v>
      </c>
      <c r="Q176" s="179" t="e">
        <f t="shared" si="97"/>
        <v>#REF!</v>
      </c>
      <c r="R176" s="179" t="e">
        <f t="shared" si="97"/>
        <v>#REF!</v>
      </c>
      <c r="S176" s="179" t="e">
        <f t="shared" si="97"/>
        <v>#REF!</v>
      </c>
      <c r="T176" s="179" t="e">
        <f t="shared" si="97"/>
        <v>#REF!</v>
      </c>
      <c r="U176" s="179" t="e">
        <f t="shared" si="97"/>
        <v>#REF!</v>
      </c>
      <c r="V176" s="179" t="e">
        <f t="shared" si="97"/>
        <v>#REF!</v>
      </c>
      <c r="W176" s="179" t="e">
        <f t="shared" si="97"/>
        <v>#REF!</v>
      </c>
      <c r="X176" s="179" t="e">
        <f t="shared" si="97"/>
        <v>#REF!</v>
      </c>
      <c r="Y176" s="179" t="e">
        <f t="shared" si="97"/>
        <v>#REF!</v>
      </c>
      <c r="Z176" s="179" t="e">
        <f t="shared" si="97"/>
        <v>#REF!</v>
      </c>
      <c r="AA176" s="179" t="e">
        <f t="shared" si="97"/>
        <v>#REF!</v>
      </c>
      <c r="AB176" s="179" t="e">
        <f t="shared" si="97"/>
        <v>#REF!</v>
      </c>
      <c r="AC176" s="179" t="e">
        <f t="shared" si="97"/>
        <v>#REF!</v>
      </c>
      <c r="AD176" s="179" t="e">
        <f t="shared" si="97"/>
        <v>#REF!</v>
      </c>
      <c r="AE176" s="179" t="e">
        <f t="shared" si="97"/>
        <v>#REF!</v>
      </c>
      <c r="AF176" s="179" t="e">
        <f t="shared" si="97"/>
        <v>#REF!</v>
      </c>
      <c r="AG176" s="179" t="e">
        <f t="shared" si="97"/>
        <v>#REF!</v>
      </c>
    </row>
    <row r="177" spans="1:33" s="247" customFormat="1" ht="11.85" customHeight="1">
      <c r="A177" s="270" t="s">
        <v>320</v>
      </c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</row>
    <row r="178" spans="1:33">
      <c r="A178" s="173" t="s">
        <v>427</v>
      </c>
      <c r="B178" s="173" t="s">
        <v>300</v>
      </c>
      <c r="C178" s="179" t="e">
        <f t="shared" ref="C178:AG178" si="98">(C171+C172)/($C$28*$C$27)</f>
        <v>#REF!</v>
      </c>
      <c r="D178" s="179" t="e">
        <f t="shared" si="98"/>
        <v>#REF!</v>
      </c>
      <c r="E178" s="179" t="e">
        <f t="shared" si="98"/>
        <v>#REF!</v>
      </c>
      <c r="F178" s="179" t="e">
        <f t="shared" si="98"/>
        <v>#REF!</v>
      </c>
      <c r="G178" s="279" t="e">
        <f t="shared" si="98"/>
        <v>#REF!</v>
      </c>
      <c r="H178" s="279" t="e">
        <f t="shared" si="98"/>
        <v>#REF!</v>
      </c>
      <c r="I178" s="279" t="e">
        <f t="shared" si="98"/>
        <v>#REF!</v>
      </c>
      <c r="J178" s="179" t="e">
        <f t="shared" si="98"/>
        <v>#REF!</v>
      </c>
      <c r="K178" s="179" t="e">
        <f t="shared" si="98"/>
        <v>#REF!</v>
      </c>
      <c r="L178" s="179" t="e">
        <f t="shared" si="98"/>
        <v>#REF!</v>
      </c>
      <c r="M178" s="179" t="e">
        <f t="shared" si="98"/>
        <v>#REF!</v>
      </c>
      <c r="N178" s="179" t="e">
        <f t="shared" si="98"/>
        <v>#REF!</v>
      </c>
      <c r="O178" s="179" t="e">
        <f t="shared" si="98"/>
        <v>#REF!</v>
      </c>
      <c r="P178" s="179" t="e">
        <f t="shared" si="98"/>
        <v>#REF!</v>
      </c>
      <c r="Q178" s="179" t="e">
        <f t="shared" si="98"/>
        <v>#REF!</v>
      </c>
      <c r="R178" s="179" t="e">
        <f t="shared" si="98"/>
        <v>#REF!</v>
      </c>
      <c r="S178" s="179" t="e">
        <f t="shared" si="98"/>
        <v>#REF!</v>
      </c>
      <c r="T178" s="179" t="e">
        <f t="shared" si="98"/>
        <v>#REF!</v>
      </c>
      <c r="U178" s="179" t="e">
        <f t="shared" si="98"/>
        <v>#REF!</v>
      </c>
      <c r="V178" s="179" t="e">
        <f t="shared" si="98"/>
        <v>#REF!</v>
      </c>
      <c r="W178" s="179" t="e">
        <f t="shared" si="98"/>
        <v>#REF!</v>
      </c>
      <c r="X178" s="179" t="e">
        <f t="shared" si="98"/>
        <v>#REF!</v>
      </c>
      <c r="Y178" s="179" t="e">
        <f t="shared" si="98"/>
        <v>#REF!</v>
      </c>
      <c r="Z178" s="179" t="e">
        <f t="shared" si="98"/>
        <v>#REF!</v>
      </c>
      <c r="AA178" s="179" t="e">
        <f t="shared" si="98"/>
        <v>#REF!</v>
      </c>
      <c r="AB178" s="179" t="e">
        <f t="shared" si="98"/>
        <v>#REF!</v>
      </c>
      <c r="AC178" s="179" t="e">
        <f t="shared" si="98"/>
        <v>#REF!</v>
      </c>
      <c r="AD178" s="179" t="e">
        <f t="shared" si="98"/>
        <v>#REF!</v>
      </c>
      <c r="AE178" s="179" t="e">
        <f t="shared" si="98"/>
        <v>#REF!</v>
      </c>
      <c r="AF178" s="179" t="e">
        <f t="shared" si="98"/>
        <v>#REF!</v>
      </c>
      <c r="AG178" s="179" t="e">
        <f t="shared" si="98"/>
        <v>#REF!</v>
      </c>
    </row>
    <row r="179" spans="1:33">
      <c r="A179" s="173" t="s">
        <v>321</v>
      </c>
      <c r="B179" s="173" t="s">
        <v>300</v>
      </c>
      <c r="C179" s="179" t="e">
        <f t="shared" ref="C179:AG179" si="99">C173/($C$28*$C$27)</f>
        <v>#REF!</v>
      </c>
      <c r="D179" s="179" t="e">
        <f t="shared" si="99"/>
        <v>#REF!</v>
      </c>
      <c r="E179" s="179" t="e">
        <f t="shared" si="99"/>
        <v>#REF!</v>
      </c>
      <c r="F179" s="179" t="e">
        <f t="shared" si="99"/>
        <v>#REF!</v>
      </c>
      <c r="G179" s="279" t="e">
        <f t="shared" si="99"/>
        <v>#REF!</v>
      </c>
      <c r="H179" s="279" t="e">
        <f t="shared" si="99"/>
        <v>#REF!</v>
      </c>
      <c r="I179" s="279" t="e">
        <f t="shared" si="99"/>
        <v>#REF!</v>
      </c>
      <c r="J179" s="179" t="e">
        <f t="shared" si="99"/>
        <v>#REF!</v>
      </c>
      <c r="K179" s="179" t="e">
        <f t="shared" si="99"/>
        <v>#REF!</v>
      </c>
      <c r="L179" s="179" t="e">
        <f t="shared" si="99"/>
        <v>#REF!</v>
      </c>
      <c r="M179" s="179" t="e">
        <f t="shared" si="99"/>
        <v>#REF!</v>
      </c>
      <c r="N179" s="179" t="e">
        <f t="shared" si="99"/>
        <v>#REF!</v>
      </c>
      <c r="O179" s="179" t="e">
        <f t="shared" si="99"/>
        <v>#REF!</v>
      </c>
      <c r="P179" s="179" t="e">
        <f t="shared" si="99"/>
        <v>#REF!</v>
      </c>
      <c r="Q179" s="179" t="e">
        <f t="shared" si="99"/>
        <v>#REF!</v>
      </c>
      <c r="R179" s="179" t="e">
        <f t="shared" si="99"/>
        <v>#REF!</v>
      </c>
      <c r="S179" s="179" t="e">
        <f t="shared" si="99"/>
        <v>#REF!</v>
      </c>
      <c r="T179" s="179" t="e">
        <f t="shared" si="99"/>
        <v>#REF!</v>
      </c>
      <c r="U179" s="179" t="e">
        <f t="shared" si="99"/>
        <v>#REF!</v>
      </c>
      <c r="V179" s="179" t="e">
        <f t="shared" si="99"/>
        <v>#REF!</v>
      </c>
      <c r="W179" s="179" t="e">
        <f t="shared" si="99"/>
        <v>#REF!</v>
      </c>
      <c r="X179" s="179" t="e">
        <f t="shared" si="99"/>
        <v>#REF!</v>
      </c>
      <c r="Y179" s="179" t="e">
        <f t="shared" si="99"/>
        <v>#REF!</v>
      </c>
      <c r="Z179" s="179" t="e">
        <f t="shared" si="99"/>
        <v>#REF!</v>
      </c>
      <c r="AA179" s="179" t="e">
        <f t="shared" si="99"/>
        <v>#REF!</v>
      </c>
      <c r="AB179" s="179" t="e">
        <f t="shared" si="99"/>
        <v>#REF!</v>
      </c>
      <c r="AC179" s="179" t="e">
        <f t="shared" si="99"/>
        <v>#REF!</v>
      </c>
      <c r="AD179" s="179" t="e">
        <f t="shared" si="99"/>
        <v>#REF!</v>
      </c>
      <c r="AE179" s="179" t="e">
        <f t="shared" si="99"/>
        <v>#REF!</v>
      </c>
      <c r="AF179" s="179" t="e">
        <f t="shared" si="99"/>
        <v>#REF!</v>
      </c>
      <c r="AG179" s="179" t="e">
        <f t="shared" si="99"/>
        <v>#REF!</v>
      </c>
    </row>
    <row r="180" spans="1:33">
      <c r="A180" s="173" t="s">
        <v>322</v>
      </c>
      <c r="B180" s="173" t="s">
        <v>300</v>
      </c>
      <c r="C180" s="179" t="e">
        <f t="shared" ref="C180:AG180" si="100">(C166+C169+C70)/($C$28*$C$27)+C63</f>
        <v>#REF!</v>
      </c>
      <c r="D180" s="179" t="e">
        <f t="shared" si="100"/>
        <v>#REF!</v>
      </c>
      <c r="E180" s="179" t="e">
        <f t="shared" si="100"/>
        <v>#REF!</v>
      </c>
      <c r="F180" s="179" t="e">
        <f t="shared" si="100"/>
        <v>#REF!</v>
      </c>
      <c r="G180" s="179" t="e">
        <f t="shared" si="100"/>
        <v>#REF!</v>
      </c>
      <c r="H180" s="179" t="e">
        <f t="shared" si="100"/>
        <v>#REF!</v>
      </c>
      <c r="I180" s="179" t="e">
        <f t="shared" si="100"/>
        <v>#REF!</v>
      </c>
      <c r="J180" s="179" t="e">
        <f t="shared" si="100"/>
        <v>#REF!</v>
      </c>
      <c r="K180" s="179" t="e">
        <f t="shared" si="100"/>
        <v>#REF!</v>
      </c>
      <c r="L180" s="179" t="e">
        <f t="shared" si="100"/>
        <v>#REF!</v>
      </c>
      <c r="M180" s="179" t="e">
        <f t="shared" si="100"/>
        <v>#REF!</v>
      </c>
      <c r="N180" s="179" t="e">
        <f t="shared" si="100"/>
        <v>#REF!</v>
      </c>
      <c r="O180" s="179" t="e">
        <f t="shared" si="100"/>
        <v>#REF!</v>
      </c>
      <c r="P180" s="179" t="e">
        <f t="shared" si="100"/>
        <v>#REF!</v>
      </c>
      <c r="Q180" s="179" t="e">
        <f t="shared" si="100"/>
        <v>#REF!</v>
      </c>
      <c r="R180" s="179" t="e">
        <f t="shared" si="100"/>
        <v>#REF!</v>
      </c>
      <c r="S180" s="179" t="e">
        <f t="shared" si="100"/>
        <v>#REF!</v>
      </c>
      <c r="T180" s="179" t="e">
        <f t="shared" si="100"/>
        <v>#REF!</v>
      </c>
      <c r="U180" s="179" t="e">
        <f t="shared" si="100"/>
        <v>#REF!</v>
      </c>
      <c r="V180" s="179" t="e">
        <f t="shared" si="100"/>
        <v>#REF!</v>
      </c>
      <c r="W180" s="179" t="e">
        <f t="shared" si="100"/>
        <v>#REF!</v>
      </c>
      <c r="X180" s="179" t="e">
        <f t="shared" si="100"/>
        <v>#REF!</v>
      </c>
      <c r="Y180" s="179" t="e">
        <f t="shared" si="100"/>
        <v>#REF!</v>
      </c>
      <c r="Z180" s="179" t="e">
        <f t="shared" si="100"/>
        <v>#REF!</v>
      </c>
      <c r="AA180" s="179" t="e">
        <f t="shared" si="100"/>
        <v>#REF!</v>
      </c>
      <c r="AB180" s="179" t="e">
        <f t="shared" si="100"/>
        <v>#REF!</v>
      </c>
      <c r="AC180" s="179" t="e">
        <f t="shared" si="100"/>
        <v>#REF!</v>
      </c>
      <c r="AD180" s="179" t="e">
        <f t="shared" si="100"/>
        <v>#REF!</v>
      </c>
      <c r="AE180" s="179" t="e">
        <f t="shared" si="100"/>
        <v>#REF!</v>
      </c>
      <c r="AF180" s="179" t="e">
        <f t="shared" si="100"/>
        <v>#REF!</v>
      </c>
      <c r="AG180" s="179" t="e">
        <f t="shared" si="100"/>
        <v>#REF!</v>
      </c>
    </row>
    <row r="181" spans="1:33">
      <c r="C181" s="274" t="e">
        <f t="shared" ref="C181:AG181" si="101">SUM(C178:C180)</f>
        <v>#REF!</v>
      </c>
      <c r="D181" s="274" t="e">
        <f t="shared" si="101"/>
        <v>#REF!</v>
      </c>
      <c r="E181" s="274" t="e">
        <f t="shared" si="101"/>
        <v>#REF!</v>
      </c>
      <c r="F181" s="274" t="e">
        <f t="shared" si="101"/>
        <v>#REF!</v>
      </c>
      <c r="G181" s="274" t="e">
        <f t="shared" si="101"/>
        <v>#REF!</v>
      </c>
      <c r="H181" s="274" t="e">
        <f t="shared" si="101"/>
        <v>#REF!</v>
      </c>
      <c r="I181" s="274" t="e">
        <f t="shared" si="101"/>
        <v>#REF!</v>
      </c>
      <c r="J181" s="274" t="e">
        <f t="shared" si="101"/>
        <v>#REF!</v>
      </c>
      <c r="K181" s="274" t="e">
        <f t="shared" si="101"/>
        <v>#REF!</v>
      </c>
      <c r="L181" s="274" t="e">
        <f t="shared" si="101"/>
        <v>#REF!</v>
      </c>
      <c r="M181" s="274" t="e">
        <f t="shared" si="101"/>
        <v>#REF!</v>
      </c>
      <c r="N181" s="274" t="e">
        <f t="shared" si="101"/>
        <v>#REF!</v>
      </c>
      <c r="O181" s="274" t="e">
        <f t="shared" si="101"/>
        <v>#REF!</v>
      </c>
      <c r="P181" s="274" t="e">
        <f t="shared" si="101"/>
        <v>#REF!</v>
      </c>
      <c r="Q181" s="274" t="e">
        <f t="shared" si="101"/>
        <v>#REF!</v>
      </c>
      <c r="R181" s="274" t="e">
        <f t="shared" si="101"/>
        <v>#REF!</v>
      </c>
      <c r="S181" s="274" t="e">
        <f t="shared" si="101"/>
        <v>#REF!</v>
      </c>
      <c r="T181" s="274" t="e">
        <f t="shared" si="101"/>
        <v>#REF!</v>
      </c>
      <c r="U181" s="274" t="e">
        <f t="shared" si="101"/>
        <v>#REF!</v>
      </c>
      <c r="V181" s="274" t="e">
        <f t="shared" si="101"/>
        <v>#REF!</v>
      </c>
      <c r="W181" s="274" t="e">
        <f t="shared" si="101"/>
        <v>#REF!</v>
      </c>
      <c r="X181" s="274" t="e">
        <f t="shared" si="101"/>
        <v>#REF!</v>
      </c>
      <c r="Y181" s="274" t="e">
        <f t="shared" si="101"/>
        <v>#REF!</v>
      </c>
      <c r="Z181" s="274" t="e">
        <f t="shared" si="101"/>
        <v>#REF!</v>
      </c>
      <c r="AA181" s="274" t="e">
        <f t="shared" si="101"/>
        <v>#REF!</v>
      </c>
      <c r="AB181" s="274" t="e">
        <f t="shared" si="101"/>
        <v>#REF!</v>
      </c>
      <c r="AC181" s="274" t="e">
        <f t="shared" si="101"/>
        <v>#REF!</v>
      </c>
      <c r="AD181" s="274" t="e">
        <f t="shared" si="101"/>
        <v>#REF!</v>
      </c>
      <c r="AE181" s="274" t="e">
        <f t="shared" si="101"/>
        <v>#REF!</v>
      </c>
      <c r="AF181" s="274" t="e">
        <f t="shared" si="101"/>
        <v>#REF!</v>
      </c>
      <c r="AG181" s="274" t="e">
        <f t="shared" si="101"/>
        <v>#REF!</v>
      </c>
    </row>
    <row r="182" spans="1:33" s="225" customFormat="1">
      <c r="A182" s="223" t="s">
        <v>331</v>
      </c>
      <c r="B182" s="223"/>
      <c r="H182" s="275" t="e">
        <f>H189/H86</f>
        <v>#REF!</v>
      </c>
      <c r="AB182" s="275" t="e">
        <f>AB189/AB86</f>
        <v>#REF!</v>
      </c>
    </row>
    <row r="183" spans="1:33">
      <c r="A183" s="235" t="s">
        <v>41</v>
      </c>
      <c r="B183" s="235"/>
      <c r="C183" s="235">
        <v>2025</v>
      </c>
      <c r="D183" s="235">
        <f t="shared" ref="D183:AG183" si="102">C183+1</f>
        <v>2026</v>
      </c>
      <c r="E183" s="235">
        <f t="shared" si="102"/>
        <v>2027</v>
      </c>
      <c r="F183" s="235">
        <f t="shared" si="102"/>
        <v>2028</v>
      </c>
      <c r="G183" s="235">
        <f t="shared" si="102"/>
        <v>2029</v>
      </c>
      <c r="H183" s="235">
        <f t="shared" si="102"/>
        <v>2030</v>
      </c>
      <c r="I183" s="235">
        <f t="shared" si="102"/>
        <v>2031</v>
      </c>
      <c r="J183" s="235">
        <f t="shared" si="102"/>
        <v>2032</v>
      </c>
      <c r="K183" s="235">
        <f t="shared" si="102"/>
        <v>2033</v>
      </c>
      <c r="L183" s="235">
        <f t="shared" si="102"/>
        <v>2034</v>
      </c>
      <c r="M183" s="235">
        <f t="shared" si="102"/>
        <v>2035</v>
      </c>
      <c r="N183" s="235">
        <f t="shared" si="102"/>
        <v>2036</v>
      </c>
      <c r="O183" s="235">
        <f t="shared" si="102"/>
        <v>2037</v>
      </c>
      <c r="P183" s="235">
        <f t="shared" si="102"/>
        <v>2038</v>
      </c>
      <c r="Q183" s="235">
        <f t="shared" si="102"/>
        <v>2039</v>
      </c>
      <c r="R183" s="235">
        <f t="shared" si="102"/>
        <v>2040</v>
      </c>
      <c r="S183" s="235">
        <f t="shared" si="102"/>
        <v>2041</v>
      </c>
      <c r="T183" s="235">
        <f t="shared" si="102"/>
        <v>2042</v>
      </c>
      <c r="U183" s="235">
        <f t="shared" si="102"/>
        <v>2043</v>
      </c>
      <c r="V183" s="235">
        <f t="shared" si="102"/>
        <v>2044</v>
      </c>
      <c r="W183" s="235">
        <f t="shared" si="102"/>
        <v>2045</v>
      </c>
      <c r="X183" s="235">
        <f t="shared" si="102"/>
        <v>2046</v>
      </c>
      <c r="Y183" s="235">
        <f t="shared" si="102"/>
        <v>2047</v>
      </c>
      <c r="Z183" s="235">
        <f t="shared" si="102"/>
        <v>2048</v>
      </c>
      <c r="AA183" s="235">
        <f t="shared" si="102"/>
        <v>2049</v>
      </c>
      <c r="AB183" s="235">
        <f t="shared" si="102"/>
        <v>2050</v>
      </c>
      <c r="AC183" s="235">
        <f t="shared" si="102"/>
        <v>2051</v>
      </c>
      <c r="AD183" s="235">
        <f t="shared" si="102"/>
        <v>2052</v>
      </c>
      <c r="AE183" s="235">
        <f t="shared" si="102"/>
        <v>2053</v>
      </c>
      <c r="AF183" s="235">
        <f t="shared" si="102"/>
        <v>2054</v>
      </c>
      <c r="AG183" s="235">
        <f t="shared" si="102"/>
        <v>2055</v>
      </c>
    </row>
    <row r="184" spans="1:33">
      <c r="A184" s="290" t="s">
        <v>428</v>
      </c>
      <c r="B184" s="173" t="s">
        <v>309</v>
      </c>
      <c r="C184" s="179" t="e">
        <f t="shared" ref="C184:AG184" si="103">$H$73*C60</f>
        <v>#REF!</v>
      </c>
      <c r="D184" s="179" t="e">
        <f t="shared" si="103"/>
        <v>#REF!</v>
      </c>
      <c r="E184" s="179" t="e">
        <f t="shared" si="103"/>
        <v>#REF!</v>
      </c>
      <c r="F184" s="179" t="e">
        <f t="shared" si="103"/>
        <v>#REF!</v>
      </c>
      <c r="G184" s="179" t="e">
        <f t="shared" si="103"/>
        <v>#REF!</v>
      </c>
      <c r="H184" s="179" t="e">
        <f t="shared" si="103"/>
        <v>#REF!</v>
      </c>
      <c r="I184" s="179" t="e">
        <f t="shared" si="103"/>
        <v>#REF!</v>
      </c>
      <c r="J184" s="179" t="e">
        <f t="shared" si="103"/>
        <v>#REF!</v>
      </c>
      <c r="K184" s="179" t="e">
        <f t="shared" si="103"/>
        <v>#REF!</v>
      </c>
      <c r="L184" s="179" t="e">
        <f t="shared" si="103"/>
        <v>#REF!</v>
      </c>
      <c r="M184" s="179" t="e">
        <f t="shared" si="103"/>
        <v>#REF!</v>
      </c>
      <c r="N184" s="179" t="e">
        <f t="shared" si="103"/>
        <v>#REF!</v>
      </c>
      <c r="O184" s="179" t="e">
        <f t="shared" si="103"/>
        <v>#REF!</v>
      </c>
      <c r="P184" s="179" t="e">
        <f t="shared" si="103"/>
        <v>#REF!</v>
      </c>
      <c r="Q184" s="179" t="e">
        <f t="shared" si="103"/>
        <v>#REF!</v>
      </c>
      <c r="R184" s="179" t="e">
        <f t="shared" si="103"/>
        <v>#REF!</v>
      </c>
      <c r="S184" s="179" t="e">
        <f t="shared" si="103"/>
        <v>#REF!</v>
      </c>
      <c r="T184" s="179" t="e">
        <f t="shared" si="103"/>
        <v>#REF!</v>
      </c>
      <c r="U184" s="179" t="e">
        <f t="shared" si="103"/>
        <v>#REF!</v>
      </c>
      <c r="V184" s="179" t="e">
        <f t="shared" si="103"/>
        <v>#REF!</v>
      </c>
      <c r="W184" s="179" t="e">
        <f t="shared" si="103"/>
        <v>#REF!</v>
      </c>
      <c r="X184" s="179" t="e">
        <f t="shared" si="103"/>
        <v>#REF!</v>
      </c>
      <c r="Y184" s="179" t="e">
        <f t="shared" si="103"/>
        <v>#REF!</v>
      </c>
      <c r="Z184" s="179" t="e">
        <f t="shared" si="103"/>
        <v>#REF!</v>
      </c>
      <c r="AA184" s="179" t="e">
        <f t="shared" si="103"/>
        <v>#REF!</v>
      </c>
      <c r="AB184" s="179" t="e">
        <f t="shared" si="103"/>
        <v>#REF!</v>
      </c>
      <c r="AC184" s="179" t="e">
        <f t="shared" si="103"/>
        <v>#REF!</v>
      </c>
      <c r="AD184" s="179" t="e">
        <f t="shared" si="103"/>
        <v>#REF!</v>
      </c>
      <c r="AE184" s="179" t="e">
        <f t="shared" si="103"/>
        <v>#REF!</v>
      </c>
      <c r="AF184" s="179" t="e">
        <f t="shared" si="103"/>
        <v>#REF!</v>
      </c>
      <c r="AG184" s="179" t="e">
        <f t="shared" si="103"/>
        <v>#REF!</v>
      </c>
    </row>
    <row r="185" spans="1:33">
      <c r="A185" s="290" t="s">
        <v>419</v>
      </c>
      <c r="B185" s="173" t="s">
        <v>309</v>
      </c>
      <c r="C185" s="179" t="e">
        <f t="shared" ref="C185:AG185" si="104">$C$22*C56</f>
        <v>#REF!</v>
      </c>
      <c r="D185" s="179" t="e">
        <f t="shared" si="104"/>
        <v>#REF!</v>
      </c>
      <c r="E185" s="179" t="e">
        <f t="shared" si="104"/>
        <v>#REF!</v>
      </c>
      <c r="F185" s="179" t="e">
        <f t="shared" si="104"/>
        <v>#REF!</v>
      </c>
      <c r="G185" s="179" t="e">
        <f t="shared" si="104"/>
        <v>#REF!</v>
      </c>
      <c r="H185" s="179" t="e">
        <f t="shared" si="104"/>
        <v>#REF!</v>
      </c>
      <c r="I185" s="179" t="e">
        <f t="shared" si="104"/>
        <v>#REF!</v>
      </c>
      <c r="J185" s="179" t="e">
        <f t="shared" si="104"/>
        <v>#REF!</v>
      </c>
      <c r="K185" s="179" t="e">
        <f t="shared" si="104"/>
        <v>#REF!</v>
      </c>
      <c r="L185" s="179" t="e">
        <f t="shared" si="104"/>
        <v>#REF!</v>
      </c>
      <c r="M185" s="179" t="e">
        <f t="shared" si="104"/>
        <v>#REF!</v>
      </c>
      <c r="N185" s="179" t="e">
        <f t="shared" si="104"/>
        <v>#REF!</v>
      </c>
      <c r="O185" s="179" t="e">
        <f t="shared" si="104"/>
        <v>#REF!</v>
      </c>
      <c r="P185" s="179" t="e">
        <f t="shared" si="104"/>
        <v>#REF!</v>
      </c>
      <c r="Q185" s="179" t="e">
        <f t="shared" si="104"/>
        <v>#REF!</v>
      </c>
      <c r="R185" s="179" t="e">
        <f t="shared" si="104"/>
        <v>#REF!</v>
      </c>
      <c r="S185" s="179" t="e">
        <f t="shared" si="104"/>
        <v>#REF!</v>
      </c>
      <c r="T185" s="179" t="e">
        <f t="shared" si="104"/>
        <v>#REF!</v>
      </c>
      <c r="U185" s="179" t="e">
        <f t="shared" si="104"/>
        <v>#REF!</v>
      </c>
      <c r="V185" s="179" t="e">
        <f t="shared" si="104"/>
        <v>#REF!</v>
      </c>
      <c r="W185" s="179" t="e">
        <f t="shared" si="104"/>
        <v>#REF!</v>
      </c>
      <c r="X185" s="179" t="e">
        <f t="shared" si="104"/>
        <v>#REF!</v>
      </c>
      <c r="Y185" s="179" t="e">
        <f t="shared" si="104"/>
        <v>#REF!</v>
      </c>
      <c r="Z185" s="179" t="e">
        <f t="shared" si="104"/>
        <v>#REF!</v>
      </c>
      <c r="AA185" s="179" t="e">
        <f t="shared" si="104"/>
        <v>#REF!</v>
      </c>
      <c r="AB185" s="179" t="e">
        <f t="shared" si="104"/>
        <v>#REF!</v>
      </c>
      <c r="AC185" s="179" t="e">
        <f t="shared" si="104"/>
        <v>#REF!</v>
      </c>
      <c r="AD185" s="179" t="e">
        <f t="shared" si="104"/>
        <v>#REF!</v>
      </c>
      <c r="AE185" s="179" t="e">
        <f t="shared" si="104"/>
        <v>#REF!</v>
      </c>
      <c r="AF185" s="179" t="e">
        <f t="shared" si="104"/>
        <v>#REF!</v>
      </c>
      <c r="AG185" s="179" t="e">
        <f t="shared" si="104"/>
        <v>#REF!</v>
      </c>
    </row>
    <row r="186" spans="1:33">
      <c r="A186" s="290" t="s">
        <v>429</v>
      </c>
      <c r="B186" s="173" t="s">
        <v>309</v>
      </c>
      <c r="C186" s="179" t="e">
        <f t="shared" ref="C186:AG186" si="105">C158</f>
        <v>#REF!</v>
      </c>
      <c r="D186" s="179" t="e">
        <f t="shared" si="105"/>
        <v>#REF!</v>
      </c>
      <c r="E186" s="179" t="e">
        <f t="shared" si="105"/>
        <v>#REF!</v>
      </c>
      <c r="F186" s="179" t="e">
        <f t="shared" si="105"/>
        <v>#REF!</v>
      </c>
      <c r="G186" s="179" t="e">
        <f t="shared" si="105"/>
        <v>#REF!</v>
      </c>
      <c r="H186" s="179" t="e">
        <f t="shared" si="105"/>
        <v>#REF!</v>
      </c>
      <c r="I186" s="179" t="e">
        <f t="shared" si="105"/>
        <v>#REF!</v>
      </c>
      <c r="J186" s="179" t="e">
        <f t="shared" si="105"/>
        <v>#REF!</v>
      </c>
      <c r="K186" s="179" t="e">
        <f t="shared" si="105"/>
        <v>#REF!</v>
      </c>
      <c r="L186" s="179" t="e">
        <f t="shared" si="105"/>
        <v>#REF!</v>
      </c>
      <c r="M186" s="179" t="e">
        <f t="shared" si="105"/>
        <v>#REF!</v>
      </c>
      <c r="N186" s="179" t="e">
        <f t="shared" si="105"/>
        <v>#REF!</v>
      </c>
      <c r="O186" s="179" t="e">
        <f t="shared" si="105"/>
        <v>#REF!</v>
      </c>
      <c r="P186" s="179" t="e">
        <f t="shared" si="105"/>
        <v>#REF!</v>
      </c>
      <c r="Q186" s="179" t="e">
        <f t="shared" si="105"/>
        <v>#REF!</v>
      </c>
      <c r="R186" s="179" t="e">
        <f t="shared" si="105"/>
        <v>#REF!</v>
      </c>
      <c r="S186" s="179" t="e">
        <f t="shared" si="105"/>
        <v>#REF!</v>
      </c>
      <c r="T186" s="179" t="e">
        <f t="shared" si="105"/>
        <v>#REF!</v>
      </c>
      <c r="U186" s="179" t="e">
        <f t="shared" si="105"/>
        <v>#REF!</v>
      </c>
      <c r="V186" s="179" t="e">
        <f t="shared" si="105"/>
        <v>#REF!</v>
      </c>
      <c r="W186" s="179" t="e">
        <f t="shared" si="105"/>
        <v>#REF!</v>
      </c>
      <c r="X186" s="179" t="e">
        <f t="shared" si="105"/>
        <v>#REF!</v>
      </c>
      <c r="Y186" s="179" t="e">
        <f t="shared" si="105"/>
        <v>#REF!</v>
      </c>
      <c r="Z186" s="179" t="e">
        <f t="shared" si="105"/>
        <v>#REF!</v>
      </c>
      <c r="AA186" s="179" t="e">
        <f t="shared" si="105"/>
        <v>#REF!</v>
      </c>
      <c r="AB186" s="179" t="e">
        <f t="shared" si="105"/>
        <v>#REF!</v>
      </c>
      <c r="AC186" s="179" t="e">
        <f t="shared" si="105"/>
        <v>#REF!</v>
      </c>
      <c r="AD186" s="179" t="e">
        <f t="shared" si="105"/>
        <v>#REF!</v>
      </c>
      <c r="AE186" s="179" t="e">
        <f t="shared" si="105"/>
        <v>#REF!</v>
      </c>
      <c r="AF186" s="179" t="e">
        <f t="shared" si="105"/>
        <v>#REF!</v>
      </c>
      <c r="AG186" s="179" t="e">
        <f t="shared" si="105"/>
        <v>#REF!</v>
      </c>
    </row>
    <row r="187" spans="1:33">
      <c r="A187" s="290" t="s">
        <v>361</v>
      </c>
      <c r="B187" s="173" t="s">
        <v>309</v>
      </c>
      <c r="C187" s="179" t="e">
        <f t="shared" ref="C187:AG187" si="106">$C$21*C57</f>
        <v>#REF!</v>
      </c>
      <c r="D187" s="179" t="e">
        <f t="shared" si="106"/>
        <v>#REF!</v>
      </c>
      <c r="E187" s="179" t="e">
        <f t="shared" si="106"/>
        <v>#REF!</v>
      </c>
      <c r="F187" s="179" t="e">
        <f t="shared" si="106"/>
        <v>#REF!</v>
      </c>
      <c r="G187" s="179" t="e">
        <f t="shared" si="106"/>
        <v>#REF!</v>
      </c>
      <c r="H187" s="179" t="e">
        <f t="shared" si="106"/>
        <v>#REF!</v>
      </c>
      <c r="I187" s="179" t="e">
        <f t="shared" si="106"/>
        <v>#REF!</v>
      </c>
      <c r="J187" s="179" t="e">
        <f t="shared" si="106"/>
        <v>#REF!</v>
      </c>
      <c r="K187" s="179" t="e">
        <f t="shared" si="106"/>
        <v>#REF!</v>
      </c>
      <c r="L187" s="179" t="e">
        <f t="shared" si="106"/>
        <v>#REF!</v>
      </c>
      <c r="M187" s="179" t="e">
        <f t="shared" si="106"/>
        <v>#REF!</v>
      </c>
      <c r="N187" s="179" t="e">
        <f t="shared" si="106"/>
        <v>#REF!</v>
      </c>
      <c r="O187" s="179" t="e">
        <f t="shared" si="106"/>
        <v>#REF!</v>
      </c>
      <c r="P187" s="179" t="e">
        <f t="shared" si="106"/>
        <v>#REF!</v>
      </c>
      <c r="Q187" s="179" t="e">
        <f t="shared" si="106"/>
        <v>#REF!</v>
      </c>
      <c r="R187" s="179" t="e">
        <f t="shared" si="106"/>
        <v>#REF!</v>
      </c>
      <c r="S187" s="179" t="e">
        <f t="shared" si="106"/>
        <v>#REF!</v>
      </c>
      <c r="T187" s="179" t="e">
        <f t="shared" si="106"/>
        <v>#REF!</v>
      </c>
      <c r="U187" s="179" t="e">
        <f t="shared" si="106"/>
        <v>#REF!</v>
      </c>
      <c r="V187" s="179" t="e">
        <f t="shared" si="106"/>
        <v>#REF!</v>
      </c>
      <c r="W187" s="179" t="e">
        <f t="shared" si="106"/>
        <v>#REF!</v>
      </c>
      <c r="X187" s="179" t="e">
        <f t="shared" si="106"/>
        <v>#REF!</v>
      </c>
      <c r="Y187" s="179" t="e">
        <f t="shared" si="106"/>
        <v>#REF!</v>
      </c>
      <c r="Z187" s="179" t="e">
        <f t="shared" si="106"/>
        <v>#REF!</v>
      </c>
      <c r="AA187" s="179" t="e">
        <f t="shared" si="106"/>
        <v>#REF!</v>
      </c>
      <c r="AB187" s="179" t="e">
        <f t="shared" si="106"/>
        <v>#REF!</v>
      </c>
      <c r="AC187" s="179" t="e">
        <f t="shared" si="106"/>
        <v>#REF!</v>
      </c>
      <c r="AD187" s="179" t="e">
        <f t="shared" si="106"/>
        <v>#REF!</v>
      </c>
      <c r="AE187" s="179" t="e">
        <f t="shared" si="106"/>
        <v>#REF!</v>
      </c>
      <c r="AF187" s="179" t="e">
        <f t="shared" si="106"/>
        <v>#REF!</v>
      </c>
      <c r="AG187" s="179" t="e">
        <f t="shared" si="106"/>
        <v>#REF!</v>
      </c>
    </row>
    <row r="188" spans="1:33">
      <c r="A188" s="173" t="s">
        <v>362</v>
      </c>
      <c r="B188" s="173" t="s">
        <v>41</v>
      </c>
      <c r="C188" s="278" t="e">
        <f t="shared" ref="C188:AG188" si="107">C68/($C$29*$C$28)</f>
        <v>#REF!</v>
      </c>
      <c r="D188" s="278" t="e">
        <f t="shared" si="107"/>
        <v>#REF!</v>
      </c>
      <c r="E188" s="278" t="e">
        <f t="shared" si="107"/>
        <v>#REF!</v>
      </c>
      <c r="F188" s="278" t="e">
        <f t="shared" si="107"/>
        <v>#REF!</v>
      </c>
      <c r="G188" s="278" t="e">
        <f t="shared" si="107"/>
        <v>#REF!</v>
      </c>
      <c r="H188" s="278" t="e">
        <f t="shared" si="107"/>
        <v>#REF!</v>
      </c>
      <c r="I188" s="278" t="e">
        <f t="shared" si="107"/>
        <v>#REF!</v>
      </c>
      <c r="J188" s="278" t="e">
        <f t="shared" si="107"/>
        <v>#REF!</v>
      </c>
      <c r="K188" s="278" t="e">
        <f t="shared" si="107"/>
        <v>#REF!</v>
      </c>
      <c r="L188" s="278" t="e">
        <f t="shared" si="107"/>
        <v>#REF!</v>
      </c>
      <c r="M188" s="278" t="e">
        <f t="shared" si="107"/>
        <v>#REF!</v>
      </c>
      <c r="N188" s="278" t="e">
        <f t="shared" si="107"/>
        <v>#REF!</v>
      </c>
      <c r="O188" s="278" t="e">
        <f t="shared" si="107"/>
        <v>#REF!</v>
      </c>
      <c r="P188" s="278" t="e">
        <f t="shared" si="107"/>
        <v>#REF!</v>
      </c>
      <c r="Q188" s="278" t="e">
        <f t="shared" si="107"/>
        <v>#REF!</v>
      </c>
      <c r="R188" s="278" t="e">
        <f t="shared" si="107"/>
        <v>#REF!</v>
      </c>
      <c r="S188" s="278" t="e">
        <f t="shared" si="107"/>
        <v>#REF!</v>
      </c>
      <c r="T188" s="278" t="e">
        <f t="shared" si="107"/>
        <v>#REF!</v>
      </c>
      <c r="U188" s="278" t="e">
        <f t="shared" si="107"/>
        <v>#REF!</v>
      </c>
      <c r="V188" s="278" t="e">
        <f t="shared" si="107"/>
        <v>#REF!</v>
      </c>
      <c r="W188" s="278" t="e">
        <f t="shared" si="107"/>
        <v>#REF!</v>
      </c>
      <c r="X188" s="278" t="e">
        <f t="shared" si="107"/>
        <v>#REF!</v>
      </c>
      <c r="Y188" s="278" t="e">
        <f t="shared" si="107"/>
        <v>#REF!</v>
      </c>
      <c r="Z188" s="278" t="e">
        <f t="shared" si="107"/>
        <v>#REF!</v>
      </c>
      <c r="AA188" s="278" t="e">
        <f t="shared" si="107"/>
        <v>#REF!</v>
      </c>
      <c r="AB188" s="278" t="e">
        <f t="shared" si="107"/>
        <v>#REF!</v>
      </c>
      <c r="AC188" s="278" t="e">
        <f t="shared" si="107"/>
        <v>#REF!</v>
      </c>
      <c r="AD188" s="278" t="e">
        <f t="shared" si="107"/>
        <v>#REF!</v>
      </c>
      <c r="AE188" s="278" t="e">
        <f t="shared" si="107"/>
        <v>#REF!</v>
      </c>
      <c r="AF188" s="278" t="e">
        <f t="shared" si="107"/>
        <v>#REF!</v>
      </c>
      <c r="AG188" s="278" t="e">
        <f t="shared" si="107"/>
        <v>#REF!</v>
      </c>
    </row>
    <row r="189" spans="1:33">
      <c r="A189" s="290" t="s">
        <v>332</v>
      </c>
      <c r="B189" s="173" t="s">
        <v>309</v>
      </c>
      <c r="C189" s="179" t="e">
        <f t="shared" ref="C189:AG189" si="108">(C86-$C$12+(C184+C185+C186+C187))*(1+0.15)</f>
        <v>#REF!</v>
      </c>
      <c r="D189" s="179" t="e">
        <f t="shared" si="108"/>
        <v>#REF!</v>
      </c>
      <c r="E189" s="179" t="e">
        <f t="shared" si="108"/>
        <v>#REF!</v>
      </c>
      <c r="F189" s="179" t="e">
        <f t="shared" si="108"/>
        <v>#REF!</v>
      </c>
      <c r="G189" s="179" t="e">
        <f t="shared" si="108"/>
        <v>#REF!</v>
      </c>
      <c r="H189" s="179" t="e">
        <f t="shared" si="108"/>
        <v>#REF!</v>
      </c>
      <c r="I189" s="179" t="e">
        <f t="shared" si="108"/>
        <v>#REF!</v>
      </c>
      <c r="J189" s="179" t="e">
        <f t="shared" si="108"/>
        <v>#REF!</v>
      </c>
      <c r="K189" s="179" t="e">
        <f t="shared" si="108"/>
        <v>#REF!</v>
      </c>
      <c r="L189" s="179" t="e">
        <f t="shared" si="108"/>
        <v>#REF!</v>
      </c>
      <c r="M189" s="179" t="e">
        <f t="shared" si="108"/>
        <v>#REF!</v>
      </c>
      <c r="N189" s="179" t="e">
        <f t="shared" si="108"/>
        <v>#REF!</v>
      </c>
      <c r="O189" s="179" t="e">
        <f t="shared" si="108"/>
        <v>#REF!</v>
      </c>
      <c r="P189" s="179" t="e">
        <f t="shared" si="108"/>
        <v>#REF!</v>
      </c>
      <c r="Q189" s="179" t="e">
        <f t="shared" si="108"/>
        <v>#REF!</v>
      </c>
      <c r="R189" s="179" t="e">
        <f t="shared" si="108"/>
        <v>#REF!</v>
      </c>
      <c r="S189" s="179" t="e">
        <f t="shared" si="108"/>
        <v>#REF!</v>
      </c>
      <c r="T189" s="179" t="e">
        <f t="shared" si="108"/>
        <v>#REF!</v>
      </c>
      <c r="U189" s="179" t="e">
        <f t="shared" si="108"/>
        <v>#REF!</v>
      </c>
      <c r="V189" s="179" t="e">
        <f t="shared" si="108"/>
        <v>#REF!</v>
      </c>
      <c r="W189" s="179" t="e">
        <f t="shared" si="108"/>
        <v>#REF!</v>
      </c>
      <c r="X189" s="179" t="e">
        <f t="shared" si="108"/>
        <v>#REF!</v>
      </c>
      <c r="Y189" s="179" t="e">
        <f t="shared" si="108"/>
        <v>#REF!</v>
      </c>
      <c r="Z189" s="179" t="e">
        <f t="shared" si="108"/>
        <v>#REF!</v>
      </c>
      <c r="AA189" s="179" t="e">
        <f t="shared" si="108"/>
        <v>#REF!</v>
      </c>
      <c r="AB189" s="179" t="e">
        <f t="shared" si="108"/>
        <v>#REF!</v>
      </c>
      <c r="AC189" s="179" t="e">
        <f t="shared" si="108"/>
        <v>#REF!</v>
      </c>
      <c r="AD189" s="179" t="e">
        <f t="shared" si="108"/>
        <v>#REF!</v>
      </c>
      <c r="AE189" s="179" t="e">
        <f t="shared" si="108"/>
        <v>#REF!</v>
      </c>
      <c r="AF189" s="179" t="e">
        <f t="shared" si="108"/>
        <v>#REF!</v>
      </c>
      <c r="AG189" s="179" t="e">
        <f t="shared" si="108"/>
        <v>#REF!</v>
      </c>
    </row>
    <row r="190" spans="1:33">
      <c r="A190" s="173" t="s">
        <v>333</v>
      </c>
      <c r="B190" s="173" t="s">
        <v>309</v>
      </c>
      <c r="C190" s="179" t="e">
        <f t="shared" ref="C190:AG190" si="109">$H$82*C50</f>
        <v>#REF!</v>
      </c>
      <c r="D190" s="179" t="e">
        <f t="shared" si="109"/>
        <v>#REF!</v>
      </c>
      <c r="E190" s="179" t="e">
        <f t="shared" si="109"/>
        <v>#REF!</v>
      </c>
      <c r="F190" s="179" t="e">
        <f t="shared" si="109"/>
        <v>#REF!</v>
      </c>
      <c r="G190" s="179" t="e">
        <f t="shared" si="109"/>
        <v>#REF!</v>
      </c>
      <c r="H190" s="179" t="e">
        <f t="shared" si="109"/>
        <v>#REF!</v>
      </c>
      <c r="I190" s="179" t="e">
        <f t="shared" si="109"/>
        <v>#REF!</v>
      </c>
      <c r="J190" s="179" t="e">
        <f t="shared" si="109"/>
        <v>#REF!</v>
      </c>
      <c r="K190" s="179" t="e">
        <f t="shared" si="109"/>
        <v>#REF!</v>
      </c>
      <c r="L190" s="179" t="e">
        <f t="shared" si="109"/>
        <v>#REF!</v>
      </c>
      <c r="M190" s="179" t="e">
        <f t="shared" si="109"/>
        <v>#REF!</v>
      </c>
      <c r="N190" s="179" t="e">
        <f t="shared" si="109"/>
        <v>#REF!</v>
      </c>
      <c r="O190" s="179" t="e">
        <f t="shared" si="109"/>
        <v>#REF!</v>
      </c>
      <c r="P190" s="179" t="e">
        <f t="shared" si="109"/>
        <v>#REF!</v>
      </c>
      <c r="Q190" s="179" t="e">
        <f t="shared" si="109"/>
        <v>#REF!</v>
      </c>
      <c r="R190" s="179" t="e">
        <f t="shared" si="109"/>
        <v>#REF!</v>
      </c>
      <c r="S190" s="179" t="e">
        <f t="shared" si="109"/>
        <v>#REF!</v>
      </c>
      <c r="T190" s="179" t="e">
        <f t="shared" si="109"/>
        <v>#REF!</v>
      </c>
      <c r="U190" s="179" t="e">
        <f t="shared" si="109"/>
        <v>#REF!</v>
      </c>
      <c r="V190" s="179" t="e">
        <f t="shared" si="109"/>
        <v>#REF!</v>
      </c>
      <c r="W190" s="179" t="e">
        <f t="shared" si="109"/>
        <v>#REF!</v>
      </c>
      <c r="X190" s="179" t="e">
        <f t="shared" si="109"/>
        <v>#REF!</v>
      </c>
      <c r="Y190" s="179" t="e">
        <f t="shared" si="109"/>
        <v>#REF!</v>
      </c>
      <c r="Z190" s="179" t="e">
        <f t="shared" si="109"/>
        <v>#REF!</v>
      </c>
      <c r="AA190" s="179" t="e">
        <f t="shared" si="109"/>
        <v>#REF!</v>
      </c>
      <c r="AB190" s="179" t="e">
        <f t="shared" si="109"/>
        <v>#REF!</v>
      </c>
      <c r="AC190" s="179" t="e">
        <f t="shared" si="109"/>
        <v>#REF!</v>
      </c>
      <c r="AD190" s="179" t="e">
        <f t="shared" si="109"/>
        <v>#REF!</v>
      </c>
      <c r="AE190" s="179" t="e">
        <f t="shared" si="109"/>
        <v>#REF!</v>
      </c>
      <c r="AF190" s="179" t="e">
        <f t="shared" si="109"/>
        <v>#REF!</v>
      </c>
      <c r="AG190" s="179" t="e">
        <f t="shared" si="109"/>
        <v>#REF!</v>
      </c>
    </row>
    <row r="191" spans="1:33">
      <c r="A191" s="173" t="s">
        <v>317</v>
      </c>
      <c r="B191" s="173" t="s">
        <v>309</v>
      </c>
      <c r="C191" s="179" t="e">
        <f t="shared" ref="C191:AG191" si="110">$C$28*$C$27*C69</f>
        <v>#REF!</v>
      </c>
      <c r="D191" s="179" t="e">
        <f t="shared" si="110"/>
        <v>#REF!</v>
      </c>
      <c r="E191" s="179" t="e">
        <f t="shared" si="110"/>
        <v>#REF!</v>
      </c>
      <c r="F191" s="179" t="e">
        <f t="shared" si="110"/>
        <v>#REF!</v>
      </c>
      <c r="G191" s="179" t="e">
        <f t="shared" si="110"/>
        <v>#REF!</v>
      </c>
      <c r="H191" s="179" t="e">
        <f t="shared" si="110"/>
        <v>#REF!</v>
      </c>
      <c r="I191" s="179" t="e">
        <f t="shared" si="110"/>
        <v>#REF!</v>
      </c>
      <c r="J191" s="179" t="e">
        <f t="shared" si="110"/>
        <v>#REF!</v>
      </c>
      <c r="K191" s="179" t="e">
        <f t="shared" si="110"/>
        <v>#REF!</v>
      </c>
      <c r="L191" s="179" t="e">
        <f t="shared" si="110"/>
        <v>#REF!</v>
      </c>
      <c r="M191" s="179" t="e">
        <f t="shared" si="110"/>
        <v>#REF!</v>
      </c>
      <c r="N191" s="179" t="e">
        <f t="shared" si="110"/>
        <v>#REF!</v>
      </c>
      <c r="O191" s="179" t="e">
        <f t="shared" si="110"/>
        <v>#REF!</v>
      </c>
      <c r="P191" s="179" t="e">
        <f t="shared" si="110"/>
        <v>#REF!</v>
      </c>
      <c r="Q191" s="179" t="e">
        <f t="shared" si="110"/>
        <v>#REF!</v>
      </c>
      <c r="R191" s="179" t="e">
        <f t="shared" si="110"/>
        <v>#REF!</v>
      </c>
      <c r="S191" s="179" t="e">
        <f t="shared" si="110"/>
        <v>#REF!</v>
      </c>
      <c r="T191" s="179" t="e">
        <f t="shared" si="110"/>
        <v>#REF!</v>
      </c>
      <c r="U191" s="179" t="e">
        <f t="shared" si="110"/>
        <v>#REF!</v>
      </c>
      <c r="V191" s="179" t="e">
        <f t="shared" si="110"/>
        <v>#REF!</v>
      </c>
      <c r="W191" s="179" t="e">
        <f t="shared" si="110"/>
        <v>#REF!</v>
      </c>
      <c r="X191" s="179" t="e">
        <f t="shared" si="110"/>
        <v>#REF!</v>
      </c>
      <c r="Y191" s="179" t="e">
        <f t="shared" si="110"/>
        <v>#REF!</v>
      </c>
      <c r="Z191" s="179" t="e">
        <f t="shared" si="110"/>
        <v>#REF!</v>
      </c>
      <c r="AA191" s="179" t="e">
        <f t="shared" si="110"/>
        <v>#REF!</v>
      </c>
      <c r="AB191" s="179" t="e">
        <f t="shared" si="110"/>
        <v>#REF!</v>
      </c>
      <c r="AC191" s="179" t="e">
        <f t="shared" si="110"/>
        <v>#REF!</v>
      </c>
      <c r="AD191" s="179" t="e">
        <f t="shared" si="110"/>
        <v>#REF!</v>
      </c>
      <c r="AE191" s="179" t="e">
        <f t="shared" si="110"/>
        <v>#REF!</v>
      </c>
      <c r="AF191" s="179" t="e">
        <f t="shared" si="110"/>
        <v>#REF!</v>
      </c>
      <c r="AG191" s="179" t="e">
        <f t="shared" si="110"/>
        <v>#REF!</v>
      </c>
    </row>
    <row r="192" spans="1:33">
      <c r="A192" s="173" t="s">
        <v>319</v>
      </c>
      <c r="B192" s="173" t="s">
        <v>309</v>
      </c>
      <c r="C192" s="179" t="e">
        <f t="shared" ref="C192:AG192" si="111">C189*$C$34</f>
        <v>#REF!</v>
      </c>
      <c r="D192" s="179" t="e">
        <f t="shared" si="111"/>
        <v>#REF!</v>
      </c>
      <c r="E192" s="179" t="e">
        <f t="shared" si="111"/>
        <v>#REF!</v>
      </c>
      <c r="F192" s="179" t="e">
        <f t="shared" si="111"/>
        <v>#REF!</v>
      </c>
      <c r="G192" s="179" t="e">
        <f t="shared" si="111"/>
        <v>#REF!</v>
      </c>
      <c r="H192" s="179" t="e">
        <f t="shared" si="111"/>
        <v>#REF!</v>
      </c>
      <c r="I192" s="179" t="e">
        <f t="shared" si="111"/>
        <v>#REF!</v>
      </c>
      <c r="J192" s="179" t="e">
        <f t="shared" si="111"/>
        <v>#REF!</v>
      </c>
      <c r="K192" s="179" t="e">
        <f t="shared" si="111"/>
        <v>#REF!</v>
      </c>
      <c r="L192" s="179" t="e">
        <f t="shared" si="111"/>
        <v>#REF!</v>
      </c>
      <c r="M192" s="179" t="e">
        <f t="shared" si="111"/>
        <v>#REF!</v>
      </c>
      <c r="N192" s="179" t="e">
        <f t="shared" si="111"/>
        <v>#REF!</v>
      </c>
      <c r="O192" s="179" t="e">
        <f t="shared" si="111"/>
        <v>#REF!</v>
      </c>
      <c r="P192" s="179" t="e">
        <f t="shared" si="111"/>
        <v>#REF!</v>
      </c>
      <c r="Q192" s="179" t="e">
        <f t="shared" si="111"/>
        <v>#REF!</v>
      </c>
      <c r="R192" s="179" t="e">
        <f t="shared" si="111"/>
        <v>#REF!</v>
      </c>
      <c r="S192" s="179" t="e">
        <f t="shared" si="111"/>
        <v>#REF!</v>
      </c>
      <c r="T192" s="179" t="e">
        <f t="shared" si="111"/>
        <v>#REF!</v>
      </c>
      <c r="U192" s="179" t="e">
        <f t="shared" si="111"/>
        <v>#REF!</v>
      </c>
      <c r="V192" s="179" t="e">
        <f t="shared" si="111"/>
        <v>#REF!</v>
      </c>
      <c r="W192" s="179" t="e">
        <f t="shared" si="111"/>
        <v>#REF!</v>
      </c>
      <c r="X192" s="179" t="e">
        <f t="shared" si="111"/>
        <v>#REF!</v>
      </c>
      <c r="Y192" s="179" t="e">
        <f t="shared" si="111"/>
        <v>#REF!</v>
      </c>
      <c r="Z192" s="179" t="e">
        <f t="shared" si="111"/>
        <v>#REF!</v>
      </c>
      <c r="AA192" s="179" t="e">
        <f t="shared" si="111"/>
        <v>#REF!</v>
      </c>
      <c r="AB192" s="179" t="e">
        <f t="shared" si="111"/>
        <v>#REF!</v>
      </c>
      <c r="AC192" s="179" t="e">
        <f t="shared" si="111"/>
        <v>#REF!</v>
      </c>
      <c r="AD192" s="179" t="e">
        <f t="shared" si="111"/>
        <v>#REF!</v>
      </c>
      <c r="AE192" s="179" t="e">
        <f t="shared" si="111"/>
        <v>#REF!</v>
      </c>
      <c r="AF192" s="179" t="e">
        <f t="shared" si="111"/>
        <v>#REF!</v>
      </c>
      <c r="AG192" s="179" t="e">
        <f t="shared" si="111"/>
        <v>#REF!</v>
      </c>
    </row>
    <row r="193" spans="1:33" s="247" customFormat="1" ht="11.85" customHeight="1">
      <c r="A193" s="270" t="s">
        <v>414</v>
      </c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</row>
    <row r="194" spans="1:33">
      <c r="A194" s="173" t="s">
        <v>325</v>
      </c>
      <c r="B194" s="173" t="s">
        <v>313</v>
      </c>
      <c r="C194" s="179" t="e">
        <f t="shared" ref="C194:AG194" si="112">-PMT($C$33,$C$31,C189)</f>
        <v>#REF!</v>
      </c>
      <c r="D194" s="179" t="e">
        <f t="shared" si="112"/>
        <v>#REF!</v>
      </c>
      <c r="E194" s="179" t="e">
        <f t="shared" si="112"/>
        <v>#REF!</v>
      </c>
      <c r="F194" s="179" t="e">
        <f t="shared" si="112"/>
        <v>#REF!</v>
      </c>
      <c r="G194" s="179" t="e">
        <f t="shared" si="112"/>
        <v>#REF!</v>
      </c>
      <c r="H194" s="179" t="e">
        <f t="shared" si="112"/>
        <v>#REF!</v>
      </c>
      <c r="I194" s="179" t="e">
        <f t="shared" si="112"/>
        <v>#REF!</v>
      </c>
      <c r="J194" s="179" t="e">
        <f t="shared" si="112"/>
        <v>#REF!</v>
      </c>
      <c r="K194" s="179" t="e">
        <f t="shared" si="112"/>
        <v>#REF!</v>
      </c>
      <c r="L194" s="179" t="e">
        <f t="shared" si="112"/>
        <v>#REF!</v>
      </c>
      <c r="M194" s="179" t="e">
        <f t="shared" si="112"/>
        <v>#REF!</v>
      </c>
      <c r="N194" s="179" t="e">
        <f t="shared" si="112"/>
        <v>#REF!</v>
      </c>
      <c r="O194" s="179" t="e">
        <f t="shared" si="112"/>
        <v>#REF!</v>
      </c>
      <c r="P194" s="179" t="e">
        <f t="shared" si="112"/>
        <v>#REF!</v>
      </c>
      <c r="Q194" s="179" t="e">
        <f t="shared" si="112"/>
        <v>#REF!</v>
      </c>
      <c r="R194" s="179" t="e">
        <f t="shared" si="112"/>
        <v>#REF!</v>
      </c>
      <c r="S194" s="179" t="e">
        <f t="shared" si="112"/>
        <v>#REF!</v>
      </c>
      <c r="T194" s="179" t="e">
        <f t="shared" si="112"/>
        <v>#REF!</v>
      </c>
      <c r="U194" s="179" t="e">
        <f t="shared" si="112"/>
        <v>#REF!</v>
      </c>
      <c r="V194" s="179" t="e">
        <f t="shared" si="112"/>
        <v>#REF!</v>
      </c>
      <c r="W194" s="179" t="e">
        <f t="shared" si="112"/>
        <v>#REF!</v>
      </c>
      <c r="X194" s="179" t="e">
        <f t="shared" si="112"/>
        <v>#REF!</v>
      </c>
      <c r="Y194" s="179" t="e">
        <f t="shared" si="112"/>
        <v>#REF!</v>
      </c>
      <c r="Z194" s="179" t="e">
        <f t="shared" si="112"/>
        <v>#REF!</v>
      </c>
      <c r="AA194" s="179" t="e">
        <f t="shared" si="112"/>
        <v>#REF!</v>
      </c>
      <c r="AB194" s="179" t="e">
        <f t="shared" si="112"/>
        <v>#REF!</v>
      </c>
      <c r="AC194" s="179" t="e">
        <f t="shared" si="112"/>
        <v>#REF!</v>
      </c>
      <c r="AD194" s="179" t="e">
        <f t="shared" si="112"/>
        <v>#REF!</v>
      </c>
      <c r="AE194" s="179" t="e">
        <f t="shared" si="112"/>
        <v>#REF!</v>
      </c>
      <c r="AF194" s="179" t="e">
        <f t="shared" si="112"/>
        <v>#REF!</v>
      </c>
      <c r="AG194" s="179" t="e">
        <f t="shared" si="112"/>
        <v>#REF!</v>
      </c>
    </row>
    <row r="195" spans="1:33">
      <c r="A195" s="173" t="s">
        <v>333</v>
      </c>
      <c r="B195" s="173" t="s">
        <v>313</v>
      </c>
      <c r="C195" s="179" t="e">
        <f t="shared" ref="C195:AG196" si="113">C190</f>
        <v>#REF!</v>
      </c>
      <c r="D195" s="179" t="e">
        <f t="shared" si="113"/>
        <v>#REF!</v>
      </c>
      <c r="E195" s="179" t="e">
        <f t="shared" si="113"/>
        <v>#REF!</v>
      </c>
      <c r="F195" s="179" t="e">
        <f t="shared" si="113"/>
        <v>#REF!</v>
      </c>
      <c r="G195" s="179" t="e">
        <f t="shared" si="113"/>
        <v>#REF!</v>
      </c>
      <c r="H195" s="179" t="e">
        <f t="shared" si="113"/>
        <v>#REF!</v>
      </c>
      <c r="I195" s="179" t="e">
        <f t="shared" si="113"/>
        <v>#REF!</v>
      </c>
      <c r="J195" s="179" t="e">
        <f t="shared" si="113"/>
        <v>#REF!</v>
      </c>
      <c r="K195" s="179" t="e">
        <f t="shared" si="113"/>
        <v>#REF!</v>
      </c>
      <c r="L195" s="179" t="e">
        <f t="shared" si="113"/>
        <v>#REF!</v>
      </c>
      <c r="M195" s="179" t="e">
        <f t="shared" si="113"/>
        <v>#REF!</v>
      </c>
      <c r="N195" s="179" t="e">
        <f t="shared" si="113"/>
        <v>#REF!</v>
      </c>
      <c r="O195" s="179" t="e">
        <f t="shared" si="113"/>
        <v>#REF!</v>
      </c>
      <c r="P195" s="179" t="e">
        <f t="shared" si="113"/>
        <v>#REF!</v>
      </c>
      <c r="Q195" s="179" t="e">
        <f t="shared" si="113"/>
        <v>#REF!</v>
      </c>
      <c r="R195" s="179" t="e">
        <f t="shared" si="113"/>
        <v>#REF!</v>
      </c>
      <c r="S195" s="179" t="e">
        <f t="shared" si="113"/>
        <v>#REF!</v>
      </c>
      <c r="T195" s="179" t="e">
        <f t="shared" si="113"/>
        <v>#REF!</v>
      </c>
      <c r="U195" s="179" t="e">
        <f t="shared" si="113"/>
        <v>#REF!</v>
      </c>
      <c r="V195" s="179" t="e">
        <f t="shared" si="113"/>
        <v>#REF!</v>
      </c>
      <c r="W195" s="179" t="e">
        <f t="shared" si="113"/>
        <v>#REF!</v>
      </c>
      <c r="X195" s="179" t="e">
        <f t="shared" si="113"/>
        <v>#REF!</v>
      </c>
      <c r="Y195" s="179" t="e">
        <f t="shared" si="113"/>
        <v>#REF!</v>
      </c>
      <c r="Z195" s="179" t="e">
        <f t="shared" si="113"/>
        <v>#REF!</v>
      </c>
      <c r="AA195" s="179" t="e">
        <f t="shared" si="113"/>
        <v>#REF!</v>
      </c>
      <c r="AB195" s="179" t="e">
        <f t="shared" si="113"/>
        <v>#REF!</v>
      </c>
      <c r="AC195" s="179" t="e">
        <f t="shared" si="113"/>
        <v>#REF!</v>
      </c>
      <c r="AD195" s="179" t="e">
        <f t="shared" si="113"/>
        <v>#REF!</v>
      </c>
      <c r="AE195" s="179" t="e">
        <f t="shared" si="113"/>
        <v>#REF!</v>
      </c>
      <c r="AF195" s="179" t="e">
        <f t="shared" si="113"/>
        <v>#REF!</v>
      </c>
      <c r="AG195" s="179" t="e">
        <f t="shared" si="113"/>
        <v>#REF!</v>
      </c>
    </row>
    <row r="196" spans="1:33">
      <c r="A196" s="173" t="s">
        <v>317</v>
      </c>
      <c r="B196" s="173" t="s">
        <v>313</v>
      </c>
      <c r="C196" s="179" t="e">
        <f t="shared" si="113"/>
        <v>#REF!</v>
      </c>
      <c r="D196" s="179" t="e">
        <f t="shared" si="113"/>
        <v>#REF!</v>
      </c>
      <c r="E196" s="179" t="e">
        <f t="shared" si="113"/>
        <v>#REF!</v>
      </c>
      <c r="F196" s="179" t="e">
        <f t="shared" si="113"/>
        <v>#REF!</v>
      </c>
      <c r="G196" s="179" t="e">
        <f t="shared" si="113"/>
        <v>#REF!</v>
      </c>
      <c r="H196" s="179" t="e">
        <f t="shared" si="113"/>
        <v>#REF!</v>
      </c>
      <c r="I196" s="179" t="e">
        <f t="shared" si="113"/>
        <v>#REF!</v>
      </c>
      <c r="J196" s="179" t="e">
        <f t="shared" si="113"/>
        <v>#REF!</v>
      </c>
      <c r="K196" s="179" t="e">
        <f t="shared" si="113"/>
        <v>#REF!</v>
      </c>
      <c r="L196" s="179" t="e">
        <f t="shared" si="113"/>
        <v>#REF!</v>
      </c>
      <c r="M196" s="179" t="e">
        <f t="shared" si="113"/>
        <v>#REF!</v>
      </c>
      <c r="N196" s="179" t="e">
        <f t="shared" si="113"/>
        <v>#REF!</v>
      </c>
      <c r="O196" s="179" t="e">
        <f t="shared" si="113"/>
        <v>#REF!</v>
      </c>
      <c r="P196" s="179" t="e">
        <f t="shared" si="113"/>
        <v>#REF!</v>
      </c>
      <c r="Q196" s="179" t="e">
        <f t="shared" si="113"/>
        <v>#REF!</v>
      </c>
      <c r="R196" s="179" t="e">
        <f t="shared" si="113"/>
        <v>#REF!</v>
      </c>
      <c r="S196" s="179" t="e">
        <f t="shared" si="113"/>
        <v>#REF!</v>
      </c>
      <c r="T196" s="179" t="e">
        <f t="shared" si="113"/>
        <v>#REF!</v>
      </c>
      <c r="U196" s="179" t="e">
        <f t="shared" si="113"/>
        <v>#REF!</v>
      </c>
      <c r="V196" s="179" t="e">
        <f t="shared" si="113"/>
        <v>#REF!</v>
      </c>
      <c r="W196" s="179" t="e">
        <f t="shared" si="113"/>
        <v>#REF!</v>
      </c>
      <c r="X196" s="179" t="e">
        <f t="shared" si="113"/>
        <v>#REF!</v>
      </c>
      <c r="Y196" s="179" t="e">
        <f t="shared" si="113"/>
        <v>#REF!</v>
      </c>
      <c r="Z196" s="179" t="e">
        <f t="shared" si="113"/>
        <v>#REF!</v>
      </c>
      <c r="AA196" s="179" t="e">
        <f t="shared" si="113"/>
        <v>#REF!</v>
      </c>
      <c r="AB196" s="179" t="e">
        <f t="shared" si="113"/>
        <v>#REF!</v>
      </c>
      <c r="AC196" s="179" t="e">
        <f t="shared" si="113"/>
        <v>#REF!</v>
      </c>
      <c r="AD196" s="179" t="e">
        <f t="shared" si="113"/>
        <v>#REF!</v>
      </c>
      <c r="AE196" s="179" t="e">
        <f t="shared" si="113"/>
        <v>#REF!</v>
      </c>
      <c r="AF196" s="179" t="e">
        <f t="shared" si="113"/>
        <v>#REF!</v>
      </c>
      <c r="AG196" s="179" t="e">
        <f t="shared" si="113"/>
        <v>#REF!</v>
      </c>
    </row>
    <row r="197" spans="1:33">
      <c r="A197" s="173" t="s">
        <v>430</v>
      </c>
      <c r="B197" s="173" t="s">
        <v>313</v>
      </c>
      <c r="C197" s="179" t="e">
        <f t="shared" ref="C197:AG197" si="114">-PMT($C$33, C188, C187)/C188</f>
        <v>#REF!</v>
      </c>
      <c r="D197" s="179" t="e">
        <f t="shared" si="114"/>
        <v>#REF!</v>
      </c>
      <c r="E197" s="179" t="e">
        <f t="shared" si="114"/>
        <v>#REF!</v>
      </c>
      <c r="F197" s="179" t="e">
        <f t="shared" si="114"/>
        <v>#REF!</v>
      </c>
      <c r="G197" s="179" t="e">
        <f t="shared" si="114"/>
        <v>#REF!</v>
      </c>
      <c r="H197" s="179" t="e">
        <f t="shared" si="114"/>
        <v>#REF!</v>
      </c>
      <c r="I197" s="179" t="e">
        <f t="shared" si="114"/>
        <v>#REF!</v>
      </c>
      <c r="J197" s="179" t="e">
        <f t="shared" si="114"/>
        <v>#REF!</v>
      </c>
      <c r="K197" s="179" t="e">
        <f t="shared" si="114"/>
        <v>#REF!</v>
      </c>
      <c r="L197" s="179" t="e">
        <f t="shared" si="114"/>
        <v>#REF!</v>
      </c>
      <c r="M197" s="179" t="e">
        <f t="shared" si="114"/>
        <v>#REF!</v>
      </c>
      <c r="N197" s="179" t="e">
        <f t="shared" si="114"/>
        <v>#REF!</v>
      </c>
      <c r="O197" s="179" t="e">
        <f t="shared" si="114"/>
        <v>#REF!</v>
      </c>
      <c r="P197" s="179" t="e">
        <f t="shared" si="114"/>
        <v>#REF!</v>
      </c>
      <c r="Q197" s="179" t="e">
        <f t="shared" si="114"/>
        <v>#REF!</v>
      </c>
      <c r="R197" s="179" t="e">
        <f t="shared" si="114"/>
        <v>#REF!</v>
      </c>
      <c r="S197" s="179" t="e">
        <f t="shared" si="114"/>
        <v>#REF!</v>
      </c>
      <c r="T197" s="179" t="e">
        <f t="shared" si="114"/>
        <v>#REF!</v>
      </c>
      <c r="U197" s="179" t="e">
        <f t="shared" si="114"/>
        <v>#REF!</v>
      </c>
      <c r="V197" s="179" t="e">
        <f t="shared" si="114"/>
        <v>#REF!</v>
      </c>
      <c r="W197" s="179" t="e">
        <f t="shared" si="114"/>
        <v>#REF!</v>
      </c>
      <c r="X197" s="179" t="e">
        <f t="shared" si="114"/>
        <v>#REF!</v>
      </c>
      <c r="Y197" s="179" t="e">
        <f t="shared" si="114"/>
        <v>#REF!</v>
      </c>
      <c r="Z197" s="179" t="e">
        <f t="shared" si="114"/>
        <v>#REF!</v>
      </c>
      <c r="AA197" s="179" t="e">
        <f t="shared" si="114"/>
        <v>#REF!</v>
      </c>
      <c r="AB197" s="179" t="e">
        <f t="shared" si="114"/>
        <v>#REF!</v>
      </c>
      <c r="AC197" s="179" t="e">
        <f t="shared" si="114"/>
        <v>#REF!</v>
      </c>
      <c r="AD197" s="179" t="e">
        <f t="shared" si="114"/>
        <v>#REF!</v>
      </c>
      <c r="AE197" s="179" t="e">
        <f t="shared" si="114"/>
        <v>#REF!</v>
      </c>
      <c r="AF197" s="179" t="e">
        <f t="shared" si="114"/>
        <v>#REF!</v>
      </c>
      <c r="AG197" s="179" t="e">
        <f t="shared" si="114"/>
        <v>#REF!</v>
      </c>
    </row>
    <row r="198" spans="1:33">
      <c r="A198" s="173" t="s">
        <v>319</v>
      </c>
      <c r="B198" s="173" t="s">
        <v>313</v>
      </c>
      <c r="C198" s="179" t="e">
        <f>C192</f>
        <v>#REF!</v>
      </c>
      <c r="D198" s="179" t="e">
        <f t="shared" ref="D198:AG198" si="115">D192</f>
        <v>#REF!</v>
      </c>
      <c r="E198" s="179" t="e">
        <f t="shared" si="115"/>
        <v>#REF!</v>
      </c>
      <c r="F198" s="179" t="e">
        <f t="shared" si="115"/>
        <v>#REF!</v>
      </c>
      <c r="G198" s="179" t="e">
        <f t="shared" si="115"/>
        <v>#REF!</v>
      </c>
      <c r="H198" s="179" t="e">
        <f t="shared" si="115"/>
        <v>#REF!</v>
      </c>
      <c r="I198" s="179" t="e">
        <f t="shared" si="115"/>
        <v>#REF!</v>
      </c>
      <c r="J198" s="179" t="e">
        <f t="shared" si="115"/>
        <v>#REF!</v>
      </c>
      <c r="K198" s="179" t="e">
        <f t="shared" si="115"/>
        <v>#REF!</v>
      </c>
      <c r="L198" s="179" t="e">
        <f t="shared" si="115"/>
        <v>#REF!</v>
      </c>
      <c r="M198" s="179" t="e">
        <f t="shared" si="115"/>
        <v>#REF!</v>
      </c>
      <c r="N198" s="179" t="e">
        <f t="shared" si="115"/>
        <v>#REF!</v>
      </c>
      <c r="O198" s="179" t="e">
        <f t="shared" si="115"/>
        <v>#REF!</v>
      </c>
      <c r="P198" s="179" t="e">
        <f t="shared" si="115"/>
        <v>#REF!</v>
      </c>
      <c r="Q198" s="179" t="e">
        <f t="shared" si="115"/>
        <v>#REF!</v>
      </c>
      <c r="R198" s="179" t="e">
        <f t="shared" si="115"/>
        <v>#REF!</v>
      </c>
      <c r="S198" s="179" t="e">
        <f t="shared" si="115"/>
        <v>#REF!</v>
      </c>
      <c r="T198" s="179" t="e">
        <f t="shared" si="115"/>
        <v>#REF!</v>
      </c>
      <c r="U198" s="179" t="e">
        <f t="shared" si="115"/>
        <v>#REF!</v>
      </c>
      <c r="V198" s="179" t="e">
        <f t="shared" si="115"/>
        <v>#REF!</v>
      </c>
      <c r="W198" s="179" t="e">
        <f t="shared" si="115"/>
        <v>#REF!</v>
      </c>
      <c r="X198" s="179" t="e">
        <f t="shared" si="115"/>
        <v>#REF!</v>
      </c>
      <c r="Y198" s="179" t="e">
        <f t="shared" si="115"/>
        <v>#REF!</v>
      </c>
      <c r="Z198" s="179" t="e">
        <f t="shared" si="115"/>
        <v>#REF!</v>
      </c>
      <c r="AA198" s="179" t="e">
        <f t="shared" si="115"/>
        <v>#REF!</v>
      </c>
      <c r="AB198" s="179" t="e">
        <f t="shared" si="115"/>
        <v>#REF!</v>
      </c>
      <c r="AC198" s="179" t="e">
        <f t="shared" si="115"/>
        <v>#REF!</v>
      </c>
      <c r="AD198" s="179" t="e">
        <f t="shared" si="115"/>
        <v>#REF!</v>
      </c>
      <c r="AE198" s="179" t="e">
        <f t="shared" si="115"/>
        <v>#REF!</v>
      </c>
      <c r="AF198" s="179" t="e">
        <f t="shared" si="115"/>
        <v>#REF!</v>
      </c>
      <c r="AG198" s="179" t="e">
        <f t="shared" si="115"/>
        <v>#REF!</v>
      </c>
    </row>
    <row r="199" spans="1:33" s="247" customFormat="1" ht="11.85" customHeight="1">
      <c r="A199" s="270" t="s">
        <v>320</v>
      </c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</row>
    <row r="200" spans="1:33">
      <c r="A200" s="173" t="s">
        <v>325</v>
      </c>
      <c r="B200" s="173" t="s">
        <v>300</v>
      </c>
      <c r="C200" s="179" t="e">
        <f t="shared" ref="C200:AG201" si="116">C194/($C$28*$C$27)</f>
        <v>#REF!</v>
      </c>
      <c r="D200" s="179" t="e">
        <f t="shared" si="116"/>
        <v>#REF!</v>
      </c>
      <c r="E200" s="179" t="e">
        <f t="shared" si="116"/>
        <v>#REF!</v>
      </c>
      <c r="F200" s="179" t="e">
        <f t="shared" si="116"/>
        <v>#REF!</v>
      </c>
      <c r="G200" s="179" t="e">
        <f t="shared" si="116"/>
        <v>#REF!</v>
      </c>
      <c r="H200" s="179" t="e">
        <f t="shared" si="116"/>
        <v>#REF!</v>
      </c>
      <c r="I200" s="179" t="e">
        <f t="shared" si="116"/>
        <v>#REF!</v>
      </c>
      <c r="J200" s="179" t="e">
        <f t="shared" si="116"/>
        <v>#REF!</v>
      </c>
      <c r="K200" s="179" t="e">
        <f t="shared" si="116"/>
        <v>#REF!</v>
      </c>
      <c r="L200" s="179" t="e">
        <f t="shared" si="116"/>
        <v>#REF!</v>
      </c>
      <c r="M200" s="179" t="e">
        <f t="shared" si="116"/>
        <v>#REF!</v>
      </c>
      <c r="N200" s="179" t="e">
        <f t="shared" si="116"/>
        <v>#REF!</v>
      </c>
      <c r="O200" s="179" t="e">
        <f t="shared" si="116"/>
        <v>#REF!</v>
      </c>
      <c r="P200" s="179" t="e">
        <f t="shared" si="116"/>
        <v>#REF!</v>
      </c>
      <c r="Q200" s="179" t="e">
        <f t="shared" si="116"/>
        <v>#REF!</v>
      </c>
      <c r="R200" s="179" t="e">
        <f t="shared" si="116"/>
        <v>#REF!</v>
      </c>
      <c r="S200" s="179" t="e">
        <f t="shared" si="116"/>
        <v>#REF!</v>
      </c>
      <c r="T200" s="179" t="e">
        <f t="shared" si="116"/>
        <v>#REF!</v>
      </c>
      <c r="U200" s="179" t="e">
        <f t="shared" si="116"/>
        <v>#REF!</v>
      </c>
      <c r="V200" s="179" t="e">
        <f t="shared" si="116"/>
        <v>#REF!</v>
      </c>
      <c r="W200" s="179" t="e">
        <f t="shared" si="116"/>
        <v>#REF!</v>
      </c>
      <c r="X200" s="179" t="e">
        <f t="shared" si="116"/>
        <v>#REF!</v>
      </c>
      <c r="Y200" s="179" t="e">
        <f t="shared" si="116"/>
        <v>#REF!</v>
      </c>
      <c r="Z200" s="179" t="e">
        <f t="shared" si="116"/>
        <v>#REF!</v>
      </c>
      <c r="AA200" s="179" t="e">
        <f t="shared" si="116"/>
        <v>#REF!</v>
      </c>
      <c r="AB200" s="179" t="e">
        <f t="shared" si="116"/>
        <v>#REF!</v>
      </c>
      <c r="AC200" s="179" t="e">
        <f t="shared" si="116"/>
        <v>#REF!</v>
      </c>
      <c r="AD200" s="179" t="e">
        <f t="shared" si="116"/>
        <v>#REF!</v>
      </c>
      <c r="AE200" s="179" t="e">
        <f t="shared" si="116"/>
        <v>#REF!</v>
      </c>
      <c r="AF200" s="179" t="e">
        <f t="shared" si="116"/>
        <v>#REF!</v>
      </c>
      <c r="AG200" s="179" t="e">
        <f t="shared" si="116"/>
        <v>#REF!</v>
      </c>
    </row>
    <row r="201" spans="1:33">
      <c r="A201" s="173" t="s">
        <v>321</v>
      </c>
      <c r="B201" s="173" t="s">
        <v>300</v>
      </c>
      <c r="C201" s="179" t="e">
        <f t="shared" si="116"/>
        <v>#REF!</v>
      </c>
      <c r="D201" s="179" t="e">
        <f t="shared" si="116"/>
        <v>#REF!</v>
      </c>
      <c r="E201" s="179" t="e">
        <f t="shared" si="116"/>
        <v>#REF!</v>
      </c>
      <c r="F201" s="179" t="e">
        <f t="shared" si="116"/>
        <v>#REF!</v>
      </c>
      <c r="G201" s="179" t="e">
        <f t="shared" si="116"/>
        <v>#REF!</v>
      </c>
      <c r="H201" s="179" t="e">
        <f t="shared" si="116"/>
        <v>#REF!</v>
      </c>
      <c r="I201" s="179" t="e">
        <f t="shared" si="116"/>
        <v>#REF!</v>
      </c>
      <c r="J201" s="179" t="e">
        <f t="shared" si="116"/>
        <v>#REF!</v>
      </c>
      <c r="K201" s="179" t="e">
        <f t="shared" si="116"/>
        <v>#REF!</v>
      </c>
      <c r="L201" s="179" t="e">
        <f t="shared" si="116"/>
        <v>#REF!</v>
      </c>
      <c r="M201" s="179" t="e">
        <f t="shared" si="116"/>
        <v>#REF!</v>
      </c>
      <c r="N201" s="179" t="e">
        <f t="shared" si="116"/>
        <v>#REF!</v>
      </c>
      <c r="O201" s="179" t="e">
        <f t="shared" si="116"/>
        <v>#REF!</v>
      </c>
      <c r="P201" s="179" t="e">
        <f t="shared" si="116"/>
        <v>#REF!</v>
      </c>
      <c r="Q201" s="179" t="e">
        <f t="shared" si="116"/>
        <v>#REF!</v>
      </c>
      <c r="R201" s="179" t="e">
        <f t="shared" si="116"/>
        <v>#REF!</v>
      </c>
      <c r="S201" s="179" t="e">
        <f t="shared" si="116"/>
        <v>#REF!</v>
      </c>
      <c r="T201" s="179" t="e">
        <f t="shared" si="116"/>
        <v>#REF!</v>
      </c>
      <c r="U201" s="179" t="e">
        <f t="shared" si="116"/>
        <v>#REF!</v>
      </c>
      <c r="V201" s="179" t="e">
        <f t="shared" si="116"/>
        <v>#REF!</v>
      </c>
      <c r="W201" s="179" t="e">
        <f t="shared" si="116"/>
        <v>#REF!</v>
      </c>
      <c r="X201" s="179" t="e">
        <f t="shared" si="116"/>
        <v>#REF!</v>
      </c>
      <c r="Y201" s="179" t="e">
        <f t="shared" si="116"/>
        <v>#REF!</v>
      </c>
      <c r="Z201" s="179" t="e">
        <f t="shared" si="116"/>
        <v>#REF!</v>
      </c>
      <c r="AA201" s="179" t="e">
        <f t="shared" si="116"/>
        <v>#REF!</v>
      </c>
      <c r="AB201" s="179" t="e">
        <f t="shared" si="116"/>
        <v>#REF!</v>
      </c>
      <c r="AC201" s="179" t="e">
        <f t="shared" si="116"/>
        <v>#REF!</v>
      </c>
      <c r="AD201" s="179" t="e">
        <f t="shared" si="116"/>
        <v>#REF!</v>
      </c>
      <c r="AE201" s="179" t="e">
        <f t="shared" si="116"/>
        <v>#REF!</v>
      </c>
      <c r="AF201" s="179" t="e">
        <f t="shared" si="116"/>
        <v>#REF!</v>
      </c>
      <c r="AG201" s="179" t="e">
        <f t="shared" si="116"/>
        <v>#REF!</v>
      </c>
    </row>
    <row r="202" spans="1:33">
      <c r="A202" s="173" t="s">
        <v>322</v>
      </c>
      <c r="B202" s="173" t="s">
        <v>300</v>
      </c>
      <c r="C202" s="179" t="e">
        <f t="shared" ref="C202:AG202" si="117">(C196+C198+C197+C70)/($C$28*$C$27)+C63</f>
        <v>#REF!</v>
      </c>
      <c r="D202" s="179" t="e">
        <f t="shared" si="117"/>
        <v>#REF!</v>
      </c>
      <c r="E202" s="179" t="e">
        <f t="shared" si="117"/>
        <v>#REF!</v>
      </c>
      <c r="F202" s="179" t="e">
        <f t="shared" si="117"/>
        <v>#REF!</v>
      </c>
      <c r="G202" s="179" t="e">
        <f t="shared" si="117"/>
        <v>#REF!</v>
      </c>
      <c r="H202" s="179" t="e">
        <f t="shared" si="117"/>
        <v>#REF!</v>
      </c>
      <c r="I202" s="179" t="e">
        <f t="shared" si="117"/>
        <v>#REF!</v>
      </c>
      <c r="J202" s="179" t="e">
        <f t="shared" si="117"/>
        <v>#REF!</v>
      </c>
      <c r="K202" s="179" t="e">
        <f t="shared" si="117"/>
        <v>#REF!</v>
      </c>
      <c r="L202" s="179" t="e">
        <f t="shared" si="117"/>
        <v>#REF!</v>
      </c>
      <c r="M202" s="179" t="e">
        <f t="shared" si="117"/>
        <v>#REF!</v>
      </c>
      <c r="N202" s="179" t="e">
        <f t="shared" si="117"/>
        <v>#REF!</v>
      </c>
      <c r="O202" s="179" t="e">
        <f t="shared" si="117"/>
        <v>#REF!</v>
      </c>
      <c r="P202" s="179" t="e">
        <f t="shared" si="117"/>
        <v>#REF!</v>
      </c>
      <c r="Q202" s="179" t="e">
        <f t="shared" si="117"/>
        <v>#REF!</v>
      </c>
      <c r="R202" s="179" t="e">
        <f t="shared" si="117"/>
        <v>#REF!</v>
      </c>
      <c r="S202" s="179" t="e">
        <f t="shared" si="117"/>
        <v>#REF!</v>
      </c>
      <c r="T202" s="179" t="e">
        <f t="shared" si="117"/>
        <v>#REF!</v>
      </c>
      <c r="U202" s="179" t="e">
        <f t="shared" si="117"/>
        <v>#REF!</v>
      </c>
      <c r="V202" s="179" t="e">
        <f t="shared" si="117"/>
        <v>#REF!</v>
      </c>
      <c r="W202" s="179" t="e">
        <f t="shared" si="117"/>
        <v>#REF!</v>
      </c>
      <c r="X202" s="179" t="e">
        <f t="shared" si="117"/>
        <v>#REF!</v>
      </c>
      <c r="Y202" s="179" t="e">
        <f t="shared" si="117"/>
        <v>#REF!</v>
      </c>
      <c r="Z202" s="179" t="e">
        <f t="shared" si="117"/>
        <v>#REF!</v>
      </c>
      <c r="AA202" s="179" t="e">
        <f t="shared" si="117"/>
        <v>#REF!</v>
      </c>
      <c r="AB202" s="179" t="e">
        <f t="shared" si="117"/>
        <v>#REF!</v>
      </c>
      <c r="AC202" s="179" t="e">
        <f t="shared" si="117"/>
        <v>#REF!</v>
      </c>
      <c r="AD202" s="179" t="e">
        <f t="shared" si="117"/>
        <v>#REF!</v>
      </c>
      <c r="AE202" s="179" t="e">
        <f t="shared" si="117"/>
        <v>#REF!</v>
      </c>
      <c r="AF202" s="179" t="e">
        <f t="shared" si="117"/>
        <v>#REF!</v>
      </c>
      <c r="AG202" s="179" t="e">
        <f t="shared" si="117"/>
        <v>#REF!</v>
      </c>
    </row>
    <row r="203" spans="1:33">
      <c r="C203" s="271" t="e">
        <f t="shared" ref="C203:AB203" si="118">SUM(C200:C202)</f>
        <v>#REF!</v>
      </c>
      <c r="D203" s="271" t="e">
        <f t="shared" si="118"/>
        <v>#REF!</v>
      </c>
      <c r="E203" s="271" t="e">
        <f t="shared" si="118"/>
        <v>#REF!</v>
      </c>
      <c r="F203" s="271" t="e">
        <f t="shared" si="118"/>
        <v>#REF!</v>
      </c>
      <c r="G203" s="271" t="e">
        <f t="shared" si="118"/>
        <v>#REF!</v>
      </c>
      <c r="H203" s="271" t="e">
        <f t="shared" si="118"/>
        <v>#REF!</v>
      </c>
      <c r="I203" s="271" t="e">
        <f t="shared" si="118"/>
        <v>#REF!</v>
      </c>
      <c r="J203" s="271" t="e">
        <f t="shared" si="118"/>
        <v>#REF!</v>
      </c>
      <c r="K203" s="271" t="e">
        <f t="shared" si="118"/>
        <v>#REF!</v>
      </c>
      <c r="L203" s="271" t="e">
        <f t="shared" si="118"/>
        <v>#REF!</v>
      </c>
      <c r="M203" s="271" t="e">
        <f t="shared" si="118"/>
        <v>#REF!</v>
      </c>
      <c r="N203" s="271" t="e">
        <f t="shared" si="118"/>
        <v>#REF!</v>
      </c>
      <c r="O203" s="271" t="e">
        <f t="shared" si="118"/>
        <v>#REF!</v>
      </c>
      <c r="P203" s="271" t="e">
        <f t="shared" si="118"/>
        <v>#REF!</v>
      </c>
      <c r="Q203" s="271" t="e">
        <f t="shared" si="118"/>
        <v>#REF!</v>
      </c>
      <c r="R203" s="271" t="e">
        <f t="shared" si="118"/>
        <v>#REF!</v>
      </c>
      <c r="S203" s="271" t="e">
        <f t="shared" si="118"/>
        <v>#REF!</v>
      </c>
      <c r="T203" s="271" t="e">
        <f t="shared" si="118"/>
        <v>#REF!</v>
      </c>
      <c r="U203" s="271" t="e">
        <f t="shared" si="118"/>
        <v>#REF!</v>
      </c>
      <c r="V203" s="271" t="e">
        <f t="shared" si="118"/>
        <v>#REF!</v>
      </c>
      <c r="W203" s="271" t="e">
        <f t="shared" si="118"/>
        <v>#REF!</v>
      </c>
      <c r="X203" s="271" t="e">
        <f t="shared" si="118"/>
        <v>#REF!</v>
      </c>
      <c r="Y203" s="271" t="e">
        <f t="shared" si="118"/>
        <v>#REF!</v>
      </c>
      <c r="Z203" s="271" t="e">
        <f t="shared" si="118"/>
        <v>#REF!</v>
      </c>
      <c r="AA203" s="271" t="e">
        <f t="shared" si="118"/>
        <v>#REF!</v>
      </c>
      <c r="AB203" s="271" t="e">
        <f t="shared" si="118"/>
        <v>#REF!</v>
      </c>
      <c r="AC203" s="271" t="e">
        <f t="shared" ref="AC203:AG203" si="119">SUM(AC200:AC202)</f>
        <v>#REF!</v>
      </c>
      <c r="AD203" s="271" t="e">
        <f t="shared" si="119"/>
        <v>#REF!</v>
      </c>
      <c r="AE203" s="271" t="e">
        <f t="shared" si="119"/>
        <v>#REF!</v>
      </c>
      <c r="AF203" s="271" t="e">
        <f t="shared" si="119"/>
        <v>#REF!</v>
      </c>
      <c r="AG203" s="271" t="e">
        <f t="shared" si="119"/>
        <v>#REF!</v>
      </c>
    </row>
    <row r="204" spans="1:33">
      <c r="A204" s="235" t="s">
        <v>323</v>
      </c>
      <c r="B204" s="235"/>
      <c r="C204" s="235">
        <v>2025</v>
      </c>
      <c r="D204" s="235">
        <f t="shared" ref="D204:AG204" si="120">C204+1</f>
        <v>2026</v>
      </c>
      <c r="E204" s="235">
        <f t="shared" si="120"/>
        <v>2027</v>
      </c>
      <c r="F204" s="235">
        <f t="shared" si="120"/>
        <v>2028</v>
      </c>
      <c r="G204" s="235">
        <f t="shared" si="120"/>
        <v>2029</v>
      </c>
      <c r="H204" s="235">
        <f t="shared" si="120"/>
        <v>2030</v>
      </c>
      <c r="I204" s="235">
        <f t="shared" si="120"/>
        <v>2031</v>
      </c>
      <c r="J204" s="235">
        <f t="shared" si="120"/>
        <v>2032</v>
      </c>
      <c r="K204" s="235">
        <f t="shared" si="120"/>
        <v>2033</v>
      </c>
      <c r="L204" s="235">
        <f t="shared" si="120"/>
        <v>2034</v>
      </c>
      <c r="M204" s="235">
        <f t="shared" si="120"/>
        <v>2035</v>
      </c>
      <c r="N204" s="235">
        <f t="shared" si="120"/>
        <v>2036</v>
      </c>
      <c r="O204" s="235">
        <f t="shared" si="120"/>
        <v>2037</v>
      </c>
      <c r="P204" s="235">
        <f t="shared" si="120"/>
        <v>2038</v>
      </c>
      <c r="Q204" s="235">
        <f t="shared" si="120"/>
        <v>2039</v>
      </c>
      <c r="R204" s="235">
        <f t="shared" si="120"/>
        <v>2040</v>
      </c>
      <c r="S204" s="235">
        <f t="shared" si="120"/>
        <v>2041</v>
      </c>
      <c r="T204" s="235">
        <f t="shared" si="120"/>
        <v>2042</v>
      </c>
      <c r="U204" s="235">
        <f t="shared" si="120"/>
        <v>2043</v>
      </c>
      <c r="V204" s="235">
        <f t="shared" si="120"/>
        <v>2044</v>
      </c>
      <c r="W204" s="235">
        <f t="shared" si="120"/>
        <v>2045</v>
      </c>
      <c r="X204" s="235">
        <f t="shared" si="120"/>
        <v>2046</v>
      </c>
      <c r="Y204" s="235">
        <f t="shared" si="120"/>
        <v>2047</v>
      </c>
      <c r="Z204" s="235">
        <f t="shared" si="120"/>
        <v>2048</v>
      </c>
      <c r="AA204" s="235">
        <f t="shared" si="120"/>
        <v>2049</v>
      </c>
      <c r="AB204" s="235">
        <f t="shared" si="120"/>
        <v>2050</v>
      </c>
      <c r="AC204" s="235">
        <f t="shared" si="120"/>
        <v>2051</v>
      </c>
      <c r="AD204" s="235">
        <f t="shared" si="120"/>
        <v>2052</v>
      </c>
      <c r="AE204" s="235">
        <f t="shared" si="120"/>
        <v>2053</v>
      </c>
      <c r="AF204" s="235">
        <f t="shared" si="120"/>
        <v>2054</v>
      </c>
      <c r="AG204" s="235">
        <f t="shared" si="120"/>
        <v>2055</v>
      </c>
    </row>
    <row r="205" spans="1:33">
      <c r="A205" s="173" t="str">
        <f>A85</f>
        <v xml:space="preserve">Diesel   </v>
      </c>
      <c r="B205" s="173" t="str">
        <f>A205</f>
        <v xml:space="preserve">Diesel   </v>
      </c>
      <c r="C205" s="295" t="e">
        <f t="shared" ref="C205:AG205" si="121">SUM(C100:C102)</f>
        <v>#REF!</v>
      </c>
      <c r="D205" s="295" t="e">
        <f t="shared" si="121"/>
        <v>#REF!</v>
      </c>
      <c r="E205" s="295" t="e">
        <f t="shared" si="121"/>
        <v>#REF!</v>
      </c>
      <c r="F205" s="295" t="e">
        <f t="shared" si="121"/>
        <v>#REF!</v>
      </c>
      <c r="G205" s="295" t="e">
        <f t="shared" si="121"/>
        <v>#REF!</v>
      </c>
      <c r="H205" s="295" t="e">
        <f t="shared" si="121"/>
        <v>#REF!</v>
      </c>
      <c r="I205" s="295" t="e">
        <f t="shared" si="121"/>
        <v>#REF!</v>
      </c>
      <c r="J205" s="295" t="e">
        <f t="shared" si="121"/>
        <v>#REF!</v>
      </c>
      <c r="K205" s="295" t="e">
        <f t="shared" si="121"/>
        <v>#REF!</v>
      </c>
      <c r="L205" s="295" t="e">
        <f t="shared" si="121"/>
        <v>#REF!</v>
      </c>
      <c r="M205" s="295" t="e">
        <f t="shared" si="121"/>
        <v>#REF!</v>
      </c>
      <c r="N205" s="295" t="e">
        <f t="shared" si="121"/>
        <v>#REF!</v>
      </c>
      <c r="O205" s="295" t="e">
        <f t="shared" si="121"/>
        <v>#REF!</v>
      </c>
      <c r="P205" s="295" t="e">
        <f t="shared" si="121"/>
        <v>#REF!</v>
      </c>
      <c r="Q205" s="295" t="e">
        <f t="shared" si="121"/>
        <v>#REF!</v>
      </c>
      <c r="R205" s="295" t="e">
        <f t="shared" si="121"/>
        <v>#REF!</v>
      </c>
      <c r="S205" s="295" t="e">
        <f t="shared" si="121"/>
        <v>#REF!</v>
      </c>
      <c r="T205" s="295" t="e">
        <f t="shared" si="121"/>
        <v>#REF!</v>
      </c>
      <c r="U205" s="295" t="e">
        <f t="shared" si="121"/>
        <v>#REF!</v>
      </c>
      <c r="V205" s="295" t="e">
        <f t="shared" si="121"/>
        <v>#REF!</v>
      </c>
      <c r="W205" s="295" t="e">
        <f t="shared" si="121"/>
        <v>#REF!</v>
      </c>
      <c r="X205" s="295" t="e">
        <f t="shared" si="121"/>
        <v>#REF!</v>
      </c>
      <c r="Y205" s="295" t="e">
        <f t="shared" si="121"/>
        <v>#REF!</v>
      </c>
      <c r="Z205" s="295" t="e">
        <f t="shared" si="121"/>
        <v>#REF!</v>
      </c>
      <c r="AA205" s="295" t="e">
        <f t="shared" si="121"/>
        <v>#REF!</v>
      </c>
      <c r="AB205" s="295" t="e">
        <f t="shared" si="121"/>
        <v>#REF!</v>
      </c>
      <c r="AC205" s="295" t="e">
        <f t="shared" si="121"/>
        <v>#REF!</v>
      </c>
      <c r="AD205" s="295" t="e">
        <f t="shared" si="121"/>
        <v>#REF!</v>
      </c>
      <c r="AE205" s="295" t="e">
        <f t="shared" si="121"/>
        <v>#REF!</v>
      </c>
      <c r="AF205" s="295" t="e">
        <f t="shared" si="121"/>
        <v>#REF!</v>
      </c>
      <c r="AG205" s="295" t="e">
        <f t="shared" si="121"/>
        <v>#REF!</v>
      </c>
    </row>
    <row r="206" spans="1:33">
      <c r="A206" s="290" t="s">
        <v>179</v>
      </c>
      <c r="B206" s="290" t="s">
        <v>179</v>
      </c>
      <c r="C206" s="295" t="e">
        <f>SUM(C117:C119)</f>
        <v>#REF!</v>
      </c>
      <c r="D206" s="295" t="e">
        <f t="shared" ref="D206:AG206" si="122">SUM(D117:D119)</f>
        <v>#REF!</v>
      </c>
      <c r="E206" s="295" t="e">
        <f t="shared" si="122"/>
        <v>#REF!</v>
      </c>
      <c r="F206" s="295" t="e">
        <f t="shared" si="122"/>
        <v>#REF!</v>
      </c>
      <c r="G206" s="295" t="e">
        <f t="shared" si="122"/>
        <v>#REF!</v>
      </c>
      <c r="H206" s="295" t="e">
        <f t="shared" si="122"/>
        <v>#REF!</v>
      </c>
      <c r="I206" s="295" t="e">
        <f t="shared" si="122"/>
        <v>#REF!</v>
      </c>
      <c r="J206" s="295" t="e">
        <f t="shared" si="122"/>
        <v>#REF!</v>
      </c>
      <c r="K206" s="295" t="e">
        <f t="shared" si="122"/>
        <v>#REF!</v>
      </c>
      <c r="L206" s="295" t="e">
        <f t="shared" si="122"/>
        <v>#REF!</v>
      </c>
      <c r="M206" s="295" t="e">
        <f t="shared" si="122"/>
        <v>#REF!</v>
      </c>
      <c r="N206" s="295" t="e">
        <f t="shared" si="122"/>
        <v>#REF!</v>
      </c>
      <c r="O206" s="295" t="e">
        <f t="shared" si="122"/>
        <v>#REF!</v>
      </c>
      <c r="P206" s="295" t="e">
        <f t="shared" si="122"/>
        <v>#REF!</v>
      </c>
      <c r="Q206" s="295" t="e">
        <f t="shared" si="122"/>
        <v>#REF!</v>
      </c>
      <c r="R206" s="295" t="e">
        <f t="shared" si="122"/>
        <v>#REF!</v>
      </c>
      <c r="S206" s="295" t="e">
        <f t="shared" si="122"/>
        <v>#REF!</v>
      </c>
      <c r="T206" s="295" t="e">
        <f t="shared" si="122"/>
        <v>#REF!</v>
      </c>
      <c r="U206" s="295" t="e">
        <f t="shared" si="122"/>
        <v>#REF!</v>
      </c>
      <c r="V206" s="295" t="e">
        <f t="shared" si="122"/>
        <v>#REF!</v>
      </c>
      <c r="W206" s="295" t="e">
        <f t="shared" si="122"/>
        <v>#REF!</v>
      </c>
      <c r="X206" s="295" t="e">
        <f t="shared" si="122"/>
        <v>#REF!</v>
      </c>
      <c r="Y206" s="295" t="e">
        <f t="shared" si="122"/>
        <v>#REF!</v>
      </c>
      <c r="Z206" s="295" t="e">
        <f t="shared" si="122"/>
        <v>#REF!</v>
      </c>
      <c r="AA206" s="295" t="e">
        <f t="shared" si="122"/>
        <v>#REF!</v>
      </c>
      <c r="AB206" s="295" t="e">
        <f t="shared" si="122"/>
        <v>#REF!</v>
      </c>
      <c r="AC206" s="295" t="e">
        <f t="shared" si="122"/>
        <v>#REF!</v>
      </c>
      <c r="AD206" s="295" t="e">
        <f t="shared" si="122"/>
        <v>#REF!</v>
      </c>
      <c r="AE206" s="295" t="e">
        <f t="shared" si="122"/>
        <v>#REF!</v>
      </c>
      <c r="AF206" s="295" t="e">
        <f t="shared" si="122"/>
        <v>#REF!</v>
      </c>
      <c r="AG206" s="295" t="e">
        <f t="shared" si="122"/>
        <v>#REF!</v>
      </c>
    </row>
    <row r="207" spans="1:33">
      <c r="A207" s="173" t="s">
        <v>180</v>
      </c>
      <c r="B207" s="173" t="s">
        <v>180</v>
      </c>
      <c r="C207" s="295" t="e">
        <f t="shared" ref="C207:AG207" si="123">SUM(C134:C136)</f>
        <v>#REF!</v>
      </c>
      <c r="D207" s="295" t="e">
        <f t="shared" si="123"/>
        <v>#REF!</v>
      </c>
      <c r="E207" s="295" t="e">
        <f t="shared" si="123"/>
        <v>#REF!</v>
      </c>
      <c r="F207" s="295" t="e">
        <f t="shared" si="123"/>
        <v>#REF!</v>
      </c>
      <c r="G207" s="295" t="e">
        <f t="shared" si="123"/>
        <v>#REF!</v>
      </c>
      <c r="H207" s="295" t="e">
        <f t="shared" si="123"/>
        <v>#REF!</v>
      </c>
      <c r="I207" s="295" t="e">
        <f t="shared" si="123"/>
        <v>#REF!</v>
      </c>
      <c r="J207" s="295" t="e">
        <f t="shared" si="123"/>
        <v>#REF!</v>
      </c>
      <c r="K207" s="295" t="e">
        <f t="shared" si="123"/>
        <v>#REF!</v>
      </c>
      <c r="L207" s="295" t="e">
        <f t="shared" si="123"/>
        <v>#REF!</v>
      </c>
      <c r="M207" s="295" t="e">
        <f t="shared" si="123"/>
        <v>#REF!</v>
      </c>
      <c r="N207" s="295" t="e">
        <f t="shared" si="123"/>
        <v>#REF!</v>
      </c>
      <c r="O207" s="295" t="e">
        <f t="shared" si="123"/>
        <v>#REF!</v>
      </c>
      <c r="P207" s="295" t="e">
        <f t="shared" si="123"/>
        <v>#REF!</v>
      </c>
      <c r="Q207" s="295" t="e">
        <f t="shared" si="123"/>
        <v>#REF!</v>
      </c>
      <c r="R207" s="295" t="e">
        <f t="shared" si="123"/>
        <v>#REF!</v>
      </c>
      <c r="S207" s="295" t="e">
        <f t="shared" si="123"/>
        <v>#REF!</v>
      </c>
      <c r="T207" s="295" t="e">
        <f t="shared" si="123"/>
        <v>#REF!</v>
      </c>
      <c r="U207" s="295" t="e">
        <f t="shared" si="123"/>
        <v>#REF!</v>
      </c>
      <c r="V207" s="295" t="e">
        <f t="shared" si="123"/>
        <v>#REF!</v>
      </c>
      <c r="W207" s="295" t="e">
        <f t="shared" si="123"/>
        <v>#REF!</v>
      </c>
      <c r="X207" s="295" t="e">
        <f t="shared" si="123"/>
        <v>#REF!</v>
      </c>
      <c r="Y207" s="295" t="e">
        <f t="shared" si="123"/>
        <v>#REF!</v>
      </c>
      <c r="Z207" s="295" t="e">
        <f t="shared" si="123"/>
        <v>#REF!</v>
      </c>
      <c r="AA207" s="295" t="e">
        <f t="shared" si="123"/>
        <v>#REF!</v>
      </c>
      <c r="AB207" s="295" t="e">
        <f t="shared" si="123"/>
        <v>#REF!</v>
      </c>
      <c r="AC207" s="295" t="e">
        <f t="shared" si="123"/>
        <v>#REF!</v>
      </c>
      <c r="AD207" s="295" t="e">
        <f t="shared" si="123"/>
        <v>#REF!</v>
      </c>
      <c r="AE207" s="295" t="e">
        <f t="shared" si="123"/>
        <v>#REF!</v>
      </c>
      <c r="AF207" s="295" t="e">
        <f t="shared" si="123"/>
        <v>#REF!</v>
      </c>
      <c r="AG207" s="295" t="e">
        <f t="shared" si="123"/>
        <v>#REF!</v>
      </c>
    </row>
    <row r="208" spans="1:33">
      <c r="A208" s="173" t="str">
        <f>A138</f>
        <v>H2-ICE</v>
      </c>
      <c r="B208" s="173" t="str">
        <f t="shared" ref="B208:B210" si="124">A208</f>
        <v>H2-ICE</v>
      </c>
      <c r="C208" s="295" t="e">
        <f t="shared" ref="C208:AG208" si="125">SUM(C151:C153)</f>
        <v>#REF!</v>
      </c>
      <c r="D208" s="295" t="e">
        <f t="shared" si="125"/>
        <v>#REF!</v>
      </c>
      <c r="E208" s="295" t="e">
        <f t="shared" si="125"/>
        <v>#REF!</v>
      </c>
      <c r="F208" s="295" t="e">
        <f t="shared" si="125"/>
        <v>#REF!</v>
      </c>
      <c r="G208" s="295" t="e">
        <f t="shared" si="125"/>
        <v>#REF!</v>
      </c>
      <c r="H208" s="295" t="e">
        <f t="shared" si="125"/>
        <v>#REF!</v>
      </c>
      <c r="I208" s="295" t="e">
        <f t="shared" si="125"/>
        <v>#REF!</v>
      </c>
      <c r="J208" s="295" t="e">
        <f t="shared" si="125"/>
        <v>#REF!</v>
      </c>
      <c r="K208" s="295" t="e">
        <f t="shared" si="125"/>
        <v>#REF!</v>
      </c>
      <c r="L208" s="295" t="e">
        <f t="shared" si="125"/>
        <v>#REF!</v>
      </c>
      <c r="M208" s="295" t="e">
        <f t="shared" si="125"/>
        <v>#REF!</v>
      </c>
      <c r="N208" s="295" t="e">
        <f t="shared" si="125"/>
        <v>#REF!</v>
      </c>
      <c r="O208" s="295" t="e">
        <f t="shared" si="125"/>
        <v>#REF!</v>
      </c>
      <c r="P208" s="295" t="e">
        <f t="shared" si="125"/>
        <v>#REF!</v>
      </c>
      <c r="Q208" s="295" t="e">
        <f t="shared" si="125"/>
        <v>#REF!</v>
      </c>
      <c r="R208" s="295" t="e">
        <f t="shared" si="125"/>
        <v>#REF!</v>
      </c>
      <c r="S208" s="295" t="e">
        <f t="shared" si="125"/>
        <v>#REF!</v>
      </c>
      <c r="T208" s="295" t="e">
        <f t="shared" si="125"/>
        <v>#REF!</v>
      </c>
      <c r="U208" s="295" t="e">
        <f t="shared" si="125"/>
        <v>#REF!</v>
      </c>
      <c r="V208" s="295" t="e">
        <f t="shared" si="125"/>
        <v>#REF!</v>
      </c>
      <c r="W208" s="295" t="e">
        <f t="shared" si="125"/>
        <v>#REF!</v>
      </c>
      <c r="X208" s="295" t="e">
        <f t="shared" si="125"/>
        <v>#REF!</v>
      </c>
      <c r="Y208" s="295" t="e">
        <f t="shared" si="125"/>
        <v>#REF!</v>
      </c>
      <c r="Z208" s="295" t="e">
        <f t="shared" si="125"/>
        <v>#REF!</v>
      </c>
      <c r="AA208" s="295" t="e">
        <f t="shared" si="125"/>
        <v>#REF!</v>
      </c>
      <c r="AB208" s="295" t="e">
        <f t="shared" si="125"/>
        <v>#REF!</v>
      </c>
      <c r="AC208" s="295" t="e">
        <f t="shared" si="125"/>
        <v>#REF!</v>
      </c>
      <c r="AD208" s="295" t="e">
        <f t="shared" si="125"/>
        <v>#REF!</v>
      </c>
      <c r="AE208" s="295" t="e">
        <f t="shared" si="125"/>
        <v>#REF!</v>
      </c>
      <c r="AF208" s="295" t="e">
        <f t="shared" si="125"/>
        <v>#REF!</v>
      </c>
      <c r="AG208" s="295" t="e">
        <f t="shared" si="125"/>
        <v>#REF!</v>
      </c>
    </row>
    <row r="209" spans="1:33">
      <c r="A209" s="173" t="str">
        <f>A155</f>
        <v>BET</v>
      </c>
      <c r="B209" s="173" t="str">
        <f t="shared" si="124"/>
        <v>BET</v>
      </c>
      <c r="C209" s="295" t="e">
        <f t="shared" ref="C209:AG209" si="126">SUM(C178:C180)</f>
        <v>#REF!</v>
      </c>
      <c r="D209" s="295" t="e">
        <f t="shared" si="126"/>
        <v>#REF!</v>
      </c>
      <c r="E209" s="295" t="e">
        <f t="shared" si="126"/>
        <v>#REF!</v>
      </c>
      <c r="F209" s="295" t="e">
        <f t="shared" si="126"/>
        <v>#REF!</v>
      </c>
      <c r="G209" s="295" t="e">
        <f t="shared" si="126"/>
        <v>#REF!</v>
      </c>
      <c r="H209" s="295" t="e">
        <f t="shared" si="126"/>
        <v>#REF!</v>
      </c>
      <c r="I209" s="295" t="e">
        <f t="shared" si="126"/>
        <v>#REF!</v>
      </c>
      <c r="J209" s="295" t="e">
        <f t="shared" si="126"/>
        <v>#REF!</v>
      </c>
      <c r="K209" s="295" t="e">
        <f t="shared" si="126"/>
        <v>#REF!</v>
      </c>
      <c r="L209" s="295" t="e">
        <f t="shared" si="126"/>
        <v>#REF!</v>
      </c>
      <c r="M209" s="295" t="e">
        <f t="shared" si="126"/>
        <v>#REF!</v>
      </c>
      <c r="N209" s="295" t="e">
        <f t="shared" si="126"/>
        <v>#REF!</v>
      </c>
      <c r="O209" s="295" t="e">
        <f t="shared" si="126"/>
        <v>#REF!</v>
      </c>
      <c r="P209" s="295" t="e">
        <f t="shared" si="126"/>
        <v>#REF!</v>
      </c>
      <c r="Q209" s="295" t="e">
        <f t="shared" si="126"/>
        <v>#REF!</v>
      </c>
      <c r="R209" s="295" t="e">
        <f t="shared" si="126"/>
        <v>#REF!</v>
      </c>
      <c r="S209" s="295" t="e">
        <f t="shared" si="126"/>
        <v>#REF!</v>
      </c>
      <c r="T209" s="295" t="e">
        <f t="shared" si="126"/>
        <v>#REF!</v>
      </c>
      <c r="U209" s="295" t="e">
        <f t="shared" si="126"/>
        <v>#REF!</v>
      </c>
      <c r="V209" s="295" t="e">
        <f t="shared" si="126"/>
        <v>#REF!</v>
      </c>
      <c r="W209" s="295" t="e">
        <f t="shared" si="126"/>
        <v>#REF!</v>
      </c>
      <c r="X209" s="295" t="e">
        <f t="shared" si="126"/>
        <v>#REF!</v>
      </c>
      <c r="Y209" s="295" t="e">
        <f t="shared" si="126"/>
        <v>#REF!</v>
      </c>
      <c r="Z209" s="295" t="e">
        <f t="shared" si="126"/>
        <v>#REF!</v>
      </c>
      <c r="AA209" s="295" t="e">
        <f t="shared" si="126"/>
        <v>#REF!</v>
      </c>
      <c r="AB209" s="295" t="e">
        <f t="shared" si="126"/>
        <v>#REF!</v>
      </c>
      <c r="AC209" s="295" t="e">
        <f t="shared" si="126"/>
        <v>#REF!</v>
      </c>
      <c r="AD209" s="295" t="e">
        <f t="shared" si="126"/>
        <v>#REF!</v>
      </c>
      <c r="AE209" s="295" t="e">
        <f t="shared" si="126"/>
        <v>#REF!</v>
      </c>
      <c r="AF209" s="295" t="e">
        <f t="shared" si="126"/>
        <v>#REF!</v>
      </c>
      <c r="AG209" s="295" t="e">
        <f t="shared" si="126"/>
        <v>#REF!</v>
      </c>
    </row>
    <row r="210" spans="1:33">
      <c r="A210" s="173" t="str">
        <f>A182</f>
        <v>FCET</v>
      </c>
      <c r="B210" s="173" t="str">
        <f t="shared" si="124"/>
        <v>FCET</v>
      </c>
      <c r="C210" s="295" t="e">
        <f t="shared" ref="C210:AG210" si="127">SUM(C200:C202)</f>
        <v>#REF!</v>
      </c>
      <c r="D210" s="295" t="e">
        <f t="shared" si="127"/>
        <v>#REF!</v>
      </c>
      <c r="E210" s="295" t="e">
        <f t="shared" si="127"/>
        <v>#REF!</v>
      </c>
      <c r="F210" s="295" t="e">
        <f t="shared" si="127"/>
        <v>#REF!</v>
      </c>
      <c r="G210" s="295" t="e">
        <f t="shared" si="127"/>
        <v>#REF!</v>
      </c>
      <c r="H210" s="295" t="e">
        <f t="shared" si="127"/>
        <v>#REF!</v>
      </c>
      <c r="I210" s="295" t="e">
        <f t="shared" si="127"/>
        <v>#REF!</v>
      </c>
      <c r="J210" s="295" t="e">
        <f t="shared" si="127"/>
        <v>#REF!</v>
      </c>
      <c r="K210" s="295" t="e">
        <f t="shared" si="127"/>
        <v>#REF!</v>
      </c>
      <c r="L210" s="295" t="e">
        <f t="shared" si="127"/>
        <v>#REF!</v>
      </c>
      <c r="M210" s="295" t="e">
        <f t="shared" si="127"/>
        <v>#REF!</v>
      </c>
      <c r="N210" s="295" t="e">
        <f t="shared" si="127"/>
        <v>#REF!</v>
      </c>
      <c r="O210" s="295" t="e">
        <f t="shared" si="127"/>
        <v>#REF!</v>
      </c>
      <c r="P210" s="295" t="e">
        <f t="shared" si="127"/>
        <v>#REF!</v>
      </c>
      <c r="Q210" s="295" t="e">
        <f t="shared" si="127"/>
        <v>#REF!</v>
      </c>
      <c r="R210" s="295" t="e">
        <f t="shared" si="127"/>
        <v>#REF!</v>
      </c>
      <c r="S210" s="295" t="e">
        <f t="shared" si="127"/>
        <v>#REF!</v>
      </c>
      <c r="T210" s="295" t="e">
        <f t="shared" si="127"/>
        <v>#REF!</v>
      </c>
      <c r="U210" s="295" t="e">
        <f t="shared" si="127"/>
        <v>#REF!</v>
      </c>
      <c r="V210" s="295" t="e">
        <f t="shared" si="127"/>
        <v>#REF!</v>
      </c>
      <c r="W210" s="295" t="e">
        <f t="shared" si="127"/>
        <v>#REF!</v>
      </c>
      <c r="X210" s="295" t="e">
        <f t="shared" si="127"/>
        <v>#REF!</v>
      </c>
      <c r="Y210" s="295" t="e">
        <f t="shared" si="127"/>
        <v>#REF!</v>
      </c>
      <c r="Z210" s="295" t="e">
        <f t="shared" si="127"/>
        <v>#REF!</v>
      </c>
      <c r="AA210" s="295" t="e">
        <f t="shared" si="127"/>
        <v>#REF!</v>
      </c>
      <c r="AB210" s="295" t="e">
        <f t="shared" si="127"/>
        <v>#REF!</v>
      </c>
      <c r="AC210" s="295" t="e">
        <f t="shared" si="127"/>
        <v>#REF!</v>
      </c>
      <c r="AD210" s="295" t="e">
        <f t="shared" si="127"/>
        <v>#REF!</v>
      </c>
      <c r="AE210" s="295" t="e">
        <f t="shared" si="127"/>
        <v>#REF!</v>
      </c>
      <c r="AF210" s="295" t="e">
        <f t="shared" si="127"/>
        <v>#REF!</v>
      </c>
      <c r="AG210" s="295" t="e">
        <f t="shared" si="127"/>
        <v>#REF!</v>
      </c>
    </row>
    <row r="211" spans="1:33">
      <c r="A211" s="173" t="s">
        <v>334</v>
      </c>
      <c r="C211" s="295" t="e">
        <f t="shared" ref="C211:AG211" si="128">C205*0.9</f>
        <v>#REF!</v>
      </c>
      <c r="D211" s="295" t="e">
        <f t="shared" si="128"/>
        <v>#REF!</v>
      </c>
      <c r="E211" s="295" t="e">
        <f t="shared" si="128"/>
        <v>#REF!</v>
      </c>
      <c r="F211" s="295" t="e">
        <f t="shared" si="128"/>
        <v>#REF!</v>
      </c>
      <c r="G211" s="295" t="e">
        <f t="shared" si="128"/>
        <v>#REF!</v>
      </c>
      <c r="H211" s="295" t="e">
        <f t="shared" si="128"/>
        <v>#REF!</v>
      </c>
      <c r="I211" s="295" t="e">
        <f t="shared" si="128"/>
        <v>#REF!</v>
      </c>
      <c r="J211" s="295" t="e">
        <f t="shared" si="128"/>
        <v>#REF!</v>
      </c>
      <c r="K211" s="295" t="e">
        <f t="shared" si="128"/>
        <v>#REF!</v>
      </c>
      <c r="L211" s="295" t="e">
        <f t="shared" si="128"/>
        <v>#REF!</v>
      </c>
      <c r="M211" s="295" t="e">
        <f t="shared" si="128"/>
        <v>#REF!</v>
      </c>
      <c r="N211" s="295" t="e">
        <f t="shared" si="128"/>
        <v>#REF!</v>
      </c>
      <c r="O211" s="295" t="e">
        <f t="shared" si="128"/>
        <v>#REF!</v>
      </c>
      <c r="P211" s="295" t="e">
        <f t="shared" si="128"/>
        <v>#REF!</v>
      </c>
      <c r="Q211" s="295" t="e">
        <f t="shared" si="128"/>
        <v>#REF!</v>
      </c>
      <c r="R211" s="295" t="e">
        <f t="shared" si="128"/>
        <v>#REF!</v>
      </c>
      <c r="S211" s="295" t="e">
        <f t="shared" si="128"/>
        <v>#REF!</v>
      </c>
      <c r="T211" s="295" t="e">
        <f t="shared" si="128"/>
        <v>#REF!</v>
      </c>
      <c r="U211" s="295" t="e">
        <f t="shared" si="128"/>
        <v>#REF!</v>
      </c>
      <c r="V211" s="295" t="e">
        <f t="shared" si="128"/>
        <v>#REF!</v>
      </c>
      <c r="W211" s="295" t="e">
        <f t="shared" si="128"/>
        <v>#REF!</v>
      </c>
      <c r="X211" s="295" t="e">
        <f t="shared" si="128"/>
        <v>#REF!</v>
      </c>
      <c r="Y211" s="295" t="e">
        <f t="shared" si="128"/>
        <v>#REF!</v>
      </c>
      <c r="Z211" s="295" t="e">
        <f t="shared" si="128"/>
        <v>#REF!</v>
      </c>
      <c r="AA211" s="295" t="e">
        <f t="shared" si="128"/>
        <v>#REF!</v>
      </c>
      <c r="AB211" s="295" t="e">
        <f t="shared" si="128"/>
        <v>#REF!</v>
      </c>
      <c r="AC211" s="295" t="e">
        <f t="shared" si="128"/>
        <v>#REF!</v>
      </c>
      <c r="AD211" s="295" t="e">
        <f t="shared" si="128"/>
        <v>#REF!</v>
      </c>
      <c r="AE211" s="295" t="e">
        <f t="shared" si="128"/>
        <v>#REF!</v>
      </c>
      <c r="AF211" s="295" t="e">
        <f t="shared" si="128"/>
        <v>#REF!</v>
      </c>
      <c r="AG211" s="295" t="e">
        <f t="shared" si="128"/>
        <v>#REF!</v>
      </c>
    </row>
    <row r="212" spans="1:33">
      <c r="C212" s="173"/>
    </row>
    <row r="213" spans="1:33">
      <c r="A213" s="235" t="s">
        <v>431</v>
      </c>
      <c r="B213" s="235"/>
      <c r="C213" s="235">
        <v>2025</v>
      </c>
      <c r="D213" s="235">
        <f t="shared" ref="D213:AG213" si="129">C213+1</f>
        <v>2026</v>
      </c>
      <c r="E213" s="235">
        <f t="shared" si="129"/>
        <v>2027</v>
      </c>
      <c r="F213" s="235">
        <f t="shared" si="129"/>
        <v>2028</v>
      </c>
      <c r="G213" s="235">
        <f t="shared" si="129"/>
        <v>2029</v>
      </c>
      <c r="H213" s="235">
        <f t="shared" si="129"/>
        <v>2030</v>
      </c>
      <c r="I213" s="235">
        <f t="shared" si="129"/>
        <v>2031</v>
      </c>
      <c r="J213" s="235">
        <f t="shared" si="129"/>
        <v>2032</v>
      </c>
      <c r="K213" s="235">
        <f t="shared" si="129"/>
        <v>2033</v>
      </c>
      <c r="L213" s="235">
        <f t="shared" si="129"/>
        <v>2034</v>
      </c>
      <c r="M213" s="235">
        <f t="shared" si="129"/>
        <v>2035</v>
      </c>
      <c r="N213" s="235">
        <f t="shared" si="129"/>
        <v>2036</v>
      </c>
      <c r="O213" s="235">
        <f t="shared" si="129"/>
        <v>2037</v>
      </c>
      <c r="P213" s="235">
        <f t="shared" si="129"/>
        <v>2038</v>
      </c>
      <c r="Q213" s="235">
        <f t="shared" si="129"/>
        <v>2039</v>
      </c>
      <c r="R213" s="235">
        <f t="shared" si="129"/>
        <v>2040</v>
      </c>
      <c r="S213" s="235">
        <f t="shared" si="129"/>
        <v>2041</v>
      </c>
      <c r="T213" s="235">
        <f t="shared" si="129"/>
        <v>2042</v>
      </c>
      <c r="U213" s="235">
        <f t="shared" si="129"/>
        <v>2043</v>
      </c>
      <c r="V213" s="235">
        <f t="shared" si="129"/>
        <v>2044</v>
      </c>
      <c r="W213" s="235">
        <f t="shared" si="129"/>
        <v>2045</v>
      </c>
      <c r="X213" s="235">
        <f t="shared" si="129"/>
        <v>2046</v>
      </c>
      <c r="Y213" s="235">
        <f t="shared" si="129"/>
        <v>2047</v>
      </c>
      <c r="Z213" s="235">
        <f t="shared" si="129"/>
        <v>2048</v>
      </c>
      <c r="AA213" s="235">
        <f t="shared" si="129"/>
        <v>2049</v>
      </c>
      <c r="AB213" s="235">
        <f t="shared" si="129"/>
        <v>2050</v>
      </c>
      <c r="AC213" s="235">
        <f t="shared" si="129"/>
        <v>2051</v>
      </c>
      <c r="AD213" s="235">
        <f t="shared" si="129"/>
        <v>2052</v>
      </c>
      <c r="AE213" s="235">
        <f t="shared" si="129"/>
        <v>2053</v>
      </c>
      <c r="AF213" s="235">
        <f t="shared" si="129"/>
        <v>2054</v>
      </c>
      <c r="AG213" s="235">
        <f t="shared" si="129"/>
        <v>2055</v>
      </c>
    </row>
    <row r="214" spans="1:33">
      <c r="A214" s="173" t="str">
        <f>A205</f>
        <v xml:space="preserve">Diesel   </v>
      </c>
      <c r="B214" s="173" t="str">
        <f>A214</f>
        <v xml:space="preserve">Diesel   </v>
      </c>
      <c r="C214" s="179" t="e">
        <f t="shared" ref="C214:AG214" si="130">C205/($C$24*$C$30)</f>
        <v>#REF!</v>
      </c>
      <c r="D214" s="179" t="e">
        <f t="shared" si="130"/>
        <v>#REF!</v>
      </c>
      <c r="E214" s="179" t="e">
        <f t="shared" si="130"/>
        <v>#REF!</v>
      </c>
      <c r="F214" s="179" t="e">
        <f t="shared" si="130"/>
        <v>#REF!</v>
      </c>
      <c r="G214" s="179" t="e">
        <f t="shared" si="130"/>
        <v>#REF!</v>
      </c>
      <c r="H214" s="179" t="e">
        <f t="shared" si="130"/>
        <v>#REF!</v>
      </c>
      <c r="I214" s="179" t="e">
        <f t="shared" si="130"/>
        <v>#REF!</v>
      </c>
      <c r="J214" s="179" t="e">
        <f t="shared" si="130"/>
        <v>#REF!</v>
      </c>
      <c r="K214" s="179" t="e">
        <f t="shared" si="130"/>
        <v>#REF!</v>
      </c>
      <c r="L214" s="179" t="e">
        <f t="shared" si="130"/>
        <v>#REF!</v>
      </c>
      <c r="M214" s="179" t="e">
        <f t="shared" si="130"/>
        <v>#REF!</v>
      </c>
      <c r="N214" s="179" t="e">
        <f t="shared" si="130"/>
        <v>#REF!</v>
      </c>
      <c r="O214" s="179" t="e">
        <f t="shared" si="130"/>
        <v>#REF!</v>
      </c>
      <c r="P214" s="179" t="e">
        <f t="shared" si="130"/>
        <v>#REF!</v>
      </c>
      <c r="Q214" s="179" t="e">
        <f t="shared" si="130"/>
        <v>#REF!</v>
      </c>
      <c r="R214" s="179" t="e">
        <f t="shared" si="130"/>
        <v>#REF!</v>
      </c>
      <c r="S214" s="179" t="e">
        <f t="shared" si="130"/>
        <v>#REF!</v>
      </c>
      <c r="T214" s="179" t="e">
        <f t="shared" si="130"/>
        <v>#REF!</v>
      </c>
      <c r="U214" s="179" t="e">
        <f t="shared" si="130"/>
        <v>#REF!</v>
      </c>
      <c r="V214" s="179" t="e">
        <f t="shared" si="130"/>
        <v>#REF!</v>
      </c>
      <c r="W214" s="179" t="e">
        <f t="shared" si="130"/>
        <v>#REF!</v>
      </c>
      <c r="X214" s="179" t="e">
        <f t="shared" si="130"/>
        <v>#REF!</v>
      </c>
      <c r="Y214" s="179" t="e">
        <f t="shared" si="130"/>
        <v>#REF!</v>
      </c>
      <c r="Z214" s="179" t="e">
        <f t="shared" si="130"/>
        <v>#REF!</v>
      </c>
      <c r="AA214" s="179" t="e">
        <f t="shared" si="130"/>
        <v>#REF!</v>
      </c>
      <c r="AB214" s="179" t="e">
        <f t="shared" si="130"/>
        <v>#REF!</v>
      </c>
      <c r="AC214" s="179" t="e">
        <f t="shared" si="130"/>
        <v>#REF!</v>
      </c>
      <c r="AD214" s="179" t="e">
        <f t="shared" si="130"/>
        <v>#REF!</v>
      </c>
      <c r="AE214" s="179" t="e">
        <f t="shared" si="130"/>
        <v>#REF!</v>
      </c>
      <c r="AF214" s="179" t="e">
        <f t="shared" si="130"/>
        <v>#REF!</v>
      </c>
      <c r="AG214" s="179" t="e">
        <f t="shared" si="130"/>
        <v>#REF!</v>
      </c>
    </row>
    <row r="215" spans="1:33">
      <c r="A215" s="173" t="str">
        <f>A208</f>
        <v>H2-ICE</v>
      </c>
      <c r="B215" s="173" t="str">
        <f t="shared" ref="B215:B217" si="131">A215</f>
        <v>H2-ICE</v>
      </c>
      <c r="C215" s="179" t="e">
        <f t="shared" ref="C215:AG215" si="132">C208/($C$26*$C$30)</f>
        <v>#REF!</v>
      </c>
      <c r="D215" s="179" t="e">
        <f t="shared" si="132"/>
        <v>#REF!</v>
      </c>
      <c r="E215" s="179" t="e">
        <f t="shared" si="132"/>
        <v>#REF!</v>
      </c>
      <c r="F215" s="179" t="e">
        <f t="shared" si="132"/>
        <v>#REF!</v>
      </c>
      <c r="G215" s="179" t="e">
        <f t="shared" si="132"/>
        <v>#REF!</v>
      </c>
      <c r="H215" s="179" t="e">
        <f t="shared" si="132"/>
        <v>#REF!</v>
      </c>
      <c r="I215" s="179" t="e">
        <f t="shared" si="132"/>
        <v>#REF!</v>
      </c>
      <c r="J215" s="179" t="e">
        <f t="shared" si="132"/>
        <v>#REF!</v>
      </c>
      <c r="K215" s="179" t="e">
        <f t="shared" si="132"/>
        <v>#REF!</v>
      </c>
      <c r="L215" s="179" t="e">
        <f t="shared" si="132"/>
        <v>#REF!</v>
      </c>
      <c r="M215" s="179" t="e">
        <f t="shared" si="132"/>
        <v>#REF!</v>
      </c>
      <c r="N215" s="179" t="e">
        <f t="shared" si="132"/>
        <v>#REF!</v>
      </c>
      <c r="O215" s="179" t="e">
        <f t="shared" si="132"/>
        <v>#REF!</v>
      </c>
      <c r="P215" s="179" t="e">
        <f t="shared" si="132"/>
        <v>#REF!</v>
      </c>
      <c r="Q215" s="179" t="e">
        <f t="shared" si="132"/>
        <v>#REF!</v>
      </c>
      <c r="R215" s="179" t="e">
        <f t="shared" si="132"/>
        <v>#REF!</v>
      </c>
      <c r="S215" s="179" t="e">
        <f t="shared" si="132"/>
        <v>#REF!</v>
      </c>
      <c r="T215" s="179" t="e">
        <f t="shared" si="132"/>
        <v>#REF!</v>
      </c>
      <c r="U215" s="179" t="e">
        <f t="shared" si="132"/>
        <v>#REF!</v>
      </c>
      <c r="V215" s="179" t="e">
        <f t="shared" si="132"/>
        <v>#REF!</v>
      </c>
      <c r="W215" s="179" t="e">
        <f t="shared" si="132"/>
        <v>#REF!</v>
      </c>
      <c r="X215" s="179" t="e">
        <f t="shared" si="132"/>
        <v>#REF!</v>
      </c>
      <c r="Y215" s="179" t="e">
        <f t="shared" si="132"/>
        <v>#REF!</v>
      </c>
      <c r="Z215" s="179" t="e">
        <f t="shared" si="132"/>
        <v>#REF!</v>
      </c>
      <c r="AA215" s="179" t="e">
        <f t="shared" si="132"/>
        <v>#REF!</v>
      </c>
      <c r="AB215" s="179" t="e">
        <f t="shared" si="132"/>
        <v>#REF!</v>
      </c>
      <c r="AC215" s="179" t="e">
        <f t="shared" si="132"/>
        <v>#REF!</v>
      </c>
      <c r="AD215" s="179" t="e">
        <f t="shared" si="132"/>
        <v>#REF!</v>
      </c>
      <c r="AE215" s="179" t="e">
        <f t="shared" si="132"/>
        <v>#REF!</v>
      </c>
      <c r="AF215" s="179" t="e">
        <f t="shared" si="132"/>
        <v>#REF!</v>
      </c>
      <c r="AG215" s="179" t="e">
        <f t="shared" si="132"/>
        <v>#REF!</v>
      </c>
    </row>
    <row r="216" spans="1:33">
      <c r="A216" s="173" t="str">
        <f>A209</f>
        <v>BET</v>
      </c>
      <c r="B216" s="173" t="str">
        <f t="shared" si="131"/>
        <v>BET</v>
      </c>
      <c r="C216" s="179" t="e">
        <f t="shared" ref="C216:AG216" si="133">C209/($C$23*$C$30)</f>
        <v>#REF!</v>
      </c>
      <c r="D216" s="179" t="e">
        <f t="shared" si="133"/>
        <v>#REF!</v>
      </c>
      <c r="E216" s="179" t="e">
        <f t="shared" si="133"/>
        <v>#REF!</v>
      </c>
      <c r="F216" s="179" t="e">
        <f t="shared" si="133"/>
        <v>#REF!</v>
      </c>
      <c r="G216" s="179" t="e">
        <f t="shared" si="133"/>
        <v>#REF!</v>
      </c>
      <c r="H216" s="179" t="e">
        <f t="shared" si="133"/>
        <v>#REF!</v>
      </c>
      <c r="I216" s="179" t="e">
        <f t="shared" si="133"/>
        <v>#REF!</v>
      </c>
      <c r="J216" s="179" t="e">
        <f t="shared" si="133"/>
        <v>#REF!</v>
      </c>
      <c r="K216" s="179" t="e">
        <f t="shared" si="133"/>
        <v>#REF!</v>
      </c>
      <c r="L216" s="179" t="e">
        <f t="shared" si="133"/>
        <v>#REF!</v>
      </c>
      <c r="M216" s="179" t="e">
        <f t="shared" si="133"/>
        <v>#REF!</v>
      </c>
      <c r="N216" s="179" t="e">
        <f t="shared" si="133"/>
        <v>#REF!</v>
      </c>
      <c r="O216" s="179" t="e">
        <f t="shared" si="133"/>
        <v>#REF!</v>
      </c>
      <c r="P216" s="179" t="e">
        <f t="shared" si="133"/>
        <v>#REF!</v>
      </c>
      <c r="Q216" s="179" t="e">
        <f t="shared" si="133"/>
        <v>#REF!</v>
      </c>
      <c r="R216" s="179" t="e">
        <f t="shared" si="133"/>
        <v>#REF!</v>
      </c>
      <c r="S216" s="179" t="e">
        <f t="shared" si="133"/>
        <v>#REF!</v>
      </c>
      <c r="T216" s="179" t="e">
        <f t="shared" si="133"/>
        <v>#REF!</v>
      </c>
      <c r="U216" s="179" t="e">
        <f t="shared" si="133"/>
        <v>#REF!</v>
      </c>
      <c r="V216" s="179" t="e">
        <f t="shared" si="133"/>
        <v>#REF!</v>
      </c>
      <c r="W216" s="179" t="e">
        <f t="shared" si="133"/>
        <v>#REF!</v>
      </c>
      <c r="X216" s="179" t="e">
        <f t="shared" si="133"/>
        <v>#REF!</v>
      </c>
      <c r="Y216" s="179" t="e">
        <f t="shared" si="133"/>
        <v>#REF!</v>
      </c>
      <c r="Z216" s="179" t="e">
        <f t="shared" si="133"/>
        <v>#REF!</v>
      </c>
      <c r="AA216" s="179" t="e">
        <f t="shared" si="133"/>
        <v>#REF!</v>
      </c>
      <c r="AB216" s="179" t="e">
        <f t="shared" si="133"/>
        <v>#REF!</v>
      </c>
      <c r="AC216" s="179" t="e">
        <f t="shared" si="133"/>
        <v>#REF!</v>
      </c>
      <c r="AD216" s="179" t="e">
        <f t="shared" si="133"/>
        <v>#REF!</v>
      </c>
      <c r="AE216" s="179" t="e">
        <f t="shared" si="133"/>
        <v>#REF!</v>
      </c>
      <c r="AF216" s="179" t="e">
        <f t="shared" si="133"/>
        <v>#REF!</v>
      </c>
      <c r="AG216" s="179" t="e">
        <f t="shared" si="133"/>
        <v>#REF!</v>
      </c>
    </row>
    <row r="217" spans="1:33">
      <c r="A217" s="173" t="str">
        <f>A210</f>
        <v>FCET</v>
      </c>
      <c r="B217" s="173" t="str">
        <f t="shared" si="131"/>
        <v>FCET</v>
      </c>
      <c r="C217" s="179" t="e">
        <f t="shared" ref="C217:AG217" si="134">C210/($C$25*$C$30)</f>
        <v>#REF!</v>
      </c>
      <c r="D217" s="179" t="e">
        <f t="shared" si="134"/>
        <v>#REF!</v>
      </c>
      <c r="E217" s="179" t="e">
        <f t="shared" si="134"/>
        <v>#REF!</v>
      </c>
      <c r="F217" s="179" t="e">
        <f t="shared" si="134"/>
        <v>#REF!</v>
      </c>
      <c r="G217" s="179" t="e">
        <f t="shared" si="134"/>
        <v>#REF!</v>
      </c>
      <c r="H217" s="179" t="e">
        <f t="shared" si="134"/>
        <v>#REF!</v>
      </c>
      <c r="I217" s="179" t="e">
        <f t="shared" si="134"/>
        <v>#REF!</v>
      </c>
      <c r="J217" s="179" t="e">
        <f t="shared" si="134"/>
        <v>#REF!</v>
      </c>
      <c r="K217" s="179" t="e">
        <f t="shared" si="134"/>
        <v>#REF!</v>
      </c>
      <c r="L217" s="179" t="e">
        <f t="shared" si="134"/>
        <v>#REF!</v>
      </c>
      <c r="M217" s="179" t="e">
        <f t="shared" si="134"/>
        <v>#REF!</v>
      </c>
      <c r="N217" s="179" t="e">
        <f t="shared" si="134"/>
        <v>#REF!</v>
      </c>
      <c r="O217" s="179" t="e">
        <f t="shared" si="134"/>
        <v>#REF!</v>
      </c>
      <c r="P217" s="179" t="e">
        <f t="shared" si="134"/>
        <v>#REF!</v>
      </c>
      <c r="Q217" s="179" t="e">
        <f t="shared" si="134"/>
        <v>#REF!</v>
      </c>
      <c r="R217" s="179" t="e">
        <f t="shared" si="134"/>
        <v>#REF!</v>
      </c>
      <c r="S217" s="179" t="e">
        <f t="shared" si="134"/>
        <v>#REF!</v>
      </c>
      <c r="T217" s="179" t="e">
        <f t="shared" si="134"/>
        <v>#REF!</v>
      </c>
      <c r="U217" s="179" t="e">
        <f t="shared" si="134"/>
        <v>#REF!</v>
      </c>
      <c r="V217" s="179" t="e">
        <f t="shared" si="134"/>
        <v>#REF!</v>
      </c>
      <c r="W217" s="179" t="e">
        <f t="shared" si="134"/>
        <v>#REF!</v>
      </c>
      <c r="X217" s="179" t="e">
        <f t="shared" si="134"/>
        <v>#REF!</v>
      </c>
      <c r="Y217" s="179" t="e">
        <f t="shared" si="134"/>
        <v>#REF!</v>
      </c>
      <c r="Z217" s="179" t="e">
        <f t="shared" si="134"/>
        <v>#REF!</v>
      </c>
      <c r="AA217" s="179" t="e">
        <f t="shared" si="134"/>
        <v>#REF!</v>
      </c>
      <c r="AB217" s="179" t="e">
        <f t="shared" si="134"/>
        <v>#REF!</v>
      </c>
      <c r="AC217" s="179" t="e">
        <f t="shared" si="134"/>
        <v>#REF!</v>
      </c>
      <c r="AD217" s="179" t="e">
        <f t="shared" si="134"/>
        <v>#REF!</v>
      </c>
      <c r="AE217" s="179" t="e">
        <f t="shared" si="134"/>
        <v>#REF!</v>
      </c>
      <c r="AF217" s="179" t="e">
        <f t="shared" si="134"/>
        <v>#REF!</v>
      </c>
      <c r="AG217" s="179" t="e">
        <f t="shared" si="134"/>
        <v>#REF!</v>
      </c>
    </row>
    <row r="218" spans="1:33">
      <c r="A218" s="173" t="s">
        <v>334</v>
      </c>
      <c r="C218" s="179" t="e">
        <f t="shared" ref="C218:AG218" si="135">C214*0.9</f>
        <v>#REF!</v>
      </c>
      <c r="D218" s="179" t="e">
        <f t="shared" si="135"/>
        <v>#REF!</v>
      </c>
      <c r="E218" s="179" t="e">
        <f t="shared" si="135"/>
        <v>#REF!</v>
      </c>
      <c r="F218" s="179" t="e">
        <f t="shared" si="135"/>
        <v>#REF!</v>
      </c>
      <c r="G218" s="179" t="e">
        <f t="shared" si="135"/>
        <v>#REF!</v>
      </c>
      <c r="H218" s="179" t="e">
        <f t="shared" si="135"/>
        <v>#REF!</v>
      </c>
      <c r="I218" s="179" t="e">
        <f t="shared" si="135"/>
        <v>#REF!</v>
      </c>
      <c r="J218" s="179" t="e">
        <f t="shared" si="135"/>
        <v>#REF!</v>
      </c>
      <c r="K218" s="179" t="e">
        <f t="shared" si="135"/>
        <v>#REF!</v>
      </c>
      <c r="L218" s="179" t="e">
        <f t="shared" si="135"/>
        <v>#REF!</v>
      </c>
      <c r="M218" s="179" t="e">
        <f t="shared" si="135"/>
        <v>#REF!</v>
      </c>
      <c r="N218" s="179" t="e">
        <f t="shared" si="135"/>
        <v>#REF!</v>
      </c>
      <c r="O218" s="179" t="e">
        <f t="shared" si="135"/>
        <v>#REF!</v>
      </c>
      <c r="P218" s="179" t="e">
        <f t="shared" si="135"/>
        <v>#REF!</v>
      </c>
      <c r="Q218" s="179" t="e">
        <f t="shared" si="135"/>
        <v>#REF!</v>
      </c>
      <c r="R218" s="179" t="e">
        <f t="shared" si="135"/>
        <v>#REF!</v>
      </c>
      <c r="S218" s="179" t="e">
        <f t="shared" si="135"/>
        <v>#REF!</v>
      </c>
      <c r="T218" s="179" t="e">
        <f t="shared" si="135"/>
        <v>#REF!</v>
      </c>
      <c r="U218" s="179" t="e">
        <f t="shared" si="135"/>
        <v>#REF!</v>
      </c>
      <c r="V218" s="179" t="e">
        <f t="shared" si="135"/>
        <v>#REF!</v>
      </c>
      <c r="W218" s="179" t="e">
        <f t="shared" si="135"/>
        <v>#REF!</v>
      </c>
      <c r="X218" s="179" t="e">
        <f t="shared" si="135"/>
        <v>#REF!</v>
      </c>
      <c r="Y218" s="179" t="e">
        <f t="shared" si="135"/>
        <v>#REF!</v>
      </c>
      <c r="Z218" s="179" t="e">
        <f t="shared" si="135"/>
        <v>#REF!</v>
      </c>
      <c r="AA218" s="179" t="e">
        <f t="shared" si="135"/>
        <v>#REF!</v>
      </c>
      <c r="AB218" s="179" t="e">
        <f t="shared" si="135"/>
        <v>#REF!</v>
      </c>
      <c r="AC218" s="179" t="e">
        <f t="shared" si="135"/>
        <v>#REF!</v>
      </c>
      <c r="AD218" s="179" t="e">
        <f t="shared" si="135"/>
        <v>#REF!</v>
      </c>
      <c r="AE218" s="179" t="e">
        <f t="shared" si="135"/>
        <v>#REF!</v>
      </c>
      <c r="AF218" s="179" t="e">
        <f t="shared" si="135"/>
        <v>#REF!</v>
      </c>
      <c r="AG218" s="179" t="e">
        <f t="shared" si="135"/>
        <v>#REF!</v>
      </c>
    </row>
    <row r="219" spans="1:33"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</row>
    <row r="220" spans="1:33">
      <c r="A220" s="235" t="s">
        <v>337</v>
      </c>
      <c r="B220" s="235"/>
      <c r="C220" s="235">
        <v>2025</v>
      </c>
      <c r="D220" s="235">
        <f t="shared" ref="D220:AG220" si="136">C220+1</f>
        <v>2026</v>
      </c>
      <c r="E220" s="235">
        <f t="shared" si="136"/>
        <v>2027</v>
      </c>
      <c r="F220" s="235">
        <f t="shared" si="136"/>
        <v>2028</v>
      </c>
      <c r="G220" s="235">
        <f t="shared" si="136"/>
        <v>2029</v>
      </c>
      <c r="H220" s="235">
        <f t="shared" si="136"/>
        <v>2030</v>
      </c>
      <c r="I220" s="235">
        <f t="shared" si="136"/>
        <v>2031</v>
      </c>
      <c r="J220" s="235">
        <f t="shared" si="136"/>
        <v>2032</v>
      </c>
      <c r="K220" s="235">
        <f t="shared" si="136"/>
        <v>2033</v>
      </c>
      <c r="L220" s="235">
        <f t="shared" si="136"/>
        <v>2034</v>
      </c>
      <c r="M220" s="235">
        <f t="shared" si="136"/>
        <v>2035</v>
      </c>
      <c r="N220" s="235">
        <f t="shared" si="136"/>
        <v>2036</v>
      </c>
      <c r="O220" s="235">
        <f t="shared" si="136"/>
        <v>2037</v>
      </c>
      <c r="P220" s="235">
        <f t="shared" si="136"/>
        <v>2038</v>
      </c>
      <c r="Q220" s="235">
        <f t="shared" si="136"/>
        <v>2039</v>
      </c>
      <c r="R220" s="235">
        <f t="shared" si="136"/>
        <v>2040</v>
      </c>
      <c r="S220" s="235">
        <f t="shared" si="136"/>
        <v>2041</v>
      </c>
      <c r="T220" s="235">
        <f t="shared" si="136"/>
        <v>2042</v>
      </c>
      <c r="U220" s="235">
        <f t="shared" si="136"/>
        <v>2043</v>
      </c>
      <c r="V220" s="235">
        <f t="shared" si="136"/>
        <v>2044</v>
      </c>
      <c r="W220" s="235">
        <f t="shared" si="136"/>
        <v>2045</v>
      </c>
      <c r="X220" s="235">
        <f t="shared" si="136"/>
        <v>2046</v>
      </c>
      <c r="Y220" s="235">
        <f t="shared" si="136"/>
        <v>2047</v>
      </c>
      <c r="Z220" s="235">
        <f t="shared" si="136"/>
        <v>2048</v>
      </c>
      <c r="AA220" s="235">
        <f t="shared" si="136"/>
        <v>2049</v>
      </c>
      <c r="AB220" s="235">
        <f t="shared" si="136"/>
        <v>2050</v>
      </c>
      <c r="AC220" s="235">
        <f t="shared" si="136"/>
        <v>2051</v>
      </c>
      <c r="AD220" s="235">
        <f t="shared" si="136"/>
        <v>2052</v>
      </c>
      <c r="AE220" s="235">
        <f t="shared" si="136"/>
        <v>2053</v>
      </c>
      <c r="AF220" s="235">
        <f t="shared" si="136"/>
        <v>2054</v>
      </c>
      <c r="AG220" s="235">
        <f t="shared" si="136"/>
        <v>2055</v>
      </c>
    </row>
    <row r="221" spans="1:33">
      <c r="A221" s="173" t="str">
        <f>A205</f>
        <v xml:space="preserve">Diesel   </v>
      </c>
      <c r="C221" s="280" t="e">
        <f t="shared" ref="C221:AG221" si="137">C205/C209</f>
        <v>#REF!</v>
      </c>
      <c r="D221" s="280" t="e">
        <f t="shared" si="137"/>
        <v>#REF!</v>
      </c>
      <c r="E221" s="280" t="e">
        <f t="shared" si="137"/>
        <v>#REF!</v>
      </c>
      <c r="F221" s="280" t="e">
        <f t="shared" si="137"/>
        <v>#REF!</v>
      </c>
      <c r="G221" s="280" t="e">
        <f t="shared" si="137"/>
        <v>#REF!</v>
      </c>
      <c r="H221" s="280" t="e">
        <f t="shared" si="137"/>
        <v>#REF!</v>
      </c>
      <c r="I221" s="280" t="e">
        <f t="shared" si="137"/>
        <v>#REF!</v>
      </c>
      <c r="J221" s="280" t="e">
        <f t="shared" si="137"/>
        <v>#REF!</v>
      </c>
      <c r="K221" s="280" t="e">
        <f t="shared" si="137"/>
        <v>#REF!</v>
      </c>
      <c r="L221" s="280" t="e">
        <f t="shared" si="137"/>
        <v>#REF!</v>
      </c>
      <c r="M221" s="280" t="e">
        <f t="shared" si="137"/>
        <v>#REF!</v>
      </c>
      <c r="N221" s="280" t="e">
        <f t="shared" si="137"/>
        <v>#REF!</v>
      </c>
      <c r="O221" s="280" t="e">
        <f t="shared" si="137"/>
        <v>#REF!</v>
      </c>
      <c r="P221" s="280" t="e">
        <f t="shared" si="137"/>
        <v>#REF!</v>
      </c>
      <c r="Q221" s="280" t="e">
        <f t="shared" si="137"/>
        <v>#REF!</v>
      </c>
      <c r="R221" s="280" t="e">
        <f t="shared" si="137"/>
        <v>#REF!</v>
      </c>
      <c r="S221" s="280" t="e">
        <f t="shared" si="137"/>
        <v>#REF!</v>
      </c>
      <c r="T221" s="280" t="e">
        <f t="shared" si="137"/>
        <v>#REF!</v>
      </c>
      <c r="U221" s="280" t="e">
        <f t="shared" si="137"/>
        <v>#REF!</v>
      </c>
      <c r="V221" s="280" t="e">
        <f t="shared" si="137"/>
        <v>#REF!</v>
      </c>
      <c r="W221" s="280" t="e">
        <f t="shared" si="137"/>
        <v>#REF!</v>
      </c>
      <c r="X221" s="280" t="e">
        <f t="shared" si="137"/>
        <v>#REF!</v>
      </c>
      <c r="Y221" s="280" t="e">
        <f t="shared" si="137"/>
        <v>#REF!</v>
      </c>
      <c r="Z221" s="280" t="e">
        <f t="shared" si="137"/>
        <v>#REF!</v>
      </c>
      <c r="AA221" s="280" t="e">
        <f t="shared" si="137"/>
        <v>#REF!</v>
      </c>
      <c r="AB221" s="280" t="e">
        <f t="shared" si="137"/>
        <v>#REF!</v>
      </c>
      <c r="AC221" s="280" t="e">
        <f t="shared" si="137"/>
        <v>#REF!</v>
      </c>
      <c r="AD221" s="280" t="e">
        <f t="shared" si="137"/>
        <v>#REF!</v>
      </c>
      <c r="AE221" s="280" t="e">
        <f t="shared" si="137"/>
        <v>#REF!</v>
      </c>
      <c r="AF221" s="280" t="e">
        <f t="shared" si="137"/>
        <v>#REF!</v>
      </c>
      <c r="AG221" s="280" t="e">
        <f t="shared" si="137"/>
        <v>#REF!</v>
      </c>
    </row>
    <row r="222" spans="1:33">
      <c r="A222" s="173" t="str">
        <f>A208</f>
        <v>H2-ICE</v>
      </c>
      <c r="C222" s="280" t="e">
        <f t="shared" ref="C222:AG222" si="138">C208/C209</f>
        <v>#REF!</v>
      </c>
      <c r="D222" s="280" t="e">
        <f t="shared" si="138"/>
        <v>#REF!</v>
      </c>
      <c r="E222" s="280" t="e">
        <f t="shared" si="138"/>
        <v>#REF!</v>
      </c>
      <c r="F222" s="280" t="e">
        <f t="shared" si="138"/>
        <v>#REF!</v>
      </c>
      <c r="G222" s="280" t="e">
        <f t="shared" si="138"/>
        <v>#REF!</v>
      </c>
      <c r="H222" s="280" t="e">
        <f t="shared" si="138"/>
        <v>#REF!</v>
      </c>
      <c r="I222" s="280" t="e">
        <f t="shared" si="138"/>
        <v>#REF!</v>
      </c>
      <c r="J222" s="280" t="e">
        <f t="shared" si="138"/>
        <v>#REF!</v>
      </c>
      <c r="K222" s="280" t="e">
        <f t="shared" si="138"/>
        <v>#REF!</v>
      </c>
      <c r="L222" s="280" t="e">
        <f t="shared" si="138"/>
        <v>#REF!</v>
      </c>
      <c r="M222" s="280" t="e">
        <f t="shared" si="138"/>
        <v>#REF!</v>
      </c>
      <c r="N222" s="280" t="e">
        <f t="shared" si="138"/>
        <v>#REF!</v>
      </c>
      <c r="O222" s="280" t="e">
        <f t="shared" si="138"/>
        <v>#REF!</v>
      </c>
      <c r="P222" s="280" t="e">
        <f t="shared" si="138"/>
        <v>#REF!</v>
      </c>
      <c r="Q222" s="280" t="e">
        <f t="shared" si="138"/>
        <v>#REF!</v>
      </c>
      <c r="R222" s="280" t="e">
        <f t="shared" si="138"/>
        <v>#REF!</v>
      </c>
      <c r="S222" s="280" t="e">
        <f t="shared" si="138"/>
        <v>#REF!</v>
      </c>
      <c r="T222" s="280" t="e">
        <f t="shared" si="138"/>
        <v>#REF!</v>
      </c>
      <c r="U222" s="280" t="e">
        <f t="shared" si="138"/>
        <v>#REF!</v>
      </c>
      <c r="V222" s="280" t="e">
        <f t="shared" si="138"/>
        <v>#REF!</v>
      </c>
      <c r="W222" s="280" t="e">
        <f t="shared" si="138"/>
        <v>#REF!</v>
      </c>
      <c r="X222" s="280" t="e">
        <f t="shared" si="138"/>
        <v>#REF!</v>
      </c>
      <c r="Y222" s="280" t="e">
        <f t="shared" si="138"/>
        <v>#REF!</v>
      </c>
      <c r="Z222" s="280" t="e">
        <f t="shared" si="138"/>
        <v>#REF!</v>
      </c>
      <c r="AA222" s="280" t="e">
        <f t="shared" si="138"/>
        <v>#REF!</v>
      </c>
      <c r="AB222" s="280" t="e">
        <f t="shared" si="138"/>
        <v>#REF!</v>
      </c>
      <c r="AC222" s="280" t="e">
        <f t="shared" si="138"/>
        <v>#REF!</v>
      </c>
      <c r="AD222" s="280" t="e">
        <f t="shared" si="138"/>
        <v>#REF!</v>
      </c>
      <c r="AE222" s="280" t="e">
        <f t="shared" si="138"/>
        <v>#REF!</v>
      </c>
      <c r="AF222" s="280" t="e">
        <f t="shared" si="138"/>
        <v>#REF!</v>
      </c>
      <c r="AG222" s="280" t="e">
        <f t="shared" si="138"/>
        <v>#REF!</v>
      </c>
    </row>
    <row r="223" spans="1:33">
      <c r="A223" s="173" t="str">
        <f>A210</f>
        <v>FCET</v>
      </c>
      <c r="C223" s="280" t="e">
        <f t="shared" ref="C223:AG223" si="139">C210/C209</f>
        <v>#REF!</v>
      </c>
      <c r="D223" s="280" t="e">
        <f t="shared" si="139"/>
        <v>#REF!</v>
      </c>
      <c r="E223" s="280" t="e">
        <f t="shared" si="139"/>
        <v>#REF!</v>
      </c>
      <c r="F223" s="280" t="e">
        <f t="shared" si="139"/>
        <v>#REF!</v>
      </c>
      <c r="G223" s="280" t="e">
        <f t="shared" si="139"/>
        <v>#REF!</v>
      </c>
      <c r="H223" s="280" t="e">
        <f t="shared" si="139"/>
        <v>#REF!</v>
      </c>
      <c r="I223" s="280" t="e">
        <f t="shared" si="139"/>
        <v>#REF!</v>
      </c>
      <c r="J223" s="280" t="e">
        <f t="shared" si="139"/>
        <v>#REF!</v>
      </c>
      <c r="K223" s="280" t="e">
        <f t="shared" si="139"/>
        <v>#REF!</v>
      </c>
      <c r="L223" s="280" t="e">
        <f t="shared" si="139"/>
        <v>#REF!</v>
      </c>
      <c r="M223" s="280" t="e">
        <f t="shared" si="139"/>
        <v>#REF!</v>
      </c>
      <c r="N223" s="280" t="e">
        <f t="shared" si="139"/>
        <v>#REF!</v>
      </c>
      <c r="O223" s="280" t="e">
        <f t="shared" si="139"/>
        <v>#REF!</v>
      </c>
      <c r="P223" s="280" t="e">
        <f t="shared" si="139"/>
        <v>#REF!</v>
      </c>
      <c r="Q223" s="280" t="e">
        <f t="shared" si="139"/>
        <v>#REF!</v>
      </c>
      <c r="R223" s="280" t="e">
        <f t="shared" si="139"/>
        <v>#REF!</v>
      </c>
      <c r="S223" s="280" t="e">
        <f t="shared" si="139"/>
        <v>#REF!</v>
      </c>
      <c r="T223" s="280" t="e">
        <f t="shared" si="139"/>
        <v>#REF!</v>
      </c>
      <c r="U223" s="280" t="e">
        <f t="shared" si="139"/>
        <v>#REF!</v>
      </c>
      <c r="V223" s="280" t="e">
        <f t="shared" si="139"/>
        <v>#REF!</v>
      </c>
      <c r="W223" s="280" t="e">
        <f t="shared" si="139"/>
        <v>#REF!</v>
      </c>
      <c r="X223" s="280" t="e">
        <f t="shared" si="139"/>
        <v>#REF!</v>
      </c>
      <c r="Y223" s="280" t="e">
        <f t="shared" si="139"/>
        <v>#REF!</v>
      </c>
      <c r="Z223" s="280" t="e">
        <f t="shared" si="139"/>
        <v>#REF!</v>
      </c>
      <c r="AA223" s="280" t="e">
        <f t="shared" si="139"/>
        <v>#REF!</v>
      </c>
      <c r="AB223" s="280" t="e">
        <f t="shared" si="139"/>
        <v>#REF!</v>
      </c>
      <c r="AC223" s="280" t="e">
        <f t="shared" si="139"/>
        <v>#REF!</v>
      </c>
      <c r="AD223" s="280" t="e">
        <f t="shared" si="139"/>
        <v>#REF!</v>
      </c>
      <c r="AE223" s="280" t="e">
        <f t="shared" si="139"/>
        <v>#REF!</v>
      </c>
      <c r="AF223" s="280" t="e">
        <f t="shared" si="139"/>
        <v>#REF!</v>
      </c>
      <c r="AG223" s="280" t="e">
        <f t="shared" si="139"/>
        <v>#REF!</v>
      </c>
    </row>
    <row r="224" spans="1:33"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</row>
    <row r="226" spans="1:7">
      <c r="A226" s="281"/>
      <c r="C226" s="173"/>
    </row>
    <row r="227" spans="1:7">
      <c r="C227" s="179"/>
      <c r="D227" s="179"/>
      <c r="E227" s="179"/>
      <c r="F227" s="179"/>
      <c r="G227" s="179"/>
    </row>
    <row r="228" spans="1:7">
      <c r="C228" s="179"/>
      <c r="D228" s="179"/>
      <c r="E228" s="179"/>
      <c r="F228" s="179"/>
      <c r="G228" s="179"/>
    </row>
    <row r="229" spans="1:7">
      <c r="C229" s="179"/>
      <c r="D229" s="179"/>
      <c r="E229" s="179"/>
      <c r="F229" s="179"/>
      <c r="G229" s="179"/>
    </row>
  </sheetData>
  <mergeCells count="1">
    <mergeCell ref="C71:G71"/>
  </mergeCells>
  <conditionalFormatting sqref="C19:C20">
    <cfRule type="expression" dxfId="1" priority="1">
      <formula>$C$19&lt;$G$81</formula>
    </cfRule>
  </conditionalFormatting>
  <dataValidations disablePrompts="1" count="2">
    <dataValidation type="list" allowBlank="1" showInputMessage="1" showErrorMessage="1" sqref="B5" xr:uid="{00000000-0002-0000-0800-000000000000}">
      <formula1>$H$1:$H$2</formula1>
    </dataValidation>
    <dataValidation type="list" allowBlank="1" showInputMessage="1" showErrorMessage="1" sqref="B4" xr:uid="{00000000-0002-0000-0800-000001000000}">
      <formula1>$A$149:$A$150</formula1>
    </dataValidation>
  </dataValidations>
  <hyperlinks>
    <hyperlink ref="M8" r:id="rId1" xr:uid="{00000000-0004-0000-0800-000000000000}"/>
  </hyperlinks>
  <pageMargins left="0.7" right="0.7" top="0.75" bottom="0.75" header="0.3" footer="0.3"/>
  <pageSetup orientation="portrait" horizontalDpi="0" verticalDpi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29"/>
  <sheetViews>
    <sheetView zoomScale="110" zoomScaleNormal="110" workbookViewId="0">
      <pane ySplit="5" topLeftCell="A6" activePane="bottomLeft" state="frozen"/>
      <selection activeCell="C97" sqref="C97:AG97"/>
      <selection pane="bottomLeft" activeCell="C97" sqref="C97:AG97"/>
    </sheetView>
  </sheetViews>
  <sheetFormatPr defaultColWidth="9.109375" defaultRowHeight="14.4"/>
  <cols>
    <col min="1" max="1" width="28.44140625" style="173" customWidth="1"/>
    <col min="2" max="2" width="29" style="173" customWidth="1"/>
    <col min="3" max="3" width="15.44140625" style="221" customWidth="1"/>
    <col min="4" max="6" width="15.88671875" style="173" customWidth="1"/>
    <col min="7" max="31" width="14.44140625" style="173" customWidth="1"/>
    <col min="32" max="33" width="12.109375" style="173" bestFit="1" customWidth="1"/>
    <col min="34" max="34" width="10.88671875" style="173" bestFit="1" customWidth="1"/>
    <col min="35" max="36" width="12.109375" style="173" bestFit="1" customWidth="1"/>
    <col min="37" max="16384" width="9.109375" style="173"/>
  </cols>
  <sheetData>
    <row r="1" spans="1:21">
      <c r="G1" s="222" t="s">
        <v>247</v>
      </c>
      <c r="H1" s="173" t="s">
        <v>247</v>
      </c>
    </row>
    <row r="2" spans="1:21">
      <c r="A2" s="173" t="s">
        <v>248</v>
      </c>
      <c r="B2" s="173" t="s">
        <v>439</v>
      </c>
      <c r="F2" s="222" t="s">
        <v>249</v>
      </c>
      <c r="G2" s="222" t="s">
        <v>250</v>
      </c>
      <c r="H2" s="173" t="s">
        <v>250</v>
      </c>
    </row>
    <row r="3" spans="1:21">
      <c r="A3" s="173" t="s">
        <v>251</v>
      </c>
      <c r="B3" s="173" t="s">
        <v>435</v>
      </c>
      <c r="F3" s="222" t="s">
        <v>252</v>
      </c>
    </row>
    <row r="4" spans="1:21">
      <c r="A4" s="173" t="s">
        <v>338</v>
      </c>
      <c r="B4" s="173" t="s">
        <v>339</v>
      </c>
    </row>
    <row r="5" spans="1:21">
      <c r="A5" s="173" t="s">
        <v>340</v>
      </c>
      <c r="B5" s="173" t="s">
        <v>250</v>
      </c>
    </row>
    <row r="6" spans="1:21" s="225" customFormat="1">
      <c r="A6" s="223" t="s">
        <v>253</v>
      </c>
      <c r="B6" s="223"/>
      <c r="C6" s="224"/>
    </row>
    <row r="7" spans="1:21" ht="15.6">
      <c r="A7" s="171" t="s">
        <v>4</v>
      </c>
      <c r="C7" s="174"/>
      <c r="D7" s="226"/>
      <c r="G7" s="171"/>
      <c r="H7" s="171"/>
      <c r="I7" s="172" t="s">
        <v>178</v>
      </c>
      <c r="J7" s="172" t="s">
        <v>180</v>
      </c>
      <c r="K7" s="172" t="s">
        <v>238</v>
      </c>
      <c r="L7" s="172" t="s">
        <v>239</v>
      </c>
    </row>
    <row r="8" spans="1:21" ht="15.6">
      <c r="A8" s="171" t="s">
        <v>254</v>
      </c>
      <c r="B8" s="173" t="s">
        <v>255</v>
      </c>
      <c r="C8" s="227">
        <v>40</v>
      </c>
      <c r="D8" s="228" t="s">
        <v>169</v>
      </c>
      <c r="E8" s="228">
        <v>2</v>
      </c>
      <c r="G8" s="171" t="s">
        <v>240</v>
      </c>
      <c r="H8" s="171" t="s">
        <v>241</v>
      </c>
      <c r="I8" s="229">
        <v>45.5</v>
      </c>
      <c r="J8" s="174">
        <v>40</v>
      </c>
      <c r="K8" s="174">
        <v>120</v>
      </c>
      <c r="L8" s="174">
        <v>120</v>
      </c>
      <c r="M8" s="175" t="s">
        <v>242</v>
      </c>
    </row>
    <row r="9" spans="1:21" ht="15.6">
      <c r="A9" s="171" t="s">
        <v>365</v>
      </c>
      <c r="B9" s="173" t="s">
        <v>201</v>
      </c>
      <c r="C9" s="230">
        <v>1.22</v>
      </c>
      <c r="D9" s="228" t="s">
        <v>169</v>
      </c>
      <c r="E9" s="228"/>
      <c r="G9" s="171" t="s">
        <v>240</v>
      </c>
      <c r="H9" s="171" t="s">
        <v>243</v>
      </c>
      <c r="I9" s="176">
        <f>I8/3.6</f>
        <v>12.638888888888889</v>
      </c>
      <c r="J9" s="176">
        <f>J8/3.6</f>
        <v>11.111111111111111</v>
      </c>
      <c r="K9" s="176">
        <f>K8/3.6</f>
        <v>33.333333333333336</v>
      </c>
      <c r="L9" s="176">
        <f>L8/3.6</f>
        <v>33.333333333333336</v>
      </c>
    </row>
    <row r="10" spans="1:21" ht="15.6">
      <c r="A10" s="171" t="s">
        <v>366</v>
      </c>
      <c r="B10" s="173" t="s">
        <v>367</v>
      </c>
      <c r="C10" s="227">
        <v>3000</v>
      </c>
      <c r="D10" s="228" t="s">
        <v>169</v>
      </c>
      <c r="E10" s="228">
        <v>4</v>
      </c>
      <c r="G10" s="171" t="s">
        <v>244</v>
      </c>
      <c r="H10" s="171" t="s">
        <v>245</v>
      </c>
      <c r="I10" s="174">
        <v>0.85</v>
      </c>
      <c r="J10" s="177">
        <v>0.2</v>
      </c>
      <c r="K10" s="177">
        <f>0.06</f>
        <v>0.06</v>
      </c>
      <c r="L10" s="177">
        <f>0.06</f>
        <v>0.06</v>
      </c>
    </row>
    <row r="11" spans="1:21" ht="15.6">
      <c r="A11" s="171" t="s">
        <v>308</v>
      </c>
      <c r="B11" s="173" t="s">
        <v>257</v>
      </c>
      <c r="C11" s="301" t="e">
        <f>#REF!</f>
        <v>#REF!</v>
      </c>
      <c r="D11" s="228" t="s">
        <v>169</v>
      </c>
      <c r="E11" s="228">
        <v>5</v>
      </c>
      <c r="H11" s="173" t="s">
        <v>246</v>
      </c>
      <c r="I11" s="178">
        <f>I9*I10</f>
        <v>10.743055555555555</v>
      </c>
      <c r="J11" s="178">
        <f>J9*J10</f>
        <v>2.2222222222222223</v>
      </c>
      <c r="K11" s="178">
        <f t="shared" ref="K11:L11" si="0">K9*K10</f>
        <v>2</v>
      </c>
      <c r="L11" s="178">
        <f t="shared" si="0"/>
        <v>2</v>
      </c>
    </row>
    <row r="12" spans="1:21" ht="15.6">
      <c r="A12" s="171" t="s">
        <v>368</v>
      </c>
      <c r="B12" s="173" t="s">
        <v>257</v>
      </c>
      <c r="C12" s="301" t="e">
        <f>#REF!</f>
        <v>#REF!</v>
      </c>
      <c r="D12" s="228" t="s">
        <v>169</v>
      </c>
      <c r="E12" s="228">
        <v>6</v>
      </c>
    </row>
    <row r="13" spans="1:21" ht="15.6">
      <c r="A13" s="171" t="s">
        <v>369</v>
      </c>
      <c r="B13" s="173" t="s">
        <v>370</v>
      </c>
      <c r="C13" s="230">
        <v>0.05</v>
      </c>
      <c r="D13" s="228" t="s">
        <v>169</v>
      </c>
      <c r="E13" s="228">
        <v>7</v>
      </c>
    </row>
    <row r="14" spans="1:21" ht="15.6">
      <c r="A14" s="171" t="s">
        <v>371</v>
      </c>
      <c r="B14" s="173" t="s">
        <v>257</v>
      </c>
      <c r="C14" s="301" t="e">
        <f>#REF!</f>
        <v>#REF!</v>
      </c>
      <c r="D14" s="228" t="s">
        <v>169</v>
      </c>
      <c r="E14" s="228">
        <v>8</v>
      </c>
    </row>
    <row r="15" spans="1:21" ht="15.6">
      <c r="A15" s="171" t="s">
        <v>372</v>
      </c>
      <c r="B15" s="173" t="s">
        <v>257</v>
      </c>
      <c r="C15" s="302" t="e">
        <f>#REF!</f>
        <v>#REF!</v>
      </c>
      <c r="D15" s="228" t="s">
        <v>169</v>
      </c>
      <c r="E15" s="228">
        <v>9</v>
      </c>
      <c r="S15" s="173" t="s">
        <v>341</v>
      </c>
      <c r="T15" s="173" t="s">
        <v>342</v>
      </c>
      <c r="U15" s="173" t="s">
        <v>343</v>
      </c>
    </row>
    <row r="16" spans="1:21" ht="15.6">
      <c r="A16" s="171" t="s">
        <v>373</v>
      </c>
      <c r="B16" s="173" t="s">
        <v>273</v>
      </c>
      <c r="C16" s="302" t="e">
        <f>#REF!</f>
        <v>#REF!</v>
      </c>
      <c r="D16" s="228"/>
      <c r="E16" s="228"/>
      <c r="S16" s="173">
        <v>800</v>
      </c>
      <c r="T16" s="173">
        <v>2028</v>
      </c>
      <c r="U16" s="173">
        <v>2034</v>
      </c>
    </row>
    <row r="17" spans="1:21" ht="15.6">
      <c r="A17" s="171" t="s">
        <v>374</v>
      </c>
      <c r="B17" s="173" t="s">
        <v>194</v>
      </c>
      <c r="C17" s="227">
        <v>65</v>
      </c>
      <c r="D17" s="228" t="s">
        <v>169</v>
      </c>
      <c r="E17" s="228">
        <v>10</v>
      </c>
      <c r="S17" s="173">
        <v>500</v>
      </c>
      <c r="T17" s="173">
        <v>2029</v>
      </c>
      <c r="U17" s="173">
        <v>2035</v>
      </c>
    </row>
    <row r="18" spans="1:21" ht="15.6">
      <c r="A18" s="171" t="s">
        <v>375</v>
      </c>
      <c r="B18" s="173" t="s">
        <v>194</v>
      </c>
      <c r="C18" s="227">
        <v>350</v>
      </c>
      <c r="D18" s="228" t="s">
        <v>169</v>
      </c>
      <c r="E18" s="228">
        <v>11</v>
      </c>
    </row>
    <row r="19" spans="1:21" ht="15.6">
      <c r="A19" s="171" t="s">
        <v>263</v>
      </c>
      <c r="B19" s="173" t="s">
        <v>193</v>
      </c>
      <c r="C19" s="301" t="e">
        <f>#REF!</f>
        <v>#REF!</v>
      </c>
      <c r="D19" s="228" t="s">
        <v>169</v>
      </c>
      <c r="E19" s="228">
        <v>12</v>
      </c>
    </row>
    <row r="20" spans="1:21" ht="15.6">
      <c r="A20" s="171" t="s">
        <v>376</v>
      </c>
      <c r="B20" s="173" t="s">
        <v>377</v>
      </c>
      <c r="C20" s="227">
        <v>39756</v>
      </c>
      <c r="D20" s="228"/>
      <c r="E20" s="228"/>
    </row>
    <row r="21" spans="1:21" ht="15.6">
      <c r="A21" s="171" t="s">
        <v>266</v>
      </c>
      <c r="B21" s="173" t="s">
        <v>194</v>
      </c>
      <c r="C21" s="301" t="e">
        <f>#REF!</f>
        <v>#REF!</v>
      </c>
      <c r="D21" s="228" t="s">
        <v>169</v>
      </c>
      <c r="E21" s="228">
        <v>13</v>
      </c>
    </row>
    <row r="22" spans="1:21" ht="15.6">
      <c r="A22" s="171" t="s">
        <v>268</v>
      </c>
      <c r="B22" s="173" t="s">
        <v>193</v>
      </c>
      <c r="C22" s="301" t="e">
        <f>#REF!</f>
        <v>#REF!</v>
      </c>
      <c r="D22" s="228" t="s">
        <v>169</v>
      </c>
      <c r="E22" s="228">
        <v>14</v>
      </c>
    </row>
    <row r="23" spans="1:21" ht="15.6">
      <c r="A23" s="171" t="s">
        <v>378</v>
      </c>
      <c r="B23" s="173" t="s">
        <v>255</v>
      </c>
      <c r="C23" s="302" t="e">
        <f>#REF!/1000</f>
        <v>#REF!</v>
      </c>
      <c r="D23" s="228" t="s">
        <v>169</v>
      </c>
      <c r="E23" s="228">
        <v>18</v>
      </c>
    </row>
    <row r="24" spans="1:21" ht="15.6">
      <c r="A24" s="293" t="s">
        <v>379</v>
      </c>
      <c r="B24" s="173" t="s">
        <v>255</v>
      </c>
      <c r="C24" s="302" t="e">
        <f>#REF!/1000</f>
        <v>#REF!</v>
      </c>
      <c r="D24" s="228" t="s">
        <v>169</v>
      </c>
      <c r="E24" s="228">
        <v>19</v>
      </c>
    </row>
    <row r="25" spans="1:21" ht="15.6">
      <c r="A25" s="171" t="s">
        <v>380</v>
      </c>
      <c r="B25" s="173" t="s">
        <v>255</v>
      </c>
      <c r="C25" s="302" t="e">
        <f>#REF!/1000</f>
        <v>#REF!</v>
      </c>
      <c r="D25" s="228" t="s">
        <v>169</v>
      </c>
      <c r="E25" s="228">
        <v>20</v>
      </c>
    </row>
    <row r="26" spans="1:21" ht="15.6">
      <c r="A26" s="171" t="s">
        <v>381</v>
      </c>
      <c r="B26" s="173" t="s">
        <v>255</v>
      </c>
      <c r="C26" s="302" t="e">
        <f>C24</f>
        <v>#REF!</v>
      </c>
      <c r="D26" s="228" t="s">
        <v>169</v>
      </c>
      <c r="E26" s="228">
        <v>21</v>
      </c>
    </row>
    <row r="27" spans="1:21" ht="15.6">
      <c r="A27" s="171" t="s">
        <v>382</v>
      </c>
      <c r="B27" s="173" t="s">
        <v>195</v>
      </c>
      <c r="C27" s="301" t="e">
        <f>#REF!</f>
        <v>#REF!</v>
      </c>
      <c r="D27" s="228" t="s">
        <v>275</v>
      </c>
      <c r="E27" s="228">
        <v>2</v>
      </c>
    </row>
    <row r="28" spans="1:21" ht="15.6">
      <c r="A28" s="171" t="s">
        <v>172</v>
      </c>
      <c r="B28" s="173" t="s">
        <v>196</v>
      </c>
      <c r="C28" s="301" t="e">
        <f>#REF!</f>
        <v>#REF!</v>
      </c>
      <c r="D28" s="228" t="s">
        <v>275</v>
      </c>
      <c r="E28" s="228">
        <v>3</v>
      </c>
    </row>
    <row r="29" spans="1:21" ht="15.6">
      <c r="A29" s="171" t="s">
        <v>174</v>
      </c>
      <c r="B29" s="173" t="s">
        <v>197</v>
      </c>
      <c r="C29" s="301" t="e">
        <f>#REF!</f>
        <v>#REF!</v>
      </c>
      <c r="D29" s="228" t="s">
        <v>275</v>
      </c>
      <c r="E29" s="228">
        <v>4</v>
      </c>
    </row>
    <row r="30" spans="1:21" ht="15.6">
      <c r="A30" s="171" t="s">
        <v>276</v>
      </c>
      <c r="B30" s="173" t="s">
        <v>198</v>
      </c>
      <c r="C30" s="303" t="e">
        <f>#REF!</f>
        <v>#REF!</v>
      </c>
      <c r="D30" s="228" t="s">
        <v>275</v>
      </c>
      <c r="E30" s="228">
        <v>5</v>
      </c>
    </row>
    <row r="31" spans="1:21" ht="15.6">
      <c r="A31" s="171" t="s">
        <v>383</v>
      </c>
      <c r="B31" s="173" t="s">
        <v>277</v>
      </c>
      <c r="C31" s="174">
        <v>7</v>
      </c>
      <c r="D31" s="228" t="s">
        <v>384</v>
      </c>
      <c r="E31" s="222"/>
    </row>
    <row r="32" spans="1:21" ht="15.6">
      <c r="A32" s="171" t="s">
        <v>385</v>
      </c>
      <c r="B32" s="173" t="s">
        <v>198</v>
      </c>
      <c r="C32" s="232">
        <v>0.03</v>
      </c>
      <c r="D32" s="228" t="s">
        <v>384</v>
      </c>
      <c r="E32" s="222"/>
    </row>
    <row r="33" spans="1:39" ht="15.6">
      <c r="A33" s="171" t="s">
        <v>344</v>
      </c>
      <c r="B33" s="173" t="s">
        <v>198</v>
      </c>
      <c r="C33" s="233">
        <v>0.12</v>
      </c>
      <c r="D33" s="228" t="s">
        <v>384</v>
      </c>
      <c r="E33" s="222"/>
    </row>
    <row r="34" spans="1:39" ht="15.6">
      <c r="A34" s="171" t="s">
        <v>221</v>
      </c>
      <c r="B34" s="173" t="s">
        <v>198</v>
      </c>
      <c r="C34" s="234">
        <v>0.02</v>
      </c>
      <c r="D34" s="228" t="s">
        <v>384</v>
      </c>
      <c r="E34" s="222"/>
    </row>
    <row r="35" spans="1:39" ht="15.6">
      <c r="A35" s="171" t="s">
        <v>386</v>
      </c>
      <c r="B35" s="173" t="s">
        <v>198</v>
      </c>
      <c r="C35" s="233">
        <v>0.7</v>
      </c>
      <c r="D35" s="228"/>
      <c r="E35" s="222"/>
    </row>
    <row r="36" spans="1:39">
      <c r="C36" s="173"/>
      <c r="D36" s="221"/>
      <c r="F36" s="221"/>
      <c r="H36" s="221"/>
      <c r="J36" s="221"/>
      <c r="L36" s="221"/>
      <c r="N36" s="221"/>
      <c r="P36" s="221"/>
      <c r="R36" s="221"/>
      <c r="T36" s="221"/>
      <c r="V36" s="221"/>
      <c r="X36" s="221"/>
      <c r="Z36" s="221"/>
      <c r="AB36" s="221"/>
      <c r="AC36" s="221"/>
      <c r="AD36" s="221"/>
      <c r="AE36" s="221"/>
      <c r="AF36" s="221"/>
      <c r="AG36" s="221"/>
    </row>
    <row r="37" spans="1:39" s="225" customFormat="1">
      <c r="A37" s="223" t="s">
        <v>286</v>
      </c>
      <c r="B37" s="223"/>
    </row>
    <row r="38" spans="1:39">
      <c r="A38" s="235" t="s">
        <v>41</v>
      </c>
      <c r="B38" s="235"/>
      <c r="C38" s="235">
        <v>2025</v>
      </c>
      <c r="D38" s="235">
        <f t="shared" ref="D38:AG38" si="1">C38+1</f>
        <v>2026</v>
      </c>
      <c r="E38" s="235">
        <f t="shared" si="1"/>
        <v>2027</v>
      </c>
      <c r="F38" s="235">
        <f t="shared" si="1"/>
        <v>2028</v>
      </c>
      <c r="G38" s="235">
        <f t="shared" si="1"/>
        <v>2029</v>
      </c>
      <c r="H38" s="235">
        <f t="shared" si="1"/>
        <v>2030</v>
      </c>
      <c r="I38" s="235">
        <f t="shared" si="1"/>
        <v>2031</v>
      </c>
      <c r="J38" s="235">
        <f t="shared" si="1"/>
        <v>2032</v>
      </c>
      <c r="K38" s="235">
        <f t="shared" si="1"/>
        <v>2033</v>
      </c>
      <c r="L38" s="235">
        <f t="shared" si="1"/>
        <v>2034</v>
      </c>
      <c r="M38" s="235">
        <f t="shared" si="1"/>
        <v>2035</v>
      </c>
      <c r="N38" s="235">
        <f t="shared" si="1"/>
        <v>2036</v>
      </c>
      <c r="O38" s="235">
        <f t="shared" si="1"/>
        <v>2037</v>
      </c>
      <c r="P38" s="235">
        <f t="shared" si="1"/>
        <v>2038</v>
      </c>
      <c r="Q38" s="235">
        <f t="shared" si="1"/>
        <v>2039</v>
      </c>
      <c r="R38" s="235">
        <f t="shared" si="1"/>
        <v>2040</v>
      </c>
      <c r="S38" s="235">
        <f t="shared" si="1"/>
        <v>2041</v>
      </c>
      <c r="T38" s="235">
        <f t="shared" si="1"/>
        <v>2042</v>
      </c>
      <c r="U38" s="235">
        <f t="shared" si="1"/>
        <v>2043</v>
      </c>
      <c r="V38" s="235">
        <f t="shared" si="1"/>
        <v>2044</v>
      </c>
      <c r="W38" s="235">
        <f t="shared" si="1"/>
        <v>2045</v>
      </c>
      <c r="X38" s="235">
        <f t="shared" si="1"/>
        <v>2046</v>
      </c>
      <c r="Y38" s="235">
        <f t="shared" si="1"/>
        <v>2047</v>
      </c>
      <c r="Z38" s="235">
        <f t="shared" si="1"/>
        <v>2048</v>
      </c>
      <c r="AA38" s="235">
        <f t="shared" si="1"/>
        <v>2049</v>
      </c>
      <c r="AB38" s="235">
        <f t="shared" si="1"/>
        <v>2050</v>
      </c>
      <c r="AC38" s="235">
        <f t="shared" si="1"/>
        <v>2051</v>
      </c>
      <c r="AD38" s="235">
        <f t="shared" si="1"/>
        <v>2052</v>
      </c>
      <c r="AE38" s="235">
        <f t="shared" si="1"/>
        <v>2053</v>
      </c>
      <c r="AF38" s="235">
        <f t="shared" si="1"/>
        <v>2054</v>
      </c>
      <c r="AG38" s="235">
        <f t="shared" si="1"/>
        <v>2055</v>
      </c>
      <c r="AH38" s="171" t="s">
        <v>387</v>
      </c>
    </row>
    <row r="39" spans="1:39">
      <c r="A39" s="171" t="s">
        <v>287</v>
      </c>
      <c r="B39" s="171" t="s">
        <v>288</v>
      </c>
      <c r="C39" s="236">
        <v>92</v>
      </c>
      <c r="D39" s="236">
        <f t="shared" ref="D39:S42" si="2">ROUND(C39*(1+$AH39),2)</f>
        <v>94.3</v>
      </c>
      <c r="E39" s="236">
        <f t="shared" si="2"/>
        <v>96.66</v>
      </c>
      <c r="F39" s="236">
        <f t="shared" si="2"/>
        <v>99.08</v>
      </c>
      <c r="G39" s="236">
        <f t="shared" si="2"/>
        <v>101.56</v>
      </c>
      <c r="H39" s="236">
        <f t="shared" si="2"/>
        <v>104.1</v>
      </c>
      <c r="I39" s="236">
        <f t="shared" si="2"/>
        <v>106.7</v>
      </c>
      <c r="J39" s="236">
        <f t="shared" si="2"/>
        <v>109.37</v>
      </c>
      <c r="K39" s="236">
        <f t="shared" si="2"/>
        <v>112.1</v>
      </c>
      <c r="L39" s="236">
        <f t="shared" si="2"/>
        <v>114.9</v>
      </c>
      <c r="M39" s="236">
        <f t="shared" si="2"/>
        <v>117.77</v>
      </c>
      <c r="N39" s="236">
        <f t="shared" si="2"/>
        <v>120.71</v>
      </c>
      <c r="O39" s="236">
        <f t="shared" si="2"/>
        <v>123.73</v>
      </c>
      <c r="P39" s="236">
        <f t="shared" si="2"/>
        <v>126.82</v>
      </c>
      <c r="Q39" s="236">
        <f t="shared" si="2"/>
        <v>129.99</v>
      </c>
      <c r="R39" s="236">
        <f t="shared" si="2"/>
        <v>133.24</v>
      </c>
      <c r="S39" s="236">
        <f t="shared" si="2"/>
        <v>136.57</v>
      </c>
      <c r="T39" s="236">
        <f t="shared" ref="T39:AG42" si="3">ROUND(S39*(1+$AH39),2)</f>
        <v>139.97999999999999</v>
      </c>
      <c r="U39" s="236">
        <f t="shared" si="3"/>
        <v>143.47999999999999</v>
      </c>
      <c r="V39" s="236">
        <f t="shared" si="3"/>
        <v>147.07</v>
      </c>
      <c r="W39" s="236">
        <f t="shared" si="3"/>
        <v>150.75</v>
      </c>
      <c r="X39" s="236">
        <f t="shared" si="3"/>
        <v>154.52000000000001</v>
      </c>
      <c r="Y39" s="236">
        <f t="shared" si="3"/>
        <v>158.38</v>
      </c>
      <c r="Z39" s="236">
        <f t="shared" si="3"/>
        <v>162.34</v>
      </c>
      <c r="AA39" s="236">
        <f t="shared" si="3"/>
        <v>166.4</v>
      </c>
      <c r="AB39" s="236">
        <f t="shared" si="3"/>
        <v>170.56</v>
      </c>
      <c r="AC39" s="236">
        <f t="shared" si="3"/>
        <v>174.82</v>
      </c>
      <c r="AD39" s="236">
        <f t="shared" si="3"/>
        <v>179.19</v>
      </c>
      <c r="AE39" s="236">
        <f t="shared" si="3"/>
        <v>183.67</v>
      </c>
      <c r="AF39" s="236">
        <f t="shared" si="3"/>
        <v>188.26</v>
      </c>
      <c r="AG39" s="236">
        <f t="shared" si="3"/>
        <v>192.97</v>
      </c>
      <c r="AH39" s="237">
        <v>2.5000000000000001E-2</v>
      </c>
    </row>
    <row r="40" spans="1:39">
      <c r="A40" s="171" t="s">
        <v>289</v>
      </c>
      <c r="B40" s="171" t="s">
        <v>288</v>
      </c>
      <c r="C40" s="236">
        <v>55</v>
      </c>
      <c r="D40" s="236">
        <f t="shared" si="2"/>
        <v>56.38</v>
      </c>
      <c r="E40" s="236">
        <f t="shared" si="2"/>
        <v>57.79</v>
      </c>
      <c r="F40" s="236">
        <f t="shared" si="2"/>
        <v>59.23</v>
      </c>
      <c r="G40" s="236">
        <f t="shared" si="2"/>
        <v>60.71</v>
      </c>
      <c r="H40" s="236">
        <f t="shared" si="2"/>
        <v>62.23</v>
      </c>
      <c r="I40" s="236">
        <f t="shared" si="2"/>
        <v>63.79</v>
      </c>
      <c r="J40" s="236">
        <f t="shared" si="2"/>
        <v>65.38</v>
      </c>
      <c r="K40" s="236">
        <f t="shared" si="2"/>
        <v>67.010000000000005</v>
      </c>
      <c r="L40" s="236">
        <f t="shared" si="2"/>
        <v>68.69</v>
      </c>
      <c r="M40" s="236">
        <f t="shared" si="2"/>
        <v>70.41</v>
      </c>
      <c r="N40" s="236">
        <f t="shared" si="2"/>
        <v>72.17</v>
      </c>
      <c r="O40" s="236">
        <f t="shared" si="2"/>
        <v>73.97</v>
      </c>
      <c r="P40" s="236">
        <f t="shared" si="2"/>
        <v>75.819999999999993</v>
      </c>
      <c r="Q40" s="236">
        <f t="shared" si="2"/>
        <v>77.72</v>
      </c>
      <c r="R40" s="236">
        <f t="shared" si="2"/>
        <v>79.66</v>
      </c>
      <c r="S40" s="236">
        <f t="shared" si="2"/>
        <v>81.650000000000006</v>
      </c>
      <c r="T40" s="236">
        <f t="shared" si="3"/>
        <v>83.69</v>
      </c>
      <c r="U40" s="236">
        <f t="shared" si="3"/>
        <v>85.78</v>
      </c>
      <c r="V40" s="236">
        <f t="shared" si="3"/>
        <v>87.92</v>
      </c>
      <c r="W40" s="236">
        <f t="shared" si="3"/>
        <v>90.12</v>
      </c>
      <c r="X40" s="236">
        <f t="shared" si="3"/>
        <v>92.37</v>
      </c>
      <c r="Y40" s="236">
        <f t="shared" si="3"/>
        <v>94.68</v>
      </c>
      <c r="Z40" s="236">
        <f t="shared" si="3"/>
        <v>97.05</v>
      </c>
      <c r="AA40" s="236">
        <f t="shared" si="3"/>
        <v>99.48</v>
      </c>
      <c r="AB40" s="236">
        <f t="shared" si="3"/>
        <v>101.97</v>
      </c>
      <c r="AC40" s="236">
        <f t="shared" si="3"/>
        <v>104.52</v>
      </c>
      <c r="AD40" s="236">
        <f t="shared" si="3"/>
        <v>107.13</v>
      </c>
      <c r="AE40" s="236">
        <f t="shared" si="3"/>
        <v>109.81</v>
      </c>
      <c r="AF40" s="236">
        <f t="shared" si="3"/>
        <v>112.56</v>
      </c>
      <c r="AG40" s="236">
        <f t="shared" si="3"/>
        <v>115.37</v>
      </c>
      <c r="AH40" s="237">
        <v>2.5000000000000001E-2</v>
      </c>
    </row>
    <row r="41" spans="1:39">
      <c r="A41" s="171" t="s">
        <v>179</v>
      </c>
      <c r="B41" s="171" t="s">
        <v>290</v>
      </c>
      <c r="C41" s="236">
        <v>87</v>
      </c>
      <c r="D41" s="236">
        <f>ROUND(C41*(1+$AH41),2)</f>
        <v>89.18</v>
      </c>
      <c r="E41" s="236">
        <f t="shared" si="2"/>
        <v>91.41</v>
      </c>
      <c r="F41" s="236">
        <f t="shared" si="2"/>
        <v>93.7</v>
      </c>
      <c r="G41" s="236">
        <f t="shared" si="2"/>
        <v>96.04</v>
      </c>
      <c r="H41" s="236">
        <f t="shared" si="2"/>
        <v>98.44</v>
      </c>
      <c r="I41" s="236">
        <f t="shared" si="2"/>
        <v>100.9</v>
      </c>
      <c r="J41" s="236">
        <f t="shared" si="2"/>
        <v>103.42</v>
      </c>
      <c r="K41" s="236">
        <f t="shared" si="2"/>
        <v>106.01</v>
      </c>
      <c r="L41" s="236">
        <f t="shared" si="2"/>
        <v>108.66</v>
      </c>
      <c r="M41" s="236">
        <f t="shared" si="2"/>
        <v>111.38</v>
      </c>
      <c r="N41" s="236">
        <f t="shared" si="2"/>
        <v>114.16</v>
      </c>
      <c r="O41" s="236">
        <f t="shared" si="2"/>
        <v>117.01</v>
      </c>
      <c r="P41" s="236">
        <f t="shared" si="2"/>
        <v>119.94</v>
      </c>
      <c r="Q41" s="236">
        <f t="shared" si="2"/>
        <v>122.94</v>
      </c>
      <c r="R41" s="236">
        <f t="shared" si="2"/>
        <v>126.01</v>
      </c>
      <c r="S41" s="236">
        <f t="shared" si="2"/>
        <v>129.16</v>
      </c>
      <c r="T41" s="236">
        <f t="shared" si="3"/>
        <v>132.38999999999999</v>
      </c>
      <c r="U41" s="236">
        <f t="shared" si="3"/>
        <v>135.69999999999999</v>
      </c>
      <c r="V41" s="236">
        <f t="shared" si="3"/>
        <v>139.09</v>
      </c>
      <c r="W41" s="236">
        <f t="shared" si="3"/>
        <v>142.57</v>
      </c>
      <c r="X41" s="236">
        <f t="shared" si="3"/>
        <v>146.13</v>
      </c>
      <c r="Y41" s="236">
        <f t="shared" si="3"/>
        <v>149.78</v>
      </c>
      <c r="Z41" s="236">
        <f t="shared" si="3"/>
        <v>153.52000000000001</v>
      </c>
      <c r="AA41" s="236">
        <f t="shared" si="3"/>
        <v>157.36000000000001</v>
      </c>
      <c r="AB41" s="236">
        <f t="shared" si="3"/>
        <v>161.29</v>
      </c>
      <c r="AC41" s="236">
        <f t="shared" si="3"/>
        <v>165.32</v>
      </c>
      <c r="AD41" s="236">
        <f t="shared" si="3"/>
        <v>169.45</v>
      </c>
      <c r="AE41" s="236">
        <f t="shared" si="3"/>
        <v>173.69</v>
      </c>
      <c r="AF41" s="236">
        <f t="shared" si="3"/>
        <v>178.03</v>
      </c>
      <c r="AG41" s="236">
        <f t="shared" si="3"/>
        <v>182.48</v>
      </c>
      <c r="AH41" s="239">
        <v>2.5000000000000001E-2</v>
      </c>
    </row>
    <row r="42" spans="1:39">
      <c r="A42" s="171" t="s">
        <v>180</v>
      </c>
      <c r="B42" s="171" t="s">
        <v>290</v>
      </c>
      <c r="C42" s="238">
        <f>C39*0.9</f>
        <v>82.8</v>
      </c>
      <c r="D42" s="238">
        <f>ROUND(C42*(1+$AH42),2)</f>
        <v>84.87</v>
      </c>
      <c r="E42" s="238">
        <f t="shared" si="2"/>
        <v>86.99</v>
      </c>
      <c r="F42" s="238">
        <f t="shared" si="2"/>
        <v>89.16</v>
      </c>
      <c r="G42" s="238">
        <f t="shared" si="2"/>
        <v>91.39</v>
      </c>
      <c r="H42" s="238">
        <f t="shared" si="2"/>
        <v>93.67</v>
      </c>
      <c r="I42" s="238">
        <f t="shared" si="2"/>
        <v>96.01</v>
      </c>
      <c r="J42" s="238">
        <f t="shared" si="2"/>
        <v>98.41</v>
      </c>
      <c r="K42" s="238">
        <f t="shared" si="2"/>
        <v>100.87</v>
      </c>
      <c r="L42" s="238">
        <f t="shared" si="2"/>
        <v>103.39</v>
      </c>
      <c r="M42" s="238">
        <f t="shared" si="2"/>
        <v>105.97</v>
      </c>
      <c r="N42" s="238">
        <f t="shared" si="2"/>
        <v>108.62</v>
      </c>
      <c r="O42" s="238">
        <f t="shared" si="2"/>
        <v>111.34</v>
      </c>
      <c r="P42" s="238">
        <f t="shared" si="2"/>
        <v>114.12</v>
      </c>
      <c r="Q42" s="238">
        <f t="shared" si="2"/>
        <v>116.97</v>
      </c>
      <c r="R42" s="238">
        <f t="shared" si="2"/>
        <v>119.89</v>
      </c>
      <c r="S42" s="238">
        <f t="shared" si="2"/>
        <v>122.89</v>
      </c>
      <c r="T42" s="238">
        <f t="shared" si="3"/>
        <v>125.96</v>
      </c>
      <c r="U42" s="238">
        <f t="shared" si="3"/>
        <v>129.11000000000001</v>
      </c>
      <c r="V42" s="238">
        <f t="shared" si="3"/>
        <v>132.34</v>
      </c>
      <c r="W42" s="238">
        <f t="shared" si="3"/>
        <v>135.65</v>
      </c>
      <c r="X42" s="238">
        <f t="shared" si="3"/>
        <v>139.04</v>
      </c>
      <c r="Y42" s="238">
        <f t="shared" si="3"/>
        <v>142.52000000000001</v>
      </c>
      <c r="Z42" s="238">
        <f t="shared" si="3"/>
        <v>146.08000000000001</v>
      </c>
      <c r="AA42" s="238">
        <f t="shared" si="3"/>
        <v>149.72999999999999</v>
      </c>
      <c r="AB42" s="238">
        <f t="shared" si="3"/>
        <v>153.47</v>
      </c>
      <c r="AC42" s="238">
        <f t="shared" si="3"/>
        <v>157.31</v>
      </c>
      <c r="AD42" s="238">
        <f t="shared" si="3"/>
        <v>161.24</v>
      </c>
      <c r="AE42" s="238">
        <f t="shared" si="3"/>
        <v>165.27</v>
      </c>
      <c r="AF42" s="238">
        <f t="shared" si="3"/>
        <v>169.4</v>
      </c>
      <c r="AG42" s="238">
        <f t="shared" si="3"/>
        <v>173.64</v>
      </c>
      <c r="AH42" s="239">
        <v>2.5000000000000001E-2</v>
      </c>
    </row>
    <row r="43" spans="1:39">
      <c r="A43" s="293" t="s">
        <v>291</v>
      </c>
      <c r="B43" s="171" t="s">
        <v>290</v>
      </c>
      <c r="C43" s="238">
        <v>600</v>
      </c>
      <c r="D43" s="238" t="e">
        <f>ROUND(C43*(1+$AH43),2)</f>
        <v>#REF!</v>
      </c>
      <c r="E43" s="238" t="e">
        <f>ROUND(D43*(1+$AH43),2)</f>
        <v>#REF!</v>
      </c>
      <c r="F43" s="238" t="e">
        <f>ROUND(E43*(1+$AH43),2)</f>
        <v>#REF!</v>
      </c>
      <c r="G43" s="238" t="e">
        <f>ROUND(F43*(1+$AH43),2)</f>
        <v>#REF!</v>
      </c>
      <c r="H43" s="238" t="e">
        <f>ROUND(G43*(1+$AH43),2)</f>
        <v>#REF!</v>
      </c>
      <c r="I43" s="238" t="e">
        <f t="shared" ref="I43:R43" si="4">ROUND(H43*(1+$AI43),2)</f>
        <v>#REF!</v>
      </c>
      <c r="J43" s="238" t="e">
        <f t="shared" si="4"/>
        <v>#REF!</v>
      </c>
      <c r="K43" s="238" t="e">
        <f t="shared" si="4"/>
        <v>#REF!</v>
      </c>
      <c r="L43" s="238" t="e">
        <f t="shared" si="4"/>
        <v>#REF!</v>
      </c>
      <c r="M43" s="238" t="e">
        <f t="shared" si="4"/>
        <v>#REF!</v>
      </c>
      <c r="N43" s="238" t="e">
        <f t="shared" si="4"/>
        <v>#REF!</v>
      </c>
      <c r="O43" s="238" t="e">
        <f t="shared" si="4"/>
        <v>#REF!</v>
      </c>
      <c r="P43" s="238" t="e">
        <f t="shared" si="4"/>
        <v>#REF!</v>
      </c>
      <c r="Q43" s="238" t="e">
        <f t="shared" si="4"/>
        <v>#REF!</v>
      </c>
      <c r="R43" s="238" t="e">
        <f t="shared" si="4"/>
        <v>#REF!</v>
      </c>
      <c r="S43" s="238" t="e">
        <f t="shared" ref="S43:AG43" si="5">ROUND(R43*(1+$AJ43),2)</f>
        <v>#REF!</v>
      </c>
      <c r="T43" s="238" t="e">
        <f t="shared" si="5"/>
        <v>#REF!</v>
      </c>
      <c r="U43" s="238" t="e">
        <f t="shared" si="5"/>
        <v>#REF!</v>
      </c>
      <c r="V43" s="238" t="e">
        <f t="shared" si="5"/>
        <v>#REF!</v>
      </c>
      <c r="W43" s="238" t="e">
        <f t="shared" si="5"/>
        <v>#REF!</v>
      </c>
      <c r="X43" s="238" t="e">
        <f t="shared" si="5"/>
        <v>#REF!</v>
      </c>
      <c r="Y43" s="238" t="e">
        <f t="shared" si="5"/>
        <v>#REF!</v>
      </c>
      <c r="Z43" s="238" t="e">
        <f t="shared" si="5"/>
        <v>#REF!</v>
      </c>
      <c r="AA43" s="238" t="e">
        <f t="shared" si="5"/>
        <v>#REF!</v>
      </c>
      <c r="AB43" s="238" t="e">
        <f t="shared" si="5"/>
        <v>#REF!</v>
      </c>
      <c r="AC43" s="238" t="e">
        <f t="shared" si="5"/>
        <v>#REF!</v>
      </c>
      <c r="AD43" s="238" t="e">
        <f t="shared" si="5"/>
        <v>#REF!</v>
      </c>
      <c r="AE43" s="238" t="e">
        <f t="shared" si="5"/>
        <v>#REF!</v>
      </c>
      <c r="AF43" s="238" t="e">
        <f t="shared" si="5"/>
        <v>#REF!</v>
      </c>
      <c r="AG43" s="238" t="e">
        <f t="shared" si="5"/>
        <v>#REF!</v>
      </c>
      <c r="AH43" s="239" t="e">
        <f>#REF!</f>
        <v>#REF!</v>
      </c>
      <c r="AI43" s="240" t="e">
        <f>#REF!</f>
        <v>#REF!</v>
      </c>
      <c r="AJ43" s="240" t="e">
        <f>#REF!</f>
        <v>#REF!</v>
      </c>
      <c r="AK43" s="289" t="s">
        <v>388</v>
      </c>
      <c r="AL43" s="289" t="s">
        <v>389</v>
      </c>
      <c r="AM43" s="173" t="s">
        <v>390</v>
      </c>
    </row>
    <row r="44" spans="1:39" s="282" customFormat="1">
      <c r="A44" s="282" t="s">
        <v>391</v>
      </c>
      <c r="B44" s="282" t="s">
        <v>290</v>
      </c>
      <c r="C44" s="283">
        <v>528</v>
      </c>
      <c r="D44" s="283">
        <f t="shared" ref="D44:AA44" si="6">ROUND(C44*(1+$AJ44),2)</f>
        <v>528</v>
      </c>
      <c r="E44" s="283">
        <f t="shared" si="6"/>
        <v>528</v>
      </c>
      <c r="F44" s="283">
        <f t="shared" si="6"/>
        <v>528</v>
      </c>
      <c r="G44" s="283">
        <f t="shared" si="6"/>
        <v>528</v>
      </c>
      <c r="H44" s="283">
        <f t="shared" si="6"/>
        <v>528</v>
      </c>
      <c r="I44" s="283">
        <f t="shared" si="6"/>
        <v>528</v>
      </c>
      <c r="J44" s="283">
        <f t="shared" si="6"/>
        <v>528</v>
      </c>
      <c r="K44" s="283">
        <f t="shared" si="6"/>
        <v>528</v>
      </c>
      <c r="L44" s="283">
        <f t="shared" si="6"/>
        <v>528</v>
      </c>
      <c r="M44" s="283">
        <f t="shared" si="6"/>
        <v>528</v>
      </c>
      <c r="N44" s="283">
        <f t="shared" si="6"/>
        <v>528</v>
      </c>
      <c r="O44" s="283">
        <f t="shared" si="6"/>
        <v>528</v>
      </c>
      <c r="P44" s="283">
        <f t="shared" si="6"/>
        <v>528</v>
      </c>
      <c r="Q44" s="283">
        <f t="shared" si="6"/>
        <v>528</v>
      </c>
      <c r="R44" s="283">
        <f t="shared" si="6"/>
        <v>528</v>
      </c>
      <c r="S44" s="283">
        <f t="shared" si="6"/>
        <v>528</v>
      </c>
      <c r="T44" s="283">
        <f t="shared" si="6"/>
        <v>528</v>
      </c>
      <c r="U44" s="283">
        <f t="shared" si="6"/>
        <v>528</v>
      </c>
      <c r="V44" s="283">
        <f t="shared" si="6"/>
        <v>528</v>
      </c>
      <c r="W44" s="283">
        <f t="shared" si="6"/>
        <v>528</v>
      </c>
      <c r="X44" s="283">
        <f t="shared" si="6"/>
        <v>528</v>
      </c>
      <c r="Y44" s="283">
        <f t="shared" si="6"/>
        <v>528</v>
      </c>
      <c r="Z44" s="283">
        <f t="shared" si="6"/>
        <v>528</v>
      </c>
      <c r="AA44" s="283">
        <f t="shared" si="6"/>
        <v>528</v>
      </c>
      <c r="AB44" s="283" t="e">
        <f>AB43</f>
        <v>#REF!</v>
      </c>
      <c r="AC44" s="283" t="e">
        <f t="shared" ref="AC44:AG44" si="7">AC43</f>
        <v>#REF!</v>
      </c>
      <c r="AD44" s="283" t="e">
        <f t="shared" si="7"/>
        <v>#REF!</v>
      </c>
      <c r="AE44" s="283" t="e">
        <f t="shared" si="7"/>
        <v>#REF!</v>
      </c>
      <c r="AF44" s="283" t="e">
        <f t="shared" si="7"/>
        <v>#REF!</v>
      </c>
      <c r="AG44" s="283" t="e">
        <f t="shared" si="7"/>
        <v>#REF!</v>
      </c>
      <c r="AH44" s="284"/>
      <c r="AI44" s="285"/>
      <c r="AJ44" s="285"/>
    </row>
    <row r="45" spans="1:39">
      <c r="A45" s="293" t="s">
        <v>292</v>
      </c>
      <c r="B45" s="171" t="s">
        <v>290</v>
      </c>
      <c r="C45" s="236">
        <v>250</v>
      </c>
      <c r="D45" s="236" t="e">
        <f>ROUND(C45*(1+$AH45),2)</f>
        <v>#REF!</v>
      </c>
      <c r="E45" s="236" t="e">
        <f t="shared" ref="E45:AG45" si="8">ROUND(D45*(1+$AH45),2)</f>
        <v>#REF!</v>
      </c>
      <c r="F45" s="236" t="e">
        <f t="shared" si="8"/>
        <v>#REF!</v>
      </c>
      <c r="G45" s="236" t="e">
        <f t="shared" si="8"/>
        <v>#REF!</v>
      </c>
      <c r="H45" s="236" t="e">
        <f t="shared" si="8"/>
        <v>#REF!</v>
      </c>
      <c r="I45" s="236" t="e">
        <f t="shared" si="8"/>
        <v>#REF!</v>
      </c>
      <c r="J45" s="236" t="e">
        <f t="shared" si="8"/>
        <v>#REF!</v>
      </c>
      <c r="K45" s="236" t="e">
        <f t="shared" si="8"/>
        <v>#REF!</v>
      </c>
      <c r="L45" s="236" t="e">
        <f t="shared" si="8"/>
        <v>#REF!</v>
      </c>
      <c r="M45" s="236" t="e">
        <f t="shared" si="8"/>
        <v>#REF!</v>
      </c>
      <c r="N45" s="236" t="e">
        <f t="shared" si="8"/>
        <v>#REF!</v>
      </c>
      <c r="O45" s="236" t="e">
        <f t="shared" si="8"/>
        <v>#REF!</v>
      </c>
      <c r="P45" s="236" t="e">
        <f t="shared" si="8"/>
        <v>#REF!</v>
      </c>
      <c r="Q45" s="236" t="e">
        <f t="shared" si="8"/>
        <v>#REF!</v>
      </c>
      <c r="R45" s="236" t="e">
        <f t="shared" si="8"/>
        <v>#REF!</v>
      </c>
      <c r="S45" s="236" t="e">
        <f t="shared" si="8"/>
        <v>#REF!</v>
      </c>
      <c r="T45" s="236" t="e">
        <f t="shared" si="8"/>
        <v>#REF!</v>
      </c>
      <c r="U45" s="236" t="e">
        <f t="shared" si="8"/>
        <v>#REF!</v>
      </c>
      <c r="V45" s="236" t="e">
        <f t="shared" si="8"/>
        <v>#REF!</v>
      </c>
      <c r="W45" s="236" t="e">
        <f t="shared" si="8"/>
        <v>#REF!</v>
      </c>
      <c r="X45" s="236" t="e">
        <f t="shared" si="8"/>
        <v>#REF!</v>
      </c>
      <c r="Y45" s="236" t="e">
        <f t="shared" si="8"/>
        <v>#REF!</v>
      </c>
      <c r="Z45" s="236" t="e">
        <f t="shared" si="8"/>
        <v>#REF!</v>
      </c>
      <c r="AA45" s="236" t="e">
        <f t="shared" si="8"/>
        <v>#REF!</v>
      </c>
      <c r="AB45" s="236" t="e">
        <f t="shared" si="8"/>
        <v>#REF!</v>
      </c>
      <c r="AC45" s="236" t="e">
        <f t="shared" si="8"/>
        <v>#REF!</v>
      </c>
      <c r="AD45" s="236" t="e">
        <f t="shared" si="8"/>
        <v>#REF!</v>
      </c>
      <c r="AE45" s="236" t="e">
        <f t="shared" si="8"/>
        <v>#REF!</v>
      </c>
      <c r="AF45" s="236" t="e">
        <f t="shared" si="8"/>
        <v>#REF!</v>
      </c>
      <c r="AG45" s="236" t="e">
        <f t="shared" si="8"/>
        <v>#REF!</v>
      </c>
      <c r="AH45" s="242" t="e">
        <f>#REF!</f>
        <v>#REF!</v>
      </c>
      <c r="AI45" s="287"/>
      <c r="AJ45" s="242"/>
    </row>
    <row r="46" spans="1:39">
      <c r="A46" s="171" t="s">
        <v>348</v>
      </c>
      <c r="B46" s="171" t="s">
        <v>198</v>
      </c>
      <c r="C46" s="243">
        <v>0</v>
      </c>
      <c r="D46" s="243">
        <f>C46</f>
        <v>0</v>
      </c>
      <c r="E46" s="243">
        <f t="shared" ref="E46:H46" si="9">D46</f>
        <v>0</v>
      </c>
      <c r="F46" s="243">
        <f t="shared" si="9"/>
        <v>0</v>
      </c>
      <c r="G46" s="243">
        <f t="shared" si="9"/>
        <v>0</v>
      </c>
      <c r="H46" s="243">
        <f t="shared" si="9"/>
        <v>0</v>
      </c>
      <c r="I46" s="243">
        <v>0.25</v>
      </c>
      <c r="J46" s="243">
        <f t="shared" ref="J46:AG46" si="10">I46</f>
        <v>0.25</v>
      </c>
      <c r="K46" s="243">
        <f t="shared" si="10"/>
        <v>0.25</v>
      </c>
      <c r="L46" s="243">
        <f t="shared" si="10"/>
        <v>0.25</v>
      </c>
      <c r="M46" s="243">
        <f t="shared" si="10"/>
        <v>0.25</v>
      </c>
      <c r="N46" s="243">
        <v>0.5</v>
      </c>
      <c r="O46" s="243">
        <f t="shared" si="10"/>
        <v>0.5</v>
      </c>
      <c r="P46" s="243">
        <f t="shared" si="10"/>
        <v>0.5</v>
      </c>
      <c r="Q46" s="243">
        <f t="shared" si="10"/>
        <v>0.5</v>
      </c>
      <c r="R46" s="243">
        <f t="shared" si="10"/>
        <v>0.5</v>
      </c>
      <c r="S46" s="243">
        <v>0.75</v>
      </c>
      <c r="T46" s="243">
        <f t="shared" si="10"/>
        <v>0.75</v>
      </c>
      <c r="U46" s="243">
        <f t="shared" si="10"/>
        <v>0.75</v>
      </c>
      <c r="V46" s="243">
        <f t="shared" si="10"/>
        <v>0.75</v>
      </c>
      <c r="W46" s="243">
        <v>1</v>
      </c>
      <c r="X46" s="243">
        <f t="shared" si="10"/>
        <v>1</v>
      </c>
      <c r="Y46" s="243">
        <f t="shared" si="10"/>
        <v>1</v>
      </c>
      <c r="Z46" s="243">
        <f t="shared" si="10"/>
        <v>1</v>
      </c>
      <c r="AA46" s="243">
        <f t="shared" si="10"/>
        <v>1</v>
      </c>
      <c r="AB46" s="243">
        <f t="shared" si="10"/>
        <v>1</v>
      </c>
      <c r="AC46" s="243">
        <f t="shared" si="10"/>
        <v>1</v>
      </c>
      <c r="AD46" s="243">
        <f t="shared" si="10"/>
        <v>1</v>
      </c>
      <c r="AE46" s="243">
        <f t="shared" si="10"/>
        <v>1</v>
      </c>
      <c r="AF46" s="243">
        <f t="shared" si="10"/>
        <v>1</v>
      </c>
      <c r="AG46" s="243">
        <f t="shared" si="10"/>
        <v>1</v>
      </c>
      <c r="AH46" s="237"/>
      <c r="AI46" s="242"/>
    </row>
    <row r="47" spans="1:39">
      <c r="A47" s="171" t="s">
        <v>294</v>
      </c>
      <c r="B47" s="171" t="s">
        <v>290</v>
      </c>
      <c r="C47" s="238">
        <f t="shared" ref="C47:AG47" si="11">((C43*C46)+(C45*(1-C46)))</f>
        <v>250</v>
      </c>
      <c r="D47" s="238" t="e">
        <f t="shared" si="11"/>
        <v>#REF!</v>
      </c>
      <c r="E47" s="238" t="e">
        <f t="shared" si="11"/>
        <v>#REF!</v>
      </c>
      <c r="F47" s="238" t="e">
        <f t="shared" si="11"/>
        <v>#REF!</v>
      </c>
      <c r="G47" s="238" t="e">
        <f t="shared" si="11"/>
        <v>#REF!</v>
      </c>
      <c r="H47" s="238" t="e">
        <f t="shared" si="11"/>
        <v>#REF!</v>
      </c>
      <c r="I47" s="238" t="e">
        <f t="shared" si="11"/>
        <v>#REF!</v>
      </c>
      <c r="J47" s="238" t="e">
        <f t="shared" si="11"/>
        <v>#REF!</v>
      </c>
      <c r="K47" s="238" t="e">
        <f t="shared" si="11"/>
        <v>#REF!</v>
      </c>
      <c r="L47" s="238" t="e">
        <f t="shared" si="11"/>
        <v>#REF!</v>
      </c>
      <c r="M47" s="238" t="e">
        <f t="shared" si="11"/>
        <v>#REF!</v>
      </c>
      <c r="N47" s="238" t="e">
        <f t="shared" si="11"/>
        <v>#REF!</v>
      </c>
      <c r="O47" s="238" t="e">
        <f t="shared" si="11"/>
        <v>#REF!</v>
      </c>
      <c r="P47" s="238" t="e">
        <f t="shared" si="11"/>
        <v>#REF!</v>
      </c>
      <c r="Q47" s="238" t="e">
        <f t="shared" si="11"/>
        <v>#REF!</v>
      </c>
      <c r="R47" s="238" t="e">
        <f t="shared" si="11"/>
        <v>#REF!</v>
      </c>
      <c r="S47" s="238" t="e">
        <f t="shared" si="11"/>
        <v>#REF!</v>
      </c>
      <c r="T47" s="238" t="e">
        <f t="shared" si="11"/>
        <v>#REF!</v>
      </c>
      <c r="U47" s="238" t="e">
        <f t="shared" si="11"/>
        <v>#REF!</v>
      </c>
      <c r="V47" s="238" t="e">
        <f t="shared" si="11"/>
        <v>#REF!</v>
      </c>
      <c r="W47" s="238" t="e">
        <f t="shared" si="11"/>
        <v>#REF!</v>
      </c>
      <c r="X47" s="238" t="e">
        <f t="shared" si="11"/>
        <v>#REF!</v>
      </c>
      <c r="Y47" s="238" t="e">
        <f t="shared" si="11"/>
        <v>#REF!</v>
      </c>
      <c r="Z47" s="238" t="e">
        <f t="shared" si="11"/>
        <v>#REF!</v>
      </c>
      <c r="AA47" s="238" t="e">
        <f t="shared" si="11"/>
        <v>#REF!</v>
      </c>
      <c r="AB47" s="238" t="e">
        <f t="shared" si="11"/>
        <v>#REF!</v>
      </c>
      <c r="AC47" s="238" t="e">
        <f t="shared" si="11"/>
        <v>#REF!</v>
      </c>
      <c r="AD47" s="238" t="e">
        <f t="shared" si="11"/>
        <v>#REF!</v>
      </c>
      <c r="AE47" s="238" t="e">
        <f t="shared" si="11"/>
        <v>#REF!</v>
      </c>
      <c r="AF47" s="238" t="e">
        <f t="shared" si="11"/>
        <v>#REF!</v>
      </c>
      <c r="AG47" s="238" t="e">
        <f t="shared" si="11"/>
        <v>#REF!</v>
      </c>
      <c r="AH47" s="237"/>
      <c r="AI47" s="242"/>
    </row>
    <row r="48" spans="1:39">
      <c r="A48" s="171" t="s">
        <v>392</v>
      </c>
      <c r="B48" s="171" t="s">
        <v>290</v>
      </c>
      <c r="C48" s="238">
        <v>175</v>
      </c>
      <c r="D48" s="238" t="e">
        <f>ROUND(C48*(1+$AH48),2)</f>
        <v>#REF!</v>
      </c>
      <c r="E48" s="238" t="e">
        <f t="shared" ref="E48:AG48" si="12">ROUND(D48*(1+$AH48),2)</f>
        <v>#REF!</v>
      </c>
      <c r="F48" s="238" t="e">
        <f t="shared" si="12"/>
        <v>#REF!</v>
      </c>
      <c r="G48" s="238" t="e">
        <f t="shared" si="12"/>
        <v>#REF!</v>
      </c>
      <c r="H48" s="238" t="e">
        <f t="shared" si="12"/>
        <v>#REF!</v>
      </c>
      <c r="I48" s="238" t="e">
        <f t="shared" si="12"/>
        <v>#REF!</v>
      </c>
      <c r="J48" s="238" t="e">
        <f t="shared" si="12"/>
        <v>#REF!</v>
      </c>
      <c r="K48" s="238" t="e">
        <f t="shared" si="12"/>
        <v>#REF!</v>
      </c>
      <c r="L48" s="238" t="e">
        <f t="shared" si="12"/>
        <v>#REF!</v>
      </c>
      <c r="M48" s="238" t="e">
        <f t="shared" si="12"/>
        <v>#REF!</v>
      </c>
      <c r="N48" s="238" t="e">
        <f t="shared" si="12"/>
        <v>#REF!</v>
      </c>
      <c r="O48" s="238" t="e">
        <f t="shared" si="12"/>
        <v>#REF!</v>
      </c>
      <c r="P48" s="238" t="e">
        <f t="shared" si="12"/>
        <v>#REF!</v>
      </c>
      <c r="Q48" s="238" t="e">
        <f t="shared" si="12"/>
        <v>#REF!</v>
      </c>
      <c r="R48" s="238" t="e">
        <f t="shared" si="12"/>
        <v>#REF!</v>
      </c>
      <c r="S48" s="238" t="e">
        <f t="shared" si="12"/>
        <v>#REF!</v>
      </c>
      <c r="T48" s="238" t="e">
        <f t="shared" si="12"/>
        <v>#REF!</v>
      </c>
      <c r="U48" s="238" t="e">
        <f t="shared" si="12"/>
        <v>#REF!</v>
      </c>
      <c r="V48" s="238" t="e">
        <f t="shared" si="12"/>
        <v>#REF!</v>
      </c>
      <c r="W48" s="238" t="e">
        <f t="shared" si="12"/>
        <v>#REF!</v>
      </c>
      <c r="X48" s="238" t="e">
        <f t="shared" si="12"/>
        <v>#REF!</v>
      </c>
      <c r="Y48" s="238" t="e">
        <f t="shared" si="12"/>
        <v>#REF!</v>
      </c>
      <c r="Z48" s="238" t="e">
        <f t="shared" si="12"/>
        <v>#REF!</v>
      </c>
      <c r="AA48" s="238" t="e">
        <f t="shared" si="12"/>
        <v>#REF!</v>
      </c>
      <c r="AB48" s="238" t="e">
        <f t="shared" si="12"/>
        <v>#REF!</v>
      </c>
      <c r="AC48" s="238" t="e">
        <f t="shared" si="12"/>
        <v>#REF!</v>
      </c>
      <c r="AD48" s="238" t="e">
        <f t="shared" si="12"/>
        <v>#REF!</v>
      </c>
      <c r="AE48" s="238" t="e">
        <f t="shared" si="12"/>
        <v>#REF!</v>
      </c>
      <c r="AF48" s="238" t="e">
        <f t="shared" si="12"/>
        <v>#REF!</v>
      </c>
      <c r="AG48" s="238" t="e">
        <f t="shared" si="12"/>
        <v>#REF!</v>
      </c>
      <c r="AH48" s="286" t="e">
        <f>#REF!</f>
        <v>#REF!</v>
      </c>
      <c r="AI48" s="241"/>
      <c r="AJ48" s="286"/>
    </row>
    <row r="49" spans="1:41">
      <c r="A49" s="254" t="s">
        <v>295</v>
      </c>
      <c r="B49" s="171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37"/>
      <c r="AI49" s="242"/>
    </row>
    <row r="50" spans="1:41">
      <c r="A50" s="292" t="s">
        <v>349</v>
      </c>
      <c r="B50" s="171" t="s">
        <v>290</v>
      </c>
      <c r="C50" s="244">
        <f t="shared" ref="C50:AG50" si="13">C43+C48</f>
        <v>775</v>
      </c>
      <c r="D50" s="244" t="e">
        <f t="shared" si="13"/>
        <v>#REF!</v>
      </c>
      <c r="E50" s="244" t="e">
        <f t="shared" si="13"/>
        <v>#REF!</v>
      </c>
      <c r="F50" s="244" t="e">
        <f t="shared" si="13"/>
        <v>#REF!</v>
      </c>
      <c r="G50" s="244" t="e">
        <f t="shared" si="13"/>
        <v>#REF!</v>
      </c>
      <c r="H50" s="244" t="e">
        <f t="shared" si="13"/>
        <v>#REF!</v>
      </c>
      <c r="I50" s="244" t="e">
        <f t="shared" si="13"/>
        <v>#REF!</v>
      </c>
      <c r="J50" s="244" t="e">
        <f t="shared" si="13"/>
        <v>#REF!</v>
      </c>
      <c r="K50" s="244" t="e">
        <f t="shared" si="13"/>
        <v>#REF!</v>
      </c>
      <c r="L50" s="244" t="e">
        <f t="shared" si="13"/>
        <v>#REF!</v>
      </c>
      <c r="M50" s="244" t="e">
        <f t="shared" si="13"/>
        <v>#REF!</v>
      </c>
      <c r="N50" s="244" t="e">
        <f t="shared" si="13"/>
        <v>#REF!</v>
      </c>
      <c r="O50" s="244" t="e">
        <f t="shared" si="13"/>
        <v>#REF!</v>
      </c>
      <c r="P50" s="244" t="e">
        <f t="shared" si="13"/>
        <v>#REF!</v>
      </c>
      <c r="Q50" s="244" t="e">
        <f t="shared" si="13"/>
        <v>#REF!</v>
      </c>
      <c r="R50" s="244" t="e">
        <f t="shared" si="13"/>
        <v>#REF!</v>
      </c>
      <c r="S50" s="244" t="e">
        <f t="shared" si="13"/>
        <v>#REF!</v>
      </c>
      <c r="T50" s="244" t="e">
        <f t="shared" si="13"/>
        <v>#REF!</v>
      </c>
      <c r="U50" s="244" t="e">
        <f t="shared" si="13"/>
        <v>#REF!</v>
      </c>
      <c r="V50" s="244" t="e">
        <f t="shared" si="13"/>
        <v>#REF!</v>
      </c>
      <c r="W50" s="244" t="e">
        <f t="shared" si="13"/>
        <v>#REF!</v>
      </c>
      <c r="X50" s="244" t="e">
        <f t="shared" si="13"/>
        <v>#REF!</v>
      </c>
      <c r="Y50" s="244" t="e">
        <f t="shared" si="13"/>
        <v>#REF!</v>
      </c>
      <c r="Z50" s="244" t="e">
        <f t="shared" si="13"/>
        <v>#REF!</v>
      </c>
      <c r="AA50" s="244" t="e">
        <f t="shared" si="13"/>
        <v>#REF!</v>
      </c>
      <c r="AB50" s="244" t="e">
        <f t="shared" si="13"/>
        <v>#REF!</v>
      </c>
      <c r="AC50" s="244" t="e">
        <f t="shared" si="13"/>
        <v>#REF!</v>
      </c>
      <c r="AD50" s="244" t="e">
        <f t="shared" si="13"/>
        <v>#REF!</v>
      </c>
      <c r="AE50" s="244" t="e">
        <f t="shared" si="13"/>
        <v>#REF!</v>
      </c>
      <c r="AF50" s="244" t="e">
        <f t="shared" si="13"/>
        <v>#REF!</v>
      </c>
      <c r="AG50" s="244" t="e">
        <f t="shared" si="13"/>
        <v>#REF!</v>
      </c>
      <c r="AH50" s="237"/>
      <c r="AI50" s="242"/>
      <c r="AJ50" s="241"/>
    </row>
    <row r="51" spans="1:41" s="282" customFormat="1">
      <c r="A51" s="288" t="s">
        <v>393</v>
      </c>
      <c r="C51" s="283">
        <f t="shared" ref="C51:AG51" si="14">C44+C48</f>
        <v>703</v>
      </c>
      <c r="D51" s="283" t="e">
        <f t="shared" si="14"/>
        <v>#REF!</v>
      </c>
      <c r="E51" s="283" t="e">
        <f t="shared" si="14"/>
        <v>#REF!</v>
      </c>
      <c r="F51" s="283" t="e">
        <f t="shared" si="14"/>
        <v>#REF!</v>
      </c>
      <c r="G51" s="283" t="e">
        <f t="shared" si="14"/>
        <v>#REF!</v>
      </c>
      <c r="H51" s="283" t="e">
        <f t="shared" si="14"/>
        <v>#REF!</v>
      </c>
      <c r="I51" s="283" t="e">
        <f t="shared" si="14"/>
        <v>#REF!</v>
      </c>
      <c r="J51" s="283" t="e">
        <f t="shared" si="14"/>
        <v>#REF!</v>
      </c>
      <c r="K51" s="283" t="e">
        <f t="shared" si="14"/>
        <v>#REF!</v>
      </c>
      <c r="L51" s="283" t="e">
        <f t="shared" si="14"/>
        <v>#REF!</v>
      </c>
      <c r="M51" s="283" t="e">
        <f t="shared" si="14"/>
        <v>#REF!</v>
      </c>
      <c r="N51" s="283" t="e">
        <f t="shared" si="14"/>
        <v>#REF!</v>
      </c>
      <c r="O51" s="283" t="e">
        <f t="shared" si="14"/>
        <v>#REF!</v>
      </c>
      <c r="P51" s="283" t="e">
        <f t="shared" si="14"/>
        <v>#REF!</v>
      </c>
      <c r="Q51" s="283" t="e">
        <f t="shared" si="14"/>
        <v>#REF!</v>
      </c>
      <c r="R51" s="283" t="e">
        <f t="shared" si="14"/>
        <v>#REF!</v>
      </c>
      <c r="S51" s="283" t="e">
        <f t="shared" si="14"/>
        <v>#REF!</v>
      </c>
      <c r="T51" s="283" t="e">
        <f t="shared" si="14"/>
        <v>#REF!</v>
      </c>
      <c r="U51" s="283" t="e">
        <f t="shared" si="14"/>
        <v>#REF!</v>
      </c>
      <c r="V51" s="283" t="e">
        <f t="shared" si="14"/>
        <v>#REF!</v>
      </c>
      <c r="W51" s="283" t="e">
        <f t="shared" si="14"/>
        <v>#REF!</v>
      </c>
      <c r="X51" s="283" t="e">
        <f t="shared" si="14"/>
        <v>#REF!</v>
      </c>
      <c r="Y51" s="283" t="e">
        <f t="shared" si="14"/>
        <v>#REF!</v>
      </c>
      <c r="Z51" s="283" t="e">
        <f t="shared" si="14"/>
        <v>#REF!</v>
      </c>
      <c r="AA51" s="283" t="e">
        <f t="shared" si="14"/>
        <v>#REF!</v>
      </c>
      <c r="AB51" s="283" t="e">
        <f t="shared" si="14"/>
        <v>#REF!</v>
      </c>
      <c r="AC51" s="283" t="e">
        <f t="shared" si="14"/>
        <v>#REF!</v>
      </c>
      <c r="AD51" s="283" t="e">
        <f t="shared" si="14"/>
        <v>#REF!</v>
      </c>
      <c r="AE51" s="283" t="e">
        <f t="shared" si="14"/>
        <v>#REF!</v>
      </c>
      <c r="AF51" s="283" t="e">
        <f t="shared" si="14"/>
        <v>#REF!</v>
      </c>
      <c r="AG51" s="283" t="e">
        <f t="shared" si="14"/>
        <v>#REF!</v>
      </c>
      <c r="AH51" s="284"/>
      <c r="AI51" s="285"/>
      <c r="AJ51" s="285"/>
    </row>
    <row r="52" spans="1:41">
      <c r="A52" s="292" t="s">
        <v>350</v>
      </c>
      <c r="B52" s="171" t="s">
        <v>290</v>
      </c>
      <c r="C52" s="244">
        <f t="shared" ref="C52:AG52" si="15">C45+C48</f>
        <v>425</v>
      </c>
      <c r="D52" s="244" t="e">
        <f t="shared" si="15"/>
        <v>#REF!</v>
      </c>
      <c r="E52" s="244" t="e">
        <f t="shared" si="15"/>
        <v>#REF!</v>
      </c>
      <c r="F52" s="244" t="e">
        <f t="shared" si="15"/>
        <v>#REF!</v>
      </c>
      <c r="G52" s="244" t="e">
        <f t="shared" si="15"/>
        <v>#REF!</v>
      </c>
      <c r="H52" s="244" t="e">
        <f t="shared" si="15"/>
        <v>#REF!</v>
      </c>
      <c r="I52" s="244" t="e">
        <f t="shared" si="15"/>
        <v>#REF!</v>
      </c>
      <c r="J52" s="244" t="e">
        <f t="shared" si="15"/>
        <v>#REF!</v>
      </c>
      <c r="K52" s="244" t="e">
        <f t="shared" si="15"/>
        <v>#REF!</v>
      </c>
      <c r="L52" s="244" t="e">
        <f t="shared" si="15"/>
        <v>#REF!</v>
      </c>
      <c r="M52" s="244" t="e">
        <f t="shared" si="15"/>
        <v>#REF!</v>
      </c>
      <c r="N52" s="244" t="e">
        <f t="shared" si="15"/>
        <v>#REF!</v>
      </c>
      <c r="O52" s="244" t="e">
        <f t="shared" si="15"/>
        <v>#REF!</v>
      </c>
      <c r="P52" s="244" t="e">
        <f t="shared" si="15"/>
        <v>#REF!</v>
      </c>
      <c r="Q52" s="244" t="e">
        <f t="shared" si="15"/>
        <v>#REF!</v>
      </c>
      <c r="R52" s="244" t="e">
        <f t="shared" si="15"/>
        <v>#REF!</v>
      </c>
      <c r="S52" s="244" t="e">
        <f t="shared" si="15"/>
        <v>#REF!</v>
      </c>
      <c r="T52" s="244" t="e">
        <f t="shared" si="15"/>
        <v>#REF!</v>
      </c>
      <c r="U52" s="244" t="e">
        <f t="shared" si="15"/>
        <v>#REF!</v>
      </c>
      <c r="V52" s="244" t="e">
        <f t="shared" si="15"/>
        <v>#REF!</v>
      </c>
      <c r="W52" s="244" t="e">
        <f t="shared" si="15"/>
        <v>#REF!</v>
      </c>
      <c r="X52" s="244" t="e">
        <f t="shared" si="15"/>
        <v>#REF!</v>
      </c>
      <c r="Y52" s="244" t="e">
        <f t="shared" si="15"/>
        <v>#REF!</v>
      </c>
      <c r="Z52" s="244" t="e">
        <f t="shared" si="15"/>
        <v>#REF!</v>
      </c>
      <c r="AA52" s="244" t="e">
        <f t="shared" si="15"/>
        <v>#REF!</v>
      </c>
      <c r="AB52" s="244" t="e">
        <f t="shared" si="15"/>
        <v>#REF!</v>
      </c>
      <c r="AC52" s="244" t="e">
        <f t="shared" si="15"/>
        <v>#REF!</v>
      </c>
      <c r="AD52" s="244" t="e">
        <f t="shared" si="15"/>
        <v>#REF!</v>
      </c>
      <c r="AE52" s="244" t="e">
        <f t="shared" si="15"/>
        <v>#REF!</v>
      </c>
      <c r="AF52" s="244" t="e">
        <f t="shared" si="15"/>
        <v>#REF!</v>
      </c>
      <c r="AG52" s="244" t="e">
        <f t="shared" si="15"/>
        <v>#REF!</v>
      </c>
      <c r="AH52" s="237"/>
      <c r="AI52" s="242"/>
    </row>
    <row r="53" spans="1:41">
      <c r="A53" s="292" t="s">
        <v>351</v>
      </c>
      <c r="B53" s="171" t="s">
        <v>290</v>
      </c>
      <c r="C53" s="236">
        <f t="shared" ref="C53:AG53" si="16">C47+C48</f>
        <v>425</v>
      </c>
      <c r="D53" s="236" t="e">
        <f t="shared" si="16"/>
        <v>#REF!</v>
      </c>
      <c r="E53" s="236" t="e">
        <f t="shared" si="16"/>
        <v>#REF!</v>
      </c>
      <c r="F53" s="236" t="e">
        <f t="shared" si="16"/>
        <v>#REF!</v>
      </c>
      <c r="G53" s="236" t="e">
        <f t="shared" si="16"/>
        <v>#REF!</v>
      </c>
      <c r="H53" s="236" t="e">
        <f t="shared" si="16"/>
        <v>#REF!</v>
      </c>
      <c r="I53" s="236" t="e">
        <f t="shared" si="16"/>
        <v>#REF!</v>
      </c>
      <c r="J53" s="236" t="e">
        <f t="shared" si="16"/>
        <v>#REF!</v>
      </c>
      <c r="K53" s="236" t="e">
        <f t="shared" si="16"/>
        <v>#REF!</v>
      </c>
      <c r="L53" s="236" t="e">
        <f t="shared" si="16"/>
        <v>#REF!</v>
      </c>
      <c r="M53" s="236" t="e">
        <f t="shared" si="16"/>
        <v>#REF!</v>
      </c>
      <c r="N53" s="236" t="e">
        <f t="shared" si="16"/>
        <v>#REF!</v>
      </c>
      <c r="O53" s="236" t="e">
        <f t="shared" si="16"/>
        <v>#REF!</v>
      </c>
      <c r="P53" s="236" t="e">
        <f t="shared" si="16"/>
        <v>#REF!</v>
      </c>
      <c r="Q53" s="236" t="e">
        <f t="shared" si="16"/>
        <v>#REF!</v>
      </c>
      <c r="R53" s="236" t="e">
        <f t="shared" si="16"/>
        <v>#REF!</v>
      </c>
      <c r="S53" s="236" t="e">
        <f t="shared" si="16"/>
        <v>#REF!</v>
      </c>
      <c r="T53" s="236" t="e">
        <f t="shared" si="16"/>
        <v>#REF!</v>
      </c>
      <c r="U53" s="236" t="e">
        <f t="shared" si="16"/>
        <v>#REF!</v>
      </c>
      <c r="V53" s="236" t="e">
        <f t="shared" si="16"/>
        <v>#REF!</v>
      </c>
      <c r="W53" s="236" t="e">
        <f t="shared" si="16"/>
        <v>#REF!</v>
      </c>
      <c r="X53" s="236" t="e">
        <f t="shared" si="16"/>
        <v>#REF!</v>
      </c>
      <c r="Y53" s="236" t="e">
        <f t="shared" si="16"/>
        <v>#REF!</v>
      </c>
      <c r="Z53" s="236" t="e">
        <f t="shared" si="16"/>
        <v>#REF!</v>
      </c>
      <c r="AA53" s="236" t="e">
        <f t="shared" si="16"/>
        <v>#REF!</v>
      </c>
      <c r="AB53" s="236" t="e">
        <f t="shared" si="16"/>
        <v>#REF!</v>
      </c>
      <c r="AC53" s="236" t="e">
        <f t="shared" si="16"/>
        <v>#REF!</v>
      </c>
      <c r="AD53" s="236" t="e">
        <f t="shared" si="16"/>
        <v>#REF!</v>
      </c>
      <c r="AE53" s="236" t="e">
        <f t="shared" si="16"/>
        <v>#REF!</v>
      </c>
      <c r="AF53" s="236" t="e">
        <f t="shared" si="16"/>
        <v>#REF!</v>
      </c>
      <c r="AG53" s="236" t="e">
        <f t="shared" si="16"/>
        <v>#REF!</v>
      </c>
      <c r="AH53" s="237"/>
      <c r="AI53" s="242"/>
    </row>
    <row r="54" spans="1:41">
      <c r="A54" s="292" t="s">
        <v>394</v>
      </c>
      <c r="B54" s="171" t="s">
        <v>290</v>
      </c>
      <c r="C54" s="244">
        <f t="shared" ref="C54:AG54" si="17">MIN(C50:C53)</f>
        <v>425</v>
      </c>
      <c r="D54" s="244" t="e">
        <f t="shared" si="17"/>
        <v>#REF!</v>
      </c>
      <c r="E54" s="244" t="e">
        <f t="shared" si="17"/>
        <v>#REF!</v>
      </c>
      <c r="F54" s="244" t="e">
        <f t="shared" si="17"/>
        <v>#REF!</v>
      </c>
      <c r="G54" s="244" t="e">
        <f t="shared" si="17"/>
        <v>#REF!</v>
      </c>
      <c r="H54" s="244" t="e">
        <f t="shared" si="17"/>
        <v>#REF!</v>
      </c>
      <c r="I54" s="244" t="e">
        <f t="shared" si="17"/>
        <v>#REF!</v>
      </c>
      <c r="J54" s="244" t="e">
        <f t="shared" si="17"/>
        <v>#REF!</v>
      </c>
      <c r="K54" s="244" t="e">
        <f t="shared" si="17"/>
        <v>#REF!</v>
      </c>
      <c r="L54" s="244" t="e">
        <f t="shared" si="17"/>
        <v>#REF!</v>
      </c>
      <c r="M54" s="244" t="e">
        <f t="shared" si="17"/>
        <v>#REF!</v>
      </c>
      <c r="N54" s="244" t="e">
        <f t="shared" si="17"/>
        <v>#REF!</v>
      </c>
      <c r="O54" s="244" t="e">
        <f t="shared" si="17"/>
        <v>#REF!</v>
      </c>
      <c r="P54" s="244" t="e">
        <f t="shared" si="17"/>
        <v>#REF!</v>
      </c>
      <c r="Q54" s="244" t="e">
        <f t="shared" si="17"/>
        <v>#REF!</v>
      </c>
      <c r="R54" s="244" t="e">
        <f t="shared" si="17"/>
        <v>#REF!</v>
      </c>
      <c r="S54" s="244" t="e">
        <f t="shared" si="17"/>
        <v>#REF!</v>
      </c>
      <c r="T54" s="244" t="e">
        <f t="shared" si="17"/>
        <v>#REF!</v>
      </c>
      <c r="U54" s="244" t="e">
        <f t="shared" si="17"/>
        <v>#REF!</v>
      </c>
      <c r="V54" s="244" t="e">
        <f t="shared" si="17"/>
        <v>#REF!</v>
      </c>
      <c r="W54" s="244" t="e">
        <f t="shared" si="17"/>
        <v>#REF!</v>
      </c>
      <c r="X54" s="244" t="e">
        <f t="shared" si="17"/>
        <v>#REF!</v>
      </c>
      <c r="Y54" s="244" t="e">
        <f t="shared" si="17"/>
        <v>#REF!</v>
      </c>
      <c r="Z54" s="244" t="e">
        <f t="shared" si="17"/>
        <v>#REF!</v>
      </c>
      <c r="AA54" s="244" t="e">
        <f t="shared" si="17"/>
        <v>#REF!</v>
      </c>
      <c r="AB54" s="244" t="e">
        <f t="shared" si="17"/>
        <v>#REF!</v>
      </c>
      <c r="AC54" s="244" t="e">
        <f t="shared" si="17"/>
        <v>#REF!</v>
      </c>
      <c r="AD54" s="244" t="e">
        <f t="shared" si="17"/>
        <v>#REF!</v>
      </c>
      <c r="AE54" s="244" t="e">
        <f t="shared" si="17"/>
        <v>#REF!</v>
      </c>
      <c r="AF54" s="244" t="e">
        <f t="shared" si="17"/>
        <v>#REF!</v>
      </c>
      <c r="AG54" s="244" t="e">
        <f t="shared" si="17"/>
        <v>#REF!</v>
      </c>
      <c r="AH54" s="237"/>
      <c r="AI54" s="242"/>
    </row>
    <row r="55" spans="1:41">
      <c r="A55" s="171" t="s">
        <v>296</v>
      </c>
      <c r="B55" s="171" t="s">
        <v>297</v>
      </c>
      <c r="C55" s="236">
        <v>18</v>
      </c>
      <c r="D55" s="236" t="e">
        <f>ROUND(C55*(1+$AH55),2)</f>
        <v>#REF!</v>
      </c>
      <c r="E55" s="236" t="e">
        <f>ROUND(D55*(1+$AH55),2)</f>
        <v>#REF!</v>
      </c>
      <c r="F55" s="236" t="e">
        <f>ROUND(E55*(1+$AH55),2)</f>
        <v>#REF!</v>
      </c>
      <c r="G55" s="236" t="e">
        <f>ROUND(F55*(1+$AH55),2)</f>
        <v>#REF!</v>
      </c>
      <c r="H55" s="236" t="e">
        <f>ROUND(G55*(1+$AH55),2)</f>
        <v>#REF!</v>
      </c>
      <c r="I55" s="236" t="e">
        <f t="shared" ref="I55:AG55" si="18">ROUND(H55*(1+$AI55),2)</f>
        <v>#REF!</v>
      </c>
      <c r="J55" s="236" t="e">
        <f t="shared" si="18"/>
        <v>#REF!</v>
      </c>
      <c r="K55" s="236" t="e">
        <f t="shared" si="18"/>
        <v>#REF!</v>
      </c>
      <c r="L55" s="236" t="e">
        <f t="shared" si="18"/>
        <v>#REF!</v>
      </c>
      <c r="M55" s="236" t="e">
        <f t="shared" si="18"/>
        <v>#REF!</v>
      </c>
      <c r="N55" s="236" t="e">
        <f t="shared" si="18"/>
        <v>#REF!</v>
      </c>
      <c r="O55" s="236" t="e">
        <f t="shared" si="18"/>
        <v>#REF!</v>
      </c>
      <c r="P55" s="236" t="e">
        <f t="shared" si="18"/>
        <v>#REF!</v>
      </c>
      <c r="Q55" s="236" t="e">
        <f t="shared" si="18"/>
        <v>#REF!</v>
      </c>
      <c r="R55" s="236" t="e">
        <f t="shared" si="18"/>
        <v>#REF!</v>
      </c>
      <c r="S55" s="236" t="e">
        <f t="shared" si="18"/>
        <v>#REF!</v>
      </c>
      <c r="T55" s="236" t="e">
        <f t="shared" si="18"/>
        <v>#REF!</v>
      </c>
      <c r="U55" s="236" t="e">
        <f t="shared" si="18"/>
        <v>#REF!</v>
      </c>
      <c r="V55" s="236" t="e">
        <f t="shared" si="18"/>
        <v>#REF!</v>
      </c>
      <c r="W55" s="236" t="e">
        <f t="shared" si="18"/>
        <v>#REF!</v>
      </c>
      <c r="X55" s="236" t="e">
        <f t="shared" si="18"/>
        <v>#REF!</v>
      </c>
      <c r="Y55" s="236" t="e">
        <f t="shared" si="18"/>
        <v>#REF!</v>
      </c>
      <c r="Z55" s="236" t="e">
        <f t="shared" si="18"/>
        <v>#REF!</v>
      </c>
      <c r="AA55" s="236" t="e">
        <f t="shared" si="18"/>
        <v>#REF!</v>
      </c>
      <c r="AB55" s="236" t="e">
        <f t="shared" si="18"/>
        <v>#REF!</v>
      </c>
      <c r="AC55" s="236" t="e">
        <f t="shared" si="18"/>
        <v>#REF!</v>
      </c>
      <c r="AD55" s="236" t="e">
        <f t="shared" si="18"/>
        <v>#REF!</v>
      </c>
      <c r="AE55" s="236" t="e">
        <f t="shared" si="18"/>
        <v>#REF!</v>
      </c>
      <c r="AF55" s="236" t="e">
        <f t="shared" si="18"/>
        <v>#REF!</v>
      </c>
      <c r="AG55" s="236" t="e">
        <f t="shared" si="18"/>
        <v>#REF!</v>
      </c>
      <c r="AH55" s="237" t="e">
        <f>#REF!</f>
        <v>#REF!</v>
      </c>
      <c r="AI55" s="237" t="e">
        <f>#REF!</f>
        <v>#REF!</v>
      </c>
      <c r="AJ55" s="290" t="s">
        <v>352</v>
      </c>
      <c r="AK55" s="290" t="s">
        <v>353</v>
      </c>
    </row>
    <row r="56" spans="1:41">
      <c r="A56" s="171" t="s">
        <v>395</v>
      </c>
      <c r="B56" s="171" t="s">
        <v>297</v>
      </c>
      <c r="C56" s="238">
        <v>9900</v>
      </c>
      <c r="D56" s="236" t="e">
        <f>C56*(1+$AH$56)</f>
        <v>#REF!</v>
      </c>
      <c r="E56" s="236" t="e">
        <f>D56*(1+$AH$56)</f>
        <v>#REF!</v>
      </c>
      <c r="F56" s="236" t="e">
        <f>E56*(1+$AH$56)</f>
        <v>#REF!</v>
      </c>
      <c r="G56" s="236" t="e">
        <f>F56*(1+$AH$56)</f>
        <v>#REF!</v>
      </c>
      <c r="H56" s="236" t="e">
        <f>G56*(1+$AH$56)</f>
        <v>#REF!</v>
      </c>
      <c r="I56" s="236" t="e">
        <f t="shared" ref="I56:R56" si="19">H56*(1+$AI$56)</f>
        <v>#REF!</v>
      </c>
      <c r="J56" s="236" t="e">
        <f t="shared" si="19"/>
        <v>#REF!</v>
      </c>
      <c r="K56" s="236" t="e">
        <f t="shared" si="19"/>
        <v>#REF!</v>
      </c>
      <c r="L56" s="236" t="e">
        <f t="shared" si="19"/>
        <v>#REF!</v>
      </c>
      <c r="M56" s="236" t="e">
        <f t="shared" si="19"/>
        <v>#REF!</v>
      </c>
      <c r="N56" s="236" t="e">
        <f t="shared" si="19"/>
        <v>#REF!</v>
      </c>
      <c r="O56" s="236" t="e">
        <f t="shared" si="19"/>
        <v>#REF!</v>
      </c>
      <c r="P56" s="236" t="e">
        <f t="shared" si="19"/>
        <v>#REF!</v>
      </c>
      <c r="Q56" s="236" t="e">
        <f t="shared" si="19"/>
        <v>#REF!</v>
      </c>
      <c r="R56" s="236" t="e">
        <f t="shared" si="19"/>
        <v>#REF!</v>
      </c>
      <c r="S56" s="236" t="e">
        <f t="shared" ref="S56:AB56" si="20">R56*(1+$AJ$56)</f>
        <v>#REF!</v>
      </c>
      <c r="T56" s="236" t="e">
        <f t="shared" si="20"/>
        <v>#REF!</v>
      </c>
      <c r="U56" s="236" t="e">
        <f t="shared" si="20"/>
        <v>#REF!</v>
      </c>
      <c r="V56" s="236" t="e">
        <f t="shared" si="20"/>
        <v>#REF!</v>
      </c>
      <c r="W56" s="236" t="e">
        <f t="shared" si="20"/>
        <v>#REF!</v>
      </c>
      <c r="X56" s="236" t="e">
        <f t="shared" si="20"/>
        <v>#REF!</v>
      </c>
      <c r="Y56" s="236" t="e">
        <f t="shared" si="20"/>
        <v>#REF!</v>
      </c>
      <c r="Z56" s="236" t="e">
        <f t="shared" si="20"/>
        <v>#REF!</v>
      </c>
      <c r="AA56" s="236" t="e">
        <f t="shared" si="20"/>
        <v>#REF!</v>
      </c>
      <c r="AB56" s="236" t="e">
        <f t="shared" si="20"/>
        <v>#REF!</v>
      </c>
      <c r="AC56" s="236" t="e">
        <f>AB56*(1+$AK$56)</f>
        <v>#REF!</v>
      </c>
      <c r="AD56" s="236" t="e">
        <f t="shared" ref="AD56:AG56" si="21">AC56*(1+$AK$56)</f>
        <v>#REF!</v>
      </c>
      <c r="AE56" s="236" t="e">
        <f t="shared" si="21"/>
        <v>#REF!</v>
      </c>
      <c r="AF56" s="236" t="e">
        <f t="shared" si="21"/>
        <v>#REF!</v>
      </c>
      <c r="AG56" s="236" t="e">
        <f t="shared" si="21"/>
        <v>#REF!</v>
      </c>
      <c r="AH56" s="245" t="e">
        <f>#REF!</f>
        <v>#REF!</v>
      </c>
      <c r="AI56" s="245" t="e">
        <f>#REF!</f>
        <v>#REF!</v>
      </c>
      <c r="AJ56" s="245" t="e">
        <f>#REF!</f>
        <v>#REF!</v>
      </c>
      <c r="AK56" s="245" t="e">
        <f>#REF!</f>
        <v>#REF!</v>
      </c>
      <c r="AL56" s="173">
        <v>2030</v>
      </c>
      <c r="AM56" s="173">
        <v>2040</v>
      </c>
      <c r="AN56" s="173">
        <v>2050</v>
      </c>
      <c r="AO56" s="173">
        <v>2055</v>
      </c>
    </row>
    <row r="57" spans="1:41">
      <c r="A57" s="171" t="s">
        <v>396</v>
      </c>
      <c r="B57" s="171" t="s">
        <v>298</v>
      </c>
      <c r="C57" s="236">
        <v>36000</v>
      </c>
      <c r="D57" s="236" t="e">
        <f t="shared" ref="D57:R57" si="22">ROUND(C57*(1+$AH57),2)</f>
        <v>#REF!</v>
      </c>
      <c r="E57" s="236" t="e">
        <f t="shared" si="22"/>
        <v>#REF!</v>
      </c>
      <c r="F57" s="236" t="e">
        <f t="shared" si="22"/>
        <v>#REF!</v>
      </c>
      <c r="G57" s="236" t="e">
        <f t="shared" si="22"/>
        <v>#REF!</v>
      </c>
      <c r="H57" s="236" t="e">
        <f t="shared" si="22"/>
        <v>#REF!</v>
      </c>
      <c r="I57" s="236" t="e">
        <f t="shared" si="22"/>
        <v>#REF!</v>
      </c>
      <c r="J57" s="236" t="e">
        <f t="shared" si="22"/>
        <v>#REF!</v>
      </c>
      <c r="K57" s="236" t="e">
        <f t="shared" si="22"/>
        <v>#REF!</v>
      </c>
      <c r="L57" s="236" t="e">
        <f t="shared" si="22"/>
        <v>#REF!</v>
      </c>
      <c r="M57" s="236" t="e">
        <f t="shared" si="22"/>
        <v>#REF!</v>
      </c>
      <c r="N57" s="236" t="e">
        <f t="shared" si="22"/>
        <v>#REF!</v>
      </c>
      <c r="O57" s="236" t="e">
        <f t="shared" si="22"/>
        <v>#REF!</v>
      </c>
      <c r="P57" s="236" t="e">
        <f t="shared" si="22"/>
        <v>#REF!</v>
      </c>
      <c r="Q57" s="236" t="e">
        <f t="shared" si="22"/>
        <v>#REF!</v>
      </c>
      <c r="R57" s="236" t="e">
        <f t="shared" si="22"/>
        <v>#REF!</v>
      </c>
      <c r="S57" s="236" t="e">
        <f>ROUND(R57*(1+$AI57),2)</f>
        <v>#REF!</v>
      </c>
      <c r="T57" s="236" t="e">
        <f t="shared" ref="T57:AG57" si="23">ROUND(S57*(1+$AI57),2)</f>
        <v>#REF!</v>
      </c>
      <c r="U57" s="236" t="e">
        <f t="shared" si="23"/>
        <v>#REF!</v>
      </c>
      <c r="V57" s="236" t="e">
        <f t="shared" si="23"/>
        <v>#REF!</v>
      </c>
      <c r="W57" s="236" t="e">
        <f t="shared" si="23"/>
        <v>#REF!</v>
      </c>
      <c r="X57" s="236" t="e">
        <f t="shared" si="23"/>
        <v>#REF!</v>
      </c>
      <c r="Y57" s="236" t="e">
        <f t="shared" si="23"/>
        <v>#REF!</v>
      </c>
      <c r="Z57" s="236" t="e">
        <f t="shared" si="23"/>
        <v>#REF!</v>
      </c>
      <c r="AA57" s="236" t="e">
        <f t="shared" si="23"/>
        <v>#REF!</v>
      </c>
      <c r="AB57" s="236" t="e">
        <f t="shared" si="23"/>
        <v>#REF!</v>
      </c>
      <c r="AC57" s="236" t="e">
        <f t="shared" si="23"/>
        <v>#REF!</v>
      </c>
      <c r="AD57" s="236" t="e">
        <f t="shared" si="23"/>
        <v>#REF!</v>
      </c>
      <c r="AE57" s="236" t="e">
        <f t="shared" si="23"/>
        <v>#REF!</v>
      </c>
      <c r="AF57" s="236" t="e">
        <f t="shared" si="23"/>
        <v>#REF!</v>
      </c>
      <c r="AG57" s="236" t="e">
        <f t="shared" si="23"/>
        <v>#REF!</v>
      </c>
      <c r="AH57" s="245" t="e">
        <f>#REF!</f>
        <v>#REF!</v>
      </c>
      <c r="AI57" s="245" t="e">
        <f>#REF!</f>
        <v>#REF!</v>
      </c>
      <c r="AJ57" s="290" t="s">
        <v>354</v>
      </c>
      <c r="AK57" s="291" t="s">
        <v>355</v>
      </c>
    </row>
    <row r="58" spans="1:41" s="247" customFormat="1" ht="9.75" customHeight="1">
      <c r="A58" s="246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8"/>
      <c r="AG58" s="248"/>
      <c r="AH58" s="249"/>
    </row>
    <row r="59" spans="1:41">
      <c r="A59" s="171" t="s">
        <v>397</v>
      </c>
      <c r="B59" s="171" t="s">
        <v>290</v>
      </c>
      <c r="C59" s="236">
        <v>3050</v>
      </c>
      <c r="D59" s="236" t="e">
        <f>ROUND((C59*(1+$AH59))/10,0)*10</f>
        <v>#REF!</v>
      </c>
      <c r="E59" s="236" t="e">
        <f>ROUND((D59*(1+$AH59))/10,0)*10</f>
        <v>#REF!</v>
      </c>
      <c r="F59" s="236" t="e">
        <f>ROUND((E59*(1+$AH59))/10,0)*10</f>
        <v>#REF!</v>
      </c>
      <c r="G59" s="236" t="e">
        <f t="shared" ref="G59:AG59" si="24">ROUND((F59*(1+$AH59))/10,0)*10</f>
        <v>#REF!</v>
      </c>
      <c r="H59" s="236" t="e">
        <f t="shared" si="24"/>
        <v>#REF!</v>
      </c>
      <c r="I59" s="236" t="e">
        <f t="shared" si="24"/>
        <v>#REF!</v>
      </c>
      <c r="J59" s="236" t="e">
        <f t="shared" si="24"/>
        <v>#REF!</v>
      </c>
      <c r="K59" s="236" t="e">
        <f t="shared" si="24"/>
        <v>#REF!</v>
      </c>
      <c r="L59" s="236" t="e">
        <f t="shared" si="24"/>
        <v>#REF!</v>
      </c>
      <c r="M59" s="236" t="e">
        <f t="shared" si="24"/>
        <v>#REF!</v>
      </c>
      <c r="N59" s="236" t="e">
        <f t="shared" si="24"/>
        <v>#REF!</v>
      </c>
      <c r="O59" s="236" t="e">
        <f t="shared" si="24"/>
        <v>#REF!</v>
      </c>
      <c r="P59" s="236" t="e">
        <f t="shared" si="24"/>
        <v>#REF!</v>
      </c>
      <c r="Q59" s="236" t="e">
        <f t="shared" si="24"/>
        <v>#REF!</v>
      </c>
      <c r="R59" s="236" t="e">
        <f t="shared" si="24"/>
        <v>#REF!</v>
      </c>
      <c r="S59" s="236" t="e">
        <f t="shared" si="24"/>
        <v>#REF!</v>
      </c>
      <c r="T59" s="236" t="e">
        <f t="shared" si="24"/>
        <v>#REF!</v>
      </c>
      <c r="U59" s="236" t="e">
        <f t="shared" si="24"/>
        <v>#REF!</v>
      </c>
      <c r="V59" s="236" t="e">
        <f t="shared" si="24"/>
        <v>#REF!</v>
      </c>
      <c r="W59" s="236" t="e">
        <f t="shared" si="24"/>
        <v>#REF!</v>
      </c>
      <c r="X59" s="236" t="e">
        <f t="shared" si="24"/>
        <v>#REF!</v>
      </c>
      <c r="Y59" s="236" t="e">
        <f t="shared" si="24"/>
        <v>#REF!</v>
      </c>
      <c r="Z59" s="236" t="e">
        <f t="shared" si="24"/>
        <v>#REF!</v>
      </c>
      <c r="AA59" s="236" t="e">
        <f t="shared" si="24"/>
        <v>#REF!</v>
      </c>
      <c r="AB59" s="236" t="e">
        <f t="shared" si="24"/>
        <v>#REF!</v>
      </c>
      <c r="AC59" s="236" t="e">
        <f t="shared" si="24"/>
        <v>#REF!</v>
      </c>
      <c r="AD59" s="236" t="e">
        <f t="shared" si="24"/>
        <v>#REF!</v>
      </c>
      <c r="AE59" s="236" t="e">
        <f t="shared" si="24"/>
        <v>#REF!</v>
      </c>
      <c r="AF59" s="236" t="e">
        <f t="shared" si="24"/>
        <v>#REF!</v>
      </c>
      <c r="AG59" s="236" t="e">
        <f t="shared" si="24"/>
        <v>#REF!</v>
      </c>
      <c r="AH59" s="245" t="e">
        <f>#REF!</f>
        <v>#REF!</v>
      </c>
    </row>
    <row r="60" spans="1:41">
      <c r="A60" s="171" t="s">
        <v>398</v>
      </c>
      <c r="B60" s="171" t="s">
        <v>290</v>
      </c>
      <c r="C60" s="236">
        <v>56000</v>
      </c>
      <c r="D60" s="236" t="e">
        <f>ROUND((C60*(1+$AH60))/1000,0)*1000</f>
        <v>#REF!</v>
      </c>
      <c r="E60" s="236" t="e">
        <f t="shared" ref="E60:R60" si="25">ROUND((D60*(1+$AH60))/1000,0)*1000</f>
        <v>#REF!</v>
      </c>
      <c r="F60" s="236" t="e">
        <f t="shared" si="25"/>
        <v>#REF!</v>
      </c>
      <c r="G60" s="236" t="e">
        <f t="shared" si="25"/>
        <v>#REF!</v>
      </c>
      <c r="H60" s="236" t="e">
        <f t="shared" si="25"/>
        <v>#REF!</v>
      </c>
      <c r="I60" s="236" t="e">
        <f t="shared" si="25"/>
        <v>#REF!</v>
      </c>
      <c r="J60" s="236" t="e">
        <f t="shared" si="25"/>
        <v>#REF!</v>
      </c>
      <c r="K60" s="236" t="e">
        <f t="shared" si="25"/>
        <v>#REF!</v>
      </c>
      <c r="L60" s="236" t="e">
        <f t="shared" si="25"/>
        <v>#REF!</v>
      </c>
      <c r="M60" s="236" t="e">
        <f t="shared" si="25"/>
        <v>#REF!</v>
      </c>
      <c r="N60" s="236" t="e">
        <f t="shared" si="25"/>
        <v>#REF!</v>
      </c>
      <c r="O60" s="236" t="e">
        <f t="shared" si="25"/>
        <v>#REF!</v>
      </c>
      <c r="P60" s="236" t="e">
        <f t="shared" si="25"/>
        <v>#REF!</v>
      </c>
      <c r="Q60" s="236" t="e">
        <f t="shared" si="25"/>
        <v>#REF!</v>
      </c>
      <c r="R60" s="236" t="e">
        <f t="shared" si="25"/>
        <v>#REF!</v>
      </c>
      <c r="S60" s="236" t="e">
        <f>ROUND((R60*(1+$AI60))/100,0)*100</f>
        <v>#REF!</v>
      </c>
      <c r="T60" s="236" t="e">
        <f>ROUND((S60*(1+$AI60))/100,0)*100</f>
        <v>#REF!</v>
      </c>
      <c r="U60" s="236" t="e">
        <f>ROUND((T60*(1+$AI60))/100,0)*100</f>
        <v>#REF!</v>
      </c>
      <c r="V60" s="236" t="e">
        <f t="shared" ref="V60:AG60" si="26">ROUND((U60*(1+$AI60))/100,0)*100</f>
        <v>#REF!</v>
      </c>
      <c r="W60" s="236" t="e">
        <f t="shared" si="26"/>
        <v>#REF!</v>
      </c>
      <c r="X60" s="236" t="e">
        <f t="shared" si="26"/>
        <v>#REF!</v>
      </c>
      <c r="Y60" s="236" t="e">
        <f t="shared" si="26"/>
        <v>#REF!</v>
      </c>
      <c r="Z60" s="236" t="e">
        <f t="shared" si="26"/>
        <v>#REF!</v>
      </c>
      <c r="AA60" s="236" t="e">
        <f t="shared" si="26"/>
        <v>#REF!</v>
      </c>
      <c r="AB60" s="236" t="e">
        <f t="shared" si="26"/>
        <v>#REF!</v>
      </c>
      <c r="AC60" s="236" t="e">
        <f t="shared" si="26"/>
        <v>#REF!</v>
      </c>
      <c r="AD60" s="236" t="e">
        <f t="shared" si="26"/>
        <v>#REF!</v>
      </c>
      <c r="AE60" s="236" t="e">
        <f t="shared" si="26"/>
        <v>#REF!</v>
      </c>
      <c r="AF60" s="236" t="e">
        <f t="shared" si="26"/>
        <v>#REF!</v>
      </c>
      <c r="AG60" s="236" t="e">
        <f t="shared" si="26"/>
        <v>#REF!</v>
      </c>
      <c r="AH60" s="245" t="e">
        <f>#REF!</f>
        <v>#REF!</v>
      </c>
      <c r="AI60" s="232" t="e">
        <f>#REF!</f>
        <v>#REF!</v>
      </c>
      <c r="AJ60" s="290" t="s">
        <v>354</v>
      </c>
      <c r="AK60" s="291" t="s">
        <v>355</v>
      </c>
    </row>
    <row r="61" spans="1:41">
      <c r="A61" s="171" t="s">
        <v>399</v>
      </c>
      <c r="B61" s="171" t="s">
        <v>309</v>
      </c>
      <c r="C61" s="236" t="e">
        <f>C14</f>
        <v>#REF!</v>
      </c>
      <c r="D61" s="236" t="e">
        <f>ROUND((C61*(1+$AH61))/1000,0)*1000</f>
        <v>#REF!</v>
      </c>
      <c r="E61" s="236" t="e">
        <f>ROUND((D61*(1+$AH61))/1000,0)*1000</f>
        <v>#REF!</v>
      </c>
      <c r="F61" s="236" t="e">
        <f>ROUND((E61*(1+$AH61))/1000,0)*1000</f>
        <v>#REF!</v>
      </c>
      <c r="G61" s="236" t="e">
        <f>ROUND((F61*(1+$AI61))/1000,0)*1000</f>
        <v>#REF!</v>
      </c>
      <c r="H61" s="236" t="e">
        <f>ROUND((G61*(1+$AH61))/1000,0)*1000</f>
        <v>#REF!</v>
      </c>
      <c r="I61" s="236" t="e">
        <f t="shared" ref="I61:AG61" si="27">ROUND((H61*(1+$AI61))/1000,0)*1000</f>
        <v>#REF!</v>
      </c>
      <c r="J61" s="236" t="e">
        <f t="shared" si="27"/>
        <v>#REF!</v>
      </c>
      <c r="K61" s="236" t="e">
        <f t="shared" si="27"/>
        <v>#REF!</v>
      </c>
      <c r="L61" s="236" t="e">
        <f t="shared" si="27"/>
        <v>#REF!</v>
      </c>
      <c r="M61" s="236" t="e">
        <f t="shared" si="27"/>
        <v>#REF!</v>
      </c>
      <c r="N61" s="236" t="e">
        <f t="shared" si="27"/>
        <v>#REF!</v>
      </c>
      <c r="O61" s="236" t="e">
        <f t="shared" si="27"/>
        <v>#REF!</v>
      </c>
      <c r="P61" s="236" t="e">
        <f t="shared" si="27"/>
        <v>#REF!</v>
      </c>
      <c r="Q61" s="236" t="e">
        <f t="shared" si="27"/>
        <v>#REF!</v>
      </c>
      <c r="R61" s="236" t="e">
        <f t="shared" si="27"/>
        <v>#REF!</v>
      </c>
      <c r="S61" s="236" t="e">
        <f t="shared" si="27"/>
        <v>#REF!</v>
      </c>
      <c r="T61" s="236" t="e">
        <f t="shared" si="27"/>
        <v>#REF!</v>
      </c>
      <c r="U61" s="236" t="e">
        <f t="shared" si="27"/>
        <v>#REF!</v>
      </c>
      <c r="V61" s="236" t="e">
        <f t="shared" si="27"/>
        <v>#REF!</v>
      </c>
      <c r="W61" s="236" t="e">
        <f t="shared" si="27"/>
        <v>#REF!</v>
      </c>
      <c r="X61" s="236" t="e">
        <f t="shared" si="27"/>
        <v>#REF!</v>
      </c>
      <c r="Y61" s="236" t="e">
        <f t="shared" si="27"/>
        <v>#REF!</v>
      </c>
      <c r="Z61" s="236" t="e">
        <f t="shared" si="27"/>
        <v>#REF!</v>
      </c>
      <c r="AA61" s="236" t="e">
        <f t="shared" si="27"/>
        <v>#REF!</v>
      </c>
      <c r="AB61" s="236" t="e">
        <f t="shared" si="27"/>
        <v>#REF!</v>
      </c>
      <c r="AC61" s="236" t="e">
        <f t="shared" si="27"/>
        <v>#REF!</v>
      </c>
      <c r="AD61" s="236" t="e">
        <f t="shared" si="27"/>
        <v>#REF!</v>
      </c>
      <c r="AE61" s="236" t="e">
        <f t="shared" si="27"/>
        <v>#REF!</v>
      </c>
      <c r="AF61" s="236" t="e">
        <f t="shared" si="27"/>
        <v>#REF!</v>
      </c>
      <c r="AG61" s="236" t="e">
        <f t="shared" si="27"/>
        <v>#REF!</v>
      </c>
      <c r="AH61" s="245" t="e">
        <f>#REF!</f>
        <v>#REF!</v>
      </c>
      <c r="AI61" s="232" t="e">
        <f>#REF!</f>
        <v>#REF!</v>
      </c>
      <c r="AJ61" s="290" t="s">
        <v>352</v>
      </c>
      <c r="AK61" s="291" t="s">
        <v>353</v>
      </c>
    </row>
    <row r="62" spans="1:41" s="247" customFormat="1" ht="9.75" customHeight="1">
      <c r="A62" s="246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  <c r="AE62" s="248"/>
      <c r="AF62" s="248"/>
      <c r="AG62" s="248"/>
      <c r="AH62" s="249"/>
    </row>
    <row r="63" spans="1:41">
      <c r="A63" s="293" t="s">
        <v>356</v>
      </c>
      <c r="B63" s="171" t="s">
        <v>300</v>
      </c>
      <c r="C63" s="304" t="e">
        <f>#REF!/($C$27*$C$28)</f>
        <v>#REF!</v>
      </c>
      <c r="D63" s="250" t="e">
        <f t="shared" ref="D63:S66" si="28">ROUND(C63*(1+$AH63),2)</f>
        <v>#REF!</v>
      </c>
      <c r="E63" s="250" t="e">
        <f t="shared" si="28"/>
        <v>#REF!</v>
      </c>
      <c r="F63" s="250" t="e">
        <f t="shared" si="28"/>
        <v>#REF!</v>
      </c>
      <c r="G63" s="250" t="e">
        <f t="shared" si="28"/>
        <v>#REF!</v>
      </c>
      <c r="H63" s="250" t="e">
        <f t="shared" si="28"/>
        <v>#REF!</v>
      </c>
      <c r="I63" s="250" t="e">
        <f t="shared" si="28"/>
        <v>#REF!</v>
      </c>
      <c r="J63" s="250" t="e">
        <f t="shared" si="28"/>
        <v>#REF!</v>
      </c>
      <c r="K63" s="250" t="e">
        <f t="shared" si="28"/>
        <v>#REF!</v>
      </c>
      <c r="L63" s="250" t="e">
        <f t="shared" si="28"/>
        <v>#REF!</v>
      </c>
      <c r="M63" s="250" t="e">
        <f t="shared" si="28"/>
        <v>#REF!</v>
      </c>
      <c r="N63" s="250" t="e">
        <f t="shared" si="28"/>
        <v>#REF!</v>
      </c>
      <c r="O63" s="250" t="e">
        <f t="shared" si="28"/>
        <v>#REF!</v>
      </c>
      <c r="P63" s="250" t="e">
        <f t="shared" si="28"/>
        <v>#REF!</v>
      </c>
      <c r="Q63" s="250" t="e">
        <f t="shared" si="28"/>
        <v>#REF!</v>
      </c>
      <c r="R63" s="250" t="e">
        <f t="shared" si="28"/>
        <v>#REF!</v>
      </c>
      <c r="S63" s="250" t="e">
        <f t="shared" si="28"/>
        <v>#REF!</v>
      </c>
      <c r="T63" s="250" t="e">
        <f t="shared" ref="T63:AG66" si="29">ROUND(S63*(1+$AH63),2)</f>
        <v>#REF!</v>
      </c>
      <c r="U63" s="250" t="e">
        <f t="shared" si="29"/>
        <v>#REF!</v>
      </c>
      <c r="V63" s="250" t="e">
        <f t="shared" si="29"/>
        <v>#REF!</v>
      </c>
      <c r="W63" s="250" t="e">
        <f t="shared" si="29"/>
        <v>#REF!</v>
      </c>
      <c r="X63" s="250" t="e">
        <f t="shared" si="29"/>
        <v>#REF!</v>
      </c>
      <c r="Y63" s="250" t="e">
        <f t="shared" si="29"/>
        <v>#REF!</v>
      </c>
      <c r="Z63" s="250" t="e">
        <f t="shared" si="29"/>
        <v>#REF!</v>
      </c>
      <c r="AA63" s="250" t="e">
        <f t="shared" si="29"/>
        <v>#REF!</v>
      </c>
      <c r="AB63" s="250" t="e">
        <f t="shared" si="29"/>
        <v>#REF!</v>
      </c>
      <c r="AC63" s="250" t="e">
        <f t="shared" si="29"/>
        <v>#REF!</v>
      </c>
      <c r="AD63" s="250" t="e">
        <f t="shared" si="29"/>
        <v>#REF!</v>
      </c>
      <c r="AE63" s="250" t="e">
        <f t="shared" si="29"/>
        <v>#REF!</v>
      </c>
      <c r="AF63" s="250" t="e">
        <f t="shared" si="29"/>
        <v>#REF!</v>
      </c>
      <c r="AG63" s="250" t="e">
        <f t="shared" si="29"/>
        <v>#REF!</v>
      </c>
      <c r="AH63" s="245" t="e">
        <f>#REF!</f>
        <v>#REF!</v>
      </c>
    </row>
    <row r="64" spans="1:41">
      <c r="A64" s="293" t="s">
        <v>357</v>
      </c>
      <c r="B64" s="171" t="s">
        <v>300</v>
      </c>
      <c r="C64" s="250" t="e">
        <f>C63+0.5</f>
        <v>#REF!</v>
      </c>
      <c r="D64" s="250" t="e">
        <f t="shared" si="28"/>
        <v>#REF!</v>
      </c>
      <c r="E64" s="250" t="e">
        <f t="shared" si="28"/>
        <v>#REF!</v>
      </c>
      <c r="F64" s="250" t="e">
        <f t="shared" si="28"/>
        <v>#REF!</v>
      </c>
      <c r="G64" s="250" t="e">
        <f t="shared" si="28"/>
        <v>#REF!</v>
      </c>
      <c r="H64" s="250" t="e">
        <f t="shared" si="28"/>
        <v>#REF!</v>
      </c>
      <c r="I64" s="250" t="e">
        <f t="shared" si="28"/>
        <v>#REF!</v>
      </c>
      <c r="J64" s="250" t="e">
        <f t="shared" si="28"/>
        <v>#REF!</v>
      </c>
      <c r="K64" s="250" t="e">
        <f t="shared" si="28"/>
        <v>#REF!</v>
      </c>
      <c r="L64" s="250" t="e">
        <f t="shared" si="28"/>
        <v>#REF!</v>
      </c>
      <c r="M64" s="250" t="e">
        <f t="shared" si="28"/>
        <v>#REF!</v>
      </c>
      <c r="N64" s="250" t="e">
        <f t="shared" si="28"/>
        <v>#REF!</v>
      </c>
      <c r="O64" s="250" t="e">
        <f t="shared" si="28"/>
        <v>#REF!</v>
      </c>
      <c r="P64" s="250" t="e">
        <f t="shared" si="28"/>
        <v>#REF!</v>
      </c>
      <c r="Q64" s="250" t="e">
        <f t="shared" si="28"/>
        <v>#REF!</v>
      </c>
      <c r="R64" s="250" t="e">
        <f t="shared" si="28"/>
        <v>#REF!</v>
      </c>
      <c r="S64" s="250" t="e">
        <f t="shared" si="28"/>
        <v>#REF!</v>
      </c>
      <c r="T64" s="250" t="e">
        <f t="shared" si="29"/>
        <v>#REF!</v>
      </c>
      <c r="U64" s="250" t="e">
        <f t="shared" si="29"/>
        <v>#REF!</v>
      </c>
      <c r="V64" s="250" t="e">
        <f t="shared" si="29"/>
        <v>#REF!</v>
      </c>
      <c r="W64" s="250" t="e">
        <f t="shared" si="29"/>
        <v>#REF!</v>
      </c>
      <c r="X64" s="250" t="e">
        <f t="shared" si="29"/>
        <v>#REF!</v>
      </c>
      <c r="Y64" s="250" t="e">
        <f t="shared" si="29"/>
        <v>#REF!</v>
      </c>
      <c r="Z64" s="250" t="e">
        <f t="shared" si="29"/>
        <v>#REF!</v>
      </c>
      <c r="AA64" s="250" t="e">
        <f t="shared" si="29"/>
        <v>#REF!</v>
      </c>
      <c r="AB64" s="250" t="e">
        <f t="shared" si="29"/>
        <v>#REF!</v>
      </c>
      <c r="AC64" s="250" t="e">
        <f t="shared" si="29"/>
        <v>#REF!</v>
      </c>
      <c r="AD64" s="250" t="e">
        <f t="shared" si="29"/>
        <v>#REF!</v>
      </c>
      <c r="AE64" s="250" t="e">
        <f t="shared" si="29"/>
        <v>#REF!</v>
      </c>
      <c r="AF64" s="250" t="e">
        <f t="shared" si="29"/>
        <v>#REF!</v>
      </c>
      <c r="AG64" s="250" t="e">
        <f t="shared" si="29"/>
        <v>#REF!</v>
      </c>
      <c r="AH64" s="245" t="e">
        <f>#REF!</f>
        <v>#REF!</v>
      </c>
    </row>
    <row r="65" spans="1:36">
      <c r="A65" s="171" t="s">
        <v>400</v>
      </c>
      <c r="B65" s="171" t="s">
        <v>300</v>
      </c>
      <c r="C65" s="250" t="e">
        <f>C15</f>
        <v>#REF!</v>
      </c>
      <c r="D65" s="250" t="e">
        <f t="shared" si="28"/>
        <v>#REF!</v>
      </c>
      <c r="E65" s="250" t="e">
        <f t="shared" si="28"/>
        <v>#REF!</v>
      </c>
      <c r="F65" s="250" t="e">
        <f t="shared" si="28"/>
        <v>#REF!</v>
      </c>
      <c r="G65" s="250" t="e">
        <f t="shared" si="28"/>
        <v>#REF!</v>
      </c>
      <c r="H65" s="250" t="e">
        <f t="shared" si="28"/>
        <v>#REF!</v>
      </c>
      <c r="I65" s="250" t="e">
        <f t="shared" si="28"/>
        <v>#REF!</v>
      </c>
      <c r="J65" s="250" t="e">
        <f t="shared" si="28"/>
        <v>#REF!</v>
      </c>
      <c r="K65" s="250" t="e">
        <f t="shared" si="28"/>
        <v>#REF!</v>
      </c>
      <c r="L65" s="250" t="e">
        <f t="shared" si="28"/>
        <v>#REF!</v>
      </c>
      <c r="M65" s="250" t="e">
        <f t="shared" si="28"/>
        <v>#REF!</v>
      </c>
      <c r="N65" s="250" t="e">
        <f t="shared" si="28"/>
        <v>#REF!</v>
      </c>
      <c r="O65" s="250" t="e">
        <f t="shared" si="28"/>
        <v>#REF!</v>
      </c>
      <c r="P65" s="250" t="e">
        <f t="shared" si="28"/>
        <v>#REF!</v>
      </c>
      <c r="Q65" s="250" t="e">
        <f t="shared" si="28"/>
        <v>#REF!</v>
      </c>
      <c r="R65" s="250" t="e">
        <f t="shared" si="28"/>
        <v>#REF!</v>
      </c>
      <c r="S65" s="250" t="e">
        <f t="shared" si="28"/>
        <v>#REF!</v>
      </c>
      <c r="T65" s="250" t="e">
        <f t="shared" si="29"/>
        <v>#REF!</v>
      </c>
      <c r="U65" s="250" t="e">
        <f t="shared" si="29"/>
        <v>#REF!</v>
      </c>
      <c r="V65" s="250" t="e">
        <f t="shared" si="29"/>
        <v>#REF!</v>
      </c>
      <c r="W65" s="250" t="e">
        <f t="shared" si="29"/>
        <v>#REF!</v>
      </c>
      <c r="X65" s="250" t="e">
        <f t="shared" si="29"/>
        <v>#REF!</v>
      </c>
      <c r="Y65" s="250" t="e">
        <f t="shared" si="29"/>
        <v>#REF!</v>
      </c>
      <c r="Z65" s="250" t="e">
        <f t="shared" si="29"/>
        <v>#REF!</v>
      </c>
      <c r="AA65" s="250" t="e">
        <f t="shared" si="29"/>
        <v>#REF!</v>
      </c>
      <c r="AB65" s="250" t="e">
        <f t="shared" si="29"/>
        <v>#REF!</v>
      </c>
      <c r="AC65" s="250" t="e">
        <f t="shared" si="29"/>
        <v>#REF!</v>
      </c>
      <c r="AD65" s="250" t="e">
        <f t="shared" si="29"/>
        <v>#REF!</v>
      </c>
      <c r="AE65" s="250" t="e">
        <f t="shared" si="29"/>
        <v>#REF!</v>
      </c>
      <c r="AF65" s="250" t="e">
        <f t="shared" si="29"/>
        <v>#REF!</v>
      </c>
      <c r="AG65" s="250" t="e">
        <f t="shared" si="29"/>
        <v>#REF!</v>
      </c>
      <c r="AH65" s="245" t="e">
        <f>#REF!</f>
        <v>#REF!</v>
      </c>
    </row>
    <row r="66" spans="1:36">
      <c r="A66" s="171" t="s">
        <v>401</v>
      </c>
      <c r="B66" s="171" t="s">
        <v>300</v>
      </c>
      <c r="C66" s="250" t="e">
        <f>C65+0.5</f>
        <v>#REF!</v>
      </c>
      <c r="D66" s="250" t="e">
        <f t="shared" si="28"/>
        <v>#REF!</v>
      </c>
      <c r="E66" s="250" t="e">
        <f t="shared" si="28"/>
        <v>#REF!</v>
      </c>
      <c r="F66" s="250" t="e">
        <f t="shared" si="28"/>
        <v>#REF!</v>
      </c>
      <c r="G66" s="250" t="e">
        <f t="shared" si="28"/>
        <v>#REF!</v>
      </c>
      <c r="H66" s="250" t="e">
        <f t="shared" si="28"/>
        <v>#REF!</v>
      </c>
      <c r="I66" s="250" t="e">
        <f t="shared" si="28"/>
        <v>#REF!</v>
      </c>
      <c r="J66" s="250" t="e">
        <f t="shared" si="28"/>
        <v>#REF!</v>
      </c>
      <c r="K66" s="250" t="e">
        <f t="shared" si="28"/>
        <v>#REF!</v>
      </c>
      <c r="L66" s="250" t="e">
        <f t="shared" si="28"/>
        <v>#REF!</v>
      </c>
      <c r="M66" s="250" t="e">
        <f t="shared" si="28"/>
        <v>#REF!</v>
      </c>
      <c r="N66" s="250" t="e">
        <f t="shared" si="28"/>
        <v>#REF!</v>
      </c>
      <c r="O66" s="250" t="e">
        <f t="shared" si="28"/>
        <v>#REF!</v>
      </c>
      <c r="P66" s="250" t="e">
        <f t="shared" si="28"/>
        <v>#REF!</v>
      </c>
      <c r="Q66" s="250" t="e">
        <f t="shared" si="28"/>
        <v>#REF!</v>
      </c>
      <c r="R66" s="250" t="e">
        <f t="shared" si="28"/>
        <v>#REF!</v>
      </c>
      <c r="S66" s="250" t="e">
        <f t="shared" si="28"/>
        <v>#REF!</v>
      </c>
      <c r="T66" s="250" t="e">
        <f t="shared" si="29"/>
        <v>#REF!</v>
      </c>
      <c r="U66" s="250" t="e">
        <f t="shared" si="29"/>
        <v>#REF!</v>
      </c>
      <c r="V66" s="250" t="e">
        <f t="shared" si="29"/>
        <v>#REF!</v>
      </c>
      <c r="W66" s="250" t="e">
        <f t="shared" si="29"/>
        <v>#REF!</v>
      </c>
      <c r="X66" s="250" t="e">
        <f t="shared" si="29"/>
        <v>#REF!</v>
      </c>
      <c r="Y66" s="250" t="e">
        <f t="shared" si="29"/>
        <v>#REF!</v>
      </c>
      <c r="Z66" s="250" t="e">
        <f t="shared" si="29"/>
        <v>#REF!</v>
      </c>
      <c r="AA66" s="250" t="e">
        <f t="shared" si="29"/>
        <v>#REF!</v>
      </c>
      <c r="AB66" s="250" t="e">
        <f t="shared" si="29"/>
        <v>#REF!</v>
      </c>
      <c r="AC66" s="250" t="e">
        <f t="shared" si="29"/>
        <v>#REF!</v>
      </c>
      <c r="AD66" s="250" t="e">
        <f t="shared" si="29"/>
        <v>#REF!</v>
      </c>
      <c r="AE66" s="250" t="e">
        <f t="shared" si="29"/>
        <v>#REF!</v>
      </c>
      <c r="AF66" s="250" t="e">
        <f t="shared" si="29"/>
        <v>#REF!</v>
      </c>
      <c r="AG66" s="250" t="e">
        <f t="shared" si="29"/>
        <v>#REF!</v>
      </c>
      <c r="AH66" s="245" t="e">
        <f>#REF!</f>
        <v>#REF!</v>
      </c>
    </row>
    <row r="67" spans="1:36">
      <c r="A67" s="171" t="s">
        <v>402</v>
      </c>
      <c r="B67" s="171" t="s">
        <v>300</v>
      </c>
      <c r="C67" s="250" t="e">
        <f>#REF!</f>
        <v>#REF!</v>
      </c>
      <c r="D67" s="250" t="e">
        <f>ROUND(C67*(1+$AH67),2)</f>
        <v>#REF!</v>
      </c>
      <c r="E67" s="250" t="e">
        <f>ROUND(D67*(1+$AH67),2)</f>
        <v>#REF!</v>
      </c>
      <c r="F67" s="250" t="e">
        <f>ROUND(E67*(1+$AH67),2)</f>
        <v>#REF!</v>
      </c>
      <c r="G67" s="250" t="e">
        <f>ROUND(F67*(1+$AH67),2)</f>
        <v>#REF!</v>
      </c>
      <c r="H67" s="250" t="e">
        <f>ROUND(G67*(1+$AH67),2)</f>
        <v>#REF!</v>
      </c>
      <c r="I67" s="250" t="e">
        <f>ROUND(H67*(1+$AI67),2)</f>
        <v>#REF!</v>
      </c>
      <c r="J67" s="250" t="e">
        <f t="shared" ref="J67:AG67" si="30">ROUND(I67*(1+$AI67),2)</f>
        <v>#REF!</v>
      </c>
      <c r="K67" s="250" t="e">
        <f t="shared" si="30"/>
        <v>#REF!</v>
      </c>
      <c r="L67" s="250" t="e">
        <f t="shared" si="30"/>
        <v>#REF!</v>
      </c>
      <c r="M67" s="250" t="e">
        <f t="shared" si="30"/>
        <v>#REF!</v>
      </c>
      <c r="N67" s="250" t="e">
        <f t="shared" si="30"/>
        <v>#REF!</v>
      </c>
      <c r="O67" s="250" t="e">
        <f t="shared" si="30"/>
        <v>#REF!</v>
      </c>
      <c r="P67" s="250" t="e">
        <f t="shared" si="30"/>
        <v>#REF!</v>
      </c>
      <c r="Q67" s="250" t="e">
        <f t="shared" si="30"/>
        <v>#REF!</v>
      </c>
      <c r="R67" s="250" t="e">
        <f t="shared" si="30"/>
        <v>#REF!</v>
      </c>
      <c r="S67" s="250" t="e">
        <f t="shared" si="30"/>
        <v>#REF!</v>
      </c>
      <c r="T67" s="250" t="e">
        <f t="shared" si="30"/>
        <v>#REF!</v>
      </c>
      <c r="U67" s="250" t="e">
        <f t="shared" si="30"/>
        <v>#REF!</v>
      </c>
      <c r="V67" s="250" t="e">
        <f t="shared" si="30"/>
        <v>#REF!</v>
      </c>
      <c r="W67" s="250" t="e">
        <f t="shared" si="30"/>
        <v>#REF!</v>
      </c>
      <c r="X67" s="250" t="e">
        <f t="shared" si="30"/>
        <v>#REF!</v>
      </c>
      <c r="Y67" s="250" t="e">
        <f t="shared" si="30"/>
        <v>#REF!</v>
      </c>
      <c r="Z67" s="250" t="e">
        <f t="shared" si="30"/>
        <v>#REF!</v>
      </c>
      <c r="AA67" s="250" t="e">
        <f t="shared" si="30"/>
        <v>#REF!</v>
      </c>
      <c r="AB67" s="250" t="e">
        <f t="shared" si="30"/>
        <v>#REF!</v>
      </c>
      <c r="AC67" s="250" t="e">
        <f t="shared" si="30"/>
        <v>#REF!</v>
      </c>
      <c r="AD67" s="250" t="e">
        <f t="shared" si="30"/>
        <v>#REF!</v>
      </c>
      <c r="AE67" s="250" t="e">
        <f t="shared" si="30"/>
        <v>#REF!</v>
      </c>
      <c r="AF67" s="250" t="e">
        <f t="shared" si="30"/>
        <v>#REF!</v>
      </c>
      <c r="AG67" s="250" t="e">
        <f t="shared" si="30"/>
        <v>#REF!</v>
      </c>
      <c r="AH67" s="245" t="e">
        <f>#REF!</f>
        <v>#REF!</v>
      </c>
      <c r="AI67" s="245" t="e">
        <f>#REF!</f>
        <v>#REF!</v>
      </c>
    </row>
    <row r="68" spans="1:36">
      <c r="A68" s="171" t="s">
        <v>358</v>
      </c>
      <c r="B68" s="171" t="s">
        <v>359</v>
      </c>
      <c r="C68" s="251">
        <v>25000</v>
      </c>
      <c r="D68" s="251">
        <f t="shared" ref="D68:AG68" si="31">C68</f>
        <v>25000</v>
      </c>
      <c r="E68" s="251">
        <f t="shared" si="31"/>
        <v>25000</v>
      </c>
      <c r="F68" s="251">
        <f t="shared" si="31"/>
        <v>25000</v>
      </c>
      <c r="G68" s="251">
        <f t="shared" si="31"/>
        <v>25000</v>
      </c>
      <c r="H68" s="251">
        <f t="shared" si="31"/>
        <v>25000</v>
      </c>
      <c r="I68" s="251">
        <f t="shared" si="31"/>
        <v>25000</v>
      </c>
      <c r="J68" s="251">
        <f t="shared" si="31"/>
        <v>25000</v>
      </c>
      <c r="K68" s="251">
        <f t="shared" si="31"/>
        <v>25000</v>
      </c>
      <c r="L68" s="251">
        <f t="shared" si="31"/>
        <v>25000</v>
      </c>
      <c r="M68" s="251">
        <f t="shared" si="31"/>
        <v>25000</v>
      </c>
      <c r="N68" s="251">
        <f t="shared" si="31"/>
        <v>25000</v>
      </c>
      <c r="O68" s="251">
        <f t="shared" si="31"/>
        <v>25000</v>
      </c>
      <c r="P68" s="251">
        <f t="shared" si="31"/>
        <v>25000</v>
      </c>
      <c r="Q68" s="251">
        <f t="shared" si="31"/>
        <v>25000</v>
      </c>
      <c r="R68" s="251">
        <f t="shared" si="31"/>
        <v>25000</v>
      </c>
      <c r="S68" s="251">
        <f t="shared" si="31"/>
        <v>25000</v>
      </c>
      <c r="T68" s="251">
        <f t="shared" si="31"/>
        <v>25000</v>
      </c>
      <c r="U68" s="251">
        <f t="shared" si="31"/>
        <v>25000</v>
      </c>
      <c r="V68" s="251">
        <f t="shared" si="31"/>
        <v>25000</v>
      </c>
      <c r="W68" s="251">
        <f t="shared" si="31"/>
        <v>25000</v>
      </c>
      <c r="X68" s="251">
        <f t="shared" si="31"/>
        <v>25000</v>
      </c>
      <c r="Y68" s="251">
        <f t="shared" si="31"/>
        <v>25000</v>
      </c>
      <c r="Z68" s="251">
        <f t="shared" si="31"/>
        <v>25000</v>
      </c>
      <c r="AA68" s="251">
        <f t="shared" si="31"/>
        <v>25000</v>
      </c>
      <c r="AB68" s="251">
        <f t="shared" si="31"/>
        <v>25000</v>
      </c>
      <c r="AC68" s="251">
        <f t="shared" si="31"/>
        <v>25000</v>
      </c>
      <c r="AD68" s="251">
        <f t="shared" si="31"/>
        <v>25000</v>
      </c>
      <c r="AE68" s="251">
        <f t="shared" si="31"/>
        <v>25000</v>
      </c>
      <c r="AF68" s="251">
        <f t="shared" si="31"/>
        <v>25000</v>
      </c>
      <c r="AG68" s="251">
        <f t="shared" si="31"/>
        <v>25000</v>
      </c>
      <c r="AH68" s="245"/>
    </row>
    <row r="69" spans="1:36">
      <c r="A69" s="171" t="s">
        <v>403</v>
      </c>
      <c r="B69" s="253" t="s">
        <v>300</v>
      </c>
      <c r="C69" s="250" t="e">
        <f>C67+1</f>
        <v>#REF!</v>
      </c>
      <c r="D69" s="250" t="e">
        <f t="shared" ref="D69:AG69" si="32">D67+1</f>
        <v>#REF!</v>
      </c>
      <c r="E69" s="250" t="e">
        <f t="shared" si="32"/>
        <v>#REF!</v>
      </c>
      <c r="F69" s="250" t="e">
        <f t="shared" si="32"/>
        <v>#REF!</v>
      </c>
      <c r="G69" s="250" t="e">
        <f t="shared" si="32"/>
        <v>#REF!</v>
      </c>
      <c r="H69" s="250" t="e">
        <f t="shared" si="32"/>
        <v>#REF!</v>
      </c>
      <c r="I69" s="250" t="e">
        <f t="shared" si="32"/>
        <v>#REF!</v>
      </c>
      <c r="J69" s="250" t="e">
        <f t="shared" si="32"/>
        <v>#REF!</v>
      </c>
      <c r="K69" s="250" t="e">
        <f t="shared" si="32"/>
        <v>#REF!</v>
      </c>
      <c r="L69" s="250" t="e">
        <f t="shared" si="32"/>
        <v>#REF!</v>
      </c>
      <c r="M69" s="250" t="e">
        <f t="shared" si="32"/>
        <v>#REF!</v>
      </c>
      <c r="N69" s="250" t="e">
        <f t="shared" si="32"/>
        <v>#REF!</v>
      </c>
      <c r="O69" s="250" t="e">
        <f t="shared" si="32"/>
        <v>#REF!</v>
      </c>
      <c r="P69" s="250" t="e">
        <f t="shared" si="32"/>
        <v>#REF!</v>
      </c>
      <c r="Q69" s="250" t="e">
        <f t="shared" si="32"/>
        <v>#REF!</v>
      </c>
      <c r="R69" s="250" t="e">
        <f t="shared" si="32"/>
        <v>#REF!</v>
      </c>
      <c r="S69" s="250" t="e">
        <f t="shared" si="32"/>
        <v>#REF!</v>
      </c>
      <c r="T69" s="250" t="e">
        <f t="shared" si="32"/>
        <v>#REF!</v>
      </c>
      <c r="U69" s="250" t="e">
        <f t="shared" si="32"/>
        <v>#REF!</v>
      </c>
      <c r="V69" s="250" t="e">
        <f t="shared" si="32"/>
        <v>#REF!</v>
      </c>
      <c r="W69" s="250" t="e">
        <f t="shared" si="32"/>
        <v>#REF!</v>
      </c>
      <c r="X69" s="250" t="e">
        <f t="shared" si="32"/>
        <v>#REF!</v>
      </c>
      <c r="Y69" s="250" t="e">
        <f t="shared" si="32"/>
        <v>#REF!</v>
      </c>
      <c r="Z69" s="250" t="e">
        <f t="shared" si="32"/>
        <v>#REF!</v>
      </c>
      <c r="AA69" s="250" t="e">
        <f t="shared" si="32"/>
        <v>#REF!</v>
      </c>
      <c r="AB69" s="250" t="e">
        <f t="shared" si="32"/>
        <v>#REF!</v>
      </c>
      <c r="AC69" s="250" t="e">
        <f t="shared" si="32"/>
        <v>#REF!</v>
      </c>
      <c r="AD69" s="250" t="e">
        <f t="shared" si="32"/>
        <v>#REF!</v>
      </c>
      <c r="AE69" s="250" t="e">
        <f t="shared" si="32"/>
        <v>#REF!</v>
      </c>
      <c r="AF69" s="250" t="e">
        <f t="shared" si="32"/>
        <v>#REF!</v>
      </c>
      <c r="AG69" s="250" t="e">
        <f t="shared" si="32"/>
        <v>#REF!</v>
      </c>
      <c r="AH69" s="245"/>
    </row>
    <row r="70" spans="1:36">
      <c r="A70" s="171" t="s">
        <v>360</v>
      </c>
      <c r="B70" s="253" t="s">
        <v>305</v>
      </c>
      <c r="C70" s="236" t="e">
        <f t="shared" ref="C70" si="33">$C$16*$C$27*$C$28</f>
        <v>#REF!</v>
      </c>
      <c r="D70" s="236" t="e">
        <f>C70</f>
        <v>#REF!</v>
      </c>
      <c r="E70" s="236" t="e">
        <f>D70*(1+$AH$70)</f>
        <v>#REF!</v>
      </c>
      <c r="F70" s="236" t="e">
        <f t="shared" ref="F70:AG70" si="34">E70</f>
        <v>#REF!</v>
      </c>
      <c r="G70" s="236" t="e">
        <f t="shared" si="34"/>
        <v>#REF!</v>
      </c>
      <c r="H70" s="236" t="e">
        <f>G70*(1+$AH$70)</f>
        <v>#REF!</v>
      </c>
      <c r="I70" s="236" t="e">
        <f t="shared" si="34"/>
        <v>#REF!</v>
      </c>
      <c r="J70" s="236" t="e">
        <f t="shared" si="34"/>
        <v>#REF!</v>
      </c>
      <c r="K70" s="236" t="e">
        <f>J70*(1+$AH$70)</f>
        <v>#REF!</v>
      </c>
      <c r="L70" s="236" t="e">
        <f t="shared" si="34"/>
        <v>#REF!</v>
      </c>
      <c r="M70" s="236" t="e">
        <f t="shared" si="34"/>
        <v>#REF!</v>
      </c>
      <c r="N70" s="236" t="e">
        <f>M70*(1+$AH$70)</f>
        <v>#REF!</v>
      </c>
      <c r="O70" s="236" t="e">
        <f t="shared" si="34"/>
        <v>#REF!</v>
      </c>
      <c r="P70" s="236" t="e">
        <f t="shared" si="34"/>
        <v>#REF!</v>
      </c>
      <c r="Q70" s="236" t="e">
        <f>P70*(1+$AH$70)</f>
        <v>#REF!</v>
      </c>
      <c r="R70" s="236" t="e">
        <f t="shared" si="34"/>
        <v>#REF!</v>
      </c>
      <c r="S70" s="236" t="e">
        <f t="shared" si="34"/>
        <v>#REF!</v>
      </c>
      <c r="T70" s="236" t="e">
        <f>S70*(1+$AH$70)</f>
        <v>#REF!</v>
      </c>
      <c r="U70" s="236" t="e">
        <f t="shared" si="34"/>
        <v>#REF!</v>
      </c>
      <c r="V70" s="236" t="e">
        <f t="shared" si="34"/>
        <v>#REF!</v>
      </c>
      <c r="W70" s="236" t="e">
        <f>V70*(1+$AH$70)</f>
        <v>#REF!</v>
      </c>
      <c r="X70" s="236" t="e">
        <f t="shared" si="34"/>
        <v>#REF!</v>
      </c>
      <c r="Y70" s="236" t="e">
        <f t="shared" si="34"/>
        <v>#REF!</v>
      </c>
      <c r="Z70" s="236" t="e">
        <f>Y70*(1+$AH$70)</f>
        <v>#REF!</v>
      </c>
      <c r="AA70" s="236" t="e">
        <f t="shared" si="34"/>
        <v>#REF!</v>
      </c>
      <c r="AB70" s="236" t="e">
        <f t="shared" si="34"/>
        <v>#REF!</v>
      </c>
      <c r="AC70" s="236" t="e">
        <f>AB70*(1+$AH$70)</f>
        <v>#REF!</v>
      </c>
      <c r="AD70" s="236" t="e">
        <f t="shared" si="34"/>
        <v>#REF!</v>
      </c>
      <c r="AE70" s="236" t="e">
        <f t="shared" si="34"/>
        <v>#REF!</v>
      </c>
      <c r="AF70" s="236" t="e">
        <f>AE70*(1+$AH$70)</f>
        <v>#REF!</v>
      </c>
      <c r="AG70" s="236" t="e">
        <f t="shared" si="34"/>
        <v>#REF!</v>
      </c>
      <c r="AH70" s="245" t="e">
        <f>#REF!</f>
        <v>#REF!</v>
      </c>
      <c r="AI70" s="294"/>
      <c r="AJ70" s="179"/>
    </row>
    <row r="71" spans="1:36">
      <c r="C71" s="975" t="s">
        <v>404</v>
      </c>
      <c r="D71" s="975"/>
      <c r="E71" s="975"/>
      <c r="F71" s="975"/>
      <c r="G71" s="975"/>
    </row>
    <row r="72" spans="1:36" s="256" customFormat="1">
      <c r="A72" s="254"/>
      <c r="B72" s="254"/>
      <c r="C72" s="255" t="s">
        <v>178</v>
      </c>
      <c r="D72" s="255" t="s">
        <v>179</v>
      </c>
      <c r="E72" s="255" t="s">
        <v>180</v>
      </c>
      <c r="F72" s="255" t="s">
        <v>181</v>
      </c>
      <c r="G72" s="255" t="s">
        <v>182</v>
      </c>
      <c r="H72" s="255" t="s">
        <v>239</v>
      </c>
    </row>
    <row r="73" spans="1:36">
      <c r="A73" s="171" t="s">
        <v>405</v>
      </c>
      <c r="B73" s="171" t="s">
        <v>281</v>
      </c>
      <c r="C73" s="257"/>
      <c r="D73" s="257"/>
      <c r="E73" s="307" t="e">
        <f>#REF!</f>
        <v>#REF!</v>
      </c>
      <c r="F73" s="308" t="e">
        <f>#REF!</f>
        <v>#REF!</v>
      </c>
      <c r="G73" s="171"/>
      <c r="H73" s="308" t="e">
        <f>#REF!</f>
        <v>#REF!</v>
      </c>
    </row>
    <row r="74" spans="1:36">
      <c r="A74" s="171" t="s">
        <v>405</v>
      </c>
      <c r="B74" s="171" t="s">
        <v>406</v>
      </c>
      <c r="C74" s="257">
        <v>250</v>
      </c>
      <c r="D74" s="257"/>
      <c r="E74" s="257"/>
      <c r="F74" s="257"/>
      <c r="G74" s="171"/>
      <c r="H74" s="257"/>
      <c r="J74" s="173">
        <f>139-69</f>
        <v>70</v>
      </c>
    </row>
    <row r="75" spans="1:36">
      <c r="A75" s="258" t="s">
        <v>407</v>
      </c>
      <c r="B75" s="258" t="s">
        <v>198</v>
      </c>
      <c r="C75" s="233">
        <v>0.85</v>
      </c>
      <c r="D75" s="259"/>
      <c r="E75" s="233">
        <v>0.85</v>
      </c>
      <c r="F75" s="233">
        <v>0.85</v>
      </c>
      <c r="G75" s="233">
        <v>0.87</v>
      </c>
      <c r="H75" s="233">
        <v>0.55000000000000004</v>
      </c>
      <c r="J75" s="173">
        <f>J74/139</f>
        <v>0.50359712230215825</v>
      </c>
    </row>
    <row r="76" spans="1:36">
      <c r="A76" s="171" t="s">
        <v>408</v>
      </c>
      <c r="B76" s="171" t="s">
        <v>198</v>
      </c>
      <c r="C76" s="233">
        <v>0.3</v>
      </c>
      <c r="D76" s="233"/>
      <c r="E76" s="233">
        <v>0.3</v>
      </c>
      <c r="F76" s="233">
        <v>0.33</v>
      </c>
      <c r="G76" s="233">
        <v>0.87</v>
      </c>
      <c r="H76" s="233">
        <v>0.5</v>
      </c>
    </row>
    <row r="77" spans="1:36">
      <c r="A77" s="171" t="s">
        <v>409</v>
      </c>
      <c r="B77" s="171" t="s">
        <v>198</v>
      </c>
      <c r="C77" s="233">
        <v>0</v>
      </c>
      <c r="D77" s="233"/>
      <c r="E77" s="233">
        <v>0</v>
      </c>
      <c r="F77" s="233">
        <v>0</v>
      </c>
      <c r="G77" s="233">
        <v>0.15</v>
      </c>
      <c r="H77" s="233">
        <v>0.15</v>
      </c>
    </row>
    <row r="78" spans="1:36">
      <c r="A78" s="171" t="s">
        <v>410</v>
      </c>
      <c r="B78" s="171" t="s">
        <v>198</v>
      </c>
      <c r="C78" s="260">
        <f>(C76)</f>
        <v>0.3</v>
      </c>
      <c r="D78" s="260"/>
      <c r="E78" s="260">
        <f t="shared" ref="E78:H78" si="35">(E76)</f>
        <v>0.3</v>
      </c>
      <c r="F78" s="260">
        <f t="shared" si="35"/>
        <v>0.33</v>
      </c>
      <c r="G78" s="260">
        <f t="shared" si="35"/>
        <v>0.87</v>
      </c>
      <c r="H78" s="260">
        <f t="shared" si="35"/>
        <v>0.5</v>
      </c>
      <c r="K78" s="173" t="s">
        <v>195</v>
      </c>
      <c r="L78" s="173" t="s">
        <v>285</v>
      </c>
      <c r="M78" s="173" t="s">
        <v>281</v>
      </c>
    </row>
    <row r="79" spans="1:36">
      <c r="A79" s="171" t="s">
        <v>345</v>
      </c>
      <c r="B79" s="171" t="s">
        <v>201</v>
      </c>
      <c r="C79" s="261"/>
      <c r="D79" s="261"/>
      <c r="E79" s="261"/>
      <c r="F79" s="261"/>
      <c r="G79" s="306" t="e">
        <f>#REF!</f>
        <v>#REF!</v>
      </c>
      <c r="H79" s="261"/>
      <c r="K79" s="173">
        <v>5</v>
      </c>
      <c r="L79" s="173">
        <v>1</v>
      </c>
      <c r="M79" s="173">
        <v>0.3</v>
      </c>
    </row>
    <row r="80" spans="1:36">
      <c r="A80" s="171"/>
      <c r="B80" s="171" t="s">
        <v>346</v>
      </c>
      <c r="C80" s="305" t="e">
        <f>#REF!</f>
        <v>#REF!</v>
      </c>
      <c r="D80" s="305" t="e">
        <f>#REF!</f>
        <v>#REF!</v>
      </c>
      <c r="E80" s="305" t="e">
        <f>#REF!</f>
        <v>#REF!</v>
      </c>
      <c r="F80" s="261" t="e">
        <f>3*C80</f>
        <v>#REF!</v>
      </c>
      <c r="G80" s="262"/>
      <c r="H80" s="261" t="e">
        <f>4*C80</f>
        <v>#REF!</v>
      </c>
      <c r="K80" s="173">
        <f>K79/M79</f>
        <v>16.666666666666668</v>
      </c>
      <c r="M80" s="173">
        <v>1</v>
      </c>
    </row>
    <row r="81" spans="1:35">
      <c r="A81" s="263" t="s">
        <v>411</v>
      </c>
      <c r="B81" s="263" t="s">
        <v>193</v>
      </c>
      <c r="C81" s="264"/>
      <c r="D81" s="264"/>
      <c r="E81" s="252" t="e">
        <f>E82/(C28)</f>
        <v>#REF!</v>
      </c>
      <c r="F81" s="264"/>
      <c r="G81" s="265" t="e">
        <f>C19</f>
        <v>#REF!</v>
      </c>
      <c r="H81" s="264"/>
    </row>
    <row r="82" spans="1:35" ht="29.1" customHeight="1">
      <c r="A82" s="266" t="s">
        <v>283</v>
      </c>
      <c r="B82" s="267" t="s">
        <v>412</v>
      </c>
      <c r="C82" s="252" t="e">
        <f>($C$27*$C$28)/C80</f>
        <v>#REF!</v>
      </c>
      <c r="D82" s="252" t="e">
        <f>($C$27*$C$28)/D80</f>
        <v>#REF!</v>
      </c>
      <c r="E82" s="252" t="e">
        <f>($C$27*$C$28)/E80</f>
        <v>#REF!</v>
      </c>
      <c r="F82" s="252" t="e">
        <f>($C$27*$C$28)/F80</f>
        <v>#REF!</v>
      </c>
      <c r="G82" s="252" t="e">
        <f>($C$27*$C$28*G79)</f>
        <v>#REF!</v>
      </c>
      <c r="H82" s="252" t="e">
        <f>($C$27*$C$28)/H80</f>
        <v>#REF!</v>
      </c>
      <c r="I82" s="268" t="e">
        <f>F82-H82</f>
        <v>#REF!</v>
      </c>
      <c r="J82" s="241" t="e">
        <f>I82/H82</f>
        <v>#REF!</v>
      </c>
      <c r="K82" s="173">
        <v>100</v>
      </c>
      <c r="M82" s="173">
        <v>9</v>
      </c>
    </row>
    <row r="83" spans="1:35">
      <c r="C83" s="173"/>
    </row>
    <row r="84" spans="1:35" s="225" customFormat="1">
      <c r="A84" s="223"/>
      <c r="B84" s="223"/>
    </row>
    <row r="85" spans="1:35">
      <c r="A85" s="235" t="s">
        <v>307</v>
      </c>
      <c r="B85" s="235"/>
      <c r="C85" s="235">
        <v>2025</v>
      </c>
      <c r="D85" s="235">
        <f t="shared" ref="D85:AG85" si="36">C85+1</f>
        <v>2026</v>
      </c>
      <c r="E85" s="235">
        <f t="shared" si="36"/>
        <v>2027</v>
      </c>
      <c r="F85" s="235">
        <f t="shared" si="36"/>
        <v>2028</v>
      </c>
      <c r="G85" s="235">
        <f t="shared" si="36"/>
        <v>2029</v>
      </c>
      <c r="H85" s="235">
        <f t="shared" si="36"/>
        <v>2030</v>
      </c>
      <c r="I85" s="235">
        <f t="shared" si="36"/>
        <v>2031</v>
      </c>
      <c r="J85" s="235">
        <f t="shared" si="36"/>
        <v>2032</v>
      </c>
      <c r="K85" s="235">
        <f t="shared" si="36"/>
        <v>2033</v>
      </c>
      <c r="L85" s="235">
        <f t="shared" si="36"/>
        <v>2034</v>
      </c>
      <c r="M85" s="235">
        <f t="shared" si="36"/>
        <v>2035</v>
      </c>
      <c r="N85" s="235">
        <f t="shared" si="36"/>
        <v>2036</v>
      </c>
      <c r="O85" s="235">
        <f t="shared" si="36"/>
        <v>2037</v>
      </c>
      <c r="P85" s="235">
        <f t="shared" si="36"/>
        <v>2038</v>
      </c>
      <c r="Q85" s="235">
        <f t="shared" si="36"/>
        <v>2039</v>
      </c>
      <c r="R85" s="235">
        <f t="shared" si="36"/>
        <v>2040</v>
      </c>
      <c r="S85" s="235">
        <f t="shared" si="36"/>
        <v>2041</v>
      </c>
      <c r="T85" s="235">
        <f t="shared" si="36"/>
        <v>2042</v>
      </c>
      <c r="U85" s="235">
        <f t="shared" si="36"/>
        <v>2043</v>
      </c>
      <c r="V85" s="235">
        <f t="shared" si="36"/>
        <v>2044</v>
      </c>
      <c r="W85" s="235">
        <f t="shared" si="36"/>
        <v>2045</v>
      </c>
      <c r="X85" s="235">
        <f t="shared" si="36"/>
        <v>2046</v>
      </c>
      <c r="Y85" s="235">
        <f t="shared" si="36"/>
        <v>2047</v>
      </c>
      <c r="Z85" s="235">
        <f t="shared" si="36"/>
        <v>2048</v>
      </c>
      <c r="AA85" s="235">
        <f t="shared" si="36"/>
        <v>2049</v>
      </c>
      <c r="AB85" s="235">
        <f t="shared" si="36"/>
        <v>2050</v>
      </c>
      <c r="AC85" s="235">
        <f t="shared" si="36"/>
        <v>2051</v>
      </c>
      <c r="AD85" s="235">
        <f t="shared" si="36"/>
        <v>2052</v>
      </c>
      <c r="AE85" s="235">
        <f t="shared" si="36"/>
        <v>2053</v>
      </c>
      <c r="AF85" s="235">
        <f t="shared" si="36"/>
        <v>2054</v>
      </c>
      <c r="AG85" s="235">
        <f t="shared" si="36"/>
        <v>2055</v>
      </c>
    </row>
    <row r="86" spans="1:35">
      <c r="A86" s="290" t="s">
        <v>308</v>
      </c>
      <c r="B86" s="173" t="s">
        <v>309</v>
      </c>
      <c r="C86" s="179" t="e">
        <f>C11</f>
        <v>#REF!</v>
      </c>
      <c r="D86" s="179" t="e">
        <f>ROUND(C86*(1+#REF!)/1000,0)*1000</f>
        <v>#REF!</v>
      </c>
      <c r="E86" s="179" t="e">
        <f>ROUND(D86*(1+#REF!)/1000,0)*1000</f>
        <v>#REF!</v>
      </c>
      <c r="F86" s="179" t="e">
        <f>ROUND(E86*(1+#REF!)/1000,0)*1000</f>
        <v>#REF!</v>
      </c>
      <c r="G86" s="179" t="e">
        <f>ROUND(F86*(1+#REF!)/1000,0)*1000</f>
        <v>#REF!</v>
      </c>
      <c r="H86" s="179" t="e">
        <f>ROUND(G86*(1+#REF!)/1000,0)*1000</f>
        <v>#REF!</v>
      </c>
      <c r="I86" s="179" t="e">
        <f>ROUND(H86*(1+#REF!)/1000,0)*1000+#REF!</f>
        <v>#REF!</v>
      </c>
      <c r="J86" s="179" t="e">
        <f>ROUND(I86*(1+#REF!)/1000,0)*1000</f>
        <v>#REF!</v>
      </c>
      <c r="K86" s="179" t="e">
        <f>ROUND(J86*(1+#REF!)/1000,0)*1000</f>
        <v>#REF!</v>
      </c>
      <c r="L86" s="179" t="e">
        <f>ROUND(K86*(1+#REF!)/1000,0)*1000</f>
        <v>#REF!</v>
      </c>
      <c r="M86" s="179" t="e">
        <f>ROUND(L86*(1+#REF!)/1000,0)*1000</f>
        <v>#REF!</v>
      </c>
      <c r="N86" s="179" t="e">
        <f>ROUND(M86*(1+#REF!)/1000,0)*1000</f>
        <v>#REF!</v>
      </c>
      <c r="O86" s="179" t="e">
        <f>ROUND(N86*(1+#REF!)/1000,0)*1000</f>
        <v>#REF!</v>
      </c>
      <c r="P86" s="179" t="e">
        <f>ROUND(O86*(1+#REF!)/1000,0)*1000</f>
        <v>#REF!</v>
      </c>
      <c r="Q86" s="179" t="e">
        <f>ROUND(P86*(1+#REF!)/1000,0)*1000</f>
        <v>#REF!</v>
      </c>
      <c r="R86" s="179" t="e">
        <f>ROUND(Q86*(1+#REF!)/1000,0)*1000</f>
        <v>#REF!</v>
      </c>
      <c r="S86" s="179" t="e">
        <f>ROUND(R86*(1+#REF!)/1000,0)*1000</f>
        <v>#REF!</v>
      </c>
      <c r="T86" s="179" t="e">
        <f>ROUND(S86*(1+#REF!)/1000,0)*1000</f>
        <v>#REF!</v>
      </c>
      <c r="U86" s="179" t="e">
        <f>ROUND(T86*(1+#REF!)/1000,0)*1000</f>
        <v>#REF!</v>
      </c>
      <c r="V86" s="179" t="e">
        <f>ROUND(U86*(1+#REF!)/1000,0)*1000</f>
        <v>#REF!</v>
      </c>
      <c r="W86" s="179" t="e">
        <f>ROUND(V86*(1+#REF!)/1000,0)*1000</f>
        <v>#REF!</v>
      </c>
      <c r="X86" s="179" t="e">
        <f>ROUND(W86*(1+#REF!)/1000,0)*1000</f>
        <v>#REF!</v>
      </c>
      <c r="Y86" s="179" t="e">
        <f>ROUND(X86*(1+#REF!)/1000,0)*1000</f>
        <v>#REF!</v>
      </c>
      <c r="Z86" s="179" t="e">
        <f>ROUND(Y86*(1+#REF!)/1000,0)*1000</f>
        <v>#REF!</v>
      </c>
      <c r="AA86" s="179" t="e">
        <f>ROUND(Z86*(1+#REF!)/1000,0)*1000</f>
        <v>#REF!</v>
      </c>
      <c r="AB86" s="179" t="e">
        <f>ROUND(AA86*(1+#REF!)/1000,0)*1000</f>
        <v>#REF!</v>
      </c>
      <c r="AC86" s="179" t="e">
        <f>ROUND(AB86*(1+#REF!)/1000,0)*1000</f>
        <v>#REF!</v>
      </c>
      <c r="AD86" s="179" t="e">
        <f>ROUND(AC86*(1+#REF!)/1000,0)*1000</f>
        <v>#REF!</v>
      </c>
      <c r="AE86" s="179" t="e">
        <f>ROUND(AD86*(1+#REF!)/1000,0)*1000</f>
        <v>#REF!</v>
      </c>
      <c r="AF86" s="179" t="e">
        <f>ROUND(AE86*(1+#REF!)/1000,0)*1000</f>
        <v>#REF!</v>
      </c>
      <c r="AG86" s="179" t="e">
        <f>ROUND(AF86*(1+#REF!)/1000,0)*1000</f>
        <v>#REF!</v>
      </c>
    </row>
    <row r="87" spans="1:35">
      <c r="A87" s="290" t="s">
        <v>314</v>
      </c>
      <c r="B87" s="173" t="s">
        <v>309</v>
      </c>
      <c r="C87" s="179" t="e">
        <f t="shared" ref="C87:AG87" si="37">C39*$C$82</f>
        <v>#REF!</v>
      </c>
      <c r="D87" s="179" t="e">
        <f t="shared" si="37"/>
        <v>#REF!</v>
      </c>
      <c r="E87" s="179" t="e">
        <f t="shared" si="37"/>
        <v>#REF!</v>
      </c>
      <c r="F87" s="179" t="e">
        <f t="shared" si="37"/>
        <v>#REF!</v>
      </c>
      <c r="G87" s="179" t="e">
        <f t="shared" si="37"/>
        <v>#REF!</v>
      </c>
      <c r="H87" s="179" t="e">
        <f t="shared" si="37"/>
        <v>#REF!</v>
      </c>
      <c r="I87" s="179" t="e">
        <f t="shared" si="37"/>
        <v>#REF!</v>
      </c>
      <c r="J87" s="179" t="e">
        <f t="shared" si="37"/>
        <v>#REF!</v>
      </c>
      <c r="K87" s="179" t="e">
        <f t="shared" si="37"/>
        <v>#REF!</v>
      </c>
      <c r="L87" s="179" t="e">
        <f t="shared" si="37"/>
        <v>#REF!</v>
      </c>
      <c r="M87" s="179" t="e">
        <f t="shared" si="37"/>
        <v>#REF!</v>
      </c>
      <c r="N87" s="179" t="e">
        <f t="shared" si="37"/>
        <v>#REF!</v>
      </c>
      <c r="O87" s="179" t="e">
        <f t="shared" si="37"/>
        <v>#REF!</v>
      </c>
      <c r="P87" s="179" t="e">
        <f t="shared" si="37"/>
        <v>#REF!</v>
      </c>
      <c r="Q87" s="179" t="e">
        <f t="shared" si="37"/>
        <v>#REF!</v>
      </c>
      <c r="R87" s="179" t="e">
        <f t="shared" si="37"/>
        <v>#REF!</v>
      </c>
      <c r="S87" s="179" t="e">
        <f t="shared" si="37"/>
        <v>#REF!</v>
      </c>
      <c r="T87" s="179" t="e">
        <f t="shared" si="37"/>
        <v>#REF!</v>
      </c>
      <c r="U87" s="179" t="e">
        <f t="shared" si="37"/>
        <v>#REF!</v>
      </c>
      <c r="V87" s="179" t="e">
        <f t="shared" si="37"/>
        <v>#REF!</v>
      </c>
      <c r="W87" s="179" t="e">
        <f t="shared" si="37"/>
        <v>#REF!</v>
      </c>
      <c r="X87" s="179" t="e">
        <f t="shared" si="37"/>
        <v>#REF!</v>
      </c>
      <c r="Y87" s="179" t="e">
        <f t="shared" si="37"/>
        <v>#REF!</v>
      </c>
      <c r="Z87" s="179" t="e">
        <f t="shared" si="37"/>
        <v>#REF!</v>
      </c>
      <c r="AA87" s="179" t="e">
        <f t="shared" si="37"/>
        <v>#REF!</v>
      </c>
      <c r="AB87" s="179" t="e">
        <f t="shared" si="37"/>
        <v>#REF!</v>
      </c>
      <c r="AC87" s="179" t="e">
        <f t="shared" si="37"/>
        <v>#REF!</v>
      </c>
      <c r="AD87" s="179" t="e">
        <f t="shared" si="37"/>
        <v>#REF!</v>
      </c>
      <c r="AE87" s="179" t="e">
        <f t="shared" si="37"/>
        <v>#REF!</v>
      </c>
      <c r="AF87" s="179" t="e">
        <f t="shared" si="37"/>
        <v>#REF!</v>
      </c>
      <c r="AG87" s="179" t="e">
        <f t="shared" si="37"/>
        <v>#REF!</v>
      </c>
    </row>
    <row r="88" spans="1:35">
      <c r="A88" s="290" t="s">
        <v>315</v>
      </c>
      <c r="B88" s="173" t="s">
        <v>309</v>
      </c>
      <c r="C88" s="238" t="e">
        <f>$C$82*$AH$88*C40</f>
        <v>#REF!</v>
      </c>
      <c r="D88" s="238" t="e">
        <f>$C$82*$AH$88*D40</f>
        <v>#REF!</v>
      </c>
      <c r="E88" s="238" t="e">
        <f t="shared" ref="E88:AG88" si="38">$C$82*$AH$88*E40</f>
        <v>#REF!</v>
      </c>
      <c r="F88" s="238" t="e">
        <f t="shared" si="38"/>
        <v>#REF!</v>
      </c>
      <c r="G88" s="238" t="e">
        <f t="shared" si="38"/>
        <v>#REF!</v>
      </c>
      <c r="H88" s="238" t="e">
        <f t="shared" si="38"/>
        <v>#REF!</v>
      </c>
      <c r="I88" s="238" t="e">
        <f t="shared" si="38"/>
        <v>#REF!</v>
      </c>
      <c r="J88" s="238" t="e">
        <f t="shared" si="38"/>
        <v>#REF!</v>
      </c>
      <c r="K88" s="238" t="e">
        <f t="shared" si="38"/>
        <v>#REF!</v>
      </c>
      <c r="L88" s="238" t="e">
        <f t="shared" si="38"/>
        <v>#REF!</v>
      </c>
      <c r="M88" s="238" t="e">
        <f t="shared" si="38"/>
        <v>#REF!</v>
      </c>
      <c r="N88" s="238" t="e">
        <f t="shared" si="38"/>
        <v>#REF!</v>
      </c>
      <c r="O88" s="238" t="e">
        <f t="shared" si="38"/>
        <v>#REF!</v>
      </c>
      <c r="P88" s="238" t="e">
        <f t="shared" si="38"/>
        <v>#REF!</v>
      </c>
      <c r="Q88" s="238" t="e">
        <f t="shared" si="38"/>
        <v>#REF!</v>
      </c>
      <c r="R88" s="238" t="e">
        <f t="shared" si="38"/>
        <v>#REF!</v>
      </c>
      <c r="S88" s="238" t="e">
        <f t="shared" si="38"/>
        <v>#REF!</v>
      </c>
      <c r="T88" s="238" t="e">
        <f t="shared" si="38"/>
        <v>#REF!</v>
      </c>
      <c r="U88" s="238" t="e">
        <f t="shared" si="38"/>
        <v>#REF!</v>
      </c>
      <c r="V88" s="238" t="e">
        <f t="shared" si="38"/>
        <v>#REF!</v>
      </c>
      <c r="W88" s="238" t="e">
        <f t="shared" si="38"/>
        <v>#REF!</v>
      </c>
      <c r="X88" s="238" t="e">
        <f t="shared" si="38"/>
        <v>#REF!</v>
      </c>
      <c r="Y88" s="238" t="e">
        <f t="shared" si="38"/>
        <v>#REF!</v>
      </c>
      <c r="Z88" s="238" t="e">
        <f t="shared" si="38"/>
        <v>#REF!</v>
      </c>
      <c r="AA88" s="238" t="e">
        <f t="shared" si="38"/>
        <v>#REF!</v>
      </c>
      <c r="AB88" s="238" t="e">
        <f t="shared" si="38"/>
        <v>#REF!</v>
      </c>
      <c r="AC88" s="238" t="e">
        <f t="shared" si="38"/>
        <v>#REF!</v>
      </c>
      <c r="AD88" s="238" t="e">
        <f t="shared" si="38"/>
        <v>#REF!</v>
      </c>
      <c r="AE88" s="238" t="e">
        <f t="shared" si="38"/>
        <v>#REF!</v>
      </c>
      <c r="AF88" s="238" t="e">
        <f t="shared" si="38"/>
        <v>#REF!</v>
      </c>
      <c r="AG88" s="238" t="e">
        <f t="shared" si="38"/>
        <v>#REF!</v>
      </c>
      <c r="AH88" s="269" t="e">
        <f>#REF!</f>
        <v>#REF!</v>
      </c>
      <c r="AI88" s="173" t="s">
        <v>316</v>
      </c>
    </row>
    <row r="89" spans="1:35">
      <c r="A89" s="173" t="s">
        <v>317</v>
      </c>
      <c r="B89" s="173" t="s">
        <v>309</v>
      </c>
      <c r="C89" s="179" t="e">
        <f t="shared" ref="C89:AG89" si="39">$C$28*$C$27*C65</f>
        <v>#REF!</v>
      </c>
      <c r="D89" s="179" t="e">
        <f t="shared" si="39"/>
        <v>#REF!</v>
      </c>
      <c r="E89" s="179" t="e">
        <f t="shared" si="39"/>
        <v>#REF!</v>
      </c>
      <c r="F89" s="179" t="e">
        <f t="shared" si="39"/>
        <v>#REF!</v>
      </c>
      <c r="G89" s="179" t="e">
        <f t="shared" si="39"/>
        <v>#REF!</v>
      </c>
      <c r="H89" s="179" t="e">
        <f t="shared" si="39"/>
        <v>#REF!</v>
      </c>
      <c r="I89" s="179" t="e">
        <f t="shared" si="39"/>
        <v>#REF!</v>
      </c>
      <c r="J89" s="179" t="e">
        <f t="shared" si="39"/>
        <v>#REF!</v>
      </c>
      <c r="K89" s="179" t="e">
        <f t="shared" si="39"/>
        <v>#REF!</v>
      </c>
      <c r="L89" s="179" t="e">
        <f t="shared" si="39"/>
        <v>#REF!</v>
      </c>
      <c r="M89" s="179" t="e">
        <f t="shared" si="39"/>
        <v>#REF!</v>
      </c>
      <c r="N89" s="179" t="e">
        <f t="shared" si="39"/>
        <v>#REF!</v>
      </c>
      <c r="O89" s="179" t="e">
        <f t="shared" si="39"/>
        <v>#REF!</v>
      </c>
      <c r="P89" s="179" t="e">
        <f t="shared" si="39"/>
        <v>#REF!</v>
      </c>
      <c r="Q89" s="179" t="e">
        <f t="shared" si="39"/>
        <v>#REF!</v>
      </c>
      <c r="R89" s="179" t="e">
        <f t="shared" si="39"/>
        <v>#REF!</v>
      </c>
      <c r="S89" s="179" t="e">
        <f t="shared" si="39"/>
        <v>#REF!</v>
      </c>
      <c r="T89" s="179" t="e">
        <f t="shared" si="39"/>
        <v>#REF!</v>
      </c>
      <c r="U89" s="179" t="e">
        <f t="shared" si="39"/>
        <v>#REF!</v>
      </c>
      <c r="V89" s="179" t="e">
        <f t="shared" si="39"/>
        <v>#REF!</v>
      </c>
      <c r="W89" s="179" t="e">
        <f t="shared" si="39"/>
        <v>#REF!</v>
      </c>
      <c r="X89" s="179" t="e">
        <f t="shared" si="39"/>
        <v>#REF!</v>
      </c>
      <c r="Y89" s="179" t="e">
        <f t="shared" si="39"/>
        <v>#REF!</v>
      </c>
      <c r="Z89" s="179" t="e">
        <f t="shared" si="39"/>
        <v>#REF!</v>
      </c>
      <c r="AA89" s="179" t="e">
        <f t="shared" si="39"/>
        <v>#REF!</v>
      </c>
      <c r="AB89" s="179" t="e">
        <f t="shared" si="39"/>
        <v>#REF!</v>
      </c>
      <c r="AC89" s="179" t="e">
        <f t="shared" si="39"/>
        <v>#REF!</v>
      </c>
      <c r="AD89" s="179" t="e">
        <f t="shared" si="39"/>
        <v>#REF!</v>
      </c>
      <c r="AE89" s="179" t="e">
        <f t="shared" si="39"/>
        <v>#REF!</v>
      </c>
      <c r="AF89" s="179" t="e">
        <f t="shared" si="39"/>
        <v>#REF!</v>
      </c>
      <c r="AG89" s="179" t="e">
        <f t="shared" si="39"/>
        <v>#REF!</v>
      </c>
    </row>
    <row r="90" spans="1:35">
      <c r="A90" s="173" t="s">
        <v>413</v>
      </c>
      <c r="B90" s="173" t="s">
        <v>309</v>
      </c>
      <c r="C90" s="179" t="e">
        <f t="shared" ref="C90:AG90" si="40">C70</f>
        <v>#REF!</v>
      </c>
      <c r="D90" s="179" t="e">
        <f t="shared" si="40"/>
        <v>#REF!</v>
      </c>
      <c r="E90" s="179" t="e">
        <f t="shared" si="40"/>
        <v>#REF!</v>
      </c>
      <c r="F90" s="179" t="e">
        <f t="shared" si="40"/>
        <v>#REF!</v>
      </c>
      <c r="G90" s="179" t="e">
        <f t="shared" si="40"/>
        <v>#REF!</v>
      </c>
      <c r="H90" s="179" t="e">
        <f t="shared" si="40"/>
        <v>#REF!</v>
      </c>
      <c r="I90" s="179" t="e">
        <f t="shared" si="40"/>
        <v>#REF!</v>
      </c>
      <c r="J90" s="179" t="e">
        <f t="shared" si="40"/>
        <v>#REF!</v>
      </c>
      <c r="K90" s="179" t="e">
        <f t="shared" si="40"/>
        <v>#REF!</v>
      </c>
      <c r="L90" s="179" t="e">
        <f t="shared" si="40"/>
        <v>#REF!</v>
      </c>
      <c r="M90" s="179" t="e">
        <f t="shared" si="40"/>
        <v>#REF!</v>
      </c>
      <c r="N90" s="179" t="e">
        <f t="shared" si="40"/>
        <v>#REF!</v>
      </c>
      <c r="O90" s="179" t="e">
        <f t="shared" si="40"/>
        <v>#REF!</v>
      </c>
      <c r="P90" s="179" t="e">
        <f t="shared" si="40"/>
        <v>#REF!</v>
      </c>
      <c r="Q90" s="179" t="e">
        <f t="shared" si="40"/>
        <v>#REF!</v>
      </c>
      <c r="R90" s="179" t="e">
        <f t="shared" si="40"/>
        <v>#REF!</v>
      </c>
      <c r="S90" s="179" t="e">
        <f t="shared" si="40"/>
        <v>#REF!</v>
      </c>
      <c r="T90" s="179" t="e">
        <f t="shared" si="40"/>
        <v>#REF!</v>
      </c>
      <c r="U90" s="179" t="e">
        <f t="shared" si="40"/>
        <v>#REF!</v>
      </c>
      <c r="V90" s="179" t="e">
        <f t="shared" si="40"/>
        <v>#REF!</v>
      </c>
      <c r="W90" s="179" t="e">
        <f t="shared" si="40"/>
        <v>#REF!</v>
      </c>
      <c r="X90" s="179" t="e">
        <f t="shared" si="40"/>
        <v>#REF!</v>
      </c>
      <c r="Y90" s="179" t="e">
        <f t="shared" si="40"/>
        <v>#REF!</v>
      </c>
      <c r="Z90" s="179" t="e">
        <f t="shared" si="40"/>
        <v>#REF!</v>
      </c>
      <c r="AA90" s="179" t="e">
        <f t="shared" si="40"/>
        <v>#REF!</v>
      </c>
      <c r="AB90" s="179" t="e">
        <f t="shared" si="40"/>
        <v>#REF!</v>
      </c>
      <c r="AC90" s="179" t="e">
        <f t="shared" si="40"/>
        <v>#REF!</v>
      </c>
      <c r="AD90" s="179" t="e">
        <f t="shared" si="40"/>
        <v>#REF!</v>
      </c>
      <c r="AE90" s="179" t="e">
        <f t="shared" si="40"/>
        <v>#REF!</v>
      </c>
      <c r="AF90" s="179" t="e">
        <f t="shared" si="40"/>
        <v>#REF!</v>
      </c>
      <c r="AG90" s="179" t="e">
        <f t="shared" si="40"/>
        <v>#REF!</v>
      </c>
    </row>
    <row r="91" spans="1:35">
      <c r="A91" s="173" t="s">
        <v>319</v>
      </c>
      <c r="B91" s="173" t="s">
        <v>309</v>
      </c>
      <c r="C91" s="179" t="e">
        <f t="shared" ref="C91:AG91" si="41">C86*$C$34</f>
        <v>#REF!</v>
      </c>
      <c r="D91" s="179" t="e">
        <f t="shared" si="41"/>
        <v>#REF!</v>
      </c>
      <c r="E91" s="179" t="e">
        <f t="shared" si="41"/>
        <v>#REF!</v>
      </c>
      <c r="F91" s="179" t="e">
        <f t="shared" si="41"/>
        <v>#REF!</v>
      </c>
      <c r="G91" s="179" t="e">
        <f t="shared" si="41"/>
        <v>#REF!</v>
      </c>
      <c r="H91" s="179" t="e">
        <f t="shared" si="41"/>
        <v>#REF!</v>
      </c>
      <c r="I91" s="179" t="e">
        <f t="shared" si="41"/>
        <v>#REF!</v>
      </c>
      <c r="J91" s="179" t="e">
        <f t="shared" si="41"/>
        <v>#REF!</v>
      </c>
      <c r="K91" s="179" t="e">
        <f t="shared" si="41"/>
        <v>#REF!</v>
      </c>
      <c r="L91" s="179" t="e">
        <f t="shared" si="41"/>
        <v>#REF!</v>
      </c>
      <c r="M91" s="179" t="e">
        <f t="shared" si="41"/>
        <v>#REF!</v>
      </c>
      <c r="N91" s="179" t="e">
        <f t="shared" si="41"/>
        <v>#REF!</v>
      </c>
      <c r="O91" s="179" t="e">
        <f t="shared" si="41"/>
        <v>#REF!</v>
      </c>
      <c r="P91" s="179" t="e">
        <f t="shared" si="41"/>
        <v>#REF!</v>
      </c>
      <c r="Q91" s="179" t="e">
        <f t="shared" si="41"/>
        <v>#REF!</v>
      </c>
      <c r="R91" s="179" t="e">
        <f t="shared" si="41"/>
        <v>#REF!</v>
      </c>
      <c r="S91" s="179" t="e">
        <f t="shared" si="41"/>
        <v>#REF!</v>
      </c>
      <c r="T91" s="179" t="e">
        <f t="shared" si="41"/>
        <v>#REF!</v>
      </c>
      <c r="U91" s="179" t="e">
        <f t="shared" si="41"/>
        <v>#REF!</v>
      </c>
      <c r="V91" s="179" t="e">
        <f t="shared" si="41"/>
        <v>#REF!</v>
      </c>
      <c r="W91" s="179" t="e">
        <f t="shared" si="41"/>
        <v>#REF!</v>
      </c>
      <c r="X91" s="179" t="e">
        <f t="shared" si="41"/>
        <v>#REF!</v>
      </c>
      <c r="Y91" s="179" t="e">
        <f t="shared" si="41"/>
        <v>#REF!</v>
      </c>
      <c r="Z91" s="179" t="e">
        <f t="shared" si="41"/>
        <v>#REF!</v>
      </c>
      <c r="AA91" s="179" t="e">
        <f t="shared" si="41"/>
        <v>#REF!</v>
      </c>
      <c r="AB91" s="179" t="e">
        <f t="shared" si="41"/>
        <v>#REF!</v>
      </c>
      <c r="AC91" s="179" t="e">
        <f t="shared" si="41"/>
        <v>#REF!</v>
      </c>
      <c r="AD91" s="179" t="e">
        <f t="shared" si="41"/>
        <v>#REF!</v>
      </c>
      <c r="AE91" s="179" t="e">
        <f t="shared" si="41"/>
        <v>#REF!</v>
      </c>
      <c r="AF91" s="179" t="e">
        <f t="shared" si="41"/>
        <v>#REF!</v>
      </c>
      <c r="AG91" s="179" t="e">
        <f t="shared" si="41"/>
        <v>#REF!</v>
      </c>
    </row>
    <row r="92" spans="1:35" s="247" customFormat="1" ht="11.85" customHeight="1">
      <c r="A92" s="270" t="s">
        <v>414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</row>
    <row r="93" spans="1:35">
      <c r="A93" s="173" t="s">
        <v>312</v>
      </c>
      <c r="B93" s="173" t="s">
        <v>313</v>
      </c>
      <c r="C93" s="179" t="e">
        <f t="shared" ref="C93:AG93" si="42">-PMT($C$33,$C$31,C86)</f>
        <v>#REF!</v>
      </c>
      <c r="D93" s="179" t="e">
        <f t="shared" si="42"/>
        <v>#REF!</v>
      </c>
      <c r="E93" s="179" t="e">
        <f t="shared" si="42"/>
        <v>#REF!</v>
      </c>
      <c r="F93" s="179" t="e">
        <f t="shared" si="42"/>
        <v>#REF!</v>
      </c>
      <c r="G93" s="179" t="e">
        <f t="shared" si="42"/>
        <v>#REF!</v>
      </c>
      <c r="H93" s="179" t="e">
        <f t="shared" si="42"/>
        <v>#REF!</v>
      </c>
      <c r="I93" s="179" t="e">
        <f t="shared" si="42"/>
        <v>#REF!</v>
      </c>
      <c r="J93" s="179" t="e">
        <f t="shared" si="42"/>
        <v>#REF!</v>
      </c>
      <c r="K93" s="179" t="e">
        <f t="shared" si="42"/>
        <v>#REF!</v>
      </c>
      <c r="L93" s="179" t="e">
        <f t="shared" si="42"/>
        <v>#REF!</v>
      </c>
      <c r="M93" s="179" t="e">
        <f t="shared" si="42"/>
        <v>#REF!</v>
      </c>
      <c r="N93" s="179" t="e">
        <f t="shared" si="42"/>
        <v>#REF!</v>
      </c>
      <c r="O93" s="179" t="e">
        <f t="shared" si="42"/>
        <v>#REF!</v>
      </c>
      <c r="P93" s="179" t="e">
        <f t="shared" si="42"/>
        <v>#REF!</v>
      </c>
      <c r="Q93" s="179" t="e">
        <f t="shared" si="42"/>
        <v>#REF!</v>
      </c>
      <c r="R93" s="179" t="e">
        <f t="shared" si="42"/>
        <v>#REF!</v>
      </c>
      <c r="S93" s="179" t="e">
        <f t="shared" si="42"/>
        <v>#REF!</v>
      </c>
      <c r="T93" s="179" t="e">
        <f t="shared" si="42"/>
        <v>#REF!</v>
      </c>
      <c r="U93" s="179" t="e">
        <f t="shared" si="42"/>
        <v>#REF!</v>
      </c>
      <c r="V93" s="179" t="e">
        <f t="shared" si="42"/>
        <v>#REF!</v>
      </c>
      <c r="W93" s="179" t="e">
        <f t="shared" si="42"/>
        <v>#REF!</v>
      </c>
      <c r="X93" s="179" t="e">
        <f t="shared" si="42"/>
        <v>#REF!</v>
      </c>
      <c r="Y93" s="179" t="e">
        <f t="shared" si="42"/>
        <v>#REF!</v>
      </c>
      <c r="Z93" s="179" t="e">
        <f t="shared" si="42"/>
        <v>#REF!</v>
      </c>
      <c r="AA93" s="179" t="e">
        <f t="shared" si="42"/>
        <v>#REF!</v>
      </c>
      <c r="AB93" s="179" t="e">
        <f t="shared" si="42"/>
        <v>#REF!</v>
      </c>
      <c r="AC93" s="179" t="e">
        <f t="shared" si="42"/>
        <v>#REF!</v>
      </c>
      <c r="AD93" s="179" t="e">
        <f t="shared" si="42"/>
        <v>#REF!</v>
      </c>
      <c r="AE93" s="179" t="e">
        <f t="shared" si="42"/>
        <v>#REF!</v>
      </c>
      <c r="AF93" s="179" t="e">
        <f t="shared" si="42"/>
        <v>#REF!</v>
      </c>
      <c r="AG93" s="179" t="e">
        <f t="shared" si="42"/>
        <v>#REF!</v>
      </c>
    </row>
    <row r="94" spans="1:35">
      <c r="A94" s="173" t="s">
        <v>321</v>
      </c>
      <c r="B94" s="173" t="s">
        <v>313</v>
      </c>
      <c r="C94" s="179" t="e">
        <f t="shared" ref="C94:AG98" si="43">C87</f>
        <v>#REF!</v>
      </c>
      <c r="D94" s="179" t="e">
        <f t="shared" si="43"/>
        <v>#REF!</v>
      </c>
      <c r="E94" s="179" t="e">
        <f t="shared" si="43"/>
        <v>#REF!</v>
      </c>
      <c r="F94" s="179" t="e">
        <f t="shared" si="43"/>
        <v>#REF!</v>
      </c>
      <c r="G94" s="179" t="e">
        <f t="shared" si="43"/>
        <v>#REF!</v>
      </c>
      <c r="H94" s="179" t="e">
        <f t="shared" si="43"/>
        <v>#REF!</v>
      </c>
      <c r="I94" s="179" t="e">
        <f t="shared" si="43"/>
        <v>#REF!</v>
      </c>
      <c r="J94" s="179" t="e">
        <f t="shared" si="43"/>
        <v>#REF!</v>
      </c>
      <c r="K94" s="179" t="e">
        <f t="shared" si="43"/>
        <v>#REF!</v>
      </c>
      <c r="L94" s="179" t="e">
        <f t="shared" si="43"/>
        <v>#REF!</v>
      </c>
      <c r="M94" s="179" t="e">
        <f t="shared" si="43"/>
        <v>#REF!</v>
      </c>
      <c r="N94" s="179" t="e">
        <f t="shared" si="43"/>
        <v>#REF!</v>
      </c>
      <c r="O94" s="179" t="e">
        <f t="shared" si="43"/>
        <v>#REF!</v>
      </c>
      <c r="P94" s="179" t="e">
        <f t="shared" si="43"/>
        <v>#REF!</v>
      </c>
      <c r="Q94" s="179" t="e">
        <f t="shared" si="43"/>
        <v>#REF!</v>
      </c>
      <c r="R94" s="179" t="e">
        <f t="shared" si="43"/>
        <v>#REF!</v>
      </c>
      <c r="S94" s="179" t="e">
        <f t="shared" si="43"/>
        <v>#REF!</v>
      </c>
      <c r="T94" s="179" t="e">
        <f t="shared" si="43"/>
        <v>#REF!</v>
      </c>
      <c r="U94" s="179" t="e">
        <f t="shared" si="43"/>
        <v>#REF!</v>
      </c>
      <c r="V94" s="179" t="e">
        <f t="shared" si="43"/>
        <v>#REF!</v>
      </c>
      <c r="W94" s="179" t="e">
        <f t="shared" si="43"/>
        <v>#REF!</v>
      </c>
      <c r="X94" s="179" t="e">
        <f t="shared" si="43"/>
        <v>#REF!</v>
      </c>
      <c r="Y94" s="179" t="e">
        <f t="shared" si="43"/>
        <v>#REF!</v>
      </c>
      <c r="Z94" s="179" t="e">
        <f t="shared" si="43"/>
        <v>#REF!</v>
      </c>
      <c r="AA94" s="179" t="e">
        <f t="shared" si="43"/>
        <v>#REF!</v>
      </c>
      <c r="AB94" s="179" t="e">
        <f t="shared" si="43"/>
        <v>#REF!</v>
      </c>
      <c r="AC94" s="179" t="e">
        <f t="shared" si="43"/>
        <v>#REF!</v>
      </c>
      <c r="AD94" s="179" t="e">
        <f t="shared" si="43"/>
        <v>#REF!</v>
      </c>
      <c r="AE94" s="179" t="e">
        <f t="shared" si="43"/>
        <v>#REF!</v>
      </c>
      <c r="AF94" s="179" t="e">
        <f t="shared" si="43"/>
        <v>#REF!</v>
      </c>
      <c r="AG94" s="179" t="e">
        <f t="shared" si="43"/>
        <v>#REF!</v>
      </c>
    </row>
    <row r="95" spans="1:35">
      <c r="A95" s="173" t="s">
        <v>315</v>
      </c>
      <c r="B95" s="173" t="s">
        <v>313</v>
      </c>
      <c r="C95" s="179" t="e">
        <f t="shared" si="43"/>
        <v>#REF!</v>
      </c>
      <c r="D95" s="179" t="e">
        <f t="shared" si="43"/>
        <v>#REF!</v>
      </c>
      <c r="E95" s="179" t="e">
        <f t="shared" si="43"/>
        <v>#REF!</v>
      </c>
      <c r="F95" s="179" t="e">
        <f t="shared" si="43"/>
        <v>#REF!</v>
      </c>
      <c r="G95" s="179" t="e">
        <f t="shared" si="43"/>
        <v>#REF!</v>
      </c>
      <c r="H95" s="179" t="e">
        <f t="shared" si="43"/>
        <v>#REF!</v>
      </c>
      <c r="I95" s="179" t="e">
        <f t="shared" si="43"/>
        <v>#REF!</v>
      </c>
      <c r="J95" s="179" t="e">
        <f t="shared" si="43"/>
        <v>#REF!</v>
      </c>
      <c r="K95" s="179" t="e">
        <f t="shared" si="43"/>
        <v>#REF!</v>
      </c>
      <c r="L95" s="179" t="e">
        <f t="shared" si="43"/>
        <v>#REF!</v>
      </c>
      <c r="M95" s="179" t="e">
        <f t="shared" si="43"/>
        <v>#REF!</v>
      </c>
      <c r="N95" s="179" t="e">
        <f t="shared" si="43"/>
        <v>#REF!</v>
      </c>
      <c r="O95" s="179" t="e">
        <f t="shared" si="43"/>
        <v>#REF!</v>
      </c>
      <c r="P95" s="179" t="e">
        <f t="shared" si="43"/>
        <v>#REF!</v>
      </c>
      <c r="Q95" s="179" t="e">
        <f t="shared" si="43"/>
        <v>#REF!</v>
      </c>
      <c r="R95" s="179" t="e">
        <f t="shared" si="43"/>
        <v>#REF!</v>
      </c>
      <c r="S95" s="179" t="e">
        <f t="shared" si="43"/>
        <v>#REF!</v>
      </c>
      <c r="T95" s="179" t="e">
        <f t="shared" si="43"/>
        <v>#REF!</v>
      </c>
      <c r="U95" s="179" t="e">
        <f t="shared" si="43"/>
        <v>#REF!</v>
      </c>
      <c r="V95" s="179" t="e">
        <f t="shared" si="43"/>
        <v>#REF!</v>
      </c>
      <c r="W95" s="179" t="e">
        <f t="shared" si="43"/>
        <v>#REF!</v>
      </c>
      <c r="X95" s="179" t="e">
        <f t="shared" si="43"/>
        <v>#REF!</v>
      </c>
      <c r="Y95" s="179" t="e">
        <f t="shared" si="43"/>
        <v>#REF!</v>
      </c>
      <c r="Z95" s="179" t="e">
        <f t="shared" si="43"/>
        <v>#REF!</v>
      </c>
      <c r="AA95" s="179" t="e">
        <f t="shared" si="43"/>
        <v>#REF!</v>
      </c>
      <c r="AB95" s="179" t="e">
        <f t="shared" si="43"/>
        <v>#REF!</v>
      </c>
      <c r="AC95" s="179" t="e">
        <f t="shared" si="43"/>
        <v>#REF!</v>
      </c>
      <c r="AD95" s="179" t="e">
        <f t="shared" si="43"/>
        <v>#REF!</v>
      </c>
      <c r="AE95" s="179" t="e">
        <f t="shared" si="43"/>
        <v>#REF!</v>
      </c>
      <c r="AF95" s="179" t="e">
        <f t="shared" si="43"/>
        <v>#REF!</v>
      </c>
      <c r="AG95" s="179" t="e">
        <f t="shared" si="43"/>
        <v>#REF!</v>
      </c>
    </row>
    <row r="96" spans="1:35">
      <c r="A96" s="173" t="str">
        <f>A89</f>
        <v>Maintenance</v>
      </c>
      <c r="B96" s="173" t="s">
        <v>313</v>
      </c>
      <c r="C96" s="179" t="e">
        <f t="shared" si="43"/>
        <v>#REF!</v>
      </c>
      <c r="D96" s="179" t="e">
        <f t="shared" si="43"/>
        <v>#REF!</v>
      </c>
      <c r="E96" s="179" t="e">
        <f t="shared" si="43"/>
        <v>#REF!</v>
      </c>
      <c r="F96" s="179" t="e">
        <f t="shared" si="43"/>
        <v>#REF!</v>
      </c>
      <c r="G96" s="179" t="e">
        <f t="shared" si="43"/>
        <v>#REF!</v>
      </c>
      <c r="H96" s="179" t="e">
        <f t="shared" si="43"/>
        <v>#REF!</v>
      </c>
      <c r="I96" s="179" t="e">
        <f t="shared" si="43"/>
        <v>#REF!</v>
      </c>
      <c r="J96" s="179" t="e">
        <f t="shared" si="43"/>
        <v>#REF!</v>
      </c>
      <c r="K96" s="179" t="e">
        <f t="shared" si="43"/>
        <v>#REF!</v>
      </c>
      <c r="L96" s="179" t="e">
        <f t="shared" si="43"/>
        <v>#REF!</v>
      </c>
      <c r="M96" s="179" t="e">
        <f t="shared" si="43"/>
        <v>#REF!</v>
      </c>
      <c r="N96" s="179" t="e">
        <f t="shared" si="43"/>
        <v>#REF!</v>
      </c>
      <c r="O96" s="179" t="e">
        <f t="shared" si="43"/>
        <v>#REF!</v>
      </c>
      <c r="P96" s="179" t="e">
        <f t="shared" si="43"/>
        <v>#REF!</v>
      </c>
      <c r="Q96" s="179" t="e">
        <f t="shared" si="43"/>
        <v>#REF!</v>
      </c>
      <c r="R96" s="179" t="e">
        <f t="shared" si="43"/>
        <v>#REF!</v>
      </c>
      <c r="S96" s="179" t="e">
        <f t="shared" si="43"/>
        <v>#REF!</v>
      </c>
      <c r="T96" s="179" t="e">
        <f t="shared" si="43"/>
        <v>#REF!</v>
      </c>
      <c r="U96" s="179" t="e">
        <f t="shared" si="43"/>
        <v>#REF!</v>
      </c>
      <c r="V96" s="179" t="e">
        <f t="shared" si="43"/>
        <v>#REF!</v>
      </c>
      <c r="W96" s="179" t="e">
        <f t="shared" si="43"/>
        <v>#REF!</v>
      </c>
      <c r="X96" s="179" t="e">
        <f t="shared" si="43"/>
        <v>#REF!</v>
      </c>
      <c r="Y96" s="179" t="e">
        <f t="shared" si="43"/>
        <v>#REF!</v>
      </c>
      <c r="Z96" s="179" t="e">
        <f t="shared" si="43"/>
        <v>#REF!</v>
      </c>
      <c r="AA96" s="179" t="e">
        <f t="shared" si="43"/>
        <v>#REF!</v>
      </c>
      <c r="AB96" s="179" t="e">
        <f t="shared" si="43"/>
        <v>#REF!</v>
      </c>
      <c r="AC96" s="179" t="e">
        <f t="shared" si="43"/>
        <v>#REF!</v>
      </c>
      <c r="AD96" s="179" t="e">
        <f t="shared" si="43"/>
        <v>#REF!</v>
      </c>
      <c r="AE96" s="179" t="e">
        <f t="shared" si="43"/>
        <v>#REF!</v>
      </c>
      <c r="AF96" s="179" t="e">
        <f t="shared" si="43"/>
        <v>#REF!</v>
      </c>
      <c r="AG96" s="179" t="e">
        <f t="shared" si="43"/>
        <v>#REF!</v>
      </c>
    </row>
    <row r="97" spans="1:33">
      <c r="A97" s="173" t="str">
        <f>A90</f>
        <v>Toll Tax</v>
      </c>
      <c r="B97" s="173" t="s">
        <v>313</v>
      </c>
      <c r="C97" s="179" t="e">
        <f t="shared" si="43"/>
        <v>#REF!</v>
      </c>
      <c r="D97" s="179" t="e">
        <f t="shared" si="43"/>
        <v>#REF!</v>
      </c>
      <c r="E97" s="179" t="e">
        <f t="shared" si="43"/>
        <v>#REF!</v>
      </c>
      <c r="F97" s="179" t="e">
        <f t="shared" si="43"/>
        <v>#REF!</v>
      </c>
      <c r="G97" s="179" t="e">
        <f t="shared" si="43"/>
        <v>#REF!</v>
      </c>
      <c r="H97" s="179" t="e">
        <f t="shared" si="43"/>
        <v>#REF!</v>
      </c>
      <c r="I97" s="179" t="e">
        <f t="shared" si="43"/>
        <v>#REF!</v>
      </c>
      <c r="J97" s="179" t="e">
        <f t="shared" si="43"/>
        <v>#REF!</v>
      </c>
      <c r="K97" s="179" t="e">
        <f t="shared" si="43"/>
        <v>#REF!</v>
      </c>
      <c r="L97" s="179" t="e">
        <f t="shared" si="43"/>
        <v>#REF!</v>
      </c>
      <c r="M97" s="179" t="e">
        <f t="shared" si="43"/>
        <v>#REF!</v>
      </c>
      <c r="N97" s="179" t="e">
        <f t="shared" si="43"/>
        <v>#REF!</v>
      </c>
      <c r="O97" s="179" t="e">
        <f t="shared" si="43"/>
        <v>#REF!</v>
      </c>
      <c r="P97" s="179" t="e">
        <f t="shared" si="43"/>
        <v>#REF!</v>
      </c>
      <c r="Q97" s="179" t="e">
        <f t="shared" si="43"/>
        <v>#REF!</v>
      </c>
      <c r="R97" s="179" t="e">
        <f t="shared" si="43"/>
        <v>#REF!</v>
      </c>
      <c r="S97" s="179" t="e">
        <f t="shared" si="43"/>
        <v>#REF!</v>
      </c>
      <c r="T97" s="179" t="e">
        <f t="shared" si="43"/>
        <v>#REF!</v>
      </c>
      <c r="U97" s="179" t="e">
        <f t="shared" si="43"/>
        <v>#REF!</v>
      </c>
      <c r="V97" s="179" t="e">
        <f t="shared" si="43"/>
        <v>#REF!</v>
      </c>
      <c r="W97" s="179" t="e">
        <f t="shared" si="43"/>
        <v>#REF!</v>
      </c>
      <c r="X97" s="179" t="e">
        <f t="shared" si="43"/>
        <v>#REF!</v>
      </c>
      <c r="Y97" s="179" t="e">
        <f t="shared" si="43"/>
        <v>#REF!</v>
      </c>
      <c r="Z97" s="179" t="e">
        <f t="shared" si="43"/>
        <v>#REF!</v>
      </c>
      <c r="AA97" s="179" t="e">
        <f t="shared" si="43"/>
        <v>#REF!</v>
      </c>
      <c r="AB97" s="179" t="e">
        <f t="shared" si="43"/>
        <v>#REF!</v>
      </c>
      <c r="AC97" s="179" t="e">
        <f t="shared" si="43"/>
        <v>#REF!</v>
      </c>
      <c r="AD97" s="179" t="e">
        <f t="shared" si="43"/>
        <v>#REF!</v>
      </c>
      <c r="AE97" s="179" t="e">
        <f t="shared" si="43"/>
        <v>#REF!</v>
      </c>
      <c r="AF97" s="179" t="e">
        <f t="shared" si="43"/>
        <v>#REF!</v>
      </c>
      <c r="AG97" s="179" t="e">
        <f t="shared" si="43"/>
        <v>#REF!</v>
      </c>
    </row>
    <row r="98" spans="1:33">
      <c r="A98" s="173" t="s">
        <v>319</v>
      </c>
      <c r="B98" s="173" t="s">
        <v>313</v>
      </c>
      <c r="C98" s="179" t="e">
        <f t="shared" si="43"/>
        <v>#REF!</v>
      </c>
      <c r="D98" s="179" t="e">
        <f t="shared" si="43"/>
        <v>#REF!</v>
      </c>
      <c r="E98" s="179" t="e">
        <f t="shared" si="43"/>
        <v>#REF!</v>
      </c>
      <c r="F98" s="179" t="e">
        <f t="shared" si="43"/>
        <v>#REF!</v>
      </c>
      <c r="G98" s="179" t="e">
        <f t="shared" si="43"/>
        <v>#REF!</v>
      </c>
      <c r="H98" s="179" t="e">
        <f t="shared" si="43"/>
        <v>#REF!</v>
      </c>
      <c r="I98" s="179" t="e">
        <f t="shared" si="43"/>
        <v>#REF!</v>
      </c>
      <c r="J98" s="179" t="e">
        <f t="shared" si="43"/>
        <v>#REF!</v>
      </c>
      <c r="K98" s="179" t="e">
        <f t="shared" si="43"/>
        <v>#REF!</v>
      </c>
      <c r="L98" s="179" t="e">
        <f t="shared" si="43"/>
        <v>#REF!</v>
      </c>
      <c r="M98" s="179" t="e">
        <f t="shared" si="43"/>
        <v>#REF!</v>
      </c>
      <c r="N98" s="179" t="e">
        <f t="shared" si="43"/>
        <v>#REF!</v>
      </c>
      <c r="O98" s="179" t="e">
        <f t="shared" si="43"/>
        <v>#REF!</v>
      </c>
      <c r="P98" s="179" t="e">
        <f t="shared" si="43"/>
        <v>#REF!</v>
      </c>
      <c r="Q98" s="179" t="e">
        <f t="shared" si="43"/>
        <v>#REF!</v>
      </c>
      <c r="R98" s="179" t="e">
        <f t="shared" si="43"/>
        <v>#REF!</v>
      </c>
      <c r="S98" s="179" t="e">
        <f t="shared" si="43"/>
        <v>#REF!</v>
      </c>
      <c r="T98" s="179" t="e">
        <f t="shared" si="43"/>
        <v>#REF!</v>
      </c>
      <c r="U98" s="179" t="e">
        <f t="shared" si="43"/>
        <v>#REF!</v>
      </c>
      <c r="V98" s="179" t="e">
        <f t="shared" si="43"/>
        <v>#REF!</v>
      </c>
      <c r="W98" s="179" t="e">
        <f t="shared" si="43"/>
        <v>#REF!</v>
      </c>
      <c r="X98" s="179" t="e">
        <f t="shared" si="43"/>
        <v>#REF!</v>
      </c>
      <c r="Y98" s="179" t="e">
        <f t="shared" si="43"/>
        <v>#REF!</v>
      </c>
      <c r="Z98" s="179" t="e">
        <f t="shared" si="43"/>
        <v>#REF!</v>
      </c>
      <c r="AA98" s="179" t="e">
        <f t="shared" si="43"/>
        <v>#REF!</v>
      </c>
      <c r="AB98" s="179" t="e">
        <f t="shared" si="43"/>
        <v>#REF!</v>
      </c>
      <c r="AC98" s="179" t="e">
        <f t="shared" si="43"/>
        <v>#REF!</v>
      </c>
      <c r="AD98" s="179" t="e">
        <f t="shared" si="43"/>
        <v>#REF!</v>
      </c>
      <c r="AE98" s="179" t="e">
        <f t="shared" si="43"/>
        <v>#REF!</v>
      </c>
      <c r="AF98" s="179" t="e">
        <f t="shared" si="43"/>
        <v>#REF!</v>
      </c>
      <c r="AG98" s="179" t="e">
        <f t="shared" si="43"/>
        <v>#REF!</v>
      </c>
    </row>
    <row r="99" spans="1:33" s="247" customFormat="1" ht="11.85" customHeight="1">
      <c r="A99" s="270" t="s">
        <v>320</v>
      </c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</row>
    <row r="100" spans="1:33">
      <c r="A100" s="173" t="s">
        <v>312</v>
      </c>
      <c r="B100" s="173" t="s">
        <v>300</v>
      </c>
      <c r="C100" s="179" t="e">
        <f t="shared" ref="C100:AG100" si="44">C93/($C$28*$C$27)</f>
        <v>#REF!</v>
      </c>
      <c r="D100" s="179" t="e">
        <f t="shared" si="44"/>
        <v>#REF!</v>
      </c>
      <c r="E100" s="179" t="e">
        <f t="shared" si="44"/>
        <v>#REF!</v>
      </c>
      <c r="F100" s="179" t="e">
        <f t="shared" si="44"/>
        <v>#REF!</v>
      </c>
      <c r="G100" s="179" t="e">
        <f t="shared" si="44"/>
        <v>#REF!</v>
      </c>
      <c r="H100" s="179" t="e">
        <f t="shared" si="44"/>
        <v>#REF!</v>
      </c>
      <c r="I100" s="179" t="e">
        <f t="shared" si="44"/>
        <v>#REF!</v>
      </c>
      <c r="J100" s="179" t="e">
        <f t="shared" si="44"/>
        <v>#REF!</v>
      </c>
      <c r="K100" s="179" t="e">
        <f t="shared" si="44"/>
        <v>#REF!</v>
      </c>
      <c r="L100" s="179" t="e">
        <f t="shared" si="44"/>
        <v>#REF!</v>
      </c>
      <c r="M100" s="179" t="e">
        <f t="shared" si="44"/>
        <v>#REF!</v>
      </c>
      <c r="N100" s="179" t="e">
        <f t="shared" si="44"/>
        <v>#REF!</v>
      </c>
      <c r="O100" s="179" t="e">
        <f t="shared" si="44"/>
        <v>#REF!</v>
      </c>
      <c r="P100" s="179" t="e">
        <f t="shared" si="44"/>
        <v>#REF!</v>
      </c>
      <c r="Q100" s="179" t="e">
        <f t="shared" si="44"/>
        <v>#REF!</v>
      </c>
      <c r="R100" s="179" t="e">
        <f t="shared" si="44"/>
        <v>#REF!</v>
      </c>
      <c r="S100" s="179" t="e">
        <f t="shared" si="44"/>
        <v>#REF!</v>
      </c>
      <c r="T100" s="179" t="e">
        <f t="shared" si="44"/>
        <v>#REF!</v>
      </c>
      <c r="U100" s="179" t="e">
        <f t="shared" si="44"/>
        <v>#REF!</v>
      </c>
      <c r="V100" s="179" t="e">
        <f t="shared" si="44"/>
        <v>#REF!</v>
      </c>
      <c r="W100" s="179" t="e">
        <f t="shared" si="44"/>
        <v>#REF!</v>
      </c>
      <c r="X100" s="179" t="e">
        <f t="shared" si="44"/>
        <v>#REF!</v>
      </c>
      <c r="Y100" s="179" t="e">
        <f t="shared" si="44"/>
        <v>#REF!</v>
      </c>
      <c r="Z100" s="179" t="e">
        <f t="shared" si="44"/>
        <v>#REF!</v>
      </c>
      <c r="AA100" s="179" t="e">
        <f t="shared" si="44"/>
        <v>#REF!</v>
      </c>
      <c r="AB100" s="179" t="e">
        <f t="shared" si="44"/>
        <v>#REF!</v>
      </c>
      <c r="AC100" s="179" t="e">
        <f t="shared" si="44"/>
        <v>#REF!</v>
      </c>
      <c r="AD100" s="179" t="e">
        <f t="shared" si="44"/>
        <v>#REF!</v>
      </c>
      <c r="AE100" s="179" t="e">
        <f t="shared" si="44"/>
        <v>#REF!</v>
      </c>
      <c r="AF100" s="179" t="e">
        <f t="shared" si="44"/>
        <v>#REF!</v>
      </c>
      <c r="AG100" s="179" t="e">
        <f t="shared" si="44"/>
        <v>#REF!</v>
      </c>
    </row>
    <row r="101" spans="1:33">
      <c r="A101" s="173" t="s">
        <v>321</v>
      </c>
      <c r="B101" s="173" t="s">
        <v>300</v>
      </c>
      <c r="C101" s="179" t="e">
        <f t="shared" ref="C101:AG101" si="45">(C94+C95)/($C$28*$C$27)</f>
        <v>#REF!</v>
      </c>
      <c r="D101" s="179" t="e">
        <f t="shared" si="45"/>
        <v>#REF!</v>
      </c>
      <c r="E101" s="179" t="e">
        <f t="shared" si="45"/>
        <v>#REF!</v>
      </c>
      <c r="F101" s="179" t="e">
        <f t="shared" si="45"/>
        <v>#REF!</v>
      </c>
      <c r="G101" s="179" t="e">
        <f t="shared" si="45"/>
        <v>#REF!</v>
      </c>
      <c r="H101" s="179" t="e">
        <f t="shared" si="45"/>
        <v>#REF!</v>
      </c>
      <c r="I101" s="179" t="e">
        <f t="shared" si="45"/>
        <v>#REF!</v>
      </c>
      <c r="J101" s="179" t="e">
        <f t="shared" si="45"/>
        <v>#REF!</v>
      </c>
      <c r="K101" s="179" t="e">
        <f t="shared" si="45"/>
        <v>#REF!</v>
      </c>
      <c r="L101" s="179" t="e">
        <f t="shared" si="45"/>
        <v>#REF!</v>
      </c>
      <c r="M101" s="179" t="e">
        <f t="shared" si="45"/>
        <v>#REF!</v>
      </c>
      <c r="N101" s="179" t="e">
        <f t="shared" si="45"/>
        <v>#REF!</v>
      </c>
      <c r="O101" s="179" t="e">
        <f t="shared" si="45"/>
        <v>#REF!</v>
      </c>
      <c r="P101" s="179" t="e">
        <f t="shared" si="45"/>
        <v>#REF!</v>
      </c>
      <c r="Q101" s="179" t="e">
        <f t="shared" si="45"/>
        <v>#REF!</v>
      </c>
      <c r="R101" s="179" t="e">
        <f t="shared" si="45"/>
        <v>#REF!</v>
      </c>
      <c r="S101" s="179" t="e">
        <f t="shared" si="45"/>
        <v>#REF!</v>
      </c>
      <c r="T101" s="179" t="e">
        <f t="shared" si="45"/>
        <v>#REF!</v>
      </c>
      <c r="U101" s="179" t="e">
        <f t="shared" si="45"/>
        <v>#REF!</v>
      </c>
      <c r="V101" s="179" t="e">
        <f t="shared" si="45"/>
        <v>#REF!</v>
      </c>
      <c r="W101" s="179" t="e">
        <f t="shared" si="45"/>
        <v>#REF!</v>
      </c>
      <c r="X101" s="179" t="e">
        <f t="shared" si="45"/>
        <v>#REF!</v>
      </c>
      <c r="Y101" s="179" t="e">
        <f t="shared" si="45"/>
        <v>#REF!</v>
      </c>
      <c r="Z101" s="179" t="e">
        <f t="shared" si="45"/>
        <v>#REF!</v>
      </c>
      <c r="AA101" s="179" t="e">
        <f t="shared" si="45"/>
        <v>#REF!</v>
      </c>
      <c r="AB101" s="179" t="e">
        <f t="shared" si="45"/>
        <v>#REF!</v>
      </c>
      <c r="AC101" s="179" t="e">
        <f t="shared" si="45"/>
        <v>#REF!</v>
      </c>
      <c r="AD101" s="179" t="e">
        <f t="shared" si="45"/>
        <v>#REF!</v>
      </c>
      <c r="AE101" s="179" t="e">
        <f t="shared" si="45"/>
        <v>#REF!</v>
      </c>
      <c r="AF101" s="179" t="e">
        <f t="shared" si="45"/>
        <v>#REF!</v>
      </c>
      <c r="AG101" s="179" t="e">
        <f t="shared" si="45"/>
        <v>#REF!</v>
      </c>
    </row>
    <row r="102" spans="1:33">
      <c r="A102" s="173" t="s">
        <v>322</v>
      </c>
      <c r="B102" s="173" t="s">
        <v>300</v>
      </c>
      <c r="C102" s="179" t="e">
        <f t="shared" ref="C102:AG102" si="46">(C96+C98+C70)/($C$28*$C$27)+C63</f>
        <v>#REF!</v>
      </c>
      <c r="D102" s="179" t="e">
        <f t="shared" si="46"/>
        <v>#REF!</v>
      </c>
      <c r="E102" s="179" t="e">
        <f t="shared" si="46"/>
        <v>#REF!</v>
      </c>
      <c r="F102" s="179" t="e">
        <f t="shared" si="46"/>
        <v>#REF!</v>
      </c>
      <c r="G102" s="179" t="e">
        <f t="shared" si="46"/>
        <v>#REF!</v>
      </c>
      <c r="H102" s="179" t="e">
        <f t="shared" si="46"/>
        <v>#REF!</v>
      </c>
      <c r="I102" s="179" t="e">
        <f t="shared" si="46"/>
        <v>#REF!</v>
      </c>
      <c r="J102" s="179" t="e">
        <f t="shared" si="46"/>
        <v>#REF!</v>
      </c>
      <c r="K102" s="179" t="e">
        <f t="shared" si="46"/>
        <v>#REF!</v>
      </c>
      <c r="L102" s="179" t="e">
        <f t="shared" si="46"/>
        <v>#REF!</v>
      </c>
      <c r="M102" s="179" t="e">
        <f t="shared" si="46"/>
        <v>#REF!</v>
      </c>
      <c r="N102" s="179" t="e">
        <f t="shared" si="46"/>
        <v>#REF!</v>
      </c>
      <c r="O102" s="179" t="e">
        <f t="shared" si="46"/>
        <v>#REF!</v>
      </c>
      <c r="P102" s="179" t="e">
        <f t="shared" si="46"/>
        <v>#REF!</v>
      </c>
      <c r="Q102" s="179" t="e">
        <f t="shared" si="46"/>
        <v>#REF!</v>
      </c>
      <c r="R102" s="179" t="e">
        <f t="shared" si="46"/>
        <v>#REF!</v>
      </c>
      <c r="S102" s="179" t="e">
        <f t="shared" si="46"/>
        <v>#REF!</v>
      </c>
      <c r="T102" s="179" t="e">
        <f t="shared" si="46"/>
        <v>#REF!</v>
      </c>
      <c r="U102" s="179" t="e">
        <f t="shared" si="46"/>
        <v>#REF!</v>
      </c>
      <c r="V102" s="179" t="e">
        <f t="shared" si="46"/>
        <v>#REF!</v>
      </c>
      <c r="W102" s="179" t="e">
        <f t="shared" si="46"/>
        <v>#REF!</v>
      </c>
      <c r="X102" s="179" t="e">
        <f t="shared" si="46"/>
        <v>#REF!</v>
      </c>
      <c r="Y102" s="179" t="e">
        <f t="shared" si="46"/>
        <v>#REF!</v>
      </c>
      <c r="Z102" s="179" t="e">
        <f t="shared" si="46"/>
        <v>#REF!</v>
      </c>
      <c r="AA102" s="179" t="e">
        <f t="shared" si="46"/>
        <v>#REF!</v>
      </c>
      <c r="AB102" s="179" t="e">
        <f t="shared" si="46"/>
        <v>#REF!</v>
      </c>
      <c r="AC102" s="179" t="e">
        <f t="shared" si="46"/>
        <v>#REF!</v>
      </c>
      <c r="AD102" s="179" t="e">
        <f t="shared" si="46"/>
        <v>#REF!</v>
      </c>
      <c r="AE102" s="179" t="e">
        <f t="shared" si="46"/>
        <v>#REF!</v>
      </c>
      <c r="AF102" s="179" t="e">
        <f t="shared" si="46"/>
        <v>#REF!</v>
      </c>
      <c r="AG102" s="179" t="e">
        <f t="shared" si="46"/>
        <v>#REF!</v>
      </c>
    </row>
    <row r="103" spans="1:33">
      <c r="C103" s="271" t="e">
        <f t="shared" ref="C103:AB103" si="47">SUM(C100:C102)</f>
        <v>#REF!</v>
      </c>
      <c r="D103" s="271" t="e">
        <f t="shared" si="47"/>
        <v>#REF!</v>
      </c>
      <c r="E103" s="271" t="e">
        <f t="shared" si="47"/>
        <v>#REF!</v>
      </c>
      <c r="F103" s="271" t="e">
        <f t="shared" si="47"/>
        <v>#REF!</v>
      </c>
      <c r="G103" s="271" t="e">
        <f t="shared" si="47"/>
        <v>#REF!</v>
      </c>
      <c r="H103" s="271" t="e">
        <f t="shared" si="47"/>
        <v>#REF!</v>
      </c>
      <c r="I103" s="271" t="e">
        <f t="shared" si="47"/>
        <v>#REF!</v>
      </c>
      <c r="J103" s="271" t="e">
        <f t="shared" si="47"/>
        <v>#REF!</v>
      </c>
      <c r="K103" s="271" t="e">
        <f t="shared" si="47"/>
        <v>#REF!</v>
      </c>
      <c r="L103" s="271" t="e">
        <f t="shared" si="47"/>
        <v>#REF!</v>
      </c>
      <c r="M103" s="271" t="e">
        <f t="shared" si="47"/>
        <v>#REF!</v>
      </c>
      <c r="N103" s="271" t="e">
        <f t="shared" si="47"/>
        <v>#REF!</v>
      </c>
      <c r="O103" s="271" t="e">
        <f t="shared" si="47"/>
        <v>#REF!</v>
      </c>
      <c r="P103" s="271" t="e">
        <f t="shared" si="47"/>
        <v>#REF!</v>
      </c>
      <c r="Q103" s="271" t="e">
        <f t="shared" si="47"/>
        <v>#REF!</v>
      </c>
      <c r="R103" s="271" t="e">
        <f t="shared" si="47"/>
        <v>#REF!</v>
      </c>
      <c r="S103" s="271" t="e">
        <f t="shared" si="47"/>
        <v>#REF!</v>
      </c>
      <c r="T103" s="271" t="e">
        <f t="shared" si="47"/>
        <v>#REF!</v>
      </c>
      <c r="U103" s="271" t="e">
        <f t="shared" si="47"/>
        <v>#REF!</v>
      </c>
      <c r="V103" s="271" t="e">
        <f t="shared" si="47"/>
        <v>#REF!</v>
      </c>
      <c r="W103" s="271" t="e">
        <f t="shared" si="47"/>
        <v>#REF!</v>
      </c>
      <c r="X103" s="271" t="e">
        <f t="shared" si="47"/>
        <v>#REF!</v>
      </c>
      <c r="Y103" s="271" t="e">
        <f t="shared" si="47"/>
        <v>#REF!</v>
      </c>
      <c r="Z103" s="271" t="e">
        <f t="shared" si="47"/>
        <v>#REF!</v>
      </c>
      <c r="AA103" s="271" t="e">
        <f t="shared" si="47"/>
        <v>#REF!</v>
      </c>
      <c r="AB103" s="271" t="e">
        <f t="shared" si="47"/>
        <v>#REF!</v>
      </c>
      <c r="AC103" s="271" t="e">
        <f t="shared" ref="AC103:AG103" si="48">SUM(AC100:AC102)</f>
        <v>#REF!</v>
      </c>
      <c r="AD103" s="271" t="e">
        <f t="shared" si="48"/>
        <v>#REF!</v>
      </c>
      <c r="AE103" s="271" t="e">
        <f t="shared" si="48"/>
        <v>#REF!</v>
      </c>
      <c r="AF103" s="271" t="e">
        <f t="shared" si="48"/>
        <v>#REF!</v>
      </c>
      <c r="AG103" s="271" t="e">
        <f t="shared" si="48"/>
        <v>#REF!</v>
      </c>
    </row>
    <row r="104" spans="1:33" s="225" customFormat="1">
      <c r="A104" s="223" t="s">
        <v>179</v>
      </c>
      <c r="B104" s="223"/>
      <c r="H104" s="272" t="e">
        <f>H107/K69</f>
        <v>#REF!</v>
      </c>
      <c r="AB104" s="272" t="e">
        <f>AB107/AE69</f>
        <v>#REF!</v>
      </c>
    </row>
    <row r="105" spans="1:33">
      <c r="A105" s="235" t="s">
        <v>41</v>
      </c>
      <c r="B105" s="235"/>
      <c r="C105" s="235">
        <v>2025</v>
      </c>
      <c r="D105" s="235">
        <f t="shared" ref="D105:AG105" si="49">C105+1</f>
        <v>2026</v>
      </c>
      <c r="E105" s="235">
        <f t="shared" si="49"/>
        <v>2027</v>
      </c>
      <c r="F105" s="235">
        <f t="shared" si="49"/>
        <v>2028</v>
      </c>
      <c r="G105" s="235">
        <f t="shared" si="49"/>
        <v>2029</v>
      </c>
      <c r="H105" s="235">
        <f t="shared" si="49"/>
        <v>2030</v>
      </c>
      <c r="I105" s="235">
        <f t="shared" si="49"/>
        <v>2031</v>
      </c>
      <c r="J105" s="235">
        <f t="shared" si="49"/>
        <v>2032</v>
      </c>
      <c r="K105" s="235">
        <f t="shared" si="49"/>
        <v>2033</v>
      </c>
      <c r="L105" s="235">
        <f t="shared" si="49"/>
        <v>2034</v>
      </c>
      <c r="M105" s="235">
        <f t="shared" si="49"/>
        <v>2035</v>
      </c>
      <c r="N105" s="235">
        <f t="shared" si="49"/>
        <v>2036</v>
      </c>
      <c r="O105" s="235">
        <f t="shared" si="49"/>
        <v>2037</v>
      </c>
      <c r="P105" s="235">
        <f t="shared" si="49"/>
        <v>2038</v>
      </c>
      <c r="Q105" s="235">
        <f t="shared" si="49"/>
        <v>2039</v>
      </c>
      <c r="R105" s="235">
        <f t="shared" si="49"/>
        <v>2040</v>
      </c>
      <c r="S105" s="235">
        <f t="shared" si="49"/>
        <v>2041</v>
      </c>
      <c r="T105" s="235">
        <f t="shared" si="49"/>
        <v>2042</v>
      </c>
      <c r="U105" s="235">
        <f t="shared" si="49"/>
        <v>2043</v>
      </c>
      <c r="V105" s="235">
        <f t="shared" si="49"/>
        <v>2044</v>
      </c>
      <c r="W105" s="235">
        <f t="shared" si="49"/>
        <v>2045</v>
      </c>
      <c r="X105" s="235">
        <f t="shared" si="49"/>
        <v>2046</v>
      </c>
      <c r="Y105" s="235">
        <f t="shared" si="49"/>
        <v>2047</v>
      </c>
      <c r="Z105" s="235">
        <f t="shared" si="49"/>
        <v>2048</v>
      </c>
      <c r="AA105" s="235">
        <f t="shared" si="49"/>
        <v>2049</v>
      </c>
      <c r="AB105" s="235">
        <f t="shared" si="49"/>
        <v>2050</v>
      </c>
      <c r="AC105" s="235">
        <f t="shared" si="49"/>
        <v>2051</v>
      </c>
      <c r="AD105" s="235">
        <f t="shared" si="49"/>
        <v>2052</v>
      </c>
      <c r="AE105" s="235">
        <f t="shared" si="49"/>
        <v>2053</v>
      </c>
      <c r="AF105" s="235">
        <f t="shared" si="49"/>
        <v>2054</v>
      </c>
      <c r="AG105" s="235">
        <f t="shared" si="49"/>
        <v>2055</v>
      </c>
    </row>
    <row r="106" spans="1:33">
      <c r="A106" s="290" t="s">
        <v>415</v>
      </c>
      <c r="B106" s="173" t="s">
        <v>309</v>
      </c>
      <c r="C106" s="309" t="e">
        <f>#REF!</f>
        <v>#REF!</v>
      </c>
      <c r="D106" s="179" t="e">
        <f>ROUND((C106*(1+#REF!))/1000,0)*1000</f>
        <v>#REF!</v>
      </c>
      <c r="E106" s="179" t="e">
        <f>ROUND((D106*(1+#REF!))/1000,0)*1000</f>
        <v>#REF!</v>
      </c>
      <c r="F106" s="179" t="e">
        <f>ROUND((E106*(1+#REF!))/1000,0)*1000</f>
        <v>#REF!</v>
      </c>
      <c r="G106" s="179" t="e">
        <f>ROUND((F106*(1+#REF!))/1000,0)*1000</f>
        <v>#REF!</v>
      </c>
      <c r="H106" s="179" t="e">
        <f>ROUND((G106*(1+#REF!))/1000,0)*1000</f>
        <v>#REF!</v>
      </c>
      <c r="I106" s="179" t="e">
        <f>ROUND((H106*(1+#REF!))/1000,0)*1000</f>
        <v>#REF!</v>
      </c>
      <c r="J106" s="179" t="e">
        <f>ROUND((I106*(1+#REF!))/1000,0)*1000</f>
        <v>#REF!</v>
      </c>
      <c r="K106" s="179" t="e">
        <f>ROUND((J106*(1+#REF!))/1000,0)*1000</f>
        <v>#REF!</v>
      </c>
      <c r="L106" s="179" t="e">
        <f>ROUND((K106*(1+#REF!))/1000,0)*1000</f>
        <v>#REF!</v>
      </c>
      <c r="M106" s="179" t="e">
        <f>ROUND((L106*(1+#REF!))/1000,0)*1000</f>
        <v>#REF!</v>
      </c>
      <c r="N106" s="179" t="e">
        <f>ROUND((M106*(1+#REF!))/1000,0)*1000</f>
        <v>#REF!</v>
      </c>
      <c r="O106" s="179" t="e">
        <f>ROUND((N106*(1+#REF!))/1000,0)*1000</f>
        <v>#REF!</v>
      </c>
      <c r="P106" s="179" t="e">
        <f>ROUND((O106*(1+#REF!))/1000,0)*1000</f>
        <v>#REF!</v>
      </c>
      <c r="Q106" s="179" t="e">
        <f>ROUND((P106*(1+#REF!))/1000,0)*1000</f>
        <v>#REF!</v>
      </c>
      <c r="R106" s="179" t="e">
        <f>ROUND((Q106*(1+#REF!))/1000,0)*1000</f>
        <v>#REF!</v>
      </c>
      <c r="S106" s="179" t="e">
        <f>ROUND((R106*(1+#REF!))/1000,0)*1000</f>
        <v>#REF!</v>
      </c>
      <c r="T106" s="179" t="e">
        <f>ROUND((S106*(1+#REF!))/1000,0)*1000</f>
        <v>#REF!</v>
      </c>
      <c r="U106" s="179" t="e">
        <f>ROUND((T106*(1+#REF!))/1000,0)*1000</f>
        <v>#REF!</v>
      </c>
      <c r="V106" s="179" t="e">
        <f>ROUND((U106*(1+#REF!))/1000,0)*1000</f>
        <v>#REF!</v>
      </c>
      <c r="W106" s="179" t="e">
        <f>ROUND((V106*(1+#REF!))/1000,0)*1000</f>
        <v>#REF!</v>
      </c>
      <c r="X106" s="179" t="e">
        <f>ROUND((W106*(1+#REF!))/1000,0)*1000</f>
        <v>#REF!</v>
      </c>
      <c r="Y106" s="179" t="e">
        <f>ROUND((X106*(1+#REF!))/1000,0)*1000</f>
        <v>#REF!</v>
      </c>
      <c r="Z106" s="179" t="e">
        <f>ROUND((Y106*(1+#REF!))/1000,0)*1000</f>
        <v>#REF!</v>
      </c>
      <c r="AA106" s="179" t="e">
        <f>ROUND((Z106*(1+#REF!))/1000,0)*1000</f>
        <v>#REF!</v>
      </c>
      <c r="AB106" s="179" t="e">
        <f>ROUND((AA106*(1+#REF!))/1000,0)*1000</f>
        <v>#REF!</v>
      </c>
      <c r="AC106" s="179" t="e">
        <f>ROUND((AB106*(1+#REF!))/1000,0)*1000</f>
        <v>#REF!</v>
      </c>
      <c r="AD106" s="179" t="e">
        <f>ROUND((AC106*(1+#REF!))/1000,0)*1000</f>
        <v>#REF!</v>
      </c>
      <c r="AE106" s="179" t="e">
        <f>ROUND((AD106*(1+#REF!))/1000,0)*1000</f>
        <v>#REF!</v>
      </c>
      <c r="AF106" s="179" t="e">
        <f>ROUND((AE106*(1+#REF!))/1000,0)*1000</f>
        <v>#REF!</v>
      </c>
      <c r="AG106" s="179" t="e">
        <f>ROUND((AF106*(1+#REF!))/1000,0)*1000</f>
        <v>#REF!</v>
      </c>
    </row>
    <row r="107" spans="1:33">
      <c r="A107" s="290" t="s">
        <v>324</v>
      </c>
      <c r="B107" s="173" t="s">
        <v>309</v>
      </c>
      <c r="C107" s="309" t="e">
        <f>C86+C106</f>
        <v>#REF!</v>
      </c>
      <c r="D107" s="309" t="e">
        <f>D86+D106</f>
        <v>#REF!</v>
      </c>
      <c r="E107" s="309" t="e">
        <f>E86+E106</f>
        <v>#REF!</v>
      </c>
      <c r="F107" s="309" t="e">
        <f t="shared" ref="F107:AG107" si="50">F86+F106</f>
        <v>#REF!</v>
      </c>
      <c r="G107" s="309" t="e">
        <f t="shared" si="50"/>
        <v>#REF!</v>
      </c>
      <c r="H107" s="309" t="e">
        <f t="shared" si="50"/>
        <v>#REF!</v>
      </c>
      <c r="I107" s="309" t="e">
        <f t="shared" si="50"/>
        <v>#REF!</v>
      </c>
      <c r="J107" s="309" t="e">
        <f t="shared" si="50"/>
        <v>#REF!</v>
      </c>
      <c r="K107" s="309" t="e">
        <f t="shared" si="50"/>
        <v>#REF!</v>
      </c>
      <c r="L107" s="309" t="e">
        <f t="shared" si="50"/>
        <v>#REF!</v>
      </c>
      <c r="M107" s="309" t="e">
        <f t="shared" si="50"/>
        <v>#REF!</v>
      </c>
      <c r="N107" s="309" t="e">
        <f t="shared" si="50"/>
        <v>#REF!</v>
      </c>
      <c r="O107" s="309" t="e">
        <f t="shared" si="50"/>
        <v>#REF!</v>
      </c>
      <c r="P107" s="309" t="e">
        <f t="shared" si="50"/>
        <v>#REF!</v>
      </c>
      <c r="Q107" s="309" t="e">
        <f t="shared" si="50"/>
        <v>#REF!</v>
      </c>
      <c r="R107" s="309" t="e">
        <f t="shared" si="50"/>
        <v>#REF!</v>
      </c>
      <c r="S107" s="309" t="e">
        <f t="shared" si="50"/>
        <v>#REF!</v>
      </c>
      <c r="T107" s="309" t="e">
        <f t="shared" si="50"/>
        <v>#REF!</v>
      </c>
      <c r="U107" s="309" t="e">
        <f t="shared" si="50"/>
        <v>#REF!</v>
      </c>
      <c r="V107" s="309" t="e">
        <f t="shared" si="50"/>
        <v>#REF!</v>
      </c>
      <c r="W107" s="309" t="e">
        <f t="shared" si="50"/>
        <v>#REF!</v>
      </c>
      <c r="X107" s="309" t="e">
        <f t="shared" si="50"/>
        <v>#REF!</v>
      </c>
      <c r="Y107" s="309" t="e">
        <f t="shared" si="50"/>
        <v>#REF!</v>
      </c>
      <c r="Z107" s="309" t="e">
        <f t="shared" si="50"/>
        <v>#REF!</v>
      </c>
      <c r="AA107" s="309" t="e">
        <f t="shared" si="50"/>
        <v>#REF!</v>
      </c>
      <c r="AB107" s="309" t="e">
        <f t="shared" si="50"/>
        <v>#REF!</v>
      </c>
      <c r="AC107" s="309" t="e">
        <f t="shared" si="50"/>
        <v>#REF!</v>
      </c>
      <c r="AD107" s="309" t="e">
        <f t="shared" si="50"/>
        <v>#REF!</v>
      </c>
      <c r="AE107" s="309" t="e">
        <f t="shared" si="50"/>
        <v>#REF!</v>
      </c>
      <c r="AF107" s="309" t="e">
        <f t="shared" si="50"/>
        <v>#REF!</v>
      </c>
      <c r="AG107" s="309" t="e">
        <f t="shared" si="50"/>
        <v>#REF!</v>
      </c>
    </row>
    <row r="108" spans="1:33">
      <c r="A108" s="173" t="s">
        <v>321</v>
      </c>
      <c r="B108" s="173" t="s">
        <v>309</v>
      </c>
      <c r="C108" s="179" t="e">
        <f t="shared" ref="C108:AG108" si="51">C41*$D$82</f>
        <v>#REF!</v>
      </c>
      <c r="D108" s="179" t="e">
        <f t="shared" si="51"/>
        <v>#REF!</v>
      </c>
      <c r="E108" s="179" t="e">
        <f t="shared" si="51"/>
        <v>#REF!</v>
      </c>
      <c r="F108" s="179" t="e">
        <f t="shared" si="51"/>
        <v>#REF!</v>
      </c>
      <c r="G108" s="179" t="e">
        <f t="shared" si="51"/>
        <v>#REF!</v>
      </c>
      <c r="H108" s="179" t="e">
        <f t="shared" si="51"/>
        <v>#REF!</v>
      </c>
      <c r="I108" s="179" t="e">
        <f t="shared" si="51"/>
        <v>#REF!</v>
      </c>
      <c r="J108" s="179" t="e">
        <f t="shared" si="51"/>
        <v>#REF!</v>
      </c>
      <c r="K108" s="179" t="e">
        <f t="shared" si="51"/>
        <v>#REF!</v>
      </c>
      <c r="L108" s="179" t="e">
        <f t="shared" si="51"/>
        <v>#REF!</v>
      </c>
      <c r="M108" s="179" t="e">
        <f t="shared" si="51"/>
        <v>#REF!</v>
      </c>
      <c r="N108" s="179" t="e">
        <f t="shared" si="51"/>
        <v>#REF!</v>
      </c>
      <c r="O108" s="179" t="e">
        <f t="shared" si="51"/>
        <v>#REF!</v>
      </c>
      <c r="P108" s="179" t="e">
        <f t="shared" si="51"/>
        <v>#REF!</v>
      </c>
      <c r="Q108" s="179" t="e">
        <f t="shared" si="51"/>
        <v>#REF!</v>
      </c>
      <c r="R108" s="179" t="e">
        <f t="shared" si="51"/>
        <v>#REF!</v>
      </c>
      <c r="S108" s="179" t="e">
        <f t="shared" si="51"/>
        <v>#REF!</v>
      </c>
      <c r="T108" s="179" t="e">
        <f t="shared" si="51"/>
        <v>#REF!</v>
      </c>
      <c r="U108" s="179" t="e">
        <f t="shared" si="51"/>
        <v>#REF!</v>
      </c>
      <c r="V108" s="179" t="e">
        <f t="shared" si="51"/>
        <v>#REF!</v>
      </c>
      <c r="W108" s="179" t="e">
        <f t="shared" si="51"/>
        <v>#REF!</v>
      </c>
      <c r="X108" s="179" t="e">
        <f t="shared" si="51"/>
        <v>#REF!</v>
      </c>
      <c r="Y108" s="179" t="e">
        <f t="shared" si="51"/>
        <v>#REF!</v>
      </c>
      <c r="Z108" s="179" t="e">
        <f t="shared" si="51"/>
        <v>#REF!</v>
      </c>
      <c r="AA108" s="179" t="e">
        <f t="shared" si="51"/>
        <v>#REF!</v>
      </c>
      <c r="AB108" s="179" t="e">
        <f t="shared" si="51"/>
        <v>#REF!</v>
      </c>
      <c r="AC108" s="179" t="e">
        <f t="shared" si="51"/>
        <v>#REF!</v>
      </c>
      <c r="AD108" s="179" t="e">
        <f t="shared" si="51"/>
        <v>#REF!</v>
      </c>
      <c r="AE108" s="179" t="e">
        <f t="shared" si="51"/>
        <v>#REF!</v>
      </c>
      <c r="AF108" s="179" t="e">
        <f t="shared" si="51"/>
        <v>#REF!</v>
      </c>
      <c r="AG108" s="179" t="e">
        <f t="shared" si="51"/>
        <v>#REF!</v>
      </c>
    </row>
    <row r="109" spans="1:33">
      <c r="A109" s="173" t="s">
        <v>317</v>
      </c>
      <c r="B109" s="173" t="s">
        <v>309</v>
      </c>
      <c r="C109" s="179" t="e">
        <f t="shared" ref="C109:AG109" si="52">C66*$C$27*$C$28</f>
        <v>#REF!</v>
      </c>
      <c r="D109" s="179" t="e">
        <f t="shared" si="52"/>
        <v>#REF!</v>
      </c>
      <c r="E109" s="179" t="e">
        <f t="shared" si="52"/>
        <v>#REF!</v>
      </c>
      <c r="F109" s="179" t="e">
        <f t="shared" si="52"/>
        <v>#REF!</v>
      </c>
      <c r="G109" s="179" t="e">
        <f t="shared" si="52"/>
        <v>#REF!</v>
      </c>
      <c r="H109" s="179" t="e">
        <f t="shared" si="52"/>
        <v>#REF!</v>
      </c>
      <c r="I109" s="179" t="e">
        <f t="shared" si="52"/>
        <v>#REF!</v>
      </c>
      <c r="J109" s="179" t="e">
        <f t="shared" si="52"/>
        <v>#REF!</v>
      </c>
      <c r="K109" s="179" t="e">
        <f t="shared" si="52"/>
        <v>#REF!</v>
      </c>
      <c r="L109" s="179" t="e">
        <f t="shared" si="52"/>
        <v>#REF!</v>
      </c>
      <c r="M109" s="179" t="e">
        <f t="shared" si="52"/>
        <v>#REF!</v>
      </c>
      <c r="N109" s="179" t="e">
        <f t="shared" si="52"/>
        <v>#REF!</v>
      </c>
      <c r="O109" s="179" t="e">
        <f t="shared" si="52"/>
        <v>#REF!</v>
      </c>
      <c r="P109" s="179" t="e">
        <f t="shared" si="52"/>
        <v>#REF!</v>
      </c>
      <c r="Q109" s="179" t="e">
        <f t="shared" si="52"/>
        <v>#REF!</v>
      </c>
      <c r="R109" s="179" t="e">
        <f t="shared" si="52"/>
        <v>#REF!</v>
      </c>
      <c r="S109" s="179" t="e">
        <f t="shared" si="52"/>
        <v>#REF!</v>
      </c>
      <c r="T109" s="179" t="e">
        <f t="shared" si="52"/>
        <v>#REF!</v>
      </c>
      <c r="U109" s="179" t="e">
        <f t="shared" si="52"/>
        <v>#REF!</v>
      </c>
      <c r="V109" s="179" t="e">
        <f t="shared" si="52"/>
        <v>#REF!</v>
      </c>
      <c r="W109" s="179" t="e">
        <f t="shared" si="52"/>
        <v>#REF!</v>
      </c>
      <c r="X109" s="179" t="e">
        <f t="shared" si="52"/>
        <v>#REF!</v>
      </c>
      <c r="Y109" s="179" t="e">
        <f t="shared" si="52"/>
        <v>#REF!</v>
      </c>
      <c r="Z109" s="179" t="e">
        <f t="shared" si="52"/>
        <v>#REF!</v>
      </c>
      <c r="AA109" s="179" t="e">
        <f t="shared" si="52"/>
        <v>#REF!</v>
      </c>
      <c r="AB109" s="179" t="e">
        <f t="shared" si="52"/>
        <v>#REF!</v>
      </c>
      <c r="AC109" s="179" t="e">
        <f t="shared" si="52"/>
        <v>#REF!</v>
      </c>
      <c r="AD109" s="179" t="e">
        <f t="shared" si="52"/>
        <v>#REF!</v>
      </c>
      <c r="AE109" s="179" t="e">
        <f t="shared" si="52"/>
        <v>#REF!</v>
      </c>
      <c r="AF109" s="179" t="e">
        <f t="shared" si="52"/>
        <v>#REF!</v>
      </c>
      <c r="AG109" s="179" t="e">
        <f t="shared" si="52"/>
        <v>#REF!</v>
      </c>
    </row>
    <row r="110" spans="1:33">
      <c r="A110" s="173" t="s">
        <v>319</v>
      </c>
      <c r="B110" s="173" t="s">
        <v>309</v>
      </c>
      <c r="C110" s="179" t="e">
        <f t="shared" ref="C110:AG110" si="53">C107*$C$34</f>
        <v>#REF!</v>
      </c>
      <c r="D110" s="179" t="e">
        <f t="shared" si="53"/>
        <v>#REF!</v>
      </c>
      <c r="E110" s="179" t="e">
        <f t="shared" si="53"/>
        <v>#REF!</v>
      </c>
      <c r="F110" s="179" t="e">
        <f t="shared" si="53"/>
        <v>#REF!</v>
      </c>
      <c r="G110" s="179" t="e">
        <f t="shared" si="53"/>
        <v>#REF!</v>
      </c>
      <c r="H110" s="179" t="e">
        <f t="shared" si="53"/>
        <v>#REF!</v>
      </c>
      <c r="I110" s="179" t="e">
        <f t="shared" si="53"/>
        <v>#REF!</v>
      </c>
      <c r="J110" s="179" t="e">
        <f t="shared" si="53"/>
        <v>#REF!</v>
      </c>
      <c r="K110" s="179" t="e">
        <f t="shared" si="53"/>
        <v>#REF!</v>
      </c>
      <c r="L110" s="179" t="e">
        <f t="shared" si="53"/>
        <v>#REF!</v>
      </c>
      <c r="M110" s="179" t="e">
        <f t="shared" si="53"/>
        <v>#REF!</v>
      </c>
      <c r="N110" s="179" t="e">
        <f t="shared" si="53"/>
        <v>#REF!</v>
      </c>
      <c r="O110" s="179" t="e">
        <f t="shared" si="53"/>
        <v>#REF!</v>
      </c>
      <c r="P110" s="179" t="e">
        <f t="shared" si="53"/>
        <v>#REF!</v>
      </c>
      <c r="Q110" s="179" t="e">
        <f t="shared" si="53"/>
        <v>#REF!</v>
      </c>
      <c r="R110" s="179" t="e">
        <f t="shared" si="53"/>
        <v>#REF!</v>
      </c>
      <c r="S110" s="179" t="e">
        <f t="shared" si="53"/>
        <v>#REF!</v>
      </c>
      <c r="T110" s="179" t="e">
        <f t="shared" si="53"/>
        <v>#REF!</v>
      </c>
      <c r="U110" s="179" t="e">
        <f t="shared" si="53"/>
        <v>#REF!</v>
      </c>
      <c r="V110" s="179" t="e">
        <f t="shared" si="53"/>
        <v>#REF!</v>
      </c>
      <c r="W110" s="179" t="e">
        <f t="shared" si="53"/>
        <v>#REF!</v>
      </c>
      <c r="X110" s="179" t="e">
        <f t="shared" si="53"/>
        <v>#REF!</v>
      </c>
      <c r="Y110" s="179" t="e">
        <f t="shared" si="53"/>
        <v>#REF!</v>
      </c>
      <c r="Z110" s="179" t="e">
        <f t="shared" si="53"/>
        <v>#REF!</v>
      </c>
      <c r="AA110" s="179" t="e">
        <f t="shared" si="53"/>
        <v>#REF!</v>
      </c>
      <c r="AB110" s="179" t="e">
        <f t="shared" si="53"/>
        <v>#REF!</v>
      </c>
      <c r="AC110" s="179" t="e">
        <f t="shared" si="53"/>
        <v>#REF!</v>
      </c>
      <c r="AD110" s="179" t="e">
        <f t="shared" si="53"/>
        <v>#REF!</v>
      </c>
      <c r="AE110" s="179" t="e">
        <f t="shared" si="53"/>
        <v>#REF!</v>
      </c>
      <c r="AF110" s="179" t="e">
        <f t="shared" si="53"/>
        <v>#REF!</v>
      </c>
      <c r="AG110" s="179" t="e">
        <f t="shared" si="53"/>
        <v>#REF!</v>
      </c>
    </row>
    <row r="111" spans="1:33" s="247" customFormat="1" ht="11.85" customHeight="1">
      <c r="A111" s="270" t="s">
        <v>414</v>
      </c>
    </row>
    <row r="112" spans="1:33">
      <c r="A112" s="173" t="s">
        <v>325</v>
      </c>
      <c r="B112" s="173" t="s">
        <v>313</v>
      </c>
      <c r="C112" s="179" t="e">
        <f t="shared" ref="C112:AG112" si="54">-PMT($C$33,$C$31,C107)</f>
        <v>#REF!</v>
      </c>
      <c r="D112" s="179" t="e">
        <f t="shared" si="54"/>
        <v>#REF!</v>
      </c>
      <c r="E112" s="179" t="e">
        <f t="shared" si="54"/>
        <v>#REF!</v>
      </c>
      <c r="F112" s="179" t="e">
        <f t="shared" si="54"/>
        <v>#REF!</v>
      </c>
      <c r="G112" s="179" t="e">
        <f t="shared" si="54"/>
        <v>#REF!</v>
      </c>
      <c r="H112" s="179" t="e">
        <f t="shared" si="54"/>
        <v>#REF!</v>
      </c>
      <c r="I112" s="179" t="e">
        <f t="shared" si="54"/>
        <v>#REF!</v>
      </c>
      <c r="J112" s="179" t="e">
        <f t="shared" si="54"/>
        <v>#REF!</v>
      </c>
      <c r="K112" s="179" t="e">
        <f t="shared" si="54"/>
        <v>#REF!</v>
      </c>
      <c r="L112" s="179" t="e">
        <f t="shared" si="54"/>
        <v>#REF!</v>
      </c>
      <c r="M112" s="179" t="e">
        <f t="shared" si="54"/>
        <v>#REF!</v>
      </c>
      <c r="N112" s="179" t="e">
        <f t="shared" si="54"/>
        <v>#REF!</v>
      </c>
      <c r="O112" s="179" t="e">
        <f t="shared" si="54"/>
        <v>#REF!</v>
      </c>
      <c r="P112" s="179" t="e">
        <f t="shared" si="54"/>
        <v>#REF!</v>
      </c>
      <c r="Q112" s="179" t="e">
        <f t="shared" si="54"/>
        <v>#REF!</v>
      </c>
      <c r="R112" s="179" t="e">
        <f t="shared" si="54"/>
        <v>#REF!</v>
      </c>
      <c r="S112" s="179" t="e">
        <f t="shared" si="54"/>
        <v>#REF!</v>
      </c>
      <c r="T112" s="179" t="e">
        <f t="shared" si="54"/>
        <v>#REF!</v>
      </c>
      <c r="U112" s="179" t="e">
        <f t="shared" si="54"/>
        <v>#REF!</v>
      </c>
      <c r="V112" s="179" t="e">
        <f t="shared" si="54"/>
        <v>#REF!</v>
      </c>
      <c r="W112" s="179" t="e">
        <f t="shared" si="54"/>
        <v>#REF!</v>
      </c>
      <c r="X112" s="179" t="e">
        <f t="shared" si="54"/>
        <v>#REF!</v>
      </c>
      <c r="Y112" s="179" t="e">
        <f t="shared" si="54"/>
        <v>#REF!</v>
      </c>
      <c r="Z112" s="179" t="e">
        <f t="shared" si="54"/>
        <v>#REF!</v>
      </c>
      <c r="AA112" s="179" t="e">
        <f t="shared" si="54"/>
        <v>#REF!</v>
      </c>
      <c r="AB112" s="179" t="e">
        <f t="shared" si="54"/>
        <v>#REF!</v>
      </c>
      <c r="AC112" s="179" t="e">
        <f t="shared" si="54"/>
        <v>#REF!</v>
      </c>
      <c r="AD112" s="179" t="e">
        <f t="shared" si="54"/>
        <v>#REF!</v>
      </c>
      <c r="AE112" s="179" t="e">
        <f t="shared" si="54"/>
        <v>#REF!</v>
      </c>
      <c r="AF112" s="179" t="e">
        <f t="shared" si="54"/>
        <v>#REF!</v>
      </c>
      <c r="AG112" s="179" t="e">
        <f t="shared" si="54"/>
        <v>#REF!</v>
      </c>
    </row>
    <row r="113" spans="1:33">
      <c r="A113" s="173" t="s">
        <v>321</v>
      </c>
      <c r="B113" s="173" t="s">
        <v>313</v>
      </c>
      <c r="C113" s="179" t="e">
        <f t="shared" ref="C113:AG115" si="55">C108</f>
        <v>#REF!</v>
      </c>
      <c r="D113" s="179" t="e">
        <f t="shared" si="55"/>
        <v>#REF!</v>
      </c>
      <c r="E113" s="179" t="e">
        <f t="shared" si="55"/>
        <v>#REF!</v>
      </c>
      <c r="F113" s="179" t="e">
        <f t="shared" si="55"/>
        <v>#REF!</v>
      </c>
      <c r="G113" s="179" t="e">
        <f t="shared" si="55"/>
        <v>#REF!</v>
      </c>
      <c r="H113" s="179" t="e">
        <f t="shared" si="55"/>
        <v>#REF!</v>
      </c>
      <c r="I113" s="179" t="e">
        <f t="shared" si="55"/>
        <v>#REF!</v>
      </c>
      <c r="J113" s="179" t="e">
        <f t="shared" si="55"/>
        <v>#REF!</v>
      </c>
      <c r="K113" s="179" t="e">
        <f t="shared" si="55"/>
        <v>#REF!</v>
      </c>
      <c r="L113" s="179" t="e">
        <f t="shared" si="55"/>
        <v>#REF!</v>
      </c>
      <c r="M113" s="179" t="e">
        <f t="shared" si="55"/>
        <v>#REF!</v>
      </c>
      <c r="N113" s="179" t="e">
        <f t="shared" si="55"/>
        <v>#REF!</v>
      </c>
      <c r="O113" s="179" t="e">
        <f t="shared" si="55"/>
        <v>#REF!</v>
      </c>
      <c r="P113" s="179" t="e">
        <f t="shared" si="55"/>
        <v>#REF!</v>
      </c>
      <c r="Q113" s="179" t="e">
        <f t="shared" si="55"/>
        <v>#REF!</v>
      </c>
      <c r="R113" s="179" t="e">
        <f t="shared" si="55"/>
        <v>#REF!</v>
      </c>
      <c r="S113" s="179" t="e">
        <f t="shared" si="55"/>
        <v>#REF!</v>
      </c>
      <c r="T113" s="179" t="e">
        <f t="shared" si="55"/>
        <v>#REF!</v>
      </c>
      <c r="U113" s="179" t="e">
        <f t="shared" si="55"/>
        <v>#REF!</v>
      </c>
      <c r="V113" s="179" t="e">
        <f t="shared" si="55"/>
        <v>#REF!</v>
      </c>
      <c r="W113" s="179" t="e">
        <f t="shared" si="55"/>
        <v>#REF!</v>
      </c>
      <c r="X113" s="179" t="e">
        <f t="shared" si="55"/>
        <v>#REF!</v>
      </c>
      <c r="Y113" s="179" t="e">
        <f t="shared" si="55"/>
        <v>#REF!</v>
      </c>
      <c r="Z113" s="179" t="e">
        <f t="shared" si="55"/>
        <v>#REF!</v>
      </c>
      <c r="AA113" s="179" t="e">
        <f t="shared" si="55"/>
        <v>#REF!</v>
      </c>
      <c r="AB113" s="179" t="e">
        <f t="shared" si="55"/>
        <v>#REF!</v>
      </c>
      <c r="AC113" s="179" t="e">
        <f t="shared" si="55"/>
        <v>#REF!</v>
      </c>
      <c r="AD113" s="179" t="e">
        <f t="shared" si="55"/>
        <v>#REF!</v>
      </c>
      <c r="AE113" s="179" t="e">
        <f t="shared" si="55"/>
        <v>#REF!</v>
      </c>
      <c r="AF113" s="179" t="e">
        <f t="shared" si="55"/>
        <v>#REF!</v>
      </c>
      <c r="AG113" s="179" t="e">
        <f t="shared" si="55"/>
        <v>#REF!</v>
      </c>
    </row>
    <row r="114" spans="1:33">
      <c r="A114" s="173" t="s">
        <v>317</v>
      </c>
      <c r="B114" s="173" t="s">
        <v>313</v>
      </c>
      <c r="C114" s="179" t="e">
        <f>C109</f>
        <v>#REF!</v>
      </c>
      <c r="D114" s="179" t="e">
        <f t="shared" si="55"/>
        <v>#REF!</v>
      </c>
      <c r="E114" s="179" t="e">
        <f t="shared" si="55"/>
        <v>#REF!</v>
      </c>
      <c r="F114" s="179" t="e">
        <f t="shared" si="55"/>
        <v>#REF!</v>
      </c>
      <c r="G114" s="179" t="e">
        <f t="shared" si="55"/>
        <v>#REF!</v>
      </c>
      <c r="H114" s="179" t="e">
        <f t="shared" si="55"/>
        <v>#REF!</v>
      </c>
      <c r="I114" s="179" t="e">
        <f t="shared" si="55"/>
        <v>#REF!</v>
      </c>
      <c r="J114" s="179" t="e">
        <f t="shared" si="55"/>
        <v>#REF!</v>
      </c>
      <c r="K114" s="179" t="e">
        <f t="shared" si="55"/>
        <v>#REF!</v>
      </c>
      <c r="L114" s="179" t="e">
        <f t="shared" si="55"/>
        <v>#REF!</v>
      </c>
      <c r="M114" s="179" t="e">
        <f t="shared" si="55"/>
        <v>#REF!</v>
      </c>
      <c r="N114" s="179" t="e">
        <f t="shared" si="55"/>
        <v>#REF!</v>
      </c>
      <c r="O114" s="179" t="e">
        <f t="shared" si="55"/>
        <v>#REF!</v>
      </c>
      <c r="P114" s="179" t="e">
        <f t="shared" si="55"/>
        <v>#REF!</v>
      </c>
      <c r="Q114" s="179" t="e">
        <f t="shared" si="55"/>
        <v>#REF!</v>
      </c>
      <c r="R114" s="179" t="e">
        <f t="shared" si="55"/>
        <v>#REF!</v>
      </c>
      <c r="S114" s="179" t="e">
        <f t="shared" si="55"/>
        <v>#REF!</v>
      </c>
      <c r="T114" s="179" t="e">
        <f t="shared" si="55"/>
        <v>#REF!</v>
      </c>
      <c r="U114" s="179" t="e">
        <f t="shared" si="55"/>
        <v>#REF!</v>
      </c>
      <c r="V114" s="179" t="e">
        <f t="shared" si="55"/>
        <v>#REF!</v>
      </c>
      <c r="W114" s="179" t="e">
        <f t="shared" si="55"/>
        <v>#REF!</v>
      </c>
      <c r="X114" s="179" t="e">
        <f t="shared" si="55"/>
        <v>#REF!</v>
      </c>
      <c r="Y114" s="179" t="e">
        <f t="shared" si="55"/>
        <v>#REF!</v>
      </c>
      <c r="Z114" s="179" t="e">
        <f t="shared" si="55"/>
        <v>#REF!</v>
      </c>
      <c r="AA114" s="179" t="e">
        <f t="shared" si="55"/>
        <v>#REF!</v>
      </c>
      <c r="AB114" s="179" t="e">
        <f t="shared" si="55"/>
        <v>#REF!</v>
      </c>
      <c r="AC114" s="179" t="e">
        <f t="shared" si="55"/>
        <v>#REF!</v>
      </c>
      <c r="AD114" s="179" t="e">
        <f t="shared" si="55"/>
        <v>#REF!</v>
      </c>
      <c r="AE114" s="179" t="e">
        <f t="shared" si="55"/>
        <v>#REF!</v>
      </c>
      <c r="AF114" s="179" t="e">
        <f t="shared" si="55"/>
        <v>#REF!</v>
      </c>
      <c r="AG114" s="179" t="e">
        <f t="shared" si="55"/>
        <v>#REF!</v>
      </c>
    </row>
    <row r="115" spans="1:33">
      <c r="A115" s="173" t="s">
        <v>319</v>
      </c>
      <c r="B115" s="173" t="s">
        <v>313</v>
      </c>
      <c r="C115" s="179" t="e">
        <f>C110</f>
        <v>#REF!</v>
      </c>
      <c r="D115" s="179" t="e">
        <f t="shared" si="55"/>
        <v>#REF!</v>
      </c>
      <c r="E115" s="179" t="e">
        <f t="shared" si="55"/>
        <v>#REF!</v>
      </c>
      <c r="F115" s="179" t="e">
        <f t="shared" si="55"/>
        <v>#REF!</v>
      </c>
      <c r="G115" s="179" t="e">
        <f t="shared" si="55"/>
        <v>#REF!</v>
      </c>
      <c r="H115" s="179" t="e">
        <f t="shared" si="55"/>
        <v>#REF!</v>
      </c>
      <c r="I115" s="179" t="e">
        <f t="shared" si="55"/>
        <v>#REF!</v>
      </c>
      <c r="J115" s="179" t="e">
        <f t="shared" si="55"/>
        <v>#REF!</v>
      </c>
      <c r="K115" s="179" t="e">
        <f t="shared" si="55"/>
        <v>#REF!</v>
      </c>
      <c r="L115" s="179" t="e">
        <f t="shared" si="55"/>
        <v>#REF!</v>
      </c>
      <c r="M115" s="179" t="e">
        <f t="shared" si="55"/>
        <v>#REF!</v>
      </c>
      <c r="N115" s="179" t="e">
        <f t="shared" si="55"/>
        <v>#REF!</v>
      </c>
      <c r="O115" s="179" t="e">
        <f t="shared" si="55"/>
        <v>#REF!</v>
      </c>
      <c r="P115" s="179" t="e">
        <f t="shared" si="55"/>
        <v>#REF!</v>
      </c>
      <c r="Q115" s="179" t="e">
        <f t="shared" si="55"/>
        <v>#REF!</v>
      </c>
      <c r="R115" s="179" t="e">
        <f t="shared" si="55"/>
        <v>#REF!</v>
      </c>
      <c r="S115" s="179" t="e">
        <f t="shared" si="55"/>
        <v>#REF!</v>
      </c>
      <c r="T115" s="179" t="e">
        <f t="shared" si="55"/>
        <v>#REF!</v>
      </c>
      <c r="U115" s="179" t="e">
        <f t="shared" si="55"/>
        <v>#REF!</v>
      </c>
      <c r="V115" s="179" t="e">
        <f t="shared" si="55"/>
        <v>#REF!</v>
      </c>
      <c r="W115" s="179" t="e">
        <f t="shared" si="55"/>
        <v>#REF!</v>
      </c>
      <c r="X115" s="179" t="e">
        <f t="shared" si="55"/>
        <v>#REF!</v>
      </c>
      <c r="Y115" s="179" t="e">
        <f t="shared" si="55"/>
        <v>#REF!</v>
      </c>
      <c r="Z115" s="179" t="e">
        <f t="shared" si="55"/>
        <v>#REF!</v>
      </c>
      <c r="AA115" s="179" t="e">
        <f t="shared" si="55"/>
        <v>#REF!</v>
      </c>
      <c r="AB115" s="179" t="e">
        <f t="shared" si="55"/>
        <v>#REF!</v>
      </c>
      <c r="AC115" s="179" t="e">
        <f t="shared" si="55"/>
        <v>#REF!</v>
      </c>
      <c r="AD115" s="179" t="e">
        <f t="shared" si="55"/>
        <v>#REF!</v>
      </c>
      <c r="AE115" s="179" t="e">
        <f t="shared" si="55"/>
        <v>#REF!</v>
      </c>
      <c r="AF115" s="179" t="e">
        <f t="shared" si="55"/>
        <v>#REF!</v>
      </c>
      <c r="AG115" s="179" t="e">
        <f t="shared" si="55"/>
        <v>#REF!</v>
      </c>
    </row>
    <row r="116" spans="1:33" s="247" customFormat="1" ht="11.85" customHeight="1">
      <c r="A116" s="270" t="s">
        <v>320</v>
      </c>
    </row>
    <row r="117" spans="1:33">
      <c r="A117" s="173" t="s">
        <v>325</v>
      </c>
      <c r="B117" s="173" t="s">
        <v>300</v>
      </c>
      <c r="C117" s="179" t="e">
        <f t="shared" ref="C117:AG118" si="56">C112/($C$28*$C$27)</f>
        <v>#REF!</v>
      </c>
      <c r="D117" s="179" t="e">
        <f t="shared" si="56"/>
        <v>#REF!</v>
      </c>
      <c r="E117" s="179" t="e">
        <f t="shared" si="56"/>
        <v>#REF!</v>
      </c>
      <c r="F117" s="179" t="e">
        <f t="shared" si="56"/>
        <v>#REF!</v>
      </c>
      <c r="G117" s="179" t="e">
        <f t="shared" si="56"/>
        <v>#REF!</v>
      </c>
      <c r="H117" s="179" t="e">
        <f t="shared" si="56"/>
        <v>#REF!</v>
      </c>
      <c r="I117" s="179" t="e">
        <f t="shared" si="56"/>
        <v>#REF!</v>
      </c>
      <c r="J117" s="179" t="e">
        <f t="shared" si="56"/>
        <v>#REF!</v>
      </c>
      <c r="K117" s="179" t="e">
        <f t="shared" si="56"/>
        <v>#REF!</v>
      </c>
      <c r="L117" s="179" t="e">
        <f t="shared" si="56"/>
        <v>#REF!</v>
      </c>
      <c r="M117" s="179" t="e">
        <f t="shared" si="56"/>
        <v>#REF!</v>
      </c>
      <c r="N117" s="179" t="e">
        <f t="shared" si="56"/>
        <v>#REF!</v>
      </c>
      <c r="O117" s="179" t="e">
        <f t="shared" si="56"/>
        <v>#REF!</v>
      </c>
      <c r="P117" s="179" t="e">
        <f t="shared" si="56"/>
        <v>#REF!</v>
      </c>
      <c r="Q117" s="179" t="e">
        <f t="shared" si="56"/>
        <v>#REF!</v>
      </c>
      <c r="R117" s="179" t="e">
        <f t="shared" si="56"/>
        <v>#REF!</v>
      </c>
      <c r="S117" s="179" t="e">
        <f t="shared" si="56"/>
        <v>#REF!</v>
      </c>
      <c r="T117" s="179" t="e">
        <f t="shared" si="56"/>
        <v>#REF!</v>
      </c>
      <c r="U117" s="179" t="e">
        <f t="shared" si="56"/>
        <v>#REF!</v>
      </c>
      <c r="V117" s="179" t="e">
        <f t="shared" si="56"/>
        <v>#REF!</v>
      </c>
      <c r="W117" s="179" t="e">
        <f t="shared" si="56"/>
        <v>#REF!</v>
      </c>
      <c r="X117" s="179" t="e">
        <f t="shared" si="56"/>
        <v>#REF!</v>
      </c>
      <c r="Y117" s="179" t="e">
        <f t="shared" si="56"/>
        <v>#REF!</v>
      </c>
      <c r="Z117" s="179" t="e">
        <f t="shared" si="56"/>
        <v>#REF!</v>
      </c>
      <c r="AA117" s="179" t="e">
        <f t="shared" si="56"/>
        <v>#REF!</v>
      </c>
      <c r="AB117" s="179" t="e">
        <f t="shared" si="56"/>
        <v>#REF!</v>
      </c>
      <c r="AC117" s="179" t="e">
        <f t="shared" si="56"/>
        <v>#REF!</v>
      </c>
      <c r="AD117" s="179" t="e">
        <f t="shared" si="56"/>
        <v>#REF!</v>
      </c>
      <c r="AE117" s="179" t="e">
        <f t="shared" si="56"/>
        <v>#REF!</v>
      </c>
      <c r="AF117" s="179" t="e">
        <f t="shared" si="56"/>
        <v>#REF!</v>
      </c>
      <c r="AG117" s="179" t="e">
        <f t="shared" si="56"/>
        <v>#REF!</v>
      </c>
    </row>
    <row r="118" spans="1:33">
      <c r="A118" s="173" t="s">
        <v>321</v>
      </c>
      <c r="B118" s="173" t="s">
        <v>300</v>
      </c>
      <c r="C118" s="179" t="e">
        <f t="shared" si="56"/>
        <v>#REF!</v>
      </c>
      <c r="D118" s="179" t="e">
        <f t="shared" si="56"/>
        <v>#REF!</v>
      </c>
      <c r="E118" s="179" t="e">
        <f t="shared" si="56"/>
        <v>#REF!</v>
      </c>
      <c r="F118" s="179" t="e">
        <f t="shared" si="56"/>
        <v>#REF!</v>
      </c>
      <c r="G118" s="179" t="e">
        <f t="shared" si="56"/>
        <v>#REF!</v>
      </c>
      <c r="H118" s="179" t="e">
        <f t="shared" si="56"/>
        <v>#REF!</v>
      </c>
      <c r="I118" s="179" t="e">
        <f t="shared" si="56"/>
        <v>#REF!</v>
      </c>
      <c r="J118" s="179" t="e">
        <f t="shared" si="56"/>
        <v>#REF!</v>
      </c>
      <c r="K118" s="179" t="e">
        <f t="shared" si="56"/>
        <v>#REF!</v>
      </c>
      <c r="L118" s="179" t="e">
        <f t="shared" si="56"/>
        <v>#REF!</v>
      </c>
      <c r="M118" s="179" t="e">
        <f t="shared" si="56"/>
        <v>#REF!</v>
      </c>
      <c r="N118" s="179" t="e">
        <f t="shared" si="56"/>
        <v>#REF!</v>
      </c>
      <c r="O118" s="179" t="e">
        <f t="shared" si="56"/>
        <v>#REF!</v>
      </c>
      <c r="P118" s="179" t="e">
        <f t="shared" si="56"/>
        <v>#REF!</v>
      </c>
      <c r="Q118" s="179" t="e">
        <f t="shared" si="56"/>
        <v>#REF!</v>
      </c>
      <c r="R118" s="179" t="e">
        <f t="shared" si="56"/>
        <v>#REF!</v>
      </c>
      <c r="S118" s="179" t="e">
        <f t="shared" si="56"/>
        <v>#REF!</v>
      </c>
      <c r="T118" s="179" t="e">
        <f t="shared" si="56"/>
        <v>#REF!</v>
      </c>
      <c r="U118" s="179" t="e">
        <f t="shared" si="56"/>
        <v>#REF!</v>
      </c>
      <c r="V118" s="179" t="e">
        <f t="shared" si="56"/>
        <v>#REF!</v>
      </c>
      <c r="W118" s="179" t="e">
        <f t="shared" si="56"/>
        <v>#REF!</v>
      </c>
      <c r="X118" s="179" t="e">
        <f t="shared" si="56"/>
        <v>#REF!</v>
      </c>
      <c r="Y118" s="179" t="e">
        <f t="shared" si="56"/>
        <v>#REF!</v>
      </c>
      <c r="Z118" s="179" t="e">
        <f t="shared" si="56"/>
        <v>#REF!</v>
      </c>
      <c r="AA118" s="179" t="e">
        <f t="shared" si="56"/>
        <v>#REF!</v>
      </c>
      <c r="AB118" s="179" t="e">
        <f t="shared" si="56"/>
        <v>#REF!</v>
      </c>
      <c r="AC118" s="179" t="e">
        <f t="shared" si="56"/>
        <v>#REF!</v>
      </c>
      <c r="AD118" s="179" t="e">
        <f t="shared" si="56"/>
        <v>#REF!</v>
      </c>
      <c r="AE118" s="179" t="e">
        <f t="shared" si="56"/>
        <v>#REF!</v>
      </c>
      <c r="AF118" s="179" t="e">
        <f t="shared" si="56"/>
        <v>#REF!</v>
      </c>
      <c r="AG118" s="179" t="e">
        <f t="shared" si="56"/>
        <v>#REF!</v>
      </c>
    </row>
    <row r="119" spans="1:33">
      <c r="A119" s="173" t="s">
        <v>322</v>
      </c>
      <c r="B119" s="173" t="s">
        <v>300</v>
      </c>
      <c r="C119" s="179" t="e">
        <f t="shared" ref="C119:AG119" si="57">(C114+C115+C70)/($C$28*$C$27)+C63</f>
        <v>#REF!</v>
      </c>
      <c r="D119" s="179" t="e">
        <f t="shared" si="57"/>
        <v>#REF!</v>
      </c>
      <c r="E119" s="179" t="e">
        <f t="shared" si="57"/>
        <v>#REF!</v>
      </c>
      <c r="F119" s="179" t="e">
        <f t="shared" si="57"/>
        <v>#REF!</v>
      </c>
      <c r="G119" s="179" t="e">
        <f t="shared" si="57"/>
        <v>#REF!</v>
      </c>
      <c r="H119" s="179" t="e">
        <f t="shared" si="57"/>
        <v>#REF!</v>
      </c>
      <c r="I119" s="179" t="e">
        <f t="shared" si="57"/>
        <v>#REF!</v>
      </c>
      <c r="J119" s="179" t="e">
        <f t="shared" si="57"/>
        <v>#REF!</v>
      </c>
      <c r="K119" s="179" t="e">
        <f t="shared" si="57"/>
        <v>#REF!</v>
      </c>
      <c r="L119" s="179" t="e">
        <f t="shared" si="57"/>
        <v>#REF!</v>
      </c>
      <c r="M119" s="179" t="e">
        <f t="shared" si="57"/>
        <v>#REF!</v>
      </c>
      <c r="N119" s="179" t="e">
        <f t="shared" si="57"/>
        <v>#REF!</v>
      </c>
      <c r="O119" s="179" t="e">
        <f t="shared" si="57"/>
        <v>#REF!</v>
      </c>
      <c r="P119" s="179" t="e">
        <f t="shared" si="57"/>
        <v>#REF!</v>
      </c>
      <c r="Q119" s="179" t="e">
        <f t="shared" si="57"/>
        <v>#REF!</v>
      </c>
      <c r="R119" s="179" t="e">
        <f t="shared" si="57"/>
        <v>#REF!</v>
      </c>
      <c r="S119" s="179" t="e">
        <f t="shared" si="57"/>
        <v>#REF!</v>
      </c>
      <c r="T119" s="179" t="e">
        <f t="shared" si="57"/>
        <v>#REF!</v>
      </c>
      <c r="U119" s="179" t="e">
        <f t="shared" si="57"/>
        <v>#REF!</v>
      </c>
      <c r="V119" s="179" t="e">
        <f t="shared" si="57"/>
        <v>#REF!</v>
      </c>
      <c r="W119" s="179" t="e">
        <f t="shared" si="57"/>
        <v>#REF!</v>
      </c>
      <c r="X119" s="179" t="e">
        <f t="shared" si="57"/>
        <v>#REF!</v>
      </c>
      <c r="Y119" s="179" t="e">
        <f t="shared" si="57"/>
        <v>#REF!</v>
      </c>
      <c r="Z119" s="179" t="e">
        <f t="shared" si="57"/>
        <v>#REF!</v>
      </c>
      <c r="AA119" s="179" t="e">
        <f t="shared" si="57"/>
        <v>#REF!</v>
      </c>
      <c r="AB119" s="179" t="e">
        <f t="shared" si="57"/>
        <v>#REF!</v>
      </c>
      <c r="AC119" s="179" t="e">
        <f t="shared" si="57"/>
        <v>#REF!</v>
      </c>
      <c r="AD119" s="179" t="e">
        <f t="shared" si="57"/>
        <v>#REF!</v>
      </c>
      <c r="AE119" s="179" t="e">
        <f t="shared" si="57"/>
        <v>#REF!</v>
      </c>
      <c r="AF119" s="179" t="e">
        <f t="shared" si="57"/>
        <v>#REF!</v>
      </c>
      <c r="AG119" s="179" t="e">
        <f t="shared" si="57"/>
        <v>#REF!</v>
      </c>
    </row>
    <row r="120" spans="1:33">
      <c r="C120" s="274" t="e">
        <f t="shared" ref="C120:AG120" si="58">SUM(C117:C119)</f>
        <v>#REF!</v>
      </c>
      <c r="D120" s="274" t="e">
        <f t="shared" si="58"/>
        <v>#REF!</v>
      </c>
      <c r="E120" s="274" t="e">
        <f t="shared" si="58"/>
        <v>#REF!</v>
      </c>
      <c r="F120" s="274" t="e">
        <f t="shared" si="58"/>
        <v>#REF!</v>
      </c>
      <c r="G120" s="274" t="e">
        <f t="shared" si="58"/>
        <v>#REF!</v>
      </c>
      <c r="H120" s="274" t="e">
        <f t="shared" si="58"/>
        <v>#REF!</v>
      </c>
      <c r="I120" s="274" t="e">
        <f t="shared" si="58"/>
        <v>#REF!</v>
      </c>
      <c r="J120" s="274" t="e">
        <f t="shared" si="58"/>
        <v>#REF!</v>
      </c>
      <c r="K120" s="274" t="e">
        <f t="shared" si="58"/>
        <v>#REF!</v>
      </c>
      <c r="L120" s="274" t="e">
        <f t="shared" si="58"/>
        <v>#REF!</v>
      </c>
      <c r="M120" s="274" t="e">
        <f t="shared" si="58"/>
        <v>#REF!</v>
      </c>
      <c r="N120" s="274" t="e">
        <f t="shared" si="58"/>
        <v>#REF!</v>
      </c>
      <c r="O120" s="274" t="e">
        <f t="shared" si="58"/>
        <v>#REF!</v>
      </c>
      <c r="P120" s="274" t="e">
        <f t="shared" si="58"/>
        <v>#REF!</v>
      </c>
      <c r="Q120" s="274" t="e">
        <f t="shared" si="58"/>
        <v>#REF!</v>
      </c>
      <c r="R120" s="274" t="e">
        <f t="shared" si="58"/>
        <v>#REF!</v>
      </c>
      <c r="S120" s="274" t="e">
        <f t="shared" si="58"/>
        <v>#REF!</v>
      </c>
      <c r="T120" s="274" t="e">
        <f t="shared" si="58"/>
        <v>#REF!</v>
      </c>
      <c r="U120" s="274" t="e">
        <f t="shared" si="58"/>
        <v>#REF!</v>
      </c>
      <c r="V120" s="274" t="e">
        <f t="shared" si="58"/>
        <v>#REF!</v>
      </c>
      <c r="W120" s="274" t="e">
        <f t="shared" si="58"/>
        <v>#REF!</v>
      </c>
      <c r="X120" s="274" t="e">
        <f t="shared" si="58"/>
        <v>#REF!</v>
      </c>
      <c r="Y120" s="274" t="e">
        <f t="shared" si="58"/>
        <v>#REF!</v>
      </c>
      <c r="Z120" s="274" t="e">
        <f t="shared" si="58"/>
        <v>#REF!</v>
      </c>
      <c r="AA120" s="274" t="e">
        <f t="shared" si="58"/>
        <v>#REF!</v>
      </c>
      <c r="AB120" s="274" t="e">
        <f t="shared" si="58"/>
        <v>#REF!</v>
      </c>
      <c r="AC120" s="274" t="e">
        <f t="shared" si="58"/>
        <v>#REF!</v>
      </c>
      <c r="AD120" s="274" t="e">
        <f t="shared" si="58"/>
        <v>#REF!</v>
      </c>
      <c r="AE120" s="274" t="e">
        <f t="shared" si="58"/>
        <v>#REF!</v>
      </c>
      <c r="AF120" s="274" t="e">
        <f t="shared" si="58"/>
        <v>#REF!</v>
      </c>
      <c r="AG120" s="274" t="e">
        <f t="shared" si="58"/>
        <v>#REF!</v>
      </c>
    </row>
    <row r="121" spans="1:33" s="225" customFormat="1">
      <c r="A121" s="223" t="s">
        <v>180</v>
      </c>
      <c r="B121" s="223"/>
      <c r="H121" s="272" t="e">
        <f>H124/H86</f>
        <v>#REF!</v>
      </c>
      <c r="AB121" s="272" t="e">
        <f>AB124/AB86</f>
        <v>#REF!</v>
      </c>
    </row>
    <row r="122" spans="1:33">
      <c r="A122" s="235" t="s">
        <v>41</v>
      </c>
      <c r="B122" s="235"/>
      <c r="C122" s="235">
        <v>2025</v>
      </c>
      <c r="D122" s="235">
        <f t="shared" ref="D122:AG122" si="59">C122+1</f>
        <v>2026</v>
      </c>
      <c r="E122" s="235">
        <f t="shared" si="59"/>
        <v>2027</v>
      </c>
      <c r="F122" s="235">
        <f t="shared" si="59"/>
        <v>2028</v>
      </c>
      <c r="G122" s="235">
        <f t="shared" si="59"/>
        <v>2029</v>
      </c>
      <c r="H122" s="235">
        <f t="shared" si="59"/>
        <v>2030</v>
      </c>
      <c r="I122" s="235">
        <f t="shared" si="59"/>
        <v>2031</v>
      </c>
      <c r="J122" s="235">
        <f t="shared" si="59"/>
        <v>2032</v>
      </c>
      <c r="K122" s="235">
        <f t="shared" si="59"/>
        <v>2033</v>
      </c>
      <c r="L122" s="235">
        <f t="shared" si="59"/>
        <v>2034</v>
      </c>
      <c r="M122" s="235">
        <f t="shared" si="59"/>
        <v>2035</v>
      </c>
      <c r="N122" s="235">
        <f t="shared" si="59"/>
        <v>2036</v>
      </c>
      <c r="O122" s="235">
        <f t="shared" si="59"/>
        <v>2037</v>
      </c>
      <c r="P122" s="235">
        <f t="shared" si="59"/>
        <v>2038</v>
      </c>
      <c r="Q122" s="235">
        <f t="shared" si="59"/>
        <v>2039</v>
      </c>
      <c r="R122" s="235">
        <f t="shared" si="59"/>
        <v>2040</v>
      </c>
      <c r="S122" s="235">
        <f t="shared" si="59"/>
        <v>2041</v>
      </c>
      <c r="T122" s="235">
        <f t="shared" si="59"/>
        <v>2042</v>
      </c>
      <c r="U122" s="235">
        <f t="shared" si="59"/>
        <v>2043</v>
      </c>
      <c r="V122" s="235">
        <f t="shared" si="59"/>
        <v>2044</v>
      </c>
      <c r="W122" s="235">
        <f t="shared" si="59"/>
        <v>2045</v>
      </c>
      <c r="X122" s="235">
        <f t="shared" si="59"/>
        <v>2046</v>
      </c>
      <c r="Y122" s="235">
        <f t="shared" si="59"/>
        <v>2047</v>
      </c>
      <c r="Z122" s="235">
        <f t="shared" si="59"/>
        <v>2048</v>
      </c>
      <c r="AA122" s="235">
        <f t="shared" si="59"/>
        <v>2049</v>
      </c>
      <c r="AB122" s="235">
        <f t="shared" si="59"/>
        <v>2050</v>
      </c>
      <c r="AC122" s="235">
        <f t="shared" si="59"/>
        <v>2051</v>
      </c>
      <c r="AD122" s="235">
        <f t="shared" si="59"/>
        <v>2052</v>
      </c>
      <c r="AE122" s="235">
        <f t="shared" si="59"/>
        <v>2053</v>
      </c>
      <c r="AF122" s="235">
        <f t="shared" si="59"/>
        <v>2054</v>
      </c>
      <c r="AG122" s="235">
        <f t="shared" si="59"/>
        <v>2055</v>
      </c>
    </row>
    <row r="123" spans="1:33">
      <c r="A123" s="290" t="s">
        <v>417</v>
      </c>
      <c r="B123" s="173" t="s">
        <v>309</v>
      </c>
      <c r="C123" s="179" t="e">
        <f>ROUND(($E$73*C59)/1000,0)*1000</f>
        <v>#REF!</v>
      </c>
      <c r="D123" s="179" t="e">
        <f t="shared" ref="D123:AG123" si="60">ROUND(($E$73*D59)/1000,0)*1000</f>
        <v>#REF!</v>
      </c>
      <c r="E123" s="179" t="e">
        <f t="shared" si="60"/>
        <v>#REF!</v>
      </c>
      <c r="F123" s="179" t="e">
        <f t="shared" si="60"/>
        <v>#REF!</v>
      </c>
      <c r="G123" s="179" t="e">
        <f t="shared" si="60"/>
        <v>#REF!</v>
      </c>
      <c r="H123" s="179" t="e">
        <f t="shared" si="60"/>
        <v>#REF!</v>
      </c>
      <c r="I123" s="179" t="e">
        <f t="shared" si="60"/>
        <v>#REF!</v>
      </c>
      <c r="J123" s="179" t="e">
        <f t="shared" si="60"/>
        <v>#REF!</v>
      </c>
      <c r="K123" s="179" t="e">
        <f t="shared" si="60"/>
        <v>#REF!</v>
      </c>
      <c r="L123" s="179" t="e">
        <f t="shared" si="60"/>
        <v>#REF!</v>
      </c>
      <c r="M123" s="179" t="e">
        <f t="shared" si="60"/>
        <v>#REF!</v>
      </c>
      <c r="N123" s="179" t="e">
        <f t="shared" si="60"/>
        <v>#REF!</v>
      </c>
      <c r="O123" s="179" t="e">
        <f t="shared" si="60"/>
        <v>#REF!</v>
      </c>
      <c r="P123" s="179" t="e">
        <f t="shared" si="60"/>
        <v>#REF!</v>
      </c>
      <c r="Q123" s="179" t="e">
        <f t="shared" si="60"/>
        <v>#REF!</v>
      </c>
      <c r="R123" s="179" t="e">
        <f t="shared" si="60"/>
        <v>#REF!</v>
      </c>
      <c r="S123" s="179" t="e">
        <f t="shared" si="60"/>
        <v>#REF!</v>
      </c>
      <c r="T123" s="179" t="e">
        <f t="shared" si="60"/>
        <v>#REF!</v>
      </c>
      <c r="U123" s="179" t="e">
        <f t="shared" si="60"/>
        <v>#REF!</v>
      </c>
      <c r="V123" s="179" t="e">
        <f t="shared" si="60"/>
        <v>#REF!</v>
      </c>
      <c r="W123" s="179" t="e">
        <f t="shared" si="60"/>
        <v>#REF!</v>
      </c>
      <c r="X123" s="179" t="e">
        <f t="shared" si="60"/>
        <v>#REF!</v>
      </c>
      <c r="Y123" s="179" t="e">
        <f t="shared" si="60"/>
        <v>#REF!</v>
      </c>
      <c r="Z123" s="179" t="e">
        <f t="shared" si="60"/>
        <v>#REF!</v>
      </c>
      <c r="AA123" s="179" t="e">
        <f t="shared" si="60"/>
        <v>#REF!</v>
      </c>
      <c r="AB123" s="179" t="e">
        <f t="shared" si="60"/>
        <v>#REF!</v>
      </c>
      <c r="AC123" s="179" t="e">
        <f t="shared" si="60"/>
        <v>#REF!</v>
      </c>
      <c r="AD123" s="179" t="e">
        <f t="shared" si="60"/>
        <v>#REF!</v>
      </c>
      <c r="AE123" s="179" t="e">
        <f t="shared" si="60"/>
        <v>#REF!</v>
      </c>
      <c r="AF123" s="179" t="e">
        <f t="shared" si="60"/>
        <v>#REF!</v>
      </c>
      <c r="AG123" s="179" t="e">
        <f t="shared" si="60"/>
        <v>#REF!</v>
      </c>
    </row>
    <row r="124" spans="1:33">
      <c r="A124" s="290" t="s">
        <v>326</v>
      </c>
      <c r="B124" s="173" t="s">
        <v>309</v>
      </c>
      <c r="C124" s="179" t="e">
        <f t="shared" ref="C124:AG124" si="61">C123+C86</f>
        <v>#REF!</v>
      </c>
      <c r="D124" s="179" t="e">
        <f t="shared" si="61"/>
        <v>#REF!</v>
      </c>
      <c r="E124" s="179" t="e">
        <f t="shared" si="61"/>
        <v>#REF!</v>
      </c>
      <c r="F124" s="179" t="e">
        <f t="shared" si="61"/>
        <v>#REF!</v>
      </c>
      <c r="G124" s="179" t="e">
        <f t="shared" si="61"/>
        <v>#REF!</v>
      </c>
      <c r="H124" s="179" t="e">
        <f t="shared" si="61"/>
        <v>#REF!</v>
      </c>
      <c r="I124" s="179" t="e">
        <f t="shared" si="61"/>
        <v>#REF!</v>
      </c>
      <c r="J124" s="179" t="e">
        <f t="shared" si="61"/>
        <v>#REF!</v>
      </c>
      <c r="K124" s="179" t="e">
        <f t="shared" si="61"/>
        <v>#REF!</v>
      </c>
      <c r="L124" s="179" t="e">
        <f t="shared" si="61"/>
        <v>#REF!</v>
      </c>
      <c r="M124" s="179" t="e">
        <f t="shared" si="61"/>
        <v>#REF!</v>
      </c>
      <c r="N124" s="179" t="e">
        <f t="shared" si="61"/>
        <v>#REF!</v>
      </c>
      <c r="O124" s="179" t="e">
        <f t="shared" si="61"/>
        <v>#REF!</v>
      </c>
      <c r="P124" s="179" t="e">
        <f t="shared" si="61"/>
        <v>#REF!</v>
      </c>
      <c r="Q124" s="179" t="e">
        <f t="shared" si="61"/>
        <v>#REF!</v>
      </c>
      <c r="R124" s="179" t="e">
        <f t="shared" si="61"/>
        <v>#REF!</v>
      </c>
      <c r="S124" s="179" t="e">
        <f t="shared" si="61"/>
        <v>#REF!</v>
      </c>
      <c r="T124" s="179" t="e">
        <f t="shared" si="61"/>
        <v>#REF!</v>
      </c>
      <c r="U124" s="179" t="e">
        <f t="shared" si="61"/>
        <v>#REF!</v>
      </c>
      <c r="V124" s="179" t="e">
        <f t="shared" si="61"/>
        <v>#REF!</v>
      </c>
      <c r="W124" s="179" t="e">
        <f t="shared" si="61"/>
        <v>#REF!</v>
      </c>
      <c r="X124" s="179" t="e">
        <f t="shared" si="61"/>
        <v>#REF!</v>
      </c>
      <c r="Y124" s="179" t="e">
        <f t="shared" si="61"/>
        <v>#REF!</v>
      </c>
      <c r="Z124" s="179" t="e">
        <f t="shared" si="61"/>
        <v>#REF!</v>
      </c>
      <c r="AA124" s="179" t="e">
        <f t="shared" si="61"/>
        <v>#REF!</v>
      </c>
      <c r="AB124" s="179" t="e">
        <f t="shared" si="61"/>
        <v>#REF!</v>
      </c>
      <c r="AC124" s="179" t="e">
        <f t="shared" si="61"/>
        <v>#REF!</v>
      </c>
      <c r="AD124" s="179" t="e">
        <f t="shared" si="61"/>
        <v>#REF!</v>
      </c>
      <c r="AE124" s="179" t="e">
        <f t="shared" si="61"/>
        <v>#REF!</v>
      </c>
      <c r="AF124" s="179" t="e">
        <f t="shared" si="61"/>
        <v>#REF!</v>
      </c>
      <c r="AG124" s="179" t="e">
        <f t="shared" si="61"/>
        <v>#REF!</v>
      </c>
    </row>
    <row r="125" spans="1:33">
      <c r="A125" s="173" t="s">
        <v>321</v>
      </c>
      <c r="B125" s="173" t="s">
        <v>309</v>
      </c>
      <c r="C125" s="179" t="e">
        <f t="shared" ref="C125:AG125" si="62">$E$82*C42</f>
        <v>#REF!</v>
      </c>
      <c r="D125" s="179" t="e">
        <f t="shared" si="62"/>
        <v>#REF!</v>
      </c>
      <c r="E125" s="179" t="e">
        <f t="shared" si="62"/>
        <v>#REF!</v>
      </c>
      <c r="F125" s="179" t="e">
        <f t="shared" si="62"/>
        <v>#REF!</v>
      </c>
      <c r="G125" s="179" t="e">
        <f t="shared" si="62"/>
        <v>#REF!</v>
      </c>
      <c r="H125" s="179" t="e">
        <f t="shared" si="62"/>
        <v>#REF!</v>
      </c>
      <c r="I125" s="179" t="e">
        <f t="shared" si="62"/>
        <v>#REF!</v>
      </c>
      <c r="J125" s="179" t="e">
        <f t="shared" si="62"/>
        <v>#REF!</v>
      </c>
      <c r="K125" s="179" t="e">
        <f t="shared" si="62"/>
        <v>#REF!</v>
      </c>
      <c r="L125" s="179" t="e">
        <f t="shared" si="62"/>
        <v>#REF!</v>
      </c>
      <c r="M125" s="179" t="e">
        <f t="shared" si="62"/>
        <v>#REF!</v>
      </c>
      <c r="N125" s="179" t="e">
        <f t="shared" si="62"/>
        <v>#REF!</v>
      </c>
      <c r="O125" s="179" t="e">
        <f t="shared" si="62"/>
        <v>#REF!</v>
      </c>
      <c r="P125" s="179" t="e">
        <f t="shared" si="62"/>
        <v>#REF!</v>
      </c>
      <c r="Q125" s="179" t="e">
        <f t="shared" si="62"/>
        <v>#REF!</v>
      </c>
      <c r="R125" s="179" t="e">
        <f t="shared" si="62"/>
        <v>#REF!</v>
      </c>
      <c r="S125" s="179" t="e">
        <f t="shared" si="62"/>
        <v>#REF!</v>
      </c>
      <c r="T125" s="179" t="e">
        <f t="shared" si="62"/>
        <v>#REF!</v>
      </c>
      <c r="U125" s="179" t="e">
        <f t="shared" si="62"/>
        <v>#REF!</v>
      </c>
      <c r="V125" s="179" t="e">
        <f t="shared" si="62"/>
        <v>#REF!</v>
      </c>
      <c r="W125" s="179" t="e">
        <f t="shared" si="62"/>
        <v>#REF!</v>
      </c>
      <c r="X125" s="179" t="e">
        <f t="shared" si="62"/>
        <v>#REF!</v>
      </c>
      <c r="Y125" s="179" t="e">
        <f t="shared" si="62"/>
        <v>#REF!</v>
      </c>
      <c r="Z125" s="179" t="e">
        <f t="shared" si="62"/>
        <v>#REF!</v>
      </c>
      <c r="AA125" s="179" t="e">
        <f t="shared" si="62"/>
        <v>#REF!</v>
      </c>
      <c r="AB125" s="179" t="e">
        <f t="shared" si="62"/>
        <v>#REF!</v>
      </c>
      <c r="AC125" s="179" t="e">
        <f t="shared" si="62"/>
        <v>#REF!</v>
      </c>
      <c r="AD125" s="179" t="e">
        <f t="shared" si="62"/>
        <v>#REF!</v>
      </c>
      <c r="AE125" s="179" t="e">
        <f t="shared" si="62"/>
        <v>#REF!</v>
      </c>
      <c r="AF125" s="179" t="e">
        <f t="shared" si="62"/>
        <v>#REF!</v>
      </c>
      <c r="AG125" s="179" t="e">
        <f t="shared" si="62"/>
        <v>#REF!</v>
      </c>
    </row>
    <row r="126" spans="1:33">
      <c r="A126" s="173" t="s">
        <v>317</v>
      </c>
      <c r="B126" s="173" t="s">
        <v>309</v>
      </c>
      <c r="C126" s="179" t="e">
        <f t="shared" ref="C126:AG126" si="63">C66*$C$27*$C$28</f>
        <v>#REF!</v>
      </c>
      <c r="D126" s="179" t="e">
        <f t="shared" si="63"/>
        <v>#REF!</v>
      </c>
      <c r="E126" s="179" t="e">
        <f t="shared" si="63"/>
        <v>#REF!</v>
      </c>
      <c r="F126" s="179" t="e">
        <f t="shared" si="63"/>
        <v>#REF!</v>
      </c>
      <c r="G126" s="179" t="e">
        <f t="shared" si="63"/>
        <v>#REF!</v>
      </c>
      <c r="H126" s="179" t="e">
        <f t="shared" si="63"/>
        <v>#REF!</v>
      </c>
      <c r="I126" s="179" t="e">
        <f t="shared" si="63"/>
        <v>#REF!</v>
      </c>
      <c r="J126" s="179" t="e">
        <f t="shared" si="63"/>
        <v>#REF!</v>
      </c>
      <c r="K126" s="179" t="e">
        <f t="shared" si="63"/>
        <v>#REF!</v>
      </c>
      <c r="L126" s="179" t="e">
        <f t="shared" si="63"/>
        <v>#REF!</v>
      </c>
      <c r="M126" s="179" t="e">
        <f t="shared" si="63"/>
        <v>#REF!</v>
      </c>
      <c r="N126" s="179" t="e">
        <f t="shared" si="63"/>
        <v>#REF!</v>
      </c>
      <c r="O126" s="179" t="e">
        <f t="shared" si="63"/>
        <v>#REF!</v>
      </c>
      <c r="P126" s="179" t="e">
        <f t="shared" si="63"/>
        <v>#REF!</v>
      </c>
      <c r="Q126" s="179" t="e">
        <f t="shared" si="63"/>
        <v>#REF!</v>
      </c>
      <c r="R126" s="179" t="e">
        <f t="shared" si="63"/>
        <v>#REF!</v>
      </c>
      <c r="S126" s="179" t="e">
        <f t="shared" si="63"/>
        <v>#REF!</v>
      </c>
      <c r="T126" s="179" t="e">
        <f t="shared" si="63"/>
        <v>#REF!</v>
      </c>
      <c r="U126" s="179" t="e">
        <f t="shared" si="63"/>
        <v>#REF!</v>
      </c>
      <c r="V126" s="179" t="e">
        <f t="shared" si="63"/>
        <v>#REF!</v>
      </c>
      <c r="W126" s="179" t="e">
        <f t="shared" si="63"/>
        <v>#REF!</v>
      </c>
      <c r="X126" s="179" t="e">
        <f t="shared" si="63"/>
        <v>#REF!</v>
      </c>
      <c r="Y126" s="179" t="e">
        <f t="shared" si="63"/>
        <v>#REF!</v>
      </c>
      <c r="Z126" s="179" t="e">
        <f t="shared" si="63"/>
        <v>#REF!</v>
      </c>
      <c r="AA126" s="179" t="e">
        <f t="shared" si="63"/>
        <v>#REF!</v>
      </c>
      <c r="AB126" s="179" t="e">
        <f t="shared" si="63"/>
        <v>#REF!</v>
      </c>
      <c r="AC126" s="179" t="e">
        <f t="shared" si="63"/>
        <v>#REF!</v>
      </c>
      <c r="AD126" s="179" t="e">
        <f t="shared" si="63"/>
        <v>#REF!</v>
      </c>
      <c r="AE126" s="179" t="e">
        <f t="shared" si="63"/>
        <v>#REF!</v>
      </c>
      <c r="AF126" s="179" t="e">
        <f t="shared" si="63"/>
        <v>#REF!</v>
      </c>
      <c r="AG126" s="179" t="e">
        <f t="shared" si="63"/>
        <v>#REF!</v>
      </c>
    </row>
    <row r="127" spans="1:33">
      <c r="A127" s="173" t="s">
        <v>319</v>
      </c>
      <c r="B127" s="173" t="s">
        <v>309</v>
      </c>
      <c r="C127" s="179" t="e">
        <f t="shared" ref="C127:AG127" si="64">C124*$C$34</f>
        <v>#REF!</v>
      </c>
      <c r="D127" s="179" t="e">
        <f t="shared" si="64"/>
        <v>#REF!</v>
      </c>
      <c r="E127" s="179" t="e">
        <f t="shared" si="64"/>
        <v>#REF!</v>
      </c>
      <c r="F127" s="179" t="e">
        <f t="shared" si="64"/>
        <v>#REF!</v>
      </c>
      <c r="G127" s="179" t="e">
        <f t="shared" si="64"/>
        <v>#REF!</v>
      </c>
      <c r="H127" s="179" t="e">
        <f t="shared" si="64"/>
        <v>#REF!</v>
      </c>
      <c r="I127" s="179" t="e">
        <f t="shared" si="64"/>
        <v>#REF!</v>
      </c>
      <c r="J127" s="179" t="e">
        <f t="shared" si="64"/>
        <v>#REF!</v>
      </c>
      <c r="K127" s="179" t="e">
        <f t="shared" si="64"/>
        <v>#REF!</v>
      </c>
      <c r="L127" s="179" t="e">
        <f t="shared" si="64"/>
        <v>#REF!</v>
      </c>
      <c r="M127" s="179" t="e">
        <f t="shared" si="64"/>
        <v>#REF!</v>
      </c>
      <c r="N127" s="179" t="e">
        <f t="shared" si="64"/>
        <v>#REF!</v>
      </c>
      <c r="O127" s="179" t="e">
        <f t="shared" si="64"/>
        <v>#REF!</v>
      </c>
      <c r="P127" s="179" t="e">
        <f t="shared" si="64"/>
        <v>#REF!</v>
      </c>
      <c r="Q127" s="179" t="e">
        <f t="shared" si="64"/>
        <v>#REF!</v>
      </c>
      <c r="R127" s="179" t="e">
        <f t="shared" si="64"/>
        <v>#REF!</v>
      </c>
      <c r="S127" s="179" t="e">
        <f t="shared" si="64"/>
        <v>#REF!</v>
      </c>
      <c r="T127" s="179" t="e">
        <f t="shared" si="64"/>
        <v>#REF!</v>
      </c>
      <c r="U127" s="179" t="e">
        <f t="shared" si="64"/>
        <v>#REF!</v>
      </c>
      <c r="V127" s="179" t="e">
        <f t="shared" si="64"/>
        <v>#REF!</v>
      </c>
      <c r="W127" s="179" t="e">
        <f t="shared" si="64"/>
        <v>#REF!</v>
      </c>
      <c r="X127" s="179" t="e">
        <f t="shared" si="64"/>
        <v>#REF!</v>
      </c>
      <c r="Y127" s="179" t="e">
        <f t="shared" si="64"/>
        <v>#REF!</v>
      </c>
      <c r="Z127" s="179" t="e">
        <f t="shared" si="64"/>
        <v>#REF!</v>
      </c>
      <c r="AA127" s="179" t="e">
        <f t="shared" si="64"/>
        <v>#REF!</v>
      </c>
      <c r="AB127" s="179" t="e">
        <f t="shared" si="64"/>
        <v>#REF!</v>
      </c>
      <c r="AC127" s="179" t="e">
        <f t="shared" si="64"/>
        <v>#REF!</v>
      </c>
      <c r="AD127" s="179" t="e">
        <f t="shared" si="64"/>
        <v>#REF!</v>
      </c>
      <c r="AE127" s="179" t="e">
        <f t="shared" si="64"/>
        <v>#REF!</v>
      </c>
      <c r="AF127" s="179" t="e">
        <f t="shared" si="64"/>
        <v>#REF!</v>
      </c>
      <c r="AG127" s="179" t="e">
        <f t="shared" si="64"/>
        <v>#REF!</v>
      </c>
    </row>
    <row r="128" spans="1:33" s="247" customFormat="1" ht="11.85" customHeight="1">
      <c r="A128" s="270" t="s">
        <v>414</v>
      </c>
    </row>
    <row r="129" spans="1:33">
      <c r="A129" s="173" t="s">
        <v>325</v>
      </c>
      <c r="B129" s="173" t="s">
        <v>313</v>
      </c>
      <c r="C129" s="179" t="e">
        <f t="shared" ref="C129:AG129" si="65">-PMT($C$33,$C$31,C124)</f>
        <v>#REF!</v>
      </c>
      <c r="D129" s="179" t="e">
        <f t="shared" si="65"/>
        <v>#REF!</v>
      </c>
      <c r="E129" s="179" t="e">
        <f t="shared" si="65"/>
        <v>#REF!</v>
      </c>
      <c r="F129" s="179" t="e">
        <f t="shared" si="65"/>
        <v>#REF!</v>
      </c>
      <c r="G129" s="179" t="e">
        <f t="shared" si="65"/>
        <v>#REF!</v>
      </c>
      <c r="H129" s="179" t="e">
        <f t="shared" si="65"/>
        <v>#REF!</v>
      </c>
      <c r="I129" s="179" t="e">
        <f t="shared" si="65"/>
        <v>#REF!</v>
      </c>
      <c r="J129" s="179" t="e">
        <f t="shared" si="65"/>
        <v>#REF!</v>
      </c>
      <c r="K129" s="179" t="e">
        <f t="shared" si="65"/>
        <v>#REF!</v>
      </c>
      <c r="L129" s="179" t="e">
        <f t="shared" si="65"/>
        <v>#REF!</v>
      </c>
      <c r="M129" s="179" t="e">
        <f t="shared" si="65"/>
        <v>#REF!</v>
      </c>
      <c r="N129" s="179" t="e">
        <f t="shared" si="65"/>
        <v>#REF!</v>
      </c>
      <c r="O129" s="179" t="e">
        <f t="shared" si="65"/>
        <v>#REF!</v>
      </c>
      <c r="P129" s="179" t="e">
        <f t="shared" si="65"/>
        <v>#REF!</v>
      </c>
      <c r="Q129" s="179" t="e">
        <f t="shared" si="65"/>
        <v>#REF!</v>
      </c>
      <c r="R129" s="179" t="e">
        <f t="shared" si="65"/>
        <v>#REF!</v>
      </c>
      <c r="S129" s="179" t="e">
        <f t="shared" si="65"/>
        <v>#REF!</v>
      </c>
      <c r="T129" s="179" t="e">
        <f t="shared" si="65"/>
        <v>#REF!</v>
      </c>
      <c r="U129" s="179" t="e">
        <f t="shared" si="65"/>
        <v>#REF!</v>
      </c>
      <c r="V129" s="179" t="e">
        <f t="shared" si="65"/>
        <v>#REF!</v>
      </c>
      <c r="W129" s="179" t="e">
        <f t="shared" si="65"/>
        <v>#REF!</v>
      </c>
      <c r="X129" s="179" t="e">
        <f t="shared" si="65"/>
        <v>#REF!</v>
      </c>
      <c r="Y129" s="179" t="e">
        <f t="shared" si="65"/>
        <v>#REF!</v>
      </c>
      <c r="Z129" s="179" t="e">
        <f t="shared" si="65"/>
        <v>#REF!</v>
      </c>
      <c r="AA129" s="179" t="e">
        <f t="shared" si="65"/>
        <v>#REF!</v>
      </c>
      <c r="AB129" s="179" t="e">
        <f t="shared" si="65"/>
        <v>#REF!</v>
      </c>
      <c r="AC129" s="179" t="e">
        <f t="shared" si="65"/>
        <v>#REF!</v>
      </c>
      <c r="AD129" s="179" t="e">
        <f t="shared" si="65"/>
        <v>#REF!</v>
      </c>
      <c r="AE129" s="179" t="e">
        <f t="shared" si="65"/>
        <v>#REF!</v>
      </c>
      <c r="AF129" s="179" t="e">
        <f t="shared" si="65"/>
        <v>#REF!</v>
      </c>
      <c r="AG129" s="179" t="e">
        <f t="shared" si="65"/>
        <v>#REF!</v>
      </c>
    </row>
    <row r="130" spans="1:33">
      <c r="A130" s="173" t="s">
        <v>321</v>
      </c>
      <c r="B130" s="173" t="s">
        <v>313</v>
      </c>
      <c r="C130" s="179" t="e">
        <f t="shared" ref="C130:AG131" si="66">C125</f>
        <v>#REF!</v>
      </c>
      <c r="D130" s="179" t="e">
        <f t="shared" si="66"/>
        <v>#REF!</v>
      </c>
      <c r="E130" s="179" t="e">
        <f t="shared" si="66"/>
        <v>#REF!</v>
      </c>
      <c r="F130" s="179" t="e">
        <f t="shared" si="66"/>
        <v>#REF!</v>
      </c>
      <c r="G130" s="179" t="e">
        <f t="shared" si="66"/>
        <v>#REF!</v>
      </c>
      <c r="H130" s="179" t="e">
        <f t="shared" si="66"/>
        <v>#REF!</v>
      </c>
      <c r="I130" s="179" t="e">
        <f t="shared" si="66"/>
        <v>#REF!</v>
      </c>
      <c r="J130" s="179" t="e">
        <f t="shared" si="66"/>
        <v>#REF!</v>
      </c>
      <c r="K130" s="179" t="e">
        <f t="shared" si="66"/>
        <v>#REF!</v>
      </c>
      <c r="L130" s="179" t="e">
        <f t="shared" si="66"/>
        <v>#REF!</v>
      </c>
      <c r="M130" s="179" t="e">
        <f t="shared" si="66"/>
        <v>#REF!</v>
      </c>
      <c r="N130" s="179" t="e">
        <f t="shared" si="66"/>
        <v>#REF!</v>
      </c>
      <c r="O130" s="179" t="e">
        <f t="shared" si="66"/>
        <v>#REF!</v>
      </c>
      <c r="P130" s="179" t="e">
        <f t="shared" si="66"/>
        <v>#REF!</v>
      </c>
      <c r="Q130" s="179" t="e">
        <f t="shared" si="66"/>
        <v>#REF!</v>
      </c>
      <c r="R130" s="179" t="e">
        <f t="shared" si="66"/>
        <v>#REF!</v>
      </c>
      <c r="S130" s="179" t="e">
        <f t="shared" si="66"/>
        <v>#REF!</v>
      </c>
      <c r="T130" s="179" t="e">
        <f t="shared" si="66"/>
        <v>#REF!</v>
      </c>
      <c r="U130" s="179" t="e">
        <f t="shared" si="66"/>
        <v>#REF!</v>
      </c>
      <c r="V130" s="179" t="e">
        <f t="shared" si="66"/>
        <v>#REF!</v>
      </c>
      <c r="W130" s="179" t="e">
        <f t="shared" si="66"/>
        <v>#REF!</v>
      </c>
      <c r="X130" s="179" t="e">
        <f t="shared" si="66"/>
        <v>#REF!</v>
      </c>
      <c r="Y130" s="179" t="e">
        <f t="shared" si="66"/>
        <v>#REF!</v>
      </c>
      <c r="Z130" s="179" t="e">
        <f t="shared" si="66"/>
        <v>#REF!</v>
      </c>
      <c r="AA130" s="179" t="e">
        <f t="shared" si="66"/>
        <v>#REF!</v>
      </c>
      <c r="AB130" s="179" t="e">
        <f t="shared" si="66"/>
        <v>#REF!</v>
      </c>
      <c r="AC130" s="179" t="e">
        <f t="shared" si="66"/>
        <v>#REF!</v>
      </c>
      <c r="AD130" s="179" t="e">
        <f t="shared" si="66"/>
        <v>#REF!</v>
      </c>
      <c r="AE130" s="179" t="e">
        <f t="shared" si="66"/>
        <v>#REF!</v>
      </c>
      <c r="AF130" s="179" t="e">
        <f t="shared" si="66"/>
        <v>#REF!</v>
      </c>
      <c r="AG130" s="179" t="e">
        <f t="shared" si="66"/>
        <v>#REF!</v>
      </c>
    </row>
    <row r="131" spans="1:33">
      <c r="A131" s="173" t="s">
        <v>317</v>
      </c>
      <c r="B131" s="173" t="s">
        <v>313</v>
      </c>
      <c r="C131" s="179" t="e">
        <f>C126</f>
        <v>#REF!</v>
      </c>
      <c r="D131" s="179" t="e">
        <f t="shared" si="66"/>
        <v>#REF!</v>
      </c>
      <c r="E131" s="179" t="e">
        <f t="shared" si="66"/>
        <v>#REF!</v>
      </c>
      <c r="F131" s="179" t="e">
        <f t="shared" si="66"/>
        <v>#REF!</v>
      </c>
      <c r="G131" s="179" t="e">
        <f t="shared" si="66"/>
        <v>#REF!</v>
      </c>
      <c r="H131" s="179" t="e">
        <f t="shared" si="66"/>
        <v>#REF!</v>
      </c>
      <c r="I131" s="179" t="e">
        <f t="shared" si="66"/>
        <v>#REF!</v>
      </c>
      <c r="J131" s="179" t="e">
        <f t="shared" si="66"/>
        <v>#REF!</v>
      </c>
      <c r="K131" s="179" t="e">
        <f t="shared" si="66"/>
        <v>#REF!</v>
      </c>
      <c r="L131" s="179" t="e">
        <f t="shared" si="66"/>
        <v>#REF!</v>
      </c>
      <c r="M131" s="179" t="e">
        <f t="shared" si="66"/>
        <v>#REF!</v>
      </c>
      <c r="N131" s="179" t="e">
        <f t="shared" si="66"/>
        <v>#REF!</v>
      </c>
      <c r="O131" s="179" t="e">
        <f t="shared" si="66"/>
        <v>#REF!</v>
      </c>
      <c r="P131" s="179" t="e">
        <f t="shared" si="66"/>
        <v>#REF!</v>
      </c>
      <c r="Q131" s="179" t="e">
        <f t="shared" si="66"/>
        <v>#REF!</v>
      </c>
      <c r="R131" s="179" t="e">
        <f t="shared" si="66"/>
        <v>#REF!</v>
      </c>
      <c r="S131" s="179" t="e">
        <f t="shared" si="66"/>
        <v>#REF!</v>
      </c>
      <c r="T131" s="179" t="e">
        <f t="shared" si="66"/>
        <v>#REF!</v>
      </c>
      <c r="U131" s="179" t="e">
        <f t="shared" si="66"/>
        <v>#REF!</v>
      </c>
      <c r="V131" s="179" t="e">
        <f t="shared" si="66"/>
        <v>#REF!</v>
      </c>
      <c r="W131" s="179" t="e">
        <f t="shared" si="66"/>
        <v>#REF!</v>
      </c>
      <c r="X131" s="179" t="e">
        <f t="shared" si="66"/>
        <v>#REF!</v>
      </c>
      <c r="Y131" s="179" t="e">
        <f t="shared" si="66"/>
        <v>#REF!</v>
      </c>
      <c r="Z131" s="179" t="e">
        <f t="shared" si="66"/>
        <v>#REF!</v>
      </c>
      <c r="AA131" s="179" t="e">
        <f t="shared" si="66"/>
        <v>#REF!</v>
      </c>
      <c r="AB131" s="179" t="e">
        <f t="shared" si="66"/>
        <v>#REF!</v>
      </c>
      <c r="AC131" s="179" t="e">
        <f t="shared" si="66"/>
        <v>#REF!</v>
      </c>
      <c r="AD131" s="179" t="e">
        <f t="shared" si="66"/>
        <v>#REF!</v>
      </c>
      <c r="AE131" s="179" t="e">
        <f t="shared" si="66"/>
        <v>#REF!</v>
      </c>
      <c r="AF131" s="179" t="e">
        <f t="shared" si="66"/>
        <v>#REF!</v>
      </c>
      <c r="AG131" s="179" t="e">
        <f t="shared" si="66"/>
        <v>#REF!</v>
      </c>
    </row>
    <row r="132" spans="1:33">
      <c r="A132" s="173" t="s">
        <v>319</v>
      </c>
      <c r="B132" s="173" t="s">
        <v>313</v>
      </c>
      <c r="C132" s="179" t="e">
        <f>C127</f>
        <v>#REF!</v>
      </c>
      <c r="D132" s="179" t="e">
        <f t="shared" ref="D132:AG132" si="67">D127</f>
        <v>#REF!</v>
      </c>
      <c r="E132" s="179" t="e">
        <f t="shared" si="67"/>
        <v>#REF!</v>
      </c>
      <c r="F132" s="179" t="e">
        <f t="shared" si="67"/>
        <v>#REF!</v>
      </c>
      <c r="G132" s="179" t="e">
        <f t="shared" si="67"/>
        <v>#REF!</v>
      </c>
      <c r="H132" s="179" t="e">
        <f t="shared" si="67"/>
        <v>#REF!</v>
      </c>
      <c r="I132" s="179" t="e">
        <f t="shared" si="67"/>
        <v>#REF!</v>
      </c>
      <c r="J132" s="179" t="e">
        <f t="shared" si="67"/>
        <v>#REF!</v>
      </c>
      <c r="K132" s="179" t="e">
        <f t="shared" si="67"/>
        <v>#REF!</v>
      </c>
      <c r="L132" s="179" t="e">
        <f t="shared" si="67"/>
        <v>#REF!</v>
      </c>
      <c r="M132" s="179" t="e">
        <f t="shared" si="67"/>
        <v>#REF!</v>
      </c>
      <c r="N132" s="179" t="e">
        <f t="shared" si="67"/>
        <v>#REF!</v>
      </c>
      <c r="O132" s="179" t="e">
        <f t="shared" si="67"/>
        <v>#REF!</v>
      </c>
      <c r="P132" s="179" t="e">
        <f t="shared" si="67"/>
        <v>#REF!</v>
      </c>
      <c r="Q132" s="179" t="e">
        <f t="shared" si="67"/>
        <v>#REF!</v>
      </c>
      <c r="R132" s="179" t="e">
        <f t="shared" si="67"/>
        <v>#REF!</v>
      </c>
      <c r="S132" s="179" t="e">
        <f t="shared" si="67"/>
        <v>#REF!</v>
      </c>
      <c r="T132" s="179" t="e">
        <f t="shared" si="67"/>
        <v>#REF!</v>
      </c>
      <c r="U132" s="179" t="e">
        <f t="shared" si="67"/>
        <v>#REF!</v>
      </c>
      <c r="V132" s="179" t="e">
        <f t="shared" si="67"/>
        <v>#REF!</v>
      </c>
      <c r="W132" s="179" t="e">
        <f t="shared" si="67"/>
        <v>#REF!</v>
      </c>
      <c r="X132" s="179" t="e">
        <f t="shared" si="67"/>
        <v>#REF!</v>
      </c>
      <c r="Y132" s="179" t="e">
        <f t="shared" si="67"/>
        <v>#REF!</v>
      </c>
      <c r="Z132" s="179" t="e">
        <f t="shared" si="67"/>
        <v>#REF!</v>
      </c>
      <c r="AA132" s="179" t="e">
        <f t="shared" si="67"/>
        <v>#REF!</v>
      </c>
      <c r="AB132" s="179" t="e">
        <f t="shared" si="67"/>
        <v>#REF!</v>
      </c>
      <c r="AC132" s="179" t="e">
        <f t="shared" si="67"/>
        <v>#REF!</v>
      </c>
      <c r="AD132" s="179" t="e">
        <f t="shared" si="67"/>
        <v>#REF!</v>
      </c>
      <c r="AE132" s="179" t="e">
        <f t="shared" si="67"/>
        <v>#REF!</v>
      </c>
      <c r="AF132" s="179" t="e">
        <f t="shared" si="67"/>
        <v>#REF!</v>
      </c>
      <c r="AG132" s="179" t="e">
        <f t="shared" si="67"/>
        <v>#REF!</v>
      </c>
    </row>
    <row r="133" spans="1:33" s="247" customFormat="1" ht="11.85" customHeight="1">
      <c r="A133" s="270" t="s">
        <v>320</v>
      </c>
    </row>
    <row r="134" spans="1:33">
      <c r="A134" s="173" t="s">
        <v>325</v>
      </c>
      <c r="B134" s="173" t="s">
        <v>300</v>
      </c>
      <c r="C134" s="179" t="e">
        <f t="shared" ref="C134:AG135" si="68">C129/($C$28*$C$27)</f>
        <v>#REF!</v>
      </c>
      <c r="D134" s="179" t="e">
        <f t="shared" si="68"/>
        <v>#REF!</v>
      </c>
      <c r="E134" s="179" t="e">
        <f t="shared" si="68"/>
        <v>#REF!</v>
      </c>
      <c r="F134" s="179" t="e">
        <f t="shared" si="68"/>
        <v>#REF!</v>
      </c>
      <c r="G134" s="179" t="e">
        <f t="shared" si="68"/>
        <v>#REF!</v>
      </c>
      <c r="H134" s="179" t="e">
        <f t="shared" si="68"/>
        <v>#REF!</v>
      </c>
      <c r="I134" s="179" t="e">
        <f t="shared" si="68"/>
        <v>#REF!</v>
      </c>
      <c r="J134" s="179" t="e">
        <f t="shared" si="68"/>
        <v>#REF!</v>
      </c>
      <c r="K134" s="179" t="e">
        <f t="shared" si="68"/>
        <v>#REF!</v>
      </c>
      <c r="L134" s="179" t="e">
        <f t="shared" si="68"/>
        <v>#REF!</v>
      </c>
      <c r="M134" s="179" t="e">
        <f t="shared" si="68"/>
        <v>#REF!</v>
      </c>
      <c r="N134" s="179" t="e">
        <f t="shared" si="68"/>
        <v>#REF!</v>
      </c>
      <c r="O134" s="179" t="e">
        <f t="shared" si="68"/>
        <v>#REF!</v>
      </c>
      <c r="P134" s="179" t="e">
        <f t="shared" si="68"/>
        <v>#REF!</v>
      </c>
      <c r="Q134" s="179" t="e">
        <f t="shared" si="68"/>
        <v>#REF!</v>
      </c>
      <c r="R134" s="179" t="e">
        <f t="shared" si="68"/>
        <v>#REF!</v>
      </c>
      <c r="S134" s="179" t="e">
        <f t="shared" si="68"/>
        <v>#REF!</v>
      </c>
      <c r="T134" s="179" t="e">
        <f t="shared" si="68"/>
        <v>#REF!</v>
      </c>
      <c r="U134" s="179" t="e">
        <f t="shared" si="68"/>
        <v>#REF!</v>
      </c>
      <c r="V134" s="179" t="e">
        <f t="shared" si="68"/>
        <v>#REF!</v>
      </c>
      <c r="W134" s="179" t="e">
        <f t="shared" si="68"/>
        <v>#REF!</v>
      </c>
      <c r="X134" s="179" t="e">
        <f t="shared" si="68"/>
        <v>#REF!</v>
      </c>
      <c r="Y134" s="179" t="e">
        <f t="shared" si="68"/>
        <v>#REF!</v>
      </c>
      <c r="Z134" s="179" t="e">
        <f t="shared" si="68"/>
        <v>#REF!</v>
      </c>
      <c r="AA134" s="179" t="e">
        <f t="shared" si="68"/>
        <v>#REF!</v>
      </c>
      <c r="AB134" s="179" t="e">
        <f t="shared" si="68"/>
        <v>#REF!</v>
      </c>
      <c r="AC134" s="179" t="e">
        <f t="shared" si="68"/>
        <v>#REF!</v>
      </c>
      <c r="AD134" s="179" t="e">
        <f t="shared" si="68"/>
        <v>#REF!</v>
      </c>
      <c r="AE134" s="179" t="e">
        <f t="shared" si="68"/>
        <v>#REF!</v>
      </c>
      <c r="AF134" s="179" t="e">
        <f t="shared" si="68"/>
        <v>#REF!</v>
      </c>
      <c r="AG134" s="179" t="e">
        <f t="shared" si="68"/>
        <v>#REF!</v>
      </c>
    </row>
    <row r="135" spans="1:33">
      <c r="A135" s="173" t="s">
        <v>321</v>
      </c>
      <c r="B135" s="173" t="s">
        <v>300</v>
      </c>
      <c r="C135" s="179" t="e">
        <f t="shared" si="68"/>
        <v>#REF!</v>
      </c>
      <c r="D135" s="179" t="e">
        <f t="shared" si="68"/>
        <v>#REF!</v>
      </c>
      <c r="E135" s="179" t="e">
        <f t="shared" si="68"/>
        <v>#REF!</v>
      </c>
      <c r="F135" s="179" t="e">
        <f t="shared" si="68"/>
        <v>#REF!</v>
      </c>
      <c r="G135" s="179" t="e">
        <f t="shared" si="68"/>
        <v>#REF!</v>
      </c>
      <c r="H135" s="179" t="e">
        <f t="shared" si="68"/>
        <v>#REF!</v>
      </c>
      <c r="I135" s="179" t="e">
        <f t="shared" si="68"/>
        <v>#REF!</v>
      </c>
      <c r="J135" s="179" t="e">
        <f t="shared" si="68"/>
        <v>#REF!</v>
      </c>
      <c r="K135" s="179" t="e">
        <f t="shared" si="68"/>
        <v>#REF!</v>
      </c>
      <c r="L135" s="179" t="e">
        <f t="shared" si="68"/>
        <v>#REF!</v>
      </c>
      <c r="M135" s="179" t="e">
        <f t="shared" si="68"/>
        <v>#REF!</v>
      </c>
      <c r="N135" s="179" t="e">
        <f t="shared" si="68"/>
        <v>#REF!</v>
      </c>
      <c r="O135" s="179" t="e">
        <f t="shared" si="68"/>
        <v>#REF!</v>
      </c>
      <c r="P135" s="179" t="e">
        <f t="shared" si="68"/>
        <v>#REF!</v>
      </c>
      <c r="Q135" s="179" t="e">
        <f t="shared" si="68"/>
        <v>#REF!</v>
      </c>
      <c r="R135" s="179" t="e">
        <f t="shared" si="68"/>
        <v>#REF!</v>
      </c>
      <c r="S135" s="179" t="e">
        <f t="shared" si="68"/>
        <v>#REF!</v>
      </c>
      <c r="T135" s="179" t="e">
        <f t="shared" si="68"/>
        <v>#REF!</v>
      </c>
      <c r="U135" s="179" t="e">
        <f t="shared" si="68"/>
        <v>#REF!</v>
      </c>
      <c r="V135" s="179" t="e">
        <f t="shared" si="68"/>
        <v>#REF!</v>
      </c>
      <c r="W135" s="179" t="e">
        <f t="shared" si="68"/>
        <v>#REF!</v>
      </c>
      <c r="X135" s="179" t="e">
        <f t="shared" si="68"/>
        <v>#REF!</v>
      </c>
      <c r="Y135" s="179" t="e">
        <f t="shared" si="68"/>
        <v>#REF!</v>
      </c>
      <c r="Z135" s="179" t="e">
        <f t="shared" si="68"/>
        <v>#REF!</v>
      </c>
      <c r="AA135" s="179" t="e">
        <f t="shared" si="68"/>
        <v>#REF!</v>
      </c>
      <c r="AB135" s="179" t="e">
        <f t="shared" si="68"/>
        <v>#REF!</v>
      </c>
      <c r="AC135" s="179" t="e">
        <f t="shared" si="68"/>
        <v>#REF!</v>
      </c>
      <c r="AD135" s="179" t="e">
        <f t="shared" si="68"/>
        <v>#REF!</v>
      </c>
      <c r="AE135" s="179" t="e">
        <f t="shared" si="68"/>
        <v>#REF!</v>
      </c>
      <c r="AF135" s="179" t="e">
        <f t="shared" si="68"/>
        <v>#REF!</v>
      </c>
      <c r="AG135" s="179" t="e">
        <f t="shared" si="68"/>
        <v>#REF!</v>
      </c>
    </row>
    <row r="136" spans="1:33">
      <c r="A136" s="173" t="s">
        <v>322</v>
      </c>
      <c r="B136" s="173" t="s">
        <v>300</v>
      </c>
      <c r="C136" s="179" t="e">
        <f t="shared" ref="C136:AG136" si="69">(C131+C132+C70)/($C$28*$C$27)+C63</f>
        <v>#REF!</v>
      </c>
      <c r="D136" s="179" t="e">
        <f t="shared" si="69"/>
        <v>#REF!</v>
      </c>
      <c r="E136" s="179" t="e">
        <f t="shared" si="69"/>
        <v>#REF!</v>
      </c>
      <c r="F136" s="179" t="e">
        <f t="shared" si="69"/>
        <v>#REF!</v>
      </c>
      <c r="G136" s="179" t="e">
        <f t="shared" si="69"/>
        <v>#REF!</v>
      </c>
      <c r="H136" s="179" t="e">
        <f t="shared" si="69"/>
        <v>#REF!</v>
      </c>
      <c r="I136" s="179" t="e">
        <f t="shared" si="69"/>
        <v>#REF!</v>
      </c>
      <c r="J136" s="179" t="e">
        <f t="shared" si="69"/>
        <v>#REF!</v>
      </c>
      <c r="K136" s="179" t="e">
        <f t="shared" si="69"/>
        <v>#REF!</v>
      </c>
      <c r="L136" s="179" t="e">
        <f t="shared" si="69"/>
        <v>#REF!</v>
      </c>
      <c r="M136" s="179" t="e">
        <f t="shared" si="69"/>
        <v>#REF!</v>
      </c>
      <c r="N136" s="179" t="e">
        <f t="shared" si="69"/>
        <v>#REF!</v>
      </c>
      <c r="O136" s="179" t="e">
        <f t="shared" si="69"/>
        <v>#REF!</v>
      </c>
      <c r="P136" s="179" t="e">
        <f t="shared" si="69"/>
        <v>#REF!</v>
      </c>
      <c r="Q136" s="179" t="e">
        <f t="shared" si="69"/>
        <v>#REF!</v>
      </c>
      <c r="R136" s="179" t="e">
        <f t="shared" si="69"/>
        <v>#REF!</v>
      </c>
      <c r="S136" s="179" t="e">
        <f t="shared" si="69"/>
        <v>#REF!</v>
      </c>
      <c r="T136" s="179" t="e">
        <f t="shared" si="69"/>
        <v>#REF!</v>
      </c>
      <c r="U136" s="179" t="e">
        <f t="shared" si="69"/>
        <v>#REF!</v>
      </c>
      <c r="V136" s="179" t="e">
        <f t="shared" si="69"/>
        <v>#REF!</v>
      </c>
      <c r="W136" s="179" t="e">
        <f t="shared" si="69"/>
        <v>#REF!</v>
      </c>
      <c r="X136" s="179" t="e">
        <f t="shared" si="69"/>
        <v>#REF!</v>
      </c>
      <c r="Y136" s="179" t="e">
        <f t="shared" si="69"/>
        <v>#REF!</v>
      </c>
      <c r="Z136" s="179" t="e">
        <f t="shared" si="69"/>
        <v>#REF!</v>
      </c>
      <c r="AA136" s="179" t="e">
        <f t="shared" si="69"/>
        <v>#REF!</v>
      </c>
      <c r="AB136" s="179" t="e">
        <f t="shared" si="69"/>
        <v>#REF!</v>
      </c>
      <c r="AC136" s="179" t="e">
        <f t="shared" si="69"/>
        <v>#REF!</v>
      </c>
      <c r="AD136" s="179" t="e">
        <f t="shared" si="69"/>
        <v>#REF!</v>
      </c>
      <c r="AE136" s="179" t="e">
        <f t="shared" si="69"/>
        <v>#REF!</v>
      </c>
      <c r="AF136" s="179" t="e">
        <f t="shared" si="69"/>
        <v>#REF!</v>
      </c>
      <c r="AG136" s="179" t="e">
        <f t="shared" si="69"/>
        <v>#REF!</v>
      </c>
    </row>
    <row r="137" spans="1:33">
      <c r="C137" s="274" t="e">
        <f t="shared" ref="C137:AC137" si="70">SUM(C134:C136)</f>
        <v>#REF!</v>
      </c>
      <c r="D137" s="274" t="e">
        <f t="shared" si="70"/>
        <v>#REF!</v>
      </c>
      <c r="E137" s="274" t="e">
        <f t="shared" si="70"/>
        <v>#REF!</v>
      </c>
      <c r="F137" s="274" t="e">
        <f t="shared" si="70"/>
        <v>#REF!</v>
      </c>
      <c r="G137" s="274" t="e">
        <f t="shared" si="70"/>
        <v>#REF!</v>
      </c>
      <c r="H137" s="274" t="e">
        <f t="shared" si="70"/>
        <v>#REF!</v>
      </c>
      <c r="I137" s="274" t="e">
        <f t="shared" si="70"/>
        <v>#REF!</v>
      </c>
      <c r="J137" s="274" t="e">
        <f t="shared" si="70"/>
        <v>#REF!</v>
      </c>
      <c r="K137" s="274" t="e">
        <f t="shared" si="70"/>
        <v>#REF!</v>
      </c>
      <c r="L137" s="274" t="e">
        <f t="shared" si="70"/>
        <v>#REF!</v>
      </c>
      <c r="M137" s="274" t="e">
        <f t="shared" si="70"/>
        <v>#REF!</v>
      </c>
      <c r="N137" s="274" t="e">
        <f t="shared" si="70"/>
        <v>#REF!</v>
      </c>
      <c r="O137" s="274" t="e">
        <f t="shared" si="70"/>
        <v>#REF!</v>
      </c>
      <c r="P137" s="274" t="e">
        <f t="shared" si="70"/>
        <v>#REF!</v>
      </c>
      <c r="Q137" s="274" t="e">
        <f t="shared" si="70"/>
        <v>#REF!</v>
      </c>
      <c r="R137" s="274" t="e">
        <f t="shared" si="70"/>
        <v>#REF!</v>
      </c>
      <c r="S137" s="274" t="e">
        <f t="shared" si="70"/>
        <v>#REF!</v>
      </c>
      <c r="T137" s="274" t="e">
        <f t="shared" si="70"/>
        <v>#REF!</v>
      </c>
      <c r="U137" s="274" t="e">
        <f t="shared" si="70"/>
        <v>#REF!</v>
      </c>
      <c r="V137" s="274" t="e">
        <f t="shared" si="70"/>
        <v>#REF!</v>
      </c>
      <c r="W137" s="274" t="e">
        <f t="shared" si="70"/>
        <v>#REF!</v>
      </c>
      <c r="X137" s="274" t="e">
        <f t="shared" si="70"/>
        <v>#REF!</v>
      </c>
      <c r="Y137" s="274" t="e">
        <f t="shared" si="70"/>
        <v>#REF!</v>
      </c>
      <c r="Z137" s="274" t="e">
        <f t="shared" si="70"/>
        <v>#REF!</v>
      </c>
      <c r="AA137" s="274" t="e">
        <f t="shared" si="70"/>
        <v>#REF!</v>
      </c>
      <c r="AB137" s="274" t="e">
        <f t="shared" si="70"/>
        <v>#REF!</v>
      </c>
      <c r="AC137" s="274" t="e">
        <f t="shared" si="70"/>
        <v>#REF!</v>
      </c>
      <c r="AD137" s="274" t="e">
        <f t="shared" ref="AD137:AG137" si="71">SUM(AD134:AD136)</f>
        <v>#REF!</v>
      </c>
      <c r="AE137" s="274" t="e">
        <f t="shared" si="71"/>
        <v>#REF!</v>
      </c>
      <c r="AF137" s="274" t="e">
        <f t="shared" si="71"/>
        <v>#REF!</v>
      </c>
      <c r="AG137" s="274" t="e">
        <f t="shared" si="71"/>
        <v>#REF!</v>
      </c>
    </row>
    <row r="138" spans="1:33" s="225" customFormat="1">
      <c r="A138" s="223" t="s">
        <v>327</v>
      </c>
      <c r="B138" s="223"/>
      <c r="H138" s="272" t="e">
        <f>H141/H86</f>
        <v>#REF!</v>
      </c>
      <c r="AB138" s="272" t="e">
        <f>AB141/AB86</f>
        <v>#REF!</v>
      </c>
    </row>
    <row r="139" spans="1:33">
      <c r="A139" s="235" t="s">
        <v>41</v>
      </c>
      <c r="B139" s="235"/>
      <c r="C139" s="235">
        <v>2025</v>
      </c>
      <c r="D139" s="235">
        <f t="shared" ref="D139:AG139" si="72">C139+1</f>
        <v>2026</v>
      </c>
      <c r="E139" s="235">
        <f t="shared" si="72"/>
        <v>2027</v>
      </c>
      <c r="F139" s="235">
        <f t="shared" si="72"/>
        <v>2028</v>
      </c>
      <c r="G139" s="235">
        <f t="shared" si="72"/>
        <v>2029</v>
      </c>
      <c r="H139" s="235">
        <f t="shared" si="72"/>
        <v>2030</v>
      </c>
      <c r="I139" s="235">
        <f t="shared" si="72"/>
        <v>2031</v>
      </c>
      <c r="J139" s="235">
        <f t="shared" si="72"/>
        <v>2032</v>
      </c>
      <c r="K139" s="235">
        <f t="shared" si="72"/>
        <v>2033</v>
      </c>
      <c r="L139" s="235">
        <f t="shared" si="72"/>
        <v>2034</v>
      </c>
      <c r="M139" s="235">
        <f t="shared" si="72"/>
        <v>2035</v>
      </c>
      <c r="N139" s="235">
        <f t="shared" si="72"/>
        <v>2036</v>
      </c>
      <c r="O139" s="235">
        <f t="shared" si="72"/>
        <v>2037</v>
      </c>
      <c r="P139" s="235">
        <f t="shared" si="72"/>
        <v>2038</v>
      </c>
      <c r="Q139" s="235">
        <f t="shared" si="72"/>
        <v>2039</v>
      </c>
      <c r="R139" s="235">
        <f t="shared" si="72"/>
        <v>2040</v>
      </c>
      <c r="S139" s="235">
        <f t="shared" si="72"/>
        <v>2041</v>
      </c>
      <c r="T139" s="235">
        <f t="shared" si="72"/>
        <v>2042</v>
      </c>
      <c r="U139" s="235">
        <f t="shared" si="72"/>
        <v>2043</v>
      </c>
      <c r="V139" s="235">
        <f t="shared" si="72"/>
        <v>2044</v>
      </c>
      <c r="W139" s="235">
        <f t="shared" si="72"/>
        <v>2045</v>
      </c>
      <c r="X139" s="235">
        <f t="shared" si="72"/>
        <v>2046</v>
      </c>
      <c r="Y139" s="235">
        <f t="shared" si="72"/>
        <v>2047</v>
      </c>
      <c r="Z139" s="235">
        <f t="shared" si="72"/>
        <v>2048</v>
      </c>
      <c r="AA139" s="235">
        <f t="shared" si="72"/>
        <v>2049</v>
      </c>
      <c r="AB139" s="235">
        <f t="shared" si="72"/>
        <v>2050</v>
      </c>
      <c r="AC139" s="235">
        <f t="shared" si="72"/>
        <v>2051</v>
      </c>
      <c r="AD139" s="235">
        <f t="shared" si="72"/>
        <v>2052</v>
      </c>
      <c r="AE139" s="235">
        <f t="shared" si="72"/>
        <v>2053</v>
      </c>
      <c r="AF139" s="235">
        <f t="shared" si="72"/>
        <v>2054</v>
      </c>
      <c r="AG139" s="235">
        <f t="shared" si="72"/>
        <v>2055</v>
      </c>
    </row>
    <row r="140" spans="1:33">
      <c r="A140" s="173" t="s">
        <v>418</v>
      </c>
      <c r="B140" s="173" t="s">
        <v>309</v>
      </c>
      <c r="C140" s="179" t="e">
        <f>ROUND(($F$73*C60)/1000,0)*1000</f>
        <v>#REF!</v>
      </c>
      <c r="D140" s="179" t="e">
        <f>ROUND(($F$73*D60)/1000,0)*1000</f>
        <v>#REF!</v>
      </c>
      <c r="E140" s="179" t="e">
        <f>ROUND(($F$73*E60)/1000,0)*1000</f>
        <v>#REF!</v>
      </c>
      <c r="F140" s="179" t="e">
        <f t="shared" ref="F140:AG140" si="73">ROUND(($F$73*F60)/1000,0)*1000</f>
        <v>#REF!</v>
      </c>
      <c r="G140" s="179" t="e">
        <f t="shared" si="73"/>
        <v>#REF!</v>
      </c>
      <c r="H140" s="179" t="e">
        <f t="shared" si="73"/>
        <v>#REF!</v>
      </c>
      <c r="I140" s="179" t="e">
        <f t="shared" si="73"/>
        <v>#REF!</v>
      </c>
      <c r="J140" s="179" t="e">
        <f t="shared" si="73"/>
        <v>#REF!</v>
      </c>
      <c r="K140" s="179" t="e">
        <f t="shared" si="73"/>
        <v>#REF!</v>
      </c>
      <c r="L140" s="179" t="e">
        <f t="shared" si="73"/>
        <v>#REF!</v>
      </c>
      <c r="M140" s="179" t="e">
        <f t="shared" si="73"/>
        <v>#REF!</v>
      </c>
      <c r="N140" s="179" t="e">
        <f t="shared" si="73"/>
        <v>#REF!</v>
      </c>
      <c r="O140" s="179" t="e">
        <f t="shared" si="73"/>
        <v>#REF!</v>
      </c>
      <c r="P140" s="179" t="e">
        <f t="shared" si="73"/>
        <v>#REF!</v>
      </c>
      <c r="Q140" s="179" t="e">
        <f t="shared" si="73"/>
        <v>#REF!</v>
      </c>
      <c r="R140" s="179" t="e">
        <f t="shared" si="73"/>
        <v>#REF!</v>
      </c>
      <c r="S140" s="179" t="e">
        <f t="shared" si="73"/>
        <v>#REF!</v>
      </c>
      <c r="T140" s="179" t="e">
        <f t="shared" si="73"/>
        <v>#REF!</v>
      </c>
      <c r="U140" s="179" t="e">
        <f t="shared" si="73"/>
        <v>#REF!</v>
      </c>
      <c r="V140" s="179" t="e">
        <f t="shared" si="73"/>
        <v>#REF!</v>
      </c>
      <c r="W140" s="179" t="e">
        <f t="shared" si="73"/>
        <v>#REF!</v>
      </c>
      <c r="X140" s="179" t="e">
        <f t="shared" si="73"/>
        <v>#REF!</v>
      </c>
      <c r="Y140" s="179" t="e">
        <f t="shared" si="73"/>
        <v>#REF!</v>
      </c>
      <c r="Z140" s="179" t="e">
        <f t="shared" si="73"/>
        <v>#REF!</v>
      </c>
      <c r="AA140" s="179" t="e">
        <f t="shared" si="73"/>
        <v>#REF!</v>
      </c>
      <c r="AB140" s="179" t="e">
        <f t="shared" si="73"/>
        <v>#REF!</v>
      </c>
      <c r="AC140" s="179" t="e">
        <f t="shared" si="73"/>
        <v>#REF!</v>
      </c>
      <c r="AD140" s="179" t="e">
        <f t="shared" si="73"/>
        <v>#REF!</v>
      </c>
      <c r="AE140" s="179" t="e">
        <f t="shared" si="73"/>
        <v>#REF!</v>
      </c>
      <c r="AF140" s="179" t="e">
        <f t="shared" si="73"/>
        <v>#REF!</v>
      </c>
      <c r="AG140" s="179" t="e">
        <f t="shared" si="73"/>
        <v>#REF!</v>
      </c>
    </row>
    <row r="141" spans="1:33">
      <c r="A141" s="290" t="s">
        <v>328</v>
      </c>
      <c r="B141" s="173" t="s">
        <v>309</v>
      </c>
      <c r="C141" s="179" t="e">
        <f t="shared" ref="C141:AG141" si="74">C86+C140</f>
        <v>#REF!</v>
      </c>
      <c r="D141" s="179" t="e">
        <f t="shared" si="74"/>
        <v>#REF!</v>
      </c>
      <c r="E141" s="179" t="e">
        <f t="shared" si="74"/>
        <v>#REF!</v>
      </c>
      <c r="F141" s="179" t="e">
        <f t="shared" si="74"/>
        <v>#REF!</v>
      </c>
      <c r="G141" s="179" t="e">
        <f t="shared" si="74"/>
        <v>#REF!</v>
      </c>
      <c r="H141" s="179" t="e">
        <f t="shared" si="74"/>
        <v>#REF!</v>
      </c>
      <c r="I141" s="179" t="e">
        <f t="shared" si="74"/>
        <v>#REF!</v>
      </c>
      <c r="J141" s="179" t="e">
        <f t="shared" si="74"/>
        <v>#REF!</v>
      </c>
      <c r="K141" s="179" t="e">
        <f t="shared" si="74"/>
        <v>#REF!</v>
      </c>
      <c r="L141" s="179" t="e">
        <f t="shared" si="74"/>
        <v>#REF!</v>
      </c>
      <c r="M141" s="179" t="e">
        <f t="shared" si="74"/>
        <v>#REF!</v>
      </c>
      <c r="N141" s="179" t="e">
        <f t="shared" si="74"/>
        <v>#REF!</v>
      </c>
      <c r="O141" s="179" t="e">
        <f t="shared" si="74"/>
        <v>#REF!</v>
      </c>
      <c r="P141" s="179" t="e">
        <f t="shared" si="74"/>
        <v>#REF!</v>
      </c>
      <c r="Q141" s="179" t="e">
        <f t="shared" si="74"/>
        <v>#REF!</v>
      </c>
      <c r="R141" s="179" t="e">
        <f t="shared" si="74"/>
        <v>#REF!</v>
      </c>
      <c r="S141" s="179" t="e">
        <f t="shared" si="74"/>
        <v>#REF!</v>
      </c>
      <c r="T141" s="179" t="e">
        <f t="shared" si="74"/>
        <v>#REF!</v>
      </c>
      <c r="U141" s="179" t="e">
        <f t="shared" si="74"/>
        <v>#REF!</v>
      </c>
      <c r="V141" s="179" t="e">
        <f t="shared" si="74"/>
        <v>#REF!</v>
      </c>
      <c r="W141" s="179" t="e">
        <f t="shared" si="74"/>
        <v>#REF!</v>
      </c>
      <c r="X141" s="179" t="e">
        <f t="shared" si="74"/>
        <v>#REF!</v>
      </c>
      <c r="Y141" s="179" t="e">
        <f t="shared" si="74"/>
        <v>#REF!</v>
      </c>
      <c r="Z141" s="179" t="e">
        <f t="shared" si="74"/>
        <v>#REF!</v>
      </c>
      <c r="AA141" s="179" t="e">
        <f t="shared" si="74"/>
        <v>#REF!</v>
      </c>
      <c r="AB141" s="179" t="e">
        <f t="shared" si="74"/>
        <v>#REF!</v>
      </c>
      <c r="AC141" s="179" t="e">
        <f t="shared" si="74"/>
        <v>#REF!</v>
      </c>
      <c r="AD141" s="179" t="e">
        <f t="shared" si="74"/>
        <v>#REF!</v>
      </c>
      <c r="AE141" s="179" t="e">
        <f t="shared" si="74"/>
        <v>#REF!</v>
      </c>
      <c r="AF141" s="179" t="e">
        <f t="shared" si="74"/>
        <v>#REF!</v>
      </c>
      <c r="AG141" s="179" t="e">
        <f t="shared" si="74"/>
        <v>#REF!</v>
      </c>
    </row>
    <row r="142" spans="1:33">
      <c r="A142" s="173" t="s">
        <v>321</v>
      </c>
      <c r="B142" s="173" t="s">
        <v>309</v>
      </c>
      <c r="C142" s="179" t="e">
        <f t="shared" ref="C142:AG142" si="75">$F$82*C50</f>
        <v>#REF!</v>
      </c>
      <c r="D142" s="179" t="e">
        <f t="shared" si="75"/>
        <v>#REF!</v>
      </c>
      <c r="E142" s="179" t="e">
        <f t="shared" si="75"/>
        <v>#REF!</v>
      </c>
      <c r="F142" s="179" t="e">
        <f t="shared" si="75"/>
        <v>#REF!</v>
      </c>
      <c r="G142" s="179" t="e">
        <f t="shared" si="75"/>
        <v>#REF!</v>
      </c>
      <c r="H142" s="179" t="e">
        <f t="shared" si="75"/>
        <v>#REF!</v>
      </c>
      <c r="I142" s="179" t="e">
        <f t="shared" si="75"/>
        <v>#REF!</v>
      </c>
      <c r="J142" s="179" t="e">
        <f t="shared" si="75"/>
        <v>#REF!</v>
      </c>
      <c r="K142" s="179" t="e">
        <f t="shared" si="75"/>
        <v>#REF!</v>
      </c>
      <c r="L142" s="179" t="e">
        <f t="shared" si="75"/>
        <v>#REF!</v>
      </c>
      <c r="M142" s="179" t="e">
        <f t="shared" si="75"/>
        <v>#REF!</v>
      </c>
      <c r="N142" s="179" t="e">
        <f t="shared" si="75"/>
        <v>#REF!</v>
      </c>
      <c r="O142" s="179" t="e">
        <f t="shared" si="75"/>
        <v>#REF!</v>
      </c>
      <c r="P142" s="179" t="e">
        <f t="shared" si="75"/>
        <v>#REF!</v>
      </c>
      <c r="Q142" s="179" t="e">
        <f t="shared" si="75"/>
        <v>#REF!</v>
      </c>
      <c r="R142" s="179" t="e">
        <f t="shared" si="75"/>
        <v>#REF!</v>
      </c>
      <c r="S142" s="179" t="e">
        <f t="shared" si="75"/>
        <v>#REF!</v>
      </c>
      <c r="T142" s="179" t="e">
        <f t="shared" si="75"/>
        <v>#REF!</v>
      </c>
      <c r="U142" s="179" t="e">
        <f t="shared" si="75"/>
        <v>#REF!</v>
      </c>
      <c r="V142" s="179" t="e">
        <f t="shared" si="75"/>
        <v>#REF!</v>
      </c>
      <c r="W142" s="179" t="e">
        <f t="shared" si="75"/>
        <v>#REF!</v>
      </c>
      <c r="X142" s="179" t="e">
        <f t="shared" si="75"/>
        <v>#REF!</v>
      </c>
      <c r="Y142" s="179" t="e">
        <f t="shared" si="75"/>
        <v>#REF!</v>
      </c>
      <c r="Z142" s="179" t="e">
        <f t="shared" si="75"/>
        <v>#REF!</v>
      </c>
      <c r="AA142" s="179" t="e">
        <f t="shared" si="75"/>
        <v>#REF!</v>
      </c>
      <c r="AB142" s="179" t="e">
        <f t="shared" si="75"/>
        <v>#REF!</v>
      </c>
      <c r="AC142" s="179" t="e">
        <f t="shared" si="75"/>
        <v>#REF!</v>
      </c>
      <c r="AD142" s="179" t="e">
        <f t="shared" si="75"/>
        <v>#REF!</v>
      </c>
      <c r="AE142" s="179" t="e">
        <f t="shared" si="75"/>
        <v>#REF!</v>
      </c>
      <c r="AF142" s="179" t="e">
        <f t="shared" si="75"/>
        <v>#REF!</v>
      </c>
      <c r="AG142" s="179" t="e">
        <f t="shared" si="75"/>
        <v>#REF!</v>
      </c>
    </row>
    <row r="143" spans="1:33">
      <c r="A143" s="173" t="s">
        <v>317</v>
      </c>
      <c r="B143" s="173" t="s">
        <v>309</v>
      </c>
      <c r="C143" s="179" t="e">
        <f t="shared" ref="C143:AG143" si="76">$C$28*$C$27*C66</f>
        <v>#REF!</v>
      </c>
      <c r="D143" s="179" t="e">
        <f t="shared" si="76"/>
        <v>#REF!</v>
      </c>
      <c r="E143" s="179" t="e">
        <f t="shared" si="76"/>
        <v>#REF!</v>
      </c>
      <c r="F143" s="179" t="e">
        <f t="shared" si="76"/>
        <v>#REF!</v>
      </c>
      <c r="G143" s="179" t="e">
        <f t="shared" si="76"/>
        <v>#REF!</v>
      </c>
      <c r="H143" s="179" t="e">
        <f t="shared" si="76"/>
        <v>#REF!</v>
      </c>
      <c r="I143" s="179" t="e">
        <f t="shared" si="76"/>
        <v>#REF!</v>
      </c>
      <c r="J143" s="179" t="e">
        <f t="shared" si="76"/>
        <v>#REF!</v>
      </c>
      <c r="K143" s="179" t="e">
        <f t="shared" si="76"/>
        <v>#REF!</v>
      </c>
      <c r="L143" s="179" t="e">
        <f t="shared" si="76"/>
        <v>#REF!</v>
      </c>
      <c r="M143" s="179" t="e">
        <f t="shared" si="76"/>
        <v>#REF!</v>
      </c>
      <c r="N143" s="179" t="e">
        <f t="shared" si="76"/>
        <v>#REF!</v>
      </c>
      <c r="O143" s="179" t="e">
        <f t="shared" si="76"/>
        <v>#REF!</v>
      </c>
      <c r="P143" s="179" t="e">
        <f t="shared" si="76"/>
        <v>#REF!</v>
      </c>
      <c r="Q143" s="179" t="e">
        <f t="shared" si="76"/>
        <v>#REF!</v>
      </c>
      <c r="R143" s="179" t="e">
        <f t="shared" si="76"/>
        <v>#REF!</v>
      </c>
      <c r="S143" s="179" t="e">
        <f t="shared" si="76"/>
        <v>#REF!</v>
      </c>
      <c r="T143" s="179" t="e">
        <f t="shared" si="76"/>
        <v>#REF!</v>
      </c>
      <c r="U143" s="179" t="e">
        <f t="shared" si="76"/>
        <v>#REF!</v>
      </c>
      <c r="V143" s="179" t="e">
        <f t="shared" si="76"/>
        <v>#REF!</v>
      </c>
      <c r="W143" s="179" t="e">
        <f t="shared" si="76"/>
        <v>#REF!</v>
      </c>
      <c r="X143" s="179" t="e">
        <f t="shared" si="76"/>
        <v>#REF!</v>
      </c>
      <c r="Y143" s="179" t="e">
        <f t="shared" si="76"/>
        <v>#REF!</v>
      </c>
      <c r="Z143" s="179" t="e">
        <f t="shared" si="76"/>
        <v>#REF!</v>
      </c>
      <c r="AA143" s="179" t="e">
        <f t="shared" si="76"/>
        <v>#REF!</v>
      </c>
      <c r="AB143" s="179" t="e">
        <f t="shared" si="76"/>
        <v>#REF!</v>
      </c>
      <c r="AC143" s="179" t="e">
        <f t="shared" si="76"/>
        <v>#REF!</v>
      </c>
      <c r="AD143" s="179" t="e">
        <f t="shared" si="76"/>
        <v>#REF!</v>
      </c>
      <c r="AE143" s="179" t="e">
        <f t="shared" si="76"/>
        <v>#REF!</v>
      </c>
      <c r="AF143" s="179" t="e">
        <f t="shared" si="76"/>
        <v>#REF!</v>
      </c>
      <c r="AG143" s="179" t="e">
        <f t="shared" si="76"/>
        <v>#REF!</v>
      </c>
    </row>
    <row r="144" spans="1:33">
      <c r="A144" s="173" t="s">
        <v>319</v>
      </c>
      <c r="B144" s="173" t="s">
        <v>309</v>
      </c>
      <c r="C144" s="179" t="e">
        <f t="shared" ref="C144:AG144" si="77">C141*$C$34</f>
        <v>#REF!</v>
      </c>
      <c r="D144" s="179" t="e">
        <f t="shared" si="77"/>
        <v>#REF!</v>
      </c>
      <c r="E144" s="179" t="e">
        <f t="shared" si="77"/>
        <v>#REF!</v>
      </c>
      <c r="F144" s="179" t="e">
        <f t="shared" si="77"/>
        <v>#REF!</v>
      </c>
      <c r="G144" s="179" t="e">
        <f t="shared" si="77"/>
        <v>#REF!</v>
      </c>
      <c r="H144" s="179" t="e">
        <f t="shared" si="77"/>
        <v>#REF!</v>
      </c>
      <c r="I144" s="179" t="e">
        <f t="shared" si="77"/>
        <v>#REF!</v>
      </c>
      <c r="J144" s="179" t="e">
        <f t="shared" si="77"/>
        <v>#REF!</v>
      </c>
      <c r="K144" s="179" t="e">
        <f t="shared" si="77"/>
        <v>#REF!</v>
      </c>
      <c r="L144" s="179" t="e">
        <f t="shared" si="77"/>
        <v>#REF!</v>
      </c>
      <c r="M144" s="179" t="e">
        <f t="shared" si="77"/>
        <v>#REF!</v>
      </c>
      <c r="N144" s="179" t="e">
        <f t="shared" si="77"/>
        <v>#REF!</v>
      </c>
      <c r="O144" s="179" t="e">
        <f t="shared" si="77"/>
        <v>#REF!</v>
      </c>
      <c r="P144" s="179" t="e">
        <f t="shared" si="77"/>
        <v>#REF!</v>
      </c>
      <c r="Q144" s="179" t="e">
        <f t="shared" si="77"/>
        <v>#REF!</v>
      </c>
      <c r="R144" s="179" t="e">
        <f t="shared" si="77"/>
        <v>#REF!</v>
      </c>
      <c r="S144" s="179" t="e">
        <f t="shared" si="77"/>
        <v>#REF!</v>
      </c>
      <c r="T144" s="179" t="e">
        <f t="shared" si="77"/>
        <v>#REF!</v>
      </c>
      <c r="U144" s="179" t="e">
        <f t="shared" si="77"/>
        <v>#REF!</v>
      </c>
      <c r="V144" s="179" t="e">
        <f t="shared" si="77"/>
        <v>#REF!</v>
      </c>
      <c r="W144" s="179" t="e">
        <f t="shared" si="77"/>
        <v>#REF!</v>
      </c>
      <c r="X144" s="179" t="e">
        <f t="shared" si="77"/>
        <v>#REF!</v>
      </c>
      <c r="Y144" s="179" t="e">
        <f t="shared" si="77"/>
        <v>#REF!</v>
      </c>
      <c r="Z144" s="179" t="e">
        <f t="shared" si="77"/>
        <v>#REF!</v>
      </c>
      <c r="AA144" s="179" t="e">
        <f t="shared" si="77"/>
        <v>#REF!</v>
      </c>
      <c r="AB144" s="179" t="e">
        <f t="shared" si="77"/>
        <v>#REF!</v>
      </c>
      <c r="AC144" s="179" t="e">
        <f t="shared" si="77"/>
        <v>#REF!</v>
      </c>
      <c r="AD144" s="179" t="e">
        <f t="shared" si="77"/>
        <v>#REF!</v>
      </c>
      <c r="AE144" s="179" t="e">
        <f t="shared" si="77"/>
        <v>#REF!</v>
      </c>
      <c r="AF144" s="179" t="e">
        <f t="shared" si="77"/>
        <v>#REF!</v>
      </c>
      <c r="AG144" s="179" t="e">
        <f t="shared" si="77"/>
        <v>#REF!</v>
      </c>
    </row>
    <row r="145" spans="1:34" s="247" customFormat="1" ht="11.85" customHeight="1">
      <c r="A145" s="270" t="s">
        <v>414</v>
      </c>
      <c r="C145" s="273"/>
      <c r="D145" s="273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</row>
    <row r="146" spans="1:34">
      <c r="A146" s="173" t="s">
        <v>325</v>
      </c>
      <c r="B146" s="173" t="s">
        <v>313</v>
      </c>
      <c r="C146" s="179" t="e">
        <f t="shared" ref="C146:AG146" si="78">-PMT($C$33,$C$31,C141)</f>
        <v>#REF!</v>
      </c>
      <c r="D146" s="179" t="e">
        <f t="shared" si="78"/>
        <v>#REF!</v>
      </c>
      <c r="E146" s="179" t="e">
        <f t="shared" si="78"/>
        <v>#REF!</v>
      </c>
      <c r="F146" s="179" t="e">
        <f t="shared" si="78"/>
        <v>#REF!</v>
      </c>
      <c r="G146" s="179" t="e">
        <f t="shared" si="78"/>
        <v>#REF!</v>
      </c>
      <c r="H146" s="179" t="e">
        <f t="shared" si="78"/>
        <v>#REF!</v>
      </c>
      <c r="I146" s="179" t="e">
        <f t="shared" si="78"/>
        <v>#REF!</v>
      </c>
      <c r="J146" s="179" t="e">
        <f t="shared" si="78"/>
        <v>#REF!</v>
      </c>
      <c r="K146" s="179" t="e">
        <f t="shared" si="78"/>
        <v>#REF!</v>
      </c>
      <c r="L146" s="179" t="e">
        <f t="shared" si="78"/>
        <v>#REF!</v>
      </c>
      <c r="M146" s="179" t="e">
        <f t="shared" si="78"/>
        <v>#REF!</v>
      </c>
      <c r="N146" s="179" t="e">
        <f t="shared" si="78"/>
        <v>#REF!</v>
      </c>
      <c r="O146" s="179" t="e">
        <f t="shared" si="78"/>
        <v>#REF!</v>
      </c>
      <c r="P146" s="179" t="e">
        <f t="shared" si="78"/>
        <v>#REF!</v>
      </c>
      <c r="Q146" s="179" t="e">
        <f t="shared" si="78"/>
        <v>#REF!</v>
      </c>
      <c r="R146" s="179" t="e">
        <f t="shared" si="78"/>
        <v>#REF!</v>
      </c>
      <c r="S146" s="179" t="e">
        <f t="shared" si="78"/>
        <v>#REF!</v>
      </c>
      <c r="T146" s="179" t="e">
        <f t="shared" si="78"/>
        <v>#REF!</v>
      </c>
      <c r="U146" s="179" t="e">
        <f t="shared" si="78"/>
        <v>#REF!</v>
      </c>
      <c r="V146" s="179" t="e">
        <f t="shared" si="78"/>
        <v>#REF!</v>
      </c>
      <c r="W146" s="179" t="e">
        <f t="shared" si="78"/>
        <v>#REF!</v>
      </c>
      <c r="X146" s="179" t="e">
        <f t="shared" si="78"/>
        <v>#REF!</v>
      </c>
      <c r="Y146" s="179" t="e">
        <f t="shared" si="78"/>
        <v>#REF!</v>
      </c>
      <c r="Z146" s="179" t="e">
        <f t="shared" si="78"/>
        <v>#REF!</v>
      </c>
      <c r="AA146" s="179" t="e">
        <f t="shared" si="78"/>
        <v>#REF!</v>
      </c>
      <c r="AB146" s="179" t="e">
        <f t="shared" si="78"/>
        <v>#REF!</v>
      </c>
      <c r="AC146" s="179" t="e">
        <f t="shared" si="78"/>
        <v>#REF!</v>
      </c>
      <c r="AD146" s="179" t="e">
        <f t="shared" si="78"/>
        <v>#REF!</v>
      </c>
      <c r="AE146" s="179" t="e">
        <f t="shared" si="78"/>
        <v>#REF!</v>
      </c>
      <c r="AF146" s="179" t="e">
        <f t="shared" si="78"/>
        <v>#REF!</v>
      </c>
      <c r="AG146" s="179" t="e">
        <f t="shared" si="78"/>
        <v>#REF!</v>
      </c>
    </row>
    <row r="147" spans="1:34">
      <c r="A147" s="173" t="s">
        <v>321</v>
      </c>
      <c r="B147" s="173" t="s">
        <v>313</v>
      </c>
      <c r="C147" s="179" t="e">
        <f t="shared" ref="C147:AG149" si="79">C142</f>
        <v>#REF!</v>
      </c>
      <c r="D147" s="179" t="e">
        <f t="shared" si="79"/>
        <v>#REF!</v>
      </c>
      <c r="E147" s="179" t="e">
        <f t="shared" si="79"/>
        <v>#REF!</v>
      </c>
      <c r="F147" s="179" t="e">
        <f t="shared" si="79"/>
        <v>#REF!</v>
      </c>
      <c r="G147" s="179" t="e">
        <f t="shared" si="79"/>
        <v>#REF!</v>
      </c>
      <c r="H147" s="179" t="e">
        <f t="shared" si="79"/>
        <v>#REF!</v>
      </c>
      <c r="I147" s="179" t="e">
        <f t="shared" si="79"/>
        <v>#REF!</v>
      </c>
      <c r="J147" s="179" t="e">
        <f t="shared" si="79"/>
        <v>#REF!</v>
      </c>
      <c r="K147" s="179" t="e">
        <f t="shared" si="79"/>
        <v>#REF!</v>
      </c>
      <c r="L147" s="179" t="e">
        <f t="shared" si="79"/>
        <v>#REF!</v>
      </c>
      <c r="M147" s="179" t="e">
        <f t="shared" si="79"/>
        <v>#REF!</v>
      </c>
      <c r="N147" s="179" t="e">
        <f t="shared" si="79"/>
        <v>#REF!</v>
      </c>
      <c r="O147" s="179" t="e">
        <f t="shared" si="79"/>
        <v>#REF!</v>
      </c>
      <c r="P147" s="179" t="e">
        <f t="shared" si="79"/>
        <v>#REF!</v>
      </c>
      <c r="Q147" s="179" t="e">
        <f t="shared" si="79"/>
        <v>#REF!</v>
      </c>
      <c r="R147" s="179" t="e">
        <f t="shared" si="79"/>
        <v>#REF!</v>
      </c>
      <c r="S147" s="179" t="e">
        <f t="shared" si="79"/>
        <v>#REF!</v>
      </c>
      <c r="T147" s="179" t="e">
        <f t="shared" si="79"/>
        <v>#REF!</v>
      </c>
      <c r="U147" s="179" t="e">
        <f t="shared" si="79"/>
        <v>#REF!</v>
      </c>
      <c r="V147" s="179" t="e">
        <f t="shared" si="79"/>
        <v>#REF!</v>
      </c>
      <c r="W147" s="179" t="e">
        <f t="shared" si="79"/>
        <v>#REF!</v>
      </c>
      <c r="X147" s="179" t="e">
        <f t="shared" si="79"/>
        <v>#REF!</v>
      </c>
      <c r="Y147" s="179" t="e">
        <f t="shared" si="79"/>
        <v>#REF!</v>
      </c>
      <c r="Z147" s="179" t="e">
        <f t="shared" si="79"/>
        <v>#REF!</v>
      </c>
      <c r="AA147" s="179" t="e">
        <f t="shared" si="79"/>
        <v>#REF!</v>
      </c>
      <c r="AB147" s="179" t="e">
        <f t="shared" si="79"/>
        <v>#REF!</v>
      </c>
      <c r="AC147" s="179" t="e">
        <f t="shared" si="79"/>
        <v>#REF!</v>
      </c>
      <c r="AD147" s="179" t="e">
        <f t="shared" si="79"/>
        <v>#REF!</v>
      </c>
      <c r="AE147" s="179" t="e">
        <f t="shared" si="79"/>
        <v>#REF!</v>
      </c>
      <c r="AF147" s="179" t="e">
        <f t="shared" si="79"/>
        <v>#REF!</v>
      </c>
      <c r="AG147" s="179" t="e">
        <f t="shared" si="79"/>
        <v>#REF!</v>
      </c>
    </row>
    <row r="148" spans="1:34">
      <c r="A148" s="173" t="s">
        <v>317</v>
      </c>
      <c r="B148" s="173" t="s">
        <v>313</v>
      </c>
      <c r="C148" s="179" t="e">
        <f>C143</f>
        <v>#REF!</v>
      </c>
      <c r="D148" s="179" t="e">
        <f t="shared" si="79"/>
        <v>#REF!</v>
      </c>
      <c r="E148" s="179" t="e">
        <f t="shared" si="79"/>
        <v>#REF!</v>
      </c>
      <c r="F148" s="179" t="e">
        <f t="shared" si="79"/>
        <v>#REF!</v>
      </c>
      <c r="G148" s="179" t="e">
        <f t="shared" si="79"/>
        <v>#REF!</v>
      </c>
      <c r="H148" s="179" t="e">
        <f t="shared" si="79"/>
        <v>#REF!</v>
      </c>
      <c r="I148" s="179" t="e">
        <f t="shared" si="79"/>
        <v>#REF!</v>
      </c>
      <c r="J148" s="179" t="e">
        <f t="shared" si="79"/>
        <v>#REF!</v>
      </c>
      <c r="K148" s="179" t="e">
        <f t="shared" si="79"/>
        <v>#REF!</v>
      </c>
      <c r="L148" s="179" t="e">
        <f t="shared" si="79"/>
        <v>#REF!</v>
      </c>
      <c r="M148" s="179" t="e">
        <f t="shared" si="79"/>
        <v>#REF!</v>
      </c>
      <c r="N148" s="179" t="e">
        <f t="shared" si="79"/>
        <v>#REF!</v>
      </c>
      <c r="O148" s="179" t="e">
        <f t="shared" si="79"/>
        <v>#REF!</v>
      </c>
      <c r="P148" s="179" t="e">
        <f t="shared" si="79"/>
        <v>#REF!</v>
      </c>
      <c r="Q148" s="179" t="e">
        <f t="shared" si="79"/>
        <v>#REF!</v>
      </c>
      <c r="R148" s="179" t="e">
        <f t="shared" si="79"/>
        <v>#REF!</v>
      </c>
      <c r="S148" s="179" t="e">
        <f t="shared" si="79"/>
        <v>#REF!</v>
      </c>
      <c r="T148" s="179" t="e">
        <f t="shared" si="79"/>
        <v>#REF!</v>
      </c>
      <c r="U148" s="179" t="e">
        <f t="shared" si="79"/>
        <v>#REF!</v>
      </c>
      <c r="V148" s="179" t="e">
        <f t="shared" si="79"/>
        <v>#REF!</v>
      </c>
      <c r="W148" s="179" t="e">
        <f t="shared" si="79"/>
        <v>#REF!</v>
      </c>
      <c r="X148" s="179" t="e">
        <f t="shared" si="79"/>
        <v>#REF!</v>
      </c>
      <c r="Y148" s="179" t="e">
        <f t="shared" si="79"/>
        <v>#REF!</v>
      </c>
      <c r="Z148" s="179" t="e">
        <f t="shared" si="79"/>
        <v>#REF!</v>
      </c>
      <c r="AA148" s="179" t="e">
        <f t="shared" si="79"/>
        <v>#REF!</v>
      </c>
      <c r="AB148" s="179" t="e">
        <f t="shared" si="79"/>
        <v>#REF!</v>
      </c>
      <c r="AC148" s="179" t="e">
        <f t="shared" si="79"/>
        <v>#REF!</v>
      </c>
      <c r="AD148" s="179" t="e">
        <f t="shared" si="79"/>
        <v>#REF!</v>
      </c>
      <c r="AE148" s="179" t="e">
        <f t="shared" si="79"/>
        <v>#REF!</v>
      </c>
      <c r="AF148" s="179" t="e">
        <f t="shared" si="79"/>
        <v>#REF!</v>
      </c>
      <c r="AG148" s="179" t="e">
        <f t="shared" si="79"/>
        <v>#REF!</v>
      </c>
    </row>
    <row r="149" spans="1:34">
      <c r="A149" s="173" t="s">
        <v>319</v>
      </c>
      <c r="B149" s="173" t="s">
        <v>313</v>
      </c>
      <c r="C149" s="179" t="e">
        <f>C144</f>
        <v>#REF!</v>
      </c>
      <c r="D149" s="179" t="e">
        <f t="shared" si="79"/>
        <v>#REF!</v>
      </c>
      <c r="E149" s="179" t="e">
        <f t="shared" si="79"/>
        <v>#REF!</v>
      </c>
      <c r="F149" s="179" t="e">
        <f t="shared" si="79"/>
        <v>#REF!</v>
      </c>
      <c r="G149" s="179" t="e">
        <f t="shared" si="79"/>
        <v>#REF!</v>
      </c>
      <c r="H149" s="179" t="e">
        <f t="shared" si="79"/>
        <v>#REF!</v>
      </c>
      <c r="I149" s="179" t="e">
        <f t="shared" si="79"/>
        <v>#REF!</v>
      </c>
      <c r="J149" s="179" t="e">
        <f t="shared" si="79"/>
        <v>#REF!</v>
      </c>
      <c r="K149" s="179" t="e">
        <f t="shared" si="79"/>
        <v>#REF!</v>
      </c>
      <c r="L149" s="179" t="e">
        <f t="shared" si="79"/>
        <v>#REF!</v>
      </c>
      <c r="M149" s="179" t="e">
        <f t="shared" si="79"/>
        <v>#REF!</v>
      </c>
      <c r="N149" s="179" t="e">
        <f t="shared" si="79"/>
        <v>#REF!</v>
      </c>
      <c r="O149" s="179" t="e">
        <f t="shared" si="79"/>
        <v>#REF!</v>
      </c>
      <c r="P149" s="179" t="e">
        <f t="shared" si="79"/>
        <v>#REF!</v>
      </c>
      <c r="Q149" s="179" t="e">
        <f t="shared" si="79"/>
        <v>#REF!</v>
      </c>
      <c r="R149" s="179" t="e">
        <f t="shared" si="79"/>
        <v>#REF!</v>
      </c>
      <c r="S149" s="179" t="e">
        <f t="shared" si="79"/>
        <v>#REF!</v>
      </c>
      <c r="T149" s="179" t="e">
        <f t="shared" si="79"/>
        <v>#REF!</v>
      </c>
      <c r="U149" s="179" t="e">
        <f t="shared" si="79"/>
        <v>#REF!</v>
      </c>
      <c r="V149" s="179" t="e">
        <f t="shared" si="79"/>
        <v>#REF!</v>
      </c>
      <c r="W149" s="179" t="e">
        <f t="shared" si="79"/>
        <v>#REF!</v>
      </c>
      <c r="X149" s="179" t="e">
        <f t="shared" si="79"/>
        <v>#REF!</v>
      </c>
      <c r="Y149" s="179" t="e">
        <f t="shared" si="79"/>
        <v>#REF!</v>
      </c>
      <c r="Z149" s="179" t="e">
        <f t="shared" si="79"/>
        <v>#REF!</v>
      </c>
      <c r="AA149" s="179" t="e">
        <f t="shared" si="79"/>
        <v>#REF!</v>
      </c>
      <c r="AB149" s="179" t="e">
        <f t="shared" si="79"/>
        <v>#REF!</v>
      </c>
      <c r="AC149" s="179" t="e">
        <f t="shared" si="79"/>
        <v>#REF!</v>
      </c>
      <c r="AD149" s="179" t="e">
        <f t="shared" si="79"/>
        <v>#REF!</v>
      </c>
      <c r="AE149" s="179" t="e">
        <f t="shared" si="79"/>
        <v>#REF!</v>
      </c>
      <c r="AF149" s="179" t="e">
        <f t="shared" si="79"/>
        <v>#REF!</v>
      </c>
      <c r="AG149" s="179" t="e">
        <f t="shared" si="79"/>
        <v>#REF!</v>
      </c>
    </row>
    <row r="150" spans="1:34" s="247" customFormat="1" ht="11.85" customHeight="1">
      <c r="A150" s="270" t="s">
        <v>320</v>
      </c>
      <c r="C150" s="273"/>
      <c r="D150" s="273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  <c r="AC150" s="273"/>
      <c r="AD150" s="273"/>
      <c r="AE150" s="273"/>
      <c r="AF150" s="273"/>
      <c r="AG150" s="273"/>
    </row>
    <row r="151" spans="1:34">
      <c r="A151" s="173" t="s">
        <v>325</v>
      </c>
      <c r="B151" s="173" t="s">
        <v>300</v>
      </c>
      <c r="C151" s="179" t="e">
        <f t="shared" ref="C151:AG152" si="80">C146/($C$28*$C$27)</f>
        <v>#REF!</v>
      </c>
      <c r="D151" s="179" t="e">
        <f t="shared" si="80"/>
        <v>#REF!</v>
      </c>
      <c r="E151" s="179" t="e">
        <f t="shared" si="80"/>
        <v>#REF!</v>
      </c>
      <c r="F151" s="179" t="e">
        <f t="shared" si="80"/>
        <v>#REF!</v>
      </c>
      <c r="G151" s="179" t="e">
        <f t="shared" si="80"/>
        <v>#REF!</v>
      </c>
      <c r="H151" s="179" t="e">
        <f t="shared" si="80"/>
        <v>#REF!</v>
      </c>
      <c r="I151" s="179" t="e">
        <f t="shared" si="80"/>
        <v>#REF!</v>
      </c>
      <c r="J151" s="179" t="e">
        <f t="shared" si="80"/>
        <v>#REF!</v>
      </c>
      <c r="K151" s="179" t="e">
        <f t="shared" si="80"/>
        <v>#REF!</v>
      </c>
      <c r="L151" s="179" t="e">
        <f t="shared" si="80"/>
        <v>#REF!</v>
      </c>
      <c r="M151" s="179" t="e">
        <f t="shared" si="80"/>
        <v>#REF!</v>
      </c>
      <c r="N151" s="179" t="e">
        <f t="shared" si="80"/>
        <v>#REF!</v>
      </c>
      <c r="O151" s="179" t="e">
        <f t="shared" si="80"/>
        <v>#REF!</v>
      </c>
      <c r="P151" s="179" t="e">
        <f t="shared" si="80"/>
        <v>#REF!</v>
      </c>
      <c r="Q151" s="179" t="e">
        <f t="shared" si="80"/>
        <v>#REF!</v>
      </c>
      <c r="R151" s="179" t="e">
        <f t="shared" si="80"/>
        <v>#REF!</v>
      </c>
      <c r="S151" s="179" t="e">
        <f t="shared" si="80"/>
        <v>#REF!</v>
      </c>
      <c r="T151" s="179" t="e">
        <f t="shared" si="80"/>
        <v>#REF!</v>
      </c>
      <c r="U151" s="179" t="e">
        <f t="shared" si="80"/>
        <v>#REF!</v>
      </c>
      <c r="V151" s="179" t="e">
        <f t="shared" si="80"/>
        <v>#REF!</v>
      </c>
      <c r="W151" s="179" t="e">
        <f t="shared" si="80"/>
        <v>#REF!</v>
      </c>
      <c r="X151" s="179" t="e">
        <f t="shared" si="80"/>
        <v>#REF!</v>
      </c>
      <c r="Y151" s="179" t="e">
        <f t="shared" si="80"/>
        <v>#REF!</v>
      </c>
      <c r="Z151" s="179" t="e">
        <f t="shared" si="80"/>
        <v>#REF!</v>
      </c>
      <c r="AA151" s="179" t="e">
        <f t="shared" si="80"/>
        <v>#REF!</v>
      </c>
      <c r="AB151" s="179" t="e">
        <f t="shared" si="80"/>
        <v>#REF!</v>
      </c>
      <c r="AC151" s="179" t="e">
        <f t="shared" si="80"/>
        <v>#REF!</v>
      </c>
      <c r="AD151" s="179" t="e">
        <f t="shared" si="80"/>
        <v>#REF!</v>
      </c>
      <c r="AE151" s="179" t="e">
        <f t="shared" si="80"/>
        <v>#REF!</v>
      </c>
      <c r="AF151" s="179" t="e">
        <f t="shared" si="80"/>
        <v>#REF!</v>
      </c>
      <c r="AG151" s="179" t="e">
        <f t="shared" si="80"/>
        <v>#REF!</v>
      </c>
    </row>
    <row r="152" spans="1:34">
      <c r="A152" s="173" t="s">
        <v>321</v>
      </c>
      <c r="B152" s="173" t="s">
        <v>300</v>
      </c>
      <c r="C152" s="179" t="e">
        <f t="shared" si="80"/>
        <v>#REF!</v>
      </c>
      <c r="D152" s="179" t="e">
        <f t="shared" si="80"/>
        <v>#REF!</v>
      </c>
      <c r="E152" s="179" t="e">
        <f t="shared" si="80"/>
        <v>#REF!</v>
      </c>
      <c r="F152" s="179" t="e">
        <f t="shared" si="80"/>
        <v>#REF!</v>
      </c>
      <c r="G152" s="179" t="e">
        <f t="shared" si="80"/>
        <v>#REF!</v>
      </c>
      <c r="H152" s="179" t="e">
        <f t="shared" si="80"/>
        <v>#REF!</v>
      </c>
      <c r="I152" s="179" t="e">
        <f t="shared" si="80"/>
        <v>#REF!</v>
      </c>
      <c r="J152" s="179" t="e">
        <f t="shared" si="80"/>
        <v>#REF!</v>
      </c>
      <c r="K152" s="179" t="e">
        <f t="shared" si="80"/>
        <v>#REF!</v>
      </c>
      <c r="L152" s="179" t="e">
        <f t="shared" si="80"/>
        <v>#REF!</v>
      </c>
      <c r="M152" s="179" t="e">
        <f t="shared" si="80"/>
        <v>#REF!</v>
      </c>
      <c r="N152" s="179" t="e">
        <f t="shared" si="80"/>
        <v>#REF!</v>
      </c>
      <c r="O152" s="179" t="e">
        <f t="shared" si="80"/>
        <v>#REF!</v>
      </c>
      <c r="P152" s="179" t="e">
        <f t="shared" si="80"/>
        <v>#REF!</v>
      </c>
      <c r="Q152" s="179" t="e">
        <f t="shared" si="80"/>
        <v>#REF!</v>
      </c>
      <c r="R152" s="179" t="e">
        <f t="shared" si="80"/>
        <v>#REF!</v>
      </c>
      <c r="S152" s="179" t="e">
        <f t="shared" si="80"/>
        <v>#REF!</v>
      </c>
      <c r="T152" s="179" t="e">
        <f t="shared" si="80"/>
        <v>#REF!</v>
      </c>
      <c r="U152" s="179" t="e">
        <f t="shared" si="80"/>
        <v>#REF!</v>
      </c>
      <c r="V152" s="179" t="e">
        <f t="shared" si="80"/>
        <v>#REF!</v>
      </c>
      <c r="W152" s="179" t="e">
        <f t="shared" si="80"/>
        <v>#REF!</v>
      </c>
      <c r="X152" s="179" t="e">
        <f t="shared" si="80"/>
        <v>#REF!</v>
      </c>
      <c r="Y152" s="179" t="e">
        <f t="shared" si="80"/>
        <v>#REF!</v>
      </c>
      <c r="Z152" s="179" t="e">
        <f t="shared" si="80"/>
        <v>#REF!</v>
      </c>
      <c r="AA152" s="179" t="e">
        <f t="shared" si="80"/>
        <v>#REF!</v>
      </c>
      <c r="AB152" s="179" t="e">
        <f t="shared" si="80"/>
        <v>#REF!</v>
      </c>
      <c r="AC152" s="179" t="e">
        <f t="shared" si="80"/>
        <v>#REF!</v>
      </c>
      <c r="AD152" s="179" t="e">
        <f t="shared" si="80"/>
        <v>#REF!</v>
      </c>
      <c r="AE152" s="179" t="e">
        <f t="shared" si="80"/>
        <v>#REF!</v>
      </c>
      <c r="AF152" s="179" t="e">
        <f t="shared" si="80"/>
        <v>#REF!</v>
      </c>
      <c r="AG152" s="179" t="e">
        <f t="shared" si="80"/>
        <v>#REF!</v>
      </c>
    </row>
    <row r="153" spans="1:34">
      <c r="A153" s="173" t="s">
        <v>322</v>
      </c>
      <c r="B153" s="173" t="s">
        <v>300</v>
      </c>
      <c r="C153" s="179" t="e">
        <f t="shared" ref="C153:AG153" si="81">(C148+C149+C70)/($C$28*$C$27)+C63</f>
        <v>#REF!</v>
      </c>
      <c r="D153" s="179" t="e">
        <f t="shared" si="81"/>
        <v>#REF!</v>
      </c>
      <c r="E153" s="179" t="e">
        <f t="shared" si="81"/>
        <v>#REF!</v>
      </c>
      <c r="F153" s="179" t="e">
        <f t="shared" si="81"/>
        <v>#REF!</v>
      </c>
      <c r="G153" s="179" t="e">
        <f t="shared" si="81"/>
        <v>#REF!</v>
      </c>
      <c r="H153" s="179" t="e">
        <f t="shared" si="81"/>
        <v>#REF!</v>
      </c>
      <c r="I153" s="179" t="e">
        <f t="shared" si="81"/>
        <v>#REF!</v>
      </c>
      <c r="J153" s="179" t="e">
        <f t="shared" si="81"/>
        <v>#REF!</v>
      </c>
      <c r="K153" s="179" t="e">
        <f t="shared" si="81"/>
        <v>#REF!</v>
      </c>
      <c r="L153" s="179" t="e">
        <f t="shared" si="81"/>
        <v>#REF!</v>
      </c>
      <c r="M153" s="179" t="e">
        <f t="shared" si="81"/>
        <v>#REF!</v>
      </c>
      <c r="N153" s="179" t="e">
        <f t="shared" si="81"/>
        <v>#REF!</v>
      </c>
      <c r="O153" s="179" t="e">
        <f t="shared" si="81"/>
        <v>#REF!</v>
      </c>
      <c r="P153" s="179" t="e">
        <f t="shared" si="81"/>
        <v>#REF!</v>
      </c>
      <c r="Q153" s="179" t="e">
        <f t="shared" si="81"/>
        <v>#REF!</v>
      </c>
      <c r="R153" s="179" t="e">
        <f t="shared" si="81"/>
        <v>#REF!</v>
      </c>
      <c r="S153" s="179" t="e">
        <f t="shared" si="81"/>
        <v>#REF!</v>
      </c>
      <c r="T153" s="179" t="e">
        <f t="shared" si="81"/>
        <v>#REF!</v>
      </c>
      <c r="U153" s="179" t="e">
        <f t="shared" si="81"/>
        <v>#REF!</v>
      </c>
      <c r="V153" s="179" t="e">
        <f t="shared" si="81"/>
        <v>#REF!</v>
      </c>
      <c r="W153" s="179" t="e">
        <f t="shared" si="81"/>
        <v>#REF!</v>
      </c>
      <c r="X153" s="179" t="e">
        <f t="shared" si="81"/>
        <v>#REF!</v>
      </c>
      <c r="Y153" s="179" t="e">
        <f t="shared" si="81"/>
        <v>#REF!</v>
      </c>
      <c r="Z153" s="179" t="e">
        <f t="shared" si="81"/>
        <v>#REF!</v>
      </c>
      <c r="AA153" s="179" t="e">
        <f t="shared" si="81"/>
        <v>#REF!</v>
      </c>
      <c r="AB153" s="179" t="e">
        <f t="shared" si="81"/>
        <v>#REF!</v>
      </c>
      <c r="AC153" s="179" t="e">
        <f t="shared" si="81"/>
        <v>#REF!</v>
      </c>
      <c r="AD153" s="179" t="e">
        <f t="shared" si="81"/>
        <v>#REF!</v>
      </c>
      <c r="AE153" s="179" t="e">
        <f t="shared" si="81"/>
        <v>#REF!</v>
      </c>
      <c r="AF153" s="179" t="e">
        <f t="shared" si="81"/>
        <v>#REF!</v>
      </c>
      <c r="AG153" s="179" t="e">
        <f t="shared" si="81"/>
        <v>#REF!</v>
      </c>
    </row>
    <row r="154" spans="1:34">
      <c r="C154" s="295" t="e">
        <f>SUM(C151:C153)</f>
        <v>#REF!</v>
      </c>
      <c r="D154" s="295" t="e">
        <f t="shared" ref="D154:AG154" si="82">SUM(D151:D153)</f>
        <v>#REF!</v>
      </c>
      <c r="E154" s="295" t="e">
        <f t="shared" si="82"/>
        <v>#REF!</v>
      </c>
      <c r="F154" s="295" t="e">
        <f t="shared" si="82"/>
        <v>#REF!</v>
      </c>
      <c r="G154" s="295" t="e">
        <f t="shared" si="82"/>
        <v>#REF!</v>
      </c>
      <c r="H154" s="295" t="e">
        <f t="shared" si="82"/>
        <v>#REF!</v>
      </c>
      <c r="I154" s="295" t="e">
        <f t="shared" si="82"/>
        <v>#REF!</v>
      </c>
      <c r="J154" s="295" t="e">
        <f t="shared" si="82"/>
        <v>#REF!</v>
      </c>
      <c r="K154" s="295" t="e">
        <f t="shared" si="82"/>
        <v>#REF!</v>
      </c>
      <c r="L154" s="295" t="e">
        <f t="shared" si="82"/>
        <v>#REF!</v>
      </c>
      <c r="M154" s="295" t="e">
        <f t="shared" si="82"/>
        <v>#REF!</v>
      </c>
      <c r="N154" s="295" t="e">
        <f t="shared" si="82"/>
        <v>#REF!</v>
      </c>
      <c r="O154" s="295" t="e">
        <f t="shared" si="82"/>
        <v>#REF!</v>
      </c>
      <c r="P154" s="295" t="e">
        <f t="shared" si="82"/>
        <v>#REF!</v>
      </c>
      <c r="Q154" s="295" t="e">
        <f t="shared" si="82"/>
        <v>#REF!</v>
      </c>
      <c r="R154" s="295" t="e">
        <f t="shared" si="82"/>
        <v>#REF!</v>
      </c>
      <c r="S154" s="295" t="e">
        <f t="shared" si="82"/>
        <v>#REF!</v>
      </c>
      <c r="T154" s="295" t="e">
        <f t="shared" si="82"/>
        <v>#REF!</v>
      </c>
      <c r="U154" s="295" t="e">
        <f t="shared" si="82"/>
        <v>#REF!</v>
      </c>
      <c r="V154" s="295" t="e">
        <f t="shared" si="82"/>
        <v>#REF!</v>
      </c>
      <c r="W154" s="295" t="e">
        <f t="shared" si="82"/>
        <v>#REF!</v>
      </c>
      <c r="X154" s="295" t="e">
        <f t="shared" si="82"/>
        <v>#REF!</v>
      </c>
      <c r="Y154" s="295" t="e">
        <f t="shared" si="82"/>
        <v>#REF!</v>
      </c>
      <c r="Z154" s="295" t="e">
        <f t="shared" si="82"/>
        <v>#REF!</v>
      </c>
      <c r="AA154" s="295" t="e">
        <f t="shared" si="82"/>
        <v>#REF!</v>
      </c>
      <c r="AB154" s="295" t="e">
        <f t="shared" si="82"/>
        <v>#REF!</v>
      </c>
      <c r="AC154" s="295" t="e">
        <f t="shared" si="82"/>
        <v>#REF!</v>
      </c>
      <c r="AD154" s="295" t="e">
        <f t="shared" si="82"/>
        <v>#REF!</v>
      </c>
      <c r="AE154" s="295" t="e">
        <f t="shared" si="82"/>
        <v>#REF!</v>
      </c>
      <c r="AF154" s="295" t="e">
        <f t="shared" si="82"/>
        <v>#REF!</v>
      </c>
      <c r="AG154" s="295" t="e">
        <f t="shared" si="82"/>
        <v>#REF!</v>
      </c>
    </row>
    <row r="155" spans="1:34" s="225" customFormat="1">
      <c r="A155" s="223" t="s">
        <v>182</v>
      </c>
      <c r="B155" s="223"/>
      <c r="H155" s="275" t="e">
        <f>SUM(H157:H160)/H86</f>
        <v>#REF!</v>
      </c>
      <c r="AB155" s="275" t="e">
        <f>SUM(AB157:AB160)/AB86</f>
        <v>#REF!</v>
      </c>
    </row>
    <row r="156" spans="1:34">
      <c r="A156" s="235" t="s">
        <v>41</v>
      </c>
      <c r="B156" s="235"/>
      <c r="C156" s="235">
        <v>2025</v>
      </c>
      <c r="D156" s="235">
        <f t="shared" ref="D156:AG156" si="83">C156+1</f>
        <v>2026</v>
      </c>
      <c r="E156" s="235">
        <f t="shared" si="83"/>
        <v>2027</v>
      </c>
      <c r="F156" s="235">
        <f t="shared" si="83"/>
        <v>2028</v>
      </c>
      <c r="G156" s="235">
        <f t="shared" si="83"/>
        <v>2029</v>
      </c>
      <c r="H156" s="235">
        <f t="shared" si="83"/>
        <v>2030</v>
      </c>
      <c r="I156" s="235">
        <f t="shared" si="83"/>
        <v>2031</v>
      </c>
      <c r="J156" s="235">
        <f t="shared" si="83"/>
        <v>2032</v>
      </c>
      <c r="K156" s="235">
        <f t="shared" si="83"/>
        <v>2033</v>
      </c>
      <c r="L156" s="235">
        <f t="shared" si="83"/>
        <v>2034</v>
      </c>
      <c r="M156" s="235">
        <f t="shared" si="83"/>
        <v>2035</v>
      </c>
      <c r="N156" s="235">
        <f t="shared" si="83"/>
        <v>2036</v>
      </c>
      <c r="O156" s="235">
        <f t="shared" si="83"/>
        <v>2037</v>
      </c>
      <c r="P156" s="235">
        <f t="shared" si="83"/>
        <v>2038</v>
      </c>
      <c r="Q156" s="235">
        <f t="shared" si="83"/>
        <v>2039</v>
      </c>
      <c r="R156" s="235">
        <f t="shared" si="83"/>
        <v>2040</v>
      </c>
      <c r="S156" s="235">
        <f t="shared" si="83"/>
        <v>2041</v>
      </c>
      <c r="T156" s="235">
        <f t="shared" si="83"/>
        <v>2042</v>
      </c>
      <c r="U156" s="235">
        <f t="shared" si="83"/>
        <v>2043</v>
      </c>
      <c r="V156" s="235">
        <f t="shared" si="83"/>
        <v>2044</v>
      </c>
      <c r="W156" s="235">
        <f t="shared" si="83"/>
        <v>2045</v>
      </c>
      <c r="X156" s="235">
        <f t="shared" si="83"/>
        <v>2046</v>
      </c>
      <c r="Y156" s="235">
        <f t="shared" si="83"/>
        <v>2047</v>
      </c>
      <c r="Z156" s="235">
        <f t="shared" si="83"/>
        <v>2048</v>
      </c>
      <c r="AA156" s="235">
        <f t="shared" si="83"/>
        <v>2049</v>
      </c>
      <c r="AB156" s="235">
        <f t="shared" si="83"/>
        <v>2050</v>
      </c>
      <c r="AC156" s="235">
        <f t="shared" si="83"/>
        <v>2051</v>
      </c>
      <c r="AD156" s="235">
        <f t="shared" si="83"/>
        <v>2052</v>
      </c>
      <c r="AE156" s="235">
        <f t="shared" si="83"/>
        <v>2053</v>
      </c>
      <c r="AF156" s="235">
        <f t="shared" si="83"/>
        <v>2054</v>
      </c>
      <c r="AG156" s="235">
        <f t="shared" si="83"/>
        <v>2055</v>
      </c>
    </row>
    <row r="157" spans="1:34">
      <c r="A157" s="290" t="s">
        <v>419</v>
      </c>
      <c r="B157" s="173" t="s">
        <v>309</v>
      </c>
      <c r="C157" s="238" t="e">
        <f>ROUND(($G$81*C56)/1000,0)*1000</f>
        <v>#REF!</v>
      </c>
      <c r="D157" s="238" t="e">
        <f>ROUND(($G$81*D56)/1000,0)*1000</f>
        <v>#REF!</v>
      </c>
      <c r="E157" s="238" t="e">
        <f>ROUND(($G$81*E56)/1000,0)*1000</f>
        <v>#REF!</v>
      </c>
      <c r="F157" s="238" t="e">
        <f t="shared" ref="F157:AG157" si="84">ROUND(($G$81*F56)/1000,0)*1000</f>
        <v>#REF!</v>
      </c>
      <c r="G157" s="238" t="e">
        <f t="shared" si="84"/>
        <v>#REF!</v>
      </c>
      <c r="H157" s="238" t="e">
        <f t="shared" si="84"/>
        <v>#REF!</v>
      </c>
      <c r="I157" s="238" t="e">
        <f t="shared" si="84"/>
        <v>#REF!</v>
      </c>
      <c r="J157" s="238" t="e">
        <f t="shared" si="84"/>
        <v>#REF!</v>
      </c>
      <c r="K157" s="238" t="e">
        <f t="shared" si="84"/>
        <v>#REF!</v>
      </c>
      <c r="L157" s="238" t="e">
        <f t="shared" si="84"/>
        <v>#REF!</v>
      </c>
      <c r="M157" s="238" t="e">
        <f t="shared" si="84"/>
        <v>#REF!</v>
      </c>
      <c r="N157" s="238" t="e">
        <f t="shared" si="84"/>
        <v>#REF!</v>
      </c>
      <c r="O157" s="238" t="e">
        <f t="shared" si="84"/>
        <v>#REF!</v>
      </c>
      <c r="P157" s="238" t="e">
        <f t="shared" si="84"/>
        <v>#REF!</v>
      </c>
      <c r="Q157" s="238" t="e">
        <f t="shared" si="84"/>
        <v>#REF!</v>
      </c>
      <c r="R157" s="238" t="e">
        <f t="shared" si="84"/>
        <v>#REF!</v>
      </c>
      <c r="S157" s="238" t="e">
        <f t="shared" si="84"/>
        <v>#REF!</v>
      </c>
      <c r="T157" s="238" t="e">
        <f t="shared" si="84"/>
        <v>#REF!</v>
      </c>
      <c r="U157" s="238" t="e">
        <f t="shared" si="84"/>
        <v>#REF!</v>
      </c>
      <c r="V157" s="238" t="e">
        <f t="shared" si="84"/>
        <v>#REF!</v>
      </c>
      <c r="W157" s="238" t="e">
        <f t="shared" si="84"/>
        <v>#REF!</v>
      </c>
      <c r="X157" s="238" t="e">
        <f t="shared" si="84"/>
        <v>#REF!</v>
      </c>
      <c r="Y157" s="238" t="e">
        <f t="shared" si="84"/>
        <v>#REF!</v>
      </c>
      <c r="Z157" s="238" t="e">
        <f t="shared" si="84"/>
        <v>#REF!</v>
      </c>
      <c r="AA157" s="238" t="e">
        <f t="shared" si="84"/>
        <v>#REF!</v>
      </c>
      <c r="AB157" s="238" t="e">
        <f t="shared" si="84"/>
        <v>#REF!</v>
      </c>
      <c r="AC157" s="238" t="e">
        <f t="shared" si="84"/>
        <v>#REF!</v>
      </c>
      <c r="AD157" s="238" t="e">
        <f t="shared" si="84"/>
        <v>#REF!</v>
      </c>
      <c r="AE157" s="238" t="e">
        <f t="shared" si="84"/>
        <v>#REF!</v>
      </c>
      <c r="AF157" s="238" t="e">
        <f t="shared" si="84"/>
        <v>#REF!</v>
      </c>
      <c r="AG157" s="238" t="e">
        <f t="shared" si="84"/>
        <v>#REF!</v>
      </c>
    </row>
    <row r="158" spans="1:34">
      <c r="A158" s="290" t="s">
        <v>420</v>
      </c>
      <c r="B158" s="173" t="s">
        <v>309</v>
      </c>
      <c r="C158" s="179" t="e">
        <f t="shared" ref="C158:AG158" si="85">C61</f>
        <v>#REF!</v>
      </c>
      <c r="D158" s="179" t="e">
        <f t="shared" si="85"/>
        <v>#REF!</v>
      </c>
      <c r="E158" s="179" t="e">
        <f t="shared" si="85"/>
        <v>#REF!</v>
      </c>
      <c r="F158" s="179" t="e">
        <f t="shared" si="85"/>
        <v>#REF!</v>
      </c>
      <c r="G158" s="179" t="e">
        <f t="shared" si="85"/>
        <v>#REF!</v>
      </c>
      <c r="H158" s="179" t="e">
        <f t="shared" si="85"/>
        <v>#REF!</v>
      </c>
      <c r="I158" s="179" t="e">
        <f t="shared" si="85"/>
        <v>#REF!</v>
      </c>
      <c r="J158" s="179" t="e">
        <f t="shared" si="85"/>
        <v>#REF!</v>
      </c>
      <c r="K158" s="179" t="e">
        <f t="shared" si="85"/>
        <v>#REF!</v>
      </c>
      <c r="L158" s="179" t="e">
        <f t="shared" si="85"/>
        <v>#REF!</v>
      </c>
      <c r="M158" s="179" t="e">
        <f t="shared" si="85"/>
        <v>#REF!</v>
      </c>
      <c r="N158" s="179" t="e">
        <f t="shared" si="85"/>
        <v>#REF!</v>
      </c>
      <c r="O158" s="179" t="e">
        <f t="shared" si="85"/>
        <v>#REF!</v>
      </c>
      <c r="P158" s="179" t="e">
        <f t="shared" si="85"/>
        <v>#REF!</v>
      </c>
      <c r="Q158" s="179" t="e">
        <f t="shared" si="85"/>
        <v>#REF!</v>
      </c>
      <c r="R158" s="179" t="e">
        <f t="shared" si="85"/>
        <v>#REF!</v>
      </c>
      <c r="S158" s="179" t="e">
        <f t="shared" si="85"/>
        <v>#REF!</v>
      </c>
      <c r="T158" s="179" t="e">
        <f t="shared" si="85"/>
        <v>#REF!</v>
      </c>
      <c r="U158" s="179" t="e">
        <f t="shared" si="85"/>
        <v>#REF!</v>
      </c>
      <c r="V158" s="179" t="e">
        <f t="shared" si="85"/>
        <v>#REF!</v>
      </c>
      <c r="W158" s="179" t="e">
        <f t="shared" si="85"/>
        <v>#REF!</v>
      </c>
      <c r="X158" s="179" t="e">
        <f t="shared" si="85"/>
        <v>#REF!</v>
      </c>
      <c r="Y158" s="179" t="e">
        <f t="shared" si="85"/>
        <v>#REF!</v>
      </c>
      <c r="Z158" s="179" t="e">
        <f t="shared" si="85"/>
        <v>#REF!</v>
      </c>
      <c r="AA158" s="179" t="e">
        <f t="shared" si="85"/>
        <v>#REF!</v>
      </c>
      <c r="AB158" s="179" t="e">
        <f t="shared" si="85"/>
        <v>#REF!</v>
      </c>
      <c r="AC158" s="179" t="e">
        <f t="shared" si="85"/>
        <v>#REF!</v>
      </c>
      <c r="AD158" s="179" t="e">
        <f t="shared" si="85"/>
        <v>#REF!</v>
      </c>
      <c r="AE158" s="179" t="e">
        <f t="shared" si="85"/>
        <v>#REF!</v>
      </c>
      <c r="AF158" s="179" t="e">
        <f t="shared" si="85"/>
        <v>#REF!</v>
      </c>
      <c r="AG158" s="179" t="e">
        <f t="shared" si="85"/>
        <v>#REF!</v>
      </c>
    </row>
    <row r="159" spans="1:34">
      <c r="A159" s="291" t="s">
        <v>421</v>
      </c>
      <c r="B159" s="229"/>
      <c r="C159" s="238" t="e">
        <f>C12</f>
        <v>#REF!</v>
      </c>
      <c r="D159" s="238" t="e">
        <f>ROUND((C159*(1+$AH159))/1000,0)*1000</f>
        <v>#REF!</v>
      </c>
      <c r="E159" s="238" t="e">
        <f>ROUND((D159*(1+$AH159))/1000,0)*1000</f>
        <v>#REF!</v>
      </c>
      <c r="F159" s="238" t="e">
        <f>ROUND((E159*(1+$AH159))/1000,0)*1000</f>
        <v>#REF!</v>
      </c>
      <c r="G159" s="238" t="e">
        <f>ROUND((F159*(1+$AH159))/1000,0)*1000</f>
        <v>#REF!</v>
      </c>
      <c r="H159" s="238" t="e">
        <f t="shared" ref="H159:AG159" si="86">ROUND((G159*(1+$AH159))/1000,0)*1000</f>
        <v>#REF!</v>
      </c>
      <c r="I159" s="238" t="e">
        <f t="shared" si="86"/>
        <v>#REF!</v>
      </c>
      <c r="J159" s="238" t="e">
        <f t="shared" si="86"/>
        <v>#REF!</v>
      </c>
      <c r="K159" s="238" t="e">
        <f t="shared" si="86"/>
        <v>#REF!</v>
      </c>
      <c r="L159" s="238" t="e">
        <f t="shared" si="86"/>
        <v>#REF!</v>
      </c>
      <c r="M159" s="238" t="e">
        <f t="shared" si="86"/>
        <v>#REF!</v>
      </c>
      <c r="N159" s="238" t="e">
        <f t="shared" si="86"/>
        <v>#REF!</v>
      </c>
      <c r="O159" s="238" t="e">
        <f t="shared" si="86"/>
        <v>#REF!</v>
      </c>
      <c r="P159" s="238" t="e">
        <f t="shared" si="86"/>
        <v>#REF!</v>
      </c>
      <c r="Q159" s="238" t="e">
        <f t="shared" si="86"/>
        <v>#REF!</v>
      </c>
      <c r="R159" s="238" t="e">
        <f t="shared" si="86"/>
        <v>#REF!</v>
      </c>
      <c r="S159" s="238" t="e">
        <f t="shared" si="86"/>
        <v>#REF!</v>
      </c>
      <c r="T159" s="238" t="e">
        <f t="shared" si="86"/>
        <v>#REF!</v>
      </c>
      <c r="U159" s="238" t="e">
        <f t="shared" si="86"/>
        <v>#REF!</v>
      </c>
      <c r="V159" s="238" t="e">
        <f t="shared" si="86"/>
        <v>#REF!</v>
      </c>
      <c r="W159" s="238" t="e">
        <f t="shared" si="86"/>
        <v>#REF!</v>
      </c>
      <c r="X159" s="238" t="e">
        <f t="shared" si="86"/>
        <v>#REF!</v>
      </c>
      <c r="Y159" s="238" t="e">
        <f t="shared" si="86"/>
        <v>#REF!</v>
      </c>
      <c r="Z159" s="238" t="e">
        <f t="shared" si="86"/>
        <v>#REF!</v>
      </c>
      <c r="AA159" s="238" t="e">
        <f t="shared" si="86"/>
        <v>#REF!</v>
      </c>
      <c r="AB159" s="238" t="e">
        <f t="shared" si="86"/>
        <v>#REF!</v>
      </c>
      <c r="AC159" s="238" t="e">
        <f t="shared" si="86"/>
        <v>#REF!</v>
      </c>
      <c r="AD159" s="238" t="e">
        <f t="shared" si="86"/>
        <v>#REF!</v>
      </c>
      <c r="AE159" s="238" t="e">
        <f t="shared" si="86"/>
        <v>#REF!</v>
      </c>
      <c r="AF159" s="238" t="e">
        <f t="shared" si="86"/>
        <v>#REF!</v>
      </c>
      <c r="AG159" s="238" t="e">
        <f t="shared" si="86"/>
        <v>#REF!</v>
      </c>
      <c r="AH159" s="237">
        <v>1.4999999999999999E-2</v>
      </c>
    </row>
    <row r="160" spans="1:34">
      <c r="A160" s="290" t="s">
        <v>422</v>
      </c>
      <c r="B160" s="173" t="s">
        <v>309</v>
      </c>
      <c r="C160" s="238" t="e">
        <f t="shared" ref="C160:AG160" si="87">(C86-C159+(C158))</f>
        <v>#REF!</v>
      </c>
      <c r="D160" s="238" t="e">
        <f t="shared" si="87"/>
        <v>#REF!</v>
      </c>
      <c r="E160" s="238" t="e">
        <f t="shared" si="87"/>
        <v>#REF!</v>
      </c>
      <c r="F160" s="238" t="e">
        <f t="shared" si="87"/>
        <v>#REF!</v>
      </c>
      <c r="G160" s="238" t="e">
        <f t="shared" si="87"/>
        <v>#REF!</v>
      </c>
      <c r="H160" s="238" t="e">
        <f t="shared" si="87"/>
        <v>#REF!</v>
      </c>
      <c r="I160" s="238" t="e">
        <f t="shared" si="87"/>
        <v>#REF!</v>
      </c>
      <c r="J160" s="238" t="e">
        <f t="shared" si="87"/>
        <v>#REF!</v>
      </c>
      <c r="K160" s="238" t="e">
        <f t="shared" si="87"/>
        <v>#REF!</v>
      </c>
      <c r="L160" s="238" t="e">
        <f t="shared" si="87"/>
        <v>#REF!</v>
      </c>
      <c r="M160" s="238" t="e">
        <f t="shared" si="87"/>
        <v>#REF!</v>
      </c>
      <c r="N160" s="238" t="e">
        <f t="shared" si="87"/>
        <v>#REF!</v>
      </c>
      <c r="O160" s="238" t="e">
        <f t="shared" si="87"/>
        <v>#REF!</v>
      </c>
      <c r="P160" s="238" t="e">
        <f t="shared" si="87"/>
        <v>#REF!</v>
      </c>
      <c r="Q160" s="238" t="e">
        <f t="shared" si="87"/>
        <v>#REF!</v>
      </c>
      <c r="R160" s="238" t="e">
        <f t="shared" si="87"/>
        <v>#REF!</v>
      </c>
      <c r="S160" s="238" t="e">
        <f t="shared" si="87"/>
        <v>#REF!</v>
      </c>
      <c r="T160" s="238" t="e">
        <f t="shared" si="87"/>
        <v>#REF!</v>
      </c>
      <c r="U160" s="238" t="e">
        <f t="shared" si="87"/>
        <v>#REF!</v>
      </c>
      <c r="V160" s="238" t="e">
        <f t="shared" si="87"/>
        <v>#REF!</v>
      </c>
      <c r="W160" s="238" t="e">
        <f t="shared" si="87"/>
        <v>#REF!</v>
      </c>
      <c r="X160" s="238" t="e">
        <f t="shared" si="87"/>
        <v>#REF!</v>
      </c>
      <c r="Y160" s="238" t="e">
        <f t="shared" si="87"/>
        <v>#REF!</v>
      </c>
      <c r="Z160" s="238" t="e">
        <f t="shared" si="87"/>
        <v>#REF!</v>
      </c>
      <c r="AA160" s="238" t="e">
        <f t="shared" si="87"/>
        <v>#REF!</v>
      </c>
      <c r="AB160" s="238" t="e">
        <f t="shared" si="87"/>
        <v>#REF!</v>
      </c>
      <c r="AC160" s="238" t="e">
        <f t="shared" si="87"/>
        <v>#REF!</v>
      </c>
      <c r="AD160" s="238" t="e">
        <f t="shared" si="87"/>
        <v>#REF!</v>
      </c>
      <c r="AE160" s="238" t="e">
        <f t="shared" si="87"/>
        <v>#REF!</v>
      </c>
      <c r="AF160" s="238" t="e">
        <f t="shared" si="87"/>
        <v>#REF!</v>
      </c>
      <c r="AG160" s="238" t="e">
        <f t="shared" si="87"/>
        <v>#REF!</v>
      </c>
    </row>
    <row r="161" spans="1:33">
      <c r="A161" s="173" t="s">
        <v>423</v>
      </c>
      <c r="B161" s="173" t="s">
        <v>309</v>
      </c>
      <c r="C161" s="238" t="e">
        <f t="shared" ref="C161:AG161" si="88">$C$35*C157</f>
        <v>#REF!</v>
      </c>
      <c r="D161" s="238" t="e">
        <f t="shared" si="88"/>
        <v>#REF!</v>
      </c>
      <c r="E161" s="238" t="e">
        <f t="shared" si="88"/>
        <v>#REF!</v>
      </c>
      <c r="F161" s="238" t="e">
        <f t="shared" si="88"/>
        <v>#REF!</v>
      </c>
      <c r="G161" s="238" t="e">
        <f t="shared" si="88"/>
        <v>#REF!</v>
      </c>
      <c r="H161" s="238" t="e">
        <f t="shared" si="88"/>
        <v>#REF!</v>
      </c>
      <c r="I161" s="238" t="e">
        <f t="shared" si="88"/>
        <v>#REF!</v>
      </c>
      <c r="J161" s="238" t="e">
        <f t="shared" si="88"/>
        <v>#REF!</v>
      </c>
      <c r="K161" s="238" t="e">
        <f t="shared" si="88"/>
        <v>#REF!</v>
      </c>
      <c r="L161" s="238" t="e">
        <f t="shared" si="88"/>
        <v>#REF!</v>
      </c>
      <c r="M161" s="238" t="e">
        <f t="shared" si="88"/>
        <v>#REF!</v>
      </c>
      <c r="N161" s="238" t="e">
        <f t="shared" si="88"/>
        <v>#REF!</v>
      </c>
      <c r="O161" s="238" t="e">
        <f t="shared" si="88"/>
        <v>#REF!</v>
      </c>
      <c r="P161" s="238" t="e">
        <f t="shared" si="88"/>
        <v>#REF!</v>
      </c>
      <c r="Q161" s="238" t="e">
        <f t="shared" si="88"/>
        <v>#REF!</v>
      </c>
      <c r="R161" s="238" t="e">
        <f t="shared" si="88"/>
        <v>#REF!</v>
      </c>
      <c r="S161" s="238" t="e">
        <f t="shared" si="88"/>
        <v>#REF!</v>
      </c>
      <c r="T161" s="238" t="e">
        <f t="shared" si="88"/>
        <v>#REF!</v>
      </c>
      <c r="U161" s="238" t="e">
        <f t="shared" si="88"/>
        <v>#REF!</v>
      </c>
      <c r="V161" s="238" t="e">
        <f t="shared" si="88"/>
        <v>#REF!</v>
      </c>
      <c r="W161" s="238" t="e">
        <f t="shared" si="88"/>
        <v>#REF!</v>
      </c>
      <c r="X161" s="238" t="e">
        <f t="shared" si="88"/>
        <v>#REF!</v>
      </c>
      <c r="Y161" s="238" t="e">
        <f t="shared" si="88"/>
        <v>#REF!</v>
      </c>
      <c r="Z161" s="238" t="e">
        <f t="shared" si="88"/>
        <v>#REF!</v>
      </c>
      <c r="AA161" s="238" t="e">
        <f t="shared" si="88"/>
        <v>#REF!</v>
      </c>
      <c r="AB161" s="238" t="e">
        <f t="shared" si="88"/>
        <v>#REF!</v>
      </c>
      <c r="AC161" s="238" t="e">
        <f t="shared" si="88"/>
        <v>#REF!</v>
      </c>
      <c r="AD161" s="238" t="e">
        <f t="shared" si="88"/>
        <v>#REF!</v>
      </c>
      <c r="AE161" s="238" t="e">
        <f t="shared" si="88"/>
        <v>#REF!</v>
      </c>
      <c r="AF161" s="238" t="e">
        <f t="shared" si="88"/>
        <v>#REF!</v>
      </c>
      <c r="AG161" s="238" t="e">
        <f t="shared" si="88"/>
        <v>#REF!</v>
      </c>
    </row>
    <row r="162" spans="1:33">
      <c r="A162" s="290" t="s">
        <v>329</v>
      </c>
      <c r="B162" s="173" t="s">
        <v>309</v>
      </c>
      <c r="C162" s="179" t="e">
        <f t="shared" ref="C162:AG162" si="89">C160+C157+C161</f>
        <v>#REF!</v>
      </c>
      <c r="D162" s="179" t="e">
        <f t="shared" si="89"/>
        <v>#REF!</v>
      </c>
      <c r="E162" s="179" t="e">
        <f t="shared" si="89"/>
        <v>#REF!</v>
      </c>
      <c r="F162" s="179" t="e">
        <f t="shared" si="89"/>
        <v>#REF!</v>
      </c>
      <c r="G162" s="179" t="e">
        <f t="shared" si="89"/>
        <v>#REF!</v>
      </c>
      <c r="H162" s="179" t="e">
        <f t="shared" si="89"/>
        <v>#REF!</v>
      </c>
      <c r="I162" s="179" t="e">
        <f t="shared" si="89"/>
        <v>#REF!</v>
      </c>
      <c r="J162" s="179" t="e">
        <f t="shared" si="89"/>
        <v>#REF!</v>
      </c>
      <c r="K162" s="179" t="e">
        <f t="shared" si="89"/>
        <v>#REF!</v>
      </c>
      <c r="L162" s="179" t="e">
        <f t="shared" si="89"/>
        <v>#REF!</v>
      </c>
      <c r="M162" s="179" t="e">
        <f t="shared" si="89"/>
        <v>#REF!</v>
      </c>
      <c r="N162" s="179" t="e">
        <f t="shared" si="89"/>
        <v>#REF!</v>
      </c>
      <c r="O162" s="179" t="e">
        <f t="shared" si="89"/>
        <v>#REF!</v>
      </c>
      <c r="P162" s="179" t="e">
        <f t="shared" si="89"/>
        <v>#REF!</v>
      </c>
      <c r="Q162" s="179" t="e">
        <f t="shared" si="89"/>
        <v>#REF!</v>
      </c>
      <c r="R162" s="179" t="e">
        <f t="shared" si="89"/>
        <v>#REF!</v>
      </c>
      <c r="S162" s="179" t="e">
        <f t="shared" si="89"/>
        <v>#REF!</v>
      </c>
      <c r="T162" s="179" t="e">
        <f t="shared" si="89"/>
        <v>#REF!</v>
      </c>
      <c r="U162" s="179" t="e">
        <f t="shared" si="89"/>
        <v>#REF!</v>
      </c>
      <c r="V162" s="179" t="e">
        <f t="shared" si="89"/>
        <v>#REF!</v>
      </c>
      <c r="W162" s="179" t="e">
        <f t="shared" si="89"/>
        <v>#REF!</v>
      </c>
      <c r="X162" s="179" t="e">
        <f t="shared" si="89"/>
        <v>#REF!</v>
      </c>
      <c r="Y162" s="179" t="e">
        <f t="shared" si="89"/>
        <v>#REF!</v>
      </c>
      <c r="Z162" s="179" t="e">
        <f t="shared" si="89"/>
        <v>#REF!</v>
      </c>
      <c r="AA162" s="179" t="e">
        <f t="shared" si="89"/>
        <v>#REF!</v>
      </c>
      <c r="AB162" s="179" t="e">
        <f t="shared" si="89"/>
        <v>#REF!</v>
      </c>
      <c r="AC162" s="179" t="e">
        <f t="shared" si="89"/>
        <v>#REF!</v>
      </c>
      <c r="AD162" s="179" t="e">
        <f t="shared" si="89"/>
        <v>#REF!</v>
      </c>
      <c r="AE162" s="179" t="e">
        <f t="shared" si="89"/>
        <v>#REF!</v>
      </c>
      <c r="AF162" s="179" t="e">
        <f t="shared" si="89"/>
        <v>#REF!</v>
      </c>
      <c r="AG162" s="179" t="e">
        <f t="shared" si="89"/>
        <v>#REF!</v>
      </c>
    </row>
    <row r="163" spans="1:33">
      <c r="A163" s="173" t="s">
        <v>340</v>
      </c>
      <c r="B163" s="173" t="s">
        <v>309</v>
      </c>
      <c r="C163" s="179">
        <f t="shared" ref="C163:F163" si="90">IF($B$5="Yes",MIN(10000*$G$81,3000000),0)</f>
        <v>0</v>
      </c>
      <c r="D163" s="179">
        <f t="shared" si="90"/>
        <v>0</v>
      </c>
      <c r="E163" s="179">
        <f t="shared" si="90"/>
        <v>0</v>
      </c>
      <c r="F163" s="179">
        <f t="shared" si="90"/>
        <v>0</v>
      </c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</row>
    <row r="164" spans="1:33">
      <c r="A164" s="173" t="s">
        <v>424</v>
      </c>
      <c r="B164" s="173" t="s">
        <v>41</v>
      </c>
      <c r="C164" s="276" t="e">
        <f>$C$10/($G$82/$G$81)</f>
        <v>#REF!</v>
      </c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</row>
    <row r="165" spans="1:33">
      <c r="A165" s="173" t="s">
        <v>330</v>
      </c>
      <c r="B165" s="173" t="s">
        <v>309</v>
      </c>
      <c r="C165" s="179" t="e">
        <f t="shared" ref="C165:AG165" si="91">$G$82*C55</f>
        <v>#REF!</v>
      </c>
      <c r="D165" s="179" t="e">
        <f t="shared" si="91"/>
        <v>#REF!</v>
      </c>
      <c r="E165" s="179" t="e">
        <f t="shared" si="91"/>
        <v>#REF!</v>
      </c>
      <c r="F165" s="179" t="e">
        <f t="shared" si="91"/>
        <v>#REF!</v>
      </c>
      <c r="G165" s="179" t="e">
        <f t="shared" si="91"/>
        <v>#REF!</v>
      </c>
      <c r="H165" s="179" t="e">
        <f t="shared" si="91"/>
        <v>#REF!</v>
      </c>
      <c r="I165" s="179" t="e">
        <f t="shared" si="91"/>
        <v>#REF!</v>
      </c>
      <c r="J165" s="179" t="e">
        <f t="shared" si="91"/>
        <v>#REF!</v>
      </c>
      <c r="K165" s="179" t="e">
        <f t="shared" si="91"/>
        <v>#REF!</v>
      </c>
      <c r="L165" s="179" t="e">
        <f t="shared" si="91"/>
        <v>#REF!</v>
      </c>
      <c r="M165" s="179" t="e">
        <f t="shared" si="91"/>
        <v>#REF!</v>
      </c>
      <c r="N165" s="179" t="e">
        <f t="shared" si="91"/>
        <v>#REF!</v>
      </c>
      <c r="O165" s="179" t="e">
        <f t="shared" si="91"/>
        <v>#REF!</v>
      </c>
      <c r="P165" s="179" t="e">
        <f t="shared" si="91"/>
        <v>#REF!</v>
      </c>
      <c r="Q165" s="179" t="e">
        <f t="shared" si="91"/>
        <v>#REF!</v>
      </c>
      <c r="R165" s="179" t="e">
        <f t="shared" si="91"/>
        <v>#REF!</v>
      </c>
      <c r="S165" s="179" t="e">
        <f t="shared" si="91"/>
        <v>#REF!</v>
      </c>
      <c r="T165" s="179" t="e">
        <f t="shared" si="91"/>
        <v>#REF!</v>
      </c>
      <c r="U165" s="179" t="e">
        <f t="shared" si="91"/>
        <v>#REF!</v>
      </c>
      <c r="V165" s="179" t="e">
        <f t="shared" si="91"/>
        <v>#REF!</v>
      </c>
      <c r="W165" s="179" t="e">
        <f t="shared" si="91"/>
        <v>#REF!</v>
      </c>
      <c r="X165" s="179" t="e">
        <f t="shared" si="91"/>
        <v>#REF!</v>
      </c>
      <c r="Y165" s="179" t="e">
        <f t="shared" si="91"/>
        <v>#REF!</v>
      </c>
      <c r="Z165" s="179" t="e">
        <f t="shared" si="91"/>
        <v>#REF!</v>
      </c>
      <c r="AA165" s="179" t="e">
        <f t="shared" si="91"/>
        <v>#REF!</v>
      </c>
      <c r="AB165" s="179" t="e">
        <f t="shared" si="91"/>
        <v>#REF!</v>
      </c>
      <c r="AC165" s="179" t="e">
        <f t="shared" si="91"/>
        <v>#REF!</v>
      </c>
      <c r="AD165" s="179" t="e">
        <f t="shared" si="91"/>
        <v>#REF!</v>
      </c>
      <c r="AE165" s="179" t="e">
        <f t="shared" si="91"/>
        <v>#REF!</v>
      </c>
      <c r="AF165" s="179" t="e">
        <f t="shared" si="91"/>
        <v>#REF!</v>
      </c>
      <c r="AG165" s="179" t="e">
        <f t="shared" si="91"/>
        <v>#REF!</v>
      </c>
    </row>
    <row r="166" spans="1:33">
      <c r="A166" s="173" t="str">
        <f>A96</f>
        <v>Maintenance</v>
      </c>
      <c r="B166" s="173" t="s">
        <v>309</v>
      </c>
      <c r="C166" s="179" t="e">
        <f t="shared" ref="C166:AG166" si="92">$C$28*$C$27*C67</f>
        <v>#REF!</v>
      </c>
      <c r="D166" s="179" t="e">
        <f t="shared" si="92"/>
        <v>#REF!</v>
      </c>
      <c r="E166" s="179" t="e">
        <f t="shared" si="92"/>
        <v>#REF!</v>
      </c>
      <c r="F166" s="179" t="e">
        <f t="shared" si="92"/>
        <v>#REF!</v>
      </c>
      <c r="G166" s="179" t="e">
        <f t="shared" si="92"/>
        <v>#REF!</v>
      </c>
      <c r="H166" s="179" t="e">
        <f t="shared" si="92"/>
        <v>#REF!</v>
      </c>
      <c r="I166" s="179" t="e">
        <f t="shared" si="92"/>
        <v>#REF!</v>
      </c>
      <c r="J166" s="179" t="e">
        <f t="shared" si="92"/>
        <v>#REF!</v>
      </c>
      <c r="K166" s="179" t="e">
        <f t="shared" si="92"/>
        <v>#REF!</v>
      </c>
      <c r="L166" s="179" t="e">
        <f t="shared" si="92"/>
        <v>#REF!</v>
      </c>
      <c r="M166" s="179" t="e">
        <f t="shared" si="92"/>
        <v>#REF!</v>
      </c>
      <c r="N166" s="179" t="e">
        <f t="shared" si="92"/>
        <v>#REF!</v>
      </c>
      <c r="O166" s="179" t="e">
        <f t="shared" si="92"/>
        <v>#REF!</v>
      </c>
      <c r="P166" s="179" t="e">
        <f t="shared" si="92"/>
        <v>#REF!</v>
      </c>
      <c r="Q166" s="179" t="e">
        <f t="shared" si="92"/>
        <v>#REF!</v>
      </c>
      <c r="R166" s="179" t="e">
        <f t="shared" si="92"/>
        <v>#REF!</v>
      </c>
      <c r="S166" s="179" t="e">
        <f t="shared" si="92"/>
        <v>#REF!</v>
      </c>
      <c r="T166" s="179" t="e">
        <f t="shared" si="92"/>
        <v>#REF!</v>
      </c>
      <c r="U166" s="179" t="e">
        <f t="shared" si="92"/>
        <v>#REF!</v>
      </c>
      <c r="V166" s="179" t="e">
        <f t="shared" si="92"/>
        <v>#REF!</v>
      </c>
      <c r="W166" s="179" t="e">
        <f t="shared" si="92"/>
        <v>#REF!</v>
      </c>
      <c r="X166" s="179" t="e">
        <f t="shared" si="92"/>
        <v>#REF!</v>
      </c>
      <c r="Y166" s="179" t="e">
        <f t="shared" si="92"/>
        <v>#REF!</v>
      </c>
      <c r="Z166" s="179" t="e">
        <f t="shared" si="92"/>
        <v>#REF!</v>
      </c>
      <c r="AA166" s="179" t="e">
        <f t="shared" si="92"/>
        <v>#REF!</v>
      </c>
      <c r="AB166" s="179" t="e">
        <f t="shared" si="92"/>
        <v>#REF!</v>
      </c>
      <c r="AC166" s="179" t="e">
        <f t="shared" si="92"/>
        <v>#REF!</v>
      </c>
      <c r="AD166" s="179" t="e">
        <f t="shared" si="92"/>
        <v>#REF!</v>
      </c>
      <c r="AE166" s="179" t="e">
        <f t="shared" si="92"/>
        <v>#REF!</v>
      </c>
      <c r="AF166" s="179" t="e">
        <f t="shared" si="92"/>
        <v>#REF!</v>
      </c>
      <c r="AG166" s="179" t="e">
        <f t="shared" si="92"/>
        <v>#REF!</v>
      </c>
    </row>
    <row r="167" spans="1:33">
      <c r="A167" s="173" t="s">
        <v>339</v>
      </c>
      <c r="B167" s="173" t="str">
        <f>B166</f>
        <v>INR</v>
      </c>
      <c r="C167" s="179" t="e">
        <f t="shared" ref="C167:AG167" si="93">$C$16*$C$27*$C$28</f>
        <v>#REF!</v>
      </c>
      <c r="D167" s="179" t="e">
        <f t="shared" si="93"/>
        <v>#REF!</v>
      </c>
      <c r="E167" s="179" t="e">
        <f t="shared" si="93"/>
        <v>#REF!</v>
      </c>
      <c r="F167" s="179" t="e">
        <f t="shared" si="93"/>
        <v>#REF!</v>
      </c>
      <c r="G167" s="179" t="e">
        <f t="shared" si="93"/>
        <v>#REF!</v>
      </c>
      <c r="H167" s="179" t="e">
        <f t="shared" si="93"/>
        <v>#REF!</v>
      </c>
      <c r="I167" s="179" t="e">
        <f t="shared" si="93"/>
        <v>#REF!</v>
      </c>
      <c r="J167" s="179" t="e">
        <f t="shared" si="93"/>
        <v>#REF!</v>
      </c>
      <c r="K167" s="179" t="e">
        <f t="shared" si="93"/>
        <v>#REF!</v>
      </c>
      <c r="L167" s="179" t="e">
        <f t="shared" si="93"/>
        <v>#REF!</v>
      </c>
      <c r="M167" s="179" t="e">
        <f t="shared" si="93"/>
        <v>#REF!</v>
      </c>
      <c r="N167" s="179" t="e">
        <f t="shared" si="93"/>
        <v>#REF!</v>
      </c>
      <c r="O167" s="179" t="e">
        <f t="shared" si="93"/>
        <v>#REF!</v>
      </c>
      <c r="P167" s="179" t="e">
        <f t="shared" si="93"/>
        <v>#REF!</v>
      </c>
      <c r="Q167" s="179" t="e">
        <f t="shared" si="93"/>
        <v>#REF!</v>
      </c>
      <c r="R167" s="179" t="e">
        <f t="shared" si="93"/>
        <v>#REF!</v>
      </c>
      <c r="S167" s="179" t="e">
        <f t="shared" si="93"/>
        <v>#REF!</v>
      </c>
      <c r="T167" s="179" t="e">
        <f t="shared" si="93"/>
        <v>#REF!</v>
      </c>
      <c r="U167" s="179" t="e">
        <f t="shared" si="93"/>
        <v>#REF!</v>
      </c>
      <c r="V167" s="179" t="e">
        <f t="shared" si="93"/>
        <v>#REF!</v>
      </c>
      <c r="W167" s="179" t="e">
        <f t="shared" si="93"/>
        <v>#REF!</v>
      </c>
      <c r="X167" s="179" t="e">
        <f t="shared" si="93"/>
        <v>#REF!</v>
      </c>
      <c r="Y167" s="179" t="e">
        <f t="shared" si="93"/>
        <v>#REF!</v>
      </c>
      <c r="Z167" s="179" t="e">
        <f t="shared" si="93"/>
        <v>#REF!</v>
      </c>
      <c r="AA167" s="179" t="e">
        <f t="shared" si="93"/>
        <v>#REF!</v>
      </c>
      <c r="AB167" s="179" t="e">
        <f t="shared" si="93"/>
        <v>#REF!</v>
      </c>
      <c r="AC167" s="179" t="e">
        <f t="shared" si="93"/>
        <v>#REF!</v>
      </c>
      <c r="AD167" s="179" t="e">
        <f t="shared" si="93"/>
        <v>#REF!</v>
      </c>
      <c r="AE167" s="179" t="e">
        <f t="shared" si="93"/>
        <v>#REF!</v>
      </c>
      <c r="AF167" s="179" t="e">
        <f t="shared" si="93"/>
        <v>#REF!</v>
      </c>
      <c r="AG167" s="179" t="e">
        <f t="shared" si="93"/>
        <v>#REF!</v>
      </c>
    </row>
    <row r="168" spans="1:33">
      <c r="A168" s="173" t="s">
        <v>425</v>
      </c>
      <c r="B168" s="173" t="s">
        <v>309</v>
      </c>
      <c r="C168" s="179">
        <v>0</v>
      </c>
      <c r="D168" s="179">
        <v>0</v>
      </c>
      <c r="E168" s="179">
        <v>0</v>
      </c>
      <c r="F168" s="179">
        <v>0</v>
      </c>
      <c r="G168" s="179">
        <v>367500</v>
      </c>
      <c r="H168" s="179">
        <v>367500</v>
      </c>
      <c r="I168" s="179">
        <v>367500</v>
      </c>
      <c r="J168" s="179">
        <v>367500</v>
      </c>
      <c r="K168" s="179">
        <v>367500</v>
      </c>
      <c r="L168" s="179">
        <v>735000</v>
      </c>
      <c r="M168" s="179">
        <v>735000</v>
      </c>
      <c r="N168" s="179">
        <v>735000</v>
      </c>
      <c r="O168" s="179">
        <v>735000</v>
      </c>
      <c r="P168" s="179">
        <v>735000</v>
      </c>
      <c r="Q168" s="179">
        <v>735000</v>
      </c>
      <c r="R168" s="179">
        <v>735000</v>
      </c>
      <c r="S168" s="179">
        <v>735000</v>
      </c>
      <c r="T168" s="179">
        <v>735000</v>
      </c>
      <c r="U168" s="179">
        <v>735000</v>
      </c>
      <c r="V168" s="179">
        <v>735000</v>
      </c>
      <c r="W168" s="179">
        <v>735000</v>
      </c>
      <c r="X168" s="179">
        <v>735000</v>
      </c>
      <c r="Y168" s="179">
        <v>735000</v>
      </c>
      <c r="Z168" s="179">
        <v>735000</v>
      </c>
      <c r="AA168" s="179">
        <v>735000</v>
      </c>
      <c r="AB168" s="179">
        <v>735000</v>
      </c>
      <c r="AC168" s="179">
        <v>735000</v>
      </c>
      <c r="AD168" s="179">
        <v>735000</v>
      </c>
      <c r="AE168" s="179">
        <v>735000</v>
      </c>
      <c r="AF168" s="179">
        <v>735000</v>
      </c>
      <c r="AG168" s="179">
        <v>735000</v>
      </c>
    </row>
    <row r="169" spans="1:33">
      <c r="A169" s="173" t="s">
        <v>319</v>
      </c>
      <c r="B169" s="173" t="s">
        <v>309</v>
      </c>
      <c r="C169" s="277" t="e">
        <f>((C162)*$C$34)</f>
        <v>#REF!</v>
      </c>
      <c r="D169" s="277" t="e">
        <f t="shared" ref="D169:AG169" si="94">((D162)*$C$34)</f>
        <v>#REF!</v>
      </c>
      <c r="E169" s="277" t="e">
        <f t="shared" si="94"/>
        <v>#REF!</v>
      </c>
      <c r="F169" s="277" t="e">
        <f t="shared" si="94"/>
        <v>#REF!</v>
      </c>
      <c r="G169" s="277" t="e">
        <f t="shared" si="94"/>
        <v>#REF!</v>
      </c>
      <c r="H169" s="277" t="e">
        <f t="shared" si="94"/>
        <v>#REF!</v>
      </c>
      <c r="I169" s="277" t="e">
        <f t="shared" si="94"/>
        <v>#REF!</v>
      </c>
      <c r="J169" s="277" t="e">
        <f t="shared" si="94"/>
        <v>#REF!</v>
      </c>
      <c r="K169" s="277" t="e">
        <f t="shared" si="94"/>
        <v>#REF!</v>
      </c>
      <c r="L169" s="277" t="e">
        <f t="shared" si="94"/>
        <v>#REF!</v>
      </c>
      <c r="M169" s="277" t="e">
        <f t="shared" si="94"/>
        <v>#REF!</v>
      </c>
      <c r="N169" s="277" t="e">
        <f t="shared" si="94"/>
        <v>#REF!</v>
      </c>
      <c r="O169" s="277" t="e">
        <f t="shared" si="94"/>
        <v>#REF!</v>
      </c>
      <c r="P169" s="277" t="e">
        <f t="shared" si="94"/>
        <v>#REF!</v>
      </c>
      <c r="Q169" s="277" t="e">
        <f t="shared" si="94"/>
        <v>#REF!</v>
      </c>
      <c r="R169" s="277" t="e">
        <f t="shared" si="94"/>
        <v>#REF!</v>
      </c>
      <c r="S169" s="277" t="e">
        <f t="shared" si="94"/>
        <v>#REF!</v>
      </c>
      <c r="T169" s="277" t="e">
        <f t="shared" si="94"/>
        <v>#REF!</v>
      </c>
      <c r="U169" s="277" t="e">
        <f t="shared" si="94"/>
        <v>#REF!</v>
      </c>
      <c r="V169" s="277" t="e">
        <f t="shared" si="94"/>
        <v>#REF!</v>
      </c>
      <c r="W169" s="277" t="e">
        <f t="shared" si="94"/>
        <v>#REF!</v>
      </c>
      <c r="X169" s="277" t="e">
        <f t="shared" si="94"/>
        <v>#REF!</v>
      </c>
      <c r="Y169" s="277" t="e">
        <f t="shared" si="94"/>
        <v>#REF!</v>
      </c>
      <c r="Z169" s="277" t="e">
        <f t="shared" si="94"/>
        <v>#REF!</v>
      </c>
      <c r="AA169" s="277" t="e">
        <f t="shared" si="94"/>
        <v>#REF!</v>
      </c>
      <c r="AB169" s="277" t="e">
        <f t="shared" si="94"/>
        <v>#REF!</v>
      </c>
      <c r="AC169" s="277" t="e">
        <f t="shared" si="94"/>
        <v>#REF!</v>
      </c>
      <c r="AD169" s="277" t="e">
        <f t="shared" si="94"/>
        <v>#REF!</v>
      </c>
      <c r="AE169" s="277" t="e">
        <f t="shared" si="94"/>
        <v>#REF!</v>
      </c>
      <c r="AF169" s="277" t="e">
        <f t="shared" si="94"/>
        <v>#REF!</v>
      </c>
      <c r="AG169" s="277" t="e">
        <f t="shared" si="94"/>
        <v>#REF!</v>
      </c>
    </row>
    <row r="170" spans="1:33" s="247" customFormat="1" ht="11.85" customHeight="1">
      <c r="A170" s="270" t="s">
        <v>414</v>
      </c>
      <c r="C170" s="273"/>
      <c r="D170" s="273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  <c r="AC170" s="273"/>
      <c r="AD170" s="273"/>
      <c r="AE170" s="273"/>
      <c r="AF170" s="273"/>
      <c r="AG170" s="273"/>
    </row>
    <row r="171" spans="1:33">
      <c r="A171" s="173" t="s">
        <v>325</v>
      </c>
      <c r="B171" s="173" t="s">
        <v>313</v>
      </c>
      <c r="C171" s="179" t="e">
        <f t="shared" ref="C171:AG171" si="95">-PMT($C$33,$C$31,C160-C163)</f>
        <v>#REF!</v>
      </c>
      <c r="D171" s="179" t="e">
        <f t="shared" si="95"/>
        <v>#REF!</v>
      </c>
      <c r="E171" s="179" t="e">
        <f t="shared" si="95"/>
        <v>#REF!</v>
      </c>
      <c r="F171" s="179" t="e">
        <f t="shared" si="95"/>
        <v>#REF!</v>
      </c>
      <c r="G171" s="179" t="e">
        <f t="shared" si="95"/>
        <v>#REF!</v>
      </c>
      <c r="H171" s="179" t="e">
        <f t="shared" si="95"/>
        <v>#REF!</v>
      </c>
      <c r="I171" s="179" t="e">
        <f t="shared" si="95"/>
        <v>#REF!</v>
      </c>
      <c r="J171" s="179" t="e">
        <f t="shared" si="95"/>
        <v>#REF!</v>
      </c>
      <c r="K171" s="179" t="e">
        <f t="shared" si="95"/>
        <v>#REF!</v>
      </c>
      <c r="L171" s="179" t="e">
        <f t="shared" si="95"/>
        <v>#REF!</v>
      </c>
      <c r="M171" s="179" t="e">
        <f t="shared" si="95"/>
        <v>#REF!</v>
      </c>
      <c r="N171" s="179" t="e">
        <f t="shared" si="95"/>
        <v>#REF!</v>
      </c>
      <c r="O171" s="179" t="e">
        <f t="shared" si="95"/>
        <v>#REF!</v>
      </c>
      <c r="P171" s="179" t="e">
        <f t="shared" si="95"/>
        <v>#REF!</v>
      </c>
      <c r="Q171" s="179" t="e">
        <f t="shared" si="95"/>
        <v>#REF!</v>
      </c>
      <c r="R171" s="179" t="e">
        <f t="shared" si="95"/>
        <v>#REF!</v>
      </c>
      <c r="S171" s="179" t="e">
        <f t="shared" si="95"/>
        <v>#REF!</v>
      </c>
      <c r="T171" s="179" t="e">
        <f t="shared" si="95"/>
        <v>#REF!</v>
      </c>
      <c r="U171" s="179" t="e">
        <f t="shared" si="95"/>
        <v>#REF!</v>
      </c>
      <c r="V171" s="179" t="e">
        <f t="shared" si="95"/>
        <v>#REF!</v>
      </c>
      <c r="W171" s="179" t="e">
        <f t="shared" si="95"/>
        <v>#REF!</v>
      </c>
      <c r="X171" s="179" t="e">
        <f t="shared" si="95"/>
        <v>#REF!</v>
      </c>
      <c r="Y171" s="179" t="e">
        <f t="shared" si="95"/>
        <v>#REF!</v>
      </c>
      <c r="Z171" s="179" t="e">
        <f t="shared" si="95"/>
        <v>#REF!</v>
      </c>
      <c r="AA171" s="179" t="e">
        <f t="shared" si="95"/>
        <v>#REF!</v>
      </c>
      <c r="AB171" s="179" t="e">
        <f t="shared" si="95"/>
        <v>#REF!</v>
      </c>
      <c r="AC171" s="179" t="e">
        <f t="shared" si="95"/>
        <v>#REF!</v>
      </c>
      <c r="AD171" s="179" t="e">
        <f t="shared" si="95"/>
        <v>#REF!</v>
      </c>
      <c r="AE171" s="179" t="e">
        <f t="shared" si="95"/>
        <v>#REF!</v>
      </c>
      <c r="AF171" s="179" t="e">
        <f t="shared" si="95"/>
        <v>#REF!</v>
      </c>
      <c r="AG171" s="179" t="e">
        <f t="shared" si="95"/>
        <v>#REF!</v>
      </c>
    </row>
    <row r="172" spans="1:33">
      <c r="A172" s="173" t="s">
        <v>426</v>
      </c>
      <c r="B172" s="173" t="s">
        <v>313</v>
      </c>
      <c r="C172" s="179" t="e">
        <f t="shared" ref="C172:AG172" si="96">-PMT($C$33,$C$164,C157)</f>
        <v>#REF!</v>
      </c>
      <c r="D172" s="179" t="e">
        <f t="shared" si="96"/>
        <v>#REF!</v>
      </c>
      <c r="E172" s="179" t="e">
        <f t="shared" si="96"/>
        <v>#REF!</v>
      </c>
      <c r="F172" s="179" t="e">
        <f t="shared" si="96"/>
        <v>#REF!</v>
      </c>
      <c r="G172" s="179" t="e">
        <f t="shared" si="96"/>
        <v>#REF!</v>
      </c>
      <c r="H172" s="179" t="e">
        <f t="shared" si="96"/>
        <v>#REF!</v>
      </c>
      <c r="I172" s="179" t="e">
        <f t="shared" si="96"/>
        <v>#REF!</v>
      </c>
      <c r="J172" s="179" t="e">
        <f t="shared" si="96"/>
        <v>#REF!</v>
      </c>
      <c r="K172" s="179" t="e">
        <f t="shared" si="96"/>
        <v>#REF!</v>
      </c>
      <c r="L172" s="179" t="e">
        <f t="shared" si="96"/>
        <v>#REF!</v>
      </c>
      <c r="M172" s="179" t="e">
        <f t="shared" si="96"/>
        <v>#REF!</v>
      </c>
      <c r="N172" s="179" t="e">
        <f t="shared" si="96"/>
        <v>#REF!</v>
      </c>
      <c r="O172" s="179" t="e">
        <f t="shared" si="96"/>
        <v>#REF!</v>
      </c>
      <c r="P172" s="179" t="e">
        <f t="shared" si="96"/>
        <v>#REF!</v>
      </c>
      <c r="Q172" s="179" t="e">
        <f t="shared" si="96"/>
        <v>#REF!</v>
      </c>
      <c r="R172" s="179" t="e">
        <f t="shared" si="96"/>
        <v>#REF!</v>
      </c>
      <c r="S172" s="179" t="e">
        <f t="shared" si="96"/>
        <v>#REF!</v>
      </c>
      <c r="T172" s="179" t="e">
        <f t="shared" si="96"/>
        <v>#REF!</v>
      </c>
      <c r="U172" s="179" t="e">
        <f t="shared" si="96"/>
        <v>#REF!</v>
      </c>
      <c r="V172" s="179" t="e">
        <f t="shared" si="96"/>
        <v>#REF!</v>
      </c>
      <c r="W172" s="179" t="e">
        <f t="shared" si="96"/>
        <v>#REF!</v>
      </c>
      <c r="X172" s="179" t="e">
        <f t="shared" si="96"/>
        <v>#REF!</v>
      </c>
      <c r="Y172" s="179" t="e">
        <f t="shared" si="96"/>
        <v>#REF!</v>
      </c>
      <c r="Z172" s="179" t="e">
        <f t="shared" si="96"/>
        <v>#REF!</v>
      </c>
      <c r="AA172" s="179" t="e">
        <f t="shared" si="96"/>
        <v>#REF!</v>
      </c>
      <c r="AB172" s="179" t="e">
        <f t="shared" si="96"/>
        <v>#REF!</v>
      </c>
      <c r="AC172" s="179" t="e">
        <f t="shared" si="96"/>
        <v>#REF!</v>
      </c>
      <c r="AD172" s="179" t="e">
        <f t="shared" si="96"/>
        <v>#REF!</v>
      </c>
      <c r="AE172" s="179" t="e">
        <f t="shared" si="96"/>
        <v>#REF!</v>
      </c>
      <c r="AF172" s="179" t="e">
        <f t="shared" si="96"/>
        <v>#REF!</v>
      </c>
      <c r="AG172" s="179" t="e">
        <f t="shared" si="96"/>
        <v>#REF!</v>
      </c>
    </row>
    <row r="173" spans="1:33">
      <c r="A173" s="173" t="s">
        <v>330</v>
      </c>
      <c r="B173" s="173" t="s">
        <v>313</v>
      </c>
      <c r="C173" s="179" t="e">
        <f t="shared" ref="C173:AG174" si="97">C165</f>
        <v>#REF!</v>
      </c>
      <c r="D173" s="179" t="e">
        <f t="shared" si="97"/>
        <v>#REF!</v>
      </c>
      <c r="E173" s="179" t="e">
        <f t="shared" si="97"/>
        <v>#REF!</v>
      </c>
      <c r="F173" s="179" t="e">
        <f t="shared" si="97"/>
        <v>#REF!</v>
      </c>
      <c r="G173" s="179" t="e">
        <f t="shared" si="97"/>
        <v>#REF!</v>
      </c>
      <c r="H173" s="179" t="e">
        <f t="shared" si="97"/>
        <v>#REF!</v>
      </c>
      <c r="I173" s="179" t="e">
        <f t="shared" si="97"/>
        <v>#REF!</v>
      </c>
      <c r="J173" s="179" t="e">
        <f t="shared" si="97"/>
        <v>#REF!</v>
      </c>
      <c r="K173" s="179" t="e">
        <f t="shared" si="97"/>
        <v>#REF!</v>
      </c>
      <c r="L173" s="179" t="e">
        <f t="shared" si="97"/>
        <v>#REF!</v>
      </c>
      <c r="M173" s="179" t="e">
        <f t="shared" si="97"/>
        <v>#REF!</v>
      </c>
      <c r="N173" s="179" t="e">
        <f t="shared" si="97"/>
        <v>#REF!</v>
      </c>
      <c r="O173" s="179" t="e">
        <f t="shared" si="97"/>
        <v>#REF!</v>
      </c>
      <c r="P173" s="179" t="e">
        <f t="shared" si="97"/>
        <v>#REF!</v>
      </c>
      <c r="Q173" s="179" t="e">
        <f t="shared" si="97"/>
        <v>#REF!</v>
      </c>
      <c r="R173" s="179" t="e">
        <f t="shared" si="97"/>
        <v>#REF!</v>
      </c>
      <c r="S173" s="179" t="e">
        <f t="shared" si="97"/>
        <v>#REF!</v>
      </c>
      <c r="T173" s="179" t="e">
        <f t="shared" si="97"/>
        <v>#REF!</v>
      </c>
      <c r="U173" s="179" t="e">
        <f t="shared" si="97"/>
        <v>#REF!</v>
      </c>
      <c r="V173" s="179" t="e">
        <f t="shared" si="97"/>
        <v>#REF!</v>
      </c>
      <c r="W173" s="179" t="e">
        <f t="shared" si="97"/>
        <v>#REF!</v>
      </c>
      <c r="X173" s="179" t="e">
        <f t="shared" si="97"/>
        <v>#REF!</v>
      </c>
      <c r="Y173" s="179" t="e">
        <f t="shared" si="97"/>
        <v>#REF!</v>
      </c>
      <c r="Z173" s="179" t="e">
        <f t="shared" si="97"/>
        <v>#REF!</v>
      </c>
      <c r="AA173" s="179" t="e">
        <f t="shared" si="97"/>
        <v>#REF!</v>
      </c>
      <c r="AB173" s="179" t="e">
        <f t="shared" si="97"/>
        <v>#REF!</v>
      </c>
      <c r="AC173" s="179" t="e">
        <f t="shared" si="97"/>
        <v>#REF!</v>
      </c>
      <c r="AD173" s="179" t="e">
        <f t="shared" si="97"/>
        <v>#REF!</v>
      </c>
      <c r="AE173" s="179" t="e">
        <f t="shared" si="97"/>
        <v>#REF!</v>
      </c>
      <c r="AF173" s="179" t="e">
        <f t="shared" si="97"/>
        <v>#REF!</v>
      </c>
      <c r="AG173" s="179" t="e">
        <f t="shared" si="97"/>
        <v>#REF!</v>
      </c>
    </row>
    <row r="174" spans="1:33">
      <c r="A174" s="173" t="str">
        <f>A166</f>
        <v>Maintenance</v>
      </c>
      <c r="B174" s="173" t="s">
        <v>309</v>
      </c>
      <c r="C174" s="179" t="e">
        <f t="shared" si="97"/>
        <v>#REF!</v>
      </c>
      <c r="D174" s="179" t="e">
        <f t="shared" si="97"/>
        <v>#REF!</v>
      </c>
      <c r="E174" s="179" t="e">
        <f t="shared" si="97"/>
        <v>#REF!</v>
      </c>
      <c r="F174" s="179" t="e">
        <f t="shared" si="97"/>
        <v>#REF!</v>
      </c>
      <c r="G174" s="179" t="e">
        <f t="shared" si="97"/>
        <v>#REF!</v>
      </c>
      <c r="H174" s="179" t="e">
        <f t="shared" si="97"/>
        <v>#REF!</v>
      </c>
      <c r="I174" s="179" t="e">
        <f t="shared" si="97"/>
        <v>#REF!</v>
      </c>
      <c r="J174" s="179" t="e">
        <f t="shared" si="97"/>
        <v>#REF!</v>
      </c>
      <c r="K174" s="179" t="e">
        <f t="shared" si="97"/>
        <v>#REF!</v>
      </c>
      <c r="L174" s="179" t="e">
        <f t="shared" si="97"/>
        <v>#REF!</v>
      </c>
      <c r="M174" s="179" t="e">
        <f t="shared" si="97"/>
        <v>#REF!</v>
      </c>
      <c r="N174" s="179" t="e">
        <f t="shared" si="97"/>
        <v>#REF!</v>
      </c>
      <c r="O174" s="179" t="e">
        <f t="shared" si="97"/>
        <v>#REF!</v>
      </c>
      <c r="P174" s="179" t="e">
        <f t="shared" si="97"/>
        <v>#REF!</v>
      </c>
      <c r="Q174" s="179" t="e">
        <f t="shared" si="97"/>
        <v>#REF!</v>
      </c>
      <c r="R174" s="179" t="e">
        <f t="shared" si="97"/>
        <v>#REF!</v>
      </c>
      <c r="S174" s="179" t="e">
        <f t="shared" si="97"/>
        <v>#REF!</v>
      </c>
      <c r="T174" s="179" t="e">
        <f t="shared" si="97"/>
        <v>#REF!</v>
      </c>
      <c r="U174" s="179" t="e">
        <f t="shared" si="97"/>
        <v>#REF!</v>
      </c>
      <c r="V174" s="179" t="e">
        <f t="shared" si="97"/>
        <v>#REF!</v>
      </c>
      <c r="W174" s="179" t="e">
        <f t="shared" si="97"/>
        <v>#REF!</v>
      </c>
      <c r="X174" s="179" t="e">
        <f t="shared" si="97"/>
        <v>#REF!</v>
      </c>
      <c r="Y174" s="179" t="e">
        <f t="shared" si="97"/>
        <v>#REF!</v>
      </c>
      <c r="Z174" s="179" t="e">
        <f t="shared" si="97"/>
        <v>#REF!</v>
      </c>
      <c r="AA174" s="179" t="e">
        <f t="shared" si="97"/>
        <v>#REF!</v>
      </c>
      <c r="AB174" s="179" t="e">
        <f t="shared" si="97"/>
        <v>#REF!</v>
      </c>
      <c r="AC174" s="179" t="e">
        <f t="shared" si="97"/>
        <v>#REF!</v>
      </c>
      <c r="AD174" s="179" t="e">
        <f t="shared" si="97"/>
        <v>#REF!</v>
      </c>
      <c r="AE174" s="179" t="e">
        <f t="shared" si="97"/>
        <v>#REF!</v>
      </c>
      <c r="AF174" s="179" t="e">
        <f t="shared" si="97"/>
        <v>#REF!</v>
      </c>
      <c r="AG174" s="179" t="e">
        <f t="shared" si="97"/>
        <v>#REF!</v>
      </c>
    </row>
    <row r="175" spans="1:33">
      <c r="A175" s="173" t="str">
        <f>A167</f>
        <v>Toll Tax without waiver</v>
      </c>
      <c r="B175" s="173" t="str">
        <f>B167</f>
        <v>INR</v>
      </c>
      <c r="C175" s="179" t="e">
        <f t="shared" ref="C175:AG175" si="98">$C$16*$C$27*$C$28</f>
        <v>#REF!</v>
      </c>
      <c r="D175" s="179" t="e">
        <f t="shared" si="98"/>
        <v>#REF!</v>
      </c>
      <c r="E175" s="179" t="e">
        <f t="shared" si="98"/>
        <v>#REF!</v>
      </c>
      <c r="F175" s="179" t="e">
        <f t="shared" si="98"/>
        <v>#REF!</v>
      </c>
      <c r="G175" s="179" t="e">
        <f t="shared" si="98"/>
        <v>#REF!</v>
      </c>
      <c r="H175" s="179" t="e">
        <f t="shared" si="98"/>
        <v>#REF!</v>
      </c>
      <c r="I175" s="179" t="e">
        <f t="shared" si="98"/>
        <v>#REF!</v>
      </c>
      <c r="J175" s="179" t="e">
        <f t="shared" si="98"/>
        <v>#REF!</v>
      </c>
      <c r="K175" s="179" t="e">
        <f t="shared" si="98"/>
        <v>#REF!</v>
      </c>
      <c r="L175" s="179" t="e">
        <f t="shared" si="98"/>
        <v>#REF!</v>
      </c>
      <c r="M175" s="179" t="e">
        <f t="shared" si="98"/>
        <v>#REF!</v>
      </c>
      <c r="N175" s="179" t="e">
        <f t="shared" si="98"/>
        <v>#REF!</v>
      </c>
      <c r="O175" s="179" t="e">
        <f t="shared" si="98"/>
        <v>#REF!</v>
      </c>
      <c r="P175" s="179" t="e">
        <f t="shared" si="98"/>
        <v>#REF!</v>
      </c>
      <c r="Q175" s="179" t="e">
        <f t="shared" si="98"/>
        <v>#REF!</v>
      </c>
      <c r="R175" s="179" t="e">
        <f t="shared" si="98"/>
        <v>#REF!</v>
      </c>
      <c r="S175" s="179" t="e">
        <f t="shared" si="98"/>
        <v>#REF!</v>
      </c>
      <c r="T175" s="179" t="e">
        <f t="shared" si="98"/>
        <v>#REF!</v>
      </c>
      <c r="U175" s="179" t="e">
        <f t="shared" si="98"/>
        <v>#REF!</v>
      </c>
      <c r="V175" s="179" t="e">
        <f t="shared" si="98"/>
        <v>#REF!</v>
      </c>
      <c r="W175" s="179" t="e">
        <f t="shared" si="98"/>
        <v>#REF!</v>
      </c>
      <c r="X175" s="179" t="e">
        <f t="shared" si="98"/>
        <v>#REF!</v>
      </c>
      <c r="Y175" s="179" t="e">
        <f t="shared" si="98"/>
        <v>#REF!</v>
      </c>
      <c r="Z175" s="179" t="e">
        <f t="shared" si="98"/>
        <v>#REF!</v>
      </c>
      <c r="AA175" s="179" t="e">
        <f t="shared" si="98"/>
        <v>#REF!</v>
      </c>
      <c r="AB175" s="179" t="e">
        <f t="shared" si="98"/>
        <v>#REF!</v>
      </c>
      <c r="AC175" s="179" t="e">
        <f t="shared" si="98"/>
        <v>#REF!</v>
      </c>
      <c r="AD175" s="179" t="e">
        <f t="shared" si="98"/>
        <v>#REF!</v>
      </c>
      <c r="AE175" s="179" t="e">
        <f t="shared" si="98"/>
        <v>#REF!</v>
      </c>
      <c r="AF175" s="179" t="e">
        <f t="shared" si="98"/>
        <v>#REF!</v>
      </c>
      <c r="AG175" s="179" t="e">
        <f t="shared" si="98"/>
        <v>#REF!</v>
      </c>
    </row>
    <row r="176" spans="1:33">
      <c r="A176" s="173" t="s">
        <v>319</v>
      </c>
      <c r="B176" s="173" t="s">
        <v>309</v>
      </c>
      <c r="C176" s="179" t="e">
        <f t="shared" ref="C176:AG176" si="99">C169</f>
        <v>#REF!</v>
      </c>
      <c r="D176" s="179" t="e">
        <f t="shared" si="99"/>
        <v>#REF!</v>
      </c>
      <c r="E176" s="179" t="e">
        <f t="shared" si="99"/>
        <v>#REF!</v>
      </c>
      <c r="F176" s="179" t="e">
        <f t="shared" si="99"/>
        <v>#REF!</v>
      </c>
      <c r="G176" s="179" t="e">
        <f t="shared" si="99"/>
        <v>#REF!</v>
      </c>
      <c r="H176" s="179" t="e">
        <f t="shared" si="99"/>
        <v>#REF!</v>
      </c>
      <c r="I176" s="179" t="e">
        <f t="shared" si="99"/>
        <v>#REF!</v>
      </c>
      <c r="J176" s="179" t="e">
        <f t="shared" si="99"/>
        <v>#REF!</v>
      </c>
      <c r="K176" s="179" t="e">
        <f t="shared" si="99"/>
        <v>#REF!</v>
      </c>
      <c r="L176" s="179" t="e">
        <f t="shared" si="99"/>
        <v>#REF!</v>
      </c>
      <c r="M176" s="179" t="e">
        <f t="shared" si="99"/>
        <v>#REF!</v>
      </c>
      <c r="N176" s="179" t="e">
        <f t="shared" si="99"/>
        <v>#REF!</v>
      </c>
      <c r="O176" s="179" t="e">
        <f t="shared" si="99"/>
        <v>#REF!</v>
      </c>
      <c r="P176" s="179" t="e">
        <f t="shared" si="99"/>
        <v>#REF!</v>
      </c>
      <c r="Q176" s="179" t="e">
        <f t="shared" si="99"/>
        <v>#REF!</v>
      </c>
      <c r="R176" s="179" t="e">
        <f t="shared" si="99"/>
        <v>#REF!</v>
      </c>
      <c r="S176" s="179" t="e">
        <f t="shared" si="99"/>
        <v>#REF!</v>
      </c>
      <c r="T176" s="179" t="e">
        <f t="shared" si="99"/>
        <v>#REF!</v>
      </c>
      <c r="U176" s="179" t="e">
        <f t="shared" si="99"/>
        <v>#REF!</v>
      </c>
      <c r="V176" s="179" t="e">
        <f t="shared" si="99"/>
        <v>#REF!</v>
      </c>
      <c r="W176" s="179" t="e">
        <f t="shared" si="99"/>
        <v>#REF!</v>
      </c>
      <c r="X176" s="179" t="e">
        <f t="shared" si="99"/>
        <v>#REF!</v>
      </c>
      <c r="Y176" s="179" t="e">
        <f t="shared" si="99"/>
        <v>#REF!</v>
      </c>
      <c r="Z176" s="179" t="e">
        <f t="shared" si="99"/>
        <v>#REF!</v>
      </c>
      <c r="AA176" s="179" t="e">
        <f t="shared" si="99"/>
        <v>#REF!</v>
      </c>
      <c r="AB176" s="179" t="e">
        <f t="shared" si="99"/>
        <v>#REF!</v>
      </c>
      <c r="AC176" s="179" t="e">
        <f t="shared" si="99"/>
        <v>#REF!</v>
      </c>
      <c r="AD176" s="179" t="e">
        <f t="shared" si="99"/>
        <v>#REF!</v>
      </c>
      <c r="AE176" s="179" t="e">
        <f t="shared" si="99"/>
        <v>#REF!</v>
      </c>
      <c r="AF176" s="179" t="e">
        <f t="shared" si="99"/>
        <v>#REF!</v>
      </c>
      <c r="AG176" s="179" t="e">
        <f t="shared" si="99"/>
        <v>#REF!</v>
      </c>
    </row>
    <row r="177" spans="1:33" s="247" customFormat="1" ht="11.85" customHeight="1">
      <c r="A177" s="270" t="s">
        <v>320</v>
      </c>
      <c r="C177" s="273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  <c r="AC177" s="273"/>
      <c r="AD177" s="273"/>
      <c r="AE177" s="273"/>
      <c r="AF177" s="273"/>
      <c r="AG177" s="273"/>
    </row>
    <row r="178" spans="1:33">
      <c r="A178" s="173" t="s">
        <v>427</v>
      </c>
      <c r="B178" s="173" t="s">
        <v>300</v>
      </c>
      <c r="C178" s="179" t="e">
        <f t="shared" ref="C178:AG178" si="100">(C171+C172)/($C$28*$C$27)</f>
        <v>#REF!</v>
      </c>
      <c r="D178" s="179" t="e">
        <f t="shared" si="100"/>
        <v>#REF!</v>
      </c>
      <c r="E178" s="179" t="e">
        <f t="shared" si="100"/>
        <v>#REF!</v>
      </c>
      <c r="F178" s="179" t="e">
        <f t="shared" si="100"/>
        <v>#REF!</v>
      </c>
      <c r="G178" s="279" t="e">
        <f t="shared" si="100"/>
        <v>#REF!</v>
      </c>
      <c r="H178" s="279" t="e">
        <f t="shared" si="100"/>
        <v>#REF!</v>
      </c>
      <c r="I178" s="279" t="e">
        <f t="shared" si="100"/>
        <v>#REF!</v>
      </c>
      <c r="J178" s="179" t="e">
        <f t="shared" si="100"/>
        <v>#REF!</v>
      </c>
      <c r="K178" s="179" t="e">
        <f t="shared" si="100"/>
        <v>#REF!</v>
      </c>
      <c r="L178" s="179" t="e">
        <f t="shared" si="100"/>
        <v>#REF!</v>
      </c>
      <c r="M178" s="179" t="e">
        <f t="shared" si="100"/>
        <v>#REF!</v>
      </c>
      <c r="N178" s="179" t="e">
        <f t="shared" si="100"/>
        <v>#REF!</v>
      </c>
      <c r="O178" s="179" t="e">
        <f t="shared" si="100"/>
        <v>#REF!</v>
      </c>
      <c r="P178" s="179" t="e">
        <f t="shared" si="100"/>
        <v>#REF!</v>
      </c>
      <c r="Q178" s="179" t="e">
        <f t="shared" si="100"/>
        <v>#REF!</v>
      </c>
      <c r="R178" s="179" t="e">
        <f t="shared" si="100"/>
        <v>#REF!</v>
      </c>
      <c r="S178" s="179" t="e">
        <f t="shared" si="100"/>
        <v>#REF!</v>
      </c>
      <c r="T178" s="179" t="e">
        <f t="shared" si="100"/>
        <v>#REF!</v>
      </c>
      <c r="U178" s="179" t="e">
        <f t="shared" si="100"/>
        <v>#REF!</v>
      </c>
      <c r="V178" s="179" t="e">
        <f t="shared" si="100"/>
        <v>#REF!</v>
      </c>
      <c r="W178" s="179" t="e">
        <f t="shared" si="100"/>
        <v>#REF!</v>
      </c>
      <c r="X178" s="179" t="e">
        <f t="shared" si="100"/>
        <v>#REF!</v>
      </c>
      <c r="Y178" s="179" t="e">
        <f t="shared" si="100"/>
        <v>#REF!</v>
      </c>
      <c r="Z178" s="179" t="e">
        <f t="shared" si="100"/>
        <v>#REF!</v>
      </c>
      <c r="AA178" s="179" t="e">
        <f t="shared" si="100"/>
        <v>#REF!</v>
      </c>
      <c r="AB178" s="179" t="e">
        <f t="shared" si="100"/>
        <v>#REF!</v>
      </c>
      <c r="AC178" s="179" t="e">
        <f t="shared" si="100"/>
        <v>#REF!</v>
      </c>
      <c r="AD178" s="179" t="e">
        <f t="shared" si="100"/>
        <v>#REF!</v>
      </c>
      <c r="AE178" s="179" t="e">
        <f t="shared" si="100"/>
        <v>#REF!</v>
      </c>
      <c r="AF178" s="179" t="e">
        <f t="shared" si="100"/>
        <v>#REF!</v>
      </c>
      <c r="AG178" s="179" t="e">
        <f t="shared" si="100"/>
        <v>#REF!</v>
      </c>
    </row>
    <row r="179" spans="1:33">
      <c r="A179" s="173" t="s">
        <v>321</v>
      </c>
      <c r="B179" s="173" t="s">
        <v>300</v>
      </c>
      <c r="C179" s="179" t="e">
        <f t="shared" ref="C179:AG179" si="101">C173/($C$28*$C$27)</f>
        <v>#REF!</v>
      </c>
      <c r="D179" s="179" t="e">
        <f t="shared" si="101"/>
        <v>#REF!</v>
      </c>
      <c r="E179" s="179" t="e">
        <f t="shared" si="101"/>
        <v>#REF!</v>
      </c>
      <c r="F179" s="179" t="e">
        <f t="shared" si="101"/>
        <v>#REF!</v>
      </c>
      <c r="G179" s="279" t="e">
        <f t="shared" si="101"/>
        <v>#REF!</v>
      </c>
      <c r="H179" s="279" t="e">
        <f t="shared" si="101"/>
        <v>#REF!</v>
      </c>
      <c r="I179" s="279" t="e">
        <f t="shared" si="101"/>
        <v>#REF!</v>
      </c>
      <c r="J179" s="179" t="e">
        <f t="shared" si="101"/>
        <v>#REF!</v>
      </c>
      <c r="K179" s="179" t="e">
        <f t="shared" si="101"/>
        <v>#REF!</v>
      </c>
      <c r="L179" s="179" t="e">
        <f t="shared" si="101"/>
        <v>#REF!</v>
      </c>
      <c r="M179" s="179" t="e">
        <f t="shared" si="101"/>
        <v>#REF!</v>
      </c>
      <c r="N179" s="179" t="e">
        <f t="shared" si="101"/>
        <v>#REF!</v>
      </c>
      <c r="O179" s="179" t="e">
        <f t="shared" si="101"/>
        <v>#REF!</v>
      </c>
      <c r="P179" s="179" t="e">
        <f t="shared" si="101"/>
        <v>#REF!</v>
      </c>
      <c r="Q179" s="179" t="e">
        <f t="shared" si="101"/>
        <v>#REF!</v>
      </c>
      <c r="R179" s="179" t="e">
        <f t="shared" si="101"/>
        <v>#REF!</v>
      </c>
      <c r="S179" s="179" t="e">
        <f t="shared" si="101"/>
        <v>#REF!</v>
      </c>
      <c r="T179" s="179" t="e">
        <f t="shared" si="101"/>
        <v>#REF!</v>
      </c>
      <c r="U179" s="179" t="e">
        <f t="shared" si="101"/>
        <v>#REF!</v>
      </c>
      <c r="V179" s="179" t="e">
        <f t="shared" si="101"/>
        <v>#REF!</v>
      </c>
      <c r="W179" s="179" t="e">
        <f t="shared" si="101"/>
        <v>#REF!</v>
      </c>
      <c r="X179" s="179" t="e">
        <f t="shared" si="101"/>
        <v>#REF!</v>
      </c>
      <c r="Y179" s="179" t="e">
        <f t="shared" si="101"/>
        <v>#REF!</v>
      </c>
      <c r="Z179" s="179" t="e">
        <f t="shared" si="101"/>
        <v>#REF!</v>
      </c>
      <c r="AA179" s="179" t="e">
        <f t="shared" si="101"/>
        <v>#REF!</v>
      </c>
      <c r="AB179" s="179" t="e">
        <f t="shared" si="101"/>
        <v>#REF!</v>
      </c>
      <c r="AC179" s="179" t="e">
        <f t="shared" si="101"/>
        <v>#REF!</v>
      </c>
      <c r="AD179" s="179" t="e">
        <f t="shared" si="101"/>
        <v>#REF!</v>
      </c>
      <c r="AE179" s="179" t="e">
        <f t="shared" si="101"/>
        <v>#REF!</v>
      </c>
      <c r="AF179" s="179" t="e">
        <f t="shared" si="101"/>
        <v>#REF!</v>
      </c>
      <c r="AG179" s="179" t="e">
        <f t="shared" si="101"/>
        <v>#REF!</v>
      </c>
    </row>
    <row r="180" spans="1:33">
      <c r="A180" s="173" t="s">
        <v>322</v>
      </c>
      <c r="B180" s="173" t="s">
        <v>300</v>
      </c>
      <c r="C180" s="179" t="e">
        <f t="shared" ref="C180:AG180" si="102">(C166+C169+C70)/($C$28*$C$27)+C63</f>
        <v>#REF!</v>
      </c>
      <c r="D180" s="179" t="e">
        <f t="shared" si="102"/>
        <v>#REF!</v>
      </c>
      <c r="E180" s="179" t="e">
        <f t="shared" si="102"/>
        <v>#REF!</v>
      </c>
      <c r="F180" s="179" t="e">
        <f t="shared" si="102"/>
        <v>#REF!</v>
      </c>
      <c r="G180" s="179" t="e">
        <f t="shared" si="102"/>
        <v>#REF!</v>
      </c>
      <c r="H180" s="179" t="e">
        <f t="shared" si="102"/>
        <v>#REF!</v>
      </c>
      <c r="I180" s="179" t="e">
        <f t="shared" si="102"/>
        <v>#REF!</v>
      </c>
      <c r="J180" s="179" t="e">
        <f t="shared" si="102"/>
        <v>#REF!</v>
      </c>
      <c r="K180" s="179" t="e">
        <f t="shared" si="102"/>
        <v>#REF!</v>
      </c>
      <c r="L180" s="179" t="e">
        <f t="shared" si="102"/>
        <v>#REF!</v>
      </c>
      <c r="M180" s="179" t="e">
        <f t="shared" si="102"/>
        <v>#REF!</v>
      </c>
      <c r="N180" s="179" t="e">
        <f t="shared" si="102"/>
        <v>#REF!</v>
      </c>
      <c r="O180" s="179" t="e">
        <f t="shared" si="102"/>
        <v>#REF!</v>
      </c>
      <c r="P180" s="179" t="e">
        <f t="shared" si="102"/>
        <v>#REF!</v>
      </c>
      <c r="Q180" s="179" t="e">
        <f t="shared" si="102"/>
        <v>#REF!</v>
      </c>
      <c r="R180" s="179" t="e">
        <f t="shared" si="102"/>
        <v>#REF!</v>
      </c>
      <c r="S180" s="179" t="e">
        <f t="shared" si="102"/>
        <v>#REF!</v>
      </c>
      <c r="T180" s="179" t="e">
        <f t="shared" si="102"/>
        <v>#REF!</v>
      </c>
      <c r="U180" s="179" t="e">
        <f t="shared" si="102"/>
        <v>#REF!</v>
      </c>
      <c r="V180" s="179" t="e">
        <f t="shared" si="102"/>
        <v>#REF!</v>
      </c>
      <c r="W180" s="179" t="e">
        <f t="shared" si="102"/>
        <v>#REF!</v>
      </c>
      <c r="X180" s="179" t="e">
        <f t="shared" si="102"/>
        <v>#REF!</v>
      </c>
      <c r="Y180" s="179" t="e">
        <f t="shared" si="102"/>
        <v>#REF!</v>
      </c>
      <c r="Z180" s="179" t="e">
        <f t="shared" si="102"/>
        <v>#REF!</v>
      </c>
      <c r="AA180" s="179" t="e">
        <f t="shared" si="102"/>
        <v>#REF!</v>
      </c>
      <c r="AB180" s="179" t="e">
        <f t="shared" si="102"/>
        <v>#REF!</v>
      </c>
      <c r="AC180" s="179" t="e">
        <f t="shared" si="102"/>
        <v>#REF!</v>
      </c>
      <c r="AD180" s="179" t="e">
        <f t="shared" si="102"/>
        <v>#REF!</v>
      </c>
      <c r="AE180" s="179" t="e">
        <f t="shared" si="102"/>
        <v>#REF!</v>
      </c>
      <c r="AF180" s="179" t="e">
        <f t="shared" si="102"/>
        <v>#REF!</v>
      </c>
      <c r="AG180" s="179" t="e">
        <f t="shared" si="102"/>
        <v>#REF!</v>
      </c>
    </row>
    <row r="181" spans="1:33">
      <c r="C181" s="274" t="e">
        <f t="shared" ref="C181:AG181" si="103">SUM(C178:C180)</f>
        <v>#REF!</v>
      </c>
      <c r="D181" s="274" t="e">
        <f t="shared" si="103"/>
        <v>#REF!</v>
      </c>
      <c r="E181" s="274" t="e">
        <f t="shared" si="103"/>
        <v>#REF!</v>
      </c>
      <c r="F181" s="274" t="e">
        <f t="shared" si="103"/>
        <v>#REF!</v>
      </c>
      <c r="G181" s="274" t="e">
        <f t="shared" si="103"/>
        <v>#REF!</v>
      </c>
      <c r="H181" s="274" t="e">
        <f t="shared" si="103"/>
        <v>#REF!</v>
      </c>
      <c r="I181" s="274" t="e">
        <f t="shared" si="103"/>
        <v>#REF!</v>
      </c>
      <c r="J181" s="274" t="e">
        <f t="shared" si="103"/>
        <v>#REF!</v>
      </c>
      <c r="K181" s="274" t="e">
        <f t="shared" si="103"/>
        <v>#REF!</v>
      </c>
      <c r="L181" s="274" t="e">
        <f t="shared" si="103"/>
        <v>#REF!</v>
      </c>
      <c r="M181" s="274" t="e">
        <f t="shared" si="103"/>
        <v>#REF!</v>
      </c>
      <c r="N181" s="274" t="e">
        <f t="shared" si="103"/>
        <v>#REF!</v>
      </c>
      <c r="O181" s="274" t="e">
        <f t="shared" si="103"/>
        <v>#REF!</v>
      </c>
      <c r="P181" s="274" t="e">
        <f t="shared" si="103"/>
        <v>#REF!</v>
      </c>
      <c r="Q181" s="274" t="e">
        <f t="shared" si="103"/>
        <v>#REF!</v>
      </c>
      <c r="R181" s="274" t="e">
        <f t="shared" si="103"/>
        <v>#REF!</v>
      </c>
      <c r="S181" s="274" t="e">
        <f t="shared" si="103"/>
        <v>#REF!</v>
      </c>
      <c r="T181" s="274" t="e">
        <f t="shared" si="103"/>
        <v>#REF!</v>
      </c>
      <c r="U181" s="274" t="e">
        <f t="shared" si="103"/>
        <v>#REF!</v>
      </c>
      <c r="V181" s="274" t="e">
        <f t="shared" si="103"/>
        <v>#REF!</v>
      </c>
      <c r="W181" s="274" t="e">
        <f t="shared" si="103"/>
        <v>#REF!</v>
      </c>
      <c r="X181" s="274" t="e">
        <f t="shared" si="103"/>
        <v>#REF!</v>
      </c>
      <c r="Y181" s="274" t="e">
        <f t="shared" si="103"/>
        <v>#REF!</v>
      </c>
      <c r="Z181" s="274" t="e">
        <f t="shared" si="103"/>
        <v>#REF!</v>
      </c>
      <c r="AA181" s="274" t="e">
        <f t="shared" si="103"/>
        <v>#REF!</v>
      </c>
      <c r="AB181" s="274" t="e">
        <f t="shared" si="103"/>
        <v>#REF!</v>
      </c>
      <c r="AC181" s="274" t="e">
        <f t="shared" si="103"/>
        <v>#REF!</v>
      </c>
      <c r="AD181" s="274" t="e">
        <f t="shared" si="103"/>
        <v>#REF!</v>
      </c>
      <c r="AE181" s="274" t="e">
        <f t="shared" si="103"/>
        <v>#REF!</v>
      </c>
      <c r="AF181" s="274" t="e">
        <f t="shared" si="103"/>
        <v>#REF!</v>
      </c>
      <c r="AG181" s="274" t="e">
        <f t="shared" si="103"/>
        <v>#REF!</v>
      </c>
    </row>
    <row r="182" spans="1:33" s="225" customFormat="1">
      <c r="A182" s="223" t="s">
        <v>331</v>
      </c>
      <c r="B182" s="223"/>
      <c r="H182" s="275" t="e">
        <f>H189/H86</f>
        <v>#REF!</v>
      </c>
      <c r="AB182" s="275" t="e">
        <f>AB189/AB86</f>
        <v>#REF!</v>
      </c>
    </row>
    <row r="183" spans="1:33">
      <c r="A183" s="235" t="s">
        <v>41</v>
      </c>
      <c r="B183" s="235"/>
      <c r="C183" s="235">
        <v>2025</v>
      </c>
      <c r="D183" s="235">
        <f t="shared" ref="D183:AG183" si="104">C183+1</f>
        <v>2026</v>
      </c>
      <c r="E183" s="235">
        <f t="shared" si="104"/>
        <v>2027</v>
      </c>
      <c r="F183" s="235">
        <f t="shared" si="104"/>
        <v>2028</v>
      </c>
      <c r="G183" s="235">
        <f t="shared" si="104"/>
        <v>2029</v>
      </c>
      <c r="H183" s="235">
        <f t="shared" si="104"/>
        <v>2030</v>
      </c>
      <c r="I183" s="235">
        <f t="shared" si="104"/>
        <v>2031</v>
      </c>
      <c r="J183" s="235">
        <f t="shared" si="104"/>
        <v>2032</v>
      </c>
      <c r="K183" s="235">
        <f t="shared" si="104"/>
        <v>2033</v>
      </c>
      <c r="L183" s="235">
        <f t="shared" si="104"/>
        <v>2034</v>
      </c>
      <c r="M183" s="235">
        <f t="shared" si="104"/>
        <v>2035</v>
      </c>
      <c r="N183" s="235">
        <f t="shared" si="104"/>
        <v>2036</v>
      </c>
      <c r="O183" s="235">
        <f t="shared" si="104"/>
        <v>2037</v>
      </c>
      <c r="P183" s="235">
        <f t="shared" si="104"/>
        <v>2038</v>
      </c>
      <c r="Q183" s="235">
        <f t="shared" si="104"/>
        <v>2039</v>
      </c>
      <c r="R183" s="235">
        <f t="shared" si="104"/>
        <v>2040</v>
      </c>
      <c r="S183" s="235">
        <f t="shared" si="104"/>
        <v>2041</v>
      </c>
      <c r="T183" s="235">
        <f t="shared" si="104"/>
        <v>2042</v>
      </c>
      <c r="U183" s="235">
        <f t="shared" si="104"/>
        <v>2043</v>
      </c>
      <c r="V183" s="235">
        <f t="shared" si="104"/>
        <v>2044</v>
      </c>
      <c r="W183" s="235">
        <f t="shared" si="104"/>
        <v>2045</v>
      </c>
      <c r="X183" s="235">
        <f t="shared" si="104"/>
        <v>2046</v>
      </c>
      <c r="Y183" s="235">
        <f t="shared" si="104"/>
        <v>2047</v>
      </c>
      <c r="Z183" s="235">
        <f t="shared" si="104"/>
        <v>2048</v>
      </c>
      <c r="AA183" s="235">
        <f t="shared" si="104"/>
        <v>2049</v>
      </c>
      <c r="AB183" s="235">
        <f t="shared" si="104"/>
        <v>2050</v>
      </c>
      <c r="AC183" s="235">
        <f t="shared" si="104"/>
        <v>2051</v>
      </c>
      <c r="AD183" s="235">
        <f t="shared" si="104"/>
        <v>2052</v>
      </c>
      <c r="AE183" s="235">
        <f t="shared" si="104"/>
        <v>2053</v>
      </c>
      <c r="AF183" s="235">
        <f t="shared" si="104"/>
        <v>2054</v>
      </c>
      <c r="AG183" s="235">
        <f t="shared" si="104"/>
        <v>2055</v>
      </c>
    </row>
    <row r="184" spans="1:33">
      <c r="A184" s="290" t="s">
        <v>428</v>
      </c>
      <c r="B184" s="173" t="s">
        <v>309</v>
      </c>
      <c r="C184" s="179" t="e">
        <f t="shared" ref="C184:AG184" si="105">$H$73*C60</f>
        <v>#REF!</v>
      </c>
      <c r="D184" s="179" t="e">
        <f t="shared" si="105"/>
        <v>#REF!</v>
      </c>
      <c r="E184" s="179" t="e">
        <f t="shared" si="105"/>
        <v>#REF!</v>
      </c>
      <c r="F184" s="179" t="e">
        <f t="shared" si="105"/>
        <v>#REF!</v>
      </c>
      <c r="G184" s="179" t="e">
        <f t="shared" si="105"/>
        <v>#REF!</v>
      </c>
      <c r="H184" s="179" t="e">
        <f t="shared" si="105"/>
        <v>#REF!</v>
      </c>
      <c r="I184" s="179" t="e">
        <f t="shared" si="105"/>
        <v>#REF!</v>
      </c>
      <c r="J184" s="179" t="e">
        <f t="shared" si="105"/>
        <v>#REF!</v>
      </c>
      <c r="K184" s="179" t="e">
        <f t="shared" si="105"/>
        <v>#REF!</v>
      </c>
      <c r="L184" s="179" t="e">
        <f t="shared" si="105"/>
        <v>#REF!</v>
      </c>
      <c r="M184" s="179" t="e">
        <f t="shared" si="105"/>
        <v>#REF!</v>
      </c>
      <c r="N184" s="179" t="e">
        <f t="shared" si="105"/>
        <v>#REF!</v>
      </c>
      <c r="O184" s="179" t="e">
        <f t="shared" si="105"/>
        <v>#REF!</v>
      </c>
      <c r="P184" s="179" t="e">
        <f t="shared" si="105"/>
        <v>#REF!</v>
      </c>
      <c r="Q184" s="179" t="e">
        <f t="shared" si="105"/>
        <v>#REF!</v>
      </c>
      <c r="R184" s="179" t="e">
        <f t="shared" si="105"/>
        <v>#REF!</v>
      </c>
      <c r="S184" s="179" t="e">
        <f t="shared" si="105"/>
        <v>#REF!</v>
      </c>
      <c r="T184" s="179" t="e">
        <f t="shared" si="105"/>
        <v>#REF!</v>
      </c>
      <c r="U184" s="179" t="e">
        <f t="shared" si="105"/>
        <v>#REF!</v>
      </c>
      <c r="V184" s="179" t="e">
        <f t="shared" si="105"/>
        <v>#REF!</v>
      </c>
      <c r="W184" s="179" t="e">
        <f t="shared" si="105"/>
        <v>#REF!</v>
      </c>
      <c r="X184" s="179" t="e">
        <f t="shared" si="105"/>
        <v>#REF!</v>
      </c>
      <c r="Y184" s="179" t="e">
        <f t="shared" si="105"/>
        <v>#REF!</v>
      </c>
      <c r="Z184" s="179" t="e">
        <f t="shared" si="105"/>
        <v>#REF!</v>
      </c>
      <c r="AA184" s="179" t="e">
        <f t="shared" si="105"/>
        <v>#REF!</v>
      </c>
      <c r="AB184" s="179" t="e">
        <f t="shared" si="105"/>
        <v>#REF!</v>
      </c>
      <c r="AC184" s="179" t="e">
        <f t="shared" si="105"/>
        <v>#REF!</v>
      </c>
      <c r="AD184" s="179" t="e">
        <f t="shared" si="105"/>
        <v>#REF!</v>
      </c>
      <c r="AE184" s="179" t="e">
        <f t="shared" si="105"/>
        <v>#REF!</v>
      </c>
      <c r="AF184" s="179" t="e">
        <f t="shared" si="105"/>
        <v>#REF!</v>
      </c>
      <c r="AG184" s="179" t="e">
        <f t="shared" si="105"/>
        <v>#REF!</v>
      </c>
    </row>
    <row r="185" spans="1:33">
      <c r="A185" s="290" t="s">
        <v>419</v>
      </c>
      <c r="B185" s="173" t="s">
        <v>309</v>
      </c>
      <c r="C185" s="179" t="e">
        <f t="shared" ref="C185:AG185" si="106">$C$22*C56</f>
        <v>#REF!</v>
      </c>
      <c r="D185" s="179" t="e">
        <f t="shared" si="106"/>
        <v>#REF!</v>
      </c>
      <c r="E185" s="179" t="e">
        <f t="shared" si="106"/>
        <v>#REF!</v>
      </c>
      <c r="F185" s="179" t="e">
        <f t="shared" si="106"/>
        <v>#REF!</v>
      </c>
      <c r="G185" s="179" t="e">
        <f t="shared" si="106"/>
        <v>#REF!</v>
      </c>
      <c r="H185" s="179" t="e">
        <f t="shared" si="106"/>
        <v>#REF!</v>
      </c>
      <c r="I185" s="179" t="e">
        <f t="shared" si="106"/>
        <v>#REF!</v>
      </c>
      <c r="J185" s="179" t="e">
        <f t="shared" si="106"/>
        <v>#REF!</v>
      </c>
      <c r="K185" s="179" t="e">
        <f t="shared" si="106"/>
        <v>#REF!</v>
      </c>
      <c r="L185" s="179" t="e">
        <f t="shared" si="106"/>
        <v>#REF!</v>
      </c>
      <c r="M185" s="179" t="e">
        <f t="shared" si="106"/>
        <v>#REF!</v>
      </c>
      <c r="N185" s="179" t="e">
        <f t="shared" si="106"/>
        <v>#REF!</v>
      </c>
      <c r="O185" s="179" t="e">
        <f t="shared" si="106"/>
        <v>#REF!</v>
      </c>
      <c r="P185" s="179" t="e">
        <f t="shared" si="106"/>
        <v>#REF!</v>
      </c>
      <c r="Q185" s="179" t="e">
        <f t="shared" si="106"/>
        <v>#REF!</v>
      </c>
      <c r="R185" s="179" t="e">
        <f t="shared" si="106"/>
        <v>#REF!</v>
      </c>
      <c r="S185" s="179" t="e">
        <f t="shared" si="106"/>
        <v>#REF!</v>
      </c>
      <c r="T185" s="179" t="e">
        <f t="shared" si="106"/>
        <v>#REF!</v>
      </c>
      <c r="U185" s="179" t="e">
        <f t="shared" si="106"/>
        <v>#REF!</v>
      </c>
      <c r="V185" s="179" t="e">
        <f t="shared" si="106"/>
        <v>#REF!</v>
      </c>
      <c r="W185" s="179" t="e">
        <f t="shared" si="106"/>
        <v>#REF!</v>
      </c>
      <c r="X185" s="179" t="e">
        <f t="shared" si="106"/>
        <v>#REF!</v>
      </c>
      <c r="Y185" s="179" t="e">
        <f t="shared" si="106"/>
        <v>#REF!</v>
      </c>
      <c r="Z185" s="179" t="e">
        <f t="shared" si="106"/>
        <v>#REF!</v>
      </c>
      <c r="AA185" s="179" t="e">
        <f t="shared" si="106"/>
        <v>#REF!</v>
      </c>
      <c r="AB185" s="179" t="e">
        <f t="shared" si="106"/>
        <v>#REF!</v>
      </c>
      <c r="AC185" s="179" t="e">
        <f t="shared" si="106"/>
        <v>#REF!</v>
      </c>
      <c r="AD185" s="179" t="e">
        <f t="shared" si="106"/>
        <v>#REF!</v>
      </c>
      <c r="AE185" s="179" t="e">
        <f t="shared" si="106"/>
        <v>#REF!</v>
      </c>
      <c r="AF185" s="179" t="e">
        <f t="shared" si="106"/>
        <v>#REF!</v>
      </c>
      <c r="AG185" s="179" t="e">
        <f t="shared" si="106"/>
        <v>#REF!</v>
      </c>
    </row>
    <row r="186" spans="1:33">
      <c r="A186" s="290" t="s">
        <v>429</v>
      </c>
      <c r="B186" s="173" t="s">
        <v>309</v>
      </c>
      <c r="C186" s="179" t="e">
        <f t="shared" ref="C186:AG186" si="107">C158</f>
        <v>#REF!</v>
      </c>
      <c r="D186" s="179" t="e">
        <f t="shared" si="107"/>
        <v>#REF!</v>
      </c>
      <c r="E186" s="179" t="e">
        <f t="shared" si="107"/>
        <v>#REF!</v>
      </c>
      <c r="F186" s="179" t="e">
        <f t="shared" si="107"/>
        <v>#REF!</v>
      </c>
      <c r="G186" s="179" t="e">
        <f t="shared" si="107"/>
        <v>#REF!</v>
      </c>
      <c r="H186" s="179" t="e">
        <f t="shared" si="107"/>
        <v>#REF!</v>
      </c>
      <c r="I186" s="179" t="e">
        <f t="shared" si="107"/>
        <v>#REF!</v>
      </c>
      <c r="J186" s="179" t="e">
        <f t="shared" si="107"/>
        <v>#REF!</v>
      </c>
      <c r="K186" s="179" t="e">
        <f t="shared" si="107"/>
        <v>#REF!</v>
      </c>
      <c r="L186" s="179" t="e">
        <f t="shared" si="107"/>
        <v>#REF!</v>
      </c>
      <c r="M186" s="179" t="e">
        <f t="shared" si="107"/>
        <v>#REF!</v>
      </c>
      <c r="N186" s="179" t="e">
        <f t="shared" si="107"/>
        <v>#REF!</v>
      </c>
      <c r="O186" s="179" t="e">
        <f t="shared" si="107"/>
        <v>#REF!</v>
      </c>
      <c r="P186" s="179" t="e">
        <f t="shared" si="107"/>
        <v>#REF!</v>
      </c>
      <c r="Q186" s="179" t="e">
        <f t="shared" si="107"/>
        <v>#REF!</v>
      </c>
      <c r="R186" s="179" t="e">
        <f t="shared" si="107"/>
        <v>#REF!</v>
      </c>
      <c r="S186" s="179" t="e">
        <f t="shared" si="107"/>
        <v>#REF!</v>
      </c>
      <c r="T186" s="179" t="e">
        <f t="shared" si="107"/>
        <v>#REF!</v>
      </c>
      <c r="U186" s="179" t="e">
        <f t="shared" si="107"/>
        <v>#REF!</v>
      </c>
      <c r="V186" s="179" t="e">
        <f t="shared" si="107"/>
        <v>#REF!</v>
      </c>
      <c r="W186" s="179" t="e">
        <f t="shared" si="107"/>
        <v>#REF!</v>
      </c>
      <c r="X186" s="179" t="e">
        <f t="shared" si="107"/>
        <v>#REF!</v>
      </c>
      <c r="Y186" s="179" t="e">
        <f t="shared" si="107"/>
        <v>#REF!</v>
      </c>
      <c r="Z186" s="179" t="e">
        <f t="shared" si="107"/>
        <v>#REF!</v>
      </c>
      <c r="AA186" s="179" t="e">
        <f t="shared" si="107"/>
        <v>#REF!</v>
      </c>
      <c r="AB186" s="179" t="e">
        <f t="shared" si="107"/>
        <v>#REF!</v>
      </c>
      <c r="AC186" s="179" t="e">
        <f t="shared" si="107"/>
        <v>#REF!</v>
      </c>
      <c r="AD186" s="179" t="e">
        <f t="shared" si="107"/>
        <v>#REF!</v>
      </c>
      <c r="AE186" s="179" t="e">
        <f t="shared" si="107"/>
        <v>#REF!</v>
      </c>
      <c r="AF186" s="179" t="e">
        <f t="shared" si="107"/>
        <v>#REF!</v>
      </c>
      <c r="AG186" s="179" t="e">
        <f t="shared" si="107"/>
        <v>#REF!</v>
      </c>
    </row>
    <row r="187" spans="1:33">
      <c r="A187" s="290" t="s">
        <v>361</v>
      </c>
      <c r="B187" s="173" t="s">
        <v>309</v>
      </c>
      <c r="C187" s="179" t="e">
        <f t="shared" ref="C187:AG187" si="108">$C$21*C57</f>
        <v>#REF!</v>
      </c>
      <c r="D187" s="179" t="e">
        <f t="shared" si="108"/>
        <v>#REF!</v>
      </c>
      <c r="E187" s="179" t="e">
        <f t="shared" si="108"/>
        <v>#REF!</v>
      </c>
      <c r="F187" s="179" t="e">
        <f t="shared" si="108"/>
        <v>#REF!</v>
      </c>
      <c r="G187" s="179" t="e">
        <f t="shared" si="108"/>
        <v>#REF!</v>
      </c>
      <c r="H187" s="179" t="e">
        <f t="shared" si="108"/>
        <v>#REF!</v>
      </c>
      <c r="I187" s="179" t="e">
        <f t="shared" si="108"/>
        <v>#REF!</v>
      </c>
      <c r="J187" s="179" t="e">
        <f t="shared" si="108"/>
        <v>#REF!</v>
      </c>
      <c r="K187" s="179" t="e">
        <f t="shared" si="108"/>
        <v>#REF!</v>
      </c>
      <c r="L187" s="179" t="e">
        <f t="shared" si="108"/>
        <v>#REF!</v>
      </c>
      <c r="M187" s="179" t="e">
        <f t="shared" si="108"/>
        <v>#REF!</v>
      </c>
      <c r="N187" s="179" t="e">
        <f t="shared" si="108"/>
        <v>#REF!</v>
      </c>
      <c r="O187" s="179" t="e">
        <f t="shared" si="108"/>
        <v>#REF!</v>
      </c>
      <c r="P187" s="179" t="e">
        <f t="shared" si="108"/>
        <v>#REF!</v>
      </c>
      <c r="Q187" s="179" t="e">
        <f t="shared" si="108"/>
        <v>#REF!</v>
      </c>
      <c r="R187" s="179" t="e">
        <f t="shared" si="108"/>
        <v>#REF!</v>
      </c>
      <c r="S187" s="179" t="e">
        <f t="shared" si="108"/>
        <v>#REF!</v>
      </c>
      <c r="T187" s="179" t="e">
        <f t="shared" si="108"/>
        <v>#REF!</v>
      </c>
      <c r="U187" s="179" t="e">
        <f t="shared" si="108"/>
        <v>#REF!</v>
      </c>
      <c r="V187" s="179" t="e">
        <f t="shared" si="108"/>
        <v>#REF!</v>
      </c>
      <c r="W187" s="179" t="e">
        <f t="shared" si="108"/>
        <v>#REF!</v>
      </c>
      <c r="X187" s="179" t="e">
        <f t="shared" si="108"/>
        <v>#REF!</v>
      </c>
      <c r="Y187" s="179" t="e">
        <f t="shared" si="108"/>
        <v>#REF!</v>
      </c>
      <c r="Z187" s="179" t="e">
        <f t="shared" si="108"/>
        <v>#REF!</v>
      </c>
      <c r="AA187" s="179" t="e">
        <f t="shared" si="108"/>
        <v>#REF!</v>
      </c>
      <c r="AB187" s="179" t="e">
        <f t="shared" si="108"/>
        <v>#REF!</v>
      </c>
      <c r="AC187" s="179" t="e">
        <f t="shared" si="108"/>
        <v>#REF!</v>
      </c>
      <c r="AD187" s="179" t="e">
        <f t="shared" si="108"/>
        <v>#REF!</v>
      </c>
      <c r="AE187" s="179" t="e">
        <f t="shared" si="108"/>
        <v>#REF!</v>
      </c>
      <c r="AF187" s="179" t="e">
        <f t="shared" si="108"/>
        <v>#REF!</v>
      </c>
      <c r="AG187" s="179" t="e">
        <f t="shared" si="108"/>
        <v>#REF!</v>
      </c>
    </row>
    <row r="188" spans="1:33">
      <c r="A188" s="173" t="s">
        <v>362</v>
      </c>
      <c r="B188" s="173" t="s">
        <v>41</v>
      </c>
      <c r="C188" s="278" t="e">
        <f t="shared" ref="C188:AG188" si="109">C68/($C$29*$C$28)</f>
        <v>#REF!</v>
      </c>
      <c r="D188" s="278" t="e">
        <f t="shared" si="109"/>
        <v>#REF!</v>
      </c>
      <c r="E188" s="278" t="e">
        <f t="shared" si="109"/>
        <v>#REF!</v>
      </c>
      <c r="F188" s="278" t="e">
        <f t="shared" si="109"/>
        <v>#REF!</v>
      </c>
      <c r="G188" s="278" t="e">
        <f t="shared" si="109"/>
        <v>#REF!</v>
      </c>
      <c r="H188" s="278" t="e">
        <f t="shared" si="109"/>
        <v>#REF!</v>
      </c>
      <c r="I188" s="278" t="e">
        <f t="shared" si="109"/>
        <v>#REF!</v>
      </c>
      <c r="J188" s="278" t="e">
        <f t="shared" si="109"/>
        <v>#REF!</v>
      </c>
      <c r="K188" s="278" t="e">
        <f t="shared" si="109"/>
        <v>#REF!</v>
      </c>
      <c r="L188" s="278" t="e">
        <f t="shared" si="109"/>
        <v>#REF!</v>
      </c>
      <c r="M188" s="278" t="e">
        <f t="shared" si="109"/>
        <v>#REF!</v>
      </c>
      <c r="N188" s="278" t="e">
        <f t="shared" si="109"/>
        <v>#REF!</v>
      </c>
      <c r="O188" s="278" t="e">
        <f t="shared" si="109"/>
        <v>#REF!</v>
      </c>
      <c r="P188" s="278" t="e">
        <f t="shared" si="109"/>
        <v>#REF!</v>
      </c>
      <c r="Q188" s="278" t="e">
        <f t="shared" si="109"/>
        <v>#REF!</v>
      </c>
      <c r="R188" s="278" t="e">
        <f t="shared" si="109"/>
        <v>#REF!</v>
      </c>
      <c r="S188" s="278" t="e">
        <f t="shared" si="109"/>
        <v>#REF!</v>
      </c>
      <c r="T188" s="278" t="e">
        <f t="shared" si="109"/>
        <v>#REF!</v>
      </c>
      <c r="U188" s="278" t="e">
        <f t="shared" si="109"/>
        <v>#REF!</v>
      </c>
      <c r="V188" s="278" t="e">
        <f t="shared" si="109"/>
        <v>#REF!</v>
      </c>
      <c r="W188" s="278" t="e">
        <f t="shared" si="109"/>
        <v>#REF!</v>
      </c>
      <c r="X188" s="278" t="e">
        <f t="shared" si="109"/>
        <v>#REF!</v>
      </c>
      <c r="Y188" s="278" t="e">
        <f t="shared" si="109"/>
        <v>#REF!</v>
      </c>
      <c r="Z188" s="278" t="e">
        <f t="shared" si="109"/>
        <v>#REF!</v>
      </c>
      <c r="AA188" s="278" t="e">
        <f t="shared" si="109"/>
        <v>#REF!</v>
      </c>
      <c r="AB188" s="278" t="e">
        <f t="shared" si="109"/>
        <v>#REF!</v>
      </c>
      <c r="AC188" s="278" t="e">
        <f t="shared" si="109"/>
        <v>#REF!</v>
      </c>
      <c r="AD188" s="278" t="e">
        <f t="shared" si="109"/>
        <v>#REF!</v>
      </c>
      <c r="AE188" s="278" t="e">
        <f t="shared" si="109"/>
        <v>#REF!</v>
      </c>
      <c r="AF188" s="278" t="e">
        <f t="shared" si="109"/>
        <v>#REF!</v>
      </c>
      <c r="AG188" s="278" t="e">
        <f t="shared" si="109"/>
        <v>#REF!</v>
      </c>
    </row>
    <row r="189" spans="1:33">
      <c r="A189" s="290" t="s">
        <v>332</v>
      </c>
      <c r="B189" s="173" t="s">
        <v>309</v>
      </c>
      <c r="C189" s="179" t="e">
        <f t="shared" ref="C189:AG189" si="110">(C86-$C$12+(C184+C185+C186+C187))*(1+0.15)</f>
        <v>#REF!</v>
      </c>
      <c r="D189" s="179" t="e">
        <f t="shared" si="110"/>
        <v>#REF!</v>
      </c>
      <c r="E189" s="179" t="e">
        <f t="shared" si="110"/>
        <v>#REF!</v>
      </c>
      <c r="F189" s="179" t="e">
        <f t="shared" si="110"/>
        <v>#REF!</v>
      </c>
      <c r="G189" s="179" t="e">
        <f t="shared" si="110"/>
        <v>#REF!</v>
      </c>
      <c r="H189" s="179" t="e">
        <f t="shared" si="110"/>
        <v>#REF!</v>
      </c>
      <c r="I189" s="179" t="e">
        <f t="shared" si="110"/>
        <v>#REF!</v>
      </c>
      <c r="J189" s="179" t="e">
        <f t="shared" si="110"/>
        <v>#REF!</v>
      </c>
      <c r="K189" s="179" t="e">
        <f t="shared" si="110"/>
        <v>#REF!</v>
      </c>
      <c r="L189" s="179" t="e">
        <f t="shared" si="110"/>
        <v>#REF!</v>
      </c>
      <c r="M189" s="179" t="e">
        <f t="shared" si="110"/>
        <v>#REF!</v>
      </c>
      <c r="N189" s="179" t="e">
        <f t="shared" si="110"/>
        <v>#REF!</v>
      </c>
      <c r="O189" s="179" t="e">
        <f t="shared" si="110"/>
        <v>#REF!</v>
      </c>
      <c r="P189" s="179" t="e">
        <f t="shared" si="110"/>
        <v>#REF!</v>
      </c>
      <c r="Q189" s="179" t="e">
        <f t="shared" si="110"/>
        <v>#REF!</v>
      </c>
      <c r="R189" s="179" t="e">
        <f t="shared" si="110"/>
        <v>#REF!</v>
      </c>
      <c r="S189" s="179" t="e">
        <f t="shared" si="110"/>
        <v>#REF!</v>
      </c>
      <c r="T189" s="179" t="e">
        <f t="shared" si="110"/>
        <v>#REF!</v>
      </c>
      <c r="U189" s="179" t="e">
        <f t="shared" si="110"/>
        <v>#REF!</v>
      </c>
      <c r="V189" s="179" t="e">
        <f t="shared" si="110"/>
        <v>#REF!</v>
      </c>
      <c r="W189" s="179" t="e">
        <f t="shared" si="110"/>
        <v>#REF!</v>
      </c>
      <c r="X189" s="179" t="e">
        <f t="shared" si="110"/>
        <v>#REF!</v>
      </c>
      <c r="Y189" s="179" t="e">
        <f t="shared" si="110"/>
        <v>#REF!</v>
      </c>
      <c r="Z189" s="179" t="e">
        <f t="shared" si="110"/>
        <v>#REF!</v>
      </c>
      <c r="AA189" s="179" t="e">
        <f t="shared" si="110"/>
        <v>#REF!</v>
      </c>
      <c r="AB189" s="179" t="e">
        <f t="shared" si="110"/>
        <v>#REF!</v>
      </c>
      <c r="AC189" s="179" t="e">
        <f t="shared" si="110"/>
        <v>#REF!</v>
      </c>
      <c r="AD189" s="179" t="e">
        <f t="shared" si="110"/>
        <v>#REF!</v>
      </c>
      <c r="AE189" s="179" t="e">
        <f t="shared" si="110"/>
        <v>#REF!</v>
      </c>
      <c r="AF189" s="179" t="e">
        <f t="shared" si="110"/>
        <v>#REF!</v>
      </c>
      <c r="AG189" s="179" t="e">
        <f t="shared" si="110"/>
        <v>#REF!</v>
      </c>
    </row>
    <row r="190" spans="1:33">
      <c r="A190" s="173" t="s">
        <v>333</v>
      </c>
      <c r="B190" s="173" t="s">
        <v>309</v>
      </c>
      <c r="C190" s="179" t="e">
        <f t="shared" ref="C190:AG190" si="111">$H$82*C50</f>
        <v>#REF!</v>
      </c>
      <c r="D190" s="179" t="e">
        <f t="shared" si="111"/>
        <v>#REF!</v>
      </c>
      <c r="E190" s="179" t="e">
        <f t="shared" si="111"/>
        <v>#REF!</v>
      </c>
      <c r="F190" s="179" t="e">
        <f t="shared" si="111"/>
        <v>#REF!</v>
      </c>
      <c r="G190" s="179" t="e">
        <f t="shared" si="111"/>
        <v>#REF!</v>
      </c>
      <c r="H190" s="179" t="e">
        <f t="shared" si="111"/>
        <v>#REF!</v>
      </c>
      <c r="I190" s="179" t="e">
        <f t="shared" si="111"/>
        <v>#REF!</v>
      </c>
      <c r="J190" s="179" t="e">
        <f t="shared" si="111"/>
        <v>#REF!</v>
      </c>
      <c r="K190" s="179" t="e">
        <f t="shared" si="111"/>
        <v>#REF!</v>
      </c>
      <c r="L190" s="179" t="e">
        <f t="shared" si="111"/>
        <v>#REF!</v>
      </c>
      <c r="M190" s="179" t="e">
        <f t="shared" si="111"/>
        <v>#REF!</v>
      </c>
      <c r="N190" s="179" t="e">
        <f t="shared" si="111"/>
        <v>#REF!</v>
      </c>
      <c r="O190" s="179" t="e">
        <f t="shared" si="111"/>
        <v>#REF!</v>
      </c>
      <c r="P190" s="179" t="e">
        <f t="shared" si="111"/>
        <v>#REF!</v>
      </c>
      <c r="Q190" s="179" t="e">
        <f t="shared" si="111"/>
        <v>#REF!</v>
      </c>
      <c r="R190" s="179" t="e">
        <f t="shared" si="111"/>
        <v>#REF!</v>
      </c>
      <c r="S190" s="179" t="e">
        <f t="shared" si="111"/>
        <v>#REF!</v>
      </c>
      <c r="T190" s="179" t="e">
        <f t="shared" si="111"/>
        <v>#REF!</v>
      </c>
      <c r="U190" s="179" t="e">
        <f t="shared" si="111"/>
        <v>#REF!</v>
      </c>
      <c r="V190" s="179" t="e">
        <f t="shared" si="111"/>
        <v>#REF!</v>
      </c>
      <c r="W190" s="179" t="e">
        <f t="shared" si="111"/>
        <v>#REF!</v>
      </c>
      <c r="X190" s="179" t="e">
        <f t="shared" si="111"/>
        <v>#REF!</v>
      </c>
      <c r="Y190" s="179" t="e">
        <f t="shared" si="111"/>
        <v>#REF!</v>
      </c>
      <c r="Z190" s="179" t="e">
        <f t="shared" si="111"/>
        <v>#REF!</v>
      </c>
      <c r="AA190" s="179" t="e">
        <f t="shared" si="111"/>
        <v>#REF!</v>
      </c>
      <c r="AB190" s="179" t="e">
        <f t="shared" si="111"/>
        <v>#REF!</v>
      </c>
      <c r="AC190" s="179" t="e">
        <f t="shared" si="111"/>
        <v>#REF!</v>
      </c>
      <c r="AD190" s="179" t="e">
        <f t="shared" si="111"/>
        <v>#REF!</v>
      </c>
      <c r="AE190" s="179" t="e">
        <f t="shared" si="111"/>
        <v>#REF!</v>
      </c>
      <c r="AF190" s="179" t="e">
        <f t="shared" si="111"/>
        <v>#REF!</v>
      </c>
      <c r="AG190" s="179" t="e">
        <f t="shared" si="111"/>
        <v>#REF!</v>
      </c>
    </row>
    <row r="191" spans="1:33">
      <c r="A191" s="173" t="s">
        <v>317</v>
      </c>
      <c r="B191" s="173" t="s">
        <v>309</v>
      </c>
      <c r="C191" s="179" t="e">
        <f t="shared" ref="C191:AG191" si="112">$C$28*$C$27*C69</f>
        <v>#REF!</v>
      </c>
      <c r="D191" s="179" t="e">
        <f t="shared" si="112"/>
        <v>#REF!</v>
      </c>
      <c r="E191" s="179" t="e">
        <f t="shared" si="112"/>
        <v>#REF!</v>
      </c>
      <c r="F191" s="179" t="e">
        <f t="shared" si="112"/>
        <v>#REF!</v>
      </c>
      <c r="G191" s="179" t="e">
        <f t="shared" si="112"/>
        <v>#REF!</v>
      </c>
      <c r="H191" s="179" t="e">
        <f t="shared" si="112"/>
        <v>#REF!</v>
      </c>
      <c r="I191" s="179" t="e">
        <f t="shared" si="112"/>
        <v>#REF!</v>
      </c>
      <c r="J191" s="179" t="e">
        <f t="shared" si="112"/>
        <v>#REF!</v>
      </c>
      <c r="K191" s="179" t="e">
        <f t="shared" si="112"/>
        <v>#REF!</v>
      </c>
      <c r="L191" s="179" t="e">
        <f t="shared" si="112"/>
        <v>#REF!</v>
      </c>
      <c r="M191" s="179" t="e">
        <f t="shared" si="112"/>
        <v>#REF!</v>
      </c>
      <c r="N191" s="179" t="e">
        <f t="shared" si="112"/>
        <v>#REF!</v>
      </c>
      <c r="O191" s="179" t="e">
        <f t="shared" si="112"/>
        <v>#REF!</v>
      </c>
      <c r="P191" s="179" t="e">
        <f t="shared" si="112"/>
        <v>#REF!</v>
      </c>
      <c r="Q191" s="179" t="e">
        <f t="shared" si="112"/>
        <v>#REF!</v>
      </c>
      <c r="R191" s="179" t="e">
        <f t="shared" si="112"/>
        <v>#REF!</v>
      </c>
      <c r="S191" s="179" t="e">
        <f t="shared" si="112"/>
        <v>#REF!</v>
      </c>
      <c r="T191" s="179" t="e">
        <f t="shared" si="112"/>
        <v>#REF!</v>
      </c>
      <c r="U191" s="179" t="e">
        <f t="shared" si="112"/>
        <v>#REF!</v>
      </c>
      <c r="V191" s="179" t="e">
        <f t="shared" si="112"/>
        <v>#REF!</v>
      </c>
      <c r="W191" s="179" t="e">
        <f t="shared" si="112"/>
        <v>#REF!</v>
      </c>
      <c r="X191" s="179" t="e">
        <f t="shared" si="112"/>
        <v>#REF!</v>
      </c>
      <c r="Y191" s="179" t="e">
        <f t="shared" si="112"/>
        <v>#REF!</v>
      </c>
      <c r="Z191" s="179" t="e">
        <f t="shared" si="112"/>
        <v>#REF!</v>
      </c>
      <c r="AA191" s="179" t="e">
        <f t="shared" si="112"/>
        <v>#REF!</v>
      </c>
      <c r="AB191" s="179" t="e">
        <f t="shared" si="112"/>
        <v>#REF!</v>
      </c>
      <c r="AC191" s="179" t="e">
        <f t="shared" si="112"/>
        <v>#REF!</v>
      </c>
      <c r="AD191" s="179" t="e">
        <f t="shared" si="112"/>
        <v>#REF!</v>
      </c>
      <c r="AE191" s="179" t="e">
        <f t="shared" si="112"/>
        <v>#REF!</v>
      </c>
      <c r="AF191" s="179" t="e">
        <f t="shared" si="112"/>
        <v>#REF!</v>
      </c>
      <c r="AG191" s="179" t="e">
        <f t="shared" si="112"/>
        <v>#REF!</v>
      </c>
    </row>
    <row r="192" spans="1:33">
      <c r="A192" s="173" t="s">
        <v>319</v>
      </c>
      <c r="B192" s="173" t="s">
        <v>309</v>
      </c>
      <c r="C192" s="179" t="e">
        <f t="shared" ref="C192:AG192" si="113">C189*$C$34</f>
        <v>#REF!</v>
      </c>
      <c r="D192" s="179" t="e">
        <f t="shared" si="113"/>
        <v>#REF!</v>
      </c>
      <c r="E192" s="179" t="e">
        <f t="shared" si="113"/>
        <v>#REF!</v>
      </c>
      <c r="F192" s="179" t="e">
        <f t="shared" si="113"/>
        <v>#REF!</v>
      </c>
      <c r="G192" s="179" t="e">
        <f t="shared" si="113"/>
        <v>#REF!</v>
      </c>
      <c r="H192" s="179" t="e">
        <f t="shared" si="113"/>
        <v>#REF!</v>
      </c>
      <c r="I192" s="179" t="e">
        <f t="shared" si="113"/>
        <v>#REF!</v>
      </c>
      <c r="J192" s="179" t="e">
        <f t="shared" si="113"/>
        <v>#REF!</v>
      </c>
      <c r="K192" s="179" t="e">
        <f t="shared" si="113"/>
        <v>#REF!</v>
      </c>
      <c r="L192" s="179" t="e">
        <f t="shared" si="113"/>
        <v>#REF!</v>
      </c>
      <c r="M192" s="179" t="e">
        <f t="shared" si="113"/>
        <v>#REF!</v>
      </c>
      <c r="N192" s="179" t="e">
        <f t="shared" si="113"/>
        <v>#REF!</v>
      </c>
      <c r="O192" s="179" t="e">
        <f t="shared" si="113"/>
        <v>#REF!</v>
      </c>
      <c r="P192" s="179" t="e">
        <f t="shared" si="113"/>
        <v>#REF!</v>
      </c>
      <c r="Q192" s="179" t="e">
        <f t="shared" si="113"/>
        <v>#REF!</v>
      </c>
      <c r="R192" s="179" t="e">
        <f t="shared" si="113"/>
        <v>#REF!</v>
      </c>
      <c r="S192" s="179" t="e">
        <f t="shared" si="113"/>
        <v>#REF!</v>
      </c>
      <c r="T192" s="179" t="e">
        <f t="shared" si="113"/>
        <v>#REF!</v>
      </c>
      <c r="U192" s="179" t="e">
        <f t="shared" si="113"/>
        <v>#REF!</v>
      </c>
      <c r="V192" s="179" t="e">
        <f t="shared" si="113"/>
        <v>#REF!</v>
      </c>
      <c r="W192" s="179" t="e">
        <f t="shared" si="113"/>
        <v>#REF!</v>
      </c>
      <c r="X192" s="179" t="e">
        <f t="shared" si="113"/>
        <v>#REF!</v>
      </c>
      <c r="Y192" s="179" t="e">
        <f t="shared" si="113"/>
        <v>#REF!</v>
      </c>
      <c r="Z192" s="179" t="e">
        <f t="shared" si="113"/>
        <v>#REF!</v>
      </c>
      <c r="AA192" s="179" t="e">
        <f t="shared" si="113"/>
        <v>#REF!</v>
      </c>
      <c r="AB192" s="179" t="e">
        <f t="shared" si="113"/>
        <v>#REF!</v>
      </c>
      <c r="AC192" s="179" t="e">
        <f t="shared" si="113"/>
        <v>#REF!</v>
      </c>
      <c r="AD192" s="179" t="e">
        <f t="shared" si="113"/>
        <v>#REF!</v>
      </c>
      <c r="AE192" s="179" t="e">
        <f t="shared" si="113"/>
        <v>#REF!</v>
      </c>
      <c r="AF192" s="179" t="e">
        <f t="shared" si="113"/>
        <v>#REF!</v>
      </c>
      <c r="AG192" s="179" t="e">
        <f t="shared" si="113"/>
        <v>#REF!</v>
      </c>
    </row>
    <row r="193" spans="1:33" s="247" customFormat="1" ht="11.85" customHeight="1">
      <c r="A193" s="270" t="s">
        <v>414</v>
      </c>
      <c r="C193" s="273"/>
      <c r="D193" s="273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  <c r="AC193" s="273"/>
      <c r="AD193" s="273"/>
      <c r="AE193" s="273"/>
      <c r="AF193" s="273"/>
      <c r="AG193" s="273"/>
    </row>
    <row r="194" spans="1:33">
      <c r="A194" s="173" t="s">
        <v>325</v>
      </c>
      <c r="B194" s="173" t="s">
        <v>313</v>
      </c>
      <c r="C194" s="179" t="e">
        <f t="shared" ref="C194:AG194" si="114">-PMT($C$33,$C$31,C189)</f>
        <v>#REF!</v>
      </c>
      <c r="D194" s="179" t="e">
        <f t="shared" si="114"/>
        <v>#REF!</v>
      </c>
      <c r="E194" s="179" t="e">
        <f t="shared" si="114"/>
        <v>#REF!</v>
      </c>
      <c r="F194" s="179" t="e">
        <f t="shared" si="114"/>
        <v>#REF!</v>
      </c>
      <c r="G194" s="179" t="e">
        <f t="shared" si="114"/>
        <v>#REF!</v>
      </c>
      <c r="H194" s="179" t="e">
        <f t="shared" si="114"/>
        <v>#REF!</v>
      </c>
      <c r="I194" s="179" t="e">
        <f t="shared" si="114"/>
        <v>#REF!</v>
      </c>
      <c r="J194" s="179" t="e">
        <f t="shared" si="114"/>
        <v>#REF!</v>
      </c>
      <c r="K194" s="179" t="e">
        <f t="shared" si="114"/>
        <v>#REF!</v>
      </c>
      <c r="L194" s="179" t="e">
        <f t="shared" si="114"/>
        <v>#REF!</v>
      </c>
      <c r="M194" s="179" t="e">
        <f t="shared" si="114"/>
        <v>#REF!</v>
      </c>
      <c r="N194" s="179" t="e">
        <f t="shared" si="114"/>
        <v>#REF!</v>
      </c>
      <c r="O194" s="179" t="e">
        <f t="shared" si="114"/>
        <v>#REF!</v>
      </c>
      <c r="P194" s="179" t="e">
        <f t="shared" si="114"/>
        <v>#REF!</v>
      </c>
      <c r="Q194" s="179" t="e">
        <f t="shared" si="114"/>
        <v>#REF!</v>
      </c>
      <c r="R194" s="179" t="e">
        <f t="shared" si="114"/>
        <v>#REF!</v>
      </c>
      <c r="S194" s="179" t="e">
        <f t="shared" si="114"/>
        <v>#REF!</v>
      </c>
      <c r="T194" s="179" t="e">
        <f t="shared" si="114"/>
        <v>#REF!</v>
      </c>
      <c r="U194" s="179" t="e">
        <f t="shared" si="114"/>
        <v>#REF!</v>
      </c>
      <c r="V194" s="179" t="e">
        <f t="shared" si="114"/>
        <v>#REF!</v>
      </c>
      <c r="W194" s="179" t="e">
        <f t="shared" si="114"/>
        <v>#REF!</v>
      </c>
      <c r="X194" s="179" t="e">
        <f t="shared" si="114"/>
        <v>#REF!</v>
      </c>
      <c r="Y194" s="179" t="e">
        <f t="shared" si="114"/>
        <v>#REF!</v>
      </c>
      <c r="Z194" s="179" t="e">
        <f t="shared" si="114"/>
        <v>#REF!</v>
      </c>
      <c r="AA194" s="179" t="e">
        <f t="shared" si="114"/>
        <v>#REF!</v>
      </c>
      <c r="AB194" s="179" t="e">
        <f t="shared" si="114"/>
        <v>#REF!</v>
      </c>
      <c r="AC194" s="179" t="e">
        <f t="shared" si="114"/>
        <v>#REF!</v>
      </c>
      <c r="AD194" s="179" t="e">
        <f t="shared" si="114"/>
        <v>#REF!</v>
      </c>
      <c r="AE194" s="179" t="e">
        <f t="shared" si="114"/>
        <v>#REF!</v>
      </c>
      <c r="AF194" s="179" t="e">
        <f t="shared" si="114"/>
        <v>#REF!</v>
      </c>
      <c r="AG194" s="179" t="e">
        <f t="shared" si="114"/>
        <v>#REF!</v>
      </c>
    </row>
    <row r="195" spans="1:33">
      <c r="A195" s="173" t="s">
        <v>333</v>
      </c>
      <c r="B195" s="173" t="s">
        <v>313</v>
      </c>
      <c r="C195" s="179" t="e">
        <f t="shared" ref="C195:AG196" si="115">C190</f>
        <v>#REF!</v>
      </c>
      <c r="D195" s="179" t="e">
        <f t="shared" si="115"/>
        <v>#REF!</v>
      </c>
      <c r="E195" s="179" t="e">
        <f t="shared" si="115"/>
        <v>#REF!</v>
      </c>
      <c r="F195" s="179" t="e">
        <f t="shared" si="115"/>
        <v>#REF!</v>
      </c>
      <c r="G195" s="179" t="e">
        <f t="shared" si="115"/>
        <v>#REF!</v>
      </c>
      <c r="H195" s="179" t="e">
        <f t="shared" si="115"/>
        <v>#REF!</v>
      </c>
      <c r="I195" s="179" t="e">
        <f t="shared" si="115"/>
        <v>#REF!</v>
      </c>
      <c r="J195" s="179" t="e">
        <f t="shared" si="115"/>
        <v>#REF!</v>
      </c>
      <c r="K195" s="179" t="e">
        <f t="shared" si="115"/>
        <v>#REF!</v>
      </c>
      <c r="L195" s="179" t="e">
        <f t="shared" si="115"/>
        <v>#REF!</v>
      </c>
      <c r="M195" s="179" t="e">
        <f t="shared" si="115"/>
        <v>#REF!</v>
      </c>
      <c r="N195" s="179" t="e">
        <f t="shared" si="115"/>
        <v>#REF!</v>
      </c>
      <c r="O195" s="179" t="e">
        <f t="shared" si="115"/>
        <v>#REF!</v>
      </c>
      <c r="P195" s="179" t="e">
        <f t="shared" si="115"/>
        <v>#REF!</v>
      </c>
      <c r="Q195" s="179" t="e">
        <f t="shared" si="115"/>
        <v>#REF!</v>
      </c>
      <c r="R195" s="179" t="e">
        <f t="shared" si="115"/>
        <v>#REF!</v>
      </c>
      <c r="S195" s="179" t="e">
        <f t="shared" si="115"/>
        <v>#REF!</v>
      </c>
      <c r="T195" s="179" t="e">
        <f t="shared" si="115"/>
        <v>#REF!</v>
      </c>
      <c r="U195" s="179" t="e">
        <f t="shared" si="115"/>
        <v>#REF!</v>
      </c>
      <c r="V195" s="179" t="e">
        <f t="shared" si="115"/>
        <v>#REF!</v>
      </c>
      <c r="W195" s="179" t="e">
        <f t="shared" si="115"/>
        <v>#REF!</v>
      </c>
      <c r="X195" s="179" t="e">
        <f t="shared" si="115"/>
        <v>#REF!</v>
      </c>
      <c r="Y195" s="179" t="e">
        <f t="shared" si="115"/>
        <v>#REF!</v>
      </c>
      <c r="Z195" s="179" t="e">
        <f t="shared" si="115"/>
        <v>#REF!</v>
      </c>
      <c r="AA195" s="179" t="e">
        <f t="shared" si="115"/>
        <v>#REF!</v>
      </c>
      <c r="AB195" s="179" t="e">
        <f t="shared" si="115"/>
        <v>#REF!</v>
      </c>
      <c r="AC195" s="179" t="e">
        <f t="shared" si="115"/>
        <v>#REF!</v>
      </c>
      <c r="AD195" s="179" t="e">
        <f t="shared" si="115"/>
        <v>#REF!</v>
      </c>
      <c r="AE195" s="179" t="e">
        <f t="shared" si="115"/>
        <v>#REF!</v>
      </c>
      <c r="AF195" s="179" t="e">
        <f t="shared" si="115"/>
        <v>#REF!</v>
      </c>
      <c r="AG195" s="179" t="e">
        <f t="shared" si="115"/>
        <v>#REF!</v>
      </c>
    </row>
    <row r="196" spans="1:33">
      <c r="A196" s="173" t="s">
        <v>317</v>
      </c>
      <c r="B196" s="173" t="s">
        <v>313</v>
      </c>
      <c r="C196" s="179" t="e">
        <f t="shared" si="115"/>
        <v>#REF!</v>
      </c>
      <c r="D196" s="179" t="e">
        <f t="shared" si="115"/>
        <v>#REF!</v>
      </c>
      <c r="E196" s="179" t="e">
        <f t="shared" si="115"/>
        <v>#REF!</v>
      </c>
      <c r="F196" s="179" t="e">
        <f t="shared" si="115"/>
        <v>#REF!</v>
      </c>
      <c r="G196" s="179" t="e">
        <f t="shared" si="115"/>
        <v>#REF!</v>
      </c>
      <c r="H196" s="179" t="e">
        <f t="shared" si="115"/>
        <v>#REF!</v>
      </c>
      <c r="I196" s="179" t="e">
        <f t="shared" si="115"/>
        <v>#REF!</v>
      </c>
      <c r="J196" s="179" t="e">
        <f t="shared" si="115"/>
        <v>#REF!</v>
      </c>
      <c r="K196" s="179" t="e">
        <f t="shared" si="115"/>
        <v>#REF!</v>
      </c>
      <c r="L196" s="179" t="e">
        <f t="shared" si="115"/>
        <v>#REF!</v>
      </c>
      <c r="M196" s="179" t="e">
        <f t="shared" si="115"/>
        <v>#REF!</v>
      </c>
      <c r="N196" s="179" t="e">
        <f t="shared" si="115"/>
        <v>#REF!</v>
      </c>
      <c r="O196" s="179" t="e">
        <f t="shared" si="115"/>
        <v>#REF!</v>
      </c>
      <c r="P196" s="179" t="e">
        <f t="shared" si="115"/>
        <v>#REF!</v>
      </c>
      <c r="Q196" s="179" t="e">
        <f t="shared" si="115"/>
        <v>#REF!</v>
      </c>
      <c r="R196" s="179" t="e">
        <f t="shared" si="115"/>
        <v>#REF!</v>
      </c>
      <c r="S196" s="179" t="e">
        <f t="shared" si="115"/>
        <v>#REF!</v>
      </c>
      <c r="T196" s="179" t="e">
        <f t="shared" si="115"/>
        <v>#REF!</v>
      </c>
      <c r="U196" s="179" t="e">
        <f t="shared" si="115"/>
        <v>#REF!</v>
      </c>
      <c r="V196" s="179" t="e">
        <f t="shared" si="115"/>
        <v>#REF!</v>
      </c>
      <c r="W196" s="179" t="e">
        <f t="shared" si="115"/>
        <v>#REF!</v>
      </c>
      <c r="X196" s="179" t="e">
        <f t="shared" si="115"/>
        <v>#REF!</v>
      </c>
      <c r="Y196" s="179" t="e">
        <f t="shared" si="115"/>
        <v>#REF!</v>
      </c>
      <c r="Z196" s="179" t="e">
        <f t="shared" si="115"/>
        <v>#REF!</v>
      </c>
      <c r="AA196" s="179" t="e">
        <f t="shared" si="115"/>
        <v>#REF!</v>
      </c>
      <c r="AB196" s="179" t="e">
        <f t="shared" si="115"/>
        <v>#REF!</v>
      </c>
      <c r="AC196" s="179" t="e">
        <f t="shared" si="115"/>
        <v>#REF!</v>
      </c>
      <c r="AD196" s="179" t="e">
        <f t="shared" si="115"/>
        <v>#REF!</v>
      </c>
      <c r="AE196" s="179" t="e">
        <f t="shared" si="115"/>
        <v>#REF!</v>
      </c>
      <c r="AF196" s="179" t="e">
        <f t="shared" si="115"/>
        <v>#REF!</v>
      </c>
      <c r="AG196" s="179" t="e">
        <f t="shared" si="115"/>
        <v>#REF!</v>
      </c>
    </row>
    <row r="197" spans="1:33">
      <c r="A197" s="173" t="s">
        <v>430</v>
      </c>
      <c r="B197" s="173" t="s">
        <v>313</v>
      </c>
      <c r="C197" s="179" t="e">
        <f t="shared" ref="C197:AG197" si="116">-PMT($C$33, C188, C187)/C188</f>
        <v>#REF!</v>
      </c>
      <c r="D197" s="179" t="e">
        <f t="shared" si="116"/>
        <v>#REF!</v>
      </c>
      <c r="E197" s="179" t="e">
        <f t="shared" si="116"/>
        <v>#REF!</v>
      </c>
      <c r="F197" s="179" t="e">
        <f t="shared" si="116"/>
        <v>#REF!</v>
      </c>
      <c r="G197" s="179" t="e">
        <f t="shared" si="116"/>
        <v>#REF!</v>
      </c>
      <c r="H197" s="179" t="e">
        <f t="shared" si="116"/>
        <v>#REF!</v>
      </c>
      <c r="I197" s="179" t="e">
        <f t="shared" si="116"/>
        <v>#REF!</v>
      </c>
      <c r="J197" s="179" t="e">
        <f t="shared" si="116"/>
        <v>#REF!</v>
      </c>
      <c r="K197" s="179" t="e">
        <f t="shared" si="116"/>
        <v>#REF!</v>
      </c>
      <c r="L197" s="179" t="e">
        <f t="shared" si="116"/>
        <v>#REF!</v>
      </c>
      <c r="M197" s="179" t="e">
        <f t="shared" si="116"/>
        <v>#REF!</v>
      </c>
      <c r="N197" s="179" t="e">
        <f t="shared" si="116"/>
        <v>#REF!</v>
      </c>
      <c r="O197" s="179" t="e">
        <f t="shared" si="116"/>
        <v>#REF!</v>
      </c>
      <c r="P197" s="179" t="e">
        <f t="shared" si="116"/>
        <v>#REF!</v>
      </c>
      <c r="Q197" s="179" t="e">
        <f t="shared" si="116"/>
        <v>#REF!</v>
      </c>
      <c r="R197" s="179" t="e">
        <f t="shared" si="116"/>
        <v>#REF!</v>
      </c>
      <c r="S197" s="179" t="e">
        <f t="shared" si="116"/>
        <v>#REF!</v>
      </c>
      <c r="T197" s="179" t="e">
        <f t="shared" si="116"/>
        <v>#REF!</v>
      </c>
      <c r="U197" s="179" t="e">
        <f t="shared" si="116"/>
        <v>#REF!</v>
      </c>
      <c r="V197" s="179" t="e">
        <f t="shared" si="116"/>
        <v>#REF!</v>
      </c>
      <c r="W197" s="179" t="e">
        <f t="shared" si="116"/>
        <v>#REF!</v>
      </c>
      <c r="X197" s="179" t="e">
        <f t="shared" si="116"/>
        <v>#REF!</v>
      </c>
      <c r="Y197" s="179" t="e">
        <f t="shared" si="116"/>
        <v>#REF!</v>
      </c>
      <c r="Z197" s="179" t="e">
        <f t="shared" si="116"/>
        <v>#REF!</v>
      </c>
      <c r="AA197" s="179" t="e">
        <f t="shared" si="116"/>
        <v>#REF!</v>
      </c>
      <c r="AB197" s="179" t="e">
        <f t="shared" si="116"/>
        <v>#REF!</v>
      </c>
      <c r="AC197" s="179" t="e">
        <f t="shared" si="116"/>
        <v>#REF!</v>
      </c>
      <c r="AD197" s="179" t="e">
        <f t="shared" si="116"/>
        <v>#REF!</v>
      </c>
      <c r="AE197" s="179" t="e">
        <f t="shared" si="116"/>
        <v>#REF!</v>
      </c>
      <c r="AF197" s="179" t="e">
        <f t="shared" si="116"/>
        <v>#REF!</v>
      </c>
      <c r="AG197" s="179" t="e">
        <f t="shared" si="116"/>
        <v>#REF!</v>
      </c>
    </row>
    <row r="198" spans="1:33">
      <c r="A198" s="173" t="s">
        <v>319</v>
      </c>
      <c r="B198" s="173" t="s">
        <v>313</v>
      </c>
      <c r="C198" s="179" t="e">
        <f>C192</f>
        <v>#REF!</v>
      </c>
      <c r="D198" s="179" t="e">
        <f t="shared" ref="D198:AG198" si="117">D192</f>
        <v>#REF!</v>
      </c>
      <c r="E198" s="179" t="e">
        <f t="shared" si="117"/>
        <v>#REF!</v>
      </c>
      <c r="F198" s="179" t="e">
        <f t="shared" si="117"/>
        <v>#REF!</v>
      </c>
      <c r="G198" s="179" t="e">
        <f t="shared" si="117"/>
        <v>#REF!</v>
      </c>
      <c r="H198" s="179" t="e">
        <f t="shared" si="117"/>
        <v>#REF!</v>
      </c>
      <c r="I198" s="179" t="e">
        <f t="shared" si="117"/>
        <v>#REF!</v>
      </c>
      <c r="J198" s="179" t="e">
        <f t="shared" si="117"/>
        <v>#REF!</v>
      </c>
      <c r="K198" s="179" t="e">
        <f t="shared" si="117"/>
        <v>#REF!</v>
      </c>
      <c r="L198" s="179" t="e">
        <f t="shared" si="117"/>
        <v>#REF!</v>
      </c>
      <c r="M198" s="179" t="e">
        <f t="shared" si="117"/>
        <v>#REF!</v>
      </c>
      <c r="N198" s="179" t="e">
        <f t="shared" si="117"/>
        <v>#REF!</v>
      </c>
      <c r="O198" s="179" t="e">
        <f t="shared" si="117"/>
        <v>#REF!</v>
      </c>
      <c r="P198" s="179" t="e">
        <f t="shared" si="117"/>
        <v>#REF!</v>
      </c>
      <c r="Q198" s="179" t="e">
        <f t="shared" si="117"/>
        <v>#REF!</v>
      </c>
      <c r="R198" s="179" t="e">
        <f t="shared" si="117"/>
        <v>#REF!</v>
      </c>
      <c r="S198" s="179" t="e">
        <f t="shared" si="117"/>
        <v>#REF!</v>
      </c>
      <c r="T198" s="179" t="e">
        <f t="shared" si="117"/>
        <v>#REF!</v>
      </c>
      <c r="U198" s="179" t="e">
        <f t="shared" si="117"/>
        <v>#REF!</v>
      </c>
      <c r="V198" s="179" t="e">
        <f t="shared" si="117"/>
        <v>#REF!</v>
      </c>
      <c r="W198" s="179" t="e">
        <f t="shared" si="117"/>
        <v>#REF!</v>
      </c>
      <c r="X198" s="179" t="e">
        <f t="shared" si="117"/>
        <v>#REF!</v>
      </c>
      <c r="Y198" s="179" t="e">
        <f t="shared" si="117"/>
        <v>#REF!</v>
      </c>
      <c r="Z198" s="179" t="e">
        <f t="shared" si="117"/>
        <v>#REF!</v>
      </c>
      <c r="AA198" s="179" t="e">
        <f t="shared" si="117"/>
        <v>#REF!</v>
      </c>
      <c r="AB198" s="179" t="e">
        <f t="shared" si="117"/>
        <v>#REF!</v>
      </c>
      <c r="AC198" s="179" t="e">
        <f t="shared" si="117"/>
        <v>#REF!</v>
      </c>
      <c r="AD198" s="179" t="e">
        <f t="shared" si="117"/>
        <v>#REF!</v>
      </c>
      <c r="AE198" s="179" t="e">
        <f t="shared" si="117"/>
        <v>#REF!</v>
      </c>
      <c r="AF198" s="179" t="e">
        <f t="shared" si="117"/>
        <v>#REF!</v>
      </c>
      <c r="AG198" s="179" t="e">
        <f t="shared" si="117"/>
        <v>#REF!</v>
      </c>
    </row>
    <row r="199" spans="1:33" s="247" customFormat="1" ht="11.85" customHeight="1">
      <c r="A199" s="270" t="s">
        <v>320</v>
      </c>
      <c r="C199" s="273"/>
      <c r="D199" s="273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  <c r="AC199" s="273"/>
      <c r="AD199" s="273"/>
      <c r="AE199" s="273"/>
      <c r="AF199" s="273"/>
      <c r="AG199" s="273"/>
    </row>
    <row r="200" spans="1:33">
      <c r="A200" s="173" t="s">
        <v>325</v>
      </c>
      <c r="B200" s="173" t="s">
        <v>300</v>
      </c>
      <c r="C200" s="179" t="e">
        <f t="shared" ref="C200:AG201" si="118">C194/($C$28*$C$27)</f>
        <v>#REF!</v>
      </c>
      <c r="D200" s="179" t="e">
        <f t="shared" si="118"/>
        <v>#REF!</v>
      </c>
      <c r="E200" s="179" t="e">
        <f t="shared" si="118"/>
        <v>#REF!</v>
      </c>
      <c r="F200" s="179" t="e">
        <f t="shared" si="118"/>
        <v>#REF!</v>
      </c>
      <c r="G200" s="179" t="e">
        <f t="shared" si="118"/>
        <v>#REF!</v>
      </c>
      <c r="H200" s="179" t="e">
        <f t="shared" si="118"/>
        <v>#REF!</v>
      </c>
      <c r="I200" s="179" t="e">
        <f t="shared" si="118"/>
        <v>#REF!</v>
      </c>
      <c r="J200" s="179" t="e">
        <f t="shared" si="118"/>
        <v>#REF!</v>
      </c>
      <c r="K200" s="179" t="e">
        <f t="shared" si="118"/>
        <v>#REF!</v>
      </c>
      <c r="L200" s="179" t="e">
        <f t="shared" si="118"/>
        <v>#REF!</v>
      </c>
      <c r="M200" s="179" t="e">
        <f t="shared" si="118"/>
        <v>#REF!</v>
      </c>
      <c r="N200" s="179" t="e">
        <f t="shared" si="118"/>
        <v>#REF!</v>
      </c>
      <c r="O200" s="179" t="e">
        <f t="shared" si="118"/>
        <v>#REF!</v>
      </c>
      <c r="P200" s="179" t="e">
        <f t="shared" si="118"/>
        <v>#REF!</v>
      </c>
      <c r="Q200" s="179" t="e">
        <f t="shared" si="118"/>
        <v>#REF!</v>
      </c>
      <c r="R200" s="179" t="e">
        <f t="shared" si="118"/>
        <v>#REF!</v>
      </c>
      <c r="S200" s="179" t="e">
        <f t="shared" si="118"/>
        <v>#REF!</v>
      </c>
      <c r="T200" s="179" t="e">
        <f t="shared" si="118"/>
        <v>#REF!</v>
      </c>
      <c r="U200" s="179" t="e">
        <f t="shared" si="118"/>
        <v>#REF!</v>
      </c>
      <c r="V200" s="179" t="e">
        <f t="shared" si="118"/>
        <v>#REF!</v>
      </c>
      <c r="W200" s="179" t="e">
        <f t="shared" si="118"/>
        <v>#REF!</v>
      </c>
      <c r="X200" s="179" t="e">
        <f t="shared" si="118"/>
        <v>#REF!</v>
      </c>
      <c r="Y200" s="179" t="e">
        <f t="shared" si="118"/>
        <v>#REF!</v>
      </c>
      <c r="Z200" s="179" t="e">
        <f t="shared" si="118"/>
        <v>#REF!</v>
      </c>
      <c r="AA200" s="179" t="e">
        <f t="shared" si="118"/>
        <v>#REF!</v>
      </c>
      <c r="AB200" s="179" t="e">
        <f t="shared" si="118"/>
        <v>#REF!</v>
      </c>
      <c r="AC200" s="179" t="e">
        <f t="shared" si="118"/>
        <v>#REF!</v>
      </c>
      <c r="AD200" s="179" t="e">
        <f t="shared" si="118"/>
        <v>#REF!</v>
      </c>
      <c r="AE200" s="179" t="e">
        <f t="shared" si="118"/>
        <v>#REF!</v>
      </c>
      <c r="AF200" s="179" t="e">
        <f t="shared" si="118"/>
        <v>#REF!</v>
      </c>
      <c r="AG200" s="179" t="e">
        <f t="shared" si="118"/>
        <v>#REF!</v>
      </c>
    </row>
    <row r="201" spans="1:33">
      <c r="A201" s="173" t="s">
        <v>321</v>
      </c>
      <c r="B201" s="173" t="s">
        <v>300</v>
      </c>
      <c r="C201" s="179" t="e">
        <f t="shared" si="118"/>
        <v>#REF!</v>
      </c>
      <c r="D201" s="179" t="e">
        <f t="shared" si="118"/>
        <v>#REF!</v>
      </c>
      <c r="E201" s="179" t="e">
        <f t="shared" si="118"/>
        <v>#REF!</v>
      </c>
      <c r="F201" s="179" t="e">
        <f t="shared" si="118"/>
        <v>#REF!</v>
      </c>
      <c r="G201" s="179" t="e">
        <f t="shared" si="118"/>
        <v>#REF!</v>
      </c>
      <c r="H201" s="179" t="e">
        <f t="shared" si="118"/>
        <v>#REF!</v>
      </c>
      <c r="I201" s="179" t="e">
        <f t="shared" si="118"/>
        <v>#REF!</v>
      </c>
      <c r="J201" s="179" t="e">
        <f t="shared" si="118"/>
        <v>#REF!</v>
      </c>
      <c r="K201" s="179" t="e">
        <f t="shared" si="118"/>
        <v>#REF!</v>
      </c>
      <c r="L201" s="179" t="e">
        <f t="shared" si="118"/>
        <v>#REF!</v>
      </c>
      <c r="M201" s="179" t="e">
        <f t="shared" si="118"/>
        <v>#REF!</v>
      </c>
      <c r="N201" s="179" t="e">
        <f t="shared" si="118"/>
        <v>#REF!</v>
      </c>
      <c r="O201" s="179" t="e">
        <f t="shared" si="118"/>
        <v>#REF!</v>
      </c>
      <c r="P201" s="179" t="e">
        <f t="shared" si="118"/>
        <v>#REF!</v>
      </c>
      <c r="Q201" s="179" t="e">
        <f t="shared" si="118"/>
        <v>#REF!</v>
      </c>
      <c r="R201" s="179" t="e">
        <f t="shared" si="118"/>
        <v>#REF!</v>
      </c>
      <c r="S201" s="179" t="e">
        <f t="shared" si="118"/>
        <v>#REF!</v>
      </c>
      <c r="T201" s="179" t="e">
        <f t="shared" si="118"/>
        <v>#REF!</v>
      </c>
      <c r="U201" s="179" t="e">
        <f t="shared" si="118"/>
        <v>#REF!</v>
      </c>
      <c r="V201" s="179" t="e">
        <f t="shared" si="118"/>
        <v>#REF!</v>
      </c>
      <c r="W201" s="179" t="e">
        <f t="shared" si="118"/>
        <v>#REF!</v>
      </c>
      <c r="X201" s="179" t="e">
        <f t="shared" si="118"/>
        <v>#REF!</v>
      </c>
      <c r="Y201" s="179" t="e">
        <f t="shared" si="118"/>
        <v>#REF!</v>
      </c>
      <c r="Z201" s="179" t="e">
        <f t="shared" si="118"/>
        <v>#REF!</v>
      </c>
      <c r="AA201" s="179" t="e">
        <f t="shared" si="118"/>
        <v>#REF!</v>
      </c>
      <c r="AB201" s="179" t="e">
        <f t="shared" si="118"/>
        <v>#REF!</v>
      </c>
      <c r="AC201" s="179" t="e">
        <f t="shared" si="118"/>
        <v>#REF!</v>
      </c>
      <c r="AD201" s="179" t="e">
        <f t="shared" si="118"/>
        <v>#REF!</v>
      </c>
      <c r="AE201" s="179" t="e">
        <f t="shared" si="118"/>
        <v>#REF!</v>
      </c>
      <c r="AF201" s="179" t="e">
        <f t="shared" si="118"/>
        <v>#REF!</v>
      </c>
      <c r="AG201" s="179" t="e">
        <f t="shared" si="118"/>
        <v>#REF!</v>
      </c>
    </row>
    <row r="202" spans="1:33">
      <c r="A202" s="173" t="s">
        <v>322</v>
      </c>
      <c r="B202" s="173" t="s">
        <v>300</v>
      </c>
      <c r="C202" s="179" t="e">
        <f t="shared" ref="C202:AG202" si="119">(C196+C198+C197+C70)/($C$28*$C$27)+C63</f>
        <v>#REF!</v>
      </c>
      <c r="D202" s="179" t="e">
        <f t="shared" si="119"/>
        <v>#REF!</v>
      </c>
      <c r="E202" s="179" t="e">
        <f t="shared" si="119"/>
        <v>#REF!</v>
      </c>
      <c r="F202" s="179" t="e">
        <f t="shared" si="119"/>
        <v>#REF!</v>
      </c>
      <c r="G202" s="179" t="e">
        <f t="shared" si="119"/>
        <v>#REF!</v>
      </c>
      <c r="H202" s="179" t="e">
        <f t="shared" si="119"/>
        <v>#REF!</v>
      </c>
      <c r="I202" s="179" t="e">
        <f t="shared" si="119"/>
        <v>#REF!</v>
      </c>
      <c r="J202" s="179" t="e">
        <f t="shared" si="119"/>
        <v>#REF!</v>
      </c>
      <c r="K202" s="179" t="e">
        <f t="shared" si="119"/>
        <v>#REF!</v>
      </c>
      <c r="L202" s="179" t="e">
        <f t="shared" si="119"/>
        <v>#REF!</v>
      </c>
      <c r="M202" s="179" t="e">
        <f t="shared" si="119"/>
        <v>#REF!</v>
      </c>
      <c r="N202" s="179" t="e">
        <f t="shared" si="119"/>
        <v>#REF!</v>
      </c>
      <c r="O202" s="179" t="e">
        <f t="shared" si="119"/>
        <v>#REF!</v>
      </c>
      <c r="P202" s="179" t="e">
        <f t="shared" si="119"/>
        <v>#REF!</v>
      </c>
      <c r="Q202" s="179" t="e">
        <f t="shared" si="119"/>
        <v>#REF!</v>
      </c>
      <c r="R202" s="179" t="e">
        <f t="shared" si="119"/>
        <v>#REF!</v>
      </c>
      <c r="S202" s="179" t="e">
        <f t="shared" si="119"/>
        <v>#REF!</v>
      </c>
      <c r="T202" s="179" t="e">
        <f t="shared" si="119"/>
        <v>#REF!</v>
      </c>
      <c r="U202" s="179" t="e">
        <f t="shared" si="119"/>
        <v>#REF!</v>
      </c>
      <c r="V202" s="179" t="e">
        <f t="shared" si="119"/>
        <v>#REF!</v>
      </c>
      <c r="W202" s="179" t="e">
        <f t="shared" si="119"/>
        <v>#REF!</v>
      </c>
      <c r="X202" s="179" t="e">
        <f t="shared" si="119"/>
        <v>#REF!</v>
      </c>
      <c r="Y202" s="179" t="e">
        <f t="shared" si="119"/>
        <v>#REF!</v>
      </c>
      <c r="Z202" s="179" t="e">
        <f t="shared" si="119"/>
        <v>#REF!</v>
      </c>
      <c r="AA202" s="179" t="e">
        <f t="shared" si="119"/>
        <v>#REF!</v>
      </c>
      <c r="AB202" s="179" t="e">
        <f t="shared" si="119"/>
        <v>#REF!</v>
      </c>
      <c r="AC202" s="179" t="e">
        <f t="shared" si="119"/>
        <v>#REF!</v>
      </c>
      <c r="AD202" s="179" t="e">
        <f t="shared" si="119"/>
        <v>#REF!</v>
      </c>
      <c r="AE202" s="179" t="e">
        <f t="shared" si="119"/>
        <v>#REF!</v>
      </c>
      <c r="AF202" s="179" t="e">
        <f t="shared" si="119"/>
        <v>#REF!</v>
      </c>
      <c r="AG202" s="179" t="e">
        <f t="shared" si="119"/>
        <v>#REF!</v>
      </c>
    </row>
    <row r="203" spans="1:33">
      <c r="C203" s="271" t="e">
        <f t="shared" ref="C203:AB203" si="120">SUM(C200:C202)</f>
        <v>#REF!</v>
      </c>
      <c r="D203" s="271" t="e">
        <f t="shared" si="120"/>
        <v>#REF!</v>
      </c>
      <c r="E203" s="271" t="e">
        <f t="shared" si="120"/>
        <v>#REF!</v>
      </c>
      <c r="F203" s="271" t="e">
        <f t="shared" si="120"/>
        <v>#REF!</v>
      </c>
      <c r="G203" s="271" t="e">
        <f t="shared" si="120"/>
        <v>#REF!</v>
      </c>
      <c r="H203" s="271" t="e">
        <f t="shared" si="120"/>
        <v>#REF!</v>
      </c>
      <c r="I203" s="271" t="e">
        <f t="shared" si="120"/>
        <v>#REF!</v>
      </c>
      <c r="J203" s="271" t="e">
        <f t="shared" si="120"/>
        <v>#REF!</v>
      </c>
      <c r="K203" s="271" t="e">
        <f t="shared" si="120"/>
        <v>#REF!</v>
      </c>
      <c r="L203" s="271" t="e">
        <f t="shared" si="120"/>
        <v>#REF!</v>
      </c>
      <c r="M203" s="271" t="e">
        <f t="shared" si="120"/>
        <v>#REF!</v>
      </c>
      <c r="N203" s="271" t="e">
        <f t="shared" si="120"/>
        <v>#REF!</v>
      </c>
      <c r="O203" s="271" t="e">
        <f t="shared" si="120"/>
        <v>#REF!</v>
      </c>
      <c r="P203" s="271" t="e">
        <f t="shared" si="120"/>
        <v>#REF!</v>
      </c>
      <c r="Q203" s="271" t="e">
        <f t="shared" si="120"/>
        <v>#REF!</v>
      </c>
      <c r="R203" s="271" t="e">
        <f t="shared" si="120"/>
        <v>#REF!</v>
      </c>
      <c r="S203" s="271" t="e">
        <f t="shared" si="120"/>
        <v>#REF!</v>
      </c>
      <c r="T203" s="271" t="e">
        <f t="shared" si="120"/>
        <v>#REF!</v>
      </c>
      <c r="U203" s="271" t="e">
        <f t="shared" si="120"/>
        <v>#REF!</v>
      </c>
      <c r="V203" s="271" t="e">
        <f t="shared" si="120"/>
        <v>#REF!</v>
      </c>
      <c r="W203" s="271" t="e">
        <f t="shared" si="120"/>
        <v>#REF!</v>
      </c>
      <c r="X203" s="271" t="e">
        <f t="shared" si="120"/>
        <v>#REF!</v>
      </c>
      <c r="Y203" s="271" t="e">
        <f t="shared" si="120"/>
        <v>#REF!</v>
      </c>
      <c r="Z203" s="271" t="e">
        <f t="shared" si="120"/>
        <v>#REF!</v>
      </c>
      <c r="AA203" s="271" t="e">
        <f t="shared" si="120"/>
        <v>#REF!</v>
      </c>
      <c r="AB203" s="271" t="e">
        <f t="shared" si="120"/>
        <v>#REF!</v>
      </c>
      <c r="AC203" s="271" t="e">
        <f t="shared" ref="AC203:AG203" si="121">SUM(AC200:AC202)</f>
        <v>#REF!</v>
      </c>
      <c r="AD203" s="271" t="e">
        <f t="shared" si="121"/>
        <v>#REF!</v>
      </c>
      <c r="AE203" s="271" t="e">
        <f t="shared" si="121"/>
        <v>#REF!</v>
      </c>
      <c r="AF203" s="271" t="e">
        <f t="shared" si="121"/>
        <v>#REF!</v>
      </c>
      <c r="AG203" s="271" t="e">
        <f t="shared" si="121"/>
        <v>#REF!</v>
      </c>
    </row>
    <row r="204" spans="1:33">
      <c r="A204" s="235" t="s">
        <v>323</v>
      </c>
      <c r="B204" s="235"/>
      <c r="C204" s="235">
        <v>2025</v>
      </c>
      <c r="D204" s="235">
        <f t="shared" ref="D204:AG204" si="122">C204+1</f>
        <v>2026</v>
      </c>
      <c r="E204" s="235">
        <f t="shared" si="122"/>
        <v>2027</v>
      </c>
      <c r="F204" s="235">
        <f t="shared" si="122"/>
        <v>2028</v>
      </c>
      <c r="G204" s="235">
        <f t="shared" si="122"/>
        <v>2029</v>
      </c>
      <c r="H204" s="235">
        <f t="shared" si="122"/>
        <v>2030</v>
      </c>
      <c r="I204" s="235">
        <f t="shared" si="122"/>
        <v>2031</v>
      </c>
      <c r="J204" s="235">
        <f t="shared" si="122"/>
        <v>2032</v>
      </c>
      <c r="K204" s="235">
        <f t="shared" si="122"/>
        <v>2033</v>
      </c>
      <c r="L204" s="235">
        <f t="shared" si="122"/>
        <v>2034</v>
      </c>
      <c r="M204" s="235">
        <f t="shared" si="122"/>
        <v>2035</v>
      </c>
      <c r="N204" s="235">
        <f t="shared" si="122"/>
        <v>2036</v>
      </c>
      <c r="O204" s="235">
        <f t="shared" si="122"/>
        <v>2037</v>
      </c>
      <c r="P204" s="235">
        <f t="shared" si="122"/>
        <v>2038</v>
      </c>
      <c r="Q204" s="235">
        <f t="shared" si="122"/>
        <v>2039</v>
      </c>
      <c r="R204" s="235">
        <f t="shared" si="122"/>
        <v>2040</v>
      </c>
      <c r="S204" s="235">
        <f t="shared" si="122"/>
        <v>2041</v>
      </c>
      <c r="T204" s="235">
        <f t="shared" si="122"/>
        <v>2042</v>
      </c>
      <c r="U204" s="235">
        <f t="shared" si="122"/>
        <v>2043</v>
      </c>
      <c r="V204" s="235">
        <f t="shared" si="122"/>
        <v>2044</v>
      </c>
      <c r="W204" s="235">
        <f t="shared" si="122"/>
        <v>2045</v>
      </c>
      <c r="X204" s="235">
        <f t="shared" si="122"/>
        <v>2046</v>
      </c>
      <c r="Y204" s="235">
        <f t="shared" si="122"/>
        <v>2047</v>
      </c>
      <c r="Z204" s="235">
        <f t="shared" si="122"/>
        <v>2048</v>
      </c>
      <c r="AA204" s="235">
        <f t="shared" si="122"/>
        <v>2049</v>
      </c>
      <c r="AB204" s="235">
        <f t="shared" si="122"/>
        <v>2050</v>
      </c>
      <c r="AC204" s="235">
        <f t="shared" si="122"/>
        <v>2051</v>
      </c>
      <c r="AD204" s="235">
        <f t="shared" si="122"/>
        <v>2052</v>
      </c>
      <c r="AE204" s="235">
        <f t="shared" si="122"/>
        <v>2053</v>
      </c>
      <c r="AF204" s="235">
        <f t="shared" si="122"/>
        <v>2054</v>
      </c>
      <c r="AG204" s="235">
        <f t="shared" si="122"/>
        <v>2055</v>
      </c>
    </row>
    <row r="205" spans="1:33">
      <c r="A205" s="173" t="str">
        <f>A85</f>
        <v xml:space="preserve">Diesel   </v>
      </c>
      <c r="B205" s="173" t="str">
        <f>A205</f>
        <v xml:space="preserve">Diesel   </v>
      </c>
      <c r="C205" s="295" t="e">
        <f t="shared" ref="C205:AG205" si="123">SUM(C100:C102)</f>
        <v>#REF!</v>
      </c>
      <c r="D205" s="295" t="e">
        <f t="shared" si="123"/>
        <v>#REF!</v>
      </c>
      <c r="E205" s="295" t="e">
        <f t="shared" si="123"/>
        <v>#REF!</v>
      </c>
      <c r="F205" s="295" t="e">
        <f t="shared" si="123"/>
        <v>#REF!</v>
      </c>
      <c r="G205" s="295" t="e">
        <f t="shared" si="123"/>
        <v>#REF!</v>
      </c>
      <c r="H205" s="295" t="e">
        <f t="shared" si="123"/>
        <v>#REF!</v>
      </c>
      <c r="I205" s="295" t="e">
        <f t="shared" si="123"/>
        <v>#REF!</v>
      </c>
      <c r="J205" s="295" t="e">
        <f t="shared" si="123"/>
        <v>#REF!</v>
      </c>
      <c r="K205" s="295" t="e">
        <f t="shared" si="123"/>
        <v>#REF!</v>
      </c>
      <c r="L205" s="295" t="e">
        <f t="shared" si="123"/>
        <v>#REF!</v>
      </c>
      <c r="M205" s="295" t="e">
        <f t="shared" si="123"/>
        <v>#REF!</v>
      </c>
      <c r="N205" s="295" t="e">
        <f t="shared" si="123"/>
        <v>#REF!</v>
      </c>
      <c r="O205" s="295" t="e">
        <f t="shared" si="123"/>
        <v>#REF!</v>
      </c>
      <c r="P205" s="295" t="e">
        <f t="shared" si="123"/>
        <v>#REF!</v>
      </c>
      <c r="Q205" s="295" t="e">
        <f t="shared" si="123"/>
        <v>#REF!</v>
      </c>
      <c r="R205" s="295" t="e">
        <f t="shared" si="123"/>
        <v>#REF!</v>
      </c>
      <c r="S205" s="295" t="e">
        <f t="shared" si="123"/>
        <v>#REF!</v>
      </c>
      <c r="T205" s="295" t="e">
        <f t="shared" si="123"/>
        <v>#REF!</v>
      </c>
      <c r="U205" s="295" t="e">
        <f t="shared" si="123"/>
        <v>#REF!</v>
      </c>
      <c r="V205" s="295" t="e">
        <f t="shared" si="123"/>
        <v>#REF!</v>
      </c>
      <c r="W205" s="295" t="e">
        <f t="shared" si="123"/>
        <v>#REF!</v>
      </c>
      <c r="X205" s="295" t="e">
        <f t="shared" si="123"/>
        <v>#REF!</v>
      </c>
      <c r="Y205" s="295" t="e">
        <f t="shared" si="123"/>
        <v>#REF!</v>
      </c>
      <c r="Z205" s="295" t="e">
        <f t="shared" si="123"/>
        <v>#REF!</v>
      </c>
      <c r="AA205" s="295" t="e">
        <f t="shared" si="123"/>
        <v>#REF!</v>
      </c>
      <c r="AB205" s="295" t="e">
        <f t="shared" si="123"/>
        <v>#REF!</v>
      </c>
      <c r="AC205" s="295" t="e">
        <f t="shared" si="123"/>
        <v>#REF!</v>
      </c>
      <c r="AD205" s="295" t="e">
        <f t="shared" si="123"/>
        <v>#REF!</v>
      </c>
      <c r="AE205" s="295" t="e">
        <f t="shared" si="123"/>
        <v>#REF!</v>
      </c>
      <c r="AF205" s="295" t="e">
        <f t="shared" si="123"/>
        <v>#REF!</v>
      </c>
      <c r="AG205" s="295" t="e">
        <f t="shared" si="123"/>
        <v>#REF!</v>
      </c>
    </row>
    <row r="206" spans="1:33">
      <c r="A206" s="290" t="s">
        <v>179</v>
      </c>
      <c r="B206" s="290" t="s">
        <v>179</v>
      </c>
      <c r="C206" s="295" t="e">
        <f>SUM(C117:C119)</f>
        <v>#REF!</v>
      </c>
      <c r="D206" s="295" t="e">
        <f t="shared" ref="D206:AG206" si="124">SUM(D117:D119)</f>
        <v>#REF!</v>
      </c>
      <c r="E206" s="295" t="e">
        <f t="shared" si="124"/>
        <v>#REF!</v>
      </c>
      <c r="F206" s="295" t="e">
        <f t="shared" si="124"/>
        <v>#REF!</v>
      </c>
      <c r="G206" s="295" t="e">
        <f t="shared" si="124"/>
        <v>#REF!</v>
      </c>
      <c r="H206" s="295" t="e">
        <f t="shared" si="124"/>
        <v>#REF!</v>
      </c>
      <c r="I206" s="295" t="e">
        <f t="shared" si="124"/>
        <v>#REF!</v>
      </c>
      <c r="J206" s="295" t="e">
        <f t="shared" si="124"/>
        <v>#REF!</v>
      </c>
      <c r="K206" s="295" t="e">
        <f t="shared" si="124"/>
        <v>#REF!</v>
      </c>
      <c r="L206" s="295" t="e">
        <f t="shared" si="124"/>
        <v>#REF!</v>
      </c>
      <c r="M206" s="295" t="e">
        <f t="shared" si="124"/>
        <v>#REF!</v>
      </c>
      <c r="N206" s="295" t="e">
        <f t="shared" si="124"/>
        <v>#REF!</v>
      </c>
      <c r="O206" s="295" t="e">
        <f t="shared" si="124"/>
        <v>#REF!</v>
      </c>
      <c r="P206" s="295" t="e">
        <f t="shared" si="124"/>
        <v>#REF!</v>
      </c>
      <c r="Q206" s="295" t="e">
        <f t="shared" si="124"/>
        <v>#REF!</v>
      </c>
      <c r="R206" s="295" t="e">
        <f t="shared" si="124"/>
        <v>#REF!</v>
      </c>
      <c r="S206" s="295" t="e">
        <f t="shared" si="124"/>
        <v>#REF!</v>
      </c>
      <c r="T206" s="295" t="e">
        <f t="shared" si="124"/>
        <v>#REF!</v>
      </c>
      <c r="U206" s="295" t="e">
        <f t="shared" si="124"/>
        <v>#REF!</v>
      </c>
      <c r="V206" s="295" t="e">
        <f t="shared" si="124"/>
        <v>#REF!</v>
      </c>
      <c r="W206" s="295" t="e">
        <f t="shared" si="124"/>
        <v>#REF!</v>
      </c>
      <c r="X206" s="295" t="e">
        <f t="shared" si="124"/>
        <v>#REF!</v>
      </c>
      <c r="Y206" s="295" t="e">
        <f t="shared" si="124"/>
        <v>#REF!</v>
      </c>
      <c r="Z206" s="295" t="e">
        <f t="shared" si="124"/>
        <v>#REF!</v>
      </c>
      <c r="AA206" s="295" t="e">
        <f t="shared" si="124"/>
        <v>#REF!</v>
      </c>
      <c r="AB206" s="295" t="e">
        <f t="shared" si="124"/>
        <v>#REF!</v>
      </c>
      <c r="AC206" s="295" t="e">
        <f t="shared" si="124"/>
        <v>#REF!</v>
      </c>
      <c r="AD206" s="295" t="e">
        <f t="shared" si="124"/>
        <v>#REF!</v>
      </c>
      <c r="AE206" s="295" t="e">
        <f t="shared" si="124"/>
        <v>#REF!</v>
      </c>
      <c r="AF206" s="295" t="e">
        <f t="shared" si="124"/>
        <v>#REF!</v>
      </c>
      <c r="AG206" s="295" t="e">
        <f t="shared" si="124"/>
        <v>#REF!</v>
      </c>
    </row>
    <row r="207" spans="1:33">
      <c r="A207" s="173" t="s">
        <v>180</v>
      </c>
      <c r="B207" s="173" t="s">
        <v>180</v>
      </c>
      <c r="C207" s="295" t="e">
        <f t="shared" ref="C207:AG207" si="125">SUM(C134:C136)</f>
        <v>#REF!</v>
      </c>
      <c r="D207" s="295" t="e">
        <f t="shared" si="125"/>
        <v>#REF!</v>
      </c>
      <c r="E207" s="295" t="e">
        <f t="shared" si="125"/>
        <v>#REF!</v>
      </c>
      <c r="F207" s="295" t="e">
        <f t="shared" si="125"/>
        <v>#REF!</v>
      </c>
      <c r="G207" s="295" t="e">
        <f t="shared" si="125"/>
        <v>#REF!</v>
      </c>
      <c r="H207" s="295" t="e">
        <f t="shared" si="125"/>
        <v>#REF!</v>
      </c>
      <c r="I207" s="295" t="e">
        <f t="shared" si="125"/>
        <v>#REF!</v>
      </c>
      <c r="J207" s="295" t="e">
        <f t="shared" si="125"/>
        <v>#REF!</v>
      </c>
      <c r="K207" s="295" t="e">
        <f t="shared" si="125"/>
        <v>#REF!</v>
      </c>
      <c r="L207" s="295" t="e">
        <f t="shared" si="125"/>
        <v>#REF!</v>
      </c>
      <c r="M207" s="295" t="e">
        <f t="shared" si="125"/>
        <v>#REF!</v>
      </c>
      <c r="N207" s="295" t="e">
        <f t="shared" si="125"/>
        <v>#REF!</v>
      </c>
      <c r="O207" s="295" t="e">
        <f t="shared" si="125"/>
        <v>#REF!</v>
      </c>
      <c r="P207" s="295" t="e">
        <f t="shared" si="125"/>
        <v>#REF!</v>
      </c>
      <c r="Q207" s="295" t="e">
        <f t="shared" si="125"/>
        <v>#REF!</v>
      </c>
      <c r="R207" s="295" t="e">
        <f t="shared" si="125"/>
        <v>#REF!</v>
      </c>
      <c r="S207" s="295" t="e">
        <f t="shared" si="125"/>
        <v>#REF!</v>
      </c>
      <c r="T207" s="295" t="e">
        <f t="shared" si="125"/>
        <v>#REF!</v>
      </c>
      <c r="U207" s="295" t="e">
        <f t="shared" si="125"/>
        <v>#REF!</v>
      </c>
      <c r="V207" s="295" t="e">
        <f t="shared" si="125"/>
        <v>#REF!</v>
      </c>
      <c r="W207" s="295" t="e">
        <f t="shared" si="125"/>
        <v>#REF!</v>
      </c>
      <c r="X207" s="295" t="e">
        <f t="shared" si="125"/>
        <v>#REF!</v>
      </c>
      <c r="Y207" s="295" t="e">
        <f t="shared" si="125"/>
        <v>#REF!</v>
      </c>
      <c r="Z207" s="295" t="e">
        <f t="shared" si="125"/>
        <v>#REF!</v>
      </c>
      <c r="AA207" s="295" t="e">
        <f t="shared" si="125"/>
        <v>#REF!</v>
      </c>
      <c r="AB207" s="295" t="e">
        <f t="shared" si="125"/>
        <v>#REF!</v>
      </c>
      <c r="AC207" s="295" t="e">
        <f t="shared" si="125"/>
        <v>#REF!</v>
      </c>
      <c r="AD207" s="295" t="e">
        <f t="shared" si="125"/>
        <v>#REF!</v>
      </c>
      <c r="AE207" s="295" t="e">
        <f t="shared" si="125"/>
        <v>#REF!</v>
      </c>
      <c r="AF207" s="295" t="e">
        <f t="shared" si="125"/>
        <v>#REF!</v>
      </c>
      <c r="AG207" s="295" t="e">
        <f t="shared" si="125"/>
        <v>#REF!</v>
      </c>
    </row>
    <row r="208" spans="1:33">
      <c r="A208" s="173" t="str">
        <f>A138</f>
        <v>H2-ICE</v>
      </c>
      <c r="B208" s="173" t="str">
        <f t="shared" ref="B208:B210" si="126">A208</f>
        <v>H2-ICE</v>
      </c>
      <c r="C208" s="295" t="e">
        <f t="shared" ref="C208:AG208" si="127">SUM(C151:C153)</f>
        <v>#REF!</v>
      </c>
      <c r="D208" s="295" t="e">
        <f t="shared" si="127"/>
        <v>#REF!</v>
      </c>
      <c r="E208" s="295" t="e">
        <f t="shared" si="127"/>
        <v>#REF!</v>
      </c>
      <c r="F208" s="295" t="e">
        <f t="shared" si="127"/>
        <v>#REF!</v>
      </c>
      <c r="G208" s="295" t="e">
        <f t="shared" si="127"/>
        <v>#REF!</v>
      </c>
      <c r="H208" s="295" t="e">
        <f t="shared" si="127"/>
        <v>#REF!</v>
      </c>
      <c r="I208" s="295" t="e">
        <f t="shared" si="127"/>
        <v>#REF!</v>
      </c>
      <c r="J208" s="295" t="e">
        <f t="shared" si="127"/>
        <v>#REF!</v>
      </c>
      <c r="K208" s="295" t="e">
        <f t="shared" si="127"/>
        <v>#REF!</v>
      </c>
      <c r="L208" s="295" t="e">
        <f t="shared" si="127"/>
        <v>#REF!</v>
      </c>
      <c r="M208" s="295" t="e">
        <f t="shared" si="127"/>
        <v>#REF!</v>
      </c>
      <c r="N208" s="295" t="e">
        <f t="shared" si="127"/>
        <v>#REF!</v>
      </c>
      <c r="O208" s="295" t="e">
        <f t="shared" si="127"/>
        <v>#REF!</v>
      </c>
      <c r="P208" s="295" t="e">
        <f t="shared" si="127"/>
        <v>#REF!</v>
      </c>
      <c r="Q208" s="295" t="e">
        <f t="shared" si="127"/>
        <v>#REF!</v>
      </c>
      <c r="R208" s="295" t="e">
        <f t="shared" si="127"/>
        <v>#REF!</v>
      </c>
      <c r="S208" s="295" t="e">
        <f t="shared" si="127"/>
        <v>#REF!</v>
      </c>
      <c r="T208" s="295" t="e">
        <f t="shared" si="127"/>
        <v>#REF!</v>
      </c>
      <c r="U208" s="295" t="e">
        <f t="shared" si="127"/>
        <v>#REF!</v>
      </c>
      <c r="V208" s="295" t="e">
        <f t="shared" si="127"/>
        <v>#REF!</v>
      </c>
      <c r="W208" s="295" t="e">
        <f t="shared" si="127"/>
        <v>#REF!</v>
      </c>
      <c r="X208" s="295" t="e">
        <f t="shared" si="127"/>
        <v>#REF!</v>
      </c>
      <c r="Y208" s="295" t="e">
        <f t="shared" si="127"/>
        <v>#REF!</v>
      </c>
      <c r="Z208" s="295" t="e">
        <f t="shared" si="127"/>
        <v>#REF!</v>
      </c>
      <c r="AA208" s="295" t="e">
        <f t="shared" si="127"/>
        <v>#REF!</v>
      </c>
      <c r="AB208" s="295" t="e">
        <f t="shared" si="127"/>
        <v>#REF!</v>
      </c>
      <c r="AC208" s="295" t="e">
        <f t="shared" si="127"/>
        <v>#REF!</v>
      </c>
      <c r="AD208" s="295" t="e">
        <f t="shared" si="127"/>
        <v>#REF!</v>
      </c>
      <c r="AE208" s="295" t="e">
        <f t="shared" si="127"/>
        <v>#REF!</v>
      </c>
      <c r="AF208" s="295" t="e">
        <f t="shared" si="127"/>
        <v>#REF!</v>
      </c>
      <c r="AG208" s="295" t="e">
        <f t="shared" si="127"/>
        <v>#REF!</v>
      </c>
    </row>
    <row r="209" spans="1:33">
      <c r="A209" s="173" t="str">
        <f>A155</f>
        <v>BET</v>
      </c>
      <c r="B209" s="173" t="str">
        <f t="shared" si="126"/>
        <v>BET</v>
      </c>
      <c r="C209" s="295" t="e">
        <f t="shared" ref="C209:AG209" si="128">SUM(C178:C180)</f>
        <v>#REF!</v>
      </c>
      <c r="D209" s="295" t="e">
        <f t="shared" si="128"/>
        <v>#REF!</v>
      </c>
      <c r="E209" s="295" t="e">
        <f t="shared" si="128"/>
        <v>#REF!</v>
      </c>
      <c r="F209" s="295" t="e">
        <f t="shared" si="128"/>
        <v>#REF!</v>
      </c>
      <c r="G209" s="295" t="e">
        <f t="shared" si="128"/>
        <v>#REF!</v>
      </c>
      <c r="H209" s="295" t="e">
        <f t="shared" si="128"/>
        <v>#REF!</v>
      </c>
      <c r="I209" s="295" t="e">
        <f t="shared" si="128"/>
        <v>#REF!</v>
      </c>
      <c r="J209" s="295" t="e">
        <f t="shared" si="128"/>
        <v>#REF!</v>
      </c>
      <c r="K209" s="295" t="e">
        <f t="shared" si="128"/>
        <v>#REF!</v>
      </c>
      <c r="L209" s="295" t="e">
        <f t="shared" si="128"/>
        <v>#REF!</v>
      </c>
      <c r="M209" s="295" t="e">
        <f t="shared" si="128"/>
        <v>#REF!</v>
      </c>
      <c r="N209" s="295" t="e">
        <f t="shared" si="128"/>
        <v>#REF!</v>
      </c>
      <c r="O209" s="295" t="e">
        <f t="shared" si="128"/>
        <v>#REF!</v>
      </c>
      <c r="P209" s="295" t="e">
        <f t="shared" si="128"/>
        <v>#REF!</v>
      </c>
      <c r="Q209" s="295" t="e">
        <f t="shared" si="128"/>
        <v>#REF!</v>
      </c>
      <c r="R209" s="295" t="e">
        <f t="shared" si="128"/>
        <v>#REF!</v>
      </c>
      <c r="S209" s="295" t="e">
        <f t="shared" si="128"/>
        <v>#REF!</v>
      </c>
      <c r="T209" s="295" t="e">
        <f t="shared" si="128"/>
        <v>#REF!</v>
      </c>
      <c r="U209" s="295" t="e">
        <f t="shared" si="128"/>
        <v>#REF!</v>
      </c>
      <c r="V209" s="295" t="e">
        <f t="shared" si="128"/>
        <v>#REF!</v>
      </c>
      <c r="W209" s="295" t="e">
        <f t="shared" si="128"/>
        <v>#REF!</v>
      </c>
      <c r="X209" s="295" t="e">
        <f t="shared" si="128"/>
        <v>#REF!</v>
      </c>
      <c r="Y209" s="295" t="e">
        <f t="shared" si="128"/>
        <v>#REF!</v>
      </c>
      <c r="Z209" s="295" t="e">
        <f t="shared" si="128"/>
        <v>#REF!</v>
      </c>
      <c r="AA209" s="295" t="e">
        <f t="shared" si="128"/>
        <v>#REF!</v>
      </c>
      <c r="AB209" s="295" t="e">
        <f t="shared" si="128"/>
        <v>#REF!</v>
      </c>
      <c r="AC209" s="295" t="e">
        <f t="shared" si="128"/>
        <v>#REF!</v>
      </c>
      <c r="AD209" s="295" t="e">
        <f t="shared" si="128"/>
        <v>#REF!</v>
      </c>
      <c r="AE209" s="295" t="e">
        <f t="shared" si="128"/>
        <v>#REF!</v>
      </c>
      <c r="AF209" s="295" t="e">
        <f t="shared" si="128"/>
        <v>#REF!</v>
      </c>
      <c r="AG209" s="295" t="e">
        <f t="shared" si="128"/>
        <v>#REF!</v>
      </c>
    </row>
    <row r="210" spans="1:33">
      <c r="A210" s="173" t="str">
        <f>A182</f>
        <v>FCET</v>
      </c>
      <c r="B210" s="173" t="str">
        <f t="shared" si="126"/>
        <v>FCET</v>
      </c>
      <c r="C210" s="295" t="e">
        <f t="shared" ref="C210:AG210" si="129">SUM(C200:C202)</f>
        <v>#REF!</v>
      </c>
      <c r="D210" s="295" t="e">
        <f t="shared" si="129"/>
        <v>#REF!</v>
      </c>
      <c r="E210" s="295" t="e">
        <f t="shared" si="129"/>
        <v>#REF!</v>
      </c>
      <c r="F210" s="295" t="e">
        <f t="shared" si="129"/>
        <v>#REF!</v>
      </c>
      <c r="G210" s="295" t="e">
        <f t="shared" si="129"/>
        <v>#REF!</v>
      </c>
      <c r="H210" s="295" t="e">
        <f t="shared" si="129"/>
        <v>#REF!</v>
      </c>
      <c r="I210" s="295" t="e">
        <f t="shared" si="129"/>
        <v>#REF!</v>
      </c>
      <c r="J210" s="295" t="e">
        <f t="shared" si="129"/>
        <v>#REF!</v>
      </c>
      <c r="K210" s="295" t="e">
        <f t="shared" si="129"/>
        <v>#REF!</v>
      </c>
      <c r="L210" s="295" t="e">
        <f t="shared" si="129"/>
        <v>#REF!</v>
      </c>
      <c r="M210" s="295" t="e">
        <f t="shared" si="129"/>
        <v>#REF!</v>
      </c>
      <c r="N210" s="295" t="e">
        <f t="shared" si="129"/>
        <v>#REF!</v>
      </c>
      <c r="O210" s="295" t="e">
        <f t="shared" si="129"/>
        <v>#REF!</v>
      </c>
      <c r="P210" s="295" t="e">
        <f t="shared" si="129"/>
        <v>#REF!</v>
      </c>
      <c r="Q210" s="295" t="e">
        <f t="shared" si="129"/>
        <v>#REF!</v>
      </c>
      <c r="R210" s="295" t="e">
        <f t="shared" si="129"/>
        <v>#REF!</v>
      </c>
      <c r="S210" s="295" t="e">
        <f t="shared" si="129"/>
        <v>#REF!</v>
      </c>
      <c r="T210" s="295" t="e">
        <f t="shared" si="129"/>
        <v>#REF!</v>
      </c>
      <c r="U210" s="295" t="e">
        <f t="shared" si="129"/>
        <v>#REF!</v>
      </c>
      <c r="V210" s="295" t="e">
        <f t="shared" si="129"/>
        <v>#REF!</v>
      </c>
      <c r="W210" s="295" t="e">
        <f t="shared" si="129"/>
        <v>#REF!</v>
      </c>
      <c r="X210" s="295" t="e">
        <f t="shared" si="129"/>
        <v>#REF!</v>
      </c>
      <c r="Y210" s="295" t="e">
        <f t="shared" si="129"/>
        <v>#REF!</v>
      </c>
      <c r="Z210" s="295" t="e">
        <f t="shared" si="129"/>
        <v>#REF!</v>
      </c>
      <c r="AA210" s="295" t="e">
        <f t="shared" si="129"/>
        <v>#REF!</v>
      </c>
      <c r="AB210" s="295" t="e">
        <f t="shared" si="129"/>
        <v>#REF!</v>
      </c>
      <c r="AC210" s="295" t="e">
        <f t="shared" si="129"/>
        <v>#REF!</v>
      </c>
      <c r="AD210" s="295" t="e">
        <f t="shared" si="129"/>
        <v>#REF!</v>
      </c>
      <c r="AE210" s="295" t="e">
        <f t="shared" si="129"/>
        <v>#REF!</v>
      </c>
      <c r="AF210" s="295" t="e">
        <f t="shared" si="129"/>
        <v>#REF!</v>
      </c>
      <c r="AG210" s="295" t="e">
        <f t="shared" si="129"/>
        <v>#REF!</v>
      </c>
    </row>
    <row r="211" spans="1:33">
      <c r="A211" s="173" t="s">
        <v>334</v>
      </c>
      <c r="C211" s="295" t="e">
        <f t="shared" ref="C211:AG211" si="130">C205*0.9</f>
        <v>#REF!</v>
      </c>
      <c r="D211" s="295" t="e">
        <f t="shared" si="130"/>
        <v>#REF!</v>
      </c>
      <c r="E211" s="295" t="e">
        <f t="shared" si="130"/>
        <v>#REF!</v>
      </c>
      <c r="F211" s="295" t="e">
        <f t="shared" si="130"/>
        <v>#REF!</v>
      </c>
      <c r="G211" s="295" t="e">
        <f t="shared" si="130"/>
        <v>#REF!</v>
      </c>
      <c r="H211" s="295" t="e">
        <f t="shared" si="130"/>
        <v>#REF!</v>
      </c>
      <c r="I211" s="295" t="e">
        <f t="shared" si="130"/>
        <v>#REF!</v>
      </c>
      <c r="J211" s="295" t="e">
        <f t="shared" si="130"/>
        <v>#REF!</v>
      </c>
      <c r="K211" s="295" t="e">
        <f t="shared" si="130"/>
        <v>#REF!</v>
      </c>
      <c r="L211" s="295" t="e">
        <f t="shared" si="130"/>
        <v>#REF!</v>
      </c>
      <c r="M211" s="295" t="e">
        <f t="shared" si="130"/>
        <v>#REF!</v>
      </c>
      <c r="N211" s="295" t="e">
        <f t="shared" si="130"/>
        <v>#REF!</v>
      </c>
      <c r="O211" s="295" t="e">
        <f t="shared" si="130"/>
        <v>#REF!</v>
      </c>
      <c r="P211" s="295" t="e">
        <f t="shared" si="130"/>
        <v>#REF!</v>
      </c>
      <c r="Q211" s="295" t="e">
        <f t="shared" si="130"/>
        <v>#REF!</v>
      </c>
      <c r="R211" s="295" t="e">
        <f t="shared" si="130"/>
        <v>#REF!</v>
      </c>
      <c r="S211" s="295" t="e">
        <f t="shared" si="130"/>
        <v>#REF!</v>
      </c>
      <c r="T211" s="295" t="e">
        <f t="shared" si="130"/>
        <v>#REF!</v>
      </c>
      <c r="U211" s="295" t="e">
        <f t="shared" si="130"/>
        <v>#REF!</v>
      </c>
      <c r="V211" s="295" t="e">
        <f t="shared" si="130"/>
        <v>#REF!</v>
      </c>
      <c r="W211" s="295" t="e">
        <f t="shared" si="130"/>
        <v>#REF!</v>
      </c>
      <c r="X211" s="295" t="e">
        <f t="shared" si="130"/>
        <v>#REF!</v>
      </c>
      <c r="Y211" s="295" t="e">
        <f t="shared" si="130"/>
        <v>#REF!</v>
      </c>
      <c r="Z211" s="295" t="e">
        <f t="shared" si="130"/>
        <v>#REF!</v>
      </c>
      <c r="AA211" s="295" t="e">
        <f t="shared" si="130"/>
        <v>#REF!</v>
      </c>
      <c r="AB211" s="295" t="e">
        <f t="shared" si="130"/>
        <v>#REF!</v>
      </c>
      <c r="AC211" s="295" t="e">
        <f t="shared" si="130"/>
        <v>#REF!</v>
      </c>
      <c r="AD211" s="295" t="e">
        <f t="shared" si="130"/>
        <v>#REF!</v>
      </c>
      <c r="AE211" s="295" t="e">
        <f t="shared" si="130"/>
        <v>#REF!</v>
      </c>
      <c r="AF211" s="295" t="e">
        <f t="shared" si="130"/>
        <v>#REF!</v>
      </c>
      <c r="AG211" s="295" t="e">
        <f t="shared" si="130"/>
        <v>#REF!</v>
      </c>
    </row>
    <row r="212" spans="1:33">
      <c r="C212" s="173"/>
    </row>
    <row r="213" spans="1:33">
      <c r="A213" s="235" t="s">
        <v>431</v>
      </c>
      <c r="B213" s="235"/>
      <c r="C213" s="235">
        <v>2025</v>
      </c>
      <c r="D213" s="235">
        <f t="shared" ref="D213:AG213" si="131">C213+1</f>
        <v>2026</v>
      </c>
      <c r="E213" s="235">
        <f t="shared" si="131"/>
        <v>2027</v>
      </c>
      <c r="F213" s="235">
        <f t="shared" si="131"/>
        <v>2028</v>
      </c>
      <c r="G213" s="235">
        <f t="shared" si="131"/>
        <v>2029</v>
      </c>
      <c r="H213" s="235">
        <f t="shared" si="131"/>
        <v>2030</v>
      </c>
      <c r="I213" s="235">
        <f t="shared" si="131"/>
        <v>2031</v>
      </c>
      <c r="J213" s="235">
        <f t="shared" si="131"/>
        <v>2032</v>
      </c>
      <c r="K213" s="235">
        <f t="shared" si="131"/>
        <v>2033</v>
      </c>
      <c r="L213" s="235">
        <f t="shared" si="131"/>
        <v>2034</v>
      </c>
      <c r="M213" s="235">
        <f t="shared" si="131"/>
        <v>2035</v>
      </c>
      <c r="N213" s="235">
        <f t="shared" si="131"/>
        <v>2036</v>
      </c>
      <c r="O213" s="235">
        <f t="shared" si="131"/>
        <v>2037</v>
      </c>
      <c r="P213" s="235">
        <f t="shared" si="131"/>
        <v>2038</v>
      </c>
      <c r="Q213" s="235">
        <f t="shared" si="131"/>
        <v>2039</v>
      </c>
      <c r="R213" s="235">
        <f t="shared" si="131"/>
        <v>2040</v>
      </c>
      <c r="S213" s="235">
        <f t="shared" si="131"/>
        <v>2041</v>
      </c>
      <c r="T213" s="235">
        <f t="shared" si="131"/>
        <v>2042</v>
      </c>
      <c r="U213" s="235">
        <f t="shared" si="131"/>
        <v>2043</v>
      </c>
      <c r="V213" s="235">
        <f t="shared" si="131"/>
        <v>2044</v>
      </c>
      <c r="W213" s="235">
        <f t="shared" si="131"/>
        <v>2045</v>
      </c>
      <c r="X213" s="235">
        <f t="shared" si="131"/>
        <v>2046</v>
      </c>
      <c r="Y213" s="235">
        <f t="shared" si="131"/>
        <v>2047</v>
      </c>
      <c r="Z213" s="235">
        <f t="shared" si="131"/>
        <v>2048</v>
      </c>
      <c r="AA213" s="235">
        <f t="shared" si="131"/>
        <v>2049</v>
      </c>
      <c r="AB213" s="235">
        <f t="shared" si="131"/>
        <v>2050</v>
      </c>
      <c r="AC213" s="235">
        <f t="shared" si="131"/>
        <v>2051</v>
      </c>
      <c r="AD213" s="235">
        <f t="shared" si="131"/>
        <v>2052</v>
      </c>
      <c r="AE213" s="235">
        <f t="shared" si="131"/>
        <v>2053</v>
      </c>
      <c r="AF213" s="235">
        <f t="shared" si="131"/>
        <v>2054</v>
      </c>
      <c r="AG213" s="235">
        <f t="shared" si="131"/>
        <v>2055</v>
      </c>
    </row>
    <row r="214" spans="1:33">
      <c r="A214" s="173" t="str">
        <f>A205</f>
        <v xml:space="preserve">Diesel   </v>
      </c>
      <c r="B214" s="173" t="str">
        <f>A214</f>
        <v xml:space="preserve">Diesel   </v>
      </c>
      <c r="C214" s="179" t="e">
        <f t="shared" ref="C214:AG214" si="132">C205/($C$24*$C$30)</f>
        <v>#REF!</v>
      </c>
      <c r="D214" s="179" t="e">
        <f t="shared" si="132"/>
        <v>#REF!</v>
      </c>
      <c r="E214" s="179" t="e">
        <f t="shared" si="132"/>
        <v>#REF!</v>
      </c>
      <c r="F214" s="179" t="e">
        <f t="shared" si="132"/>
        <v>#REF!</v>
      </c>
      <c r="G214" s="179" t="e">
        <f t="shared" si="132"/>
        <v>#REF!</v>
      </c>
      <c r="H214" s="179" t="e">
        <f t="shared" si="132"/>
        <v>#REF!</v>
      </c>
      <c r="I214" s="179" t="e">
        <f t="shared" si="132"/>
        <v>#REF!</v>
      </c>
      <c r="J214" s="179" t="e">
        <f t="shared" si="132"/>
        <v>#REF!</v>
      </c>
      <c r="K214" s="179" t="e">
        <f t="shared" si="132"/>
        <v>#REF!</v>
      </c>
      <c r="L214" s="179" t="e">
        <f t="shared" si="132"/>
        <v>#REF!</v>
      </c>
      <c r="M214" s="179" t="e">
        <f t="shared" si="132"/>
        <v>#REF!</v>
      </c>
      <c r="N214" s="179" t="e">
        <f t="shared" si="132"/>
        <v>#REF!</v>
      </c>
      <c r="O214" s="179" t="e">
        <f t="shared" si="132"/>
        <v>#REF!</v>
      </c>
      <c r="P214" s="179" t="e">
        <f t="shared" si="132"/>
        <v>#REF!</v>
      </c>
      <c r="Q214" s="179" t="e">
        <f t="shared" si="132"/>
        <v>#REF!</v>
      </c>
      <c r="R214" s="179" t="e">
        <f t="shared" si="132"/>
        <v>#REF!</v>
      </c>
      <c r="S214" s="179" t="e">
        <f t="shared" si="132"/>
        <v>#REF!</v>
      </c>
      <c r="T214" s="179" t="e">
        <f t="shared" si="132"/>
        <v>#REF!</v>
      </c>
      <c r="U214" s="179" t="e">
        <f t="shared" si="132"/>
        <v>#REF!</v>
      </c>
      <c r="V214" s="179" t="e">
        <f t="shared" si="132"/>
        <v>#REF!</v>
      </c>
      <c r="W214" s="179" t="e">
        <f t="shared" si="132"/>
        <v>#REF!</v>
      </c>
      <c r="X214" s="179" t="e">
        <f t="shared" si="132"/>
        <v>#REF!</v>
      </c>
      <c r="Y214" s="179" t="e">
        <f t="shared" si="132"/>
        <v>#REF!</v>
      </c>
      <c r="Z214" s="179" t="e">
        <f t="shared" si="132"/>
        <v>#REF!</v>
      </c>
      <c r="AA214" s="179" t="e">
        <f t="shared" si="132"/>
        <v>#REF!</v>
      </c>
      <c r="AB214" s="179" t="e">
        <f t="shared" si="132"/>
        <v>#REF!</v>
      </c>
      <c r="AC214" s="179" t="e">
        <f t="shared" si="132"/>
        <v>#REF!</v>
      </c>
      <c r="AD214" s="179" t="e">
        <f t="shared" si="132"/>
        <v>#REF!</v>
      </c>
      <c r="AE214" s="179" t="e">
        <f t="shared" si="132"/>
        <v>#REF!</v>
      </c>
      <c r="AF214" s="179" t="e">
        <f t="shared" si="132"/>
        <v>#REF!</v>
      </c>
      <c r="AG214" s="179" t="e">
        <f t="shared" si="132"/>
        <v>#REF!</v>
      </c>
    </row>
    <row r="215" spans="1:33">
      <c r="A215" s="173" t="str">
        <f>A208</f>
        <v>H2-ICE</v>
      </c>
      <c r="B215" s="173" t="str">
        <f t="shared" ref="B215:B217" si="133">A215</f>
        <v>H2-ICE</v>
      </c>
      <c r="C215" s="179" t="e">
        <f t="shared" ref="C215:AG215" si="134">C208/($C$26*$C$30)</f>
        <v>#REF!</v>
      </c>
      <c r="D215" s="179" t="e">
        <f t="shared" si="134"/>
        <v>#REF!</v>
      </c>
      <c r="E215" s="179" t="e">
        <f t="shared" si="134"/>
        <v>#REF!</v>
      </c>
      <c r="F215" s="179" t="e">
        <f t="shared" si="134"/>
        <v>#REF!</v>
      </c>
      <c r="G215" s="179" t="e">
        <f t="shared" si="134"/>
        <v>#REF!</v>
      </c>
      <c r="H215" s="179" t="e">
        <f t="shared" si="134"/>
        <v>#REF!</v>
      </c>
      <c r="I215" s="179" t="e">
        <f t="shared" si="134"/>
        <v>#REF!</v>
      </c>
      <c r="J215" s="179" t="e">
        <f t="shared" si="134"/>
        <v>#REF!</v>
      </c>
      <c r="K215" s="179" t="e">
        <f t="shared" si="134"/>
        <v>#REF!</v>
      </c>
      <c r="L215" s="179" t="e">
        <f t="shared" si="134"/>
        <v>#REF!</v>
      </c>
      <c r="M215" s="179" t="e">
        <f t="shared" si="134"/>
        <v>#REF!</v>
      </c>
      <c r="N215" s="179" t="e">
        <f t="shared" si="134"/>
        <v>#REF!</v>
      </c>
      <c r="O215" s="179" t="e">
        <f t="shared" si="134"/>
        <v>#REF!</v>
      </c>
      <c r="P215" s="179" t="e">
        <f t="shared" si="134"/>
        <v>#REF!</v>
      </c>
      <c r="Q215" s="179" t="e">
        <f t="shared" si="134"/>
        <v>#REF!</v>
      </c>
      <c r="R215" s="179" t="e">
        <f t="shared" si="134"/>
        <v>#REF!</v>
      </c>
      <c r="S215" s="179" t="e">
        <f t="shared" si="134"/>
        <v>#REF!</v>
      </c>
      <c r="T215" s="179" t="e">
        <f t="shared" si="134"/>
        <v>#REF!</v>
      </c>
      <c r="U215" s="179" t="e">
        <f t="shared" si="134"/>
        <v>#REF!</v>
      </c>
      <c r="V215" s="179" t="e">
        <f t="shared" si="134"/>
        <v>#REF!</v>
      </c>
      <c r="W215" s="179" t="e">
        <f t="shared" si="134"/>
        <v>#REF!</v>
      </c>
      <c r="X215" s="179" t="e">
        <f t="shared" si="134"/>
        <v>#REF!</v>
      </c>
      <c r="Y215" s="179" t="e">
        <f t="shared" si="134"/>
        <v>#REF!</v>
      </c>
      <c r="Z215" s="179" t="e">
        <f t="shared" si="134"/>
        <v>#REF!</v>
      </c>
      <c r="AA215" s="179" t="e">
        <f t="shared" si="134"/>
        <v>#REF!</v>
      </c>
      <c r="AB215" s="179" t="e">
        <f t="shared" si="134"/>
        <v>#REF!</v>
      </c>
      <c r="AC215" s="179" t="e">
        <f t="shared" si="134"/>
        <v>#REF!</v>
      </c>
      <c r="AD215" s="179" t="e">
        <f t="shared" si="134"/>
        <v>#REF!</v>
      </c>
      <c r="AE215" s="179" t="e">
        <f t="shared" si="134"/>
        <v>#REF!</v>
      </c>
      <c r="AF215" s="179" t="e">
        <f t="shared" si="134"/>
        <v>#REF!</v>
      </c>
      <c r="AG215" s="179" t="e">
        <f t="shared" si="134"/>
        <v>#REF!</v>
      </c>
    </row>
    <row r="216" spans="1:33">
      <c r="A216" s="173" t="str">
        <f>A209</f>
        <v>BET</v>
      </c>
      <c r="B216" s="173" t="str">
        <f t="shared" si="133"/>
        <v>BET</v>
      </c>
      <c r="C216" s="179" t="e">
        <f t="shared" ref="C216:AG216" si="135">C209/($C$23*$C$30)</f>
        <v>#REF!</v>
      </c>
      <c r="D216" s="179" t="e">
        <f t="shared" si="135"/>
        <v>#REF!</v>
      </c>
      <c r="E216" s="179" t="e">
        <f t="shared" si="135"/>
        <v>#REF!</v>
      </c>
      <c r="F216" s="179" t="e">
        <f t="shared" si="135"/>
        <v>#REF!</v>
      </c>
      <c r="G216" s="179" t="e">
        <f t="shared" si="135"/>
        <v>#REF!</v>
      </c>
      <c r="H216" s="179" t="e">
        <f t="shared" si="135"/>
        <v>#REF!</v>
      </c>
      <c r="I216" s="179" t="e">
        <f t="shared" si="135"/>
        <v>#REF!</v>
      </c>
      <c r="J216" s="179" t="e">
        <f t="shared" si="135"/>
        <v>#REF!</v>
      </c>
      <c r="K216" s="179" t="e">
        <f t="shared" si="135"/>
        <v>#REF!</v>
      </c>
      <c r="L216" s="179" t="e">
        <f t="shared" si="135"/>
        <v>#REF!</v>
      </c>
      <c r="M216" s="179" t="e">
        <f t="shared" si="135"/>
        <v>#REF!</v>
      </c>
      <c r="N216" s="179" t="e">
        <f t="shared" si="135"/>
        <v>#REF!</v>
      </c>
      <c r="O216" s="179" t="e">
        <f t="shared" si="135"/>
        <v>#REF!</v>
      </c>
      <c r="P216" s="179" t="e">
        <f t="shared" si="135"/>
        <v>#REF!</v>
      </c>
      <c r="Q216" s="179" t="e">
        <f t="shared" si="135"/>
        <v>#REF!</v>
      </c>
      <c r="R216" s="179" t="e">
        <f t="shared" si="135"/>
        <v>#REF!</v>
      </c>
      <c r="S216" s="179" t="e">
        <f t="shared" si="135"/>
        <v>#REF!</v>
      </c>
      <c r="T216" s="179" t="e">
        <f t="shared" si="135"/>
        <v>#REF!</v>
      </c>
      <c r="U216" s="179" t="e">
        <f t="shared" si="135"/>
        <v>#REF!</v>
      </c>
      <c r="V216" s="179" t="e">
        <f t="shared" si="135"/>
        <v>#REF!</v>
      </c>
      <c r="W216" s="179" t="e">
        <f t="shared" si="135"/>
        <v>#REF!</v>
      </c>
      <c r="X216" s="179" t="e">
        <f t="shared" si="135"/>
        <v>#REF!</v>
      </c>
      <c r="Y216" s="179" t="e">
        <f t="shared" si="135"/>
        <v>#REF!</v>
      </c>
      <c r="Z216" s="179" t="e">
        <f t="shared" si="135"/>
        <v>#REF!</v>
      </c>
      <c r="AA216" s="179" t="e">
        <f t="shared" si="135"/>
        <v>#REF!</v>
      </c>
      <c r="AB216" s="179" t="e">
        <f t="shared" si="135"/>
        <v>#REF!</v>
      </c>
      <c r="AC216" s="179" t="e">
        <f t="shared" si="135"/>
        <v>#REF!</v>
      </c>
      <c r="AD216" s="179" t="e">
        <f t="shared" si="135"/>
        <v>#REF!</v>
      </c>
      <c r="AE216" s="179" t="e">
        <f t="shared" si="135"/>
        <v>#REF!</v>
      </c>
      <c r="AF216" s="179" t="e">
        <f t="shared" si="135"/>
        <v>#REF!</v>
      </c>
      <c r="AG216" s="179" t="e">
        <f t="shared" si="135"/>
        <v>#REF!</v>
      </c>
    </row>
    <row r="217" spans="1:33">
      <c r="A217" s="173" t="str">
        <f>A210</f>
        <v>FCET</v>
      </c>
      <c r="B217" s="173" t="str">
        <f t="shared" si="133"/>
        <v>FCET</v>
      </c>
      <c r="C217" s="179" t="e">
        <f t="shared" ref="C217:AG217" si="136">C210/($C$25*$C$30)</f>
        <v>#REF!</v>
      </c>
      <c r="D217" s="179" t="e">
        <f t="shared" si="136"/>
        <v>#REF!</v>
      </c>
      <c r="E217" s="179" t="e">
        <f t="shared" si="136"/>
        <v>#REF!</v>
      </c>
      <c r="F217" s="179" t="e">
        <f t="shared" si="136"/>
        <v>#REF!</v>
      </c>
      <c r="G217" s="179" t="e">
        <f t="shared" si="136"/>
        <v>#REF!</v>
      </c>
      <c r="H217" s="179" t="e">
        <f t="shared" si="136"/>
        <v>#REF!</v>
      </c>
      <c r="I217" s="179" t="e">
        <f t="shared" si="136"/>
        <v>#REF!</v>
      </c>
      <c r="J217" s="179" t="e">
        <f t="shared" si="136"/>
        <v>#REF!</v>
      </c>
      <c r="K217" s="179" t="e">
        <f t="shared" si="136"/>
        <v>#REF!</v>
      </c>
      <c r="L217" s="179" t="e">
        <f t="shared" si="136"/>
        <v>#REF!</v>
      </c>
      <c r="M217" s="179" t="e">
        <f t="shared" si="136"/>
        <v>#REF!</v>
      </c>
      <c r="N217" s="179" t="e">
        <f t="shared" si="136"/>
        <v>#REF!</v>
      </c>
      <c r="O217" s="179" t="e">
        <f t="shared" si="136"/>
        <v>#REF!</v>
      </c>
      <c r="P217" s="179" t="e">
        <f t="shared" si="136"/>
        <v>#REF!</v>
      </c>
      <c r="Q217" s="179" t="e">
        <f t="shared" si="136"/>
        <v>#REF!</v>
      </c>
      <c r="R217" s="179" t="e">
        <f t="shared" si="136"/>
        <v>#REF!</v>
      </c>
      <c r="S217" s="179" t="e">
        <f t="shared" si="136"/>
        <v>#REF!</v>
      </c>
      <c r="T217" s="179" t="e">
        <f t="shared" si="136"/>
        <v>#REF!</v>
      </c>
      <c r="U217" s="179" t="e">
        <f t="shared" si="136"/>
        <v>#REF!</v>
      </c>
      <c r="V217" s="179" t="e">
        <f t="shared" si="136"/>
        <v>#REF!</v>
      </c>
      <c r="W217" s="179" t="e">
        <f t="shared" si="136"/>
        <v>#REF!</v>
      </c>
      <c r="X217" s="179" t="e">
        <f t="shared" si="136"/>
        <v>#REF!</v>
      </c>
      <c r="Y217" s="179" t="e">
        <f t="shared" si="136"/>
        <v>#REF!</v>
      </c>
      <c r="Z217" s="179" t="e">
        <f t="shared" si="136"/>
        <v>#REF!</v>
      </c>
      <c r="AA217" s="179" t="e">
        <f t="shared" si="136"/>
        <v>#REF!</v>
      </c>
      <c r="AB217" s="179" t="e">
        <f t="shared" si="136"/>
        <v>#REF!</v>
      </c>
      <c r="AC217" s="179" t="e">
        <f t="shared" si="136"/>
        <v>#REF!</v>
      </c>
      <c r="AD217" s="179" t="e">
        <f t="shared" si="136"/>
        <v>#REF!</v>
      </c>
      <c r="AE217" s="179" t="e">
        <f t="shared" si="136"/>
        <v>#REF!</v>
      </c>
      <c r="AF217" s="179" t="e">
        <f t="shared" si="136"/>
        <v>#REF!</v>
      </c>
      <c r="AG217" s="179" t="e">
        <f t="shared" si="136"/>
        <v>#REF!</v>
      </c>
    </row>
    <row r="218" spans="1:33">
      <c r="A218" s="173" t="s">
        <v>334</v>
      </c>
      <c r="C218" s="179" t="e">
        <f t="shared" ref="C218:AG218" si="137">C214*0.9</f>
        <v>#REF!</v>
      </c>
      <c r="D218" s="179" t="e">
        <f t="shared" si="137"/>
        <v>#REF!</v>
      </c>
      <c r="E218" s="179" t="e">
        <f t="shared" si="137"/>
        <v>#REF!</v>
      </c>
      <c r="F218" s="179" t="e">
        <f t="shared" si="137"/>
        <v>#REF!</v>
      </c>
      <c r="G218" s="179" t="e">
        <f t="shared" si="137"/>
        <v>#REF!</v>
      </c>
      <c r="H218" s="179" t="e">
        <f t="shared" si="137"/>
        <v>#REF!</v>
      </c>
      <c r="I218" s="179" t="e">
        <f t="shared" si="137"/>
        <v>#REF!</v>
      </c>
      <c r="J218" s="179" t="e">
        <f t="shared" si="137"/>
        <v>#REF!</v>
      </c>
      <c r="K218" s="179" t="e">
        <f t="shared" si="137"/>
        <v>#REF!</v>
      </c>
      <c r="L218" s="179" t="e">
        <f t="shared" si="137"/>
        <v>#REF!</v>
      </c>
      <c r="M218" s="179" t="e">
        <f t="shared" si="137"/>
        <v>#REF!</v>
      </c>
      <c r="N218" s="179" t="e">
        <f t="shared" si="137"/>
        <v>#REF!</v>
      </c>
      <c r="O218" s="179" t="e">
        <f t="shared" si="137"/>
        <v>#REF!</v>
      </c>
      <c r="P218" s="179" t="e">
        <f t="shared" si="137"/>
        <v>#REF!</v>
      </c>
      <c r="Q218" s="179" t="e">
        <f t="shared" si="137"/>
        <v>#REF!</v>
      </c>
      <c r="R218" s="179" t="e">
        <f t="shared" si="137"/>
        <v>#REF!</v>
      </c>
      <c r="S218" s="179" t="e">
        <f t="shared" si="137"/>
        <v>#REF!</v>
      </c>
      <c r="T218" s="179" t="e">
        <f t="shared" si="137"/>
        <v>#REF!</v>
      </c>
      <c r="U218" s="179" t="e">
        <f t="shared" si="137"/>
        <v>#REF!</v>
      </c>
      <c r="V218" s="179" t="e">
        <f t="shared" si="137"/>
        <v>#REF!</v>
      </c>
      <c r="W218" s="179" t="e">
        <f t="shared" si="137"/>
        <v>#REF!</v>
      </c>
      <c r="X218" s="179" t="e">
        <f t="shared" si="137"/>
        <v>#REF!</v>
      </c>
      <c r="Y218" s="179" t="e">
        <f t="shared" si="137"/>
        <v>#REF!</v>
      </c>
      <c r="Z218" s="179" t="e">
        <f t="shared" si="137"/>
        <v>#REF!</v>
      </c>
      <c r="AA218" s="179" t="e">
        <f t="shared" si="137"/>
        <v>#REF!</v>
      </c>
      <c r="AB218" s="179" t="e">
        <f t="shared" si="137"/>
        <v>#REF!</v>
      </c>
      <c r="AC218" s="179" t="e">
        <f t="shared" si="137"/>
        <v>#REF!</v>
      </c>
      <c r="AD218" s="179" t="e">
        <f t="shared" si="137"/>
        <v>#REF!</v>
      </c>
      <c r="AE218" s="179" t="e">
        <f t="shared" si="137"/>
        <v>#REF!</v>
      </c>
      <c r="AF218" s="179" t="e">
        <f t="shared" si="137"/>
        <v>#REF!</v>
      </c>
      <c r="AG218" s="179" t="e">
        <f t="shared" si="137"/>
        <v>#REF!</v>
      </c>
    </row>
    <row r="219" spans="1:33"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</row>
    <row r="220" spans="1:33">
      <c r="A220" s="235" t="s">
        <v>337</v>
      </c>
      <c r="B220" s="235"/>
      <c r="C220" s="235">
        <v>2025</v>
      </c>
      <c r="D220" s="235">
        <f t="shared" ref="D220:AG220" si="138">C220+1</f>
        <v>2026</v>
      </c>
      <c r="E220" s="235">
        <f t="shared" si="138"/>
        <v>2027</v>
      </c>
      <c r="F220" s="235">
        <f t="shared" si="138"/>
        <v>2028</v>
      </c>
      <c r="G220" s="235">
        <f t="shared" si="138"/>
        <v>2029</v>
      </c>
      <c r="H220" s="235">
        <f t="shared" si="138"/>
        <v>2030</v>
      </c>
      <c r="I220" s="235">
        <f t="shared" si="138"/>
        <v>2031</v>
      </c>
      <c r="J220" s="235">
        <f t="shared" si="138"/>
        <v>2032</v>
      </c>
      <c r="K220" s="235">
        <f t="shared" si="138"/>
        <v>2033</v>
      </c>
      <c r="L220" s="235">
        <f t="shared" si="138"/>
        <v>2034</v>
      </c>
      <c r="M220" s="235">
        <f t="shared" si="138"/>
        <v>2035</v>
      </c>
      <c r="N220" s="235">
        <f t="shared" si="138"/>
        <v>2036</v>
      </c>
      <c r="O220" s="235">
        <f t="shared" si="138"/>
        <v>2037</v>
      </c>
      <c r="P220" s="235">
        <f t="shared" si="138"/>
        <v>2038</v>
      </c>
      <c r="Q220" s="235">
        <f t="shared" si="138"/>
        <v>2039</v>
      </c>
      <c r="R220" s="235">
        <f t="shared" si="138"/>
        <v>2040</v>
      </c>
      <c r="S220" s="235">
        <f t="shared" si="138"/>
        <v>2041</v>
      </c>
      <c r="T220" s="235">
        <f t="shared" si="138"/>
        <v>2042</v>
      </c>
      <c r="U220" s="235">
        <f t="shared" si="138"/>
        <v>2043</v>
      </c>
      <c r="V220" s="235">
        <f t="shared" si="138"/>
        <v>2044</v>
      </c>
      <c r="W220" s="235">
        <f t="shared" si="138"/>
        <v>2045</v>
      </c>
      <c r="X220" s="235">
        <f t="shared" si="138"/>
        <v>2046</v>
      </c>
      <c r="Y220" s="235">
        <f t="shared" si="138"/>
        <v>2047</v>
      </c>
      <c r="Z220" s="235">
        <f t="shared" si="138"/>
        <v>2048</v>
      </c>
      <c r="AA220" s="235">
        <f t="shared" si="138"/>
        <v>2049</v>
      </c>
      <c r="AB220" s="235">
        <f t="shared" si="138"/>
        <v>2050</v>
      </c>
      <c r="AC220" s="235">
        <f t="shared" si="138"/>
        <v>2051</v>
      </c>
      <c r="AD220" s="235">
        <f t="shared" si="138"/>
        <v>2052</v>
      </c>
      <c r="AE220" s="235">
        <f t="shared" si="138"/>
        <v>2053</v>
      </c>
      <c r="AF220" s="235">
        <f t="shared" si="138"/>
        <v>2054</v>
      </c>
      <c r="AG220" s="235">
        <f t="shared" si="138"/>
        <v>2055</v>
      </c>
    </row>
    <row r="221" spans="1:33">
      <c r="A221" s="173" t="str">
        <f>A205</f>
        <v xml:space="preserve">Diesel   </v>
      </c>
      <c r="C221" s="280" t="e">
        <f t="shared" ref="C221:AG221" si="139">C205/C209</f>
        <v>#REF!</v>
      </c>
      <c r="D221" s="280" t="e">
        <f t="shared" si="139"/>
        <v>#REF!</v>
      </c>
      <c r="E221" s="280" t="e">
        <f t="shared" si="139"/>
        <v>#REF!</v>
      </c>
      <c r="F221" s="280" t="e">
        <f t="shared" si="139"/>
        <v>#REF!</v>
      </c>
      <c r="G221" s="280" t="e">
        <f t="shared" si="139"/>
        <v>#REF!</v>
      </c>
      <c r="H221" s="280" t="e">
        <f t="shared" si="139"/>
        <v>#REF!</v>
      </c>
      <c r="I221" s="280" t="e">
        <f t="shared" si="139"/>
        <v>#REF!</v>
      </c>
      <c r="J221" s="280" t="e">
        <f t="shared" si="139"/>
        <v>#REF!</v>
      </c>
      <c r="K221" s="280" t="e">
        <f t="shared" si="139"/>
        <v>#REF!</v>
      </c>
      <c r="L221" s="280" t="e">
        <f t="shared" si="139"/>
        <v>#REF!</v>
      </c>
      <c r="M221" s="280" t="e">
        <f t="shared" si="139"/>
        <v>#REF!</v>
      </c>
      <c r="N221" s="280" t="e">
        <f t="shared" si="139"/>
        <v>#REF!</v>
      </c>
      <c r="O221" s="280" t="e">
        <f t="shared" si="139"/>
        <v>#REF!</v>
      </c>
      <c r="P221" s="280" t="e">
        <f t="shared" si="139"/>
        <v>#REF!</v>
      </c>
      <c r="Q221" s="280" t="e">
        <f t="shared" si="139"/>
        <v>#REF!</v>
      </c>
      <c r="R221" s="280" t="e">
        <f t="shared" si="139"/>
        <v>#REF!</v>
      </c>
      <c r="S221" s="280" t="e">
        <f t="shared" si="139"/>
        <v>#REF!</v>
      </c>
      <c r="T221" s="280" t="e">
        <f t="shared" si="139"/>
        <v>#REF!</v>
      </c>
      <c r="U221" s="280" t="e">
        <f t="shared" si="139"/>
        <v>#REF!</v>
      </c>
      <c r="V221" s="280" t="e">
        <f t="shared" si="139"/>
        <v>#REF!</v>
      </c>
      <c r="W221" s="280" t="e">
        <f t="shared" si="139"/>
        <v>#REF!</v>
      </c>
      <c r="X221" s="280" t="e">
        <f t="shared" si="139"/>
        <v>#REF!</v>
      </c>
      <c r="Y221" s="280" t="e">
        <f t="shared" si="139"/>
        <v>#REF!</v>
      </c>
      <c r="Z221" s="280" t="e">
        <f t="shared" si="139"/>
        <v>#REF!</v>
      </c>
      <c r="AA221" s="280" t="e">
        <f t="shared" si="139"/>
        <v>#REF!</v>
      </c>
      <c r="AB221" s="280" t="e">
        <f t="shared" si="139"/>
        <v>#REF!</v>
      </c>
      <c r="AC221" s="280" t="e">
        <f t="shared" si="139"/>
        <v>#REF!</v>
      </c>
      <c r="AD221" s="280" t="e">
        <f t="shared" si="139"/>
        <v>#REF!</v>
      </c>
      <c r="AE221" s="280" t="e">
        <f t="shared" si="139"/>
        <v>#REF!</v>
      </c>
      <c r="AF221" s="280" t="e">
        <f t="shared" si="139"/>
        <v>#REF!</v>
      </c>
      <c r="AG221" s="280" t="e">
        <f t="shared" si="139"/>
        <v>#REF!</v>
      </c>
    </row>
    <row r="222" spans="1:33">
      <c r="A222" s="173" t="str">
        <f>A208</f>
        <v>H2-ICE</v>
      </c>
      <c r="C222" s="280" t="e">
        <f t="shared" ref="C222:AG222" si="140">C208/C209</f>
        <v>#REF!</v>
      </c>
      <c r="D222" s="280" t="e">
        <f t="shared" si="140"/>
        <v>#REF!</v>
      </c>
      <c r="E222" s="280" t="e">
        <f t="shared" si="140"/>
        <v>#REF!</v>
      </c>
      <c r="F222" s="280" t="e">
        <f t="shared" si="140"/>
        <v>#REF!</v>
      </c>
      <c r="G222" s="280" t="e">
        <f t="shared" si="140"/>
        <v>#REF!</v>
      </c>
      <c r="H222" s="280" t="e">
        <f t="shared" si="140"/>
        <v>#REF!</v>
      </c>
      <c r="I222" s="280" t="e">
        <f t="shared" si="140"/>
        <v>#REF!</v>
      </c>
      <c r="J222" s="280" t="e">
        <f t="shared" si="140"/>
        <v>#REF!</v>
      </c>
      <c r="K222" s="280" t="e">
        <f t="shared" si="140"/>
        <v>#REF!</v>
      </c>
      <c r="L222" s="280" t="e">
        <f t="shared" si="140"/>
        <v>#REF!</v>
      </c>
      <c r="M222" s="280" t="e">
        <f t="shared" si="140"/>
        <v>#REF!</v>
      </c>
      <c r="N222" s="280" t="e">
        <f t="shared" si="140"/>
        <v>#REF!</v>
      </c>
      <c r="O222" s="280" t="e">
        <f t="shared" si="140"/>
        <v>#REF!</v>
      </c>
      <c r="P222" s="280" t="e">
        <f t="shared" si="140"/>
        <v>#REF!</v>
      </c>
      <c r="Q222" s="280" t="e">
        <f t="shared" si="140"/>
        <v>#REF!</v>
      </c>
      <c r="R222" s="280" t="e">
        <f t="shared" si="140"/>
        <v>#REF!</v>
      </c>
      <c r="S222" s="280" t="e">
        <f t="shared" si="140"/>
        <v>#REF!</v>
      </c>
      <c r="T222" s="280" t="e">
        <f t="shared" si="140"/>
        <v>#REF!</v>
      </c>
      <c r="U222" s="280" t="e">
        <f t="shared" si="140"/>
        <v>#REF!</v>
      </c>
      <c r="V222" s="280" t="e">
        <f t="shared" si="140"/>
        <v>#REF!</v>
      </c>
      <c r="W222" s="280" t="e">
        <f t="shared" si="140"/>
        <v>#REF!</v>
      </c>
      <c r="X222" s="280" t="e">
        <f t="shared" si="140"/>
        <v>#REF!</v>
      </c>
      <c r="Y222" s="280" t="e">
        <f t="shared" si="140"/>
        <v>#REF!</v>
      </c>
      <c r="Z222" s="280" t="e">
        <f t="shared" si="140"/>
        <v>#REF!</v>
      </c>
      <c r="AA222" s="280" t="e">
        <f t="shared" si="140"/>
        <v>#REF!</v>
      </c>
      <c r="AB222" s="280" t="e">
        <f t="shared" si="140"/>
        <v>#REF!</v>
      </c>
      <c r="AC222" s="280" t="e">
        <f t="shared" si="140"/>
        <v>#REF!</v>
      </c>
      <c r="AD222" s="280" t="e">
        <f t="shared" si="140"/>
        <v>#REF!</v>
      </c>
      <c r="AE222" s="280" t="e">
        <f t="shared" si="140"/>
        <v>#REF!</v>
      </c>
      <c r="AF222" s="280" t="e">
        <f t="shared" si="140"/>
        <v>#REF!</v>
      </c>
      <c r="AG222" s="280" t="e">
        <f t="shared" si="140"/>
        <v>#REF!</v>
      </c>
    </row>
    <row r="223" spans="1:33">
      <c r="A223" s="173" t="str">
        <f>A210</f>
        <v>FCET</v>
      </c>
      <c r="C223" s="280" t="e">
        <f t="shared" ref="C223:AG223" si="141">C210/C209</f>
        <v>#REF!</v>
      </c>
      <c r="D223" s="280" t="e">
        <f t="shared" si="141"/>
        <v>#REF!</v>
      </c>
      <c r="E223" s="280" t="e">
        <f t="shared" si="141"/>
        <v>#REF!</v>
      </c>
      <c r="F223" s="280" t="e">
        <f t="shared" si="141"/>
        <v>#REF!</v>
      </c>
      <c r="G223" s="280" t="e">
        <f t="shared" si="141"/>
        <v>#REF!</v>
      </c>
      <c r="H223" s="280" t="e">
        <f t="shared" si="141"/>
        <v>#REF!</v>
      </c>
      <c r="I223" s="280" t="e">
        <f t="shared" si="141"/>
        <v>#REF!</v>
      </c>
      <c r="J223" s="280" t="e">
        <f t="shared" si="141"/>
        <v>#REF!</v>
      </c>
      <c r="K223" s="280" t="e">
        <f t="shared" si="141"/>
        <v>#REF!</v>
      </c>
      <c r="L223" s="280" t="e">
        <f t="shared" si="141"/>
        <v>#REF!</v>
      </c>
      <c r="M223" s="280" t="e">
        <f t="shared" si="141"/>
        <v>#REF!</v>
      </c>
      <c r="N223" s="280" t="e">
        <f t="shared" si="141"/>
        <v>#REF!</v>
      </c>
      <c r="O223" s="280" t="e">
        <f t="shared" si="141"/>
        <v>#REF!</v>
      </c>
      <c r="P223" s="280" t="e">
        <f t="shared" si="141"/>
        <v>#REF!</v>
      </c>
      <c r="Q223" s="280" t="e">
        <f t="shared" si="141"/>
        <v>#REF!</v>
      </c>
      <c r="R223" s="280" t="e">
        <f t="shared" si="141"/>
        <v>#REF!</v>
      </c>
      <c r="S223" s="280" t="e">
        <f t="shared" si="141"/>
        <v>#REF!</v>
      </c>
      <c r="T223" s="280" t="e">
        <f t="shared" si="141"/>
        <v>#REF!</v>
      </c>
      <c r="U223" s="280" t="e">
        <f t="shared" si="141"/>
        <v>#REF!</v>
      </c>
      <c r="V223" s="280" t="e">
        <f t="shared" si="141"/>
        <v>#REF!</v>
      </c>
      <c r="W223" s="280" t="e">
        <f t="shared" si="141"/>
        <v>#REF!</v>
      </c>
      <c r="X223" s="280" t="e">
        <f t="shared" si="141"/>
        <v>#REF!</v>
      </c>
      <c r="Y223" s="280" t="e">
        <f t="shared" si="141"/>
        <v>#REF!</v>
      </c>
      <c r="Z223" s="280" t="e">
        <f t="shared" si="141"/>
        <v>#REF!</v>
      </c>
      <c r="AA223" s="280" t="e">
        <f t="shared" si="141"/>
        <v>#REF!</v>
      </c>
      <c r="AB223" s="280" t="e">
        <f t="shared" si="141"/>
        <v>#REF!</v>
      </c>
      <c r="AC223" s="280" t="e">
        <f t="shared" si="141"/>
        <v>#REF!</v>
      </c>
      <c r="AD223" s="280" t="e">
        <f t="shared" si="141"/>
        <v>#REF!</v>
      </c>
      <c r="AE223" s="280" t="e">
        <f t="shared" si="141"/>
        <v>#REF!</v>
      </c>
      <c r="AF223" s="280" t="e">
        <f t="shared" si="141"/>
        <v>#REF!</v>
      </c>
      <c r="AG223" s="280" t="e">
        <f t="shared" si="141"/>
        <v>#REF!</v>
      </c>
    </row>
    <row r="224" spans="1:33"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</row>
    <row r="226" spans="1:7">
      <c r="A226" s="281"/>
      <c r="C226" s="173"/>
    </row>
    <row r="227" spans="1:7">
      <c r="C227" s="179"/>
      <c r="D227" s="179"/>
      <c r="E227" s="179"/>
      <c r="F227" s="179"/>
      <c r="G227" s="179"/>
    </row>
    <row r="228" spans="1:7">
      <c r="C228" s="179"/>
      <c r="D228" s="179"/>
      <c r="E228" s="179"/>
      <c r="F228" s="179"/>
      <c r="G228" s="179"/>
    </row>
    <row r="229" spans="1:7">
      <c r="C229" s="179"/>
      <c r="D229" s="179"/>
      <c r="E229" s="179"/>
      <c r="F229" s="179"/>
      <c r="G229" s="179"/>
    </row>
  </sheetData>
  <mergeCells count="1">
    <mergeCell ref="C71:G71"/>
  </mergeCells>
  <conditionalFormatting sqref="C19:C20">
    <cfRule type="expression" dxfId="0" priority="1">
      <formula>$C$19&lt;$G$81</formula>
    </cfRule>
  </conditionalFormatting>
  <dataValidations disablePrompts="1" count="2">
    <dataValidation type="list" allowBlank="1" showInputMessage="1" showErrorMessage="1" sqref="B5" xr:uid="{00000000-0002-0000-0900-000000000000}">
      <formula1>$H$1:$H$2</formula1>
    </dataValidation>
    <dataValidation type="list" allowBlank="1" showInputMessage="1" showErrorMessage="1" sqref="B4" xr:uid="{00000000-0002-0000-0900-000001000000}">
      <formula1>$A$167:$A$168</formula1>
    </dataValidation>
  </dataValidations>
  <hyperlinks>
    <hyperlink ref="M8" r:id="rId1" xr:uid="{00000000-0004-0000-0900-000000000000}"/>
  </hyperlinks>
  <pageMargins left="0.7" right="0.7" top="0.75" bottom="0.75" header="0.3" footer="0.3"/>
  <pageSetup orientation="portrait" horizontalDpi="0" verticalDpi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776C-803D-4C0A-9D36-6E62E7AD8AA6}">
  <sheetPr>
    <tabColor rgb="FF0070C0"/>
  </sheetPr>
  <dimension ref="A1:AO200"/>
  <sheetViews>
    <sheetView zoomScaleNormal="100" workbookViewId="0">
      <pane xSplit="2" ySplit="4" topLeftCell="C159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year'!B17</f>
        <v>Tankers - Non POL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year'!C17</f>
        <v>28T Rigid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year'!AR17</f>
        <v>28000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year'!C83</f>
        <v>3600000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year'!C94</f>
        <v>3850000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year'!C107</f>
        <v>4180375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year'!C119</f>
        <v>5179200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year'!C131</f>
        <v>8762500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year'!C144</f>
        <v>11491400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year'!G17</f>
        <v>250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year'!J17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year'!I17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year'!AX17</f>
        <v>18500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year'!AY17</f>
        <v>16500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year'!AZ17</f>
        <v>17600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year'!C267</f>
        <v>7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year'!K17</f>
        <v>300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year'!L17</f>
        <v>300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year'!Q17</f>
        <v>7.5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year'!O17</f>
        <v>0.65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 ht="15.6">
      <c r="A27" s="328" t="s">
        <v>687</v>
      </c>
      <c r="B27" s="300" t="s">
        <v>277</v>
      </c>
      <c r="C27" s="345">
        <f>'No change with year'!D30</f>
        <v>7</v>
      </c>
      <c r="D27" s="347"/>
      <c r="E27" s="347"/>
    </row>
    <row r="28" spans="1:5" ht="15.6">
      <c r="A28" s="328" t="s">
        <v>688</v>
      </c>
      <c r="B28" s="300" t="s">
        <v>198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5" ht="15.6">
      <c r="D30" s="347" t="s">
        <v>275</v>
      </c>
      <c r="E30" s="347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year'!E17</f>
        <v>157.5</v>
      </c>
      <c r="F35" s="355">
        <f>'No change with year'!F17</f>
        <v>28.2</v>
      </c>
      <c r="G35" s="328"/>
      <c r="H35" s="355">
        <f>'No change with year'!H17</f>
        <v>28.2</v>
      </c>
    </row>
    <row r="36" spans="1:38">
      <c r="A36" s="974" t="s">
        <v>345</v>
      </c>
      <c r="B36" s="328" t="s">
        <v>201</v>
      </c>
      <c r="C36" s="356"/>
      <c r="D36" s="356"/>
      <c r="E36" s="356"/>
      <c r="F36" s="356"/>
      <c r="G36" s="356"/>
      <c r="H36" s="356"/>
    </row>
    <row r="37" spans="1:38">
      <c r="A37" s="974"/>
      <c r="B37" s="328" t="s">
        <v>346</v>
      </c>
      <c r="C37" s="358">
        <f>'No change with year'!S17</f>
        <v>4.7</v>
      </c>
      <c r="D37" s="358">
        <f>'No change with year'!T17</f>
        <v>4.9000000000000004</v>
      </c>
      <c r="E37" s="358">
        <f>'No change with year'!U17</f>
        <v>4.8000000000000007</v>
      </c>
      <c r="F37" s="358">
        <f>'No change with year'!V17</f>
        <v>14.100000000000001</v>
      </c>
      <c r="G37" s="358">
        <f>'No change with year'!W17</f>
        <v>1.05</v>
      </c>
      <c r="H37" s="358">
        <f>'No change with year'!X17</f>
        <v>18.8</v>
      </c>
    </row>
    <row r="38" spans="1:38" ht="28.8">
      <c r="A38" s="296" t="s">
        <v>283</v>
      </c>
      <c r="B38" s="296" t="s">
        <v>284</v>
      </c>
      <c r="C38" s="297">
        <f>($C$21*$C$22)/C37</f>
        <v>19148.936170212764</v>
      </c>
      <c r="D38" s="297">
        <f>($C$21*$C$22)/D37</f>
        <v>18367.34693877551</v>
      </c>
      <c r="E38" s="297">
        <f>($C$21*$C$22)/E37</f>
        <v>18749.999999999996</v>
      </c>
      <c r="F38" s="297">
        <f>($C$21*$C$22)/F37</f>
        <v>6382.9787234042551</v>
      </c>
      <c r="G38" s="297">
        <f>($C$21*$C$22*G37)</f>
        <v>94500</v>
      </c>
      <c r="H38" s="297">
        <f>($C$21*$C$22)/H37</f>
        <v>4787.2340425531911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year'!C289/($C$21*$C$22)</f>
        <v>5</v>
      </c>
      <c r="D54" s="393">
        <f>'Changing with year'!D289/($C$21*$C$22)</f>
        <v>5.2222222222222223</v>
      </c>
      <c r="E54" s="393">
        <f>'Changing with year'!E289/($C$21*$C$22)</f>
        <v>5.4555555555555557</v>
      </c>
      <c r="F54" s="393">
        <f>'Changing with year'!F289/($C$21*$C$22)</f>
        <v>5.7</v>
      </c>
      <c r="G54" s="393">
        <f>'Changing with year'!G289/($C$21*$C$22)</f>
        <v>5.9555555555555557</v>
      </c>
      <c r="H54" s="393">
        <f>'Changing with year'!H289/($C$21*$C$22)</f>
        <v>6.2222222222222223</v>
      </c>
      <c r="I54" s="393">
        <f>'Changing with year'!I289/($C$21*$C$22)</f>
        <v>6.5</v>
      </c>
      <c r="J54" s="393">
        <f>'Changing with year'!J289/($C$21*$C$22)</f>
        <v>6.7888888888888888</v>
      </c>
      <c r="K54" s="393">
        <f>'Changing with year'!K289/($C$21*$C$22)</f>
        <v>7.0888888888888886</v>
      </c>
      <c r="L54" s="393">
        <f>'Changing with year'!L289/($C$21*$C$22)</f>
        <v>7.4111111111111114</v>
      </c>
      <c r="M54" s="393">
        <f>'Changing with year'!M289/($C$21*$C$22)</f>
        <v>7.7444444444444445</v>
      </c>
      <c r="N54" s="393">
        <f>'Changing with year'!N289/($C$21*$C$22)</f>
        <v>8.0888888888888886</v>
      </c>
      <c r="O54" s="393">
        <f>'Changing with year'!O289/($C$21*$C$22)</f>
        <v>8.4555555555555557</v>
      </c>
      <c r="P54" s="393">
        <f>'Changing with year'!P289/($C$21*$C$22)</f>
        <v>8.8333333333333339</v>
      </c>
      <c r="Q54" s="393">
        <f>'Changing with year'!Q289/($C$21*$C$22)</f>
        <v>9.2333333333333325</v>
      </c>
      <c r="R54" s="393">
        <f>'Changing with year'!R289/($C$21*$C$22)</f>
        <v>9.6444444444444439</v>
      </c>
      <c r="S54" s="393">
        <f>'Changing with year'!S289/($C$21*$C$22)</f>
        <v>10.077777777777778</v>
      </c>
      <c r="T54" s="393">
        <f>'Changing with year'!T289/($C$21*$C$22)</f>
        <v>10.533333333333333</v>
      </c>
      <c r="U54" s="393">
        <f>'Changing with year'!U289/($C$21*$C$22)</f>
        <v>11.011111111111111</v>
      </c>
      <c r="V54" s="393">
        <f>'Changing with year'!V289/($C$21*$C$22)</f>
        <v>11.511111111111111</v>
      </c>
      <c r="W54" s="393">
        <f>'Changing with year'!W289/($C$21*$C$22)</f>
        <v>12.033333333333333</v>
      </c>
      <c r="X54" s="393">
        <f>'Changing with year'!X289/($C$21*$C$22)</f>
        <v>12.577777777777778</v>
      </c>
      <c r="Y54" s="393">
        <f>'Changing with year'!Y289/($C$21*$C$22)</f>
        <v>13.144444444444444</v>
      </c>
      <c r="Z54" s="393">
        <f>'Changing with year'!Z289/($C$21*$C$22)</f>
        <v>13.733333333333333</v>
      </c>
      <c r="AA54" s="393">
        <f>'Changing with year'!AA289/($C$21*$C$22)</f>
        <v>14.355555555555556</v>
      </c>
      <c r="AB54" s="393">
        <f>'Changing with year'!AB289/($C$21*$C$22)</f>
        <v>15</v>
      </c>
      <c r="AC54" s="393">
        <f>'Changing with year'!AC289/($C$21*$C$22)</f>
        <v>15.677777777777777</v>
      </c>
      <c r="AD54" s="393">
        <f>'Changing with year'!AD289/($C$21*$C$22)</f>
        <v>16.377777777777776</v>
      </c>
      <c r="AE54" s="393">
        <f>'Changing with year'!AE289/($C$21*$C$22)</f>
        <v>17.111111111111111</v>
      </c>
      <c r="AF54" s="393">
        <f>'Changing with year'!AF289/($C$21*$C$22)</f>
        <v>17.877777777777776</v>
      </c>
      <c r="AG54" s="393">
        <f>'Changing with year'!AG289/($C$21*$C$22)</f>
        <v>18.677777777777777</v>
      </c>
      <c r="AH54" s="339"/>
    </row>
    <row r="55" spans="1:41">
      <c r="A55" s="348" t="s">
        <v>357</v>
      </c>
      <c r="B55" s="328" t="s">
        <v>300</v>
      </c>
      <c r="C55" s="393">
        <f>'Changing with year'!C300/($C$21*$C$22)</f>
        <v>5.666666666666667</v>
      </c>
      <c r="D55" s="393">
        <f>'Changing with year'!D300/($C$21*$C$22)</f>
        <v>5.9222222222222225</v>
      </c>
      <c r="E55" s="393">
        <f>'Changing with year'!E300/($C$21*$C$22)</f>
        <v>6.1888888888888891</v>
      </c>
      <c r="F55" s="393">
        <f>'Changing with year'!F300/($C$21*$C$22)</f>
        <v>6.4666666666666668</v>
      </c>
      <c r="G55" s="393">
        <f>'Changing with year'!G300/($C$21*$C$22)</f>
        <v>6.7555555555555555</v>
      </c>
      <c r="H55" s="393">
        <f>'Changing with year'!H300/($C$21*$C$22)</f>
        <v>7.0555555555555554</v>
      </c>
      <c r="I55" s="393">
        <f>'Changing with year'!I300/($C$21*$C$22)</f>
        <v>7.3777777777777782</v>
      </c>
      <c r="J55" s="393">
        <f>'Changing with year'!J300/($C$21*$C$22)</f>
        <v>7.7111111111111112</v>
      </c>
      <c r="K55" s="393">
        <f>'Changing with year'!K300/($C$21*$C$22)</f>
        <v>8.0555555555555554</v>
      </c>
      <c r="L55" s="393">
        <f>'Changing with year'!L300/($C$21*$C$22)</f>
        <v>8.4222222222222225</v>
      </c>
      <c r="M55" s="393">
        <f>'Changing with year'!M300/($C$21*$C$22)</f>
        <v>8.8000000000000007</v>
      </c>
      <c r="N55" s="393">
        <f>'Changing with year'!N300/($C$21*$C$22)</f>
        <v>9.1999999999999993</v>
      </c>
      <c r="O55" s="393">
        <f>'Changing with year'!O300/($C$21*$C$22)</f>
        <v>9.6111111111111107</v>
      </c>
      <c r="P55" s="393">
        <f>'Changing with year'!P300/($C$21*$C$22)</f>
        <v>10.044444444444444</v>
      </c>
      <c r="Q55" s="393">
        <f>'Changing with year'!Q300/($C$21*$C$22)</f>
        <v>10.5</v>
      </c>
      <c r="R55" s="393">
        <f>'Changing with year'!R300/($C$21*$C$22)</f>
        <v>10.977777777777778</v>
      </c>
      <c r="S55" s="393">
        <f>'Changing with year'!S300/($C$21*$C$22)</f>
        <v>11.466666666666667</v>
      </c>
      <c r="T55" s="393">
        <f>'Changing with year'!T300/($C$21*$C$22)</f>
        <v>11.977777777777778</v>
      </c>
      <c r="U55" s="393">
        <f>'Changing with year'!U300/($C$21*$C$22)</f>
        <v>12.522222222222222</v>
      </c>
      <c r="V55" s="393">
        <f>'Changing with year'!V300/($C$21*$C$22)</f>
        <v>13.088888888888889</v>
      </c>
      <c r="W55" s="393">
        <f>'Changing with year'!W300/($C$21*$C$22)</f>
        <v>13.677777777777777</v>
      </c>
      <c r="X55" s="393">
        <f>'Changing with year'!X300/($C$21*$C$22)</f>
        <v>14.28888888888889</v>
      </c>
      <c r="Y55" s="393">
        <f>'Changing with year'!Y300/($C$21*$C$22)</f>
        <v>14.933333333333334</v>
      </c>
      <c r="Z55" s="393">
        <f>'Changing with year'!Z300/($C$21*$C$22)</f>
        <v>15.6</v>
      </c>
      <c r="AA55" s="393">
        <f>'Changing with year'!AA300/($C$21*$C$22)</f>
        <v>16.3</v>
      </c>
      <c r="AB55" s="393">
        <f>'Changing with year'!AB300/($C$21*$C$22)</f>
        <v>17.033333333333335</v>
      </c>
      <c r="AC55" s="393">
        <f>'Changing with year'!AC300/($C$21*$C$22)</f>
        <v>17.8</v>
      </c>
      <c r="AD55" s="393">
        <f>'Changing with year'!AD300/($C$21*$C$22)</f>
        <v>18.600000000000001</v>
      </c>
      <c r="AE55" s="393">
        <f>'Changing with year'!AE300/($C$21*$C$22)</f>
        <v>19.433333333333334</v>
      </c>
      <c r="AF55" s="393">
        <f>'Changing with year'!AF300/($C$21*$C$22)</f>
        <v>20.31111111111111</v>
      </c>
      <c r="AG55" s="393">
        <f>'Changing with year'!AG300/($C$21*$C$22)</f>
        <v>21.222222222222221</v>
      </c>
      <c r="AH55" s="339"/>
    </row>
    <row r="56" spans="1:41">
      <c r="A56" s="328" t="s">
        <v>299</v>
      </c>
      <c r="B56" s="328" t="s">
        <v>300</v>
      </c>
      <c r="C56" s="338">
        <f>'Changing with year'!C165</f>
        <v>3.5</v>
      </c>
      <c r="D56" s="338">
        <f>'Changing with year'!D165</f>
        <v>3.64</v>
      </c>
      <c r="E56" s="338">
        <f>'Changing with year'!E165</f>
        <v>3.7856000000000001</v>
      </c>
      <c r="F56" s="338">
        <f>'Changing with year'!F165</f>
        <v>3.9370240000000001</v>
      </c>
      <c r="G56" s="338">
        <f>'Changing with year'!G165</f>
        <v>4.0945049600000001</v>
      </c>
      <c r="H56" s="338">
        <f>'Changing with year'!H165</f>
        <v>4.2582851584000005</v>
      </c>
      <c r="I56" s="338">
        <f>'Changing with year'!I165</f>
        <v>4.428616564736001</v>
      </c>
      <c r="J56" s="338">
        <f>'Changing with year'!J165</f>
        <v>4.6057612273254414</v>
      </c>
      <c r="K56" s="338">
        <f>'Changing with year'!K165</f>
        <v>4.7899916764184596</v>
      </c>
      <c r="L56" s="338">
        <f>'Changing with year'!L165</f>
        <v>4.9815913434751984</v>
      </c>
      <c r="M56" s="338">
        <f>'Changing with year'!M165</f>
        <v>5.1808549972142064</v>
      </c>
      <c r="N56" s="338">
        <f>'Changing with year'!N165</f>
        <v>5.3880891971027749</v>
      </c>
      <c r="O56" s="338">
        <f>'Changing with year'!O165</f>
        <v>5.6036127649868863</v>
      </c>
      <c r="P56" s="338">
        <f>'Changing with year'!P165</f>
        <v>5.8277572755863618</v>
      </c>
      <c r="Q56" s="338">
        <f>'Changing with year'!Q165</f>
        <v>6.0608675666098168</v>
      </c>
      <c r="R56" s="338">
        <f>'Changing with year'!R165</f>
        <v>6.3033022692742096</v>
      </c>
      <c r="S56" s="338">
        <f>'Changing with year'!S165</f>
        <v>6.5554343600451785</v>
      </c>
      <c r="T56" s="338">
        <f>'Changing with year'!T165</f>
        <v>6.8176517344469856</v>
      </c>
      <c r="U56" s="338">
        <f>'Changing with year'!U165</f>
        <v>7.0903578038248654</v>
      </c>
      <c r="V56" s="338">
        <f>'Changing with year'!V165</f>
        <v>7.3739721159778604</v>
      </c>
      <c r="W56" s="338">
        <f>'Changing with year'!W165</f>
        <v>7.6689310006169746</v>
      </c>
      <c r="X56" s="338">
        <f>'Changing with year'!X165</f>
        <v>7.975688240641654</v>
      </c>
      <c r="Y56" s="338">
        <f>'Changing with year'!Y165</f>
        <v>8.2947157702673202</v>
      </c>
      <c r="Z56" s="338">
        <f>'Changing with year'!Z165</f>
        <v>8.6265044010780141</v>
      </c>
      <c r="AA56" s="338">
        <f>'Changing with year'!AA165</f>
        <v>8.9715645771211356</v>
      </c>
      <c r="AB56" s="338">
        <f>'Changing with year'!AB165</f>
        <v>9.3304271602059821</v>
      </c>
      <c r="AC56" s="338">
        <f>'Changing with year'!AC165</f>
        <v>9.7036442466142212</v>
      </c>
      <c r="AD56" s="338">
        <f>'Changing with year'!AD165</f>
        <v>10.091790016478791</v>
      </c>
      <c r="AE56" s="338">
        <f>'Changing with year'!AE165</f>
        <v>10.495461617137943</v>
      </c>
      <c r="AF56" s="338">
        <f>'Changing with year'!AF165</f>
        <v>10.915280081823461</v>
      </c>
      <c r="AG56" s="338">
        <f>'Changing with year'!AG165</f>
        <v>11.3518912850964</v>
      </c>
      <c r="AH56" s="339"/>
    </row>
    <row r="57" spans="1:41">
      <c r="A57" s="328" t="s">
        <v>301</v>
      </c>
      <c r="B57" s="328" t="s">
        <v>300</v>
      </c>
      <c r="C57" s="338">
        <f>'Changing with year'!C197</f>
        <v>4</v>
      </c>
      <c r="D57" s="338">
        <f>'Changing with year'!D197</f>
        <v>4.16</v>
      </c>
      <c r="E57" s="338">
        <f>'Changing with year'!E197</f>
        <v>4.3264000000000005</v>
      </c>
      <c r="F57" s="338">
        <f>'Changing with year'!F197</f>
        <v>4.4994560000000003</v>
      </c>
      <c r="G57" s="338">
        <f>'Changing with year'!G197</f>
        <v>4.6794342400000009</v>
      </c>
      <c r="H57" s="338">
        <f>'Changing with year'!H197</f>
        <v>4.8666116096000014</v>
      </c>
      <c r="I57" s="338">
        <f>'Changing with year'!I197</f>
        <v>5.0612760739840015</v>
      </c>
      <c r="J57" s="338">
        <f>'Changing with year'!J197</f>
        <v>5.2637271169433619</v>
      </c>
      <c r="K57" s="338">
        <f>'Changing with year'!K197</f>
        <v>5.4742762016210964</v>
      </c>
      <c r="L57" s="338">
        <f>'Changing with year'!L197</f>
        <v>5.6932472496859408</v>
      </c>
      <c r="M57" s="338">
        <f>'Changing with year'!M197</f>
        <v>5.9209771396733784</v>
      </c>
      <c r="N57" s="338">
        <f>'Changing with year'!N197</f>
        <v>6.1578162252603139</v>
      </c>
      <c r="O57" s="338">
        <f>'Changing with year'!O197</f>
        <v>6.404128874270727</v>
      </c>
      <c r="P57" s="338">
        <f>'Changing with year'!P197</f>
        <v>6.6602940292415562</v>
      </c>
      <c r="Q57" s="338">
        <f>'Changing with year'!Q197</f>
        <v>6.9267057904112184</v>
      </c>
      <c r="R57" s="338">
        <f>'Changing with year'!R197</f>
        <v>7.2037740220276669</v>
      </c>
      <c r="S57" s="338">
        <f>'Changing with year'!S197</f>
        <v>7.491924982908774</v>
      </c>
      <c r="T57" s="338">
        <f>'Changing with year'!T197</f>
        <v>7.7916019822251252</v>
      </c>
      <c r="U57" s="338">
        <f>'Changing with year'!U197</f>
        <v>8.1032660615141303</v>
      </c>
      <c r="V57" s="338">
        <f>'Changing with year'!V197</f>
        <v>8.4273967039746953</v>
      </c>
      <c r="W57" s="338">
        <f>'Changing with year'!W197</f>
        <v>8.7644925721336833</v>
      </c>
      <c r="X57" s="338">
        <f>'Changing with year'!X197</f>
        <v>9.1150722750190312</v>
      </c>
      <c r="Y57" s="338">
        <f>'Changing with year'!Y197</f>
        <v>9.479675166019792</v>
      </c>
      <c r="Z57" s="338">
        <f>'Changing with year'!Z197</f>
        <v>9.8588621726605847</v>
      </c>
      <c r="AA57" s="338">
        <f>'Changing with year'!AA197</f>
        <v>10.253216659567009</v>
      </c>
      <c r="AB57" s="338">
        <f>'Changing with year'!AB197</f>
        <v>10.66334532594969</v>
      </c>
      <c r="AC57" s="338">
        <f>'Changing with year'!AC197</f>
        <v>11.089879138987678</v>
      </c>
      <c r="AD57" s="338">
        <f>'Changing with year'!AD197</f>
        <v>11.533474304547186</v>
      </c>
      <c r="AE57" s="338">
        <f>'Changing with year'!AE197</f>
        <v>11.994813276729074</v>
      </c>
      <c r="AF57" s="338">
        <f>'Changing with year'!AF197</f>
        <v>12.474605807798238</v>
      </c>
      <c r="AG57" s="338">
        <f>'Changing with year'!AG197</f>
        <v>12.973590040110167</v>
      </c>
      <c r="AH57" s="339"/>
    </row>
    <row r="58" spans="1:41" ht="28.8">
      <c r="A58" s="337" t="s">
        <v>302</v>
      </c>
      <c r="B58" s="328" t="s">
        <v>300</v>
      </c>
      <c r="C58" s="338">
        <f>'Changing with year'!C229</f>
        <v>6.454966575693633</v>
      </c>
      <c r="D58" s="338">
        <f>'Changing with year'!D229</f>
        <v>6.4690924113012915</v>
      </c>
      <c r="E58" s="338">
        <f>'Changing with year'!E229</f>
        <v>6.4898851010187588</v>
      </c>
      <c r="F58" s="338">
        <f>'Changing with year'!F229</f>
        <v>6.5174587734932903</v>
      </c>
      <c r="G58" s="338">
        <f>'Changing with year'!G229</f>
        <v>6.5519359361559575</v>
      </c>
      <c r="H58" s="338">
        <f>'Changing with year'!H229</f>
        <v>6.5934477150320587</v>
      </c>
      <c r="I58" s="338">
        <f>'Changing with year'!I229</f>
        <v>6.6586765309202178</v>
      </c>
      <c r="J58" s="338">
        <f>'Changing with year'!J229</f>
        <v>6.730484681298166</v>
      </c>
      <c r="K58" s="338">
        <f>'Changing with year'!K229</f>
        <v>6.8090559359084102</v>
      </c>
      <c r="L58" s="338">
        <f>'Changing with year'!L229</f>
        <v>6.8945830033558968</v>
      </c>
      <c r="M58" s="338">
        <f>'Changing with year'!M229</f>
        <v>6.9872678569010587</v>
      </c>
      <c r="N58" s="338">
        <f>'Changing with year'!N229</f>
        <v>7.0873220739198102</v>
      </c>
      <c r="O58" s="338">
        <f>'Changing with year'!O229</f>
        <v>7.1949671895644567</v>
      </c>
      <c r="P58" s="338">
        <f>'Changing with year'!P229</f>
        <v>7.3104350651811334</v>
      </c>
      <c r="Q58" s="338">
        <f>'Changing with year'!Q229</f>
        <v>7.4339682720617928</v>
      </c>
      <c r="R58" s="338">
        <f>'Changing with year'!R229</f>
        <v>7.5658204911322118</v>
      </c>
      <c r="S58" s="338">
        <f>'Changing with year'!S229</f>
        <v>7.7332896594643232</v>
      </c>
      <c r="T58" s="338">
        <f>'Changing with year'!T229</f>
        <v>7.9088092310428513</v>
      </c>
      <c r="U58" s="338">
        <f>'Changing with year'!U229</f>
        <v>8.092687705632521</v>
      </c>
      <c r="V58" s="338">
        <f>'Changing with year'!V229</f>
        <v>8.285246058152298</v>
      </c>
      <c r="W58" s="338">
        <f>'Changing with year'!W229</f>
        <v>8.4868182363299205</v>
      </c>
      <c r="X58" s="338">
        <f>'Changing with year'!X229</f>
        <v>8.6977516782761342</v>
      </c>
      <c r="Y58" s="338">
        <f>'Changing with year'!Y229</f>
        <v>8.9184078507752655</v>
      </c>
      <c r="Z58" s="338">
        <f>'Changing with year'!Z229</f>
        <v>9.149162809120682</v>
      </c>
      <c r="AA58" s="338">
        <f>'Changing with year'!AA229</f>
        <v>9.3904077793567708</v>
      </c>
      <c r="AB58" s="338">
        <f>'Changing with year'!AB229</f>
        <v>9.64254976382359</v>
      </c>
      <c r="AC58" s="338">
        <f>'Changing with year'!AC229</f>
        <v>9.9549080043123066</v>
      </c>
      <c r="AD58" s="338">
        <f>'Changing with year'!AD229</f>
        <v>10.279027136919932</v>
      </c>
      <c r="AE58" s="338">
        <f>'Changing with year'!AE229</f>
        <v>10.615370262956212</v>
      </c>
      <c r="AF58" s="338">
        <f>'Changing with year'!AF229</f>
        <v>10.964418934439539</v>
      </c>
      <c r="AG58" s="338">
        <f>'Changing with year'!AG229</f>
        <v>11.326673891391849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year'!C261</f>
        <v>6.8702000000000005</v>
      </c>
      <c r="D59" s="338">
        <f>'Changing with year'!D261</f>
        <v>6.873945</v>
      </c>
      <c r="E59" s="338">
        <f>'Changing with year'!E261</f>
        <v>6.8846163750000002</v>
      </c>
      <c r="F59" s="338">
        <f>'Changing with year'!F261</f>
        <v>6.9023217656249995</v>
      </c>
      <c r="G59" s="338">
        <f>'Changing with year'!G261</f>
        <v>6.9271773534843755</v>
      </c>
      <c r="H59" s="338">
        <f>'Changing with year'!H261</f>
        <v>6.9593080969272654</v>
      </c>
      <c r="I59" s="338">
        <f>'Changing with year'!I261</f>
        <v>7.0172197051775207</v>
      </c>
      <c r="J59" s="338">
        <f>'Changing with year'!J261</f>
        <v>7.081856992070322</v>
      </c>
      <c r="K59" s="338">
        <f>'Changing with year'!K261</f>
        <v>7.1534008004651239</v>
      </c>
      <c r="L59" s="338">
        <f>'Changing with year'!L261</f>
        <v>7.2320409706214752</v>
      </c>
      <c r="M59" s="338">
        <f>'Changing with year'!M261</f>
        <v>7.3179766648213258</v>
      </c>
      <c r="N59" s="338">
        <f>'Changing with year'!N261</f>
        <v>7.4114167056816713</v>
      </c>
      <c r="O59" s="338">
        <f>'Changing with year'!O261</f>
        <v>7.5125799286910802</v>
      </c>
      <c r="P59" s="338">
        <f>'Changing with year'!P261</f>
        <v>7.6216955495252243</v>
      </c>
      <c r="Q59" s="338">
        <f>'Changing with year'!Q261</f>
        <v>7.7390035467190019</v>
      </c>
      <c r="R59" s="338">
        <f>'Changing with year'!R261</f>
        <v>7.8647550602962779</v>
      </c>
      <c r="S59" s="338">
        <f>'Changing with year'!S261</f>
        <v>8.0292348829367484</v>
      </c>
      <c r="T59" s="338">
        <f>'Changing with year'!T261</f>
        <v>8.2017950022805532</v>
      </c>
      <c r="U59" s="338">
        <f>'Changing with year'!U261</f>
        <v>8.3827436191578446</v>
      </c>
      <c r="V59" s="338">
        <f>'Changing with year'!V261</f>
        <v>8.5724014125423675</v>
      </c>
      <c r="W59" s="338">
        <f>'Changing with year'!W261</f>
        <v>8.7711020371760906</v>
      </c>
      <c r="X59" s="338">
        <f>'Changing with year'!X261</f>
        <v>8.9791926411138423</v>
      </c>
      <c r="Y59" s="338">
        <f>'Changing with year'!Y261</f>
        <v>9.1970344039845955</v>
      </c>
      <c r="Z59" s="338">
        <f>'Changing with year'!Z261</f>
        <v>9.4250030967979193</v>
      </c>
      <c r="AA59" s="338">
        <f>'Changing with year'!AA261</f>
        <v>9.6634896641572343</v>
      </c>
      <c r="AB59" s="338">
        <f>'Changing with year'!AB261</f>
        <v>9.912900829776051</v>
      </c>
      <c r="AC59" s="338">
        <f>'Changing with year'!AC261</f>
        <v>10.227962580924292</v>
      </c>
      <c r="AD59" s="338">
        <f>'Changing with year'!AD261</f>
        <v>10.554812259298036</v>
      </c>
      <c r="AE59" s="338">
        <f>'Changing with year'!AE261</f>
        <v>10.893913236558099</v>
      </c>
      <c r="AF59" s="338">
        <f>'Changing with year'!AF261</f>
        <v>11.245747337777443</v>
      </c>
      <c r="AG59" s="338">
        <f>'Changing with year'!AG261</f>
        <v>11.610815578763132</v>
      </c>
      <c r="AH59" s="339"/>
    </row>
    <row r="60" spans="1:41">
      <c r="A60" s="328" t="s">
        <v>304</v>
      </c>
      <c r="B60" s="374" t="s">
        <v>305</v>
      </c>
      <c r="C60" s="361">
        <f>'Changing with year'!C267*$C$21*$C$22</f>
        <v>630000</v>
      </c>
      <c r="D60" s="361">
        <f>'Changing with year'!D267*$C$21*$C$22</f>
        <v>636300</v>
      </c>
      <c r="E60" s="361">
        <f>'Changing with year'!E267*$C$21*$C$22</f>
        <v>642663</v>
      </c>
      <c r="F60" s="361">
        <f>'Changing with year'!F267*$C$21*$C$22</f>
        <v>649089.63000000012</v>
      </c>
      <c r="G60" s="361">
        <f>'Changing with year'!G267*$C$21*$C$22</f>
        <v>655580.52630000003</v>
      </c>
      <c r="H60" s="361">
        <f>'Changing with year'!H267*$C$21*$C$22</f>
        <v>662136.33156299999</v>
      </c>
      <c r="I60" s="361">
        <f>'Changing with year'!I267*$C$21*$C$22</f>
        <v>668757.69487862999</v>
      </c>
      <c r="J60" s="361">
        <f>'Changing with year'!J267*$C$21*$C$22</f>
        <v>675445.27182741638</v>
      </c>
      <c r="K60" s="361">
        <f>'Changing with year'!K267*$C$21*$C$22</f>
        <v>682199.72454569046</v>
      </c>
      <c r="L60" s="361">
        <f>'Changing with year'!L267*$C$21*$C$22</f>
        <v>689021.72179114749</v>
      </c>
      <c r="M60" s="361">
        <f>'Changing with year'!M267*$C$21*$C$22</f>
        <v>695911.93900905887</v>
      </c>
      <c r="N60" s="361">
        <f>'Changing with year'!N267*$C$21*$C$22</f>
        <v>702871.05839914945</v>
      </c>
      <c r="O60" s="361">
        <f>'Changing with year'!O267*$C$21*$C$22</f>
        <v>709899.76898314094</v>
      </c>
      <c r="P60" s="361">
        <f>'Changing with year'!P267*$C$21*$C$22</f>
        <v>716998.76667297236</v>
      </c>
      <c r="Q60" s="361">
        <f>'Changing with year'!Q267*$C$21*$C$22</f>
        <v>724168.75433970219</v>
      </c>
      <c r="R60" s="361">
        <f>'Changing with year'!R267*$C$21*$C$22</f>
        <v>731410.44188309915</v>
      </c>
      <c r="S60" s="361">
        <f>'Changing with year'!S267*$C$21*$C$22</f>
        <v>738724.5463019301</v>
      </c>
      <c r="T60" s="361">
        <f>'Changing with year'!T267*$C$21*$C$22</f>
        <v>746111.79176494956</v>
      </c>
      <c r="U60" s="361">
        <f>'Changing with year'!U267*$C$21*$C$22</f>
        <v>753572.9096825989</v>
      </c>
      <c r="V60" s="361">
        <f>'Changing with year'!V267*$C$21*$C$22</f>
        <v>761108.63877942495</v>
      </c>
      <c r="W60" s="361">
        <f>'Changing with year'!W267*$C$21*$C$22</f>
        <v>768719.72516721918</v>
      </c>
      <c r="X60" s="361">
        <f>'Changing with year'!X267*$C$21*$C$22</f>
        <v>776406.92241889145</v>
      </c>
      <c r="Y60" s="361">
        <f>'Changing with year'!Y267*$C$21*$C$22</f>
        <v>784170.99164308037</v>
      </c>
      <c r="Z60" s="361">
        <f>'Changing with year'!Z267*$C$21*$C$22</f>
        <v>792012.70155951136</v>
      </c>
      <c r="AA60" s="361">
        <f>'Changing with year'!AA267*$C$21*$C$22</f>
        <v>799932.82857510634</v>
      </c>
      <c r="AB60" s="361">
        <f>'Changing with year'!AB267*$C$21*$C$22</f>
        <v>807932.1568608575</v>
      </c>
      <c r="AC60" s="361">
        <f>'Changing with year'!AC267*$C$21*$C$22</f>
        <v>816011.47842946602</v>
      </c>
      <c r="AD60" s="361">
        <f>'Changing with year'!AD267*$C$21*$C$22</f>
        <v>824171.59321376076</v>
      </c>
      <c r="AE60" s="361">
        <f>'Changing with year'!AE267*$C$21*$C$22</f>
        <v>832413.30914589833</v>
      </c>
      <c r="AF60" s="361">
        <f>'Changing with year'!AF267*$C$21*$C$22</f>
        <v>840737.44223735726</v>
      </c>
      <c r="AG60" s="361">
        <f>'Changing with year'!AG267*$C$21*$C$22</f>
        <v>849144.81665973098</v>
      </c>
      <c r="AH60" s="339"/>
      <c r="AI60" s="375"/>
      <c r="AJ60" s="376"/>
    </row>
    <row r="61" spans="1:41" s="344" customFormat="1">
      <c r="A61" s="328" t="s">
        <v>306</v>
      </c>
      <c r="B61" s="374" t="s">
        <v>305</v>
      </c>
      <c r="C61" s="361">
        <f>'Changing with year'!C278*$C$21*$C$22</f>
        <v>630000</v>
      </c>
      <c r="D61" s="361">
        <f>'Changing with year'!D278*$C$21*$C$22</f>
        <v>636300</v>
      </c>
      <c r="E61" s="361">
        <f>'Changing with year'!E278*$C$21*$C$22</f>
        <v>642663</v>
      </c>
      <c r="F61" s="361">
        <f>'Changing with year'!F278*$C$21*$C$22</f>
        <v>649089.63000000012</v>
      </c>
      <c r="G61" s="361">
        <f>'Changing with year'!G278*$C$21*$C$22</f>
        <v>655580.52630000003</v>
      </c>
      <c r="H61" s="361">
        <f>'Changing with year'!H278*$C$21*$C$22</f>
        <v>662136.33156299999</v>
      </c>
      <c r="I61" s="361">
        <f>'Changing with year'!I278*$C$21*$C$22</f>
        <v>668757.69487862999</v>
      </c>
      <c r="J61" s="361">
        <f>'Changing with year'!J278*$C$21*$C$22</f>
        <v>675445.27182741638</v>
      </c>
      <c r="K61" s="361">
        <f>'Changing with year'!K278*$C$21*$C$22</f>
        <v>682199.72454569046</v>
      </c>
      <c r="L61" s="361">
        <f>'Changing with year'!L278*$C$21*$C$22</f>
        <v>689021.72179114749</v>
      </c>
      <c r="M61" s="361">
        <f>'Changing with year'!M278*$C$21*$C$22</f>
        <v>695911.93900905887</v>
      </c>
      <c r="N61" s="361">
        <f>'Changing with year'!N278*$C$21*$C$22</f>
        <v>702871.05839914945</v>
      </c>
      <c r="O61" s="361">
        <f>'Changing with year'!O278*$C$21*$C$22</f>
        <v>709899.76898314094</v>
      </c>
      <c r="P61" s="361">
        <f>'Changing with year'!P278*$C$21*$C$22</f>
        <v>716998.76667297236</v>
      </c>
      <c r="Q61" s="361">
        <f>'Changing with year'!Q278*$C$21*$C$22</f>
        <v>724168.75433970219</v>
      </c>
      <c r="R61" s="361">
        <f>'Changing with year'!R278*$C$21*$C$22</f>
        <v>731410.44188309915</v>
      </c>
      <c r="S61" s="361">
        <f>'Changing with year'!S278*$C$21*$C$22</f>
        <v>738724.5463019301</v>
      </c>
      <c r="T61" s="361">
        <f>'Changing with year'!T278*$C$21*$C$22</f>
        <v>746111.79176494956</v>
      </c>
      <c r="U61" s="361">
        <f>'Changing with year'!U278*$C$21*$C$22</f>
        <v>753572.9096825989</v>
      </c>
      <c r="V61" s="361">
        <f>'Changing with year'!V278*$C$21*$C$22</f>
        <v>761108.63877942495</v>
      </c>
      <c r="W61" s="361">
        <f>'Changing with year'!W278*$C$21*$C$22</f>
        <v>768719.72516721918</v>
      </c>
      <c r="X61" s="361">
        <f>'Changing with year'!X278*$C$21*$C$22</f>
        <v>776406.92241889145</v>
      </c>
      <c r="Y61" s="361">
        <f>'Changing with year'!Y278*$C$21*$C$22</f>
        <v>784170.99164308037</v>
      </c>
      <c r="Z61" s="361">
        <f>'Changing with year'!Z278*$C$21*$C$22</f>
        <v>792012.70155951136</v>
      </c>
      <c r="AA61" s="361">
        <f>'Changing with year'!AA278*$C$21*$C$22</f>
        <v>799932.82857510634</v>
      </c>
      <c r="AB61" s="361">
        <f>'Changing with year'!AB278*$C$21*$C$22</f>
        <v>807932.1568608575</v>
      </c>
      <c r="AC61" s="361">
        <f>'Changing with year'!AC278*$C$21*$C$22</f>
        <v>816011.47842946602</v>
      </c>
      <c r="AD61" s="361">
        <f>'Changing with year'!AD278*$C$21*$C$22</f>
        <v>824171.59321376076</v>
      </c>
      <c r="AE61" s="361">
        <f>'Changing with year'!AE278*$C$21*$C$22</f>
        <v>832413.30914589833</v>
      </c>
      <c r="AF61" s="361">
        <f>'Changing with year'!AF278*$C$21*$C$22</f>
        <v>840737.44223735726</v>
      </c>
      <c r="AG61" s="361">
        <f>'Changing with year'!AG278*$C$21*$C$22</f>
        <v>849144.81665973098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year'!C83</f>
        <v>3600000</v>
      </c>
      <c r="D63" s="376">
        <f>'Changing with year'!D83</f>
        <v>3708000</v>
      </c>
      <c r="E63" s="376">
        <f>'Changing with year'!E83</f>
        <v>3819200</v>
      </c>
      <c r="F63" s="376">
        <f>'Changing with year'!F83</f>
        <v>3933800</v>
      </c>
      <c r="G63" s="376">
        <f>'Changing with year'!G83</f>
        <v>4051800</v>
      </c>
      <c r="H63" s="376">
        <f>'Changing with year'!H83</f>
        <v>4573400</v>
      </c>
      <c r="I63" s="376">
        <f>'Changing with year'!I83</f>
        <v>4710600</v>
      </c>
      <c r="J63" s="376">
        <f>'Changing with year'!J83</f>
        <v>4851900</v>
      </c>
      <c r="K63" s="376">
        <f>'Changing with year'!K83</f>
        <v>4997500</v>
      </c>
      <c r="L63" s="376">
        <f>'Changing with year'!L83</f>
        <v>5147400</v>
      </c>
      <c r="M63" s="376">
        <f>'Changing with year'!M83</f>
        <v>5301800</v>
      </c>
      <c r="N63" s="376">
        <f>'Changing with year'!N83</f>
        <v>5460900</v>
      </c>
      <c r="O63" s="376">
        <f>'Changing with year'!O83</f>
        <v>5624700</v>
      </c>
      <c r="P63" s="376">
        <f>'Changing with year'!P83</f>
        <v>5793400</v>
      </c>
      <c r="Q63" s="376">
        <f>'Changing with year'!Q83</f>
        <v>5967200</v>
      </c>
      <c r="R63" s="376">
        <f>'Changing with year'!R83</f>
        <v>6146200</v>
      </c>
      <c r="S63" s="376">
        <f>'Changing with year'!S83</f>
        <v>6330600</v>
      </c>
      <c r="T63" s="376">
        <f>'Changing with year'!T83</f>
        <v>6520500</v>
      </c>
      <c r="U63" s="376">
        <f>'Changing with year'!U83</f>
        <v>6716100</v>
      </c>
      <c r="V63" s="376">
        <f>'Changing with year'!V83</f>
        <v>6917600</v>
      </c>
      <c r="W63" s="376">
        <f>'Changing with year'!W83</f>
        <v>7125100</v>
      </c>
      <c r="X63" s="376">
        <f>'Changing with year'!X83</f>
        <v>7338900</v>
      </c>
      <c r="Y63" s="376">
        <f>'Changing with year'!Y83</f>
        <v>7559100</v>
      </c>
      <c r="Z63" s="376">
        <f>'Changing with year'!Z83</f>
        <v>7785900</v>
      </c>
      <c r="AA63" s="376">
        <f>'Changing with year'!AA83</f>
        <v>8019500</v>
      </c>
      <c r="AB63" s="376">
        <f>'Changing with year'!AB83</f>
        <v>8260100</v>
      </c>
      <c r="AC63" s="376">
        <f>'Changing with year'!AC83</f>
        <v>8507900</v>
      </c>
      <c r="AD63" s="376">
        <f>'Changing with year'!AD83</f>
        <v>8763100</v>
      </c>
      <c r="AE63" s="376">
        <f>'Changing with year'!AE83</f>
        <v>9026000</v>
      </c>
      <c r="AF63" s="376">
        <f>'Changing with year'!AF83</f>
        <v>9296800</v>
      </c>
      <c r="AG63" s="376">
        <f>'Changing with year'!AG83</f>
        <v>9575700</v>
      </c>
    </row>
    <row r="64" spans="1:41">
      <c r="A64" s="368" t="s">
        <v>310</v>
      </c>
      <c r="B64" s="300" t="s">
        <v>309</v>
      </c>
      <c r="C64" s="376">
        <f>(C63*'No change with year'!$Y$17)</f>
        <v>1980000.0000000002</v>
      </c>
      <c r="D64" s="376">
        <f>(D63*'No change with year'!$Y$17)</f>
        <v>2039400.0000000002</v>
      </c>
      <c r="E64" s="376">
        <f>(E63*'No change with year'!$Y$17)</f>
        <v>2100560</v>
      </c>
      <c r="F64" s="376">
        <f>(F63*'No change with year'!$Y$17)</f>
        <v>2163590</v>
      </c>
      <c r="G64" s="376">
        <f>(G63*'No change with year'!$Y$17)</f>
        <v>2228490</v>
      </c>
      <c r="H64" s="376">
        <f>(H63*'No change with year'!$Y$17)</f>
        <v>2515370</v>
      </c>
      <c r="I64" s="376">
        <f>(I63*'No change with year'!$Y$17)</f>
        <v>2590830</v>
      </c>
      <c r="J64" s="376">
        <f>(J63*'No change with year'!$Y$17)</f>
        <v>2668545</v>
      </c>
      <c r="K64" s="376">
        <f>(K63*'No change with year'!$Y$17)</f>
        <v>2748625</v>
      </c>
      <c r="L64" s="376">
        <f>(L63*'No change with year'!$Y$17)</f>
        <v>2831070</v>
      </c>
      <c r="M64" s="376">
        <f>(M63*'No change with year'!$Y$17)</f>
        <v>2915990.0000000005</v>
      </c>
      <c r="N64" s="376">
        <f>(N63*'No change with year'!$Z$17)</f>
        <v>2457405.0000000005</v>
      </c>
      <c r="O64" s="376">
        <f>(O63*'No change with year'!$Z$17)</f>
        <v>2531115.0000000005</v>
      </c>
      <c r="P64" s="376">
        <f>(P63*'No change with year'!$Z$17)</f>
        <v>2607030.0000000005</v>
      </c>
      <c r="Q64" s="376">
        <f>(Q63*'No change with year'!$Z$17)</f>
        <v>2685240.0000000005</v>
      </c>
      <c r="R64" s="376">
        <f>(R63*'No change with year'!$Z$17)</f>
        <v>2765790.0000000005</v>
      </c>
      <c r="S64" s="376">
        <f>(S63*'No change with year'!$Z$17)</f>
        <v>2848770.0000000005</v>
      </c>
      <c r="T64" s="376">
        <f>(T63*'No change with year'!$Z$17)</f>
        <v>2934225.0000000005</v>
      </c>
      <c r="U64" s="376">
        <f>(U63*'No change with year'!$Z$17)</f>
        <v>3022245.0000000005</v>
      </c>
      <c r="V64" s="376">
        <f>(V63*'No change with year'!$Z$17)</f>
        <v>3112920.0000000005</v>
      </c>
      <c r="W64" s="376">
        <f>(W63*'No change with year'!$Z$17)</f>
        <v>3206295.0000000005</v>
      </c>
      <c r="X64" s="376">
        <f>(X63*'No change with year'!$AA$17)</f>
        <v>2568615.0000000005</v>
      </c>
      <c r="Y64" s="376">
        <f>(Y63*'No change with year'!$AA$17)</f>
        <v>2645685.0000000005</v>
      </c>
      <c r="Z64" s="376">
        <f>(Z63*'No change with year'!$AA$17)</f>
        <v>2725065.0000000005</v>
      </c>
      <c r="AA64" s="376">
        <f>(AA63*'No change with year'!$AA$17)</f>
        <v>2806825.0000000005</v>
      </c>
      <c r="AB64" s="376">
        <f>(AB63*'No change with year'!$AA$17)</f>
        <v>2891035.0000000005</v>
      </c>
      <c r="AC64" s="376">
        <f>(AC63*'No change with year'!$AA$17)</f>
        <v>2977765.0000000005</v>
      </c>
      <c r="AD64" s="376">
        <f>(AD63*'No change with year'!$AA$17)</f>
        <v>3067085.0000000005</v>
      </c>
      <c r="AE64" s="376">
        <f>(AE63*'No change with year'!$AA$17)</f>
        <v>3159100.0000000005</v>
      </c>
      <c r="AF64" s="376">
        <f>(AF63*'No change with year'!$AA$17)</f>
        <v>3253880.0000000005</v>
      </c>
      <c r="AG64" s="376">
        <f>(AG63*'No change with year'!$AA$17)</f>
        <v>3351495.0000000005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788823.84924500715</v>
      </c>
      <c r="D66" s="376">
        <f t="shared" si="4"/>
        <v>812488.56472235743</v>
      </c>
      <c r="E66" s="376">
        <f t="shared" si="4"/>
        <v>836854.45695459202</v>
      </c>
      <c r="F66" s="376">
        <f t="shared" si="4"/>
        <v>861965.34948889131</v>
      </c>
      <c r="G66" s="376">
        <f t="shared" si="4"/>
        <v>887821.24232525553</v>
      </c>
      <c r="H66" s="376">
        <f t="shared" si="4"/>
        <v>1002113.0533714209</v>
      </c>
      <c r="I66" s="376">
        <f t="shared" si="4"/>
        <v>1032176.0067370918</v>
      </c>
      <c r="J66" s="376">
        <f t="shared" si="4"/>
        <v>1063137.3428199585</v>
      </c>
      <c r="K66" s="376">
        <f t="shared" si="4"/>
        <v>1095040.8851672008</v>
      </c>
      <c r="L66" s="376">
        <f t="shared" si="4"/>
        <v>1127886.6337788193</v>
      </c>
      <c r="M66" s="376">
        <f t="shared" si="4"/>
        <v>1161718.4122019941</v>
      </c>
      <c r="N66" s="376">
        <f t="shared" si="4"/>
        <v>1196580.0439839053</v>
      </c>
      <c r="O66" s="376">
        <f t="shared" si="4"/>
        <v>1232471.5291245531</v>
      </c>
      <c r="P66" s="376">
        <f t="shared" si="4"/>
        <v>1269436.6911711181</v>
      </c>
      <c r="Q66" s="376">
        <f t="shared" si="4"/>
        <v>1307519.3536707796</v>
      </c>
      <c r="R66" s="376">
        <f t="shared" si="4"/>
        <v>1346741.4283971286</v>
      </c>
      <c r="S66" s="376">
        <f t="shared" si="4"/>
        <v>1387146.738897345</v>
      </c>
      <c r="T66" s="376">
        <f t="shared" si="4"/>
        <v>1428757.1969450191</v>
      </c>
      <c r="U66" s="376">
        <f t="shared" si="4"/>
        <v>1471616.6260873312</v>
      </c>
      <c r="V66" s="376">
        <f t="shared" si="4"/>
        <v>1515768.8498714615</v>
      </c>
      <c r="W66" s="376">
        <f t="shared" si="4"/>
        <v>1561235.7800710001</v>
      </c>
      <c r="X66" s="376">
        <f t="shared" si="4"/>
        <v>1608083.1520067176</v>
      </c>
      <c r="Y66" s="376">
        <f t="shared" si="4"/>
        <v>1656332.8774522038</v>
      </c>
      <c r="Z66" s="376">
        <f t="shared" si="4"/>
        <v>1706028.779954639</v>
      </c>
      <c r="AA66" s="376">
        <f t="shared" si="4"/>
        <v>1757214.6830612042</v>
      </c>
      <c r="AB66" s="376">
        <f t="shared" si="4"/>
        <v>1809934.4103190787</v>
      </c>
      <c r="AC66" s="376">
        <f t="shared" si="4"/>
        <v>1864231.7852754435</v>
      </c>
      <c r="AD66" s="376">
        <f t="shared" si="4"/>
        <v>1920150.6314774784</v>
      </c>
      <c r="AE66" s="376">
        <f t="shared" si="4"/>
        <v>1977756.684245954</v>
      </c>
      <c r="AF66" s="376">
        <f t="shared" si="4"/>
        <v>2037093.7671280508</v>
      </c>
      <c r="AG66" s="376">
        <f t="shared" si="4"/>
        <v>2098205.7036709487</v>
      </c>
    </row>
    <row r="67" spans="1:35">
      <c r="A67" s="368" t="s">
        <v>314</v>
      </c>
      <c r="B67" s="368" t="s">
        <v>313</v>
      </c>
      <c r="C67" s="376">
        <f t="shared" ref="C67:AG67" si="5">C41*$C$38</f>
        <v>1702843.9680364735</v>
      </c>
      <c r="D67" s="376">
        <f t="shared" si="5"/>
        <v>1895744.6808510637</v>
      </c>
      <c r="E67" s="376">
        <f t="shared" si="5"/>
        <v>1933659.5744680851</v>
      </c>
      <c r="F67" s="376">
        <f t="shared" si="5"/>
        <v>1972332.7659574468</v>
      </c>
      <c r="G67" s="376">
        <f t="shared" si="5"/>
        <v>2011779.4212765957</v>
      </c>
      <c r="H67" s="376">
        <f t="shared" si="5"/>
        <v>2052015.0097021277</v>
      </c>
      <c r="I67" s="376">
        <f t="shared" si="5"/>
        <v>2093055.3098961702</v>
      </c>
      <c r="J67" s="376">
        <f t="shared" si="5"/>
        <v>2134916.4160940936</v>
      </c>
      <c r="K67" s="376">
        <f t="shared" si="5"/>
        <v>2177614.7444159756</v>
      </c>
      <c r="L67" s="376">
        <f t="shared" si="5"/>
        <v>2221167.0393042951</v>
      </c>
      <c r="M67" s="376">
        <f t="shared" si="5"/>
        <v>2265590.380090381</v>
      </c>
      <c r="N67" s="376">
        <f t="shared" si="5"/>
        <v>2310902.1876921887</v>
      </c>
      <c r="O67" s="376">
        <f t="shared" si="5"/>
        <v>2357120.2314460324</v>
      </c>
      <c r="P67" s="376">
        <f t="shared" si="5"/>
        <v>2404262.6360749528</v>
      </c>
      <c r="Q67" s="376">
        <f t="shared" si="5"/>
        <v>2452347.888796452</v>
      </c>
      <c r="R67" s="376">
        <f t="shared" si="5"/>
        <v>2501394.8465723814</v>
      </c>
      <c r="S67" s="376">
        <f t="shared" si="5"/>
        <v>2551422.743503829</v>
      </c>
      <c r="T67" s="376">
        <f t="shared" si="5"/>
        <v>2602451.1983739058</v>
      </c>
      <c r="U67" s="376">
        <f t="shared" si="5"/>
        <v>2654500.2223413843</v>
      </c>
      <c r="V67" s="376">
        <f t="shared" si="5"/>
        <v>2707590.2267882121</v>
      </c>
      <c r="W67" s="376">
        <f t="shared" si="5"/>
        <v>2761742.0313239759</v>
      </c>
      <c r="X67" s="376">
        <f t="shared" si="5"/>
        <v>2816976.8719504555</v>
      </c>
      <c r="Y67" s="376">
        <f t="shared" si="5"/>
        <v>2873316.4093894647</v>
      </c>
      <c r="Z67" s="376">
        <f t="shared" si="5"/>
        <v>2930782.737577254</v>
      </c>
      <c r="AA67" s="376">
        <f t="shared" si="5"/>
        <v>2989398.3923287992</v>
      </c>
      <c r="AB67" s="376">
        <f t="shared" si="5"/>
        <v>3049186.3601753754</v>
      </c>
      <c r="AC67" s="376">
        <f t="shared" si="5"/>
        <v>3110170.0873788828</v>
      </c>
      <c r="AD67" s="376">
        <f t="shared" si="5"/>
        <v>3172373.4891264602</v>
      </c>
      <c r="AE67" s="376">
        <f t="shared" si="5"/>
        <v>3235820.9589089896</v>
      </c>
      <c r="AF67" s="376">
        <f t="shared" si="5"/>
        <v>3300537.3780871695</v>
      </c>
      <c r="AG67" s="376">
        <f t="shared" si="5"/>
        <v>3366548.125648913</v>
      </c>
    </row>
    <row r="68" spans="1:35">
      <c r="A68" s="368" t="s">
        <v>315</v>
      </c>
      <c r="B68" s="368" t="s">
        <v>313</v>
      </c>
      <c r="C68" s="329">
        <f t="shared" ref="C68:AG68" si="6">$C$38*$AH$68*C42</f>
        <v>52659.574468085106</v>
      </c>
      <c r="D68" s="329">
        <f t="shared" si="6"/>
        <v>53976.063829787221</v>
      </c>
      <c r="E68" s="329">
        <f t="shared" si="6"/>
        <v>55325.465425531904</v>
      </c>
      <c r="F68" s="329">
        <f t="shared" si="6"/>
        <v>56708.60206117019</v>
      </c>
      <c r="G68" s="329">
        <f t="shared" si="6"/>
        <v>58126.317112699442</v>
      </c>
      <c r="H68" s="329">
        <f t="shared" si="6"/>
        <v>59579.475040516925</v>
      </c>
      <c r="I68" s="329">
        <f t="shared" si="6"/>
        <v>61068.961916529843</v>
      </c>
      <c r="J68" s="329">
        <f t="shared" si="6"/>
        <v>62595.685964443081</v>
      </c>
      <c r="K68" s="329">
        <f t="shared" si="6"/>
        <v>64160.578113554155</v>
      </c>
      <c r="L68" s="329">
        <f t="shared" si="6"/>
        <v>65764.59256639301</v>
      </c>
      <c r="M68" s="329">
        <f t="shared" si="6"/>
        <v>67408.70738055282</v>
      </c>
      <c r="N68" s="329">
        <f t="shared" si="6"/>
        <v>69093.925065066636</v>
      </c>
      <c r="O68" s="329">
        <f t="shared" si="6"/>
        <v>70821.273191693297</v>
      </c>
      <c r="P68" s="329">
        <f t="shared" si="6"/>
        <v>72591.805021485634</v>
      </c>
      <c r="Q68" s="329">
        <f t="shared" si="6"/>
        <v>74406.600147022764</v>
      </c>
      <c r="R68" s="329">
        <f t="shared" si="6"/>
        <v>76266.765150698324</v>
      </c>
      <c r="S68" s="329">
        <f t="shared" si="6"/>
        <v>78173.434279465786</v>
      </c>
      <c r="T68" s="329">
        <f t="shared" si="6"/>
        <v>80127.770136452426</v>
      </c>
      <c r="U68" s="329">
        <f t="shared" si="6"/>
        <v>82130.96438986373</v>
      </c>
      <c r="V68" s="329">
        <f t="shared" si="6"/>
        <v>84184.238499610306</v>
      </c>
      <c r="W68" s="329">
        <f t="shared" si="6"/>
        <v>86288.844462100562</v>
      </c>
      <c r="X68" s="329">
        <f t="shared" si="6"/>
        <v>88446.065573653075</v>
      </c>
      <c r="Y68" s="329">
        <f t="shared" si="6"/>
        <v>90657.217212994394</v>
      </c>
      <c r="Z68" s="329">
        <f t="shared" si="6"/>
        <v>92923.647643319244</v>
      </c>
      <c r="AA68" s="329">
        <f t="shared" si="6"/>
        <v>95246.738834402218</v>
      </c>
      <c r="AB68" s="329">
        <f t="shared" si="6"/>
        <v>97627.90730526227</v>
      </c>
      <c r="AC68" s="329">
        <f t="shared" si="6"/>
        <v>100068.60498789381</v>
      </c>
      <c r="AD68" s="329">
        <f t="shared" si="6"/>
        <v>102570.32011259116</v>
      </c>
      <c r="AE68" s="329">
        <f t="shared" si="6"/>
        <v>105134.57811540592</v>
      </c>
      <c r="AF68" s="329">
        <f t="shared" si="6"/>
        <v>107762.94256829105</v>
      </c>
      <c r="AG68" s="329">
        <f t="shared" si="6"/>
        <v>110457.01613249832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315000</v>
      </c>
      <c r="D69" s="376">
        <f t="shared" si="7"/>
        <v>327600</v>
      </c>
      <c r="E69" s="376">
        <f t="shared" si="7"/>
        <v>340704</v>
      </c>
      <c r="F69" s="376">
        <f t="shared" si="7"/>
        <v>354332.16000000003</v>
      </c>
      <c r="G69" s="376">
        <f t="shared" si="7"/>
        <v>368505.44640000002</v>
      </c>
      <c r="H69" s="376">
        <f t="shared" si="7"/>
        <v>383245.66425600008</v>
      </c>
      <c r="I69" s="376">
        <f t="shared" si="7"/>
        <v>398575.4908262401</v>
      </c>
      <c r="J69" s="376">
        <f t="shared" si="7"/>
        <v>414518.51045928971</v>
      </c>
      <c r="K69" s="376">
        <f t="shared" si="7"/>
        <v>431099.25087766134</v>
      </c>
      <c r="L69" s="376">
        <f t="shared" si="7"/>
        <v>448343.22091276787</v>
      </c>
      <c r="M69" s="376">
        <f t="shared" si="7"/>
        <v>466276.9497492786</v>
      </c>
      <c r="N69" s="376">
        <f t="shared" si="7"/>
        <v>484928.02773924975</v>
      </c>
      <c r="O69" s="376">
        <f t="shared" si="7"/>
        <v>504325.14884881978</v>
      </c>
      <c r="P69" s="376">
        <f t="shared" si="7"/>
        <v>524498.15480277257</v>
      </c>
      <c r="Q69" s="376">
        <f t="shared" si="7"/>
        <v>545478.08099488355</v>
      </c>
      <c r="R69" s="376">
        <f t="shared" si="7"/>
        <v>567297.20423467888</v>
      </c>
      <c r="S69" s="376">
        <f t="shared" si="7"/>
        <v>589989.09240406612</v>
      </c>
      <c r="T69" s="376">
        <f t="shared" si="7"/>
        <v>613588.65610022866</v>
      </c>
      <c r="U69" s="376">
        <f t="shared" si="7"/>
        <v>638132.20234423783</v>
      </c>
      <c r="V69" s="376">
        <f t="shared" si="7"/>
        <v>663657.4904380074</v>
      </c>
      <c r="W69" s="376">
        <f t="shared" si="7"/>
        <v>690203.7900555277</v>
      </c>
      <c r="X69" s="376">
        <f t="shared" si="7"/>
        <v>717811.94165774889</v>
      </c>
      <c r="Y69" s="376">
        <f t="shared" si="7"/>
        <v>746524.41932405881</v>
      </c>
      <c r="Z69" s="376">
        <f t="shared" si="7"/>
        <v>776385.39609702129</v>
      </c>
      <c r="AA69" s="376">
        <f t="shared" si="7"/>
        <v>807440.81194090226</v>
      </c>
      <c r="AB69" s="376">
        <f t="shared" si="7"/>
        <v>839738.44441853836</v>
      </c>
      <c r="AC69" s="376">
        <f t="shared" si="7"/>
        <v>873327.98219527991</v>
      </c>
      <c r="AD69" s="376">
        <f t="shared" si="7"/>
        <v>908261.10148309125</v>
      </c>
      <c r="AE69" s="376">
        <f t="shared" si="7"/>
        <v>944591.54554241488</v>
      </c>
      <c r="AF69" s="376">
        <f t="shared" si="7"/>
        <v>982375.20736411144</v>
      </c>
      <c r="AG69" s="376">
        <f t="shared" si="7"/>
        <v>1021670.215658676</v>
      </c>
    </row>
    <row r="70" spans="1:35">
      <c r="A70" s="368" t="s">
        <v>318</v>
      </c>
      <c r="B70" s="368" t="s">
        <v>313</v>
      </c>
      <c r="C70" s="376">
        <f>'Changing with year'!C289</f>
        <v>450000</v>
      </c>
      <c r="D70" s="376">
        <f>'Changing with year'!D289</f>
        <v>470000</v>
      </c>
      <c r="E70" s="376">
        <f>'Changing with year'!E289</f>
        <v>491000</v>
      </c>
      <c r="F70" s="376">
        <f>'Changing with year'!F289</f>
        <v>513000</v>
      </c>
      <c r="G70" s="376">
        <f>'Changing with year'!G289</f>
        <v>536000</v>
      </c>
      <c r="H70" s="376">
        <f>'Changing with year'!H289</f>
        <v>560000</v>
      </c>
      <c r="I70" s="376">
        <f>'Changing with year'!I289</f>
        <v>585000</v>
      </c>
      <c r="J70" s="376">
        <f>'Changing with year'!J289</f>
        <v>611000</v>
      </c>
      <c r="K70" s="376">
        <f>'Changing with year'!K289</f>
        <v>638000</v>
      </c>
      <c r="L70" s="376">
        <f>'Changing with year'!L289</f>
        <v>667000</v>
      </c>
      <c r="M70" s="376">
        <f>'Changing with year'!M289</f>
        <v>697000</v>
      </c>
      <c r="N70" s="376">
        <f>'Changing with year'!N289</f>
        <v>728000</v>
      </c>
      <c r="O70" s="376">
        <f>'Changing with year'!O289</f>
        <v>761000</v>
      </c>
      <c r="P70" s="376">
        <f>'Changing with year'!P289</f>
        <v>795000</v>
      </c>
      <c r="Q70" s="376">
        <f>'Changing with year'!Q289</f>
        <v>831000</v>
      </c>
      <c r="R70" s="376">
        <f>'Changing with year'!R289</f>
        <v>868000</v>
      </c>
      <c r="S70" s="376">
        <f>'Changing with year'!S289</f>
        <v>907000</v>
      </c>
      <c r="T70" s="376">
        <f>'Changing with year'!T289</f>
        <v>948000</v>
      </c>
      <c r="U70" s="376">
        <f>'Changing with year'!U289</f>
        <v>991000</v>
      </c>
      <c r="V70" s="376">
        <f>'Changing with year'!V289</f>
        <v>1036000</v>
      </c>
      <c r="W70" s="376">
        <f>'Changing with year'!W289</f>
        <v>1083000</v>
      </c>
      <c r="X70" s="376">
        <f>'Changing with year'!X289</f>
        <v>1132000</v>
      </c>
      <c r="Y70" s="376">
        <f>'Changing with year'!Y289</f>
        <v>1183000</v>
      </c>
      <c r="Z70" s="376">
        <f>'Changing with year'!Z289</f>
        <v>1236000</v>
      </c>
      <c r="AA70" s="376">
        <f>'Changing with year'!AA289</f>
        <v>1292000</v>
      </c>
      <c r="AB70" s="376">
        <f>'Changing with year'!AB289</f>
        <v>1350000</v>
      </c>
      <c r="AC70" s="376">
        <f>'Changing with year'!AC289</f>
        <v>1411000</v>
      </c>
      <c r="AD70" s="376">
        <f>'Changing with year'!AD289</f>
        <v>1474000</v>
      </c>
      <c r="AE70" s="376">
        <f>'Changing with year'!AE289</f>
        <v>1540000</v>
      </c>
      <c r="AF70" s="376">
        <f>'Changing with year'!AF289</f>
        <v>1609000</v>
      </c>
      <c r="AG70" s="376">
        <f>'Changing with year'!AG289</f>
        <v>1681000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630000</v>
      </c>
      <c r="D71" s="376">
        <f t="shared" si="8"/>
        <v>636300</v>
      </c>
      <c r="E71" s="376">
        <f t="shared" si="8"/>
        <v>642663</v>
      </c>
      <c r="F71" s="376">
        <f t="shared" si="8"/>
        <v>649089.63000000012</v>
      </c>
      <c r="G71" s="376">
        <f t="shared" si="8"/>
        <v>655580.52630000003</v>
      </c>
      <c r="H71" s="376">
        <f t="shared" si="8"/>
        <v>662136.33156299999</v>
      </c>
      <c r="I71" s="376">
        <f t="shared" si="8"/>
        <v>668757.69487862999</v>
      </c>
      <c r="J71" s="376">
        <f t="shared" si="8"/>
        <v>675445.27182741638</v>
      </c>
      <c r="K71" s="376">
        <f t="shared" si="8"/>
        <v>682199.72454569046</v>
      </c>
      <c r="L71" s="376">
        <f t="shared" si="8"/>
        <v>689021.72179114749</v>
      </c>
      <c r="M71" s="376">
        <f t="shared" si="8"/>
        <v>695911.93900905887</v>
      </c>
      <c r="N71" s="376">
        <f t="shared" si="8"/>
        <v>702871.05839914945</v>
      </c>
      <c r="O71" s="376">
        <f t="shared" si="8"/>
        <v>709899.76898314094</v>
      </c>
      <c r="P71" s="376">
        <f t="shared" si="8"/>
        <v>716998.76667297236</v>
      </c>
      <c r="Q71" s="376">
        <f t="shared" si="8"/>
        <v>724168.75433970219</v>
      </c>
      <c r="R71" s="376">
        <f t="shared" si="8"/>
        <v>731410.44188309915</v>
      </c>
      <c r="S71" s="376">
        <f t="shared" si="8"/>
        <v>738724.5463019301</v>
      </c>
      <c r="T71" s="376">
        <f t="shared" si="8"/>
        <v>746111.79176494956</v>
      </c>
      <c r="U71" s="376">
        <f t="shared" si="8"/>
        <v>753572.9096825989</v>
      </c>
      <c r="V71" s="376">
        <f t="shared" si="8"/>
        <v>761108.63877942495</v>
      </c>
      <c r="W71" s="376">
        <f t="shared" si="8"/>
        <v>768719.72516721918</v>
      </c>
      <c r="X71" s="376">
        <f t="shared" si="8"/>
        <v>776406.92241889145</v>
      </c>
      <c r="Y71" s="376">
        <f t="shared" si="8"/>
        <v>784170.99164308037</v>
      </c>
      <c r="Z71" s="376">
        <f t="shared" si="8"/>
        <v>792012.70155951136</v>
      </c>
      <c r="AA71" s="376">
        <f t="shared" si="8"/>
        <v>799932.82857510634</v>
      </c>
      <c r="AB71" s="376">
        <f t="shared" si="8"/>
        <v>807932.1568608575</v>
      </c>
      <c r="AC71" s="376">
        <f t="shared" si="8"/>
        <v>816011.47842946602</v>
      </c>
      <c r="AD71" s="376">
        <f t="shared" si="8"/>
        <v>824171.59321376076</v>
      </c>
      <c r="AE71" s="376">
        <f t="shared" si="8"/>
        <v>832413.30914589833</v>
      </c>
      <c r="AF71" s="376">
        <f t="shared" si="8"/>
        <v>840737.44223735726</v>
      </c>
      <c r="AG71" s="376">
        <f t="shared" si="8"/>
        <v>849144.81665973098</v>
      </c>
    </row>
    <row r="72" spans="1:35">
      <c r="A72" s="300" t="s">
        <v>319</v>
      </c>
      <c r="B72" s="368" t="s">
        <v>313</v>
      </c>
      <c r="C72" s="376">
        <f t="shared" ref="C72:AG72" si="9">C63*$C$29</f>
        <v>72000</v>
      </c>
      <c r="D72" s="376">
        <f t="shared" si="9"/>
        <v>74160</v>
      </c>
      <c r="E72" s="376">
        <f t="shared" si="9"/>
        <v>76384</v>
      </c>
      <c r="F72" s="376">
        <f t="shared" si="9"/>
        <v>78676</v>
      </c>
      <c r="G72" s="376">
        <f t="shared" si="9"/>
        <v>81036</v>
      </c>
      <c r="H72" s="376">
        <f t="shared" si="9"/>
        <v>91468</v>
      </c>
      <c r="I72" s="376">
        <f t="shared" si="9"/>
        <v>94212</v>
      </c>
      <c r="J72" s="376">
        <f t="shared" si="9"/>
        <v>97038</v>
      </c>
      <c r="K72" s="376">
        <f t="shared" si="9"/>
        <v>99950</v>
      </c>
      <c r="L72" s="376">
        <f t="shared" si="9"/>
        <v>102948</v>
      </c>
      <c r="M72" s="376">
        <f t="shared" si="9"/>
        <v>106036</v>
      </c>
      <c r="N72" s="376">
        <f t="shared" si="9"/>
        <v>109218</v>
      </c>
      <c r="O72" s="376">
        <f t="shared" si="9"/>
        <v>112494</v>
      </c>
      <c r="P72" s="376">
        <f t="shared" si="9"/>
        <v>115868</v>
      </c>
      <c r="Q72" s="376">
        <f t="shared" si="9"/>
        <v>119344</v>
      </c>
      <c r="R72" s="376">
        <f t="shared" si="9"/>
        <v>122924</v>
      </c>
      <c r="S72" s="376">
        <f t="shared" si="9"/>
        <v>126612</v>
      </c>
      <c r="T72" s="376">
        <f t="shared" si="9"/>
        <v>130410</v>
      </c>
      <c r="U72" s="376">
        <f t="shared" si="9"/>
        <v>134322</v>
      </c>
      <c r="V72" s="376">
        <f t="shared" si="9"/>
        <v>138352</v>
      </c>
      <c r="W72" s="376">
        <f t="shared" si="9"/>
        <v>142502</v>
      </c>
      <c r="X72" s="376">
        <f t="shared" si="9"/>
        <v>146778</v>
      </c>
      <c r="Y72" s="376">
        <f t="shared" si="9"/>
        <v>151182</v>
      </c>
      <c r="Z72" s="376">
        <f t="shared" si="9"/>
        <v>155718</v>
      </c>
      <c r="AA72" s="376">
        <f t="shared" si="9"/>
        <v>160390</v>
      </c>
      <c r="AB72" s="376">
        <f t="shared" si="9"/>
        <v>165202</v>
      </c>
      <c r="AC72" s="376">
        <f t="shared" si="9"/>
        <v>170158</v>
      </c>
      <c r="AD72" s="376">
        <f t="shared" si="9"/>
        <v>175262</v>
      </c>
      <c r="AE72" s="376">
        <f t="shared" si="9"/>
        <v>180520</v>
      </c>
      <c r="AF72" s="376">
        <f t="shared" si="9"/>
        <v>185936</v>
      </c>
      <c r="AG72" s="376">
        <f t="shared" si="9"/>
        <v>191514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8.7647094360556341</v>
      </c>
      <c r="D74" s="379">
        <f t="shared" si="10"/>
        <v>9.0276507191373057</v>
      </c>
      <c r="E74" s="379">
        <f t="shared" si="10"/>
        <v>9.2983828550510221</v>
      </c>
      <c r="F74" s="379">
        <f t="shared" si="10"/>
        <v>9.5773927720987917</v>
      </c>
      <c r="G74" s="379">
        <f t="shared" si="10"/>
        <v>9.8646804702806179</v>
      </c>
      <c r="H74" s="379">
        <f t="shared" si="10"/>
        <v>11.134589481904678</v>
      </c>
      <c r="I74" s="379">
        <f t="shared" si="10"/>
        <v>11.468622297078799</v>
      </c>
      <c r="J74" s="379">
        <f t="shared" si="10"/>
        <v>11.812637142443982</v>
      </c>
      <c r="K74" s="379">
        <f t="shared" si="10"/>
        <v>12.167120946302232</v>
      </c>
      <c r="L74" s="379">
        <f t="shared" si="10"/>
        <v>12.532073708653549</v>
      </c>
      <c r="M74" s="379">
        <f t="shared" si="10"/>
        <v>12.907982357799934</v>
      </c>
      <c r="N74" s="379">
        <f t="shared" si="10"/>
        <v>13.295333822043393</v>
      </c>
      <c r="O74" s="379">
        <f t="shared" si="10"/>
        <v>13.694128101383923</v>
      </c>
      <c r="P74" s="379">
        <f t="shared" si="10"/>
        <v>14.104852124123534</v>
      </c>
      <c r="Q74" s="379">
        <f t="shared" si="10"/>
        <v>14.527992818564218</v>
      </c>
      <c r="R74" s="379">
        <f t="shared" si="10"/>
        <v>14.963793648856985</v>
      </c>
      <c r="S74" s="379">
        <f t="shared" si="10"/>
        <v>15.412741543303834</v>
      </c>
      <c r="T74" s="379">
        <f t="shared" si="10"/>
        <v>15.875079966055768</v>
      </c>
      <c r="U74" s="379">
        <f t="shared" si="10"/>
        <v>16.351295845414793</v>
      </c>
      <c r="V74" s="379">
        <f t="shared" si="10"/>
        <v>16.841876109682907</v>
      </c>
      <c r="W74" s="379">
        <f t="shared" si="10"/>
        <v>17.347064223011113</v>
      </c>
      <c r="X74" s="379">
        <f t="shared" si="10"/>
        <v>17.867590577852418</v>
      </c>
      <c r="Y74" s="379">
        <f t="shared" si="10"/>
        <v>18.40369863835782</v>
      </c>
      <c r="Z74" s="379">
        <f t="shared" si="10"/>
        <v>18.955875332829322</v>
      </c>
      <c r="AA74" s="379">
        <f t="shared" si="10"/>
        <v>19.524607589568934</v>
      </c>
      <c r="AB74" s="379">
        <f t="shared" si="10"/>
        <v>20.110382336878651</v>
      </c>
      <c r="AC74" s="379">
        <f t="shared" si="10"/>
        <v>20.713686503060483</v>
      </c>
      <c r="AD74" s="379">
        <f t="shared" si="10"/>
        <v>21.335007016416426</v>
      </c>
      <c r="AE74" s="379">
        <f t="shared" si="10"/>
        <v>21.975074269399489</v>
      </c>
      <c r="AF74" s="379">
        <f t="shared" si="10"/>
        <v>22.634375190311676</v>
      </c>
      <c r="AG74" s="379">
        <f t="shared" si="10"/>
        <v>23.313396707454984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19.505594916717317</v>
      </c>
      <c r="D75" s="379">
        <f t="shared" si="11"/>
        <v>21.663563829787233</v>
      </c>
      <c r="E75" s="379">
        <f t="shared" si="11"/>
        <v>22.099833776595744</v>
      </c>
      <c r="F75" s="379">
        <f t="shared" si="11"/>
        <v>22.544904089095745</v>
      </c>
      <c r="G75" s="379">
        <f t="shared" si="11"/>
        <v>22.998952648769944</v>
      </c>
      <c r="H75" s="379">
        <f t="shared" si="11"/>
        <v>23.462160941584941</v>
      </c>
      <c r="I75" s="379">
        <f t="shared" si="11"/>
        <v>23.934714131252225</v>
      </c>
      <c r="J75" s="379">
        <f t="shared" si="11"/>
        <v>24.416801133983743</v>
      </c>
      <c r="K75" s="379">
        <f t="shared" si="11"/>
        <v>24.908614694772552</v>
      </c>
      <c r="L75" s="379">
        <f t="shared" si="11"/>
        <v>25.410351465229866</v>
      </c>
      <c r="M75" s="379">
        <f t="shared" si="11"/>
        <v>25.922212083010375</v>
      </c>
      <c r="N75" s="379">
        <f t="shared" si="11"/>
        <v>26.444401252858391</v>
      </c>
      <c r="O75" s="379">
        <f t="shared" si="11"/>
        <v>26.977127829308063</v>
      </c>
      <c r="P75" s="379">
        <f t="shared" si="11"/>
        <v>27.52060490107154</v>
      </c>
      <c r="Q75" s="379">
        <f t="shared" si="11"/>
        <v>28.07504987714972</v>
      </c>
      <c r="R75" s="379">
        <f t="shared" si="11"/>
        <v>28.640684574700888</v>
      </c>
      <c r="S75" s="379">
        <f t="shared" si="11"/>
        <v>29.217735308703272</v>
      </c>
      <c r="T75" s="379">
        <f t="shared" si="11"/>
        <v>29.806432983448424</v>
      </c>
      <c r="U75" s="379">
        <f t="shared" si="11"/>
        <v>30.407013185902759</v>
      </c>
      <c r="V75" s="379">
        <f t="shared" si="11"/>
        <v>31.019716280975803</v>
      </c>
      <c r="W75" s="379">
        <f t="shared" si="11"/>
        <v>31.644787508734183</v>
      </c>
      <c r="X75" s="379">
        <f t="shared" si="11"/>
        <v>32.282477083601208</v>
      </c>
      <c r="Y75" s="379">
        <f t="shared" si="11"/>
        <v>32.933040295582877</v>
      </c>
      <c r="Z75" s="379">
        <f t="shared" si="11"/>
        <v>33.596737613561928</v>
      </c>
      <c r="AA75" s="379">
        <f t="shared" si="11"/>
        <v>34.273834790702239</v>
      </c>
      <c r="AB75" s="379">
        <f t="shared" si="11"/>
        <v>34.964602972007086</v>
      </c>
      <c r="AC75" s="379">
        <f t="shared" si="11"/>
        <v>35.669318804075296</v>
      </c>
      <c r="AD75" s="379">
        <f t="shared" si="11"/>
        <v>36.388264547100569</v>
      </c>
      <c r="AE75" s="379">
        <f t="shared" si="11"/>
        <v>37.121728189159953</v>
      </c>
      <c r="AF75" s="379">
        <f t="shared" si="11"/>
        <v>37.870003562838448</v>
      </c>
      <c r="AG75" s="379">
        <f t="shared" si="11"/>
        <v>38.633390464237898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16.3</v>
      </c>
      <c r="D76" s="379">
        <f t="shared" si="12"/>
        <v>16.756222222222224</v>
      </c>
      <c r="E76" s="379">
        <f t="shared" si="12"/>
        <v>17.230566666666668</v>
      </c>
      <c r="F76" s="379">
        <f t="shared" si="12"/>
        <v>17.723308777777778</v>
      </c>
      <c r="G76" s="379">
        <f t="shared" si="12"/>
        <v>18.234688585555556</v>
      </c>
      <c r="H76" s="379">
        <f t="shared" si="12"/>
        <v>18.853888842433335</v>
      </c>
      <c r="I76" s="379">
        <f t="shared" si="12"/>
        <v>19.406057618943002</v>
      </c>
      <c r="J76" s="379">
        <f t="shared" si="12"/>
        <v>19.977797580963401</v>
      </c>
      <c r="K76" s="379">
        <f t="shared" si="12"/>
        <v>20.569433060259467</v>
      </c>
      <c r="L76" s="379">
        <f t="shared" si="12"/>
        <v>21.192366030043502</v>
      </c>
      <c r="M76" s="379">
        <f t="shared" si="12"/>
        <v>21.835832097314864</v>
      </c>
      <c r="N76" s="379">
        <f t="shared" si="12"/>
        <v>22.500189845982213</v>
      </c>
      <c r="O76" s="379">
        <f t="shared" si="12"/>
        <v>23.196876864799563</v>
      </c>
      <c r="P76" s="379">
        <f t="shared" si="12"/>
        <v>23.915165794174943</v>
      </c>
      <c r="Q76" s="379">
        <f t="shared" si="12"/>
        <v>24.666564837050956</v>
      </c>
      <c r="R76" s="379">
        <f t="shared" si="12"/>
        <v>25.440351623530866</v>
      </c>
      <c r="S76" s="379">
        <f t="shared" si="12"/>
        <v>26.248062652288848</v>
      </c>
      <c r="T76" s="379">
        <f t="shared" si="12"/>
        <v>27.090116087390872</v>
      </c>
      <c r="U76" s="379">
        <f t="shared" si="12"/>
        <v>27.966967911409299</v>
      </c>
      <c r="V76" s="379">
        <f t="shared" si="12"/>
        <v>28.879090324638138</v>
      </c>
      <c r="W76" s="379">
        <f t="shared" si="12"/>
        <v>29.826950169141632</v>
      </c>
      <c r="X76" s="379">
        <f t="shared" si="12"/>
        <v>30.811076267518228</v>
      </c>
      <c r="Y76" s="379">
        <f t="shared" si="12"/>
        <v>31.831971232968211</v>
      </c>
      <c r="Z76" s="379">
        <f t="shared" si="12"/>
        <v>32.890178862850362</v>
      </c>
      <c r="AA76" s="379">
        <f t="shared" si="12"/>
        <v>33.997373783511208</v>
      </c>
      <c r="AB76" s="379">
        <f t="shared" si="12"/>
        <v>35.143028903104394</v>
      </c>
      <c r="AC76" s="379">
        <f t="shared" si="12"/>
        <v>36.338860673608288</v>
      </c>
      <c r="AD76" s="379">
        <f t="shared" si="12"/>
        <v>37.574385496631692</v>
      </c>
      <c r="AE76" s="379">
        <f t="shared" si="12"/>
        <v>38.861387274314588</v>
      </c>
      <c r="AF76" s="379">
        <f t="shared" si="12"/>
        <v>40.200540551127425</v>
      </c>
      <c r="AG76" s="379">
        <f t="shared" si="12"/>
        <v>41.592544803537855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3.1428571428571432</v>
      </c>
      <c r="D77" s="379">
        <f t="shared" si="13"/>
        <v>3.2371428571428575</v>
      </c>
      <c r="E77" s="379">
        <f t="shared" si="13"/>
        <v>3.3342222222222224</v>
      </c>
      <c r="F77" s="379">
        <f t="shared" si="13"/>
        <v>3.4342698412698414</v>
      </c>
      <c r="G77" s="379">
        <f t="shared" si="13"/>
        <v>3.5372857142857144</v>
      </c>
      <c r="H77" s="379">
        <f t="shared" si="13"/>
        <v>3.9926507936507938</v>
      </c>
      <c r="I77" s="379">
        <f t="shared" si="13"/>
        <v>4.1124285714285715</v>
      </c>
      <c r="J77" s="379">
        <f t="shared" si="13"/>
        <v>4.235785714285714</v>
      </c>
      <c r="K77" s="379">
        <f t="shared" si="13"/>
        <v>4.3628968253968257</v>
      </c>
      <c r="L77" s="379">
        <f t="shared" si="13"/>
        <v>4.4937619047619046</v>
      </c>
      <c r="M77" s="379">
        <f t="shared" si="13"/>
        <v>4.6285555555555566</v>
      </c>
      <c r="N77" s="379">
        <f t="shared" si="13"/>
        <v>3.900642857142858</v>
      </c>
      <c r="O77" s="379">
        <f t="shared" si="13"/>
        <v>4.0176428571428575</v>
      </c>
      <c r="P77" s="379">
        <f t="shared" si="13"/>
        <v>4.1381428571428582</v>
      </c>
      <c r="Q77" s="379">
        <f t="shared" si="13"/>
        <v>4.2622857142857153</v>
      </c>
      <c r="R77" s="379">
        <f t="shared" si="13"/>
        <v>4.390142857142858</v>
      </c>
      <c r="S77" s="379">
        <f t="shared" si="13"/>
        <v>4.5218571428571437</v>
      </c>
      <c r="T77" s="379">
        <f t="shared" si="13"/>
        <v>4.6575000000000006</v>
      </c>
      <c r="U77" s="379">
        <f t="shared" si="13"/>
        <v>4.7972142857142863</v>
      </c>
      <c r="V77" s="379">
        <f t="shared" si="13"/>
        <v>4.9411428571428582</v>
      </c>
      <c r="W77" s="379">
        <f t="shared" si="13"/>
        <v>5.0893571428571436</v>
      </c>
      <c r="X77" s="379">
        <f t="shared" si="13"/>
        <v>4.0771666666666677</v>
      </c>
      <c r="Y77" s="379">
        <f t="shared" si="13"/>
        <v>4.1995000000000005</v>
      </c>
      <c r="Z77" s="379">
        <f t="shared" si="13"/>
        <v>4.3255000000000008</v>
      </c>
      <c r="AA77" s="379">
        <f t="shared" si="13"/>
        <v>4.4552777777777788</v>
      </c>
      <c r="AB77" s="379">
        <f t="shared" si="13"/>
        <v>4.5889444444444454</v>
      </c>
      <c r="AC77" s="379">
        <f t="shared" si="13"/>
        <v>4.7266111111111115</v>
      </c>
      <c r="AD77" s="379">
        <f t="shared" si="13"/>
        <v>4.86838888888889</v>
      </c>
      <c r="AE77" s="379">
        <f t="shared" si="13"/>
        <v>5.0144444444444449</v>
      </c>
      <c r="AF77" s="379">
        <f t="shared" si="13"/>
        <v>5.16488888888889</v>
      </c>
      <c r="AG77" s="379">
        <f t="shared" si="13"/>
        <v>5.3198333333333343</v>
      </c>
    </row>
    <row r="78" spans="1:35" s="352" customFormat="1">
      <c r="A78" s="380" t="s">
        <v>323</v>
      </c>
      <c r="B78" s="352" t="s">
        <v>300</v>
      </c>
      <c r="C78" s="381">
        <f>SUM(C74:C76)-C77</f>
        <v>41.427447209915805</v>
      </c>
      <c r="D78" s="381">
        <f t="shared" ref="D78:AG78" si="14">SUM(D74:D76)-D77</f>
        <v>44.210293914003906</v>
      </c>
      <c r="E78" s="381">
        <f t="shared" si="14"/>
        <v>45.294561076091213</v>
      </c>
      <c r="F78" s="381">
        <f t="shared" si="14"/>
        <v>46.411335797702478</v>
      </c>
      <c r="G78" s="381">
        <f t="shared" si="14"/>
        <v>47.561035990320406</v>
      </c>
      <c r="H78" s="381">
        <f t="shared" si="14"/>
        <v>49.457988472272156</v>
      </c>
      <c r="I78" s="381">
        <f t="shared" si="14"/>
        <v>50.696965475845452</v>
      </c>
      <c r="J78" s="381">
        <f t="shared" si="14"/>
        <v>51.971450143105415</v>
      </c>
      <c r="K78" s="381">
        <f t="shared" si="14"/>
        <v>53.282271875937433</v>
      </c>
      <c r="L78" s="381">
        <f t="shared" si="14"/>
        <v>54.641029299165012</v>
      </c>
      <c r="M78" s="381">
        <f t="shared" si="14"/>
        <v>56.037470982569616</v>
      </c>
      <c r="N78" s="381">
        <f t="shared" si="14"/>
        <v>58.339282063741145</v>
      </c>
      <c r="O78" s="381">
        <f t="shared" si="14"/>
        <v>59.850489938348687</v>
      </c>
      <c r="P78" s="381">
        <f t="shared" si="14"/>
        <v>61.402479962227154</v>
      </c>
      <c r="Q78" s="381">
        <f t="shared" si="14"/>
        <v>63.007321818479177</v>
      </c>
      <c r="R78" s="381">
        <f t="shared" si="14"/>
        <v>64.654686989945887</v>
      </c>
      <c r="S78" s="381">
        <f t="shared" si="14"/>
        <v>66.356682361438814</v>
      </c>
      <c r="T78" s="381">
        <f t="shared" si="14"/>
        <v>68.114129036895065</v>
      </c>
      <c r="U78" s="381">
        <f t="shared" si="14"/>
        <v>69.928062657012561</v>
      </c>
      <c r="V78" s="381">
        <f t="shared" si="14"/>
        <v>71.799539858153992</v>
      </c>
      <c r="W78" s="381">
        <f t="shared" si="14"/>
        <v>73.7294447580298</v>
      </c>
      <c r="X78" s="381">
        <f t="shared" si="14"/>
        <v>76.88397726230518</v>
      </c>
      <c r="Y78" s="381">
        <f t="shared" si="14"/>
        <v>78.969210166908908</v>
      </c>
      <c r="Z78" s="381">
        <f t="shared" si="14"/>
        <v>81.117291809241607</v>
      </c>
      <c r="AA78" s="381">
        <f t="shared" si="14"/>
        <v>83.340538386004596</v>
      </c>
      <c r="AB78" s="381">
        <f t="shared" si="14"/>
        <v>85.629069767545673</v>
      </c>
      <c r="AC78" s="381">
        <f t="shared" si="14"/>
        <v>87.995254869632959</v>
      </c>
      <c r="AD78" s="381">
        <f t="shared" si="14"/>
        <v>90.429268171259793</v>
      </c>
      <c r="AE78" s="381">
        <f t="shared" si="14"/>
        <v>92.943745288429568</v>
      </c>
      <c r="AF78" s="381">
        <f t="shared" si="14"/>
        <v>95.540030415388657</v>
      </c>
      <c r="AG78" s="381">
        <f t="shared" si="14"/>
        <v>98.219498641897403</v>
      </c>
    </row>
    <row r="79" spans="1:35" s="344" customFormat="1">
      <c r="A79" s="342" t="s">
        <v>179</v>
      </c>
      <c r="B79" s="342"/>
      <c r="H79" s="382">
        <f>H81/K59</f>
        <v>679816.51464067283</v>
      </c>
      <c r="AB79" s="382">
        <f>AB81/AE59</f>
        <v>806230.03041053819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year'!C94</f>
        <v>3850000</v>
      </c>
      <c r="D81" s="376">
        <f>ROUND(('Changing with year'!D94)/1000,0)*1000</f>
        <v>3966000</v>
      </c>
      <c r="E81" s="376">
        <f>ROUND(('Changing with year'!E94)/1000,0)*1000</f>
        <v>4084000</v>
      </c>
      <c r="F81" s="376">
        <f>ROUND(('Changing with year'!F94)/1000,0)*1000</f>
        <v>4207000</v>
      </c>
      <c r="G81" s="376">
        <f>ROUND(('Changing with year'!G94)/1000,0)*1000</f>
        <v>4333000</v>
      </c>
      <c r="H81" s="376">
        <f>ROUND(('Changing with year'!H94)/1000,0)*1000</f>
        <v>4863000</v>
      </c>
      <c r="I81" s="376">
        <f>ROUND(('Changing with year'!I94)/1000,0)*1000</f>
        <v>5009000</v>
      </c>
      <c r="J81" s="376">
        <f>ROUND(('Changing with year'!J94)/1000,0)*1000</f>
        <v>5159000</v>
      </c>
      <c r="K81" s="376">
        <f>ROUND(('Changing with year'!K94)/1000,0)*1000</f>
        <v>5314000</v>
      </c>
      <c r="L81" s="376">
        <f>ROUND(('Changing with year'!L94)/1000,0)*1000</f>
        <v>5474000</v>
      </c>
      <c r="M81" s="376">
        <f>ROUND(('Changing with year'!M94)/1000,0)*1000</f>
        <v>5638000</v>
      </c>
      <c r="N81" s="376">
        <f>ROUND(('Changing with year'!N94)/1000,0)*1000</f>
        <v>5807000</v>
      </c>
      <c r="O81" s="376">
        <f>ROUND(('Changing with year'!O94)/1000,0)*1000</f>
        <v>5981000</v>
      </c>
      <c r="P81" s="376">
        <f>ROUND(('Changing with year'!P94)/1000,0)*1000</f>
        <v>6161000</v>
      </c>
      <c r="Q81" s="376">
        <f>ROUND(('Changing with year'!Q94)/1000,0)*1000</f>
        <v>6345000</v>
      </c>
      <c r="R81" s="376">
        <f>ROUND(('Changing with year'!R94)/1000,0)*1000</f>
        <v>6536000</v>
      </c>
      <c r="S81" s="376">
        <f>ROUND(('Changing with year'!S94)/1000,0)*1000</f>
        <v>6732000</v>
      </c>
      <c r="T81" s="376">
        <f>ROUND(('Changing with year'!T94)/1000,0)*1000</f>
        <v>6934000</v>
      </c>
      <c r="U81" s="376">
        <f>ROUND(('Changing with year'!U94)/1000,0)*1000</f>
        <v>7142000</v>
      </c>
      <c r="V81" s="376">
        <f>ROUND(('Changing with year'!V94)/1000,0)*1000</f>
        <v>7356000</v>
      </c>
      <c r="W81" s="376">
        <f>ROUND(('Changing with year'!W94)/1000,0)*1000</f>
        <v>7577000</v>
      </c>
      <c r="X81" s="376">
        <f>ROUND(('Changing with year'!X94)/1000,0)*1000</f>
        <v>7804000</v>
      </c>
      <c r="Y81" s="376">
        <f>ROUND(('Changing with year'!Y94)/1000,0)*1000</f>
        <v>8038000</v>
      </c>
      <c r="Z81" s="376">
        <f>ROUND(('Changing with year'!Z94)/1000,0)*1000</f>
        <v>8279000</v>
      </c>
      <c r="AA81" s="376">
        <f>ROUND(('Changing with year'!AA94)/1000,0)*1000</f>
        <v>8528000</v>
      </c>
      <c r="AB81" s="376">
        <f>ROUND(('Changing with year'!AB94)/1000,0)*1000</f>
        <v>8783000</v>
      </c>
      <c r="AC81" s="376">
        <f>ROUND(('Changing with year'!AC94)/1000,0)*1000</f>
        <v>9047000</v>
      </c>
      <c r="AD81" s="376">
        <f>ROUND(('Changing with year'!AD94)/1000,0)*1000</f>
        <v>9318000</v>
      </c>
      <c r="AE81" s="376">
        <f>ROUND(('Changing with year'!AE94)/1000,0)*1000</f>
        <v>9598000</v>
      </c>
      <c r="AF81" s="376">
        <f>ROUND(('Changing with year'!AF94)/1000,0)*1000</f>
        <v>9886000</v>
      </c>
      <c r="AG81" s="376">
        <f>ROUND(('Changing with year'!AG94)/1000,0)*1000</f>
        <v>10182000</v>
      </c>
    </row>
    <row r="82" spans="1:34">
      <c r="A82" s="368" t="s">
        <v>310</v>
      </c>
      <c r="B82" s="300" t="s">
        <v>309</v>
      </c>
      <c r="C82" s="376">
        <f>(C81*'No change with year'!$AB$17)</f>
        <v>1925000</v>
      </c>
      <c r="D82" s="376">
        <f>(D81*'No change with year'!$AB$17)</f>
        <v>1983000</v>
      </c>
      <c r="E82" s="376">
        <f>(E81*'No change with year'!$AB$17)</f>
        <v>2042000</v>
      </c>
      <c r="F82" s="376">
        <f>(F81*'No change with year'!$AB$17)</f>
        <v>2103500</v>
      </c>
      <c r="G82" s="376">
        <f>(G81*'No change with year'!$AB$17)</f>
        <v>2166500</v>
      </c>
      <c r="H82" s="376">
        <f>(H81*'No change with year'!$AB$17)</f>
        <v>2431500</v>
      </c>
      <c r="I82" s="376">
        <f>(I81*'No change with year'!$AB$17)</f>
        <v>2504500</v>
      </c>
      <c r="J82" s="376">
        <f>(J81*'No change with year'!$AB$17)</f>
        <v>2579500</v>
      </c>
      <c r="K82" s="376">
        <f>(K81*'No change with year'!$AB$17)</f>
        <v>2657000</v>
      </c>
      <c r="L82" s="376">
        <f>(L81*'No change with year'!$AB$17)</f>
        <v>2737000</v>
      </c>
      <c r="M82" s="376">
        <f>(M81*'No change with year'!$AB$17)</f>
        <v>2819000</v>
      </c>
      <c r="N82" s="376">
        <f>(N81*'No change with year'!$AC$17)</f>
        <v>2322800.0000000005</v>
      </c>
      <c r="O82" s="376">
        <f>(O81*'No change with year'!$AC$17)</f>
        <v>2392400.0000000005</v>
      </c>
      <c r="P82" s="376">
        <f>(P81*'No change with year'!$AC$17)</f>
        <v>2464400.0000000005</v>
      </c>
      <c r="Q82" s="376">
        <f>(Q81*'No change with year'!$AC$17)</f>
        <v>2538000.0000000005</v>
      </c>
      <c r="R82" s="376">
        <f>(R81*'No change with year'!$AC$17)</f>
        <v>2614400.0000000005</v>
      </c>
      <c r="S82" s="376">
        <f>(S81*'No change with year'!$AC$17)</f>
        <v>2692800.0000000005</v>
      </c>
      <c r="T82" s="376">
        <f>(T81*'No change with year'!$AC$17)</f>
        <v>2773600.0000000005</v>
      </c>
      <c r="U82" s="376">
        <f>(U81*'No change with year'!$AC$17)</f>
        <v>2856800.0000000005</v>
      </c>
      <c r="V82" s="376">
        <f>(V81*'No change with year'!$AC$17)</f>
        <v>2942400.0000000005</v>
      </c>
      <c r="W82" s="376">
        <f>(W81*'No change with year'!$AC$17)</f>
        <v>3030800.0000000005</v>
      </c>
      <c r="X82" s="376">
        <f>(X81*'No change with year'!$AD$17)</f>
        <v>2341200.0000000005</v>
      </c>
      <c r="Y82" s="376">
        <f>(Y81*'No change with year'!$AD$17)</f>
        <v>2411400.0000000005</v>
      </c>
      <c r="Z82" s="376">
        <f>(Z81*'No change with year'!$AD$17)</f>
        <v>2483700.0000000005</v>
      </c>
      <c r="AA82" s="376">
        <f>(AA81*'No change with year'!$AD$17)</f>
        <v>2558400.0000000005</v>
      </c>
      <c r="AB82" s="376">
        <f>(AB81*'No change with year'!$AD$17)</f>
        <v>2634900.0000000005</v>
      </c>
      <c r="AC82" s="376">
        <f>(AC81*'No change with year'!$AD$17)</f>
        <v>2714100.0000000005</v>
      </c>
      <c r="AD82" s="376">
        <f>(AD81*'No change with year'!$AD$17)</f>
        <v>2795400.0000000005</v>
      </c>
      <c r="AE82" s="376">
        <f>(AE81*'No change with year'!$AD$17)</f>
        <v>2879400.0000000005</v>
      </c>
      <c r="AF82" s="376">
        <f>(AF81*'No change with year'!$AD$17)</f>
        <v>2965800.0000000005</v>
      </c>
      <c r="AG82" s="376">
        <f>(AG81*'No change with year'!$AD$17)</f>
        <v>3054600.0000000005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843603.28322035482</v>
      </c>
      <c r="D84" s="376">
        <f t="shared" si="16"/>
        <v>869020.94058491627</v>
      </c>
      <c r="E84" s="376">
        <f t="shared" si="16"/>
        <v>894876.83342128026</v>
      </c>
      <c r="F84" s="376">
        <f t="shared" si="16"/>
        <v>921828.3149371515</v>
      </c>
      <c r="G84" s="376">
        <f t="shared" si="16"/>
        <v>949437.14966072666</v>
      </c>
      <c r="H84" s="376">
        <f t="shared" si="16"/>
        <v>1065569.5496884638</v>
      </c>
      <c r="I84" s="376">
        <f t="shared" si="16"/>
        <v>1097560.7391300667</v>
      </c>
      <c r="J84" s="376">
        <f t="shared" si="16"/>
        <v>1130428.3995152756</v>
      </c>
      <c r="K84" s="376">
        <f t="shared" si="16"/>
        <v>1164391.6485799912</v>
      </c>
      <c r="L84" s="376">
        <f t="shared" si="16"/>
        <v>1199450.4863242134</v>
      </c>
      <c r="M84" s="376">
        <f t="shared" si="16"/>
        <v>1235385.7950120417</v>
      </c>
      <c r="N84" s="376">
        <f t="shared" si="16"/>
        <v>1272416.6923793769</v>
      </c>
      <c r="O84" s="376">
        <f t="shared" si="16"/>
        <v>1310543.1784262189</v>
      </c>
      <c r="P84" s="376">
        <f t="shared" si="16"/>
        <v>1349984.3708884693</v>
      </c>
      <c r="Q84" s="376">
        <f t="shared" si="16"/>
        <v>1390302.0342943249</v>
      </c>
      <c r="R84" s="376">
        <f t="shared" si="16"/>
        <v>1432153.5218514907</v>
      </c>
      <c r="S84" s="376">
        <f t="shared" si="16"/>
        <v>1475100.5980881634</v>
      </c>
      <c r="T84" s="376">
        <f t="shared" si="16"/>
        <v>1519362.3807402444</v>
      </c>
      <c r="U84" s="376">
        <f t="shared" si="16"/>
        <v>1564938.8698077337</v>
      </c>
      <c r="V84" s="376">
        <f t="shared" si="16"/>
        <v>1611830.0652906313</v>
      </c>
      <c r="W84" s="376">
        <f t="shared" si="16"/>
        <v>1660255.0849248385</v>
      </c>
      <c r="X84" s="376">
        <f t="shared" si="16"/>
        <v>1709994.8109744543</v>
      </c>
      <c r="Y84" s="376">
        <f t="shared" si="16"/>
        <v>1761268.3611753797</v>
      </c>
      <c r="Z84" s="376">
        <f t="shared" si="16"/>
        <v>1814075.7355276151</v>
      </c>
      <c r="AA84" s="376">
        <f t="shared" si="16"/>
        <v>1868636.0517670615</v>
      </c>
      <c r="AB84" s="376">
        <f t="shared" si="16"/>
        <v>1924511.0744219162</v>
      </c>
      <c r="AC84" s="376">
        <f t="shared" si="16"/>
        <v>1982358.1566998831</v>
      </c>
      <c r="AD84" s="376">
        <f t="shared" si="16"/>
        <v>2041739.0631291603</v>
      </c>
      <c r="AE84" s="376">
        <f t="shared" si="16"/>
        <v>2103092.0291815493</v>
      </c>
      <c r="AF84" s="376">
        <f t="shared" si="16"/>
        <v>2166197.9371211501</v>
      </c>
      <c r="AG84" s="376">
        <f t="shared" si="16"/>
        <v>2231056.7869479619</v>
      </c>
    </row>
    <row r="85" spans="1:34">
      <c r="A85" s="300" t="s">
        <v>321</v>
      </c>
      <c r="B85" s="300" t="s">
        <v>309</v>
      </c>
      <c r="C85" s="376">
        <f t="shared" ref="C85:AG85" si="17">C43*$D$38</f>
        <v>1597959.1836734693</v>
      </c>
      <c r="D85" s="376">
        <f t="shared" si="17"/>
        <v>1680612.2448979593</v>
      </c>
      <c r="E85" s="376">
        <f t="shared" si="17"/>
        <v>1731030.612244898</v>
      </c>
      <c r="F85" s="376">
        <f t="shared" si="17"/>
        <v>1782961.530612245</v>
      </c>
      <c r="G85" s="376">
        <f t="shared" si="17"/>
        <v>1836450.3765306124</v>
      </c>
      <c r="H85" s="376">
        <f t="shared" si="17"/>
        <v>1891543.8878265307</v>
      </c>
      <c r="I85" s="376">
        <f t="shared" si="17"/>
        <v>1948290.2044613266</v>
      </c>
      <c r="J85" s="376">
        <f t="shared" si="17"/>
        <v>2006738.9105951665</v>
      </c>
      <c r="K85" s="376">
        <f t="shared" si="17"/>
        <v>2066941.0779130214</v>
      </c>
      <c r="L85" s="376">
        <f t="shared" si="17"/>
        <v>2128949.3102504122</v>
      </c>
      <c r="M85" s="376">
        <f t="shared" si="17"/>
        <v>2192817.7895579245</v>
      </c>
      <c r="N85" s="376">
        <f t="shared" si="17"/>
        <v>2258602.3232446625</v>
      </c>
      <c r="O85" s="376">
        <f t="shared" si="17"/>
        <v>2326360.392942002</v>
      </c>
      <c r="P85" s="376">
        <f t="shared" si="17"/>
        <v>2396151.204730262</v>
      </c>
      <c r="Q85" s="376">
        <f t="shared" si="17"/>
        <v>2468035.7408721698</v>
      </c>
      <c r="R85" s="376">
        <f t="shared" si="17"/>
        <v>2542076.8130983352</v>
      </c>
      <c r="S85" s="376">
        <f t="shared" si="17"/>
        <v>2618339.1174912849</v>
      </c>
      <c r="T85" s="376">
        <f t="shared" si="17"/>
        <v>2696889.2910160236</v>
      </c>
      <c r="U85" s="376">
        <f t="shared" si="17"/>
        <v>2777795.9697465044</v>
      </c>
      <c r="V85" s="376">
        <f t="shared" si="17"/>
        <v>2861129.8488388993</v>
      </c>
      <c r="W85" s="376">
        <f t="shared" si="17"/>
        <v>2946963.7443040665</v>
      </c>
      <c r="X85" s="376">
        <f t="shared" si="17"/>
        <v>3035372.6566331885</v>
      </c>
      <c r="Y85" s="376">
        <f t="shared" si="17"/>
        <v>3126433.8363321838</v>
      </c>
      <c r="Z85" s="376">
        <f t="shared" si="17"/>
        <v>3220226.8514221492</v>
      </c>
      <c r="AA85" s="376">
        <f t="shared" si="17"/>
        <v>3316833.6569648138</v>
      </c>
      <c r="AB85" s="376">
        <f t="shared" si="17"/>
        <v>3416338.6666737581</v>
      </c>
      <c r="AC85" s="376">
        <f t="shared" si="17"/>
        <v>3518828.8266739715</v>
      </c>
      <c r="AD85" s="376">
        <f t="shared" si="17"/>
        <v>3624393.6914741909</v>
      </c>
      <c r="AE85" s="376">
        <f t="shared" si="17"/>
        <v>3733125.5022184164</v>
      </c>
      <c r="AF85" s="376">
        <f t="shared" si="17"/>
        <v>3845119.2672849689</v>
      </c>
      <c r="AG85" s="376">
        <f t="shared" si="17"/>
        <v>3960472.8453035182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360000</v>
      </c>
      <c r="D86" s="376">
        <f t="shared" si="18"/>
        <v>374400</v>
      </c>
      <c r="E86" s="376">
        <f t="shared" si="18"/>
        <v>389376</v>
      </c>
      <c r="F86" s="376">
        <f t="shared" si="18"/>
        <v>404951.04000000004</v>
      </c>
      <c r="G86" s="376">
        <f t="shared" si="18"/>
        <v>421149.08160000003</v>
      </c>
      <c r="H86" s="376">
        <f t="shared" si="18"/>
        <v>437995.04486400011</v>
      </c>
      <c r="I86" s="376">
        <f t="shared" si="18"/>
        <v>455514.8466585601</v>
      </c>
      <c r="J86" s="376">
        <f t="shared" si="18"/>
        <v>473735.4405249026</v>
      </c>
      <c r="K86" s="376">
        <f t="shared" si="18"/>
        <v>492684.85814589867</v>
      </c>
      <c r="L86" s="376">
        <f t="shared" si="18"/>
        <v>512392.25247173471</v>
      </c>
      <c r="M86" s="376">
        <f t="shared" si="18"/>
        <v>532887.94257060403</v>
      </c>
      <c r="N86" s="376">
        <f t="shared" si="18"/>
        <v>554203.46027342824</v>
      </c>
      <c r="O86" s="376">
        <f t="shared" si="18"/>
        <v>576371.5986843654</v>
      </c>
      <c r="P86" s="376">
        <f t="shared" si="18"/>
        <v>599426.46263174003</v>
      </c>
      <c r="Q86" s="376">
        <f t="shared" si="18"/>
        <v>623403.52113700961</v>
      </c>
      <c r="R86" s="376">
        <f t="shared" si="18"/>
        <v>648339.6619824901</v>
      </c>
      <c r="S86" s="376">
        <f t="shared" si="18"/>
        <v>674273.24846178968</v>
      </c>
      <c r="T86" s="376">
        <f t="shared" si="18"/>
        <v>701244.17840026121</v>
      </c>
      <c r="U86" s="376">
        <f t="shared" si="18"/>
        <v>729293.94553627179</v>
      </c>
      <c r="V86" s="376">
        <f t="shared" si="18"/>
        <v>758465.70335772261</v>
      </c>
      <c r="W86" s="376">
        <f t="shared" si="18"/>
        <v>788804.33149203146</v>
      </c>
      <c r="X86" s="376">
        <f t="shared" si="18"/>
        <v>820356.5047517129</v>
      </c>
      <c r="Y86" s="376">
        <f t="shared" si="18"/>
        <v>853170.76494178129</v>
      </c>
      <c r="Z86" s="376">
        <f t="shared" si="18"/>
        <v>887297.59553945262</v>
      </c>
      <c r="AA86" s="376">
        <f t="shared" si="18"/>
        <v>922789.49936103076</v>
      </c>
      <c r="AB86" s="376">
        <f t="shared" si="18"/>
        <v>959701.07933547208</v>
      </c>
      <c r="AC86" s="376">
        <f t="shared" si="18"/>
        <v>998089.12250889093</v>
      </c>
      <c r="AD86" s="376">
        <f t="shared" si="18"/>
        <v>1038012.6874092467</v>
      </c>
      <c r="AE86" s="376">
        <f t="shared" si="18"/>
        <v>1079533.1949056166</v>
      </c>
      <c r="AF86" s="376">
        <f t="shared" si="18"/>
        <v>1122714.5227018413</v>
      </c>
      <c r="AG86" s="376">
        <f t="shared" si="18"/>
        <v>1167623.1036099151</v>
      </c>
    </row>
    <row r="87" spans="1:34">
      <c r="A87" s="368" t="s">
        <v>318</v>
      </c>
      <c r="B87" s="368" t="s">
        <v>313</v>
      </c>
      <c r="C87" s="376">
        <f>'Changing with year'!C289</f>
        <v>450000</v>
      </c>
      <c r="D87" s="376">
        <f>'Changing with year'!D289</f>
        <v>470000</v>
      </c>
      <c r="E87" s="376">
        <f>'Changing with year'!E289</f>
        <v>491000</v>
      </c>
      <c r="F87" s="376">
        <f>'Changing with year'!F289</f>
        <v>513000</v>
      </c>
      <c r="G87" s="376">
        <f>'Changing with year'!G289</f>
        <v>536000</v>
      </c>
      <c r="H87" s="376">
        <f>'Changing with year'!H289</f>
        <v>560000</v>
      </c>
      <c r="I87" s="376">
        <f>'Changing with year'!I289</f>
        <v>585000</v>
      </c>
      <c r="J87" s="376">
        <f>'Changing with year'!J289</f>
        <v>611000</v>
      </c>
      <c r="K87" s="376">
        <f>'Changing with year'!K289</f>
        <v>638000</v>
      </c>
      <c r="L87" s="376">
        <f>'Changing with year'!L289</f>
        <v>667000</v>
      </c>
      <c r="M87" s="376">
        <f>'Changing with year'!M289</f>
        <v>697000</v>
      </c>
      <c r="N87" s="376">
        <f>'Changing with year'!N289</f>
        <v>728000</v>
      </c>
      <c r="O87" s="376">
        <f>'Changing with year'!O289</f>
        <v>761000</v>
      </c>
      <c r="P87" s="376">
        <f>'Changing with year'!P289</f>
        <v>795000</v>
      </c>
      <c r="Q87" s="376">
        <f>'Changing with year'!Q289</f>
        <v>831000</v>
      </c>
      <c r="R87" s="376">
        <f>'Changing with year'!R289</f>
        <v>868000</v>
      </c>
      <c r="S87" s="376">
        <f>'Changing with year'!S289</f>
        <v>907000</v>
      </c>
      <c r="T87" s="376">
        <f>'Changing with year'!T289</f>
        <v>948000</v>
      </c>
      <c r="U87" s="376">
        <f>'Changing with year'!U289</f>
        <v>991000</v>
      </c>
      <c r="V87" s="376">
        <f>'Changing with year'!V289</f>
        <v>1036000</v>
      </c>
      <c r="W87" s="376">
        <f>'Changing with year'!W289</f>
        <v>1083000</v>
      </c>
      <c r="X87" s="376">
        <f>'Changing with year'!X289</f>
        <v>1132000</v>
      </c>
      <c r="Y87" s="376">
        <f>'Changing with year'!Y289</f>
        <v>1183000</v>
      </c>
      <c r="Z87" s="376">
        <f>'Changing with year'!Z289</f>
        <v>1236000</v>
      </c>
      <c r="AA87" s="376">
        <f>'Changing with year'!AA289</f>
        <v>1292000</v>
      </c>
      <c r="AB87" s="376">
        <f>'Changing with year'!AB289</f>
        <v>1350000</v>
      </c>
      <c r="AC87" s="376">
        <f>'Changing with year'!AC289</f>
        <v>1411000</v>
      </c>
      <c r="AD87" s="376">
        <f>'Changing with year'!AD289</f>
        <v>1474000</v>
      </c>
      <c r="AE87" s="376">
        <f>'Changing with year'!AE289</f>
        <v>1540000</v>
      </c>
      <c r="AF87" s="376">
        <f>'Changing with year'!AF289</f>
        <v>1609000</v>
      </c>
      <c r="AG87" s="376">
        <f>'Changing with year'!AG289</f>
        <v>1681000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630000</v>
      </c>
      <c r="D88" s="376">
        <f t="shared" si="19"/>
        <v>636300</v>
      </c>
      <c r="E88" s="376">
        <f t="shared" si="19"/>
        <v>642663</v>
      </c>
      <c r="F88" s="376">
        <f t="shared" si="19"/>
        <v>649089.63000000012</v>
      </c>
      <c r="G88" s="376">
        <f t="shared" si="19"/>
        <v>655580.52630000003</v>
      </c>
      <c r="H88" s="376">
        <f t="shared" si="19"/>
        <v>662136.33156299999</v>
      </c>
      <c r="I88" s="376">
        <f t="shared" si="19"/>
        <v>668757.69487862999</v>
      </c>
      <c r="J88" s="376">
        <f t="shared" si="19"/>
        <v>675445.27182741638</v>
      </c>
      <c r="K88" s="376">
        <f t="shared" si="19"/>
        <v>682199.72454569046</v>
      </c>
      <c r="L88" s="376">
        <f t="shared" si="19"/>
        <v>689021.72179114749</v>
      </c>
      <c r="M88" s="376">
        <f t="shared" si="19"/>
        <v>695911.93900905887</v>
      </c>
      <c r="N88" s="376">
        <f t="shared" si="19"/>
        <v>702871.05839914945</v>
      </c>
      <c r="O88" s="376">
        <f t="shared" si="19"/>
        <v>709899.76898314094</v>
      </c>
      <c r="P88" s="376">
        <f t="shared" si="19"/>
        <v>716998.76667297236</v>
      </c>
      <c r="Q88" s="376">
        <f t="shared" si="19"/>
        <v>724168.75433970219</v>
      </c>
      <c r="R88" s="376">
        <f t="shared" si="19"/>
        <v>731410.44188309915</v>
      </c>
      <c r="S88" s="376">
        <f t="shared" si="19"/>
        <v>738724.5463019301</v>
      </c>
      <c r="T88" s="376">
        <f t="shared" si="19"/>
        <v>746111.79176494956</v>
      </c>
      <c r="U88" s="376">
        <f t="shared" si="19"/>
        <v>753572.9096825989</v>
      </c>
      <c r="V88" s="376">
        <f t="shared" si="19"/>
        <v>761108.63877942495</v>
      </c>
      <c r="W88" s="376">
        <f t="shared" si="19"/>
        <v>768719.72516721918</v>
      </c>
      <c r="X88" s="376">
        <f t="shared" si="19"/>
        <v>776406.92241889145</v>
      </c>
      <c r="Y88" s="376">
        <f t="shared" si="19"/>
        <v>784170.99164308037</v>
      </c>
      <c r="Z88" s="376">
        <f t="shared" si="19"/>
        <v>792012.70155951136</v>
      </c>
      <c r="AA88" s="376">
        <f t="shared" si="19"/>
        <v>799932.82857510634</v>
      </c>
      <c r="AB88" s="376">
        <f t="shared" si="19"/>
        <v>807932.1568608575</v>
      </c>
      <c r="AC88" s="376">
        <f t="shared" si="19"/>
        <v>816011.47842946602</v>
      </c>
      <c r="AD88" s="376">
        <f t="shared" si="19"/>
        <v>824171.59321376076</v>
      </c>
      <c r="AE88" s="376">
        <f t="shared" si="19"/>
        <v>832413.30914589833</v>
      </c>
      <c r="AF88" s="376">
        <f t="shared" si="19"/>
        <v>840737.44223735726</v>
      </c>
      <c r="AG88" s="376">
        <f t="shared" si="19"/>
        <v>849144.81665973098</v>
      </c>
    </row>
    <row r="89" spans="1:34">
      <c r="A89" s="300" t="s">
        <v>319</v>
      </c>
      <c r="B89" s="300" t="s">
        <v>309</v>
      </c>
      <c r="C89" s="376">
        <f t="shared" ref="C89:AG89" si="20">C81*$C$29</f>
        <v>77000</v>
      </c>
      <c r="D89" s="376">
        <f t="shared" si="20"/>
        <v>79320</v>
      </c>
      <c r="E89" s="376">
        <f t="shared" si="20"/>
        <v>81680</v>
      </c>
      <c r="F89" s="376">
        <f t="shared" si="20"/>
        <v>84140</v>
      </c>
      <c r="G89" s="376">
        <f t="shared" si="20"/>
        <v>86660</v>
      </c>
      <c r="H89" s="376">
        <f t="shared" si="20"/>
        <v>97260</v>
      </c>
      <c r="I89" s="376">
        <f t="shared" si="20"/>
        <v>100180</v>
      </c>
      <c r="J89" s="376">
        <f t="shared" si="20"/>
        <v>103180</v>
      </c>
      <c r="K89" s="376">
        <f t="shared" si="20"/>
        <v>106280</v>
      </c>
      <c r="L89" s="376">
        <f t="shared" si="20"/>
        <v>109480</v>
      </c>
      <c r="M89" s="376">
        <f t="shared" si="20"/>
        <v>112760</v>
      </c>
      <c r="N89" s="376">
        <f t="shared" si="20"/>
        <v>116140</v>
      </c>
      <c r="O89" s="376">
        <f t="shared" si="20"/>
        <v>119620</v>
      </c>
      <c r="P89" s="376">
        <f t="shared" si="20"/>
        <v>123220</v>
      </c>
      <c r="Q89" s="376">
        <f t="shared" si="20"/>
        <v>126900</v>
      </c>
      <c r="R89" s="376">
        <f t="shared" si="20"/>
        <v>130720</v>
      </c>
      <c r="S89" s="376">
        <f t="shared" si="20"/>
        <v>134640</v>
      </c>
      <c r="T89" s="376">
        <f t="shared" si="20"/>
        <v>138680</v>
      </c>
      <c r="U89" s="376">
        <f t="shared" si="20"/>
        <v>142840</v>
      </c>
      <c r="V89" s="376">
        <f t="shared" si="20"/>
        <v>147120</v>
      </c>
      <c r="W89" s="376">
        <f t="shared" si="20"/>
        <v>151540</v>
      </c>
      <c r="X89" s="376">
        <f t="shared" si="20"/>
        <v>156080</v>
      </c>
      <c r="Y89" s="376">
        <f t="shared" si="20"/>
        <v>160760</v>
      </c>
      <c r="Z89" s="376">
        <f t="shared" si="20"/>
        <v>165580</v>
      </c>
      <c r="AA89" s="376">
        <f t="shared" si="20"/>
        <v>170560</v>
      </c>
      <c r="AB89" s="376">
        <f t="shared" si="20"/>
        <v>175660</v>
      </c>
      <c r="AC89" s="376">
        <f t="shared" si="20"/>
        <v>180940</v>
      </c>
      <c r="AD89" s="376">
        <f t="shared" si="20"/>
        <v>186360</v>
      </c>
      <c r="AE89" s="376">
        <f t="shared" si="20"/>
        <v>191960</v>
      </c>
      <c r="AF89" s="376">
        <f t="shared" si="20"/>
        <v>197720</v>
      </c>
      <c r="AG89" s="376">
        <f t="shared" si="20"/>
        <v>203640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9.3733698135594974</v>
      </c>
      <c r="D91" s="379">
        <f t="shared" si="21"/>
        <v>9.6557882287212919</v>
      </c>
      <c r="E91" s="379">
        <f t="shared" si="21"/>
        <v>9.9430759269031146</v>
      </c>
      <c r="F91" s="379">
        <f t="shared" si="21"/>
        <v>10.242536832635016</v>
      </c>
      <c r="G91" s="379">
        <f t="shared" si="21"/>
        <v>10.549301662896962</v>
      </c>
      <c r="H91" s="379">
        <f t="shared" si="21"/>
        <v>11.839661663205153</v>
      </c>
      <c r="I91" s="379">
        <f t="shared" si="21"/>
        <v>12.195119323667408</v>
      </c>
      <c r="J91" s="379">
        <f t="shared" si="21"/>
        <v>12.560315550169729</v>
      </c>
      <c r="K91" s="379">
        <f t="shared" si="21"/>
        <v>12.937684984222125</v>
      </c>
      <c r="L91" s="379">
        <f t="shared" si="21"/>
        <v>13.327227625824595</v>
      </c>
      <c r="M91" s="379">
        <f t="shared" si="21"/>
        <v>13.726508833467131</v>
      </c>
      <c r="N91" s="379">
        <f t="shared" si="21"/>
        <v>14.137963248659743</v>
      </c>
      <c r="O91" s="379">
        <f t="shared" si="21"/>
        <v>14.561590871402432</v>
      </c>
      <c r="P91" s="379">
        <f t="shared" si="21"/>
        <v>14.999826343205214</v>
      </c>
      <c r="Q91" s="379">
        <f t="shared" si="21"/>
        <v>15.447800381048054</v>
      </c>
      <c r="R91" s="379">
        <f t="shared" si="21"/>
        <v>15.912816909461007</v>
      </c>
      <c r="S91" s="379">
        <f t="shared" si="21"/>
        <v>16.390006645424037</v>
      </c>
      <c r="T91" s="379">
        <f t="shared" si="21"/>
        <v>16.881804230447159</v>
      </c>
      <c r="U91" s="379">
        <f t="shared" si="21"/>
        <v>17.388209664530375</v>
      </c>
      <c r="V91" s="379">
        <f t="shared" si="21"/>
        <v>17.90922294767368</v>
      </c>
      <c r="W91" s="379">
        <f t="shared" si="21"/>
        <v>18.447278721387093</v>
      </c>
      <c r="X91" s="379">
        <f t="shared" si="21"/>
        <v>18.999942344160605</v>
      </c>
      <c r="Y91" s="379">
        <f t="shared" si="21"/>
        <v>19.569648457504218</v>
      </c>
      <c r="Z91" s="379">
        <f t="shared" si="21"/>
        <v>20.156397061417945</v>
      </c>
      <c r="AA91" s="379">
        <f t="shared" si="21"/>
        <v>20.762622797411794</v>
      </c>
      <c r="AB91" s="379">
        <f t="shared" si="21"/>
        <v>21.383456382465734</v>
      </c>
      <c r="AC91" s="379">
        <f t="shared" si="21"/>
        <v>22.026201741109812</v>
      </c>
      <c r="AD91" s="379">
        <f t="shared" si="21"/>
        <v>22.685989590324002</v>
      </c>
      <c r="AE91" s="379">
        <f t="shared" si="21"/>
        <v>23.367689213128326</v>
      </c>
      <c r="AF91" s="379">
        <f t="shared" si="21"/>
        <v>24.06886596801278</v>
      </c>
      <c r="AG91" s="379">
        <f t="shared" si="21"/>
        <v>24.789519854977353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17.755102040816325</v>
      </c>
      <c r="D92" s="379">
        <f t="shared" si="22"/>
        <v>18.673469387755102</v>
      </c>
      <c r="E92" s="379">
        <f t="shared" si="22"/>
        <v>19.233673469387757</v>
      </c>
      <c r="F92" s="379">
        <f t="shared" si="22"/>
        <v>19.810683673469388</v>
      </c>
      <c r="G92" s="379">
        <f t="shared" si="22"/>
        <v>20.405004183673469</v>
      </c>
      <c r="H92" s="379">
        <f t="shared" si="22"/>
        <v>21.017154309183674</v>
      </c>
      <c r="I92" s="379">
        <f t="shared" si="22"/>
        <v>21.647668938459184</v>
      </c>
      <c r="J92" s="379">
        <f t="shared" si="22"/>
        <v>22.29709900661296</v>
      </c>
      <c r="K92" s="379">
        <f t="shared" si="22"/>
        <v>22.966011976811348</v>
      </c>
      <c r="L92" s="379">
        <f t="shared" si="22"/>
        <v>23.65499233611569</v>
      </c>
      <c r="M92" s="379">
        <f t="shared" si="22"/>
        <v>24.36464210619916</v>
      </c>
      <c r="N92" s="379">
        <f t="shared" si="22"/>
        <v>25.09558136938514</v>
      </c>
      <c r="O92" s="379">
        <f t="shared" si="22"/>
        <v>25.848448810466689</v>
      </c>
      <c r="P92" s="379">
        <f t="shared" si="22"/>
        <v>26.62390227478069</v>
      </c>
      <c r="Q92" s="379">
        <f t="shared" si="22"/>
        <v>27.42261934302411</v>
      </c>
      <c r="R92" s="379">
        <f t="shared" si="22"/>
        <v>28.245297923314837</v>
      </c>
      <c r="S92" s="379">
        <f t="shared" si="22"/>
        <v>29.092656861014277</v>
      </c>
      <c r="T92" s="379">
        <f t="shared" si="22"/>
        <v>29.965436566844708</v>
      </c>
      <c r="U92" s="379">
        <f t="shared" si="22"/>
        <v>30.864399663850051</v>
      </c>
      <c r="V92" s="379">
        <f t="shared" si="22"/>
        <v>31.790331653765548</v>
      </c>
      <c r="W92" s="379">
        <f t="shared" si="22"/>
        <v>32.74404160337852</v>
      </c>
      <c r="X92" s="379">
        <f t="shared" si="22"/>
        <v>33.72636285147987</v>
      </c>
      <c r="Y92" s="379">
        <f t="shared" si="22"/>
        <v>34.738153737024263</v>
      </c>
      <c r="Z92" s="379">
        <f t="shared" si="22"/>
        <v>35.780298349134995</v>
      </c>
      <c r="AA92" s="379">
        <f t="shared" si="22"/>
        <v>36.853707299609042</v>
      </c>
      <c r="AB92" s="379">
        <f t="shared" si="22"/>
        <v>37.959318518597314</v>
      </c>
      <c r="AC92" s="379">
        <f t="shared" si="22"/>
        <v>39.098098074155239</v>
      </c>
      <c r="AD92" s="379">
        <f t="shared" si="22"/>
        <v>40.271041016379897</v>
      </c>
      <c r="AE92" s="379">
        <f t="shared" si="22"/>
        <v>41.479172246871293</v>
      </c>
      <c r="AF92" s="379">
        <f t="shared" si="22"/>
        <v>42.723547414277434</v>
      </c>
      <c r="AG92" s="379">
        <f t="shared" si="22"/>
        <v>44.005253836705755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16.855555555555554</v>
      </c>
      <c r="D93" s="379">
        <f t="shared" si="23"/>
        <v>17.333555555555556</v>
      </c>
      <c r="E93" s="379">
        <f t="shared" si="23"/>
        <v>17.830211111111112</v>
      </c>
      <c r="F93" s="379">
        <f t="shared" si="23"/>
        <v>18.34645188888889</v>
      </c>
      <c r="G93" s="379">
        <f t="shared" si="23"/>
        <v>18.882106754444447</v>
      </c>
      <c r="H93" s="379">
        <f t="shared" si="23"/>
        <v>19.526570849188889</v>
      </c>
      <c r="I93" s="379">
        <f t="shared" si="23"/>
        <v>20.105028239302111</v>
      </c>
      <c r="J93" s="379">
        <f t="shared" si="23"/>
        <v>20.70400791502577</v>
      </c>
      <c r="K93" s="379">
        <f t="shared" si="23"/>
        <v>21.324050918795436</v>
      </c>
      <c r="L93" s="379">
        <f t="shared" si="23"/>
        <v>21.976599714032027</v>
      </c>
      <c r="M93" s="379">
        <f t="shared" si="23"/>
        <v>22.650665350885141</v>
      </c>
      <c r="N93" s="379">
        <f t="shared" si="23"/>
        <v>23.346827985250869</v>
      </c>
      <c r="O93" s="379">
        <f t="shared" si="23"/>
        <v>24.076570751861183</v>
      </c>
      <c r="P93" s="379">
        <f t="shared" si="23"/>
        <v>24.829391436719025</v>
      </c>
      <c r="Q93" s="379">
        <f t="shared" si="23"/>
        <v>25.616358616407908</v>
      </c>
      <c r="R93" s="379">
        <f t="shared" si="23"/>
        <v>26.427445598506552</v>
      </c>
      <c r="S93" s="379">
        <f t="shared" si="23"/>
        <v>27.273753275152441</v>
      </c>
      <c r="T93" s="379">
        <f t="shared" si="23"/>
        <v>28.155955224057898</v>
      </c>
      <c r="U93" s="379">
        <f t="shared" si="23"/>
        <v>29.074520613543005</v>
      </c>
      <c r="V93" s="379">
        <f t="shared" si="23"/>
        <v>30.029937134857196</v>
      </c>
      <c r="W93" s="379">
        <f t="shared" si="23"/>
        <v>31.022933962880561</v>
      </c>
      <c r="X93" s="379">
        <f t="shared" si="23"/>
        <v>32.053815857451163</v>
      </c>
      <c r="Y93" s="379">
        <f t="shared" si="23"/>
        <v>33.123352850942908</v>
      </c>
      <c r="Z93" s="379">
        <f t="shared" si="23"/>
        <v>34.232114412210713</v>
      </c>
      <c r="AA93" s="379">
        <f t="shared" si="23"/>
        <v>35.392025865957081</v>
      </c>
      <c r="AB93" s="379">
        <f t="shared" si="23"/>
        <v>36.592147068848107</v>
      </c>
      <c r="AC93" s="379">
        <f t="shared" si="23"/>
        <v>37.844895565981744</v>
      </c>
      <c r="AD93" s="379">
        <f t="shared" si="23"/>
        <v>39.139380895811193</v>
      </c>
      <c r="AE93" s="379">
        <f t="shared" si="23"/>
        <v>40.487850045016835</v>
      </c>
      <c r="AF93" s="379">
        <f t="shared" si="23"/>
        <v>41.890799610435536</v>
      </c>
      <c r="AG93" s="379">
        <f t="shared" si="23"/>
        <v>43.348976891884952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3.0555555555555554</v>
      </c>
      <c r="D94" s="379">
        <f t="shared" si="24"/>
        <v>3.1476190476190475</v>
      </c>
      <c r="E94" s="379">
        <f t="shared" si="24"/>
        <v>3.2412698412698413</v>
      </c>
      <c r="F94" s="379">
        <f t="shared" si="24"/>
        <v>3.338888888888889</v>
      </c>
      <c r="G94" s="379">
        <f t="shared" si="24"/>
        <v>3.4388888888888891</v>
      </c>
      <c r="H94" s="379">
        <f t="shared" si="24"/>
        <v>3.8595238095238096</v>
      </c>
      <c r="I94" s="379">
        <f t="shared" si="24"/>
        <v>3.9753968253968255</v>
      </c>
      <c r="J94" s="379">
        <f t="shared" si="24"/>
        <v>4.0944444444444441</v>
      </c>
      <c r="K94" s="379">
        <f t="shared" si="24"/>
        <v>4.2174603174603176</v>
      </c>
      <c r="L94" s="379">
        <f t="shared" si="24"/>
        <v>4.3444444444444441</v>
      </c>
      <c r="M94" s="379">
        <f t="shared" si="24"/>
        <v>4.4746031746031747</v>
      </c>
      <c r="N94" s="379">
        <f t="shared" si="24"/>
        <v>3.6869841269841279</v>
      </c>
      <c r="O94" s="379">
        <f t="shared" si="24"/>
        <v>3.7974603174603181</v>
      </c>
      <c r="P94" s="379">
        <f t="shared" si="24"/>
        <v>3.9117460317460324</v>
      </c>
      <c r="Q94" s="379">
        <f t="shared" si="24"/>
        <v>4.0285714285714294</v>
      </c>
      <c r="R94" s="379">
        <f t="shared" si="24"/>
        <v>4.1498412698412706</v>
      </c>
      <c r="S94" s="379">
        <f t="shared" si="24"/>
        <v>4.2742857142857149</v>
      </c>
      <c r="T94" s="379">
        <f t="shared" si="24"/>
        <v>4.4025396825396834</v>
      </c>
      <c r="U94" s="379">
        <f t="shared" si="24"/>
        <v>4.5346031746031752</v>
      </c>
      <c r="V94" s="379">
        <f t="shared" si="24"/>
        <v>4.6704761904761911</v>
      </c>
      <c r="W94" s="379">
        <f t="shared" si="24"/>
        <v>4.8107936507936513</v>
      </c>
      <c r="X94" s="379">
        <f t="shared" si="24"/>
        <v>3.7161904761904769</v>
      </c>
      <c r="Y94" s="379">
        <f t="shared" si="24"/>
        <v>3.8276190476190481</v>
      </c>
      <c r="Z94" s="379">
        <f t="shared" si="24"/>
        <v>3.9423809523809532</v>
      </c>
      <c r="AA94" s="379">
        <f t="shared" si="24"/>
        <v>4.060952380952382</v>
      </c>
      <c r="AB94" s="379">
        <f t="shared" si="24"/>
        <v>4.182380952380953</v>
      </c>
      <c r="AC94" s="379">
        <f t="shared" si="24"/>
        <v>4.3080952380952384</v>
      </c>
      <c r="AD94" s="379">
        <f t="shared" si="24"/>
        <v>4.4371428571428577</v>
      </c>
      <c r="AE94" s="379">
        <f t="shared" si="24"/>
        <v>4.5704761904761915</v>
      </c>
      <c r="AF94" s="379">
        <f t="shared" si="24"/>
        <v>4.7076190476190485</v>
      </c>
      <c r="AG94" s="379">
        <f t="shared" si="24"/>
        <v>4.8485714285714296</v>
      </c>
    </row>
    <row r="95" spans="1:34" s="352" customFormat="1">
      <c r="A95" s="380" t="s">
        <v>323</v>
      </c>
      <c r="B95" s="352" t="s">
        <v>300</v>
      </c>
      <c r="C95" s="381">
        <f>SUM(C91:C93)-C94</f>
        <v>40.928471854375822</v>
      </c>
      <c r="D95" s="381">
        <f t="shared" ref="D95" si="25">SUM(D91:D93)-D94</f>
        <v>42.515194124412901</v>
      </c>
      <c r="E95" s="381">
        <f t="shared" ref="E95" si="26">SUM(E91:E93)-E94</f>
        <v>43.765690666132144</v>
      </c>
      <c r="F95" s="381">
        <f t="shared" ref="F95:AG95" si="27">SUM(F91:F93)-F94</f>
        <v>45.0607835061044</v>
      </c>
      <c r="G95" s="381">
        <f t="shared" si="27"/>
        <v>46.397523712125988</v>
      </c>
      <c r="H95" s="381">
        <f t="shared" si="27"/>
        <v>48.523863012053909</v>
      </c>
      <c r="I95" s="381">
        <f t="shared" si="27"/>
        <v>49.972419676031876</v>
      </c>
      <c r="J95" s="381">
        <f t="shared" si="27"/>
        <v>51.466978027364014</v>
      </c>
      <c r="K95" s="381">
        <f t="shared" si="27"/>
        <v>53.010287562368596</v>
      </c>
      <c r="L95" s="381">
        <f t="shared" si="27"/>
        <v>54.614375231527873</v>
      </c>
      <c r="M95" s="381">
        <f t="shared" si="27"/>
        <v>56.267213115948259</v>
      </c>
      <c r="N95" s="381">
        <f t="shared" si="27"/>
        <v>58.893388476311621</v>
      </c>
      <c r="O95" s="381">
        <f t="shared" si="27"/>
        <v>60.689150116269985</v>
      </c>
      <c r="P95" s="381">
        <f t="shared" si="27"/>
        <v>62.541374022958891</v>
      </c>
      <c r="Q95" s="381">
        <f t="shared" si="27"/>
        <v>64.458206911908647</v>
      </c>
      <c r="R95" s="381">
        <f t="shared" si="27"/>
        <v>66.435719161441128</v>
      </c>
      <c r="S95" s="381">
        <f t="shared" si="27"/>
        <v>68.482131067305048</v>
      </c>
      <c r="T95" s="381">
        <f t="shared" si="27"/>
        <v>70.600656338810083</v>
      </c>
      <c r="U95" s="381">
        <f t="shared" si="27"/>
        <v>72.792526767320254</v>
      </c>
      <c r="V95" s="381">
        <f t="shared" si="27"/>
        <v>75.05901554582023</v>
      </c>
      <c r="W95" s="381">
        <f t="shared" si="27"/>
        <v>77.403460636852515</v>
      </c>
      <c r="X95" s="381">
        <f t="shared" si="27"/>
        <v>81.063930576901171</v>
      </c>
      <c r="Y95" s="381">
        <f t="shared" si="27"/>
        <v>83.603535997852333</v>
      </c>
      <c r="Z95" s="381">
        <f t="shared" si="27"/>
        <v>86.226428870382691</v>
      </c>
      <c r="AA95" s="381">
        <f t="shared" si="27"/>
        <v>88.94740358202553</v>
      </c>
      <c r="AB95" s="381">
        <f t="shared" si="27"/>
        <v>91.752541017530206</v>
      </c>
      <c r="AC95" s="381">
        <f t="shared" si="27"/>
        <v>94.661100143151558</v>
      </c>
      <c r="AD95" s="381">
        <f t="shared" si="27"/>
        <v>97.659268645372222</v>
      </c>
      <c r="AE95" s="381">
        <f t="shared" si="27"/>
        <v>100.76423531454027</v>
      </c>
      <c r="AF95" s="381">
        <f t="shared" si="27"/>
        <v>103.97559394510671</v>
      </c>
      <c r="AG95" s="381">
        <f t="shared" si="27"/>
        <v>107.29517915499662</v>
      </c>
    </row>
    <row r="96" spans="1:34" s="344" customFormat="1">
      <c r="A96" s="342" t="s">
        <v>180</v>
      </c>
      <c r="B96" s="342"/>
      <c r="H96" s="382">
        <f>H98/H63</f>
        <v>1.1332925176017843</v>
      </c>
      <c r="AB96" s="382">
        <f>AB98/AB63</f>
        <v>1.0900594423796321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year'!C107)/1000,0)*1000</f>
        <v>4180000</v>
      </c>
      <c r="D98" s="376">
        <f>ROUND(('Changing with year'!D107)/1000,0)*1000</f>
        <v>4294000</v>
      </c>
      <c r="E98" s="376">
        <f>ROUND(('Changing with year'!E107)/1000,0)*1000</f>
        <v>4411000</v>
      </c>
      <c r="F98" s="376">
        <f>ROUND(('Changing with year'!F107)/1000,0)*1000</f>
        <v>4532000</v>
      </c>
      <c r="G98" s="376">
        <f>ROUND(('Changing with year'!G107)/1000,0)*1000</f>
        <v>4656000</v>
      </c>
      <c r="H98" s="376">
        <f>ROUND(('Changing with year'!H107)/1000,0)*1000</f>
        <v>5183000</v>
      </c>
      <c r="I98" s="376">
        <f>ROUND(('Changing with year'!I107)/1000,0)*1000</f>
        <v>5327000</v>
      </c>
      <c r="J98" s="376">
        <f>ROUND(('Changing with year'!J107)/1000,0)*1000</f>
        <v>5474000</v>
      </c>
      <c r="K98" s="376">
        <f>ROUND(('Changing with year'!K107)/1000,0)*1000</f>
        <v>5626000</v>
      </c>
      <c r="L98" s="376">
        <f>ROUND(('Changing with year'!L107)/1000,0)*1000</f>
        <v>5782000</v>
      </c>
      <c r="M98" s="376">
        <f>ROUND(('Changing with year'!M107)/1000,0)*1000</f>
        <v>5943000</v>
      </c>
      <c r="N98" s="376">
        <f>ROUND(('Changing with year'!N107)/1000,0)*1000</f>
        <v>6108000</v>
      </c>
      <c r="O98" s="376">
        <f>ROUND(('Changing with year'!O107)/1000,0)*1000</f>
        <v>6279000</v>
      </c>
      <c r="P98" s="376">
        <f>ROUND(('Changing with year'!P107)/1000,0)*1000</f>
        <v>6454000</v>
      </c>
      <c r="Q98" s="376">
        <f>ROUND(('Changing with year'!Q107)/1000,0)*1000</f>
        <v>6634000</v>
      </c>
      <c r="R98" s="376">
        <f>ROUND(('Changing with year'!R107)/1000,0)*1000</f>
        <v>6820000</v>
      </c>
      <c r="S98" s="376">
        <f>ROUND(('Changing with year'!S107)/1000,0)*1000</f>
        <v>7011000</v>
      </c>
      <c r="T98" s="376">
        <f>ROUND(('Changing with year'!T107)/1000,0)*1000</f>
        <v>7208000</v>
      </c>
      <c r="U98" s="376">
        <f>ROUND(('Changing with year'!U107)/1000,0)*1000</f>
        <v>7410000</v>
      </c>
      <c r="V98" s="376">
        <f>ROUND(('Changing with year'!V107)/1000,0)*1000</f>
        <v>7619000</v>
      </c>
      <c r="W98" s="376">
        <f>ROUND(('Changing with year'!W107)/1000,0)*1000</f>
        <v>7833000</v>
      </c>
      <c r="X98" s="376">
        <f>ROUND(('Changing with year'!X107)/1000,0)*1000</f>
        <v>8054000</v>
      </c>
      <c r="Y98" s="376">
        <f>ROUND(('Changing with year'!Y107)/1000,0)*1000</f>
        <v>8282000</v>
      </c>
      <c r="Z98" s="376">
        <f>ROUND(('Changing with year'!Z107)/1000,0)*1000</f>
        <v>8516000</v>
      </c>
      <c r="AA98" s="376">
        <f>ROUND(('Changing with year'!AA107)/1000,0)*1000</f>
        <v>8756000</v>
      </c>
      <c r="AB98" s="376">
        <f>ROUND(('Changing with year'!AB107)/1000,0)*1000</f>
        <v>9004000</v>
      </c>
      <c r="AC98" s="376">
        <f>ROUND(('Changing with year'!AC107)/1000,0)*1000</f>
        <v>9260000</v>
      </c>
      <c r="AD98" s="376">
        <f>ROUND(('Changing with year'!AD107)/1000,0)*1000</f>
        <v>9522000</v>
      </c>
      <c r="AE98" s="376">
        <f>ROUND(('Changing with year'!AE107)/1000,0)*1000</f>
        <v>9793000</v>
      </c>
      <c r="AF98" s="376">
        <f>ROUND(('Changing with year'!AF107)/1000,0)*1000</f>
        <v>10071000</v>
      </c>
      <c r="AG98" s="376">
        <f>ROUND(('Changing with year'!AG107)/1000,0)*1000</f>
        <v>10358000</v>
      </c>
    </row>
    <row r="99" spans="1:34">
      <c r="A99" s="368" t="s">
        <v>310</v>
      </c>
      <c r="B99" s="300" t="s">
        <v>309</v>
      </c>
      <c r="C99" s="376">
        <f>(C98*'No change with year'!$AE$17)</f>
        <v>2090000</v>
      </c>
      <c r="D99" s="376">
        <f>(D98*'No change with year'!$AE$17)</f>
        <v>2147000</v>
      </c>
      <c r="E99" s="376">
        <f>(E98*'No change with year'!$AE$17)</f>
        <v>2205500</v>
      </c>
      <c r="F99" s="376">
        <f>(F98*'No change with year'!$AE$17)</f>
        <v>2266000</v>
      </c>
      <c r="G99" s="376">
        <f>(G98*'No change with year'!$AE$17)</f>
        <v>2328000</v>
      </c>
      <c r="H99" s="376">
        <f>(H98*'No change with year'!$AE$17)</f>
        <v>2591500</v>
      </c>
      <c r="I99" s="376">
        <f>(I98*'No change with year'!$AE$17)</f>
        <v>2663500</v>
      </c>
      <c r="J99" s="376">
        <f>(J98*'No change with year'!$AE$17)</f>
        <v>2737000</v>
      </c>
      <c r="K99" s="376">
        <f>(K98*'No change with year'!$AE$17)</f>
        <v>2813000</v>
      </c>
      <c r="L99" s="376">
        <f>(L98*'No change with year'!$AE$17)</f>
        <v>2891000</v>
      </c>
      <c r="M99" s="376">
        <f>(M98*'No change with year'!$AE$17)</f>
        <v>2971500</v>
      </c>
      <c r="N99" s="376">
        <f>(N98*'No change with year'!$AF$17)</f>
        <v>2443200.0000000005</v>
      </c>
      <c r="O99" s="376">
        <f>(O98*'No change with year'!$AF$17)</f>
        <v>2511600.0000000005</v>
      </c>
      <c r="P99" s="376">
        <f>(P98*'No change with year'!$AF$17)</f>
        <v>2581600.0000000005</v>
      </c>
      <c r="Q99" s="376">
        <f>(Q98*'No change with year'!$AF$17)</f>
        <v>2653600.0000000005</v>
      </c>
      <c r="R99" s="376">
        <f>(R98*'No change with year'!$AF$17)</f>
        <v>2728000.0000000005</v>
      </c>
      <c r="S99" s="376">
        <f>(S98*'No change with year'!$AF$17)</f>
        <v>2804400.0000000005</v>
      </c>
      <c r="T99" s="376">
        <f>(T98*'No change with year'!$AF$17)</f>
        <v>2883200.0000000005</v>
      </c>
      <c r="U99" s="376">
        <f>(U98*'No change with year'!$AF$17)</f>
        <v>2964000.0000000005</v>
      </c>
      <c r="V99" s="376">
        <f>(V98*'No change with year'!$AF$17)</f>
        <v>3047600.0000000005</v>
      </c>
      <c r="W99" s="376">
        <f>(W98*'No change with year'!$AF$17)</f>
        <v>3133200.0000000005</v>
      </c>
      <c r="X99" s="376">
        <f>(X98*'No change with year'!$AG$17)</f>
        <v>2416200.0000000005</v>
      </c>
      <c r="Y99" s="376">
        <f>(Y98*'No change with year'!$AG$17)</f>
        <v>2484600.0000000005</v>
      </c>
      <c r="Z99" s="376">
        <f>(Z98*'No change with year'!$AG$17)</f>
        <v>2554800.0000000005</v>
      </c>
      <c r="AA99" s="376">
        <f>(AA98*'No change with year'!$AG$17)</f>
        <v>2626800.0000000005</v>
      </c>
      <c r="AB99" s="376">
        <f>(AB98*'No change with year'!$AG$17)</f>
        <v>2701200.0000000005</v>
      </c>
      <c r="AC99" s="376">
        <f>(AC98*'No change with year'!$AG$17)</f>
        <v>2778000.0000000005</v>
      </c>
      <c r="AD99" s="376">
        <f>(AD98*'No change with year'!$AG$17)</f>
        <v>2856600.0000000005</v>
      </c>
      <c r="AE99" s="376">
        <f>(AE98*'No change with year'!$AG$17)</f>
        <v>2937900.0000000005</v>
      </c>
      <c r="AF99" s="376">
        <f>(AF98*'No change with year'!$AG$17)</f>
        <v>3021300.0000000005</v>
      </c>
      <c r="AG99" s="376">
        <f>(AG98*'No change with year'!$AG$17)</f>
        <v>3107400.0000000005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915912.13606781384</v>
      </c>
      <c r="D101" s="376">
        <f t="shared" si="29"/>
        <v>940891.55796057242</v>
      </c>
      <c r="E101" s="376">
        <f t="shared" si="29"/>
        <v>966528.33306103514</v>
      </c>
      <c r="F101" s="376">
        <f t="shared" si="29"/>
        <v>993041.57910510339</v>
      </c>
      <c r="G101" s="376">
        <f t="shared" si="29"/>
        <v>1020212.178356876</v>
      </c>
      <c r="H101" s="376">
        <f t="shared" si="29"/>
        <v>1135687.225176909</v>
      </c>
      <c r="I101" s="376">
        <f t="shared" si="29"/>
        <v>1167240.1791467092</v>
      </c>
      <c r="J101" s="376">
        <f t="shared" si="29"/>
        <v>1199450.4863242134</v>
      </c>
      <c r="K101" s="376">
        <f t="shared" si="29"/>
        <v>1232756.3821812251</v>
      </c>
      <c r="L101" s="376">
        <f t="shared" si="29"/>
        <v>1266938.7489818421</v>
      </c>
      <c r="M101" s="376">
        <f t="shared" si="29"/>
        <v>1302216.7044619659</v>
      </c>
      <c r="N101" s="376">
        <f t="shared" si="29"/>
        <v>1338371.1308856956</v>
      </c>
      <c r="O101" s="376">
        <f t="shared" si="29"/>
        <v>1375840.2637248333</v>
      </c>
      <c r="P101" s="376">
        <f t="shared" si="29"/>
        <v>1414185.8675075767</v>
      </c>
      <c r="Q101" s="376">
        <f t="shared" si="29"/>
        <v>1453627.0599698271</v>
      </c>
      <c r="R101" s="376">
        <f t="shared" si="29"/>
        <v>1494382.9588474857</v>
      </c>
      <c r="S101" s="376">
        <f t="shared" si="29"/>
        <v>1536234.4464046515</v>
      </c>
      <c r="T101" s="376">
        <f t="shared" si="29"/>
        <v>1579400.6403772254</v>
      </c>
      <c r="U101" s="376">
        <f t="shared" si="29"/>
        <v>1623662.4230293063</v>
      </c>
      <c r="V101" s="376">
        <f t="shared" si="29"/>
        <v>1669458.0298326972</v>
      </c>
      <c r="W101" s="376">
        <f t="shared" si="29"/>
        <v>1716349.2253155948</v>
      </c>
      <c r="X101" s="376">
        <f t="shared" si="29"/>
        <v>1764774.2449498021</v>
      </c>
      <c r="Y101" s="376">
        <f t="shared" si="29"/>
        <v>1814733.0887353192</v>
      </c>
      <c r="Z101" s="376">
        <f t="shared" si="29"/>
        <v>1866006.6389362446</v>
      </c>
      <c r="AA101" s="376">
        <f t="shared" si="29"/>
        <v>1918594.8955525784</v>
      </c>
      <c r="AB101" s="376">
        <f t="shared" si="29"/>
        <v>1972936.0940561234</v>
      </c>
      <c r="AC101" s="376">
        <f t="shared" si="29"/>
        <v>2029030.2344468795</v>
      </c>
      <c r="AD101" s="376">
        <f t="shared" si="29"/>
        <v>2086439.0812530438</v>
      </c>
      <c r="AE101" s="376">
        <f t="shared" si="29"/>
        <v>2145819.9876823211</v>
      </c>
      <c r="AF101" s="376">
        <f t="shared" si="29"/>
        <v>2206734.7182629076</v>
      </c>
      <c r="AG101" s="376">
        <f t="shared" si="29"/>
        <v>2269621.508466607</v>
      </c>
    </row>
    <row r="102" spans="1:34">
      <c r="A102" s="300" t="s">
        <v>321</v>
      </c>
      <c r="B102" s="300" t="s">
        <v>309</v>
      </c>
      <c r="C102" s="376">
        <f t="shared" ref="C102:AG102" si="30">$E$38*C44</f>
        <v>1556249.9999999998</v>
      </c>
      <c r="D102" s="376">
        <f t="shared" si="30"/>
        <v>1612499.9999999998</v>
      </c>
      <c r="E102" s="376">
        <f t="shared" si="30"/>
        <v>1660874.9999999995</v>
      </c>
      <c r="F102" s="376">
        <f t="shared" si="30"/>
        <v>1710701.2499999995</v>
      </c>
      <c r="G102" s="376">
        <f t="shared" si="30"/>
        <v>1762022.2874999996</v>
      </c>
      <c r="H102" s="376">
        <f t="shared" si="30"/>
        <v>1814882.9561249996</v>
      </c>
      <c r="I102" s="376">
        <f t="shared" si="30"/>
        <v>1869329.4448087497</v>
      </c>
      <c r="J102" s="376">
        <f t="shared" si="30"/>
        <v>1925409.3281530123</v>
      </c>
      <c r="K102" s="376">
        <f t="shared" si="30"/>
        <v>1983171.6079976028</v>
      </c>
      <c r="L102" s="376">
        <f t="shared" si="30"/>
        <v>2042666.7562375308</v>
      </c>
      <c r="M102" s="376">
        <f t="shared" si="30"/>
        <v>2103946.758924657</v>
      </c>
      <c r="N102" s="376">
        <f t="shared" si="30"/>
        <v>2167065.1616923963</v>
      </c>
      <c r="O102" s="376">
        <f t="shared" si="30"/>
        <v>2232077.1165431687</v>
      </c>
      <c r="P102" s="376">
        <f t="shared" si="30"/>
        <v>2299039.4300394636</v>
      </c>
      <c r="Q102" s="376">
        <f t="shared" si="30"/>
        <v>2368010.6129406476</v>
      </c>
      <c r="R102" s="376">
        <f t="shared" si="30"/>
        <v>2439050.9313288671</v>
      </c>
      <c r="S102" s="376">
        <f t="shared" si="30"/>
        <v>2512222.4592687329</v>
      </c>
      <c r="T102" s="376">
        <f t="shared" si="30"/>
        <v>2587589.1330467951</v>
      </c>
      <c r="U102" s="376">
        <f t="shared" si="30"/>
        <v>2665216.8070381992</v>
      </c>
      <c r="V102" s="376">
        <f t="shared" si="30"/>
        <v>2745173.3112493451</v>
      </c>
      <c r="W102" s="376">
        <f t="shared" si="30"/>
        <v>2827528.5105868257</v>
      </c>
      <c r="X102" s="376">
        <f t="shared" si="30"/>
        <v>2912354.3659044304</v>
      </c>
      <c r="Y102" s="376">
        <f t="shared" si="30"/>
        <v>2999724.9968815637</v>
      </c>
      <c r="Z102" s="376">
        <f t="shared" si="30"/>
        <v>3089716.7467880105</v>
      </c>
      <c r="AA102" s="376">
        <f t="shared" si="30"/>
        <v>3182408.2491916511</v>
      </c>
      <c r="AB102" s="376">
        <f t="shared" si="30"/>
        <v>3277880.4966674005</v>
      </c>
      <c r="AC102" s="376">
        <f t="shared" si="30"/>
        <v>3376216.9115674226</v>
      </c>
      <c r="AD102" s="376">
        <f t="shared" si="30"/>
        <v>3477503.4189144452</v>
      </c>
      <c r="AE102" s="376">
        <f t="shared" si="30"/>
        <v>3581828.5214818786</v>
      </c>
      <c r="AF102" s="376">
        <f t="shared" si="30"/>
        <v>3689283.3771263352</v>
      </c>
      <c r="AG102" s="376">
        <f t="shared" si="30"/>
        <v>3799961.8784401249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360000</v>
      </c>
      <c r="D103" s="376">
        <f t="shared" si="31"/>
        <v>374400</v>
      </c>
      <c r="E103" s="376">
        <f t="shared" si="31"/>
        <v>389376</v>
      </c>
      <c r="F103" s="376">
        <f t="shared" si="31"/>
        <v>404951.04000000004</v>
      </c>
      <c r="G103" s="376">
        <f t="shared" si="31"/>
        <v>421149.08160000003</v>
      </c>
      <c r="H103" s="376">
        <f t="shared" si="31"/>
        <v>437995.04486400011</v>
      </c>
      <c r="I103" s="376">
        <f t="shared" si="31"/>
        <v>455514.8466585601</v>
      </c>
      <c r="J103" s="376">
        <f t="shared" si="31"/>
        <v>473735.4405249026</v>
      </c>
      <c r="K103" s="376">
        <f t="shared" si="31"/>
        <v>492684.85814589867</v>
      </c>
      <c r="L103" s="376">
        <f t="shared" si="31"/>
        <v>512392.25247173471</v>
      </c>
      <c r="M103" s="376">
        <f t="shared" si="31"/>
        <v>532887.94257060403</v>
      </c>
      <c r="N103" s="376">
        <f t="shared" si="31"/>
        <v>554203.46027342824</v>
      </c>
      <c r="O103" s="376">
        <f t="shared" si="31"/>
        <v>576371.5986843654</v>
      </c>
      <c r="P103" s="376">
        <f t="shared" si="31"/>
        <v>599426.46263174003</v>
      </c>
      <c r="Q103" s="376">
        <f t="shared" si="31"/>
        <v>623403.52113700961</v>
      </c>
      <c r="R103" s="376">
        <f t="shared" si="31"/>
        <v>648339.6619824901</v>
      </c>
      <c r="S103" s="376">
        <f t="shared" si="31"/>
        <v>674273.24846178968</v>
      </c>
      <c r="T103" s="376">
        <f t="shared" si="31"/>
        <v>701244.17840026121</v>
      </c>
      <c r="U103" s="376">
        <f t="shared" si="31"/>
        <v>729293.94553627179</v>
      </c>
      <c r="V103" s="376">
        <f t="shared" si="31"/>
        <v>758465.70335772261</v>
      </c>
      <c r="W103" s="376">
        <f t="shared" si="31"/>
        <v>788804.33149203146</v>
      </c>
      <c r="X103" s="376">
        <f t="shared" si="31"/>
        <v>820356.5047517129</v>
      </c>
      <c r="Y103" s="376">
        <f t="shared" si="31"/>
        <v>853170.76494178129</v>
      </c>
      <c r="Z103" s="376">
        <f t="shared" si="31"/>
        <v>887297.59553945262</v>
      </c>
      <c r="AA103" s="376">
        <f t="shared" si="31"/>
        <v>922789.49936103076</v>
      </c>
      <c r="AB103" s="376">
        <f t="shared" si="31"/>
        <v>959701.07933547208</v>
      </c>
      <c r="AC103" s="376">
        <f t="shared" si="31"/>
        <v>998089.12250889093</v>
      </c>
      <c r="AD103" s="376">
        <f t="shared" si="31"/>
        <v>1038012.6874092467</v>
      </c>
      <c r="AE103" s="376">
        <f t="shared" si="31"/>
        <v>1079533.1949056166</v>
      </c>
      <c r="AF103" s="376">
        <f t="shared" si="31"/>
        <v>1122714.5227018413</v>
      </c>
      <c r="AG103" s="376">
        <f t="shared" si="31"/>
        <v>1167623.1036099151</v>
      </c>
    </row>
    <row r="104" spans="1:34">
      <c r="A104" s="368" t="s">
        <v>318</v>
      </c>
      <c r="B104" s="368" t="s">
        <v>313</v>
      </c>
      <c r="C104" s="376">
        <f>'Changing with year'!C289</f>
        <v>450000</v>
      </c>
      <c r="D104" s="376">
        <f>'Changing with year'!D289</f>
        <v>470000</v>
      </c>
      <c r="E104" s="376">
        <f>'Changing with year'!E289</f>
        <v>491000</v>
      </c>
      <c r="F104" s="376">
        <f>'Changing with year'!F289</f>
        <v>513000</v>
      </c>
      <c r="G104" s="376">
        <f>'Changing with year'!G289</f>
        <v>536000</v>
      </c>
      <c r="H104" s="376">
        <f>'Changing with year'!H289</f>
        <v>560000</v>
      </c>
      <c r="I104" s="376">
        <f>'Changing with year'!I289</f>
        <v>585000</v>
      </c>
      <c r="J104" s="376">
        <f>'Changing with year'!J289</f>
        <v>611000</v>
      </c>
      <c r="K104" s="376">
        <f>'Changing with year'!K289</f>
        <v>638000</v>
      </c>
      <c r="L104" s="376">
        <f>'Changing with year'!L289</f>
        <v>667000</v>
      </c>
      <c r="M104" s="376">
        <f>'Changing with year'!M289</f>
        <v>697000</v>
      </c>
      <c r="N104" s="376">
        <f>'Changing with year'!N289</f>
        <v>728000</v>
      </c>
      <c r="O104" s="376">
        <f>'Changing with year'!O289</f>
        <v>761000</v>
      </c>
      <c r="P104" s="376">
        <f>'Changing with year'!P289</f>
        <v>795000</v>
      </c>
      <c r="Q104" s="376">
        <f>'Changing with year'!Q289</f>
        <v>831000</v>
      </c>
      <c r="R104" s="376">
        <f>'Changing with year'!R289</f>
        <v>868000</v>
      </c>
      <c r="S104" s="376">
        <f>'Changing with year'!S289</f>
        <v>907000</v>
      </c>
      <c r="T104" s="376">
        <f>'Changing with year'!T289</f>
        <v>948000</v>
      </c>
      <c r="U104" s="376">
        <f>'Changing with year'!U289</f>
        <v>991000</v>
      </c>
      <c r="V104" s="376">
        <f>'Changing with year'!V289</f>
        <v>1036000</v>
      </c>
      <c r="W104" s="376">
        <f>'Changing with year'!W289</f>
        <v>1083000</v>
      </c>
      <c r="X104" s="376">
        <f>'Changing with year'!X289</f>
        <v>1132000</v>
      </c>
      <c r="Y104" s="376">
        <f>'Changing with year'!Y289</f>
        <v>1183000</v>
      </c>
      <c r="Z104" s="376">
        <f>'Changing with year'!Z289</f>
        <v>1236000</v>
      </c>
      <c r="AA104" s="376">
        <f>'Changing with year'!AA289</f>
        <v>1292000</v>
      </c>
      <c r="AB104" s="376">
        <f>'Changing with year'!AB289</f>
        <v>1350000</v>
      </c>
      <c r="AC104" s="376">
        <f>'Changing with year'!AC289</f>
        <v>1411000</v>
      </c>
      <c r="AD104" s="376">
        <f>'Changing with year'!AD289</f>
        <v>1474000</v>
      </c>
      <c r="AE104" s="376">
        <f>'Changing with year'!AE289</f>
        <v>1540000</v>
      </c>
      <c r="AF104" s="376">
        <f>'Changing with year'!AF289</f>
        <v>1609000</v>
      </c>
      <c r="AG104" s="376">
        <f>'Changing with year'!AG289</f>
        <v>1681000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630000</v>
      </c>
      <c r="D105" s="376">
        <f t="shared" si="32"/>
        <v>636300</v>
      </c>
      <c r="E105" s="376">
        <f t="shared" si="32"/>
        <v>642663</v>
      </c>
      <c r="F105" s="376">
        <f t="shared" si="32"/>
        <v>649089.63000000012</v>
      </c>
      <c r="G105" s="376">
        <f t="shared" si="32"/>
        <v>655580.52630000003</v>
      </c>
      <c r="H105" s="376">
        <f t="shared" si="32"/>
        <v>662136.33156299999</v>
      </c>
      <c r="I105" s="376">
        <f t="shared" si="32"/>
        <v>668757.69487862999</v>
      </c>
      <c r="J105" s="376">
        <f t="shared" si="32"/>
        <v>675445.27182741638</v>
      </c>
      <c r="K105" s="376">
        <f t="shared" si="32"/>
        <v>682199.72454569046</v>
      </c>
      <c r="L105" s="376">
        <f t="shared" si="32"/>
        <v>689021.72179114749</v>
      </c>
      <c r="M105" s="376">
        <f t="shared" si="32"/>
        <v>695911.93900905887</v>
      </c>
      <c r="N105" s="376">
        <f t="shared" si="32"/>
        <v>702871.05839914945</v>
      </c>
      <c r="O105" s="376">
        <f t="shared" si="32"/>
        <v>709899.76898314094</v>
      </c>
      <c r="P105" s="376">
        <f t="shared" si="32"/>
        <v>716998.76667297236</v>
      </c>
      <c r="Q105" s="376">
        <f t="shared" si="32"/>
        <v>724168.75433970219</v>
      </c>
      <c r="R105" s="376">
        <f t="shared" si="32"/>
        <v>731410.44188309915</v>
      </c>
      <c r="S105" s="376">
        <f t="shared" si="32"/>
        <v>738724.5463019301</v>
      </c>
      <c r="T105" s="376">
        <f t="shared" si="32"/>
        <v>746111.79176494956</v>
      </c>
      <c r="U105" s="376">
        <f t="shared" si="32"/>
        <v>753572.9096825989</v>
      </c>
      <c r="V105" s="376">
        <f t="shared" si="32"/>
        <v>761108.63877942495</v>
      </c>
      <c r="W105" s="376">
        <f t="shared" si="32"/>
        <v>768719.72516721918</v>
      </c>
      <c r="X105" s="376">
        <f t="shared" si="32"/>
        <v>776406.92241889145</v>
      </c>
      <c r="Y105" s="376">
        <f t="shared" si="32"/>
        <v>784170.99164308037</v>
      </c>
      <c r="Z105" s="376">
        <f t="shared" si="32"/>
        <v>792012.70155951136</v>
      </c>
      <c r="AA105" s="376">
        <f t="shared" si="32"/>
        <v>799932.82857510634</v>
      </c>
      <c r="AB105" s="376">
        <f t="shared" si="32"/>
        <v>807932.1568608575</v>
      </c>
      <c r="AC105" s="376">
        <f t="shared" si="32"/>
        <v>816011.47842946602</v>
      </c>
      <c r="AD105" s="376">
        <f t="shared" si="32"/>
        <v>824171.59321376076</v>
      </c>
      <c r="AE105" s="376">
        <f t="shared" si="32"/>
        <v>832413.30914589833</v>
      </c>
      <c r="AF105" s="376">
        <f t="shared" si="32"/>
        <v>840737.44223735726</v>
      </c>
      <c r="AG105" s="376">
        <f t="shared" si="32"/>
        <v>849144.81665973098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83600</v>
      </c>
      <c r="D106" s="376">
        <f t="shared" si="33"/>
        <v>85880</v>
      </c>
      <c r="E106" s="376">
        <f t="shared" si="33"/>
        <v>88220</v>
      </c>
      <c r="F106" s="376">
        <f t="shared" si="33"/>
        <v>90640</v>
      </c>
      <c r="G106" s="376">
        <f t="shared" si="33"/>
        <v>93120</v>
      </c>
      <c r="H106" s="376">
        <f t="shared" si="33"/>
        <v>103660</v>
      </c>
      <c r="I106" s="376">
        <f t="shared" si="33"/>
        <v>106540</v>
      </c>
      <c r="J106" s="376">
        <f t="shared" si="33"/>
        <v>109480</v>
      </c>
      <c r="K106" s="376">
        <f t="shared" si="33"/>
        <v>112520</v>
      </c>
      <c r="L106" s="376">
        <f t="shared" si="33"/>
        <v>115640</v>
      </c>
      <c r="M106" s="376">
        <f t="shared" si="33"/>
        <v>118860</v>
      </c>
      <c r="N106" s="376">
        <f t="shared" si="33"/>
        <v>122160</v>
      </c>
      <c r="O106" s="376">
        <f t="shared" si="33"/>
        <v>125580</v>
      </c>
      <c r="P106" s="376">
        <f t="shared" si="33"/>
        <v>129080</v>
      </c>
      <c r="Q106" s="376">
        <f t="shared" si="33"/>
        <v>132680</v>
      </c>
      <c r="R106" s="376">
        <f t="shared" si="33"/>
        <v>136400</v>
      </c>
      <c r="S106" s="376">
        <f t="shared" si="33"/>
        <v>140220</v>
      </c>
      <c r="T106" s="376">
        <f t="shared" si="33"/>
        <v>144160</v>
      </c>
      <c r="U106" s="376">
        <f t="shared" si="33"/>
        <v>148200</v>
      </c>
      <c r="V106" s="376">
        <f t="shared" si="33"/>
        <v>152380</v>
      </c>
      <c r="W106" s="376">
        <f t="shared" si="33"/>
        <v>156660</v>
      </c>
      <c r="X106" s="376">
        <f t="shared" si="33"/>
        <v>161080</v>
      </c>
      <c r="Y106" s="376">
        <f t="shared" si="33"/>
        <v>165640</v>
      </c>
      <c r="Z106" s="376">
        <f t="shared" si="33"/>
        <v>170320</v>
      </c>
      <c r="AA106" s="376">
        <f t="shared" si="33"/>
        <v>175120</v>
      </c>
      <c r="AB106" s="376">
        <f t="shared" si="33"/>
        <v>180080</v>
      </c>
      <c r="AC106" s="376">
        <f t="shared" si="33"/>
        <v>185200</v>
      </c>
      <c r="AD106" s="376">
        <f t="shared" si="33"/>
        <v>190440</v>
      </c>
      <c r="AE106" s="376">
        <f t="shared" si="33"/>
        <v>195860</v>
      </c>
      <c r="AF106" s="376">
        <f t="shared" si="33"/>
        <v>201420</v>
      </c>
      <c r="AG106" s="376">
        <f t="shared" si="33"/>
        <v>207160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10.176801511864598</v>
      </c>
      <c r="D108" s="379">
        <f t="shared" si="34"/>
        <v>10.454350644006361</v>
      </c>
      <c r="E108" s="379">
        <f t="shared" si="34"/>
        <v>10.739203700678168</v>
      </c>
      <c r="F108" s="379">
        <f t="shared" si="34"/>
        <v>11.033795323390038</v>
      </c>
      <c r="G108" s="379">
        <f t="shared" si="34"/>
        <v>11.335690870631955</v>
      </c>
      <c r="H108" s="379">
        <f t="shared" si="34"/>
        <v>12.6187469464101</v>
      </c>
      <c r="I108" s="379">
        <f t="shared" si="34"/>
        <v>12.969335323852324</v>
      </c>
      <c r="J108" s="379">
        <f t="shared" si="34"/>
        <v>13.327227625824595</v>
      </c>
      <c r="K108" s="379">
        <f t="shared" si="34"/>
        <v>13.697293135346946</v>
      </c>
      <c r="L108" s="379">
        <f t="shared" si="34"/>
        <v>14.077097210909356</v>
      </c>
      <c r="M108" s="379">
        <f t="shared" si="34"/>
        <v>14.469074494021843</v>
      </c>
      <c r="N108" s="379">
        <f t="shared" si="34"/>
        <v>14.870790343174395</v>
      </c>
      <c r="O108" s="379">
        <f t="shared" si="34"/>
        <v>15.287114041387037</v>
      </c>
      <c r="P108" s="379">
        <f t="shared" si="34"/>
        <v>15.713176305639742</v>
      </c>
      <c r="Q108" s="379">
        <f t="shared" si="34"/>
        <v>16.151411777442522</v>
      </c>
      <c r="R108" s="379">
        <f t="shared" si="34"/>
        <v>16.604255098305398</v>
      </c>
      <c r="S108" s="379">
        <f t="shared" si="34"/>
        <v>17.069271626718351</v>
      </c>
      <c r="T108" s="379">
        <f t="shared" si="34"/>
        <v>17.548896004191391</v>
      </c>
      <c r="U108" s="379">
        <f t="shared" si="34"/>
        <v>18.040693589214516</v>
      </c>
      <c r="V108" s="379">
        <f t="shared" si="34"/>
        <v>18.549533664807747</v>
      </c>
      <c r="W108" s="379">
        <f t="shared" si="34"/>
        <v>19.070546947951055</v>
      </c>
      <c r="X108" s="379">
        <f t="shared" si="34"/>
        <v>19.608602721664468</v>
      </c>
      <c r="Y108" s="379">
        <f t="shared" si="34"/>
        <v>20.16370098594799</v>
      </c>
      <c r="Z108" s="379">
        <f t="shared" si="34"/>
        <v>20.733407099291608</v>
      </c>
      <c r="AA108" s="379">
        <f t="shared" si="34"/>
        <v>21.317721061695316</v>
      </c>
      <c r="AB108" s="379">
        <f t="shared" si="34"/>
        <v>21.921512156179148</v>
      </c>
      <c r="AC108" s="379">
        <f t="shared" si="34"/>
        <v>22.544780382743106</v>
      </c>
      <c r="AD108" s="379">
        <f t="shared" si="34"/>
        <v>23.182656458367155</v>
      </c>
      <c r="AE108" s="379">
        <f t="shared" si="34"/>
        <v>23.842444307581346</v>
      </c>
      <c r="AF108" s="379">
        <f t="shared" si="34"/>
        <v>24.519274647365641</v>
      </c>
      <c r="AG108" s="379">
        <f t="shared" si="34"/>
        <v>25.218016760740078</v>
      </c>
    </row>
    <row r="109" spans="1:34">
      <c r="A109" s="300" t="s">
        <v>321</v>
      </c>
      <c r="B109" s="300" t="s">
        <v>300</v>
      </c>
      <c r="C109" s="379">
        <f t="shared" si="34"/>
        <v>17.291666666666664</v>
      </c>
      <c r="D109" s="379">
        <f t="shared" si="34"/>
        <v>17.916666666666664</v>
      </c>
      <c r="E109" s="379">
        <f t="shared" si="34"/>
        <v>18.454166666666662</v>
      </c>
      <c r="F109" s="379">
        <f t="shared" si="34"/>
        <v>19.007791666666662</v>
      </c>
      <c r="G109" s="379">
        <f t="shared" si="34"/>
        <v>19.578025416666662</v>
      </c>
      <c r="H109" s="379">
        <f t="shared" si="34"/>
        <v>20.165366179166661</v>
      </c>
      <c r="I109" s="379">
        <f t="shared" si="34"/>
        <v>20.770327164541662</v>
      </c>
      <c r="J109" s="379">
        <f t="shared" si="34"/>
        <v>21.393436979477915</v>
      </c>
      <c r="K109" s="379">
        <f t="shared" si="34"/>
        <v>22.035240088862253</v>
      </c>
      <c r="L109" s="379">
        <f t="shared" si="34"/>
        <v>22.696297291528122</v>
      </c>
      <c r="M109" s="379">
        <f t="shared" si="34"/>
        <v>23.377186210273965</v>
      </c>
      <c r="N109" s="379">
        <f t="shared" si="34"/>
        <v>24.078501796582181</v>
      </c>
      <c r="O109" s="379">
        <f t="shared" si="34"/>
        <v>24.800856850479651</v>
      </c>
      <c r="P109" s="379">
        <f t="shared" si="34"/>
        <v>25.54488255599404</v>
      </c>
      <c r="Q109" s="379">
        <f t="shared" si="34"/>
        <v>26.311229032673861</v>
      </c>
      <c r="R109" s="379">
        <f t="shared" si="34"/>
        <v>27.100565903654079</v>
      </c>
      <c r="S109" s="379">
        <f t="shared" si="34"/>
        <v>27.913582880763698</v>
      </c>
      <c r="T109" s="379">
        <f t="shared" si="34"/>
        <v>28.750990367186613</v>
      </c>
      <c r="U109" s="379">
        <f t="shared" si="34"/>
        <v>29.613520078202214</v>
      </c>
      <c r="V109" s="379">
        <f t="shared" si="34"/>
        <v>30.501925680548279</v>
      </c>
      <c r="W109" s="379">
        <f t="shared" si="34"/>
        <v>31.416983450964729</v>
      </c>
      <c r="X109" s="379">
        <f t="shared" si="34"/>
        <v>32.359492954493668</v>
      </c>
      <c r="Y109" s="379">
        <f t="shared" si="34"/>
        <v>33.330277743128484</v>
      </c>
      <c r="Z109" s="379">
        <f t="shared" si="34"/>
        <v>34.33018607542234</v>
      </c>
      <c r="AA109" s="379">
        <f t="shared" si="34"/>
        <v>35.360091657685011</v>
      </c>
      <c r="AB109" s="379">
        <f t="shared" si="34"/>
        <v>36.42089440741556</v>
      </c>
      <c r="AC109" s="379">
        <f t="shared" si="34"/>
        <v>37.513521239638031</v>
      </c>
      <c r="AD109" s="379">
        <f t="shared" si="34"/>
        <v>38.638926876827171</v>
      </c>
      <c r="AE109" s="379">
        <f t="shared" si="34"/>
        <v>39.798094683131986</v>
      </c>
      <c r="AF109" s="379">
        <f t="shared" si="34"/>
        <v>40.992037523625946</v>
      </c>
      <c r="AG109" s="379">
        <f t="shared" si="34"/>
        <v>42.221798649334723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16.928888888888888</v>
      </c>
      <c r="D110" s="379">
        <f t="shared" si="35"/>
        <v>17.406444444444446</v>
      </c>
      <c r="E110" s="379">
        <f t="shared" si="35"/>
        <v>17.902877777777778</v>
      </c>
      <c r="F110" s="379">
        <f t="shared" si="35"/>
        <v>18.418674111111113</v>
      </c>
      <c r="G110" s="379">
        <f t="shared" si="35"/>
        <v>18.953884532222226</v>
      </c>
      <c r="H110" s="379">
        <f t="shared" si="35"/>
        <v>19.597681960299997</v>
      </c>
      <c r="I110" s="379">
        <f t="shared" si="35"/>
        <v>20.175694905968779</v>
      </c>
      <c r="J110" s="379">
        <f t="shared" si="35"/>
        <v>20.77400791502577</v>
      </c>
      <c r="K110" s="379">
        <f t="shared" si="35"/>
        <v>21.393384252128769</v>
      </c>
      <c r="L110" s="379">
        <f t="shared" si="35"/>
        <v>22.045044158476468</v>
      </c>
      <c r="M110" s="379">
        <f t="shared" si="35"/>
        <v>22.718443128662919</v>
      </c>
      <c r="N110" s="379">
        <f t="shared" si="35"/>
        <v>23.413716874139755</v>
      </c>
      <c r="O110" s="379">
        <f t="shared" si="35"/>
        <v>24.142792974083406</v>
      </c>
      <c r="P110" s="379">
        <f t="shared" si="35"/>
        <v>24.894502547830136</v>
      </c>
      <c r="Q110" s="379">
        <f t="shared" si="35"/>
        <v>25.680580838630132</v>
      </c>
      <c r="R110" s="379">
        <f t="shared" si="35"/>
        <v>26.49055670961766</v>
      </c>
      <c r="S110" s="379">
        <f t="shared" si="35"/>
        <v>27.335753275152442</v>
      </c>
      <c r="T110" s="379">
        <f t="shared" si="35"/>
        <v>28.216844112946788</v>
      </c>
      <c r="U110" s="379">
        <f t="shared" si="35"/>
        <v>29.134076169098563</v>
      </c>
      <c r="V110" s="379">
        <f t="shared" si="35"/>
        <v>30.08838157930164</v>
      </c>
      <c r="W110" s="379">
        <f t="shared" si="35"/>
        <v>31.07982285176945</v>
      </c>
      <c r="X110" s="379">
        <f t="shared" si="35"/>
        <v>32.10937141300672</v>
      </c>
      <c r="Y110" s="379">
        <f t="shared" si="35"/>
        <v>33.17757507316513</v>
      </c>
      <c r="Z110" s="379">
        <f t="shared" si="35"/>
        <v>34.28478107887738</v>
      </c>
      <c r="AA110" s="379">
        <f t="shared" si="35"/>
        <v>35.442692532623745</v>
      </c>
      <c r="AB110" s="379">
        <f t="shared" si="35"/>
        <v>36.641258179959223</v>
      </c>
      <c r="AC110" s="379">
        <f t="shared" si="35"/>
        <v>37.892228899315079</v>
      </c>
      <c r="AD110" s="379">
        <f t="shared" si="35"/>
        <v>39.184714229144525</v>
      </c>
      <c r="AE110" s="379">
        <f t="shared" si="35"/>
        <v>40.531183378350164</v>
      </c>
      <c r="AF110" s="379">
        <f t="shared" si="35"/>
        <v>41.93191072154665</v>
      </c>
      <c r="AG110" s="379">
        <f t="shared" si="35"/>
        <v>43.388088002996064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3.3174603174603177</v>
      </c>
      <c r="D111" s="379">
        <f t="shared" si="36"/>
        <v>3.4079365079365078</v>
      </c>
      <c r="E111" s="379">
        <f t="shared" si="36"/>
        <v>3.5007936507936508</v>
      </c>
      <c r="F111" s="379">
        <f t="shared" si="36"/>
        <v>3.5968253968253969</v>
      </c>
      <c r="G111" s="379">
        <f t="shared" si="36"/>
        <v>3.6952380952380954</v>
      </c>
      <c r="H111" s="379">
        <f t="shared" si="36"/>
        <v>4.1134920634920631</v>
      </c>
      <c r="I111" s="379">
        <f t="shared" si="36"/>
        <v>4.2277777777777779</v>
      </c>
      <c r="J111" s="379">
        <f t="shared" si="36"/>
        <v>4.3444444444444441</v>
      </c>
      <c r="K111" s="379">
        <f t="shared" si="36"/>
        <v>4.4650793650793652</v>
      </c>
      <c r="L111" s="379">
        <f t="shared" si="36"/>
        <v>4.5888888888888886</v>
      </c>
      <c r="M111" s="379">
        <f t="shared" si="36"/>
        <v>4.7166666666666668</v>
      </c>
      <c r="N111" s="379">
        <f t="shared" si="36"/>
        <v>3.8780952380952387</v>
      </c>
      <c r="O111" s="379">
        <f t="shared" si="36"/>
        <v>3.9866666666666672</v>
      </c>
      <c r="P111" s="379">
        <f t="shared" si="36"/>
        <v>4.0977777777777789</v>
      </c>
      <c r="Q111" s="379">
        <f t="shared" si="36"/>
        <v>4.2120634920634927</v>
      </c>
      <c r="R111" s="379">
        <f t="shared" si="36"/>
        <v>4.3301587301587308</v>
      </c>
      <c r="S111" s="379">
        <f t="shared" si="36"/>
        <v>4.451428571428572</v>
      </c>
      <c r="T111" s="379">
        <f t="shared" si="36"/>
        <v>4.5765079365079373</v>
      </c>
      <c r="U111" s="379">
        <f t="shared" si="36"/>
        <v>4.7047619047619058</v>
      </c>
      <c r="V111" s="379">
        <f t="shared" si="36"/>
        <v>4.8374603174603186</v>
      </c>
      <c r="W111" s="379">
        <f t="shared" si="36"/>
        <v>4.9733333333333345</v>
      </c>
      <c r="X111" s="379">
        <f t="shared" si="36"/>
        <v>3.835238095238096</v>
      </c>
      <c r="Y111" s="379">
        <f t="shared" si="36"/>
        <v>3.9438095238095245</v>
      </c>
      <c r="Z111" s="379">
        <f t="shared" si="36"/>
        <v>4.0552380952380958</v>
      </c>
      <c r="AA111" s="379">
        <f t="shared" si="36"/>
        <v>4.1695238095238105</v>
      </c>
      <c r="AB111" s="379">
        <f t="shared" si="36"/>
        <v>4.2876190476190486</v>
      </c>
      <c r="AC111" s="379">
        <f t="shared" si="36"/>
        <v>4.4095238095238098</v>
      </c>
      <c r="AD111" s="379">
        <f t="shared" si="36"/>
        <v>4.5342857142857147</v>
      </c>
      <c r="AE111" s="379">
        <f t="shared" si="36"/>
        <v>4.663333333333334</v>
      </c>
      <c r="AF111" s="379">
        <f t="shared" si="36"/>
        <v>4.7957142857142863</v>
      </c>
      <c r="AG111" s="379">
        <f t="shared" si="36"/>
        <v>4.932380952380953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41.079896749959829</v>
      </c>
      <c r="D112" s="381">
        <f t="shared" ref="D112" si="37">SUM(D108:D110)-D111</f>
        <v>42.369525247180967</v>
      </c>
      <c r="E112" s="381">
        <f t="shared" ref="E112" si="38">SUM(E108:E110)-E111</f>
        <v>43.595454494328955</v>
      </c>
      <c r="F112" s="381">
        <f t="shared" ref="F112:AG112" si="39">SUM(F108:F110)-F111</f>
        <v>44.863435704342422</v>
      </c>
      <c r="G112" s="381">
        <f t="shared" si="39"/>
        <v>46.172362724282749</v>
      </c>
      <c r="H112" s="381">
        <f t="shared" si="39"/>
        <v>48.2683030223847</v>
      </c>
      <c r="I112" s="381">
        <f t="shared" si="39"/>
        <v>49.687579616584998</v>
      </c>
      <c r="J112" s="381">
        <f t="shared" si="39"/>
        <v>51.150228075883838</v>
      </c>
      <c r="K112" s="381">
        <f t="shared" si="39"/>
        <v>52.660838111258599</v>
      </c>
      <c r="L112" s="381">
        <f t="shared" si="39"/>
        <v>54.229549772025052</v>
      </c>
      <c r="M112" s="381">
        <f t="shared" si="39"/>
        <v>55.848037166292059</v>
      </c>
      <c r="N112" s="381">
        <f t="shared" si="39"/>
        <v>58.48491377580109</v>
      </c>
      <c r="O112" s="381">
        <f t="shared" si="39"/>
        <v>60.244097199283431</v>
      </c>
      <c r="P112" s="381">
        <f t="shared" si="39"/>
        <v>62.054783631686135</v>
      </c>
      <c r="Q112" s="381">
        <f t="shared" si="39"/>
        <v>63.931158156683026</v>
      </c>
      <c r="R112" s="381">
        <f t="shared" si="39"/>
        <v>65.865218981418408</v>
      </c>
      <c r="S112" s="381">
        <f t="shared" si="39"/>
        <v>67.867179211205922</v>
      </c>
      <c r="T112" s="381">
        <f t="shared" si="39"/>
        <v>69.940222547816859</v>
      </c>
      <c r="U112" s="381">
        <f t="shared" si="39"/>
        <v>72.08352793175338</v>
      </c>
      <c r="V112" s="381">
        <f t="shared" si="39"/>
        <v>74.30238060719735</v>
      </c>
      <c r="W112" s="381">
        <f t="shared" si="39"/>
        <v>76.594019917351901</v>
      </c>
      <c r="X112" s="381">
        <f t="shared" si="39"/>
        <v>80.242228993926759</v>
      </c>
      <c r="Y112" s="381">
        <f t="shared" si="39"/>
        <v>82.727744278432084</v>
      </c>
      <c r="Z112" s="381">
        <f t="shared" si="39"/>
        <v>85.293136158353221</v>
      </c>
      <c r="AA112" s="381">
        <f t="shared" si="39"/>
        <v>87.95098144248027</v>
      </c>
      <c r="AB112" s="381">
        <f t="shared" si="39"/>
        <v>90.696045695934885</v>
      </c>
      <c r="AC112" s="381">
        <f t="shared" si="39"/>
        <v>93.541006712172404</v>
      </c>
      <c r="AD112" s="381">
        <f t="shared" si="39"/>
        <v>96.472011850053136</v>
      </c>
      <c r="AE112" s="381">
        <f t="shared" si="39"/>
        <v>99.508389035730175</v>
      </c>
      <c r="AF112" s="381">
        <f t="shared" si="39"/>
        <v>102.64750860682396</v>
      </c>
      <c r="AG112" s="381">
        <f t="shared" si="39"/>
        <v>105.8955224606899</v>
      </c>
    </row>
    <row r="113" spans="1:34" s="344" customFormat="1">
      <c r="A113" s="342" t="s">
        <v>327</v>
      </c>
      <c r="B113" s="342"/>
      <c r="H113" s="382">
        <f>H115/H63</f>
        <v>1.267109808894914</v>
      </c>
      <c r="AB113" s="382">
        <f>AB115/AB63</f>
        <v>1.1085822205542306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year'!C119)/1000,0)*1000</f>
        <v>5179000</v>
      </c>
      <c r="D115" s="376">
        <f>ROUND(('Changing with year'!D119)/1000,0)*1000</f>
        <v>5208000</v>
      </c>
      <c r="E115" s="376">
        <f>ROUND(('Changing with year'!E119)/1000,0)*1000</f>
        <v>5244000</v>
      </c>
      <c r="F115" s="376">
        <f>ROUND(('Changing with year'!F119)/1000,0)*1000</f>
        <v>5288000</v>
      </c>
      <c r="G115" s="376">
        <f>ROUND(('Changing with year'!G119)/1000,0)*1000</f>
        <v>5338000</v>
      </c>
      <c r="H115" s="376">
        <f>ROUND(('Changing with year'!H119)/1000,0)*1000</f>
        <v>5795000</v>
      </c>
      <c r="I115" s="376">
        <f>ROUND(('Changing with year'!I119)/1000,0)*1000</f>
        <v>5884000</v>
      </c>
      <c r="J115" s="376">
        <f>ROUND(('Changing with year'!J119)/1000,0)*1000</f>
        <v>5978000</v>
      </c>
      <c r="K115" s="376">
        <f>ROUND(('Changing with year'!K119)/1000,0)*1000</f>
        <v>6079000</v>
      </c>
      <c r="L115" s="376">
        <f>ROUND(('Changing with year'!L119)/1000,0)*1000</f>
        <v>6185000</v>
      </c>
      <c r="M115" s="376">
        <f>ROUND(('Changing with year'!M119)/1000,0)*1000</f>
        <v>6298000</v>
      </c>
      <c r="N115" s="376">
        <f>ROUND(('Changing with year'!N119)/1000,0)*1000</f>
        <v>6417000</v>
      </c>
      <c r="O115" s="376">
        <f>ROUND(('Changing with year'!O119)/1000,0)*1000</f>
        <v>6543000</v>
      </c>
      <c r="P115" s="376">
        <f>ROUND(('Changing with year'!P119)/1000,0)*1000</f>
        <v>6675000</v>
      </c>
      <c r="Q115" s="376">
        <f>ROUND(('Changing with year'!Q119)/1000,0)*1000</f>
        <v>6813000</v>
      </c>
      <c r="R115" s="376">
        <f>ROUND(('Changing with year'!R119)/1000,0)*1000</f>
        <v>6959000</v>
      </c>
      <c r="S115" s="376">
        <f>ROUND(('Changing with year'!S119)/1000,0)*1000</f>
        <v>7151000</v>
      </c>
      <c r="T115" s="376">
        <f>ROUND(('Changing with year'!T119)/1000,0)*1000</f>
        <v>7349000</v>
      </c>
      <c r="U115" s="376">
        <f>ROUND(('Changing with year'!U119)/1000,0)*1000</f>
        <v>7553000</v>
      </c>
      <c r="V115" s="376">
        <f>ROUND(('Changing with year'!V119)/1000,0)*1000</f>
        <v>7763000</v>
      </c>
      <c r="W115" s="376">
        <f>ROUND(('Changing with year'!W119)/1000,0)*1000</f>
        <v>7979000</v>
      </c>
      <c r="X115" s="376">
        <f>ROUND(('Changing with year'!X119)/1000,0)*1000</f>
        <v>8201000</v>
      </c>
      <c r="Y115" s="376">
        <f>ROUND(('Changing with year'!Y119)/1000,0)*1000</f>
        <v>8430000</v>
      </c>
      <c r="Z115" s="376">
        <f>ROUND(('Changing with year'!Z119)/1000,0)*1000</f>
        <v>8666000</v>
      </c>
      <c r="AA115" s="376">
        <f>ROUND(('Changing with year'!AA119)/1000,0)*1000</f>
        <v>8908000</v>
      </c>
      <c r="AB115" s="376">
        <f>ROUND(('Changing with year'!AB119)/1000,0)*1000</f>
        <v>9157000</v>
      </c>
      <c r="AC115" s="376">
        <f>ROUND(('Changing with year'!AC119)/1000,0)*1000</f>
        <v>9414000</v>
      </c>
      <c r="AD115" s="376">
        <f>ROUND(('Changing with year'!AD119)/1000,0)*1000</f>
        <v>9679000</v>
      </c>
      <c r="AE115" s="376">
        <f>ROUND(('Changing with year'!AE119)/1000,0)*1000</f>
        <v>9951000</v>
      </c>
      <c r="AF115" s="376">
        <f>ROUND(('Changing with year'!AF119)/1000,0)*1000</f>
        <v>10231000</v>
      </c>
      <c r="AG115" s="376">
        <f>ROUND(('Changing with year'!AG119)/1000,0)*1000</f>
        <v>10519000</v>
      </c>
    </row>
    <row r="116" spans="1:34">
      <c r="A116" s="368" t="s">
        <v>310</v>
      </c>
      <c r="B116" s="300" t="s">
        <v>309</v>
      </c>
      <c r="C116" s="376">
        <f>(C115*'No change with year'!$AH$17)</f>
        <v>1294750.0000000002</v>
      </c>
      <c r="D116" s="376">
        <f>(D115*'No change with year'!$AH$17)</f>
        <v>1302000.0000000002</v>
      </c>
      <c r="E116" s="376">
        <f>(E115*'No change with year'!$AH$17)</f>
        <v>1311000.0000000002</v>
      </c>
      <c r="F116" s="376">
        <f>(F115*'No change with year'!$AH$17)</f>
        <v>1322000.0000000002</v>
      </c>
      <c r="G116" s="376">
        <f>(G115*'No change with year'!$AH$17)</f>
        <v>1334500.0000000002</v>
      </c>
      <c r="H116" s="376">
        <f>(H115*'No change with year'!$AH$17)</f>
        <v>1448750.0000000002</v>
      </c>
      <c r="I116" s="376">
        <f>(I115*'No change with year'!$AH$17)</f>
        <v>1471000.0000000002</v>
      </c>
      <c r="J116" s="376">
        <f>(J115*'No change with year'!$AH$17)</f>
        <v>1494500.0000000002</v>
      </c>
      <c r="K116" s="376">
        <f>(K115*'No change with year'!$AH$17)</f>
        <v>1519750.0000000002</v>
      </c>
      <c r="L116" s="376">
        <f>(L115*'No change with year'!$AH$17)</f>
        <v>1546250.0000000002</v>
      </c>
      <c r="M116" s="376">
        <f>(M115*'No change with year'!$AH$17)</f>
        <v>1574500.0000000005</v>
      </c>
      <c r="N116" s="376">
        <f>(N115*'No change with year'!$AI$17)</f>
        <v>2245950.0000000005</v>
      </c>
      <c r="O116" s="376">
        <f>(O115*'No change with year'!$AI$17)</f>
        <v>2290050.0000000005</v>
      </c>
      <c r="P116" s="376">
        <f>(P115*'No change with year'!$AI$17)</f>
        <v>2336250.0000000005</v>
      </c>
      <c r="Q116" s="376">
        <f>(Q115*'No change with year'!$AI$17)</f>
        <v>2384550.0000000005</v>
      </c>
      <c r="R116" s="376">
        <f>(R115*'No change with year'!$AI$17)</f>
        <v>2435650.0000000005</v>
      </c>
      <c r="S116" s="376">
        <f>(S115*'No change with year'!$AI$17)</f>
        <v>2502850.0000000005</v>
      </c>
      <c r="T116" s="376">
        <f>(T115*'No change with year'!$AI$17)</f>
        <v>2572150.0000000005</v>
      </c>
      <c r="U116" s="376">
        <f>(U115*'No change with year'!$AI$17)</f>
        <v>2643550.0000000005</v>
      </c>
      <c r="V116" s="376">
        <f>(V115*'No change with year'!$AI$17)</f>
        <v>2717050.0000000005</v>
      </c>
      <c r="W116" s="376">
        <f>(W115*'No change with year'!$AI$17)</f>
        <v>2792650.0000000009</v>
      </c>
      <c r="X116" s="376">
        <f>(X115*'No change with year'!$AJ$17)</f>
        <v>3280400</v>
      </c>
      <c r="Y116" s="376">
        <f>(Y115*'No change with year'!$AJ$17)</f>
        <v>3372000</v>
      </c>
      <c r="Z116" s="376">
        <f>(Z115*'No change with year'!$AJ$17)</f>
        <v>3466400</v>
      </c>
      <c r="AA116" s="376">
        <f>(AA115*'No change with year'!$AJ$17)</f>
        <v>3563200</v>
      </c>
      <c r="AB116" s="376">
        <f>(AB115*'No change with year'!$AJ$17)</f>
        <v>3662800</v>
      </c>
      <c r="AC116" s="376">
        <f>(AC115*'No change with year'!$AJ$17)</f>
        <v>3765600</v>
      </c>
      <c r="AD116" s="376">
        <f>(AD115*'No change with year'!$AJ$17)</f>
        <v>3871600</v>
      </c>
      <c r="AE116" s="376">
        <f>(AE115*'No change with year'!$AJ$17)</f>
        <v>3980400</v>
      </c>
      <c r="AF116" s="376">
        <f>(AF115*'No change with year'!$AJ$17)</f>
        <v>4092400</v>
      </c>
      <c r="AG116" s="376">
        <f>(AG115*'No change with year'!$AJ$17)</f>
        <v>4207600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>-PMT($C$28,$C$27,C115)</f>
        <v>1134810.7542333035</v>
      </c>
      <c r="D118" s="376">
        <f t="shared" ref="D118:AG118" si="41">-PMT($C$28,$C$27,D115)</f>
        <v>1141165.1685744436</v>
      </c>
      <c r="E118" s="376">
        <f t="shared" si="41"/>
        <v>1149053.4070668938</v>
      </c>
      <c r="F118" s="376">
        <f t="shared" si="41"/>
        <v>1158694.5874465548</v>
      </c>
      <c r="G118" s="376">
        <f t="shared" si="41"/>
        <v>1169650.4742416246</v>
      </c>
      <c r="H118" s="376">
        <f t="shared" si="41"/>
        <v>1269787.2795485603</v>
      </c>
      <c r="I118" s="376">
        <f t="shared" si="41"/>
        <v>1289288.7580437839</v>
      </c>
      <c r="J118" s="376">
        <f t="shared" si="41"/>
        <v>1309885.8252185148</v>
      </c>
      <c r="K118" s="376">
        <f t="shared" si="41"/>
        <v>1332016.716544555</v>
      </c>
      <c r="L118" s="376">
        <f t="shared" si="41"/>
        <v>1355243.1965501027</v>
      </c>
      <c r="M118" s="376">
        <f t="shared" si="41"/>
        <v>1380003.5007069597</v>
      </c>
      <c r="N118" s="376">
        <f t="shared" si="41"/>
        <v>1406078.5112792251</v>
      </c>
      <c r="O118" s="376">
        <f t="shared" si="41"/>
        <v>1433687.3460028004</v>
      </c>
      <c r="P118" s="376">
        <f t="shared" si="41"/>
        <v>1462610.887141784</v>
      </c>
      <c r="Q118" s="376">
        <f t="shared" si="41"/>
        <v>1492849.1346961758</v>
      </c>
      <c r="R118" s="376">
        <f t="shared" si="41"/>
        <v>1524840.3241377792</v>
      </c>
      <c r="S118" s="376">
        <f t="shared" si="41"/>
        <v>1566910.9294308461</v>
      </c>
      <c r="T118" s="376">
        <f t="shared" si="41"/>
        <v>1610296.2411393216</v>
      </c>
      <c r="U118" s="376">
        <f t="shared" si="41"/>
        <v>1654996.2592632051</v>
      </c>
      <c r="V118" s="376">
        <f t="shared" si="41"/>
        <v>1701010.9838024972</v>
      </c>
      <c r="W118" s="376">
        <f t="shared" si="41"/>
        <v>1748340.4147571977</v>
      </c>
      <c r="X118" s="376">
        <f t="shared" si="41"/>
        <v>1796984.5521273066</v>
      </c>
      <c r="Y118" s="376">
        <f t="shared" si="41"/>
        <v>1847162.5136487251</v>
      </c>
      <c r="Z118" s="376">
        <f t="shared" si="41"/>
        <v>1898874.2993214533</v>
      </c>
      <c r="AA118" s="376">
        <f t="shared" si="41"/>
        <v>1951900.7914095898</v>
      </c>
      <c r="AB118" s="376">
        <f t="shared" si="41"/>
        <v>2006461.1076490362</v>
      </c>
      <c r="AC118" s="376">
        <f t="shared" si="41"/>
        <v>2062774.3657756939</v>
      </c>
      <c r="AD118" s="376">
        <f t="shared" si="41"/>
        <v>2120840.5657895622</v>
      </c>
      <c r="AE118" s="376">
        <f t="shared" si="41"/>
        <v>2180440.5899547408</v>
      </c>
      <c r="AF118" s="376">
        <f t="shared" si="41"/>
        <v>2241793.5560071301</v>
      </c>
      <c r="AG118" s="376">
        <f t="shared" si="41"/>
        <v>2304899.4639467304</v>
      </c>
    </row>
    <row r="119" spans="1:34">
      <c r="A119" s="300" t="s">
        <v>321</v>
      </c>
      <c r="B119" s="368" t="s">
        <v>313</v>
      </c>
      <c r="C119" s="376">
        <f t="shared" ref="C119:AG119" si="42">$F$38*C50</f>
        <v>4605319.1489361702</v>
      </c>
      <c r="D119" s="376">
        <f t="shared" si="42"/>
        <v>4562553.1914893622</v>
      </c>
      <c r="E119" s="376">
        <f t="shared" si="42"/>
        <v>4524054.2553191492</v>
      </c>
      <c r="F119" s="376">
        <f t="shared" si="42"/>
        <v>4489727.2021276597</v>
      </c>
      <c r="G119" s="376">
        <f t="shared" si="42"/>
        <v>4459481.4775531916</v>
      </c>
      <c r="H119" s="376">
        <f t="shared" si="42"/>
        <v>4433230.9653542563</v>
      </c>
      <c r="I119" s="376">
        <f t="shared" si="42"/>
        <v>4169202.5900998721</v>
      </c>
      <c r="J119" s="376">
        <f t="shared" si="42"/>
        <v>4030244.9511991651</v>
      </c>
      <c r="K119" s="376">
        <f t="shared" si="42"/>
        <v>3895909.1268758471</v>
      </c>
      <c r="L119" s="376">
        <f t="shared" si="42"/>
        <v>3766020.6896057483</v>
      </c>
      <c r="M119" s="376">
        <f t="shared" si="42"/>
        <v>3640412.4473104156</v>
      </c>
      <c r="N119" s="376">
        <f t="shared" si="42"/>
        <v>3518924.1238198616</v>
      </c>
      <c r="O119" s="376">
        <f t="shared" si="42"/>
        <v>3401402.0540145151</v>
      </c>
      <c r="P119" s="376">
        <f t="shared" si="42"/>
        <v>3287698.8929550713</v>
      </c>
      <c r="Q119" s="376">
        <f t="shared" si="42"/>
        <v>3177673.3383419947</v>
      </c>
      <c r="R119" s="376">
        <f t="shared" si="42"/>
        <v>3071189.8656779476</v>
      </c>
      <c r="S119" s="376">
        <f t="shared" si="42"/>
        <v>2835578.3498115069</v>
      </c>
      <c r="T119" s="376">
        <f t="shared" si="42"/>
        <v>2755063.8320396189</v>
      </c>
      <c r="U119" s="376">
        <f t="shared" si="42"/>
        <v>2677414.5667564305</v>
      </c>
      <c r="V119" s="376">
        <f t="shared" si="42"/>
        <v>2602506.7139323102</v>
      </c>
      <c r="W119" s="376">
        <f t="shared" si="42"/>
        <v>2530222.1967773358</v>
      </c>
      <c r="X119" s="376">
        <f t="shared" si="42"/>
        <v>2460448.4249030012</v>
      </c>
      <c r="Y119" s="376">
        <f t="shared" si="42"/>
        <v>2393078.0310015199</v>
      </c>
      <c r="Z119" s="376">
        <f t="shared" si="42"/>
        <v>2328008.6203764183</v>
      </c>
      <c r="AA119" s="376">
        <f t="shared" si="42"/>
        <v>2265142.5326911453</v>
      </c>
      <c r="AB119" s="376">
        <f t="shared" si="42"/>
        <v>2204386.6153338123</v>
      </c>
      <c r="AC119" s="376">
        <f t="shared" si="42"/>
        <v>2130317.286340009</v>
      </c>
      <c r="AD119" s="376">
        <f t="shared" si="42"/>
        <v>2137659.2910000752</v>
      </c>
      <c r="AE119" s="376">
        <f t="shared" si="42"/>
        <v>2147495.5972068203</v>
      </c>
      <c r="AF119" s="376">
        <f t="shared" si="42"/>
        <v>2159786.1300816163</v>
      </c>
      <c r="AG119" s="376">
        <f t="shared" si="42"/>
        <v>2174494.6723916503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360000</v>
      </c>
      <c r="D120" s="376">
        <f t="shared" si="43"/>
        <v>374400</v>
      </c>
      <c r="E120" s="376">
        <f t="shared" si="43"/>
        <v>389376.00000000006</v>
      </c>
      <c r="F120" s="376">
        <f t="shared" si="43"/>
        <v>404951.04000000004</v>
      </c>
      <c r="G120" s="376">
        <f t="shared" si="43"/>
        <v>421149.08160000009</v>
      </c>
      <c r="H120" s="376">
        <f t="shared" si="43"/>
        <v>437995.04486400011</v>
      </c>
      <c r="I120" s="376">
        <f t="shared" si="43"/>
        <v>455514.84665856016</v>
      </c>
      <c r="J120" s="376">
        <f t="shared" si="43"/>
        <v>473735.4405249026</v>
      </c>
      <c r="K120" s="376">
        <f t="shared" si="43"/>
        <v>492684.85814589867</v>
      </c>
      <c r="L120" s="376">
        <f t="shared" si="43"/>
        <v>512392.25247173465</v>
      </c>
      <c r="M120" s="376">
        <f t="shared" si="43"/>
        <v>532887.94257060403</v>
      </c>
      <c r="N120" s="376">
        <f t="shared" si="43"/>
        <v>554203.46027342824</v>
      </c>
      <c r="O120" s="376">
        <f t="shared" si="43"/>
        <v>576371.5986843654</v>
      </c>
      <c r="P120" s="376">
        <f t="shared" si="43"/>
        <v>599426.46263174003</v>
      </c>
      <c r="Q120" s="376">
        <f t="shared" si="43"/>
        <v>623403.52113700961</v>
      </c>
      <c r="R120" s="376">
        <f t="shared" si="43"/>
        <v>648339.66198248998</v>
      </c>
      <c r="S120" s="376">
        <f t="shared" si="43"/>
        <v>674273.24846178968</v>
      </c>
      <c r="T120" s="376">
        <f t="shared" si="43"/>
        <v>701244.17840026133</v>
      </c>
      <c r="U120" s="376">
        <f t="shared" si="43"/>
        <v>729293.94553627179</v>
      </c>
      <c r="V120" s="376">
        <f t="shared" si="43"/>
        <v>758465.70335772261</v>
      </c>
      <c r="W120" s="376">
        <f t="shared" si="43"/>
        <v>788804.33149203146</v>
      </c>
      <c r="X120" s="376">
        <f t="shared" si="43"/>
        <v>820356.50475171278</v>
      </c>
      <c r="Y120" s="376">
        <f t="shared" si="43"/>
        <v>853170.76494178129</v>
      </c>
      <c r="Z120" s="376">
        <f t="shared" si="43"/>
        <v>887297.59553945262</v>
      </c>
      <c r="AA120" s="376">
        <f t="shared" si="43"/>
        <v>922789.49936103087</v>
      </c>
      <c r="AB120" s="376">
        <f t="shared" si="43"/>
        <v>959701.07933547208</v>
      </c>
      <c r="AC120" s="376">
        <f t="shared" si="43"/>
        <v>998089.12250889104</v>
      </c>
      <c r="AD120" s="376">
        <f t="shared" si="43"/>
        <v>1038012.6874092467</v>
      </c>
      <c r="AE120" s="376">
        <f t="shared" si="43"/>
        <v>1079533.1949056166</v>
      </c>
      <c r="AF120" s="376">
        <f t="shared" si="43"/>
        <v>1122714.5227018413</v>
      </c>
      <c r="AG120" s="376">
        <f t="shared" si="43"/>
        <v>1167623.1036099151</v>
      </c>
    </row>
    <row r="121" spans="1:34">
      <c r="A121" s="368" t="s">
        <v>318</v>
      </c>
      <c r="B121" s="368" t="s">
        <v>313</v>
      </c>
      <c r="C121" s="376">
        <f>'Changing with year'!C289</f>
        <v>450000</v>
      </c>
      <c r="D121" s="376">
        <f>'Changing with year'!D289</f>
        <v>470000</v>
      </c>
      <c r="E121" s="376">
        <f>'Changing with year'!E289</f>
        <v>491000</v>
      </c>
      <c r="F121" s="376">
        <f>'Changing with year'!F289</f>
        <v>513000</v>
      </c>
      <c r="G121" s="376">
        <f>'Changing with year'!G289</f>
        <v>536000</v>
      </c>
      <c r="H121" s="376">
        <f>'Changing with year'!H289</f>
        <v>560000</v>
      </c>
      <c r="I121" s="376">
        <f>'Changing with year'!I289</f>
        <v>585000</v>
      </c>
      <c r="J121" s="376">
        <f>'Changing with year'!J289</f>
        <v>611000</v>
      </c>
      <c r="K121" s="376">
        <f>'Changing with year'!K289</f>
        <v>638000</v>
      </c>
      <c r="L121" s="376">
        <f>'Changing with year'!L289</f>
        <v>667000</v>
      </c>
      <c r="M121" s="376">
        <f>'Changing with year'!M289</f>
        <v>697000</v>
      </c>
      <c r="N121" s="376">
        <f>'Changing with year'!N289</f>
        <v>728000</v>
      </c>
      <c r="O121" s="376">
        <f>'Changing with year'!O289</f>
        <v>761000</v>
      </c>
      <c r="P121" s="376">
        <f>'Changing with year'!P289</f>
        <v>795000</v>
      </c>
      <c r="Q121" s="376">
        <f>'Changing with year'!Q289</f>
        <v>831000</v>
      </c>
      <c r="R121" s="376">
        <f>'Changing with year'!R289</f>
        <v>868000</v>
      </c>
      <c r="S121" s="376">
        <f>'Changing with year'!S289</f>
        <v>907000</v>
      </c>
      <c r="T121" s="376">
        <f>'Changing with year'!T289</f>
        <v>948000</v>
      </c>
      <c r="U121" s="376">
        <f>'Changing with year'!U289</f>
        <v>991000</v>
      </c>
      <c r="V121" s="376">
        <f>'Changing with year'!V289</f>
        <v>1036000</v>
      </c>
      <c r="W121" s="376">
        <f>'Changing with year'!W289</f>
        <v>1083000</v>
      </c>
      <c r="X121" s="376">
        <f>'Changing with year'!X289</f>
        <v>1132000</v>
      </c>
      <c r="Y121" s="376">
        <f>'Changing with year'!Y289</f>
        <v>1183000</v>
      </c>
      <c r="Z121" s="376">
        <f>'Changing with year'!Z289</f>
        <v>1236000</v>
      </c>
      <c r="AA121" s="376">
        <f>'Changing with year'!AA289</f>
        <v>1292000</v>
      </c>
      <c r="AB121" s="376">
        <f>'Changing with year'!AB289</f>
        <v>1350000</v>
      </c>
      <c r="AC121" s="376">
        <f>'Changing with year'!AC289</f>
        <v>1411000</v>
      </c>
      <c r="AD121" s="376">
        <f>'Changing with year'!AD289</f>
        <v>1474000</v>
      </c>
      <c r="AE121" s="376">
        <f>'Changing with year'!AE289</f>
        <v>1540000</v>
      </c>
      <c r="AF121" s="376">
        <f>'Changing with year'!AF289</f>
        <v>1609000</v>
      </c>
      <c r="AG121" s="376">
        <f>'Changing with year'!AG289</f>
        <v>1681000</v>
      </c>
      <c r="AH121" s="339"/>
    </row>
    <row r="122" spans="1:34">
      <c r="A122" s="300" t="s">
        <v>272</v>
      </c>
      <c r="B122" s="368" t="s">
        <v>313</v>
      </c>
      <c r="C122" s="376">
        <f>C61</f>
        <v>630000</v>
      </c>
      <c r="D122" s="376">
        <f t="shared" ref="D122:AG122" si="44">D61</f>
        <v>636300</v>
      </c>
      <c r="E122" s="376">
        <f t="shared" si="44"/>
        <v>642663</v>
      </c>
      <c r="F122" s="376">
        <f t="shared" si="44"/>
        <v>649089.63000000012</v>
      </c>
      <c r="G122" s="376">
        <f t="shared" si="44"/>
        <v>655580.52630000003</v>
      </c>
      <c r="H122" s="376">
        <f t="shared" si="44"/>
        <v>662136.33156299999</v>
      </c>
      <c r="I122" s="376">
        <f t="shared" si="44"/>
        <v>668757.69487862999</v>
      </c>
      <c r="J122" s="376">
        <f t="shared" si="44"/>
        <v>675445.27182741638</v>
      </c>
      <c r="K122" s="376">
        <f t="shared" si="44"/>
        <v>682199.72454569046</v>
      </c>
      <c r="L122" s="376">
        <f t="shared" si="44"/>
        <v>689021.72179114749</v>
      </c>
      <c r="M122" s="376">
        <f t="shared" si="44"/>
        <v>695911.93900905887</v>
      </c>
      <c r="N122" s="376">
        <f t="shared" si="44"/>
        <v>702871.05839914945</v>
      </c>
      <c r="O122" s="376">
        <f t="shared" si="44"/>
        <v>709899.76898314094</v>
      </c>
      <c r="P122" s="376">
        <f t="shared" si="44"/>
        <v>716998.76667297236</v>
      </c>
      <c r="Q122" s="376">
        <f t="shared" si="44"/>
        <v>724168.75433970219</v>
      </c>
      <c r="R122" s="376">
        <f t="shared" si="44"/>
        <v>731410.44188309915</v>
      </c>
      <c r="S122" s="376">
        <f t="shared" si="44"/>
        <v>738724.5463019301</v>
      </c>
      <c r="T122" s="376">
        <f t="shared" si="44"/>
        <v>746111.79176494956</v>
      </c>
      <c r="U122" s="376">
        <f t="shared" si="44"/>
        <v>753572.9096825989</v>
      </c>
      <c r="V122" s="376">
        <f t="shared" si="44"/>
        <v>761108.63877942495</v>
      </c>
      <c r="W122" s="376">
        <f t="shared" si="44"/>
        <v>768719.72516721918</v>
      </c>
      <c r="X122" s="376">
        <f t="shared" si="44"/>
        <v>776406.92241889145</v>
      </c>
      <c r="Y122" s="376">
        <f t="shared" si="44"/>
        <v>784170.99164308037</v>
      </c>
      <c r="Z122" s="376">
        <f t="shared" si="44"/>
        <v>792012.70155951136</v>
      </c>
      <c r="AA122" s="376">
        <f t="shared" si="44"/>
        <v>799932.82857510634</v>
      </c>
      <c r="AB122" s="376">
        <f t="shared" si="44"/>
        <v>807932.1568608575</v>
      </c>
      <c r="AC122" s="376">
        <f t="shared" si="44"/>
        <v>816011.47842946602</v>
      </c>
      <c r="AD122" s="376">
        <f t="shared" si="44"/>
        <v>824171.59321376076</v>
      </c>
      <c r="AE122" s="376">
        <f t="shared" si="44"/>
        <v>832413.30914589833</v>
      </c>
      <c r="AF122" s="376">
        <f t="shared" si="44"/>
        <v>840737.44223735726</v>
      </c>
      <c r="AG122" s="376">
        <f t="shared" si="44"/>
        <v>849144.81665973098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103580</v>
      </c>
      <c r="D123" s="376">
        <f t="shared" si="45"/>
        <v>104160</v>
      </c>
      <c r="E123" s="376">
        <f t="shared" si="45"/>
        <v>104880</v>
      </c>
      <c r="F123" s="376">
        <f t="shared" si="45"/>
        <v>105760</v>
      </c>
      <c r="G123" s="376">
        <f t="shared" si="45"/>
        <v>106760</v>
      </c>
      <c r="H123" s="376">
        <f t="shared" si="45"/>
        <v>115900</v>
      </c>
      <c r="I123" s="376">
        <f t="shared" si="45"/>
        <v>117680</v>
      </c>
      <c r="J123" s="376">
        <f t="shared" si="45"/>
        <v>119560</v>
      </c>
      <c r="K123" s="376">
        <f t="shared" si="45"/>
        <v>121580</v>
      </c>
      <c r="L123" s="376">
        <f t="shared" si="45"/>
        <v>123700</v>
      </c>
      <c r="M123" s="376">
        <f t="shared" si="45"/>
        <v>125960</v>
      </c>
      <c r="N123" s="376">
        <f t="shared" si="45"/>
        <v>128340</v>
      </c>
      <c r="O123" s="376">
        <f t="shared" si="45"/>
        <v>130860</v>
      </c>
      <c r="P123" s="376">
        <f t="shared" si="45"/>
        <v>133500</v>
      </c>
      <c r="Q123" s="376">
        <f t="shared" si="45"/>
        <v>136260</v>
      </c>
      <c r="R123" s="376">
        <f t="shared" si="45"/>
        <v>139180</v>
      </c>
      <c r="S123" s="376">
        <f t="shared" si="45"/>
        <v>143020</v>
      </c>
      <c r="T123" s="376">
        <f t="shared" si="45"/>
        <v>146980</v>
      </c>
      <c r="U123" s="376">
        <f t="shared" si="45"/>
        <v>151060</v>
      </c>
      <c r="V123" s="376">
        <f t="shared" si="45"/>
        <v>155260</v>
      </c>
      <c r="W123" s="376">
        <f t="shared" si="45"/>
        <v>159580</v>
      </c>
      <c r="X123" s="376">
        <f t="shared" si="45"/>
        <v>164020</v>
      </c>
      <c r="Y123" s="376">
        <f t="shared" si="45"/>
        <v>168600</v>
      </c>
      <c r="Z123" s="376">
        <f t="shared" si="45"/>
        <v>173320</v>
      </c>
      <c r="AA123" s="376">
        <f t="shared" si="45"/>
        <v>178160</v>
      </c>
      <c r="AB123" s="376">
        <f t="shared" si="45"/>
        <v>183140</v>
      </c>
      <c r="AC123" s="376">
        <f t="shared" si="45"/>
        <v>188280</v>
      </c>
      <c r="AD123" s="376">
        <f t="shared" si="45"/>
        <v>193580</v>
      </c>
      <c r="AE123" s="376">
        <f t="shared" si="45"/>
        <v>199020</v>
      </c>
      <c r="AF123" s="376">
        <f t="shared" si="45"/>
        <v>204620</v>
      </c>
      <c r="AG123" s="376">
        <f t="shared" si="45"/>
        <v>210380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12.609008380370039</v>
      </c>
      <c r="D125" s="379">
        <f t="shared" si="46"/>
        <v>12.679612984160483</v>
      </c>
      <c r="E125" s="379">
        <f t="shared" si="46"/>
        <v>12.767260078521042</v>
      </c>
      <c r="F125" s="379">
        <f t="shared" si="46"/>
        <v>12.874384304961721</v>
      </c>
      <c r="G125" s="379">
        <f t="shared" si="46"/>
        <v>12.996116380462496</v>
      </c>
      <c r="H125" s="379">
        <f t="shared" si="46"/>
        <v>14.108747550539558</v>
      </c>
      <c r="I125" s="379">
        <f t="shared" si="46"/>
        <v>14.325430644930933</v>
      </c>
      <c r="J125" s="379">
        <f t="shared" si="46"/>
        <v>14.554286946872386</v>
      </c>
      <c r="K125" s="379">
        <f t="shared" si="46"/>
        <v>14.800185739383945</v>
      </c>
      <c r="L125" s="379">
        <f t="shared" si="46"/>
        <v>15.058257739445585</v>
      </c>
      <c r="M125" s="379">
        <f t="shared" si="46"/>
        <v>15.33337223007733</v>
      </c>
      <c r="N125" s="379">
        <f t="shared" si="46"/>
        <v>15.623094569769169</v>
      </c>
      <c r="O125" s="379">
        <f t="shared" si="46"/>
        <v>15.929859400031116</v>
      </c>
      <c r="P125" s="379">
        <f t="shared" si="46"/>
        <v>16.251232079353155</v>
      </c>
      <c r="Q125" s="379">
        <f t="shared" si="46"/>
        <v>16.587212607735285</v>
      </c>
      <c r="R125" s="379">
        <f t="shared" si="46"/>
        <v>16.942670268197546</v>
      </c>
      <c r="S125" s="379">
        <f t="shared" si="46"/>
        <v>17.410121438120512</v>
      </c>
      <c r="T125" s="379">
        <f t="shared" si="46"/>
        <v>17.892180457103574</v>
      </c>
      <c r="U125" s="379">
        <f t="shared" si="46"/>
        <v>18.388847325146724</v>
      </c>
      <c r="V125" s="379">
        <f t="shared" si="46"/>
        <v>18.900122042249969</v>
      </c>
      <c r="W125" s="379">
        <f t="shared" si="46"/>
        <v>19.426004608413308</v>
      </c>
      <c r="X125" s="379">
        <f t="shared" si="46"/>
        <v>19.966495023636739</v>
      </c>
      <c r="Y125" s="379">
        <f t="shared" si="46"/>
        <v>20.524027929430279</v>
      </c>
      <c r="Z125" s="379">
        <f t="shared" si="46"/>
        <v>21.098603325793924</v>
      </c>
      <c r="AA125" s="379">
        <f t="shared" si="46"/>
        <v>21.687786571217664</v>
      </c>
      <c r="AB125" s="379">
        <f t="shared" si="46"/>
        <v>22.294012307211514</v>
      </c>
      <c r="AC125" s="379">
        <f t="shared" si="46"/>
        <v>22.919715175285489</v>
      </c>
      <c r="AD125" s="379">
        <f t="shared" si="46"/>
        <v>23.564895175439581</v>
      </c>
      <c r="AE125" s="379">
        <f t="shared" si="46"/>
        <v>24.227117666163789</v>
      </c>
      <c r="AF125" s="379">
        <f t="shared" si="46"/>
        <v>24.908817288968113</v>
      </c>
      <c r="AG125" s="379">
        <f t="shared" si="46"/>
        <v>25.609994043852559</v>
      </c>
    </row>
    <row r="126" spans="1:34">
      <c r="A126" s="300" t="s">
        <v>321</v>
      </c>
      <c r="B126" s="300" t="s">
        <v>300</v>
      </c>
      <c r="C126" s="379">
        <f t="shared" si="46"/>
        <v>51.170212765957444</v>
      </c>
      <c r="D126" s="379">
        <f t="shared" si="46"/>
        <v>50.695035460992912</v>
      </c>
      <c r="E126" s="379">
        <f t="shared" si="46"/>
        <v>50.267269503546103</v>
      </c>
      <c r="F126" s="379">
        <f t="shared" si="46"/>
        <v>49.885857801418439</v>
      </c>
      <c r="G126" s="379">
        <f t="shared" si="46"/>
        <v>49.54979419503546</v>
      </c>
      <c r="H126" s="379">
        <f t="shared" si="46"/>
        <v>49.258121837269513</v>
      </c>
      <c r="I126" s="379">
        <f t="shared" si="46"/>
        <v>46.324473223331914</v>
      </c>
      <c r="J126" s="379">
        <f t="shared" si="46"/>
        <v>44.780499457768499</v>
      </c>
      <c r="K126" s="379">
        <f t="shared" si="46"/>
        <v>43.287879187509411</v>
      </c>
      <c r="L126" s="379">
        <f t="shared" si="46"/>
        <v>41.844674328952756</v>
      </c>
      <c r="M126" s="379">
        <f t="shared" si="46"/>
        <v>40.449027192337951</v>
      </c>
      <c r="N126" s="379">
        <f t="shared" si="46"/>
        <v>39.099156931331798</v>
      </c>
      <c r="O126" s="379">
        <f t="shared" si="46"/>
        <v>37.793356155716836</v>
      </c>
      <c r="P126" s="379">
        <f t="shared" si="46"/>
        <v>36.529987699500793</v>
      </c>
      <c r="Q126" s="379">
        <f t="shared" si="46"/>
        <v>35.307481537133278</v>
      </c>
      <c r="R126" s="379">
        <f t="shared" si="46"/>
        <v>34.124331840866084</v>
      </c>
      <c r="S126" s="379">
        <f t="shared" si="46"/>
        <v>31.506426109016743</v>
      </c>
      <c r="T126" s="379">
        <f t="shared" si="46"/>
        <v>30.611820355995764</v>
      </c>
      <c r="U126" s="379">
        <f t="shared" si="46"/>
        <v>29.749050741738117</v>
      </c>
      <c r="V126" s="379">
        <f t="shared" si="46"/>
        <v>28.91674126591456</v>
      </c>
      <c r="W126" s="379">
        <f t="shared" si="46"/>
        <v>28.113579964192621</v>
      </c>
      <c r="X126" s="379">
        <f t="shared" si="46"/>
        <v>27.338315832255567</v>
      </c>
      <c r="Y126" s="379">
        <f t="shared" si="46"/>
        <v>26.589755900016886</v>
      </c>
      <c r="Z126" s="379">
        <f t="shared" si="46"/>
        <v>25.866762448626872</v>
      </c>
      <c r="AA126" s="379">
        <f t="shared" si="46"/>
        <v>25.168250363234947</v>
      </c>
      <c r="AB126" s="379">
        <f t="shared" si="46"/>
        <v>24.493184614820137</v>
      </c>
      <c r="AC126" s="379">
        <f t="shared" si="46"/>
        <v>23.670192070444543</v>
      </c>
      <c r="AD126" s="379">
        <f t="shared" si="46"/>
        <v>23.751769900000834</v>
      </c>
      <c r="AE126" s="379">
        <f t="shared" si="46"/>
        <v>23.861062191186893</v>
      </c>
      <c r="AF126" s="379">
        <f t="shared" si="46"/>
        <v>23.997623667573514</v>
      </c>
      <c r="AG126" s="379">
        <f t="shared" si="46"/>
        <v>24.161051915462782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17.15088888888889</v>
      </c>
      <c r="D127" s="379">
        <f t="shared" si="47"/>
        <v>17.609555555555556</v>
      </c>
      <c r="E127" s="379">
        <f t="shared" si="47"/>
        <v>18.087988888888887</v>
      </c>
      <c r="F127" s="379">
        <f t="shared" si="47"/>
        <v>18.586674111111112</v>
      </c>
      <c r="G127" s="379">
        <f t="shared" si="47"/>
        <v>19.105440087777779</v>
      </c>
      <c r="H127" s="379">
        <f t="shared" si="47"/>
        <v>19.7336819603</v>
      </c>
      <c r="I127" s="379">
        <f t="shared" si="47"/>
        <v>20.299472683746558</v>
      </c>
      <c r="J127" s="379">
        <f t="shared" si="47"/>
        <v>20.886007915025768</v>
      </c>
      <c r="K127" s="379">
        <f t="shared" si="47"/>
        <v>21.494050918795434</v>
      </c>
      <c r="L127" s="379">
        <f t="shared" si="47"/>
        <v>22.134599714032024</v>
      </c>
      <c r="M127" s="379">
        <f t="shared" si="47"/>
        <v>22.797332017551806</v>
      </c>
      <c r="N127" s="379">
        <f t="shared" si="47"/>
        <v>23.482383540806424</v>
      </c>
      <c r="O127" s="379">
        <f t="shared" si="47"/>
        <v>24.201459640750073</v>
      </c>
      <c r="P127" s="379">
        <f t="shared" si="47"/>
        <v>24.943613658941249</v>
      </c>
      <c r="Q127" s="379">
        <f t="shared" si="47"/>
        <v>25.720358616407911</v>
      </c>
      <c r="R127" s="379">
        <f t="shared" si="47"/>
        <v>26.521445598506546</v>
      </c>
      <c r="S127" s="379">
        <f t="shared" si="47"/>
        <v>27.366864386263551</v>
      </c>
      <c r="T127" s="379">
        <f t="shared" si="47"/>
        <v>28.248177446280121</v>
      </c>
      <c r="U127" s="379">
        <f t="shared" si="47"/>
        <v>29.165853946876339</v>
      </c>
      <c r="V127" s="379">
        <f t="shared" si="47"/>
        <v>30.12038157930164</v>
      </c>
      <c r="W127" s="379">
        <f t="shared" si="47"/>
        <v>31.112267296213894</v>
      </c>
      <c r="X127" s="379">
        <f t="shared" si="47"/>
        <v>32.142038079673384</v>
      </c>
      <c r="Y127" s="379">
        <f t="shared" si="47"/>
        <v>33.210463962054021</v>
      </c>
      <c r="Z127" s="379">
        <f t="shared" si="47"/>
        <v>34.318114412210711</v>
      </c>
      <c r="AA127" s="379">
        <f t="shared" si="47"/>
        <v>35.476470310401524</v>
      </c>
      <c r="AB127" s="379">
        <f t="shared" si="47"/>
        <v>36.675258179959222</v>
      </c>
      <c r="AC127" s="379">
        <f t="shared" si="47"/>
        <v>37.926451121537298</v>
      </c>
      <c r="AD127" s="379">
        <f t="shared" si="47"/>
        <v>39.219603118033419</v>
      </c>
      <c r="AE127" s="379">
        <f t="shared" si="47"/>
        <v>40.566294489461278</v>
      </c>
      <c r="AF127" s="379">
        <f t="shared" si="47"/>
        <v>41.967466277102204</v>
      </c>
      <c r="AG127" s="379">
        <f t="shared" si="47"/>
        <v>43.423865780773845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2.0551587301587304</v>
      </c>
      <c r="D128" s="379">
        <f t="shared" si="48"/>
        <v>2.0666666666666669</v>
      </c>
      <c r="E128" s="379">
        <f t="shared" si="48"/>
        <v>2.0809523809523811</v>
      </c>
      <c r="F128" s="379">
        <f t="shared" si="48"/>
        <v>2.098412698412699</v>
      </c>
      <c r="G128" s="379">
        <f t="shared" si="48"/>
        <v>2.1182539682539687</v>
      </c>
      <c r="H128" s="379">
        <f t="shared" si="48"/>
        <v>2.2996031746031749</v>
      </c>
      <c r="I128" s="379">
        <f t="shared" si="48"/>
        <v>2.3349206349206355</v>
      </c>
      <c r="J128" s="379">
        <f t="shared" si="48"/>
        <v>2.3722222222222227</v>
      </c>
      <c r="K128" s="379">
        <f t="shared" si="48"/>
        <v>2.4123015873015876</v>
      </c>
      <c r="L128" s="379">
        <f t="shared" si="48"/>
        <v>2.4543650793650795</v>
      </c>
      <c r="M128" s="379">
        <f t="shared" si="48"/>
        <v>2.4992063492063501</v>
      </c>
      <c r="N128" s="379">
        <f t="shared" si="48"/>
        <v>3.5650000000000008</v>
      </c>
      <c r="O128" s="379">
        <f t="shared" si="48"/>
        <v>3.6350000000000007</v>
      </c>
      <c r="P128" s="379">
        <f t="shared" si="48"/>
        <v>3.7083333333333339</v>
      </c>
      <c r="Q128" s="379">
        <f t="shared" si="48"/>
        <v>3.7850000000000006</v>
      </c>
      <c r="R128" s="379">
        <f t="shared" si="48"/>
        <v>3.8661111111111119</v>
      </c>
      <c r="S128" s="379">
        <f t="shared" si="48"/>
        <v>3.9727777777777784</v>
      </c>
      <c r="T128" s="379">
        <f t="shared" si="48"/>
        <v>4.0827777777777783</v>
      </c>
      <c r="U128" s="379">
        <f t="shared" si="48"/>
        <v>4.1961111111111116</v>
      </c>
      <c r="V128" s="379">
        <f t="shared" si="48"/>
        <v>4.3127777777777787</v>
      </c>
      <c r="W128" s="379">
        <f t="shared" si="48"/>
        <v>4.4327777777777788</v>
      </c>
      <c r="X128" s="379">
        <f t="shared" si="48"/>
        <v>5.2069841269841266</v>
      </c>
      <c r="Y128" s="379">
        <f t="shared" si="48"/>
        <v>5.352380952380952</v>
      </c>
      <c r="Z128" s="379">
        <f t="shared" si="48"/>
        <v>5.5022222222222226</v>
      </c>
      <c r="AA128" s="379">
        <f t="shared" si="48"/>
        <v>5.6558730158730155</v>
      </c>
      <c r="AB128" s="379">
        <f t="shared" si="48"/>
        <v>5.8139682539682536</v>
      </c>
      <c r="AC128" s="379">
        <f t="shared" si="48"/>
        <v>5.9771428571428569</v>
      </c>
      <c r="AD128" s="379">
        <f t="shared" si="48"/>
        <v>6.1453968253968254</v>
      </c>
      <c r="AE128" s="379">
        <f t="shared" si="48"/>
        <v>6.3180952380952382</v>
      </c>
      <c r="AF128" s="379">
        <f t="shared" si="48"/>
        <v>6.4958730158730162</v>
      </c>
      <c r="AG128" s="379">
        <f t="shared" si="48"/>
        <v>6.6787301587301586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78.874951305057635</v>
      </c>
      <c r="D129" s="384">
        <f t="shared" ref="D129:AG129" si="49">SUM(D125:D127)-D128</f>
        <v>78.917537334042294</v>
      </c>
      <c r="E129" s="384">
        <f t="shared" si="49"/>
        <v>79.041566090003656</v>
      </c>
      <c r="F129" s="384">
        <f t="shared" si="49"/>
        <v>79.248503519078568</v>
      </c>
      <c r="G129" s="384">
        <f t="shared" si="49"/>
        <v>79.533096695021769</v>
      </c>
      <c r="H129" s="384">
        <f t="shared" si="49"/>
        <v>80.800948173505901</v>
      </c>
      <c r="I129" s="384">
        <f t="shared" si="49"/>
        <v>78.614455917088762</v>
      </c>
      <c r="J129" s="384">
        <f t="shared" si="49"/>
        <v>77.848572097444432</v>
      </c>
      <c r="K129" s="384">
        <f t="shared" si="49"/>
        <v>77.169814258387206</v>
      </c>
      <c r="L129" s="384">
        <f t="shared" si="49"/>
        <v>76.583166703065288</v>
      </c>
      <c r="M129" s="384">
        <f t="shared" si="49"/>
        <v>76.080525090760744</v>
      </c>
      <c r="N129" s="384">
        <f t="shared" si="49"/>
        <v>74.639635041907397</v>
      </c>
      <c r="O129" s="384">
        <f t="shared" si="49"/>
        <v>74.289675196498024</v>
      </c>
      <c r="P129" s="384">
        <f t="shared" si="49"/>
        <v>74.016500104461869</v>
      </c>
      <c r="Q129" s="384">
        <f t="shared" si="49"/>
        <v>73.830052761276477</v>
      </c>
      <c r="R129" s="384">
        <f t="shared" si="49"/>
        <v>73.722336596459058</v>
      </c>
      <c r="S129" s="384">
        <f t="shared" si="49"/>
        <v>72.310634155623021</v>
      </c>
      <c r="T129" s="384">
        <f t="shared" si="49"/>
        <v>72.669400481601684</v>
      </c>
      <c r="U129" s="384">
        <f t="shared" si="49"/>
        <v>73.107640902650076</v>
      </c>
      <c r="V129" s="384">
        <f t="shared" si="49"/>
        <v>73.624467109688382</v>
      </c>
      <c r="W129" s="384">
        <f t="shared" si="49"/>
        <v>74.219074091042046</v>
      </c>
      <c r="X129" s="384">
        <f t="shared" si="49"/>
        <v>74.239864808581572</v>
      </c>
      <c r="Y129" s="384">
        <f t="shared" si="49"/>
        <v>74.971866839120239</v>
      </c>
      <c r="Z129" s="384">
        <f t="shared" si="49"/>
        <v>75.781257964409292</v>
      </c>
      <c r="AA129" s="384">
        <f t="shared" si="49"/>
        <v>76.676634228981115</v>
      </c>
      <c r="AB129" s="384">
        <f t="shared" si="49"/>
        <v>77.648486848022628</v>
      </c>
      <c r="AC129" s="384">
        <f t="shared" si="49"/>
        <v>78.539215510124478</v>
      </c>
      <c r="AD129" s="384">
        <f t="shared" si="49"/>
        <v>80.390871368077001</v>
      </c>
      <c r="AE129" s="384">
        <f t="shared" si="49"/>
        <v>82.336379108716713</v>
      </c>
      <c r="AF129" s="384">
        <f t="shared" si="49"/>
        <v>84.378034217770818</v>
      </c>
      <c r="AG129" s="384">
        <f t="shared" si="49"/>
        <v>86.516181581359035</v>
      </c>
    </row>
    <row r="130" spans="1:34" s="344" customFormat="1">
      <c r="A130" s="342" t="s">
        <v>182</v>
      </c>
      <c r="B130" s="342"/>
      <c r="H130" s="385">
        <f>H132/H63</f>
        <v>1.8137490707132549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year'!C131)/1000,0)*1000</f>
        <v>8763000</v>
      </c>
      <c r="D132" s="376">
        <f>ROUND(('Changing with year'!D131)/1000,0)*1000</f>
        <v>8718000</v>
      </c>
      <c r="E132" s="376">
        <f>ROUND(('Changing with year'!E131)/1000,0)*1000</f>
        <v>8680000</v>
      </c>
      <c r="F132" s="376">
        <f>ROUND(('Changing with year'!F131)/1000,0)*1000</f>
        <v>8470000</v>
      </c>
      <c r="G132" s="376">
        <f>ROUND(('Changing with year'!G131)/1000,0)*1000</f>
        <v>8275000</v>
      </c>
      <c r="H132" s="376">
        <f>ROUND(('Changing with year'!H131)/1000,0)*1000</f>
        <v>8295000</v>
      </c>
      <c r="I132" s="376">
        <f>ROUND(('Changing with year'!I131)/1000,0)*1000</f>
        <v>8150000</v>
      </c>
      <c r="J132" s="376">
        <f>ROUND(('Changing with year'!J131)/1000,0)*1000</f>
        <v>8190000</v>
      </c>
      <c r="K132" s="376">
        <f>ROUND(('Changing with year'!K131)/1000,0)*1000</f>
        <v>8235000</v>
      </c>
      <c r="L132" s="376">
        <f>ROUND(('Changing with year'!L131)/1000,0)*1000</f>
        <v>8286000</v>
      </c>
      <c r="M132" s="376">
        <f>ROUND(('Changing with year'!M131)/1000,0)*1000</f>
        <v>8343000</v>
      </c>
      <c r="N132" s="376">
        <f>ROUND(('Changing with year'!N131)/1000,0)*1000</f>
        <v>8407000</v>
      </c>
      <c r="O132" s="376">
        <f>ROUND(('Changing with year'!O131)/1000,0)*1000</f>
        <v>8476000</v>
      </c>
      <c r="P132" s="376">
        <f>ROUND(('Changing with year'!P131)/1000,0)*1000</f>
        <v>8552000</v>
      </c>
      <c r="Q132" s="376">
        <f>ROUND(('Changing with year'!Q131)/1000,0)*1000</f>
        <v>8635000</v>
      </c>
      <c r="R132" s="376">
        <f>ROUND(('Changing with year'!R131)/1000,0)*1000</f>
        <v>8724000</v>
      </c>
      <c r="S132" s="376">
        <f>ROUND(('Changing with year'!S131)/1000,0)*1000</f>
        <v>8740000</v>
      </c>
      <c r="T132" s="376">
        <f>ROUND(('Changing with year'!T131)/1000,0)*1000</f>
        <v>8903000</v>
      </c>
      <c r="U132" s="376">
        <f>ROUND(('Changing with year'!U131)/1000,0)*1000</f>
        <v>9072000</v>
      </c>
      <c r="V132" s="376">
        <f>ROUND(('Changing with year'!V131)/1000,0)*1000</f>
        <v>9247000</v>
      </c>
      <c r="W132" s="376">
        <f>ROUND(('Changing with year'!W131)/1000,0)*1000</f>
        <v>9427000</v>
      </c>
      <c r="X132" s="376">
        <f>ROUND(('Changing with year'!X131)/1000,0)*1000</f>
        <v>9614000</v>
      </c>
      <c r="Y132" s="376">
        <f>ROUND(('Changing with year'!Y131)/1000,0)*1000</f>
        <v>9807000</v>
      </c>
      <c r="Z132" s="376">
        <f>ROUND(('Changing with year'!Z131)/1000,0)*1000</f>
        <v>10007000</v>
      </c>
      <c r="AA132" s="376">
        <f>ROUND(('Changing with year'!AA131)/1000,0)*1000</f>
        <v>10214000</v>
      </c>
      <c r="AB132" s="376">
        <f>ROUND(('Changing with year'!AB131)/1000,0)*1000</f>
        <v>10427000</v>
      </c>
      <c r="AC132" s="376">
        <f>ROUND(('Changing with year'!AC131)/1000,0)*1000</f>
        <v>10688000</v>
      </c>
      <c r="AD132" s="376">
        <f>ROUND(('Changing with year'!AD131)/1000,0)*1000</f>
        <v>10956000</v>
      </c>
      <c r="AE132" s="376">
        <f>ROUND(('Changing with year'!AE131)/1000,0)*1000</f>
        <v>11232000</v>
      </c>
      <c r="AF132" s="376">
        <f>ROUND(('Changing with year'!AF131)/1000,0)*1000</f>
        <v>11516000</v>
      </c>
      <c r="AG132" s="376">
        <f>ROUND(('Changing with year'!AG131)/1000,0)*1000</f>
        <v>11807000</v>
      </c>
    </row>
    <row r="133" spans="1:34">
      <c r="A133" s="368" t="s">
        <v>310</v>
      </c>
      <c r="B133" s="300" t="s">
        <v>309</v>
      </c>
      <c r="C133" s="376">
        <f>(C132*'No change with year'!$AK$17)</f>
        <v>1752600.0000000007</v>
      </c>
      <c r="D133" s="376">
        <f>(D132*'No change with year'!$AK$17)</f>
        <v>1743600.0000000005</v>
      </c>
      <c r="E133" s="376">
        <f>(E132*'No change with year'!$AK$17)</f>
        <v>1736000.0000000005</v>
      </c>
      <c r="F133" s="376">
        <f>(F132*'No change with year'!$AK$17)</f>
        <v>1694000.0000000005</v>
      </c>
      <c r="G133" s="376">
        <f>(G132*'No change with year'!$AK$17)</f>
        <v>1655000.0000000005</v>
      </c>
      <c r="H133" s="376">
        <f>(H132*'No change with year'!$AK$17)</f>
        <v>1659000.0000000005</v>
      </c>
      <c r="I133" s="376">
        <f>(I132*'No change with year'!$AK$17)</f>
        <v>1630000.0000000005</v>
      </c>
      <c r="J133" s="376">
        <f>(J132*'No change with year'!$AK$17)</f>
        <v>1638000.0000000005</v>
      </c>
      <c r="K133" s="376">
        <f>(K132*'No change with year'!$AK$17)</f>
        <v>1647000.0000000005</v>
      </c>
      <c r="L133" s="376">
        <f>(L132*'No change with year'!$AK$17)</f>
        <v>1657200.0000000005</v>
      </c>
      <c r="M133" s="376">
        <f>(M132*'No change with year'!$AK$17)</f>
        <v>1668600.0000000005</v>
      </c>
      <c r="N133" s="376">
        <f>(N132*'No change with year'!$AL$17)</f>
        <v>2522100.0000000005</v>
      </c>
      <c r="O133" s="376">
        <f>(O132*'No change with year'!$AL$17)</f>
        <v>2542800.0000000005</v>
      </c>
      <c r="P133" s="376">
        <f>(P132*'No change with year'!$AL$17)</f>
        <v>2565600.0000000005</v>
      </c>
      <c r="Q133" s="376">
        <f>(Q132*'No change with year'!$AL$17)</f>
        <v>2590500.0000000005</v>
      </c>
      <c r="R133" s="376">
        <f>(R132*'No change with year'!$AL$17)</f>
        <v>2617200.0000000005</v>
      </c>
      <c r="S133" s="376">
        <f>(S132*'No change with year'!$AL$17)</f>
        <v>2622000.0000000005</v>
      </c>
      <c r="T133" s="376">
        <f>(T132*'No change with year'!$AL$17)</f>
        <v>2670900.0000000005</v>
      </c>
      <c r="U133" s="376">
        <f>(U132*'No change with year'!$AL$17)</f>
        <v>2721600.0000000005</v>
      </c>
      <c r="V133" s="376">
        <f>(V132*'No change with year'!$AL$17)</f>
        <v>2774100.0000000005</v>
      </c>
      <c r="W133" s="376">
        <f>(W132*'No change with year'!$AL$17)</f>
        <v>2828100.0000000005</v>
      </c>
      <c r="X133" s="376">
        <f>(X132*'No change with year'!$AM$17)</f>
        <v>3845600</v>
      </c>
      <c r="Y133" s="376">
        <f>(Y132*'No change with year'!$AM$17)</f>
        <v>3922800</v>
      </c>
      <c r="Z133" s="376">
        <f>(Z132*'No change with year'!$AM$17)</f>
        <v>4002800</v>
      </c>
      <c r="AA133" s="376">
        <f>(AA132*'No change with year'!$AM$17)</f>
        <v>4085600</v>
      </c>
      <c r="AB133" s="376">
        <f>(AB132*'No change with year'!$AM$17)</f>
        <v>4170800</v>
      </c>
      <c r="AC133" s="376">
        <f>(AC132*'No change with year'!$AM$17)</f>
        <v>4275200</v>
      </c>
      <c r="AD133" s="376">
        <f>(AD132*'No change with year'!$AM$17)</f>
        <v>4382400</v>
      </c>
      <c r="AE133" s="376">
        <f>(AE132*'No change with year'!$AM$17)</f>
        <v>4492800</v>
      </c>
      <c r="AF133" s="376">
        <f>(AF132*'No change with year'!$AM$17)</f>
        <v>4606400</v>
      </c>
      <c r="AG133" s="376">
        <f>(AG132*'No change with year'!$AM$17)</f>
        <v>4722800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1920128.7197038883</v>
      </c>
      <c r="D135" s="376">
        <f t="shared" ref="D135:AG135" si="51">-PMT($C$28,$C$27,D132)</f>
        <v>1910268.4215883256</v>
      </c>
      <c r="E135" s="376">
        <f t="shared" si="51"/>
        <v>1901941.9476240729</v>
      </c>
      <c r="F135" s="376">
        <f t="shared" si="51"/>
        <v>1855927.2230847806</v>
      </c>
      <c r="G135" s="376">
        <f t="shared" si="51"/>
        <v>1813199.2645840095</v>
      </c>
      <c r="H135" s="376">
        <f t="shared" si="51"/>
        <v>1817581.6193020374</v>
      </c>
      <c r="I135" s="376">
        <f t="shared" si="51"/>
        <v>1785809.5475963356</v>
      </c>
      <c r="J135" s="376">
        <f t="shared" si="51"/>
        <v>1794574.2570323911</v>
      </c>
      <c r="K135" s="376">
        <f t="shared" si="51"/>
        <v>1804434.555147954</v>
      </c>
      <c r="L135" s="376">
        <f t="shared" si="51"/>
        <v>1815609.5596789247</v>
      </c>
      <c r="M135" s="376">
        <f t="shared" si="51"/>
        <v>1828099.270625304</v>
      </c>
      <c r="N135" s="376">
        <f t="shared" si="51"/>
        <v>1842122.8057229931</v>
      </c>
      <c r="O135" s="376">
        <f t="shared" si="51"/>
        <v>1857241.9295001891</v>
      </c>
      <c r="P135" s="376">
        <f t="shared" si="51"/>
        <v>1873894.8774286949</v>
      </c>
      <c r="Q135" s="376">
        <f t="shared" si="51"/>
        <v>1892081.6495085103</v>
      </c>
      <c r="R135" s="376">
        <f t="shared" si="51"/>
        <v>1911583.1280037342</v>
      </c>
      <c r="S135" s="376">
        <f t="shared" si="51"/>
        <v>1915089.0117781563</v>
      </c>
      <c r="T135" s="376">
        <f t="shared" si="51"/>
        <v>1950805.2027300829</v>
      </c>
      <c r="U135" s="376">
        <f t="shared" si="51"/>
        <v>1987836.1000974181</v>
      </c>
      <c r="V135" s="376">
        <f t="shared" si="51"/>
        <v>2026181.7038801613</v>
      </c>
      <c r="W135" s="376">
        <f t="shared" si="51"/>
        <v>2065622.8963424116</v>
      </c>
      <c r="X135" s="376">
        <f t="shared" si="51"/>
        <v>2106597.9129559719</v>
      </c>
      <c r="Y135" s="376">
        <f t="shared" si="51"/>
        <v>2148887.6359849405</v>
      </c>
      <c r="Z135" s="376">
        <f t="shared" si="51"/>
        <v>2192711.1831652187</v>
      </c>
      <c r="AA135" s="376">
        <f t="shared" si="51"/>
        <v>2238068.5544968066</v>
      </c>
      <c r="AB135" s="376">
        <f t="shared" si="51"/>
        <v>2284740.6322438028</v>
      </c>
      <c r="AC135" s="376">
        <f t="shared" si="51"/>
        <v>2341930.3613140658</v>
      </c>
      <c r="AD135" s="376">
        <f t="shared" si="51"/>
        <v>2400653.9145356384</v>
      </c>
      <c r="AE135" s="376">
        <f t="shared" si="51"/>
        <v>2461130.4096444226</v>
      </c>
      <c r="AF135" s="376">
        <f t="shared" si="51"/>
        <v>2523359.8466404174</v>
      </c>
      <c r="AG135" s="376">
        <f t="shared" si="51"/>
        <v>2587123.1077877218</v>
      </c>
    </row>
    <row r="136" spans="1:34">
      <c r="A136" s="300" t="s">
        <v>330</v>
      </c>
      <c r="B136" s="300" t="s">
        <v>313</v>
      </c>
      <c r="C136" s="376">
        <f t="shared" ref="C136:AG136" si="52">$G$38*C51</f>
        <v>1127370.6165768194</v>
      </c>
      <c r="D136" s="376">
        <f t="shared" si="52"/>
        <v>1141545.6165768194</v>
      </c>
      <c r="E136" s="376">
        <f t="shared" si="52"/>
        <v>1147523.3749372473</v>
      </c>
      <c r="F136" s="376">
        <f t="shared" si="52"/>
        <v>1147069.5220052099</v>
      </c>
      <c r="G136" s="376">
        <f t="shared" si="52"/>
        <v>1136754.3123553344</v>
      </c>
      <c r="H136" s="376">
        <f t="shared" si="52"/>
        <v>1145122.3681500603</v>
      </c>
      <c r="I136" s="376">
        <f t="shared" si="52"/>
        <v>993463.45715654653</v>
      </c>
      <c r="J136" s="376">
        <f t="shared" si="52"/>
        <v>968754.39380238752</v>
      </c>
      <c r="K136" s="376">
        <f t="shared" si="52"/>
        <v>927286.52491532278</v>
      </c>
      <c r="L136" s="376">
        <f t="shared" si="52"/>
        <v>892316.34671135352</v>
      </c>
      <c r="M136" s="376">
        <f t="shared" si="52"/>
        <v>864742.78172863415</v>
      </c>
      <c r="N136" s="376">
        <f t="shared" si="52"/>
        <v>855233.20054107311</v>
      </c>
      <c r="O136" s="376">
        <f t="shared" si="52"/>
        <v>846315.22530269786</v>
      </c>
      <c r="P136" s="376">
        <f t="shared" si="52"/>
        <v>834930.26626821165</v>
      </c>
      <c r="Q136" s="376">
        <f t="shared" si="52"/>
        <v>827146.24142326391</v>
      </c>
      <c r="R136" s="376">
        <f t="shared" si="52"/>
        <v>823722.48373285995</v>
      </c>
      <c r="S136" s="376">
        <f t="shared" si="52"/>
        <v>824151.00401720277</v>
      </c>
      <c r="T136" s="376">
        <f t="shared" si="52"/>
        <v>828374.57972342381</v>
      </c>
      <c r="U136" s="376">
        <f t="shared" si="52"/>
        <v>829861.60202421749</v>
      </c>
      <c r="V136" s="376">
        <f t="shared" si="52"/>
        <v>831929.85657193069</v>
      </c>
      <c r="W136" s="376">
        <f t="shared" si="52"/>
        <v>834678.66934091342</v>
      </c>
      <c r="X136" s="376">
        <f t="shared" si="52"/>
        <v>838085.28438195249</v>
      </c>
      <c r="Y136" s="376">
        <f t="shared" si="52"/>
        <v>842122.32654110878</v>
      </c>
      <c r="Z136" s="376">
        <f t="shared" si="52"/>
        <v>846897.18018906354</v>
      </c>
      <c r="AA136" s="376">
        <f t="shared" si="52"/>
        <v>852528.3145854224</v>
      </c>
      <c r="AB136" s="376">
        <f t="shared" si="52"/>
        <v>858923.19839897181</v>
      </c>
      <c r="AC136" s="376">
        <f t="shared" si="52"/>
        <v>881874.75098826329</v>
      </c>
      <c r="AD136" s="376">
        <f t="shared" si="52"/>
        <v>910040.53347797098</v>
      </c>
      <c r="AE136" s="376">
        <f t="shared" si="52"/>
        <v>939238.65591715917</v>
      </c>
      <c r="AF136" s="376">
        <f t="shared" si="52"/>
        <v>969855.02936476248</v>
      </c>
      <c r="AG136" s="376">
        <f t="shared" si="52"/>
        <v>1002061.1786069935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580946.99181242695</v>
      </c>
      <c r="D137" s="376">
        <f t="shared" si="53"/>
        <v>582218.31701711623</v>
      </c>
      <c r="E137" s="376">
        <f t="shared" si="53"/>
        <v>584089.65909168834</v>
      </c>
      <c r="F137" s="376">
        <f t="shared" si="53"/>
        <v>586571.28961439617</v>
      </c>
      <c r="G137" s="376">
        <f t="shared" si="53"/>
        <v>589674.23425403622</v>
      </c>
      <c r="H137" s="376">
        <f t="shared" si="53"/>
        <v>593410.29435288534</v>
      </c>
      <c r="I137" s="376">
        <f t="shared" si="53"/>
        <v>599280.88778281957</v>
      </c>
      <c r="J137" s="376">
        <f t="shared" si="53"/>
        <v>605743.62131683493</v>
      </c>
      <c r="K137" s="376">
        <f t="shared" si="53"/>
        <v>612815.03423175693</v>
      </c>
      <c r="L137" s="376">
        <f t="shared" si="53"/>
        <v>620512.47030203068</v>
      </c>
      <c r="M137" s="376">
        <f t="shared" si="53"/>
        <v>628854.10712109529</v>
      </c>
      <c r="N137" s="376">
        <f t="shared" si="53"/>
        <v>637858.98665278289</v>
      </c>
      <c r="O137" s="376">
        <f t="shared" si="53"/>
        <v>647547.04706080107</v>
      </c>
      <c r="P137" s="376">
        <f t="shared" si="53"/>
        <v>657939.15586630197</v>
      </c>
      <c r="Q137" s="376">
        <f t="shared" si="53"/>
        <v>669057.14448556129</v>
      </c>
      <c r="R137" s="376">
        <f t="shared" si="53"/>
        <v>680923.84420189902</v>
      </c>
      <c r="S137" s="376">
        <f t="shared" si="53"/>
        <v>695996.06935178908</v>
      </c>
      <c r="T137" s="376">
        <f t="shared" si="53"/>
        <v>711792.83079385664</v>
      </c>
      <c r="U137" s="376">
        <f t="shared" si="53"/>
        <v>728341.89350692695</v>
      </c>
      <c r="V137" s="376">
        <f t="shared" si="53"/>
        <v>745672.1452337068</v>
      </c>
      <c r="W137" s="376">
        <f t="shared" si="53"/>
        <v>763813.6412696928</v>
      </c>
      <c r="X137" s="376">
        <f t="shared" si="53"/>
        <v>782797.6510448521</v>
      </c>
      <c r="Y137" s="376">
        <f t="shared" si="53"/>
        <v>802656.70656977384</v>
      </c>
      <c r="Z137" s="376">
        <f t="shared" si="53"/>
        <v>823424.65282086143</v>
      </c>
      <c r="AA137" s="376">
        <f t="shared" si="53"/>
        <v>845136.70014210942</v>
      </c>
      <c r="AB137" s="376">
        <f t="shared" si="53"/>
        <v>867829.47874412313</v>
      </c>
      <c r="AC137" s="376">
        <f t="shared" si="53"/>
        <v>895941.72038810758</v>
      </c>
      <c r="AD137" s="376">
        <f t="shared" si="53"/>
        <v>925112.44232279388</v>
      </c>
      <c r="AE137" s="376">
        <f t="shared" si="53"/>
        <v>955383.32366605906</v>
      </c>
      <c r="AF137" s="376">
        <f t="shared" si="53"/>
        <v>986797.70409955853</v>
      </c>
      <c r="AG137" s="376">
        <f t="shared" si="53"/>
        <v>1019400.6502252663</v>
      </c>
    </row>
    <row r="138" spans="1:34">
      <c r="A138" s="368" t="s">
        <v>318</v>
      </c>
      <c r="B138" s="300" t="s">
        <v>313</v>
      </c>
      <c r="C138" s="376">
        <f>'Changing with year'!C300</f>
        <v>510000</v>
      </c>
      <c r="D138" s="376">
        <f>'Changing with year'!D300</f>
        <v>533000</v>
      </c>
      <c r="E138" s="376">
        <f>'Changing with year'!E300</f>
        <v>557000</v>
      </c>
      <c r="F138" s="376">
        <f>'Changing with year'!F300</f>
        <v>582000</v>
      </c>
      <c r="G138" s="376">
        <f>'Changing with year'!G300</f>
        <v>608000</v>
      </c>
      <c r="H138" s="376">
        <f>'Changing with year'!H300</f>
        <v>635000</v>
      </c>
      <c r="I138" s="376">
        <f>'Changing with year'!I300</f>
        <v>664000</v>
      </c>
      <c r="J138" s="376">
        <f>'Changing with year'!J300</f>
        <v>694000</v>
      </c>
      <c r="K138" s="376">
        <f>'Changing with year'!K300</f>
        <v>725000</v>
      </c>
      <c r="L138" s="376">
        <f>'Changing with year'!L300</f>
        <v>758000</v>
      </c>
      <c r="M138" s="376">
        <f>'Changing with year'!M300</f>
        <v>792000</v>
      </c>
      <c r="N138" s="376">
        <f>'Changing with year'!N300</f>
        <v>828000</v>
      </c>
      <c r="O138" s="376">
        <f>'Changing with year'!O300</f>
        <v>865000</v>
      </c>
      <c r="P138" s="376">
        <f>'Changing with year'!P300</f>
        <v>904000</v>
      </c>
      <c r="Q138" s="376">
        <f>'Changing with year'!Q300</f>
        <v>945000</v>
      </c>
      <c r="R138" s="376">
        <f>'Changing with year'!R300</f>
        <v>988000</v>
      </c>
      <c r="S138" s="376">
        <f>'Changing with year'!S300</f>
        <v>1032000</v>
      </c>
      <c r="T138" s="376">
        <f>'Changing with year'!T300</f>
        <v>1078000</v>
      </c>
      <c r="U138" s="376">
        <f>'Changing with year'!U300</f>
        <v>1127000</v>
      </c>
      <c r="V138" s="376">
        <f>'Changing with year'!V300</f>
        <v>1178000</v>
      </c>
      <c r="W138" s="376">
        <f>'Changing with year'!W300</f>
        <v>1231000</v>
      </c>
      <c r="X138" s="376">
        <f>'Changing with year'!X300</f>
        <v>1286000</v>
      </c>
      <c r="Y138" s="376">
        <f>'Changing with year'!Y300</f>
        <v>1344000</v>
      </c>
      <c r="Z138" s="376">
        <f>'Changing with year'!Z300</f>
        <v>1404000</v>
      </c>
      <c r="AA138" s="376">
        <f>'Changing with year'!AA300</f>
        <v>1467000</v>
      </c>
      <c r="AB138" s="376">
        <f>'Changing with year'!AB300</f>
        <v>1533000</v>
      </c>
      <c r="AC138" s="376">
        <f>'Changing with year'!AC300</f>
        <v>1602000</v>
      </c>
      <c r="AD138" s="376">
        <f>'Changing with year'!AD300</f>
        <v>1674000</v>
      </c>
      <c r="AE138" s="376">
        <f>'Changing with year'!AE300</f>
        <v>1749000</v>
      </c>
      <c r="AF138" s="376">
        <f>'Changing with year'!AF300</f>
        <v>1828000</v>
      </c>
      <c r="AG138" s="376">
        <f>'Changing with year'!AG300</f>
        <v>1910000</v>
      </c>
      <c r="AH138" s="339"/>
    </row>
    <row r="139" spans="1:34">
      <c r="A139" s="300" t="s">
        <v>272</v>
      </c>
      <c r="B139" s="300" t="s">
        <v>313</v>
      </c>
      <c r="C139" s="376">
        <f>C61</f>
        <v>630000</v>
      </c>
      <c r="D139" s="376">
        <f t="shared" ref="D139:AG139" si="54">D61</f>
        <v>636300</v>
      </c>
      <c r="E139" s="376">
        <f t="shared" si="54"/>
        <v>642663</v>
      </c>
      <c r="F139" s="376">
        <f t="shared" si="54"/>
        <v>649089.63000000012</v>
      </c>
      <c r="G139" s="376">
        <f t="shared" si="54"/>
        <v>655580.52630000003</v>
      </c>
      <c r="H139" s="376">
        <f t="shared" si="54"/>
        <v>662136.33156299999</v>
      </c>
      <c r="I139" s="376">
        <f t="shared" si="54"/>
        <v>668757.69487862999</v>
      </c>
      <c r="J139" s="376">
        <f t="shared" si="54"/>
        <v>675445.27182741638</v>
      </c>
      <c r="K139" s="376">
        <f t="shared" si="54"/>
        <v>682199.72454569046</v>
      </c>
      <c r="L139" s="376">
        <f t="shared" si="54"/>
        <v>689021.72179114749</v>
      </c>
      <c r="M139" s="376">
        <f t="shared" si="54"/>
        <v>695911.93900905887</v>
      </c>
      <c r="N139" s="376">
        <f t="shared" si="54"/>
        <v>702871.05839914945</v>
      </c>
      <c r="O139" s="376">
        <f t="shared" si="54"/>
        <v>709899.76898314094</v>
      </c>
      <c r="P139" s="376">
        <f t="shared" si="54"/>
        <v>716998.76667297236</v>
      </c>
      <c r="Q139" s="376">
        <f t="shared" si="54"/>
        <v>724168.75433970219</v>
      </c>
      <c r="R139" s="376">
        <f t="shared" si="54"/>
        <v>731410.44188309915</v>
      </c>
      <c r="S139" s="376">
        <f t="shared" si="54"/>
        <v>738724.5463019301</v>
      </c>
      <c r="T139" s="376">
        <f t="shared" si="54"/>
        <v>746111.79176494956</v>
      </c>
      <c r="U139" s="376">
        <f t="shared" si="54"/>
        <v>753572.9096825989</v>
      </c>
      <c r="V139" s="376">
        <f t="shared" si="54"/>
        <v>761108.63877942495</v>
      </c>
      <c r="W139" s="376">
        <f t="shared" si="54"/>
        <v>768719.72516721918</v>
      </c>
      <c r="X139" s="376">
        <f t="shared" si="54"/>
        <v>776406.92241889145</v>
      </c>
      <c r="Y139" s="376">
        <f t="shared" si="54"/>
        <v>784170.99164308037</v>
      </c>
      <c r="Z139" s="376">
        <f t="shared" si="54"/>
        <v>792012.70155951136</v>
      </c>
      <c r="AA139" s="376">
        <f t="shared" si="54"/>
        <v>799932.82857510634</v>
      </c>
      <c r="AB139" s="376">
        <f t="shared" si="54"/>
        <v>807932.1568608575</v>
      </c>
      <c r="AC139" s="376">
        <f t="shared" si="54"/>
        <v>816011.47842946602</v>
      </c>
      <c r="AD139" s="376">
        <f t="shared" si="54"/>
        <v>824171.59321376076</v>
      </c>
      <c r="AE139" s="376">
        <f t="shared" si="54"/>
        <v>832413.30914589833</v>
      </c>
      <c r="AF139" s="376">
        <f t="shared" si="54"/>
        <v>840737.44223735726</v>
      </c>
      <c r="AG139" s="376">
        <f t="shared" si="54"/>
        <v>849144.81665973098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175260</v>
      </c>
      <c r="D140" s="386">
        <f t="shared" si="55"/>
        <v>174360</v>
      </c>
      <c r="E140" s="386">
        <f t="shared" si="55"/>
        <v>173600</v>
      </c>
      <c r="F140" s="386">
        <f t="shared" si="55"/>
        <v>169400</v>
      </c>
      <c r="G140" s="386">
        <f t="shared" si="55"/>
        <v>165500</v>
      </c>
      <c r="H140" s="386">
        <f t="shared" si="55"/>
        <v>165900</v>
      </c>
      <c r="I140" s="386">
        <f t="shared" si="55"/>
        <v>163000</v>
      </c>
      <c r="J140" s="386">
        <f t="shared" si="55"/>
        <v>163800</v>
      </c>
      <c r="K140" s="386">
        <f t="shared" si="55"/>
        <v>164700</v>
      </c>
      <c r="L140" s="386">
        <f t="shared" si="55"/>
        <v>165720</v>
      </c>
      <c r="M140" s="386">
        <f t="shared" si="55"/>
        <v>166860</v>
      </c>
      <c r="N140" s="386">
        <f t="shared" si="55"/>
        <v>168140</v>
      </c>
      <c r="O140" s="386">
        <f t="shared" si="55"/>
        <v>169520</v>
      </c>
      <c r="P140" s="386">
        <f t="shared" si="55"/>
        <v>171040</v>
      </c>
      <c r="Q140" s="386">
        <f t="shared" si="55"/>
        <v>172700</v>
      </c>
      <c r="R140" s="386">
        <f t="shared" si="55"/>
        <v>174480</v>
      </c>
      <c r="S140" s="386">
        <f t="shared" si="55"/>
        <v>174800</v>
      </c>
      <c r="T140" s="386">
        <f t="shared" si="55"/>
        <v>178060</v>
      </c>
      <c r="U140" s="386">
        <f t="shared" si="55"/>
        <v>181440</v>
      </c>
      <c r="V140" s="386">
        <f t="shared" si="55"/>
        <v>184940</v>
      </c>
      <c r="W140" s="386">
        <f t="shared" si="55"/>
        <v>188540</v>
      </c>
      <c r="X140" s="386">
        <f t="shared" si="55"/>
        <v>192280</v>
      </c>
      <c r="Y140" s="386">
        <f t="shared" si="55"/>
        <v>196140</v>
      </c>
      <c r="Z140" s="386">
        <f t="shared" si="55"/>
        <v>200140</v>
      </c>
      <c r="AA140" s="386">
        <f t="shared" si="55"/>
        <v>204280</v>
      </c>
      <c r="AB140" s="386">
        <f t="shared" si="55"/>
        <v>208540</v>
      </c>
      <c r="AC140" s="386">
        <f t="shared" si="55"/>
        <v>213760</v>
      </c>
      <c r="AD140" s="386">
        <f t="shared" si="55"/>
        <v>219120</v>
      </c>
      <c r="AE140" s="386">
        <f t="shared" si="55"/>
        <v>224640</v>
      </c>
      <c r="AF140" s="386">
        <f t="shared" si="55"/>
        <v>230320</v>
      </c>
      <c r="AG140" s="386">
        <f t="shared" si="55"/>
        <v>236140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21.334763552265425</v>
      </c>
      <c r="D142" s="379">
        <f t="shared" si="56"/>
        <v>21.225204684314729</v>
      </c>
      <c r="E142" s="379">
        <f t="shared" si="56"/>
        <v>21.132688306934142</v>
      </c>
      <c r="F142" s="379">
        <f t="shared" si="56"/>
        <v>20.621413589830897</v>
      </c>
      <c r="G142" s="379">
        <f t="shared" si="56"/>
        <v>20.146658495377885</v>
      </c>
      <c r="H142" s="379">
        <f t="shared" si="56"/>
        <v>20.195351325578194</v>
      </c>
      <c r="I142" s="379">
        <f t="shared" si="56"/>
        <v>19.842328306625951</v>
      </c>
      <c r="J142" s="379">
        <f t="shared" si="56"/>
        <v>19.939713967026567</v>
      </c>
      <c r="K142" s="379">
        <f t="shared" si="56"/>
        <v>20.049272834977266</v>
      </c>
      <c r="L142" s="379">
        <f t="shared" si="56"/>
        <v>20.173439551988054</v>
      </c>
      <c r="M142" s="379">
        <f t="shared" si="56"/>
        <v>20.312214118058932</v>
      </c>
      <c r="N142" s="379">
        <f t="shared" si="56"/>
        <v>20.468031174699924</v>
      </c>
      <c r="O142" s="379">
        <f t="shared" si="56"/>
        <v>20.636021438890989</v>
      </c>
      <c r="P142" s="379">
        <f t="shared" si="56"/>
        <v>20.821054193652166</v>
      </c>
      <c r="Q142" s="379">
        <f t="shared" si="56"/>
        <v>21.023129438983446</v>
      </c>
      <c r="R142" s="379">
        <f t="shared" si="56"/>
        <v>21.239812533374824</v>
      </c>
      <c r="S142" s="379">
        <f t="shared" si="56"/>
        <v>21.27876679753507</v>
      </c>
      <c r="T142" s="379">
        <f t="shared" si="56"/>
        <v>21.675613363667587</v>
      </c>
      <c r="U142" s="379">
        <f t="shared" si="56"/>
        <v>22.087067778860202</v>
      </c>
      <c r="V142" s="379">
        <f t="shared" si="56"/>
        <v>22.513130043112902</v>
      </c>
      <c r="W142" s="379">
        <f t="shared" si="56"/>
        <v>22.951365514915686</v>
      </c>
      <c r="X142" s="379">
        <f t="shared" si="56"/>
        <v>23.406643477288576</v>
      </c>
      <c r="Y142" s="379">
        <f t="shared" si="56"/>
        <v>23.87652928872156</v>
      </c>
      <c r="Z142" s="379">
        <f t="shared" si="56"/>
        <v>24.363457590724654</v>
      </c>
      <c r="AA142" s="379">
        <f t="shared" si="56"/>
        <v>24.867428383297852</v>
      </c>
      <c r="AB142" s="379">
        <f t="shared" si="56"/>
        <v>25.386007024931143</v>
      </c>
      <c r="AC142" s="379">
        <f t="shared" si="56"/>
        <v>26.021448459045175</v>
      </c>
      <c r="AD142" s="379">
        <f t="shared" si="56"/>
        <v>26.673932383729316</v>
      </c>
      <c r="AE142" s="379">
        <f t="shared" si="56"/>
        <v>27.345893440493583</v>
      </c>
      <c r="AF142" s="379">
        <f t="shared" si="56"/>
        <v>28.03733162933797</v>
      </c>
      <c r="AG142" s="379">
        <f t="shared" si="56"/>
        <v>28.745812308752463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12.526340184186882</v>
      </c>
      <c r="D143" s="379">
        <f t="shared" si="57"/>
        <v>12.683840184186883</v>
      </c>
      <c r="E143" s="379">
        <f t="shared" si="57"/>
        <v>12.750259721524969</v>
      </c>
      <c r="F143" s="379">
        <f t="shared" si="57"/>
        <v>12.745216911168999</v>
      </c>
      <c r="G143" s="379">
        <f t="shared" si="57"/>
        <v>12.630603470614826</v>
      </c>
      <c r="H143" s="379">
        <f t="shared" si="57"/>
        <v>12.723581868334003</v>
      </c>
      <c r="I143" s="379">
        <f t="shared" si="57"/>
        <v>11.038482857294962</v>
      </c>
      <c r="J143" s="379">
        <f t="shared" si="57"/>
        <v>10.763937708915417</v>
      </c>
      <c r="K143" s="379">
        <f t="shared" si="57"/>
        <v>10.303183610170253</v>
      </c>
      <c r="L143" s="379">
        <f t="shared" si="57"/>
        <v>9.9146260745705952</v>
      </c>
      <c r="M143" s="379">
        <f t="shared" si="57"/>
        <v>9.6082531303181575</v>
      </c>
      <c r="N143" s="379">
        <f t="shared" si="57"/>
        <v>9.5025911171230337</v>
      </c>
      <c r="O143" s="379">
        <f t="shared" si="57"/>
        <v>9.4035025033633097</v>
      </c>
      <c r="P143" s="379">
        <f t="shared" si="57"/>
        <v>9.2770029585356841</v>
      </c>
      <c r="Q143" s="379">
        <f t="shared" si="57"/>
        <v>9.1905137935918209</v>
      </c>
      <c r="R143" s="379">
        <f t="shared" si="57"/>
        <v>9.1524720414762211</v>
      </c>
      <c r="S143" s="379">
        <f t="shared" si="57"/>
        <v>9.1572333779689199</v>
      </c>
      <c r="T143" s="379">
        <f t="shared" si="57"/>
        <v>9.2041619969269313</v>
      </c>
      <c r="U143" s="379">
        <f t="shared" si="57"/>
        <v>9.2206844669357491</v>
      </c>
      <c r="V143" s="379">
        <f t="shared" si="57"/>
        <v>9.243665073021452</v>
      </c>
      <c r="W143" s="379">
        <f t="shared" si="57"/>
        <v>9.2742074371212606</v>
      </c>
      <c r="X143" s="379">
        <f t="shared" si="57"/>
        <v>9.3120587153550272</v>
      </c>
      <c r="Y143" s="379">
        <f t="shared" si="57"/>
        <v>9.3569147393456529</v>
      </c>
      <c r="Z143" s="379">
        <f t="shared" si="57"/>
        <v>9.4099686687673731</v>
      </c>
      <c r="AA143" s="379">
        <f t="shared" si="57"/>
        <v>9.4725368287269163</v>
      </c>
      <c r="AB143" s="379">
        <f t="shared" si="57"/>
        <v>9.5435910933219095</v>
      </c>
      <c r="AC143" s="379">
        <f t="shared" si="57"/>
        <v>9.7986083443140366</v>
      </c>
      <c r="AD143" s="379">
        <f t="shared" si="57"/>
        <v>10.111561483088567</v>
      </c>
      <c r="AE143" s="379">
        <f t="shared" si="57"/>
        <v>10.435985065746213</v>
      </c>
      <c r="AF143" s="379">
        <f t="shared" si="57"/>
        <v>10.776166992941805</v>
      </c>
      <c r="AG143" s="379">
        <f t="shared" si="57"/>
        <v>11.134013095633261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21.068966575693633</v>
      </c>
      <c r="D144" s="379">
        <f t="shared" si="58"/>
        <v>21.398647966856846</v>
      </c>
      <c r="E144" s="379">
        <f t="shared" si="58"/>
        <v>21.748362878796534</v>
      </c>
      <c r="F144" s="379">
        <f t="shared" si="58"/>
        <v>22.078454662382182</v>
      </c>
      <c r="G144" s="379">
        <f t="shared" si="58"/>
        <v>22.430608450600403</v>
      </c>
      <c r="H144" s="379">
        <f t="shared" si="58"/>
        <v>22.84940695462095</v>
      </c>
      <c r="I144" s="379">
        <f t="shared" si="58"/>
        <v>23.278206474016105</v>
      </c>
      <c r="J144" s="379">
        <f t="shared" si="58"/>
        <v>23.766543257158347</v>
      </c>
      <c r="K144" s="379">
        <f t="shared" si="58"/>
        <v>24.274608430860521</v>
      </c>
      <c r="L144" s="379">
        <f t="shared" si="58"/>
        <v>24.813935467701981</v>
      </c>
      <c r="M144" s="379">
        <f t="shared" si="58"/>
        <v>25.373622734779492</v>
      </c>
      <c r="N144" s="379">
        <f t="shared" si="58"/>
        <v>25.965222722799247</v>
      </c>
      <c r="O144" s="379">
        <f t="shared" si="58"/>
        <v>26.577409067154914</v>
      </c>
      <c r="P144" s="379">
        <f t="shared" si="58"/>
        <v>27.221976917103046</v>
      </c>
      <c r="Q144" s="379">
        <f t="shared" si="58"/>
        <v>27.899176653614042</v>
      </c>
      <c r="R144" s="379">
        <f t="shared" si="58"/>
        <v>28.609047623166649</v>
      </c>
      <c r="S144" s="379">
        <f t="shared" si="58"/>
        <v>29.350229062819103</v>
      </c>
      <c r="T144" s="379">
        <f t="shared" si="58"/>
        <v>30.155162472875624</v>
      </c>
      <c r="U144" s="379">
        <f t="shared" si="58"/>
        <v>31.003942257661397</v>
      </c>
      <c r="V144" s="379">
        <f t="shared" si="58"/>
        <v>31.885786489034796</v>
      </c>
      <c r="W144" s="379">
        <f t="shared" si="58"/>
        <v>32.800815182632356</v>
      </c>
      <c r="X144" s="379">
        <f t="shared" si="58"/>
        <v>33.749828594041595</v>
      </c>
      <c r="Y144" s="379">
        <f t="shared" si="58"/>
        <v>34.744085535698382</v>
      </c>
      <c r="Z144" s="379">
        <f t="shared" si="58"/>
        <v>35.773081715337476</v>
      </c>
      <c r="AA144" s="379">
        <f t="shared" si="58"/>
        <v>36.848328096857955</v>
      </c>
      <c r="AB144" s="379">
        <f t="shared" si="58"/>
        <v>37.970018173388674</v>
      </c>
      <c r="AC144" s="379">
        <f t="shared" si="58"/>
        <v>39.196813320195261</v>
      </c>
      <c r="AD144" s="379">
        <f t="shared" si="58"/>
        <v>40.471155950406164</v>
      </c>
      <c r="AE144" s="379">
        <f t="shared" si="58"/>
        <v>41.793740364577303</v>
      </c>
      <c r="AF144" s="379">
        <f t="shared" si="58"/>
        <v>43.176168292632397</v>
      </c>
      <c r="AG144" s="379">
        <f t="shared" si="58"/>
        <v>44.607616298722192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2.7819047619047632</v>
      </c>
      <c r="D145" s="379">
        <f t="shared" si="59"/>
        <v>2.7676190476190485</v>
      </c>
      <c r="E145" s="379">
        <f t="shared" si="59"/>
        <v>2.7555555555555564</v>
      </c>
      <c r="F145" s="379">
        <f t="shared" si="59"/>
        <v>2.6888888888888896</v>
      </c>
      <c r="G145" s="379">
        <f t="shared" si="59"/>
        <v>2.6269841269841279</v>
      </c>
      <c r="H145" s="379">
        <f t="shared" si="59"/>
        <v>2.6333333333333342</v>
      </c>
      <c r="I145" s="379">
        <f t="shared" si="59"/>
        <v>2.5873015873015879</v>
      </c>
      <c r="J145" s="379">
        <f t="shared" si="59"/>
        <v>2.6000000000000005</v>
      </c>
      <c r="K145" s="379">
        <f t="shared" si="59"/>
        <v>2.6142857142857152</v>
      </c>
      <c r="L145" s="379">
        <f t="shared" si="59"/>
        <v>2.6304761904761911</v>
      </c>
      <c r="M145" s="379">
        <f t="shared" si="59"/>
        <v>2.6485714285714295</v>
      </c>
      <c r="N145" s="379">
        <f t="shared" si="59"/>
        <v>4.0033333333333339</v>
      </c>
      <c r="O145" s="379">
        <f t="shared" si="59"/>
        <v>4.0361904761904768</v>
      </c>
      <c r="P145" s="379">
        <f t="shared" si="59"/>
        <v>4.0723809523809535</v>
      </c>
      <c r="Q145" s="379">
        <f t="shared" si="59"/>
        <v>4.1119047619047624</v>
      </c>
      <c r="R145" s="379">
        <f t="shared" si="59"/>
        <v>4.1542857142857148</v>
      </c>
      <c r="S145" s="379">
        <f t="shared" si="59"/>
        <v>4.1619047619047622</v>
      </c>
      <c r="T145" s="379">
        <f t="shared" si="59"/>
        <v>4.2395238095238099</v>
      </c>
      <c r="U145" s="379">
        <f t="shared" si="59"/>
        <v>4.3200000000000012</v>
      </c>
      <c r="V145" s="379">
        <f t="shared" si="59"/>
        <v>4.4033333333333342</v>
      </c>
      <c r="W145" s="379">
        <f t="shared" si="59"/>
        <v>4.4890476190476196</v>
      </c>
      <c r="X145" s="379">
        <f t="shared" si="59"/>
        <v>6.1041269841269843</v>
      </c>
      <c r="Y145" s="379">
        <f t="shared" si="59"/>
        <v>6.2266666666666666</v>
      </c>
      <c r="Z145" s="379">
        <f t="shared" si="59"/>
        <v>6.353650793650794</v>
      </c>
      <c r="AA145" s="379">
        <f t="shared" si="59"/>
        <v>6.4850793650793648</v>
      </c>
      <c r="AB145" s="379">
        <f t="shared" si="59"/>
        <v>6.6203174603174606</v>
      </c>
      <c r="AC145" s="379">
        <f t="shared" si="59"/>
        <v>6.7860317460317461</v>
      </c>
      <c r="AD145" s="379">
        <f t="shared" si="59"/>
        <v>6.9561904761904758</v>
      </c>
      <c r="AE145" s="379">
        <f t="shared" si="59"/>
        <v>7.1314285714285717</v>
      </c>
      <c r="AF145" s="379">
        <f t="shared" si="59"/>
        <v>7.3117460317460319</v>
      </c>
      <c r="AG145" s="379">
        <f t="shared" si="59"/>
        <v>7.4965079365079363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52.148165550241181</v>
      </c>
      <c r="D146" s="381">
        <f t="shared" ref="D146:AG146" si="60">SUM(D142:D144)-D145</f>
        <v>52.540073787739402</v>
      </c>
      <c r="E146" s="381">
        <f t="shared" si="60"/>
        <v>52.875755351700093</v>
      </c>
      <c r="F146" s="381">
        <f t="shared" si="60"/>
        <v>52.756196274493185</v>
      </c>
      <c r="G146" s="381">
        <f t="shared" si="60"/>
        <v>52.580886289608983</v>
      </c>
      <c r="H146" s="381">
        <f t="shared" si="60"/>
        <v>53.135006815199809</v>
      </c>
      <c r="I146" s="381">
        <f t="shared" si="60"/>
        <v>51.57171605063543</v>
      </c>
      <c r="J146" s="381">
        <f t="shared" si="60"/>
        <v>51.870194933100329</v>
      </c>
      <c r="K146" s="381">
        <f t="shared" si="60"/>
        <v>52.012779161722321</v>
      </c>
      <c r="L146" s="381">
        <f t="shared" si="60"/>
        <v>52.271524903784439</v>
      </c>
      <c r="M146" s="381">
        <f t="shared" si="60"/>
        <v>52.645518554585152</v>
      </c>
      <c r="N146" s="381">
        <f t="shared" si="60"/>
        <v>51.932511681288872</v>
      </c>
      <c r="O146" s="381">
        <f t="shared" si="60"/>
        <v>52.580742533218732</v>
      </c>
      <c r="P146" s="381">
        <f t="shared" si="60"/>
        <v>53.247653116909945</v>
      </c>
      <c r="Q146" s="381">
        <f t="shared" si="60"/>
        <v>54.000915124284546</v>
      </c>
      <c r="R146" s="381">
        <f t="shared" si="60"/>
        <v>54.84704648373198</v>
      </c>
      <c r="S146" s="381">
        <f t="shared" si="60"/>
        <v>55.62432447641833</v>
      </c>
      <c r="T146" s="381">
        <f t="shared" si="60"/>
        <v>56.795414023946329</v>
      </c>
      <c r="U146" s="381">
        <f t="shared" si="60"/>
        <v>57.991694503457346</v>
      </c>
      <c r="V146" s="381">
        <f t="shared" si="60"/>
        <v>59.23924827183582</v>
      </c>
      <c r="W146" s="381">
        <f t="shared" si="60"/>
        <v>60.537340515621686</v>
      </c>
      <c r="X146" s="381">
        <f t="shared" si="60"/>
        <v>60.364403802558208</v>
      </c>
      <c r="Y146" s="381">
        <f t="shared" si="60"/>
        <v>61.750862897098919</v>
      </c>
      <c r="Z146" s="381">
        <f t="shared" si="60"/>
        <v>63.192857181178702</v>
      </c>
      <c r="AA146" s="381">
        <f t="shared" si="60"/>
        <v>64.703213943803348</v>
      </c>
      <c r="AB146" s="381">
        <f t="shared" si="60"/>
        <v>66.279298831324269</v>
      </c>
      <c r="AC146" s="381">
        <f t="shared" si="60"/>
        <v>68.23083837752273</v>
      </c>
      <c r="AD146" s="381">
        <f t="shared" si="60"/>
        <v>70.300459341033573</v>
      </c>
      <c r="AE146" s="381">
        <f t="shared" si="60"/>
        <v>72.444190299388524</v>
      </c>
      <c r="AF146" s="381">
        <f t="shared" si="60"/>
        <v>74.677920883166138</v>
      </c>
      <c r="AG146" s="381">
        <f t="shared" si="60"/>
        <v>76.99093376659998</v>
      </c>
    </row>
    <row r="147" spans="1:34" s="344" customFormat="1">
      <c r="A147" s="342" t="s">
        <v>331</v>
      </c>
      <c r="B147" s="342"/>
      <c r="H147" s="385">
        <f>H149/H63</f>
        <v>2.3697905278348714</v>
      </c>
      <c r="AB147" s="385">
        <f>AB149/AB63</f>
        <v>1.4395709495042432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year'!C144)/1000,0)*1000</f>
        <v>11491000</v>
      </c>
      <c r="D149" s="376">
        <f>ROUND(('Changing with year'!D144)/1000,0)*1000</f>
        <v>11294000</v>
      </c>
      <c r="E149" s="376">
        <f>ROUND(('Changing with year'!E144)/1000,0)*1000</f>
        <v>11110000</v>
      </c>
      <c r="F149" s="376">
        <f>ROUND(('Changing with year'!F144)/1000,0)*1000</f>
        <v>10939000</v>
      </c>
      <c r="G149" s="376">
        <f>ROUND(('Changing with year'!G144)/1000,0)*1000</f>
        <v>10782000</v>
      </c>
      <c r="H149" s="376">
        <f>ROUND(('Changing with year'!H144)/1000,0)*1000</f>
        <v>10838000</v>
      </c>
      <c r="I149" s="376">
        <f>ROUND(('Changing with year'!I144)/1000,0)*1000</f>
        <v>10763000</v>
      </c>
      <c r="J149" s="376">
        <f>ROUND(('Changing with year'!J144)/1000,0)*1000</f>
        <v>10705000</v>
      </c>
      <c r="K149" s="376">
        <f>ROUND(('Changing with year'!K144)/1000,0)*1000</f>
        <v>10656000</v>
      </c>
      <c r="L149" s="376">
        <f>ROUND(('Changing with year'!L144)/1000,0)*1000</f>
        <v>10616000</v>
      </c>
      <c r="M149" s="376">
        <f>ROUND(('Changing with year'!M144)/1000,0)*1000</f>
        <v>10586000</v>
      </c>
      <c r="N149" s="376">
        <f>ROUND(('Changing with year'!N144)/1000,0)*1000</f>
        <v>10565000</v>
      </c>
      <c r="O149" s="376">
        <f>ROUND(('Changing with year'!O144)/1000,0)*1000</f>
        <v>10553000</v>
      </c>
      <c r="P149" s="376">
        <f>ROUND(('Changing with year'!P144)/1000,0)*1000</f>
        <v>10551000</v>
      </c>
      <c r="Q149" s="376">
        <f>ROUND(('Changing with year'!Q144)/1000,0)*1000</f>
        <v>10558000</v>
      </c>
      <c r="R149" s="376">
        <f>ROUND(('Changing with year'!R144)/1000,0)*1000</f>
        <v>10575000</v>
      </c>
      <c r="S149" s="376">
        <f>ROUND(('Changing with year'!S144)/1000,0)*1000</f>
        <v>10540000</v>
      </c>
      <c r="T149" s="376">
        <f>ROUND(('Changing with year'!T144)/1000,0)*1000</f>
        <v>10679000</v>
      </c>
      <c r="U149" s="376">
        <f>ROUND(('Changing with year'!U144)/1000,0)*1000</f>
        <v>10825000</v>
      </c>
      <c r="V149" s="376">
        <f>ROUND(('Changing with year'!V144)/1000,0)*1000</f>
        <v>10978000</v>
      </c>
      <c r="W149" s="376">
        <f>ROUND(('Changing with year'!W144)/1000,0)*1000</f>
        <v>11138000</v>
      </c>
      <c r="X149" s="376">
        <f>ROUND(('Changing with year'!X144)/1000,0)*1000</f>
        <v>11146000</v>
      </c>
      <c r="Y149" s="376">
        <f>ROUND(('Changing with year'!Y144)/1000,0)*1000</f>
        <v>11321000</v>
      </c>
      <c r="Z149" s="376">
        <f>ROUND(('Changing with year'!Z144)/1000,0)*1000</f>
        <v>11503000</v>
      </c>
      <c r="AA149" s="376">
        <f>ROUND(('Changing with year'!AA144)/1000,0)*1000</f>
        <v>11693000</v>
      </c>
      <c r="AB149" s="376">
        <f>ROUND(('Changing with year'!AB144)/1000,0)*1000</f>
        <v>11891000</v>
      </c>
      <c r="AC149" s="376">
        <f>ROUND(('Changing with year'!AC144)/1000,0)*1000</f>
        <v>12011000</v>
      </c>
      <c r="AD149" s="376">
        <f>ROUND(('Changing with year'!AD144)/1000,0)*1000</f>
        <v>12293000</v>
      </c>
      <c r="AE149" s="376">
        <f>ROUND(('Changing with year'!AE144)/1000,0)*1000</f>
        <v>12582000</v>
      </c>
      <c r="AF149" s="376">
        <f>ROUND(('Changing with year'!AF144)/1000,0)*1000</f>
        <v>12879000</v>
      </c>
      <c r="AG149" s="376">
        <f>ROUND(('Changing with year'!AG144)/1000,0)*1000</f>
        <v>13184000</v>
      </c>
    </row>
    <row r="150" spans="1:34">
      <c r="A150" s="368" t="s">
        <v>310</v>
      </c>
      <c r="B150" s="300" t="s">
        <v>309</v>
      </c>
      <c r="C150" s="376">
        <f>(C149*'No change with year'!$AN$17)</f>
        <v>1149100.0000000005</v>
      </c>
      <c r="D150" s="376">
        <f>(D149*'No change with year'!$AN$17)</f>
        <v>1129400.0000000005</v>
      </c>
      <c r="E150" s="376">
        <f>(E149*'No change with year'!$AN$17)</f>
        <v>1111000.0000000005</v>
      </c>
      <c r="F150" s="376">
        <f>(F149*'No change with year'!$AN$17)</f>
        <v>1093900.0000000005</v>
      </c>
      <c r="G150" s="376">
        <f>(G149*'No change with year'!$AN$17)</f>
        <v>1078200.0000000005</v>
      </c>
      <c r="H150" s="376">
        <f>(H149*'No change with year'!$AN$17)</f>
        <v>1083800.0000000005</v>
      </c>
      <c r="I150" s="376">
        <f>(I149*'No change with year'!$AN$17)</f>
        <v>1076300.0000000005</v>
      </c>
      <c r="J150" s="376">
        <f>(J149*'No change with year'!$AN$17)</f>
        <v>1070500.0000000005</v>
      </c>
      <c r="K150" s="376">
        <f>(K149*'No change with year'!$AN$17)</f>
        <v>1065600.0000000005</v>
      </c>
      <c r="L150" s="376">
        <f>(L149*'No change with year'!$AN$17)</f>
        <v>1061600.0000000005</v>
      </c>
      <c r="M150" s="376">
        <f>(M149*'No change with year'!$AN$17)</f>
        <v>1058600.0000000005</v>
      </c>
      <c r="N150" s="376">
        <f>(N149*'No change with year'!$AO$17)</f>
        <v>2113000.0000000009</v>
      </c>
      <c r="O150" s="376">
        <f>(O149*'No change with year'!$AO$17)</f>
        <v>2110600.0000000009</v>
      </c>
      <c r="P150" s="376">
        <f>(P149*'No change with year'!$AO$17)</f>
        <v>2110200.0000000009</v>
      </c>
      <c r="Q150" s="376">
        <f>(Q149*'No change with year'!$AO$17)</f>
        <v>2111600.0000000009</v>
      </c>
      <c r="R150" s="376">
        <f>(R149*'No change with year'!$AO$17)</f>
        <v>2115000.0000000009</v>
      </c>
      <c r="S150" s="376">
        <f>(S149*'No change with year'!$AO$17)</f>
        <v>2108000.0000000009</v>
      </c>
      <c r="T150" s="376">
        <f>(T149*'No change with year'!$AO$17)</f>
        <v>2135800.0000000009</v>
      </c>
      <c r="U150" s="376">
        <f>(U149*'No change with year'!$AO$17)</f>
        <v>2165000.0000000009</v>
      </c>
      <c r="V150" s="376">
        <f>(V149*'No change with year'!$AO$17)</f>
        <v>2195600.0000000009</v>
      </c>
      <c r="W150" s="376">
        <f>(W149*'No change with year'!$AO$17)</f>
        <v>2227600.0000000009</v>
      </c>
      <c r="X150" s="376">
        <f>(X149*'No change with year'!$AP$17)</f>
        <v>3343800.0000000005</v>
      </c>
      <c r="Y150" s="376">
        <f>(Y149*'No change with year'!$AP$17)</f>
        <v>3396300.0000000005</v>
      </c>
      <c r="Z150" s="376">
        <f>(Z149*'No change with year'!$AP$17)</f>
        <v>3450900.0000000005</v>
      </c>
      <c r="AA150" s="376">
        <f>(AA149*'No change with year'!$AP$17)</f>
        <v>3507900.0000000005</v>
      </c>
      <c r="AB150" s="376">
        <f>(AB149*'No change with year'!$AP$17)</f>
        <v>3567300.0000000005</v>
      </c>
      <c r="AC150" s="376">
        <f>(AC149*'No change with year'!$AP$17)</f>
        <v>3603300.0000000005</v>
      </c>
      <c r="AD150" s="376">
        <f>(AD149*'No change with year'!$AP$17)</f>
        <v>3687900.0000000005</v>
      </c>
      <c r="AE150" s="376">
        <f>(AE149*'No change with year'!$AP$17)</f>
        <v>3774600.0000000005</v>
      </c>
      <c r="AF150" s="376">
        <f>(AF149*'No change with year'!$AP$17)</f>
        <v>3863700.0000000005</v>
      </c>
      <c r="AG150" s="376">
        <f>(AG149*'No change with year'!$AP$17)</f>
        <v>3955200.0000000005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2517881.9032428823</v>
      </c>
      <c r="D152" s="376">
        <f t="shared" ref="D152:AG152" si="62">-PMT($C$28,$C$27,D149)</f>
        <v>2474715.7092703087</v>
      </c>
      <c r="E152" s="376">
        <f t="shared" si="62"/>
        <v>2434398.0458644526</v>
      </c>
      <c r="F152" s="376">
        <f t="shared" si="62"/>
        <v>2396928.9130253149</v>
      </c>
      <c r="G152" s="376">
        <f t="shared" si="62"/>
        <v>2362527.4284887961</v>
      </c>
      <c r="H152" s="376">
        <f t="shared" si="62"/>
        <v>2374798.021699274</v>
      </c>
      <c r="I152" s="376">
        <f t="shared" si="62"/>
        <v>2358364.1915066703</v>
      </c>
      <c r="J152" s="376">
        <f t="shared" si="62"/>
        <v>2345655.3628243892</v>
      </c>
      <c r="K152" s="376">
        <f t="shared" si="62"/>
        <v>2334918.5937652211</v>
      </c>
      <c r="L152" s="376">
        <f t="shared" si="62"/>
        <v>2326153.8843291653</v>
      </c>
      <c r="M152" s="376">
        <f t="shared" si="62"/>
        <v>2319580.3522521239</v>
      </c>
      <c r="N152" s="376">
        <f t="shared" si="62"/>
        <v>2314978.8797981949</v>
      </c>
      <c r="O152" s="376">
        <f t="shared" si="62"/>
        <v>2312349.4669673778</v>
      </c>
      <c r="P152" s="376">
        <f t="shared" si="62"/>
        <v>2311911.231495575</v>
      </c>
      <c r="Q152" s="376">
        <f t="shared" si="62"/>
        <v>2313445.0556468847</v>
      </c>
      <c r="R152" s="376">
        <f t="shared" si="62"/>
        <v>2317170.0571572082</v>
      </c>
      <c r="S152" s="376">
        <f t="shared" si="62"/>
        <v>2309500.9364006598</v>
      </c>
      <c r="T152" s="376">
        <f t="shared" si="62"/>
        <v>2339958.3016909529</v>
      </c>
      <c r="U152" s="376">
        <f t="shared" si="62"/>
        <v>2371949.4911325565</v>
      </c>
      <c r="V152" s="376">
        <f t="shared" si="62"/>
        <v>2405474.5047254693</v>
      </c>
      <c r="W152" s="376">
        <f t="shared" si="62"/>
        <v>2440533.3424696918</v>
      </c>
      <c r="X152" s="376">
        <f t="shared" si="62"/>
        <v>2442286.2843569028</v>
      </c>
      <c r="Y152" s="376">
        <f t="shared" si="62"/>
        <v>2480631.888139646</v>
      </c>
      <c r="Z152" s="376">
        <f t="shared" si="62"/>
        <v>2520511.3160736994</v>
      </c>
      <c r="AA152" s="376">
        <f t="shared" si="62"/>
        <v>2562143.6858949638</v>
      </c>
      <c r="AB152" s="376">
        <f t="shared" si="62"/>
        <v>2605528.9976034388</v>
      </c>
      <c r="AC152" s="376">
        <f t="shared" si="62"/>
        <v>2631823.125911606</v>
      </c>
      <c r="AD152" s="376">
        <f t="shared" si="62"/>
        <v>2693614.327435798</v>
      </c>
      <c r="AE152" s="376">
        <f t="shared" si="62"/>
        <v>2756939.3531113002</v>
      </c>
      <c r="AF152" s="376">
        <f t="shared" si="62"/>
        <v>2822017.3206740129</v>
      </c>
      <c r="AG152" s="376">
        <f t="shared" si="62"/>
        <v>2888848.2301239371</v>
      </c>
    </row>
    <row r="153" spans="1:34">
      <c r="A153" s="300" t="s">
        <v>333</v>
      </c>
      <c r="B153" s="300" t="s">
        <v>313</v>
      </c>
      <c r="C153" s="376">
        <f t="shared" ref="C153:AG153" si="63">$H$38*C50</f>
        <v>3453989.3617021274</v>
      </c>
      <c r="D153" s="376">
        <f t="shared" si="63"/>
        <v>3421914.8936170214</v>
      </c>
      <c r="E153" s="376">
        <f t="shared" si="63"/>
        <v>3393040.6914893617</v>
      </c>
      <c r="F153" s="376">
        <f t="shared" si="63"/>
        <v>3367295.4015957448</v>
      </c>
      <c r="G153" s="376">
        <f t="shared" si="63"/>
        <v>3344611.1081648935</v>
      </c>
      <c r="H153" s="376">
        <f t="shared" si="63"/>
        <v>3324923.2240156918</v>
      </c>
      <c r="I153" s="376">
        <f t="shared" si="63"/>
        <v>3126901.9425749043</v>
      </c>
      <c r="J153" s="376">
        <f t="shared" si="63"/>
        <v>3022683.7133993739</v>
      </c>
      <c r="K153" s="376">
        <f t="shared" si="63"/>
        <v>2921931.8451568852</v>
      </c>
      <c r="L153" s="376">
        <f t="shared" si="63"/>
        <v>2824515.5172043112</v>
      </c>
      <c r="M153" s="376">
        <f t="shared" si="63"/>
        <v>2730309.3354828116</v>
      </c>
      <c r="N153" s="376">
        <f t="shared" si="63"/>
        <v>2639193.0928648962</v>
      </c>
      <c r="O153" s="376">
        <f t="shared" si="63"/>
        <v>2551051.5405108863</v>
      </c>
      <c r="P153" s="376">
        <f t="shared" si="63"/>
        <v>2465774.1697163032</v>
      </c>
      <c r="Q153" s="376">
        <f t="shared" si="63"/>
        <v>2383255.0037564961</v>
      </c>
      <c r="R153" s="376">
        <f t="shared" si="63"/>
        <v>2303392.3992584604</v>
      </c>
      <c r="S153" s="376">
        <f t="shared" si="63"/>
        <v>2126683.7623586301</v>
      </c>
      <c r="T153" s="376">
        <f t="shared" si="63"/>
        <v>2066297.8740297141</v>
      </c>
      <c r="U153" s="376">
        <f t="shared" si="63"/>
        <v>2008060.9250673228</v>
      </c>
      <c r="V153" s="376">
        <f t="shared" si="63"/>
        <v>1951880.0354492324</v>
      </c>
      <c r="W153" s="376">
        <f t="shared" si="63"/>
        <v>1897666.6475830018</v>
      </c>
      <c r="X153" s="376">
        <f t="shared" si="63"/>
        <v>1845336.3186772508</v>
      </c>
      <c r="Y153" s="376">
        <f t="shared" si="63"/>
        <v>1794808.5232511398</v>
      </c>
      <c r="Z153" s="376">
        <f t="shared" si="63"/>
        <v>1746006.4652823138</v>
      </c>
      <c r="AA153" s="376">
        <f t="shared" si="63"/>
        <v>1698856.899518359</v>
      </c>
      <c r="AB153" s="376">
        <f t="shared" si="63"/>
        <v>1653289.961500359</v>
      </c>
      <c r="AC153" s="376">
        <f t="shared" si="63"/>
        <v>1597737.9647550066</v>
      </c>
      <c r="AD153" s="376">
        <f t="shared" si="63"/>
        <v>1603244.4682500565</v>
      </c>
      <c r="AE153" s="376">
        <f t="shared" si="63"/>
        <v>1610621.6979051151</v>
      </c>
      <c r="AF153" s="376">
        <f t="shared" si="63"/>
        <v>1619839.5975612123</v>
      </c>
      <c r="AG153" s="376">
        <f t="shared" si="63"/>
        <v>1630871.0042937377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618318</v>
      </c>
      <c r="D154" s="376">
        <f t="shared" si="64"/>
        <v>618655.05000000005</v>
      </c>
      <c r="E154" s="376">
        <f t="shared" si="64"/>
        <v>619615.47375</v>
      </c>
      <c r="F154" s="376">
        <f t="shared" si="64"/>
        <v>621208.95890624996</v>
      </c>
      <c r="G154" s="376">
        <f t="shared" si="64"/>
        <v>623445.96181359375</v>
      </c>
      <c r="H154" s="376">
        <f t="shared" si="64"/>
        <v>626337.72872345394</v>
      </c>
      <c r="I154" s="376">
        <f t="shared" si="64"/>
        <v>631549.77346597682</v>
      </c>
      <c r="J154" s="376">
        <f t="shared" si="64"/>
        <v>637367.12928632903</v>
      </c>
      <c r="K154" s="376">
        <f t="shared" si="64"/>
        <v>643806.07204186113</v>
      </c>
      <c r="L154" s="376">
        <f t="shared" si="64"/>
        <v>650883.68735593278</v>
      </c>
      <c r="M154" s="376">
        <f t="shared" si="64"/>
        <v>658617.89983391936</v>
      </c>
      <c r="N154" s="376">
        <f t="shared" si="64"/>
        <v>667027.50351135037</v>
      </c>
      <c r="O154" s="376">
        <f t="shared" si="64"/>
        <v>676132.19358219719</v>
      </c>
      <c r="P154" s="376">
        <f t="shared" si="64"/>
        <v>685952.59945727023</v>
      </c>
      <c r="Q154" s="376">
        <f t="shared" si="64"/>
        <v>696510.31920471019</v>
      </c>
      <c r="R154" s="376">
        <f t="shared" si="64"/>
        <v>707827.95542666502</v>
      </c>
      <c r="S154" s="376">
        <f t="shared" si="64"/>
        <v>722631.13946430734</v>
      </c>
      <c r="T154" s="376">
        <f t="shared" si="64"/>
        <v>738161.55020524981</v>
      </c>
      <c r="U154" s="376">
        <f t="shared" si="64"/>
        <v>754446.92572420603</v>
      </c>
      <c r="V154" s="376">
        <f t="shared" si="64"/>
        <v>771516.12712881307</v>
      </c>
      <c r="W154" s="376">
        <f t="shared" si="64"/>
        <v>789399.18334584811</v>
      </c>
      <c r="X154" s="376">
        <f t="shared" si="64"/>
        <v>808127.33770024579</v>
      </c>
      <c r="Y154" s="376">
        <f t="shared" si="64"/>
        <v>827733.09635861358</v>
      </c>
      <c r="Z154" s="376">
        <f t="shared" si="64"/>
        <v>848250.27871181269</v>
      </c>
      <c r="AA154" s="376">
        <f t="shared" si="64"/>
        <v>869714.06977415108</v>
      </c>
      <c r="AB154" s="376">
        <f t="shared" si="64"/>
        <v>892161.07467984455</v>
      </c>
      <c r="AC154" s="376">
        <f t="shared" si="64"/>
        <v>920516.63228318619</v>
      </c>
      <c r="AD154" s="376">
        <f t="shared" si="64"/>
        <v>949933.10333682317</v>
      </c>
      <c r="AE154" s="376">
        <f t="shared" si="64"/>
        <v>980452.19129022886</v>
      </c>
      <c r="AF154" s="376">
        <f t="shared" si="64"/>
        <v>1012117.2603999699</v>
      </c>
      <c r="AG154" s="376">
        <f t="shared" si="64"/>
        <v>1044973.4020886819</v>
      </c>
    </row>
    <row r="155" spans="1:34">
      <c r="A155" s="368" t="s">
        <v>318</v>
      </c>
      <c r="B155" s="300" t="s">
        <v>313</v>
      </c>
      <c r="C155" s="376">
        <f>'Changing with year'!C300</f>
        <v>510000</v>
      </c>
      <c r="D155" s="376">
        <f>'Changing with year'!D300</f>
        <v>533000</v>
      </c>
      <c r="E155" s="376">
        <f>'Changing with year'!E300</f>
        <v>557000</v>
      </c>
      <c r="F155" s="376">
        <f>'Changing with year'!F300</f>
        <v>582000</v>
      </c>
      <c r="G155" s="376">
        <f>'Changing with year'!G300</f>
        <v>608000</v>
      </c>
      <c r="H155" s="376">
        <f>'Changing with year'!H300</f>
        <v>635000</v>
      </c>
      <c r="I155" s="376">
        <f>'Changing with year'!I300</f>
        <v>664000</v>
      </c>
      <c r="J155" s="376">
        <f>'Changing with year'!J300</f>
        <v>694000</v>
      </c>
      <c r="K155" s="376">
        <f>'Changing with year'!K300</f>
        <v>725000</v>
      </c>
      <c r="L155" s="376">
        <f>'Changing with year'!L300</f>
        <v>758000</v>
      </c>
      <c r="M155" s="376">
        <f>'Changing with year'!M300</f>
        <v>792000</v>
      </c>
      <c r="N155" s="376">
        <f>'Changing with year'!N300</f>
        <v>828000</v>
      </c>
      <c r="O155" s="376">
        <f>'Changing with year'!O300</f>
        <v>865000</v>
      </c>
      <c r="P155" s="376">
        <f>'Changing with year'!P300</f>
        <v>904000</v>
      </c>
      <c r="Q155" s="376">
        <f>'Changing with year'!Q300</f>
        <v>945000</v>
      </c>
      <c r="R155" s="376">
        <f>'Changing with year'!R300</f>
        <v>988000</v>
      </c>
      <c r="S155" s="376">
        <f>'Changing with year'!S300</f>
        <v>1032000</v>
      </c>
      <c r="T155" s="376">
        <f>'Changing with year'!T300</f>
        <v>1078000</v>
      </c>
      <c r="U155" s="376">
        <f>'Changing with year'!U300</f>
        <v>1127000</v>
      </c>
      <c r="V155" s="376">
        <f>'Changing with year'!V300</f>
        <v>1178000</v>
      </c>
      <c r="W155" s="376">
        <f>'Changing with year'!W300</f>
        <v>1231000</v>
      </c>
      <c r="X155" s="376">
        <f>'Changing with year'!X300</f>
        <v>1286000</v>
      </c>
      <c r="Y155" s="376">
        <f>'Changing with year'!Y300</f>
        <v>1344000</v>
      </c>
      <c r="Z155" s="376">
        <f>'Changing with year'!Z300</f>
        <v>1404000</v>
      </c>
      <c r="AA155" s="376">
        <f>'Changing with year'!AA300</f>
        <v>1467000</v>
      </c>
      <c r="AB155" s="376">
        <f>'Changing with year'!AB300</f>
        <v>1533000</v>
      </c>
      <c r="AC155" s="376">
        <f>'Changing with year'!AC300</f>
        <v>1602000</v>
      </c>
      <c r="AD155" s="376">
        <f>'Changing with year'!AD300</f>
        <v>1674000</v>
      </c>
      <c r="AE155" s="376">
        <f>'Changing with year'!AE300</f>
        <v>1749000</v>
      </c>
      <c r="AF155" s="376">
        <f>'Changing with year'!AF300</f>
        <v>1828000</v>
      </c>
      <c r="AG155" s="376">
        <f>'Changing with year'!AG300</f>
        <v>1910000</v>
      </c>
      <c r="AH155" s="339"/>
    </row>
    <row r="156" spans="1:34">
      <c r="A156" s="300" t="s">
        <v>272</v>
      </c>
      <c r="B156" s="300" t="s">
        <v>313</v>
      </c>
      <c r="C156" s="376">
        <f>C61</f>
        <v>630000</v>
      </c>
      <c r="D156" s="376">
        <f t="shared" ref="D156:AG156" si="65">D61</f>
        <v>636300</v>
      </c>
      <c r="E156" s="376">
        <f t="shared" si="65"/>
        <v>642663</v>
      </c>
      <c r="F156" s="376">
        <f t="shared" si="65"/>
        <v>649089.63000000012</v>
      </c>
      <c r="G156" s="376">
        <f t="shared" si="65"/>
        <v>655580.52630000003</v>
      </c>
      <c r="H156" s="376">
        <f t="shared" si="65"/>
        <v>662136.33156299999</v>
      </c>
      <c r="I156" s="376">
        <f t="shared" si="65"/>
        <v>668757.69487862999</v>
      </c>
      <c r="J156" s="376">
        <f t="shared" si="65"/>
        <v>675445.27182741638</v>
      </c>
      <c r="K156" s="376">
        <f t="shared" si="65"/>
        <v>682199.72454569046</v>
      </c>
      <c r="L156" s="376">
        <f t="shared" si="65"/>
        <v>689021.72179114749</v>
      </c>
      <c r="M156" s="376">
        <f t="shared" si="65"/>
        <v>695911.93900905887</v>
      </c>
      <c r="N156" s="376">
        <f t="shared" si="65"/>
        <v>702871.05839914945</v>
      </c>
      <c r="O156" s="376">
        <f t="shared" si="65"/>
        <v>709899.76898314094</v>
      </c>
      <c r="P156" s="376">
        <f t="shared" si="65"/>
        <v>716998.76667297236</v>
      </c>
      <c r="Q156" s="376">
        <f t="shared" si="65"/>
        <v>724168.75433970219</v>
      </c>
      <c r="R156" s="376">
        <f t="shared" si="65"/>
        <v>731410.44188309915</v>
      </c>
      <c r="S156" s="376">
        <f t="shared" si="65"/>
        <v>738724.5463019301</v>
      </c>
      <c r="T156" s="376">
        <f t="shared" si="65"/>
        <v>746111.79176494956</v>
      </c>
      <c r="U156" s="376">
        <f t="shared" si="65"/>
        <v>753572.9096825989</v>
      </c>
      <c r="V156" s="376">
        <f t="shared" si="65"/>
        <v>761108.63877942495</v>
      </c>
      <c r="W156" s="376">
        <f t="shared" si="65"/>
        <v>768719.72516721918</v>
      </c>
      <c r="X156" s="376">
        <f t="shared" si="65"/>
        <v>776406.92241889145</v>
      </c>
      <c r="Y156" s="376">
        <f t="shared" si="65"/>
        <v>784170.99164308037</v>
      </c>
      <c r="Z156" s="376">
        <f t="shared" si="65"/>
        <v>792012.70155951136</v>
      </c>
      <c r="AA156" s="376">
        <f t="shared" si="65"/>
        <v>799932.82857510634</v>
      </c>
      <c r="AB156" s="376">
        <f t="shared" si="65"/>
        <v>807932.1568608575</v>
      </c>
      <c r="AC156" s="376">
        <f t="shared" si="65"/>
        <v>816011.47842946602</v>
      </c>
      <c r="AD156" s="376">
        <f t="shared" si="65"/>
        <v>824171.59321376076</v>
      </c>
      <c r="AE156" s="376">
        <f t="shared" si="65"/>
        <v>832413.30914589833</v>
      </c>
      <c r="AF156" s="376">
        <f t="shared" si="65"/>
        <v>840737.44223735726</v>
      </c>
      <c r="AG156" s="376">
        <f t="shared" si="65"/>
        <v>849144.81665973098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229820</v>
      </c>
      <c r="D157" s="376">
        <f t="shared" si="66"/>
        <v>225880</v>
      </c>
      <c r="E157" s="376">
        <f t="shared" si="66"/>
        <v>222200</v>
      </c>
      <c r="F157" s="376">
        <f t="shared" si="66"/>
        <v>218780</v>
      </c>
      <c r="G157" s="376">
        <f t="shared" si="66"/>
        <v>215640</v>
      </c>
      <c r="H157" s="376">
        <f t="shared" si="66"/>
        <v>216760</v>
      </c>
      <c r="I157" s="376">
        <f t="shared" si="66"/>
        <v>215260</v>
      </c>
      <c r="J157" s="376">
        <f t="shared" si="66"/>
        <v>214100</v>
      </c>
      <c r="K157" s="376">
        <f t="shared" si="66"/>
        <v>213120</v>
      </c>
      <c r="L157" s="376">
        <f t="shared" si="66"/>
        <v>212320</v>
      </c>
      <c r="M157" s="376">
        <f t="shared" si="66"/>
        <v>211720</v>
      </c>
      <c r="N157" s="376">
        <f t="shared" si="66"/>
        <v>211300</v>
      </c>
      <c r="O157" s="376">
        <f t="shared" si="66"/>
        <v>211060</v>
      </c>
      <c r="P157" s="376">
        <f t="shared" si="66"/>
        <v>211020</v>
      </c>
      <c r="Q157" s="376">
        <f t="shared" si="66"/>
        <v>211160</v>
      </c>
      <c r="R157" s="376">
        <f t="shared" si="66"/>
        <v>211500</v>
      </c>
      <c r="S157" s="376">
        <f t="shared" si="66"/>
        <v>210800</v>
      </c>
      <c r="T157" s="376">
        <f t="shared" si="66"/>
        <v>213580</v>
      </c>
      <c r="U157" s="376">
        <f t="shared" si="66"/>
        <v>216500</v>
      </c>
      <c r="V157" s="376">
        <f t="shared" si="66"/>
        <v>219560</v>
      </c>
      <c r="W157" s="376">
        <f t="shared" si="66"/>
        <v>222760</v>
      </c>
      <c r="X157" s="376">
        <f t="shared" si="66"/>
        <v>222920</v>
      </c>
      <c r="Y157" s="376">
        <f t="shared" si="66"/>
        <v>226420</v>
      </c>
      <c r="Z157" s="376">
        <f t="shared" si="66"/>
        <v>230060</v>
      </c>
      <c r="AA157" s="376">
        <f t="shared" si="66"/>
        <v>233860</v>
      </c>
      <c r="AB157" s="376">
        <f t="shared" si="66"/>
        <v>237820</v>
      </c>
      <c r="AC157" s="376">
        <f t="shared" si="66"/>
        <v>240220</v>
      </c>
      <c r="AD157" s="376">
        <f t="shared" si="66"/>
        <v>245860</v>
      </c>
      <c r="AE157" s="376">
        <f t="shared" si="66"/>
        <v>251640</v>
      </c>
      <c r="AF157" s="376">
        <f t="shared" si="66"/>
        <v>257580</v>
      </c>
      <c r="AG157" s="376">
        <f t="shared" si="66"/>
        <v>263680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27.97646559158758</v>
      </c>
      <c r="D159" s="379">
        <f t="shared" si="67"/>
        <v>27.496841214114543</v>
      </c>
      <c r="E159" s="379">
        <f t="shared" si="67"/>
        <v>27.048867176271695</v>
      </c>
      <c r="F159" s="379">
        <f t="shared" si="67"/>
        <v>26.632543478059056</v>
      </c>
      <c r="G159" s="379">
        <f t="shared" si="67"/>
        <v>26.250304760986623</v>
      </c>
      <c r="H159" s="379">
        <f t="shared" si="67"/>
        <v>26.386644685547488</v>
      </c>
      <c r="I159" s="379">
        <f t="shared" si="67"/>
        <v>26.204046572296338</v>
      </c>
      <c r="J159" s="379">
        <f t="shared" si="67"/>
        <v>26.062837364715435</v>
      </c>
      <c r="K159" s="379">
        <f t="shared" si="67"/>
        <v>25.943539930724679</v>
      </c>
      <c r="L159" s="379">
        <f t="shared" si="67"/>
        <v>25.84615427032406</v>
      </c>
      <c r="M159" s="379">
        <f t="shared" si="67"/>
        <v>25.7731150250236</v>
      </c>
      <c r="N159" s="379">
        <f t="shared" si="67"/>
        <v>25.721987553313276</v>
      </c>
      <c r="O159" s="379">
        <f t="shared" si="67"/>
        <v>25.692771855193087</v>
      </c>
      <c r="P159" s="379">
        <f t="shared" si="67"/>
        <v>25.687902572173055</v>
      </c>
      <c r="Q159" s="379">
        <f t="shared" si="67"/>
        <v>25.704945062743164</v>
      </c>
      <c r="R159" s="379">
        <f t="shared" si="67"/>
        <v>25.746333968413424</v>
      </c>
      <c r="S159" s="379">
        <f t="shared" si="67"/>
        <v>25.661121515562886</v>
      </c>
      <c r="T159" s="379">
        <f t="shared" si="67"/>
        <v>25.99953668545503</v>
      </c>
      <c r="U159" s="379">
        <f t="shared" si="67"/>
        <v>26.354994345917294</v>
      </c>
      <c r="V159" s="379">
        <f t="shared" si="67"/>
        <v>26.72749449694966</v>
      </c>
      <c r="W159" s="379">
        <f t="shared" si="67"/>
        <v>27.117037138552131</v>
      </c>
      <c r="X159" s="379">
        <f t="shared" si="67"/>
        <v>27.136514270632254</v>
      </c>
      <c r="Y159" s="379">
        <f t="shared" si="67"/>
        <v>27.562576534884958</v>
      </c>
      <c r="Z159" s="379">
        <f t="shared" si="67"/>
        <v>28.00568128970777</v>
      </c>
      <c r="AA159" s="379">
        <f t="shared" si="67"/>
        <v>28.468263176610709</v>
      </c>
      <c r="AB159" s="379">
        <f t="shared" si="67"/>
        <v>28.950322195593763</v>
      </c>
      <c r="AC159" s="379">
        <f t="shared" si="67"/>
        <v>29.242479176795623</v>
      </c>
      <c r="AD159" s="379">
        <f t="shared" si="67"/>
        <v>29.929048082619978</v>
      </c>
      <c r="AE159" s="379">
        <f t="shared" si="67"/>
        <v>30.632659479014446</v>
      </c>
      <c r="AF159" s="379">
        <f t="shared" si="67"/>
        <v>31.355748007489034</v>
      </c>
      <c r="AG159" s="379">
        <f t="shared" si="67"/>
        <v>32.098313668043744</v>
      </c>
    </row>
    <row r="160" spans="1:34">
      <c r="A160" s="300" t="s">
        <v>321</v>
      </c>
      <c r="B160" s="300" t="s">
        <v>300</v>
      </c>
      <c r="C160" s="379">
        <f t="shared" si="67"/>
        <v>38.377659574468083</v>
      </c>
      <c r="D160" s="379">
        <f t="shared" si="67"/>
        <v>38.021276595744681</v>
      </c>
      <c r="E160" s="379">
        <f t="shared" si="67"/>
        <v>37.700452127659574</v>
      </c>
      <c r="F160" s="379">
        <f t="shared" si="67"/>
        <v>37.414393351063829</v>
      </c>
      <c r="G160" s="379">
        <f t="shared" si="67"/>
        <v>37.162345646276592</v>
      </c>
      <c r="H160" s="379">
        <f t="shared" si="67"/>
        <v>36.943591377952131</v>
      </c>
      <c r="I160" s="379">
        <f t="shared" si="67"/>
        <v>34.743354917498934</v>
      </c>
      <c r="J160" s="379">
        <f t="shared" si="67"/>
        <v>33.585374593326378</v>
      </c>
      <c r="K160" s="379">
        <f t="shared" si="67"/>
        <v>32.465909390632056</v>
      </c>
      <c r="L160" s="379">
        <f t="shared" si="67"/>
        <v>31.383505746714569</v>
      </c>
      <c r="M160" s="379">
        <f t="shared" si="67"/>
        <v>30.336770394253463</v>
      </c>
      <c r="N160" s="379">
        <f t="shared" si="67"/>
        <v>29.324367698498847</v>
      </c>
      <c r="O160" s="379">
        <f t="shared" si="67"/>
        <v>28.345017116787627</v>
      </c>
      <c r="P160" s="379">
        <f t="shared" si="67"/>
        <v>27.397490774625592</v>
      </c>
      <c r="Q160" s="379">
        <f t="shared" si="67"/>
        <v>26.480611152849956</v>
      </c>
      <c r="R160" s="379">
        <f t="shared" si="67"/>
        <v>25.593248880649561</v>
      </c>
      <c r="S160" s="379">
        <f t="shared" si="67"/>
        <v>23.629819581762558</v>
      </c>
      <c r="T160" s="379">
        <f t="shared" si="67"/>
        <v>22.958865266996824</v>
      </c>
      <c r="U160" s="379">
        <f t="shared" si="67"/>
        <v>22.311788056303588</v>
      </c>
      <c r="V160" s="379">
        <f t="shared" si="67"/>
        <v>21.687555949435914</v>
      </c>
      <c r="W160" s="379">
        <f t="shared" si="67"/>
        <v>21.085184973144464</v>
      </c>
      <c r="X160" s="379">
        <f t="shared" si="67"/>
        <v>20.503736874191674</v>
      </c>
      <c r="Y160" s="379">
        <f t="shared" si="67"/>
        <v>19.942316925012666</v>
      </c>
      <c r="Z160" s="379">
        <f t="shared" si="67"/>
        <v>19.400071836470154</v>
      </c>
      <c r="AA160" s="379">
        <f t="shared" si="67"/>
        <v>18.87618777242621</v>
      </c>
      <c r="AB160" s="379">
        <f t="shared" si="67"/>
        <v>18.369888461115099</v>
      </c>
      <c r="AC160" s="379">
        <f t="shared" si="67"/>
        <v>17.752644052833407</v>
      </c>
      <c r="AD160" s="379">
        <f t="shared" si="67"/>
        <v>17.813827425000628</v>
      </c>
      <c r="AE160" s="379">
        <f t="shared" si="67"/>
        <v>17.895796643390167</v>
      </c>
      <c r="AF160" s="379">
        <f t="shared" si="67"/>
        <v>17.998217750680137</v>
      </c>
      <c r="AG160" s="379">
        <f t="shared" si="67"/>
        <v>18.120788936597087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22.090422222222223</v>
      </c>
      <c r="D161" s="379">
        <f t="shared" si="68"/>
        <v>22.375945000000002</v>
      </c>
      <c r="E161" s="379">
        <f t="shared" si="68"/>
        <v>22.683094152777777</v>
      </c>
      <c r="F161" s="379">
        <f t="shared" si="68"/>
        <v>23.011984321180559</v>
      </c>
      <c r="G161" s="379">
        <f t="shared" si="68"/>
        <v>23.362960979039929</v>
      </c>
      <c r="H161" s="379">
        <f t="shared" si="68"/>
        <v>23.780378447627267</v>
      </c>
      <c r="I161" s="379">
        <f t="shared" si="68"/>
        <v>24.217416314940078</v>
      </c>
      <c r="J161" s="379">
        <f t="shared" si="68"/>
        <v>24.676804456819394</v>
      </c>
      <c r="K161" s="379">
        <f t="shared" si="68"/>
        <v>25.156953295417242</v>
      </c>
      <c r="L161" s="379">
        <f t="shared" si="68"/>
        <v>25.669171212745333</v>
      </c>
      <c r="M161" s="379">
        <f t="shared" si="68"/>
        <v>26.202775987144204</v>
      </c>
      <c r="N161" s="379">
        <f t="shared" si="68"/>
        <v>26.768872910116663</v>
      </c>
      <c r="O161" s="379">
        <f t="shared" si="68"/>
        <v>27.356577361837093</v>
      </c>
      <c r="P161" s="379">
        <f t="shared" si="68"/>
        <v>27.977459623669361</v>
      </c>
      <c r="Q161" s="379">
        <f t="shared" si="68"/>
        <v>28.631545261604582</v>
      </c>
      <c r="R161" s="379">
        <f t="shared" si="68"/>
        <v>29.319315525664049</v>
      </c>
      <c r="S161" s="379">
        <f t="shared" si="68"/>
        <v>30.046174286291524</v>
      </c>
      <c r="T161" s="379">
        <f t="shared" si="68"/>
        <v>30.842814910779992</v>
      </c>
      <c r="U161" s="379">
        <f t="shared" si="68"/>
        <v>31.683553726742279</v>
      </c>
      <c r="V161" s="379">
        <f t="shared" si="68"/>
        <v>32.557608510091534</v>
      </c>
      <c r="W161" s="379">
        <f t="shared" si="68"/>
        <v>33.465321205700747</v>
      </c>
      <c r="X161" s="379">
        <f t="shared" si="68"/>
        <v>34.371714001323745</v>
      </c>
      <c r="Y161" s="379">
        <f t="shared" si="68"/>
        <v>35.359156533352156</v>
      </c>
      <c r="Z161" s="379">
        <f t="shared" si="68"/>
        <v>36.381366447459158</v>
      </c>
      <c r="AA161" s="379">
        <f t="shared" si="68"/>
        <v>37.45007664832508</v>
      </c>
      <c r="AB161" s="379">
        <f t="shared" si="68"/>
        <v>38.565702572674468</v>
      </c>
      <c r="AC161" s="379">
        <f t="shared" si="68"/>
        <v>39.763867896807248</v>
      </c>
      <c r="AD161" s="379">
        <f t="shared" si="68"/>
        <v>41.044052183895374</v>
      </c>
      <c r="AE161" s="379">
        <f t="shared" si="68"/>
        <v>42.372283338179194</v>
      </c>
      <c r="AF161" s="379">
        <f t="shared" si="68"/>
        <v>43.760385584859186</v>
      </c>
      <c r="AG161" s="379">
        <f t="shared" si="68"/>
        <v>45.197757986093478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1.8239682539682547</v>
      </c>
      <c r="D162" s="379">
        <f t="shared" si="69"/>
        <v>1.7926984126984133</v>
      </c>
      <c r="E162" s="379">
        <f t="shared" si="69"/>
        <v>1.7634920634920643</v>
      </c>
      <c r="F162" s="379">
        <f t="shared" si="69"/>
        <v>1.7363492063492072</v>
      </c>
      <c r="G162" s="379">
        <f t="shared" si="69"/>
        <v>1.7114285714285722</v>
      </c>
      <c r="H162" s="379">
        <f t="shared" si="69"/>
        <v>1.7203174603174611</v>
      </c>
      <c r="I162" s="379">
        <f t="shared" si="69"/>
        <v>1.708412698412699</v>
      </c>
      <c r="J162" s="379">
        <f t="shared" si="69"/>
        <v>1.6992063492063501</v>
      </c>
      <c r="K162" s="379">
        <f t="shared" si="69"/>
        <v>1.6914285714285722</v>
      </c>
      <c r="L162" s="379">
        <f t="shared" si="69"/>
        <v>1.6850793650793658</v>
      </c>
      <c r="M162" s="379">
        <f t="shared" si="69"/>
        <v>1.6803174603174611</v>
      </c>
      <c r="N162" s="379">
        <f t="shared" si="69"/>
        <v>3.3539682539682554</v>
      </c>
      <c r="O162" s="379">
        <f t="shared" si="69"/>
        <v>3.3501587301587317</v>
      </c>
      <c r="P162" s="379">
        <f t="shared" si="69"/>
        <v>3.3495238095238111</v>
      </c>
      <c r="Q162" s="379">
        <f t="shared" si="69"/>
        <v>3.3517460317460332</v>
      </c>
      <c r="R162" s="379">
        <f t="shared" si="69"/>
        <v>3.3571428571428585</v>
      </c>
      <c r="S162" s="379">
        <f t="shared" si="69"/>
        <v>3.3460317460317475</v>
      </c>
      <c r="T162" s="379">
        <f t="shared" si="69"/>
        <v>3.3901587301587317</v>
      </c>
      <c r="U162" s="379">
        <f t="shared" si="69"/>
        <v>3.4365079365079381</v>
      </c>
      <c r="V162" s="379">
        <f t="shared" si="69"/>
        <v>3.4850793650793666</v>
      </c>
      <c r="W162" s="379">
        <f t="shared" si="69"/>
        <v>3.5358730158730172</v>
      </c>
      <c r="X162" s="379">
        <f t="shared" si="69"/>
        <v>5.3076190476190481</v>
      </c>
      <c r="Y162" s="379">
        <f t="shared" si="69"/>
        <v>5.3909523809523821</v>
      </c>
      <c r="Z162" s="379">
        <f t="shared" si="69"/>
        <v>5.4776190476190481</v>
      </c>
      <c r="AA162" s="379">
        <f t="shared" si="69"/>
        <v>5.5680952380952391</v>
      </c>
      <c r="AB162" s="379">
        <f t="shared" si="69"/>
        <v>5.6623809523809534</v>
      </c>
      <c r="AC162" s="379">
        <f t="shared" si="69"/>
        <v>5.7195238095238103</v>
      </c>
      <c r="AD162" s="379">
        <f t="shared" si="69"/>
        <v>5.8538095238095247</v>
      </c>
      <c r="AE162" s="379">
        <f t="shared" si="69"/>
        <v>5.991428571428572</v>
      </c>
      <c r="AF162" s="379">
        <f t="shared" si="69"/>
        <v>6.1328571428571435</v>
      </c>
      <c r="AG162" s="379">
        <f t="shared" si="69"/>
        <v>6.2780952380952391</v>
      </c>
    </row>
    <row r="163" spans="1:33">
      <c r="A163" s="380" t="s">
        <v>323</v>
      </c>
      <c r="B163" s="300" t="s">
        <v>300</v>
      </c>
      <c r="C163" s="387">
        <f>SUM(C159:C161)-C162</f>
        <v>86.620579134309637</v>
      </c>
      <c r="D163" s="387">
        <f t="shared" ref="D163:AG163" si="70">SUM(D159:D161)-D162</f>
        <v>86.101364397160808</v>
      </c>
      <c r="E163" s="387">
        <f t="shared" si="70"/>
        <v>85.668921393216976</v>
      </c>
      <c r="F163" s="387">
        <f t="shared" si="70"/>
        <v>85.322571943954244</v>
      </c>
      <c r="G163" s="387">
        <f t="shared" si="70"/>
        <v>85.06418281487457</v>
      </c>
      <c r="H163" s="387">
        <f t="shared" si="70"/>
        <v>85.390297050809423</v>
      </c>
      <c r="I163" s="387">
        <f t="shared" si="70"/>
        <v>83.456405106322649</v>
      </c>
      <c r="J163" s="387">
        <f t="shared" si="70"/>
        <v>82.625810065654861</v>
      </c>
      <c r="K163" s="387">
        <f t="shared" si="70"/>
        <v>81.874974045345397</v>
      </c>
      <c r="L163" s="387">
        <f t="shared" si="70"/>
        <v>81.213751864704591</v>
      </c>
      <c r="M163" s="387">
        <f t="shared" si="70"/>
        <v>80.632343946103816</v>
      </c>
      <c r="N163" s="387">
        <f t="shared" si="70"/>
        <v>78.461259907960525</v>
      </c>
      <c r="O163" s="387">
        <f t="shared" si="70"/>
        <v>78.044207603659089</v>
      </c>
      <c r="P163" s="387">
        <f t="shared" si="70"/>
        <v>77.713329160944198</v>
      </c>
      <c r="Q163" s="387">
        <f t="shared" si="70"/>
        <v>77.465355445451678</v>
      </c>
      <c r="R163" s="387">
        <f t="shared" si="70"/>
        <v>77.301755517584169</v>
      </c>
      <c r="S163" s="387">
        <f t="shared" si="70"/>
        <v>75.991083637585234</v>
      </c>
      <c r="T163" s="387">
        <f t="shared" si="70"/>
        <v>76.411058133073112</v>
      </c>
      <c r="U163" s="387">
        <f t="shared" si="70"/>
        <v>76.913828192455227</v>
      </c>
      <c r="V163" s="387">
        <f t="shared" si="70"/>
        <v>77.487579591397747</v>
      </c>
      <c r="W163" s="387">
        <f t="shared" si="70"/>
        <v>78.131670301524323</v>
      </c>
      <c r="X163" s="387">
        <f t="shared" si="70"/>
        <v>76.704346098528632</v>
      </c>
      <c r="Y163" s="387">
        <f t="shared" si="70"/>
        <v>77.473097612297394</v>
      </c>
      <c r="Z163" s="387">
        <f t="shared" si="70"/>
        <v>78.309500526018041</v>
      </c>
      <c r="AA163" s="387">
        <f t="shared" si="70"/>
        <v>79.226432359266752</v>
      </c>
      <c r="AB163" s="387">
        <f t="shared" si="70"/>
        <v>80.223532277002377</v>
      </c>
      <c r="AC163" s="387">
        <f t="shared" si="70"/>
        <v>81.039467316912479</v>
      </c>
      <c r="AD163" s="387">
        <f t="shared" si="70"/>
        <v>82.933118167706454</v>
      </c>
      <c r="AE163" s="387">
        <f t="shared" si="70"/>
        <v>84.909310889155236</v>
      </c>
      <c r="AF163" s="387">
        <f t="shared" si="70"/>
        <v>86.981494200171198</v>
      </c>
      <c r="AG163" s="387">
        <f t="shared" si="70"/>
        <v>89.138765352639069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41.427447209915805</v>
      </c>
      <c r="D165" s="379">
        <f t="shared" si="72"/>
        <v>44.210293914003906</v>
      </c>
      <c r="E165" s="379">
        <f t="shared" si="72"/>
        <v>45.294561076091213</v>
      </c>
      <c r="F165" s="379">
        <f t="shared" si="72"/>
        <v>46.411335797702478</v>
      </c>
      <c r="G165" s="379">
        <f t="shared" si="72"/>
        <v>47.561035990320406</v>
      </c>
      <c r="H165" s="379">
        <f t="shared" si="72"/>
        <v>49.457988472272156</v>
      </c>
      <c r="I165" s="379">
        <f t="shared" si="72"/>
        <v>50.696965475845452</v>
      </c>
      <c r="J165" s="379">
        <f t="shared" si="72"/>
        <v>51.971450143105415</v>
      </c>
      <c r="K165" s="379">
        <f t="shared" si="72"/>
        <v>53.282271875937433</v>
      </c>
      <c r="L165" s="379">
        <f t="shared" si="72"/>
        <v>54.641029299165012</v>
      </c>
      <c r="M165" s="379">
        <f t="shared" si="72"/>
        <v>56.037470982569616</v>
      </c>
      <c r="N165" s="379">
        <f t="shared" si="72"/>
        <v>58.339282063741145</v>
      </c>
      <c r="O165" s="379">
        <f t="shared" si="72"/>
        <v>59.850489938348687</v>
      </c>
      <c r="P165" s="379">
        <f t="shared" si="72"/>
        <v>61.402479962227154</v>
      </c>
      <c r="Q165" s="379">
        <f t="shared" si="72"/>
        <v>63.007321818479177</v>
      </c>
      <c r="R165" s="379">
        <f t="shared" si="72"/>
        <v>64.654686989945887</v>
      </c>
      <c r="S165" s="379">
        <f t="shared" si="72"/>
        <v>66.356682361438814</v>
      </c>
      <c r="T165" s="379">
        <f t="shared" si="72"/>
        <v>68.114129036895065</v>
      </c>
      <c r="U165" s="379">
        <f t="shared" si="72"/>
        <v>69.928062657012561</v>
      </c>
      <c r="V165" s="379">
        <f t="shared" si="72"/>
        <v>71.799539858153992</v>
      </c>
      <c r="W165" s="379">
        <f t="shared" si="72"/>
        <v>73.7294447580298</v>
      </c>
      <c r="X165" s="379">
        <f t="shared" si="72"/>
        <v>76.88397726230518</v>
      </c>
      <c r="Y165" s="379">
        <f t="shared" si="72"/>
        <v>78.969210166908908</v>
      </c>
      <c r="Z165" s="379">
        <f t="shared" si="72"/>
        <v>81.117291809241607</v>
      </c>
      <c r="AA165" s="379">
        <f t="shared" si="72"/>
        <v>83.340538386004596</v>
      </c>
      <c r="AB165" s="379">
        <f t="shared" si="72"/>
        <v>85.629069767545673</v>
      </c>
      <c r="AC165" s="379">
        <f t="shared" si="72"/>
        <v>87.995254869632959</v>
      </c>
      <c r="AD165" s="379">
        <f t="shared" si="72"/>
        <v>90.429268171259793</v>
      </c>
      <c r="AE165" s="379">
        <f t="shared" si="72"/>
        <v>92.943745288429568</v>
      </c>
      <c r="AF165" s="379">
        <f t="shared" si="72"/>
        <v>95.540030415388657</v>
      </c>
      <c r="AG165" s="379">
        <f t="shared" si="72"/>
        <v>98.219498641897403</v>
      </c>
    </row>
    <row r="166" spans="1:33">
      <c r="A166" s="368" t="s">
        <v>179</v>
      </c>
      <c r="B166" s="368" t="s">
        <v>179</v>
      </c>
      <c r="C166" s="379">
        <f t="shared" ref="C166:AG166" si="73">C95</f>
        <v>40.928471854375822</v>
      </c>
      <c r="D166" s="379">
        <f t="shared" si="73"/>
        <v>42.515194124412901</v>
      </c>
      <c r="E166" s="379">
        <f t="shared" si="73"/>
        <v>43.765690666132144</v>
      </c>
      <c r="F166" s="379">
        <f t="shared" si="73"/>
        <v>45.0607835061044</v>
      </c>
      <c r="G166" s="379">
        <f t="shared" si="73"/>
        <v>46.397523712125988</v>
      </c>
      <c r="H166" s="379">
        <f t="shared" si="73"/>
        <v>48.523863012053909</v>
      </c>
      <c r="I166" s="379">
        <f t="shared" si="73"/>
        <v>49.972419676031876</v>
      </c>
      <c r="J166" s="379">
        <f t="shared" si="73"/>
        <v>51.466978027364014</v>
      </c>
      <c r="K166" s="379">
        <f t="shared" si="73"/>
        <v>53.010287562368596</v>
      </c>
      <c r="L166" s="379">
        <f t="shared" si="73"/>
        <v>54.614375231527873</v>
      </c>
      <c r="M166" s="379">
        <f t="shared" si="73"/>
        <v>56.267213115948259</v>
      </c>
      <c r="N166" s="379">
        <f t="shared" si="73"/>
        <v>58.893388476311621</v>
      </c>
      <c r="O166" s="379">
        <f t="shared" si="73"/>
        <v>60.689150116269985</v>
      </c>
      <c r="P166" s="379">
        <f t="shared" si="73"/>
        <v>62.541374022958891</v>
      </c>
      <c r="Q166" s="379">
        <f t="shared" si="73"/>
        <v>64.458206911908647</v>
      </c>
      <c r="R166" s="379">
        <f t="shared" si="73"/>
        <v>66.435719161441128</v>
      </c>
      <c r="S166" s="379">
        <f t="shared" si="73"/>
        <v>68.482131067305048</v>
      </c>
      <c r="T166" s="379">
        <f t="shared" si="73"/>
        <v>70.600656338810083</v>
      </c>
      <c r="U166" s="379">
        <f t="shared" si="73"/>
        <v>72.792526767320254</v>
      </c>
      <c r="V166" s="379">
        <f t="shared" si="73"/>
        <v>75.05901554582023</v>
      </c>
      <c r="W166" s="379">
        <f t="shared" si="73"/>
        <v>77.403460636852515</v>
      </c>
      <c r="X166" s="379">
        <f t="shared" si="73"/>
        <v>81.063930576901171</v>
      </c>
      <c r="Y166" s="379">
        <f t="shared" si="73"/>
        <v>83.603535997852333</v>
      </c>
      <c r="Z166" s="379">
        <f t="shared" si="73"/>
        <v>86.226428870382691</v>
      </c>
      <c r="AA166" s="379">
        <f t="shared" si="73"/>
        <v>88.94740358202553</v>
      </c>
      <c r="AB166" s="379">
        <f t="shared" si="73"/>
        <v>91.752541017530206</v>
      </c>
      <c r="AC166" s="379">
        <f t="shared" si="73"/>
        <v>94.661100143151558</v>
      </c>
      <c r="AD166" s="379">
        <f t="shared" si="73"/>
        <v>97.659268645372222</v>
      </c>
      <c r="AE166" s="379">
        <f t="shared" si="73"/>
        <v>100.76423531454027</v>
      </c>
      <c r="AF166" s="379">
        <f t="shared" si="73"/>
        <v>103.97559394510671</v>
      </c>
      <c r="AG166" s="379">
        <f t="shared" si="73"/>
        <v>107.29517915499662</v>
      </c>
    </row>
    <row r="167" spans="1:33">
      <c r="A167" s="300" t="s">
        <v>180</v>
      </c>
      <c r="B167" s="300" t="s">
        <v>180</v>
      </c>
      <c r="C167" s="379">
        <f t="shared" ref="C167:AG167" si="74">C112</f>
        <v>41.079896749959829</v>
      </c>
      <c r="D167" s="379">
        <f t="shared" si="74"/>
        <v>42.369525247180967</v>
      </c>
      <c r="E167" s="379">
        <f t="shared" si="74"/>
        <v>43.595454494328955</v>
      </c>
      <c r="F167" s="379">
        <f t="shared" si="74"/>
        <v>44.863435704342422</v>
      </c>
      <c r="G167" s="379">
        <f t="shared" si="74"/>
        <v>46.172362724282749</v>
      </c>
      <c r="H167" s="379">
        <f t="shared" si="74"/>
        <v>48.2683030223847</v>
      </c>
      <c r="I167" s="379">
        <f t="shared" si="74"/>
        <v>49.687579616584998</v>
      </c>
      <c r="J167" s="379">
        <f t="shared" si="74"/>
        <v>51.150228075883838</v>
      </c>
      <c r="K167" s="379">
        <f t="shared" si="74"/>
        <v>52.660838111258599</v>
      </c>
      <c r="L167" s="379">
        <f t="shared" si="74"/>
        <v>54.229549772025052</v>
      </c>
      <c r="M167" s="379">
        <f t="shared" si="74"/>
        <v>55.848037166292059</v>
      </c>
      <c r="N167" s="379">
        <f t="shared" si="74"/>
        <v>58.48491377580109</v>
      </c>
      <c r="O167" s="379">
        <f t="shared" si="74"/>
        <v>60.244097199283431</v>
      </c>
      <c r="P167" s="379">
        <f t="shared" si="74"/>
        <v>62.054783631686135</v>
      </c>
      <c r="Q167" s="379">
        <f t="shared" si="74"/>
        <v>63.931158156683026</v>
      </c>
      <c r="R167" s="379">
        <f t="shared" si="74"/>
        <v>65.865218981418408</v>
      </c>
      <c r="S167" s="379">
        <f t="shared" si="74"/>
        <v>67.867179211205922</v>
      </c>
      <c r="T167" s="379">
        <f t="shared" si="74"/>
        <v>69.940222547816859</v>
      </c>
      <c r="U167" s="379">
        <f t="shared" si="74"/>
        <v>72.08352793175338</v>
      </c>
      <c r="V167" s="379">
        <f t="shared" si="74"/>
        <v>74.30238060719735</v>
      </c>
      <c r="W167" s="379">
        <f t="shared" si="74"/>
        <v>76.594019917351901</v>
      </c>
      <c r="X167" s="379">
        <f t="shared" si="74"/>
        <v>80.242228993926759</v>
      </c>
      <c r="Y167" s="379">
        <f t="shared" si="74"/>
        <v>82.727744278432084</v>
      </c>
      <c r="Z167" s="379">
        <f t="shared" si="74"/>
        <v>85.293136158353221</v>
      </c>
      <c r="AA167" s="379">
        <f t="shared" si="74"/>
        <v>87.95098144248027</v>
      </c>
      <c r="AB167" s="379">
        <f t="shared" si="74"/>
        <v>90.696045695934885</v>
      </c>
      <c r="AC167" s="379">
        <f t="shared" si="74"/>
        <v>93.541006712172404</v>
      </c>
      <c r="AD167" s="379">
        <f t="shared" si="74"/>
        <v>96.472011850053136</v>
      </c>
      <c r="AE167" s="379">
        <f t="shared" si="74"/>
        <v>99.508389035730175</v>
      </c>
      <c r="AF167" s="379">
        <f t="shared" si="74"/>
        <v>102.64750860682396</v>
      </c>
      <c r="AG167" s="379">
        <f t="shared" si="74"/>
        <v>105.8955224606899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52.148165550241181</v>
      </c>
      <c r="D168" s="379">
        <f t="shared" si="75"/>
        <v>52.540073787739402</v>
      </c>
      <c r="E168" s="379">
        <f t="shared" si="75"/>
        <v>52.875755351700093</v>
      </c>
      <c r="F168" s="379">
        <f t="shared" si="75"/>
        <v>52.756196274493185</v>
      </c>
      <c r="G168" s="379">
        <f t="shared" si="75"/>
        <v>52.580886289608983</v>
      </c>
      <c r="H168" s="379">
        <f t="shared" si="75"/>
        <v>53.135006815199809</v>
      </c>
      <c r="I168" s="379">
        <f t="shared" si="75"/>
        <v>51.57171605063543</v>
      </c>
      <c r="J168" s="379">
        <f t="shared" si="75"/>
        <v>51.870194933100329</v>
      </c>
      <c r="K168" s="379">
        <f t="shared" si="75"/>
        <v>52.012779161722321</v>
      </c>
      <c r="L168" s="379">
        <f t="shared" si="75"/>
        <v>52.271524903784439</v>
      </c>
      <c r="M168" s="379">
        <f t="shared" si="75"/>
        <v>52.645518554585152</v>
      </c>
      <c r="N168" s="379">
        <f t="shared" si="75"/>
        <v>51.932511681288872</v>
      </c>
      <c r="O168" s="379">
        <f t="shared" si="75"/>
        <v>52.580742533218732</v>
      </c>
      <c r="P168" s="379">
        <f t="shared" si="75"/>
        <v>53.247653116909945</v>
      </c>
      <c r="Q168" s="379">
        <f t="shared" si="75"/>
        <v>54.000915124284546</v>
      </c>
      <c r="R168" s="379">
        <f t="shared" si="75"/>
        <v>54.84704648373198</v>
      </c>
      <c r="S168" s="379">
        <f t="shared" si="75"/>
        <v>55.62432447641833</v>
      </c>
      <c r="T168" s="379">
        <f t="shared" si="75"/>
        <v>56.795414023946329</v>
      </c>
      <c r="U168" s="379">
        <f t="shared" si="75"/>
        <v>57.991694503457346</v>
      </c>
      <c r="V168" s="379">
        <f t="shared" si="75"/>
        <v>59.23924827183582</v>
      </c>
      <c r="W168" s="379">
        <f t="shared" si="75"/>
        <v>60.537340515621686</v>
      </c>
      <c r="X168" s="379">
        <f t="shared" si="75"/>
        <v>60.364403802558208</v>
      </c>
      <c r="Y168" s="379">
        <f t="shared" si="75"/>
        <v>61.750862897098919</v>
      </c>
      <c r="Z168" s="379">
        <f t="shared" si="75"/>
        <v>63.192857181178702</v>
      </c>
      <c r="AA168" s="379">
        <f t="shared" si="75"/>
        <v>64.703213943803348</v>
      </c>
      <c r="AB168" s="379">
        <f t="shared" si="75"/>
        <v>66.279298831324269</v>
      </c>
      <c r="AC168" s="379">
        <f t="shared" si="75"/>
        <v>68.23083837752273</v>
      </c>
      <c r="AD168" s="379">
        <f t="shared" si="75"/>
        <v>70.300459341033573</v>
      </c>
      <c r="AE168" s="379">
        <f t="shared" si="75"/>
        <v>72.444190299388524</v>
      </c>
      <c r="AF168" s="379">
        <f t="shared" si="75"/>
        <v>74.677920883166138</v>
      </c>
      <c r="AG168" s="379">
        <f t="shared" si="75"/>
        <v>76.99093376659998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78.874951305057635</v>
      </c>
      <c r="D169" s="379">
        <f t="shared" si="76"/>
        <v>78.917537334042294</v>
      </c>
      <c r="E169" s="379">
        <f t="shared" si="76"/>
        <v>79.041566090003656</v>
      </c>
      <c r="F169" s="379">
        <f t="shared" si="76"/>
        <v>79.248503519078568</v>
      </c>
      <c r="G169" s="379">
        <f t="shared" si="76"/>
        <v>79.533096695021769</v>
      </c>
      <c r="H169" s="379">
        <f t="shared" si="76"/>
        <v>80.800948173505901</v>
      </c>
      <c r="I169" s="379">
        <f t="shared" si="76"/>
        <v>78.614455917088762</v>
      </c>
      <c r="J169" s="379">
        <f t="shared" si="76"/>
        <v>77.848572097444432</v>
      </c>
      <c r="K169" s="379">
        <f t="shared" si="76"/>
        <v>77.169814258387206</v>
      </c>
      <c r="L169" s="379">
        <f t="shared" si="76"/>
        <v>76.583166703065288</v>
      </c>
      <c r="M169" s="379">
        <f t="shared" si="76"/>
        <v>76.080525090760744</v>
      </c>
      <c r="N169" s="379">
        <f t="shared" si="76"/>
        <v>74.639635041907397</v>
      </c>
      <c r="O169" s="379">
        <f t="shared" si="76"/>
        <v>74.289675196498024</v>
      </c>
      <c r="P169" s="379">
        <f t="shared" si="76"/>
        <v>74.016500104461869</v>
      </c>
      <c r="Q169" s="379">
        <f t="shared" si="76"/>
        <v>73.830052761276477</v>
      </c>
      <c r="R169" s="379">
        <f t="shared" si="76"/>
        <v>73.722336596459058</v>
      </c>
      <c r="S169" s="379">
        <f t="shared" si="76"/>
        <v>72.310634155623021</v>
      </c>
      <c r="T169" s="379">
        <f t="shared" si="76"/>
        <v>72.669400481601684</v>
      </c>
      <c r="U169" s="379">
        <f t="shared" si="76"/>
        <v>73.107640902650076</v>
      </c>
      <c r="V169" s="379">
        <f t="shared" si="76"/>
        <v>73.624467109688382</v>
      </c>
      <c r="W169" s="379">
        <f t="shared" si="76"/>
        <v>74.219074091042046</v>
      </c>
      <c r="X169" s="379">
        <f t="shared" si="76"/>
        <v>74.239864808581572</v>
      </c>
      <c r="Y169" s="379">
        <f t="shared" si="76"/>
        <v>74.971866839120239</v>
      </c>
      <c r="Z169" s="379">
        <f t="shared" si="76"/>
        <v>75.781257964409292</v>
      </c>
      <c r="AA169" s="379">
        <f t="shared" si="76"/>
        <v>76.676634228981115</v>
      </c>
      <c r="AB169" s="379">
        <f t="shared" si="76"/>
        <v>77.648486848022628</v>
      </c>
      <c r="AC169" s="379">
        <f t="shared" si="76"/>
        <v>78.539215510124478</v>
      </c>
      <c r="AD169" s="379">
        <f t="shared" si="76"/>
        <v>80.390871368077001</v>
      </c>
      <c r="AE169" s="379">
        <f t="shared" si="76"/>
        <v>82.336379108716713</v>
      </c>
      <c r="AF169" s="379">
        <f t="shared" si="76"/>
        <v>84.378034217770818</v>
      </c>
      <c r="AG169" s="379">
        <f t="shared" si="76"/>
        <v>86.516181581359035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86.620579134309637</v>
      </c>
      <c r="D170" s="379">
        <f t="shared" si="78"/>
        <v>86.101364397160808</v>
      </c>
      <c r="E170" s="379">
        <f t="shared" si="78"/>
        <v>85.668921393216976</v>
      </c>
      <c r="F170" s="379">
        <f t="shared" si="78"/>
        <v>85.322571943954244</v>
      </c>
      <c r="G170" s="379">
        <f t="shared" si="78"/>
        <v>85.06418281487457</v>
      </c>
      <c r="H170" s="379">
        <f t="shared" si="78"/>
        <v>85.390297050809423</v>
      </c>
      <c r="I170" s="379">
        <f t="shared" si="78"/>
        <v>83.456405106322649</v>
      </c>
      <c r="J170" s="379">
        <f t="shared" si="78"/>
        <v>82.625810065654861</v>
      </c>
      <c r="K170" s="379">
        <f t="shared" si="78"/>
        <v>81.874974045345397</v>
      </c>
      <c r="L170" s="379">
        <f t="shared" si="78"/>
        <v>81.213751864704591</v>
      </c>
      <c r="M170" s="379">
        <f t="shared" si="78"/>
        <v>80.632343946103816</v>
      </c>
      <c r="N170" s="379">
        <f t="shared" si="78"/>
        <v>78.461259907960525</v>
      </c>
      <c r="O170" s="379">
        <f t="shared" si="78"/>
        <v>78.044207603659089</v>
      </c>
      <c r="P170" s="379">
        <f t="shared" si="78"/>
        <v>77.713329160944198</v>
      </c>
      <c r="Q170" s="379">
        <f t="shared" si="78"/>
        <v>77.465355445451678</v>
      </c>
      <c r="R170" s="379">
        <f t="shared" si="78"/>
        <v>77.301755517584169</v>
      </c>
      <c r="S170" s="379">
        <f t="shared" si="78"/>
        <v>75.991083637585234</v>
      </c>
      <c r="T170" s="379">
        <f t="shared" si="78"/>
        <v>76.411058133073112</v>
      </c>
      <c r="U170" s="379">
        <f t="shared" si="78"/>
        <v>76.913828192455227</v>
      </c>
      <c r="V170" s="379">
        <f t="shared" si="78"/>
        <v>77.487579591397747</v>
      </c>
      <c r="W170" s="379">
        <f t="shared" si="78"/>
        <v>78.131670301524323</v>
      </c>
      <c r="X170" s="379">
        <f t="shared" si="78"/>
        <v>76.704346098528632</v>
      </c>
      <c r="Y170" s="379">
        <f t="shared" si="78"/>
        <v>77.473097612297394</v>
      </c>
      <c r="Z170" s="379">
        <f t="shared" si="78"/>
        <v>78.309500526018041</v>
      </c>
      <c r="AA170" s="379">
        <f t="shared" si="78"/>
        <v>79.226432359266752</v>
      </c>
      <c r="AB170" s="379">
        <f t="shared" si="78"/>
        <v>80.223532277002377</v>
      </c>
      <c r="AC170" s="379">
        <f t="shared" si="78"/>
        <v>81.039467316912479</v>
      </c>
      <c r="AD170" s="379">
        <f t="shared" si="78"/>
        <v>82.933118167706454</v>
      </c>
      <c r="AE170" s="379">
        <f t="shared" si="78"/>
        <v>84.909310889155236</v>
      </c>
      <c r="AF170" s="379">
        <f t="shared" si="78"/>
        <v>86.981494200171198</v>
      </c>
      <c r="AG170" s="379">
        <f t="shared" si="78"/>
        <v>89.138765352639069</v>
      </c>
    </row>
    <row r="171" spans="1:33">
      <c r="A171" s="300" t="s">
        <v>334</v>
      </c>
      <c r="C171" s="379">
        <f t="shared" ref="C171:AG171" si="79">C165*0.9</f>
        <v>37.284702488924225</v>
      </c>
      <c r="D171" s="379">
        <f t="shared" si="79"/>
        <v>39.789264522603517</v>
      </c>
      <c r="E171" s="379">
        <f t="shared" si="79"/>
        <v>40.765104968482092</v>
      </c>
      <c r="F171" s="379">
        <f t="shared" si="79"/>
        <v>41.77020221793223</v>
      </c>
      <c r="G171" s="379">
        <f t="shared" si="79"/>
        <v>42.804932391288368</v>
      </c>
      <c r="H171" s="379">
        <f t="shared" si="79"/>
        <v>44.51218962504494</v>
      </c>
      <c r="I171" s="379">
        <f t="shared" si="79"/>
        <v>45.627268928260911</v>
      </c>
      <c r="J171" s="379">
        <f t="shared" si="79"/>
        <v>46.774305128794872</v>
      </c>
      <c r="K171" s="379">
        <f t="shared" si="79"/>
        <v>47.954044688343693</v>
      </c>
      <c r="L171" s="379">
        <f t="shared" si="79"/>
        <v>49.176926369248513</v>
      </c>
      <c r="M171" s="379">
        <f t="shared" si="79"/>
        <v>50.433723884312656</v>
      </c>
      <c r="N171" s="379">
        <f t="shared" si="79"/>
        <v>52.505353857367034</v>
      </c>
      <c r="O171" s="379">
        <f t="shared" si="79"/>
        <v>53.865440944513821</v>
      </c>
      <c r="P171" s="379">
        <f t="shared" si="79"/>
        <v>55.262231966004443</v>
      </c>
      <c r="Q171" s="379">
        <f t="shared" si="79"/>
        <v>56.706589636631257</v>
      </c>
      <c r="R171" s="379">
        <f t="shared" si="79"/>
        <v>58.189218290951302</v>
      </c>
      <c r="S171" s="379">
        <f t="shared" si="79"/>
        <v>59.721014125294936</v>
      </c>
      <c r="T171" s="379">
        <f t="shared" si="79"/>
        <v>61.302716133205557</v>
      </c>
      <c r="U171" s="379">
        <f t="shared" si="79"/>
        <v>62.935256391311306</v>
      </c>
      <c r="V171" s="379">
        <f t="shared" si="79"/>
        <v>64.61958587233859</v>
      </c>
      <c r="W171" s="379">
        <f t="shared" si="79"/>
        <v>66.356500282226818</v>
      </c>
      <c r="X171" s="379">
        <f t="shared" si="79"/>
        <v>69.195579536074661</v>
      </c>
      <c r="Y171" s="379">
        <f t="shared" si="79"/>
        <v>71.072289150218026</v>
      </c>
      <c r="Z171" s="379">
        <f t="shared" si="79"/>
        <v>73.005562628317449</v>
      </c>
      <c r="AA171" s="379">
        <f t="shared" si="79"/>
        <v>75.006484547404142</v>
      </c>
      <c r="AB171" s="379">
        <f t="shared" si="79"/>
        <v>77.066162790791111</v>
      </c>
      <c r="AC171" s="379">
        <f t="shared" si="79"/>
        <v>79.195729382669668</v>
      </c>
      <c r="AD171" s="379">
        <f t="shared" si="79"/>
        <v>81.386341354133819</v>
      </c>
      <c r="AE171" s="379">
        <f t="shared" si="79"/>
        <v>83.649370759586617</v>
      </c>
      <c r="AF171" s="379">
        <f t="shared" si="79"/>
        <v>85.986027373849794</v>
      </c>
      <c r="AG171" s="379">
        <f t="shared" si="79"/>
        <v>88.397548777707669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2.2393214708062597</v>
      </c>
      <c r="D174" s="379">
        <f t="shared" si="81"/>
        <v>2.3897456169731841</v>
      </c>
      <c r="E174" s="379">
        <f t="shared" si="81"/>
        <v>2.4483546527616875</v>
      </c>
      <c r="F174" s="379">
        <f t="shared" si="81"/>
        <v>2.5087208539298635</v>
      </c>
      <c r="G174" s="379">
        <f t="shared" si="81"/>
        <v>2.5708668102875896</v>
      </c>
      <c r="H174" s="379">
        <f t="shared" si="81"/>
        <v>2.6734047822849814</v>
      </c>
      <c r="I174" s="379">
        <f t="shared" si="81"/>
        <v>2.7403765122078623</v>
      </c>
      <c r="J174" s="379">
        <f t="shared" si="81"/>
        <v>2.8092675753029952</v>
      </c>
      <c r="K174" s="379">
        <f t="shared" si="81"/>
        <v>2.880122804104726</v>
      </c>
      <c r="L174" s="379">
        <f t="shared" si="81"/>
        <v>2.9535691513062168</v>
      </c>
      <c r="M174" s="379">
        <f t="shared" si="81"/>
        <v>3.0290524855443035</v>
      </c>
      <c r="N174" s="379">
        <f t="shared" si="81"/>
        <v>3.1534747061481703</v>
      </c>
      <c r="O174" s="379">
        <f t="shared" si="81"/>
        <v>3.2351616182891183</v>
      </c>
      <c r="P174" s="379">
        <f t="shared" si="81"/>
        <v>3.3190529709311978</v>
      </c>
      <c r="Q174" s="379">
        <f t="shared" si="81"/>
        <v>3.4058011793772525</v>
      </c>
      <c r="R174" s="379">
        <f t="shared" si="81"/>
        <v>3.4948479454024803</v>
      </c>
      <c r="S174" s="379">
        <f t="shared" si="81"/>
        <v>3.5868476952129087</v>
      </c>
      <c r="T174" s="379">
        <f t="shared" si="81"/>
        <v>3.6818448128051386</v>
      </c>
      <c r="U174" s="379">
        <f t="shared" si="81"/>
        <v>3.7798952787574356</v>
      </c>
      <c r="V174" s="379">
        <f t="shared" si="81"/>
        <v>3.8810562085488645</v>
      </c>
      <c r="W174" s="379">
        <f t="shared" si="81"/>
        <v>3.9853753923259347</v>
      </c>
      <c r="X174" s="379">
        <f t="shared" si="81"/>
        <v>4.1558906628273071</v>
      </c>
      <c r="Y174" s="379">
        <f t="shared" si="81"/>
        <v>4.2686059549680486</v>
      </c>
      <c r="Z174" s="379">
        <f t="shared" si="81"/>
        <v>4.3847184761752214</v>
      </c>
      <c r="AA174" s="379">
        <f t="shared" si="81"/>
        <v>4.5048939668110597</v>
      </c>
      <c r="AB174" s="379">
        <f t="shared" si="81"/>
        <v>4.6285983658132794</v>
      </c>
      <c r="AC174" s="379">
        <f t="shared" si="81"/>
        <v>4.756500263223403</v>
      </c>
      <c r="AD174" s="379">
        <f t="shared" si="81"/>
        <v>4.8880685497978265</v>
      </c>
      <c r="AE174" s="379">
        <f t="shared" si="81"/>
        <v>5.0239862318070037</v>
      </c>
      <c r="AF174" s="379">
        <f t="shared" si="81"/>
        <v>5.1643259683993863</v>
      </c>
      <c r="AG174" s="379">
        <f t="shared" si="81"/>
        <v>5.3091620887512114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4.2635108813544669</v>
      </c>
      <c r="D175" s="379">
        <f t="shared" si="83"/>
        <v>4.2658128288671513</v>
      </c>
      <c r="E175" s="379">
        <f t="shared" si="83"/>
        <v>4.2725170859461432</v>
      </c>
      <c r="F175" s="379">
        <f t="shared" si="83"/>
        <v>4.2837028929231655</v>
      </c>
      <c r="G175" s="379">
        <f t="shared" si="83"/>
        <v>4.2990863078390147</v>
      </c>
      <c r="H175" s="379">
        <f t="shared" si="83"/>
        <v>4.3676188201895085</v>
      </c>
      <c r="I175" s="379">
        <f t="shared" si="83"/>
        <v>4.2494300495723651</v>
      </c>
      <c r="J175" s="379">
        <f t="shared" si="83"/>
        <v>4.2080309241861853</v>
      </c>
      <c r="K175" s="379">
        <f t="shared" si="83"/>
        <v>4.1713413112641735</v>
      </c>
      <c r="L175" s="379">
        <f t="shared" si="83"/>
        <v>4.1396306325981245</v>
      </c>
      <c r="M175" s="379">
        <f t="shared" si="83"/>
        <v>4.1124608157167968</v>
      </c>
      <c r="N175" s="379">
        <f t="shared" si="83"/>
        <v>4.0345748671301296</v>
      </c>
      <c r="O175" s="379">
        <f t="shared" si="83"/>
        <v>4.0156581187296227</v>
      </c>
      <c r="P175" s="379">
        <f t="shared" si="83"/>
        <v>4.0008918975384793</v>
      </c>
      <c r="Q175" s="379">
        <f t="shared" si="83"/>
        <v>3.9908136627717012</v>
      </c>
      <c r="R175" s="379">
        <f t="shared" si="83"/>
        <v>3.9849911673761653</v>
      </c>
      <c r="S175" s="379">
        <f t="shared" si="83"/>
        <v>3.9086829273309744</v>
      </c>
      <c r="T175" s="379">
        <f t="shared" si="83"/>
        <v>3.9280757017081989</v>
      </c>
      <c r="U175" s="379">
        <f t="shared" si="83"/>
        <v>3.95176437311622</v>
      </c>
      <c r="V175" s="379">
        <f t="shared" si="83"/>
        <v>3.9797009248480202</v>
      </c>
      <c r="W175" s="379">
        <f t="shared" si="83"/>
        <v>4.0118418427590292</v>
      </c>
      <c r="X175" s="379">
        <f t="shared" si="83"/>
        <v>4.0129656653287338</v>
      </c>
      <c r="Y175" s="379">
        <f t="shared" si="83"/>
        <v>4.0525333426551482</v>
      </c>
      <c r="Z175" s="379">
        <f t="shared" si="83"/>
        <v>4.0962842142923943</v>
      </c>
      <c r="AA175" s="379">
        <f t="shared" si="83"/>
        <v>4.1446829312962761</v>
      </c>
      <c r="AB175" s="379">
        <f t="shared" si="83"/>
        <v>4.1972155052985203</v>
      </c>
      <c r="AC175" s="379">
        <f t="shared" si="83"/>
        <v>4.2453630005472691</v>
      </c>
      <c r="AD175" s="379">
        <f t="shared" si="83"/>
        <v>4.3454525063825402</v>
      </c>
      <c r="AE175" s="379">
        <f t="shared" si="83"/>
        <v>4.4506150869576606</v>
      </c>
      <c r="AF175" s="379">
        <f t="shared" si="83"/>
        <v>4.5609748225822058</v>
      </c>
      <c r="AG175" s="379">
        <f t="shared" si="83"/>
        <v>4.6765503557491375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2.2205349594572881</v>
      </c>
      <c r="D176" s="379">
        <f t="shared" si="84"/>
        <v>2.2902446079557279</v>
      </c>
      <c r="E176" s="379">
        <f t="shared" si="84"/>
        <v>2.3565110537475111</v>
      </c>
      <c r="F176" s="379">
        <f t="shared" si="84"/>
        <v>2.4250505786131038</v>
      </c>
      <c r="G176" s="379">
        <f t="shared" si="84"/>
        <v>2.49580339050177</v>
      </c>
      <c r="H176" s="379">
        <f t="shared" si="84"/>
        <v>2.6090974606694428</v>
      </c>
      <c r="I176" s="379">
        <f t="shared" si="84"/>
        <v>2.68581511441</v>
      </c>
      <c r="J176" s="379">
        <f t="shared" si="84"/>
        <v>2.7648771932910186</v>
      </c>
      <c r="K176" s="379">
        <f t="shared" si="84"/>
        <v>2.846531789797762</v>
      </c>
      <c r="L176" s="379">
        <f t="shared" si="84"/>
        <v>2.9313270147040571</v>
      </c>
      <c r="M176" s="379">
        <f t="shared" si="84"/>
        <v>3.0188128197995709</v>
      </c>
      <c r="N176" s="379">
        <f t="shared" si="84"/>
        <v>3.1613466905838425</v>
      </c>
      <c r="O176" s="379">
        <f t="shared" si="84"/>
        <v>3.2564376864477529</v>
      </c>
      <c r="P176" s="379">
        <f t="shared" si="84"/>
        <v>3.3543126287397911</v>
      </c>
      <c r="Q176" s="379">
        <f t="shared" si="84"/>
        <v>3.4557382787396227</v>
      </c>
      <c r="R176" s="379">
        <f t="shared" si="84"/>
        <v>3.5602821071036974</v>
      </c>
      <c r="S176" s="379">
        <f t="shared" si="84"/>
        <v>3.6684961735786987</v>
      </c>
      <c r="T176" s="379">
        <f t="shared" si="84"/>
        <v>3.7805525701522624</v>
      </c>
      <c r="U176" s="379">
        <f t="shared" si="84"/>
        <v>3.8964069152299126</v>
      </c>
      <c r="V176" s="379">
        <f t="shared" si="84"/>
        <v>4.0163448976863432</v>
      </c>
      <c r="W176" s="379">
        <f t="shared" si="84"/>
        <v>4.1402172928298322</v>
      </c>
      <c r="X176" s="379">
        <f t="shared" si="84"/>
        <v>4.3374177834555008</v>
      </c>
      <c r="Y176" s="379">
        <f t="shared" si="84"/>
        <v>4.4717699609963288</v>
      </c>
      <c r="Z176" s="379">
        <f t="shared" si="84"/>
        <v>4.6104397923434171</v>
      </c>
      <c r="AA176" s="379">
        <f t="shared" si="84"/>
        <v>4.7541071049989334</v>
      </c>
      <c r="AB176" s="379">
        <f t="shared" si="84"/>
        <v>4.9024889565370202</v>
      </c>
      <c r="AC176" s="379">
        <f t="shared" si="84"/>
        <v>5.0562706330904001</v>
      </c>
      <c r="AD176" s="379">
        <f t="shared" si="84"/>
        <v>5.2147033432461161</v>
      </c>
      <c r="AE176" s="379">
        <f t="shared" si="84"/>
        <v>5.3788318397691981</v>
      </c>
      <c r="AF176" s="379">
        <f t="shared" si="84"/>
        <v>5.5485139787472413</v>
      </c>
      <c r="AG176" s="379">
        <f t="shared" si="84"/>
        <v>5.7240822951724271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3.1604948818327987</v>
      </c>
      <c r="D177" s="379">
        <f t="shared" si="85"/>
        <v>3.1842468962266306</v>
      </c>
      <c r="E177" s="379">
        <f t="shared" si="85"/>
        <v>3.2045912334363695</v>
      </c>
      <c r="F177" s="379">
        <f t="shared" si="85"/>
        <v>3.1973452287571629</v>
      </c>
      <c r="G177" s="379">
        <f t="shared" si="85"/>
        <v>3.1867203811884233</v>
      </c>
      <c r="H177" s="379">
        <f t="shared" si="85"/>
        <v>3.2203034433454429</v>
      </c>
      <c r="I177" s="379">
        <f t="shared" si="85"/>
        <v>3.1255585485233595</v>
      </c>
      <c r="J177" s="379">
        <f t="shared" si="85"/>
        <v>3.1436481777636565</v>
      </c>
      <c r="K177" s="379">
        <f t="shared" si="85"/>
        <v>3.1522896461649892</v>
      </c>
      <c r="L177" s="379">
        <f t="shared" si="85"/>
        <v>3.1679712062899661</v>
      </c>
      <c r="M177" s="379">
        <f t="shared" si="85"/>
        <v>3.1906374881566757</v>
      </c>
      <c r="N177" s="379">
        <f t="shared" si="85"/>
        <v>3.147424950381144</v>
      </c>
      <c r="O177" s="379">
        <f t="shared" si="85"/>
        <v>3.1867116686799233</v>
      </c>
      <c r="P177" s="379">
        <f t="shared" si="85"/>
        <v>3.2271304919339361</v>
      </c>
      <c r="Q177" s="379">
        <f t="shared" si="85"/>
        <v>3.2727827348051242</v>
      </c>
      <c r="R177" s="379">
        <f t="shared" si="85"/>
        <v>3.3240634232564834</v>
      </c>
      <c r="S177" s="379">
        <f t="shared" si="85"/>
        <v>3.3711711803889899</v>
      </c>
      <c r="T177" s="379">
        <f t="shared" si="85"/>
        <v>3.4421463044815956</v>
      </c>
      <c r="U177" s="379">
        <f t="shared" si="85"/>
        <v>3.5146481517246877</v>
      </c>
      <c r="V177" s="379">
        <f t="shared" si="85"/>
        <v>3.5902574710203528</v>
      </c>
      <c r="W177" s="379">
        <f t="shared" si="85"/>
        <v>3.6689297282194961</v>
      </c>
      <c r="X177" s="379">
        <f t="shared" si="85"/>
        <v>3.6584487153065584</v>
      </c>
      <c r="Y177" s="379">
        <f t="shared" si="85"/>
        <v>3.7424765392181163</v>
      </c>
      <c r="Z177" s="379">
        <f t="shared" si="85"/>
        <v>3.8298701321926489</v>
      </c>
      <c r="AA177" s="379">
        <f t="shared" si="85"/>
        <v>3.921406905685052</v>
      </c>
      <c r="AB177" s="379">
        <f t="shared" si="85"/>
        <v>4.016927201898441</v>
      </c>
      <c r="AC177" s="379">
        <f t="shared" si="85"/>
        <v>4.1352023259104689</v>
      </c>
      <c r="AD177" s="379">
        <f t="shared" si="85"/>
        <v>4.2606338994565798</v>
      </c>
      <c r="AE177" s="379">
        <f t="shared" si="85"/>
        <v>4.3905569878417285</v>
      </c>
      <c r="AF177" s="379">
        <f t="shared" si="85"/>
        <v>4.5259345989797657</v>
      </c>
      <c r="AG177" s="379">
        <f t="shared" si="85"/>
        <v>4.6661171979757565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4.6821934667194398</v>
      </c>
      <c r="D178" s="379">
        <f t="shared" si="87"/>
        <v>4.6541278052519353</v>
      </c>
      <c r="E178" s="379">
        <f t="shared" si="87"/>
        <v>4.630752507741458</v>
      </c>
      <c r="F178" s="379">
        <f t="shared" si="87"/>
        <v>4.6120309158894184</v>
      </c>
      <c r="G178" s="379">
        <f t="shared" si="87"/>
        <v>4.598063935939166</v>
      </c>
      <c r="H178" s="379">
        <f t="shared" si="87"/>
        <v>4.6156917324761846</v>
      </c>
      <c r="I178" s="379">
        <f t="shared" si="87"/>
        <v>4.5111570327741974</v>
      </c>
      <c r="J178" s="379">
        <f t="shared" si="87"/>
        <v>4.4662600035489115</v>
      </c>
      <c r="K178" s="379">
        <f t="shared" si="87"/>
        <v>4.4256742727213725</v>
      </c>
      <c r="L178" s="379">
        <f t="shared" si="87"/>
        <v>4.3899325332272747</v>
      </c>
      <c r="M178" s="379">
        <f t="shared" si="87"/>
        <v>4.3585050781677737</v>
      </c>
      <c r="N178" s="379">
        <f t="shared" si="87"/>
        <v>4.2411491842140832</v>
      </c>
      <c r="O178" s="379">
        <f t="shared" si="87"/>
        <v>4.2186058164140041</v>
      </c>
      <c r="P178" s="379">
        <f t="shared" si="87"/>
        <v>4.2007204951861734</v>
      </c>
      <c r="Q178" s="379">
        <f t="shared" si="87"/>
        <v>4.1873165105649557</v>
      </c>
      <c r="R178" s="379">
        <f t="shared" si="87"/>
        <v>4.1784732712207653</v>
      </c>
      <c r="S178" s="379">
        <f t="shared" si="87"/>
        <v>4.1076261425721752</v>
      </c>
      <c r="T178" s="379">
        <f t="shared" si="87"/>
        <v>4.1303274666526004</v>
      </c>
      <c r="U178" s="379">
        <f t="shared" si="87"/>
        <v>4.157504226619201</v>
      </c>
      <c r="V178" s="379">
        <f t="shared" si="87"/>
        <v>4.1885178157512293</v>
      </c>
      <c r="W178" s="379">
        <f t="shared" si="87"/>
        <v>4.223333529812126</v>
      </c>
      <c r="X178" s="379">
        <f t="shared" si="87"/>
        <v>4.1461808701907366</v>
      </c>
      <c r="Y178" s="379">
        <f t="shared" si="87"/>
        <v>4.1877350060701293</v>
      </c>
      <c r="Z178" s="379">
        <f t="shared" si="87"/>
        <v>4.2329459743793532</v>
      </c>
      <c r="AA178" s="379">
        <f t="shared" si="87"/>
        <v>4.2825098572576623</v>
      </c>
      <c r="AB178" s="379">
        <f t="shared" si="87"/>
        <v>4.3364071501082364</v>
      </c>
      <c r="AC178" s="379">
        <f t="shared" si="87"/>
        <v>4.380511746860134</v>
      </c>
      <c r="AD178" s="379">
        <f t="shared" si="87"/>
        <v>4.4828712523084571</v>
      </c>
      <c r="AE178" s="379">
        <f t="shared" si="87"/>
        <v>4.589692480494878</v>
      </c>
      <c r="AF178" s="379">
        <f t="shared" si="87"/>
        <v>4.7017023891984433</v>
      </c>
      <c r="AG178" s="379">
        <f t="shared" si="87"/>
        <v>4.8183116406831932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4.9216238144494113</v>
      </c>
      <c r="D179" s="379">
        <f t="shared" si="88"/>
        <v>4.8921229771114092</v>
      </c>
      <c r="E179" s="379">
        <f t="shared" si="88"/>
        <v>4.867552351887328</v>
      </c>
      <c r="F179" s="379">
        <f t="shared" si="88"/>
        <v>4.8478734059064914</v>
      </c>
      <c r="G179" s="379">
        <f t="shared" si="88"/>
        <v>4.8331922053906</v>
      </c>
      <c r="H179" s="379">
        <f t="shared" si="88"/>
        <v>4.8517214233414441</v>
      </c>
      <c r="I179" s="379">
        <f t="shared" si="88"/>
        <v>4.7418411992228782</v>
      </c>
      <c r="J179" s="379">
        <f t="shared" si="88"/>
        <v>4.6946482991849354</v>
      </c>
      <c r="K179" s="379">
        <f t="shared" si="88"/>
        <v>4.6519871616673516</v>
      </c>
      <c r="L179" s="379">
        <f t="shared" si="88"/>
        <v>4.6144177195854885</v>
      </c>
      <c r="M179" s="379">
        <f t="shared" si="88"/>
        <v>4.5813831787558987</v>
      </c>
      <c r="N179" s="379">
        <f t="shared" si="88"/>
        <v>4.4580261311341207</v>
      </c>
      <c r="O179" s="379">
        <f t="shared" si="88"/>
        <v>4.4343299774806297</v>
      </c>
      <c r="P179" s="379">
        <f t="shared" si="88"/>
        <v>4.4155300659627388</v>
      </c>
      <c r="Q179" s="379">
        <f t="shared" si="88"/>
        <v>4.4014406503097545</v>
      </c>
      <c r="R179" s="379">
        <f t="shared" si="88"/>
        <v>4.3921451998627363</v>
      </c>
      <c r="S179" s="379">
        <f t="shared" si="88"/>
        <v>4.3176752066809794</v>
      </c>
      <c r="T179" s="379">
        <f t="shared" si="88"/>
        <v>4.3415373939246082</v>
      </c>
      <c r="U179" s="379">
        <f t="shared" si="88"/>
        <v>4.3701038745713197</v>
      </c>
      <c r="V179" s="379">
        <f t="shared" si="88"/>
        <v>4.4027033858748723</v>
      </c>
      <c r="W179" s="379">
        <f t="shared" si="88"/>
        <v>4.439299448950246</v>
      </c>
      <c r="X179" s="379">
        <f t="shared" si="88"/>
        <v>4.3582014828709452</v>
      </c>
      <c r="Y179" s="379">
        <f t="shared" si="88"/>
        <v>4.4018805461532606</v>
      </c>
      <c r="Z179" s="379">
        <f t="shared" si="88"/>
        <v>4.4494034389782975</v>
      </c>
      <c r="AA179" s="379">
        <f t="shared" si="88"/>
        <v>4.5015018385947023</v>
      </c>
      <c r="AB179" s="379">
        <f t="shared" si="88"/>
        <v>4.5581552430114982</v>
      </c>
      <c r="AC179" s="379">
        <f t="shared" si="88"/>
        <v>4.6045151884609359</v>
      </c>
      <c r="AD179" s="379">
        <f t="shared" si="88"/>
        <v>4.7121089868015034</v>
      </c>
      <c r="AE179" s="379">
        <f t="shared" si="88"/>
        <v>4.824392664156548</v>
      </c>
      <c r="AF179" s="379">
        <f t="shared" si="88"/>
        <v>4.9421303522824545</v>
      </c>
      <c r="AG179" s="379">
        <f t="shared" si="88"/>
        <v>5.0647025768544927</v>
      </c>
    </row>
    <row r="180" spans="1:33">
      <c r="A180" s="300" t="s">
        <v>334</v>
      </c>
      <c r="C180" s="379">
        <f t="shared" ref="C180:AG180" si="89">C174*0.9</f>
        <v>2.0153893237256337</v>
      </c>
      <c r="D180" s="379">
        <f t="shared" si="89"/>
        <v>2.1507710552758659</v>
      </c>
      <c r="E180" s="379">
        <f t="shared" si="89"/>
        <v>2.2035191874855187</v>
      </c>
      <c r="F180" s="379">
        <f t="shared" si="89"/>
        <v>2.2578487685368773</v>
      </c>
      <c r="G180" s="379">
        <f t="shared" si="89"/>
        <v>2.3137801292588307</v>
      </c>
      <c r="H180" s="379">
        <f t="shared" si="89"/>
        <v>2.4060643040564833</v>
      </c>
      <c r="I180" s="379">
        <f t="shared" si="89"/>
        <v>2.4663388609870762</v>
      </c>
      <c r="J180" s="379">
        <f t="shared" si="89"/>
        <v>2.5283408177726958</v>
      </c>
      <c r="K180" s="379">
        <f t="shared" si="89"/>
        <v>2.5921105236942537</v>
      </c>
      <c r="L180" s="379">
        <f t="shared" si="89"/>
        <v>2.6582122361755953</v>
      </c>
      <c r="M180" s="379">
        <f t="shared" si="89"/>
        <v>2.7261472369898732</v>
      </c>
      <c r="N180" s="379">
        <f t="shared" si="89"/>
        <v>2.8381272355333533</v>
      </c>
      <c r="O180" s="379">
        <f t="shared" si="89"/>
        <v>2.9116454564602066</v>
      </c>
      <c r="P180" s="379">
        <f t="shared" si="89"/>
        <v>2.987147673838078</v>
      </c>
      <c r="Q180" s="379">
        <f t="shared" si="89"/>
        <v>3.0652210614395274</v>
      </c>
      <c r="R180" s="379">
        <f t="shared" si="89"/>
        <v>3.1453631508622322</v>
      </c>
      <c r="S180" s="379">
        <f t="shared" si="89"/>
        <v>3.2281629256916178</v>
      </c>
      <c r="T180" s="379">
        <f t="shared" si="89"/>
        <v>3.3136603315246247</v>
      </c>
      <c r="U180" s="379">
        <f t="shared" si="89"/>
        <v>3.4019057508816921</v>
      </c>
      <c r="V180" s="379">
        <f t="shared" si="89"/>
        <v>3.4929505876939779</v>
      </c>
      <c r="W180" s="379">
        <f t="shared" si="89"/>
        <v>3.5868378530933414</v>
      </c>
      <c r="X180" s="379">
        <f t="shared" si="89"/>
        <v>3.7403015965445765</v>
      </c>
      <c r="Y180" s="379">
        <f t="shared" si="89"/>
        <v>3.8417453594712438</v>
      </c>
      <c r="Z180" s="379">
        <f t="shared" si="89"/>
        <v>3.9462466285576991</v>
      </c>
      <c r="AA180" s="379">
        <f t="shared" si="89"/>
        <v>4.0544045701299538</v>
      </c>
      <c r="AB180" s="379">
        <f t="shared" si="89"/>
        <v>4.1657385292319518</v>
      </c>
      <c r="AC180" s="379">
        <f t="shared" si="89"/>
        <v>4.2808502369010633</v>
      </c>
      <c r="AD180" s="379">
        <f t="shared" si="89"/>
        <v>4.3992616948180441</v>
      </c>
      <c r="AE180" s="379">
        <f t="shared" si="89"/>
        <v>4.5215876086263034</v>
      </c>
      <c r="AF180" s="379">
        <f t="shared" si="89"/>
        <v>4.6478933715594479</v>
      </c>
      <c r="AG180" s="379">
        <f t="shared" si="89"/>
        <v>4.7782458798760903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3.4451099550865534</v>
      </c>
      <c r="D183" s="379">
        <f t="shared" si="91"/>
        <v>3.676531718420283</v>
      </c>
      <c r="E183" s="379">
        <f t="shared" si="91"/>
        <v>3.766699465787211</v>
      </c>
      <c r="F183" s="379">
        <f t="shared" si="91"/>
        <v>3.8595705445074828</v>
      </c>
      <c r="G183" s="379">
        <f t="shared" si="91"/>
        <v>3.9551797081347528</v>
      </c>
      <c r="H183" s="379">
        <f t="shared" si="91"/>
        <v>4.1129304342845865</v>
      </c>
      <c r="I183" s="379">
        <f t="shared" si="91"/>
        <v>4.2159638649351727</v>
      </c>
      <c r="J183" s="379">
        <f t="shared" si="91"/>
        <v>4.3219501158507621</v>
      </c>
      <c r="K183" s="379">
        <f t="shared" si="91"/>
        <v>4.4309581601611177</v>
      </c>
      <c r="L183" s="379">
        <f t="shared" si="91"/>
        <v>4.5439525404711034</v>
      </c>
      <c r="M183" s="379">
        <f t="shared" si="91"/>
        <v>4.6600807469912358</v>
      </c>
      <c r="N183" s="379">
        <f t="shared" si="91"/>
        <v>4.8514995479202616</v>
      </c>
      <c r="O183" s="379">
        <f t="shared" si="91"/>
        <v>4.9771717204447974</v>
      </c>
      <c r="P183" s="379">
        <f t="shared" si="91"/>
        <v>5.10623533989415</v>
      </c>
      <c r="Q183" s="379">
        <f t="shared" si="91"/>
        <v>5.2396941221188502</v>
      </c>
      <c r="R183" s="379">
        <f t="shared" si="91"/>
        <v>5.3766891467730469</v>
      </c>
      <c r="S183" s="379">
        <f t="shared" si="91"/>
        <v>5.5182272234044749</v>
      </c>
      <c r="T183" s="379">
        <f t="shared" si="91"/>
        <v>5.664376635084829</v>
      </c>
      <c r="U183" s="379">
        <f t="shared" si="91"/>
        <v>5.8152235057806703</v>
      </c>
      <c r="V183" s="379">
        <f t="shared" si="91"/>
        <v>5.9708557054597913</v>
      </c>
      <c r="W183" s="379">
        <f t="shared" si="91"/>
        <v>6.1313467574245157</v>
      </c>
      <c r="X183" s="379">
        <f t="shared" si="91"/>
        <v>6.3936779428112418</v>
      </c>
      <c r="Y183" s="379">
        <f t="shared" si="91"/>
        <v>6.5670860845662293</v>
      </c>
      <c r="Z183" s="379">
        <f t="shared" si="91"/>
        <v>6.745720732577265</v>
      </c>
      <c r="AA183" s="379">
        <f t="shared" si="91"/>
        <v>6.9306061027862453</v>
      </c>
      <c r="AB183" s="379">
        <f t="shared" si="91"/>
        <v>7.1209205627896601</v>
      </c>
      <c r="AC183" s="379">
        <f t="shared" si="91"/>
        <v>7.3176927126513887</v>
      </c>
      <c r="AD183" s="379">
        <f t="shared" si="91"/>
        <v>7.5201054612274252</v>
      </c>
      <c r="AE183" s="379">
        <f t="shared" si="91"/>
        <v>7.7292095873953901</v>
      </c>
      <c r="AF183" s="379">
        <f t="shared" si="91"/>
        <v>7.9451168744605942</v>
      </c>
      <c r="AG183" s="379">
        <f t="shared" si="91"/>
        <v>8.1679416750018632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6.5592475097761032</v>
      </c>
      <c r="D184" s="379">
        <f t="shared" si="93"/>
        <v>6.5627889674879247</v>
      </c>
      <c r="E184" s="379">
        <f t="shared" si="93"/>
        <v>6.5731032091479129</v>
      </c>
      <c r="F184" s="379">
        <f t="shared" si="93"/>
        <v>6.5903121429587168</v>
      </c>
      <c r="G184" s="379">
        <f t="shared" si="93"/>
        <v>6.613978935136946</v>
      </c>
      <c r="H184" s="379">
        <f t="shared" si="93"/>
        <v>6.7194135695223203</v>
      </c>
      <c r="I184" s="379">
        <f t="shared" si="93"/>
        <v>6.5375846916497933</v>
      </c>
      <c r="J184" s="379">
        <f t="shared" si="93"/>
        <v>6.4738937295172088</v>
      </c>
      <c r="K184" s="379">
        <f t="shared" si="93"/>
        <v>6.4174481711756508</v>
      </c>
      <c r="L184" s="379">
        <f t="shared" si="93"/>
        <v>6.3686625116894202</v>
      </c>
      <c r="M184" s="379">
        <f t="shared" si="93"/>
        <v>6.3268627934104567</v>
      </c>
      <c r="N184" s="379">
        <f t="shared" si="93"/>
        <v>6.2070382571232763</v>
      </c>
      <c r="O184" s="379">
        <f t="shared" si="93"/>
        <v>6.177935567276343</v>
      </c>
      <c r="P184" s="379">
        <f t="shared" si="93"/>
        <v>6.155218303905353</v>
      </c>
      <c r="Q184" s="379">
        <f t="shared" si="93"/>
        <v>6.1397133273410791</v>
      </c>
      <c r="R184" s="379">
        <f t="shared" si="93"/>
        <v>6.1307556421171769</v>
      </c>
      <c r="S184" s="379">
        <f t="shared" si="93"/>
        <v>6.0133583497399599</v>
      </c>
      <c r="T184" s="379">
        <f t="shared" si="93"/>
        <v>6.0431933872433836</v>
      </c>
      <c r="U184" s="379">
        <f t="shared" si="93"/>
        <v>6.0796374971018778</v>
      </c>
      <c r="V184" s="379">
        <f t="shared" si="93"/>
        <v>6.1226168074584937</v>
      </c>
      <c r="W184" s="379">
        <f t="shared" si="93"/>
        <v>6.1720643734754299</v>
      </c>
      <c r="X184" s="379">
        <f t="shared" si="93"/>
        <v>6.1737933312749744</v>
      </c>
      <c r="Y184" s="379">
        <f t="shared" si="93"/>
        <v>6.2346666810079201</v>
      </c>
      <c r="Z184" s="379">
        <f t="shared" si="93"/>
        <v>6.3019757142959909</v>
      </c>
      <c r="AA184" s="379">
        <f t="shared" si="93"/>
        <v>6.3764352789173477</v>
      </c>
      <c r="AB184" s="379">
        <f t="shared" si="93"/>
        <v>6.4572546235361852</v>
      </c>
      <c r="AC184" s="379">
        <f t="shared" si="93"/>
        <v>6.5313276931496445</v>
      </c>
      <c r="AD184" s="379">
        <f t="shared" si="93"/>
        <v>6.6853115482808319</v>
      </c>
      <c r="AE184" s="379">
        <f t="shared" si="93"/>
        <v>6.8471001337810158</v>
      </c>
      <c r="AF184" s="379">
        <f t="shared" si="93"/>
        <v>7.0168843424341638</v>
      </c>
      <c r="AG184" s="379">
        <f t="shared" si="93"/>
        <v>7.1946928549986726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3.4162076299342892</v>
      </c>
      <c r="D185" s="379">
        <f t="shared" si="94"/>
        <v>3.5234532430088121</v>
      </c>
      <c r="E185" s="379">
        <f t="shared" si="94"/>
        <v>3.6254016211500173</v>
      </c>
      <c r="F185" s="379">
        <f t="shared" si="94"/>
        <v>3.7308470440201598</v>
      </c>
      <c r="G185" s="379">
        <f t="shared" si="94"/>
        <v>3.8396975238488773</v>
      </c>
      <c r="H185" s="379">
        <f t="shared" si="94"/>
        <v>4.0139960933376049</v>
      </c>
      <c r="I185" s="379">
        <f t="shared" si="94"/>
        <v>4.1320232529384615</v>
      </c>
      <c r="J185" s="379">
        <f t="shared" si="94"/>
        <v>4.2536572204477201</v>
      </c>
      <c r="K185" s="379">
        <f t="shared" si="94"/>
        <v>4.379279676611942</v>
      </c>
      <c r="L185" s="379">
        <f t="shared" si="94"/>
        <v>4.5097338687754718</v>
      </c>
      <c r="M185" s="379">
        <f t="shared" si="94"/>
        <v>4.6443274150762628</v>
      </c>
      <c r="N185" s="379">
        <f t="shared" si="94"/>
        <v>4.8636102932059115</v>
      </c>
      <c r="O185" s="379">
        <f t="shared" si="94"/>
        <v>5.0099041329965432</v>
      </c>
      <c r="P185" s="379">
        <f t="shared" si="94"/>
        <v>5.1604809672919867</v>
      </c>
      <c r="Q185" s="379">
        <f t="shared" si="94"/>
        <v>5.3165204288301888</v>
      </c>
      <c r="R185" s="379">
        <f t="shared" si="94"/>
        <v>5.4773570878518427</v>
      </c>
      <c r="S185" s="379">
        <f t="shared" si="94"/>
        <v>5.6438402670441512</v>
      </c>
      <c r="T185" s="379">
        <f t="shared" si="94"/>
        <v>5.8162347233111733</v>
      </c>
      <c r="U185" s="379">
        <f t="shared" si="94"/>
        <v>5.9944721772767888</v>
      </c>
      <c r="V185" s="379">
        <f t="shared" si="94"/>
        <v>6.1789921502866818</v>
      </c>
      <c r="W185" s="379">
        <f t="shared" si="94"/>
        <v>6.3695650658920506</v>
      </c>
      <c r="X185" s="379">
        <f t="shared" si="94"/>
        <v>6.6729504360853849</v>
      </c>
      <c r="Y185" s="379">
        <f t="shared" si="94"/>
        <v>6.8796460938405062</v>
      </c>
      <c r="Z185" s="379">
        <f t="shared" si="94"/>
        <v>7.0929842959129497</v>
      </c>
      <c r="AA185" s="379">
        <f t="shared" si="94"/>
        <v>7.3140109307675898</v>
      </c>
      <c r="AB185" s="379">
        <f t="shared" si="94"/>
        <v>7.5422907023646477</v>
      </c>
      <c r="AC185" s="379">
        <f t="shared" si="94"/>
        <v>7.7788778970621548</v>
      </c>
      <c r="AD185" s="379">
        <f t="shared" si="94"/>
        <v>8.0226205280709468</v>
      </c>
      <c r="AE185" s="379">
        <f t="shared" si="94"/>
        <v>8.2751259073372285</v>
      </c>
      <c r="AF185" s="379">
        <f t="shared" si="94"/>
        <v>8.5361753519188319</v>
      </c>
      <c r="AG185" s="379">
        <f t="shared" si="94"/>
        <v>8.8062804541114268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7.2033745641837541</v>
      </c>
      <c r="D186" s="379">
        <f t="shared" si="96"/>
        <v>7.1601966234645156</v>
      </c>
      <c r="E186" s="379">
        <f t="shared" si="96"/>
        <v>7.1242346272945509</v>
      </c>
      <c r="F186" s="379">
        <f t="shared" si="96"/>
        <v>7.0954321782914134</v>
      </c>
      <c r="G186" s="379">
        <f t="shared" si="96"/>
        <v>7.0739445168294859</v>
      </c>
      <c r="H186" s="379">
        <f t="shared" si="96"/>
        <v>7.1010642038095151</v>
      </c>
      <c r="I186" s="379">
        <f t="shared" si="96"/>
        <v>6.9402415888833806</v>
      </c>
      <c r="J186" s="379">
        <f t="shared" si="96"/>
        <v>6.8711692362290941</v>
      </c>
      <c r="K186" s="379">
        <f t="shared" si="96"/>
        <v>6.808729650340573</v>
      </c>
      <c r="L186" s="379">
        <f t="shared" si="96"/>
        <v>6.7537423588111922</v>
      </c>
      <c r="M186" s="379">
        <f t="shared" si="96"/>
        <v>6.7053924279504207</v>
      </c>
      <c r="N186" s="379">
        <f t="shared" si="96"/>
        <v>6.5248448987908958</v>
      </c>
      <c r="O186" s="379">
        <f t="shared" si="96"/>
        <v>6.4901627944830844</v>
      </c>
      <c r="P186" s="379">
        <f t="shared" si="96"/>
        <v>6.4626469156710353</v>
      </c>
      <c r="Q186" s="379">
        <f t="shared" si="96"/>
        <v>6.442025400869162</v>
      </c>
      <c r="R186" s="379">
        <f t="shared" si="96"/>
        <v>6.428420417262716</v>
      </c>
      <c r="S186" s="379">
        <f t="shared" si="96"/>
        <v>6.3194248347264228</v>
      </c>
      <c r="T186" s="379">
        <f t="shared" si="96"/>
        <v>6.3543499486963082</v>
      </c>
      <c r="U186" s="379">
        <f t="shared" si="96"/>
        <v>6.3961603486449254</v>
      </c>
      <c r="V186" s="379">
        <f t="shared" si="96"/>
        <v>6.4438735626941996</v>
      </c>
      <c r="W186" s="379">
        <f t="shared" si="96"/>
        <v>6.4974361997109629</v>
      </c>
      <c r="X186" s="379">
        <f t="shared" si="96"/>
        <v>6.3787398002934417</v>
      </c>
      <c r="Y186" s="379">
        <f t="shared" si="96"/>
        <v>6.4426692401078913</v>
      </c>
      <c r="Z186" s="379">
        <f t="shared" si="96"/>
        <v>6.5122245759682365</v>
      </c>
      <c r="AA186" s="379">
        <f t="shared" si="96"/>
        <v>6.5884767034733267</v>
      </c>
      <c r="AB186" s="379">
        <f t="shared" si="96"/>
        <v>6.671395615551134</v>
      </c>
      <c r="AC186" s="379">
        <f t="shared" si="96"/>
        <v>6.7392488413232829</v>
      </c>
      <c r="AD186" s="379">
        <f t="shared" si="96"/>
        <v>6.896725003551472</v>
      </c>
      <c r="AE186" s="379">
        <f t="shared" si="96"/>
        <v>7.0610653546075044</v>
      </c>
      <c r="AF186" s="379">
        <f t="shared" si="96"/>
        <v>7.2333882910745277</v>
      </c>
      <c r="AG186" s="379">
        <f t="shared" si="96"/>
        <v>7.4127871395126039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4.8622998182043062</v>
      </c>
      <c r="D187" s="379">
        <f t="shared" si="97"/>
        <v>4.8988413788102001</v>
      </c>
      <c r="E187" s="379">
        <f t="shared" si="97"/>
        <v>4.9301403591328761</v>
      </c>
      <c r="F187" s="379">
        <f t="shared" si="97"/>
        <v>4.9189926596264044</v>
      </c>
      <c r="G187" s="379">
        <f t="shared" si="97"/>
        <v>4.9026467402898817</v>
      </c>
      <c r="H187" s="379">
        <f t="shared" si="97"/>
        <v>4.9543129897622196</v>
      </c>
      <c r="I187" s="379">
        <f t="shared" si="97"/>
        <v>4.8085516131128605</v>
      </c>
      <c r="J187" s="379">
        <f t="shared" si="97"/>
        <v>4.8363818119440865</v>
      </c>
      <c r="K187" s="379">
        <f t="shared" si="97"/>
        <v>4.8496763787153681</v>
      </c>
      <c r="L187" s="379">
        <f t="shared" si="97"/>
        <v>4.8738018558307168</v>
      </c>
      <c r="M187" s="379">
        <f t="shared" si="97"/>
        <v>4.9086730587025782</v>
      </c>
      <c r="N187" s="379">
        <f t="shared" si="97"/>
        <v>4.8421922313556056</v>
      </c>
      <c r="O187" s="379">
        <f t="shared" si="97"/>
        <v>4.9026333364306502</v>
      </c>
      <c r="P187" s="379">
        <f t="shared" si="97"/>
        <v>4.9648161414368248</v>
      </c>
      <c r="Q187" s="379">
        <f t="shared" si="97"/>
        <v>5.0350503612386523</v>
      </c>
      <c r="R187" s="379">
        <f t="shared" si="97"/>
        <v>5.1139437280868982</v>
      </c>
      <c r="S187" s="379">
        <f t="shared" si="97"/>
        <v>5.186417200598445</v>
      </c>
      <c r="T187" s="379">
        <f t="shared" si="97"/>
        <v>5.2956096992024548</v>
      </c>
      <c r="U187" s="379">
        <f t="shared" si="97"/>
        <v>5.4071510026533653</v>
      </c>
      <c r="V187" s="379">
        <f t="shared" si="97"/>
        <v>5.5234730323390036</v>
      </c>
      <c r="W187" s="379">
        <f t="shared" si="97"/>
        <v>5.6445072741838409</v>
      </c>
      <c r="X187" s="379">
        <f t="shared" si="97"/>
        <v>5.6283826389331661</v>
      </c>
      <c r="Y187" s="379">
        <f t="shared" si="97"/>
        <v>5.7576562141817176</v>
      </c>
      <c r="Z187" s="379">
        <f t="shared" si="97"/>
        <v>5.892107895680998</v>
      </c>
      <c r="AA187" s="379">
        <f t="shared" si="97"/>
        <v>6.032933701053925</v>
      </c>
      <c r="AB187" s="379">
        <f t="shared" si="97"/>
        <v>6.179888002920678</v>
      </c>
      <c r="AC187" s="379">
        <f t="shared" si="97"/>
        <v>6.3618497321699516</v>
      </c>
      <c r="AD187" s="379">
        <f t="shared" si="97"/>
        <v>6.5548213837793545</v>
      </c>
      <c r="AE187" s="379">
        <f t="shared" si="97"/>
        <v>6.7547030582180438</v>
      </c>
      <c r="AF187" s="379">
        <f t="shared" si="97"/>
        <v>6.9629763061227168</v>
      </c>
      <c r="AG187" s="379">
        <f t="shared" si="97"/>
        <v>7.1786418430396255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7.5717289453067869</v>
      </c>
      <c r="D188" s="379">
        <f t="shared" si="99"/>
        <v>7.5263430417098611</v>
      </c>
      <c r="E188" s="379">
        <f t="shared" si="99"/>
        <v>7.4885420798266589</v>
      </c>
      <c r="F188" s="379">
        <f t="shared" si="99"/>
        <v>7.4582667783176788</v>
      </c>
      <c r="G188" s="379">
        <f t="shared" si="99"/>
        <v>7.4356803159855387</v>
      </c>
      <c r="H188" s="379">
        <f t="shared" si="99"/>
        <v>7.4641868051406837</v>
      </c>
      <c r="I188" s="379">
        <f t="shared" si="99"/>
        <v>7.2951403064967355</v>
      </c>
      <c r="J188" s="379">
        <f t="shared" si="99"/>
        <v>7.2225358448999009</v>
      </c>
      <c r="K188" s="379">
        <f t="shared" si="99"/>
        <v>7.1569033256420802</v>
      </c>
      <c r="L188" s="379">
        <f t="shared" si="99"/>
        <v>7.0991041839776745</v>
      </c>
      <c r="M188" s="379">
        <f t="shared" si="99"/>
        <v>7.0482818134706129</v>
      </c>
      <c r="N188" s="379">
        <f t="shared" si="99"/>
        <v>6.8585017402063393</v>
      </c>
      <c r="O188" s="379">
        <f t="shared" si="99"/>
        <v>6.8220461192009694</v>
      </c>
      <c r="P188" s="379">
        <f t="shared" si="99"/>
        <v>6.7931231784042128</v>
      </c>
      <c r="Q188" s="379">
        <f t="shared" si="99"/>
        <v>6.7714471543226997</v>
      </c>
      <c r="R188" s="379">
        <f t="shared" si="99"/>
        <v>6.7571464613272871</v>
      </c>
      <c r="S188" s="379">
        <f t="shared" si="99"/>
        <v>6.6425772410476602</v>
      </c>
      <c r="T188" s="379">
        <f t="shared" si="99"/>
        <v>6.6792882983455515</v>
      </c>
      <c r="U188" s="379">
        <f t="shared" si="99"/>
        <v>6.723236730109722</v>
      </c>
      <c r="V188" s="379">
        <f t="shared" si="99"/>
        <v>6.7733898244228801</v>
      </c>
      <c r="W188" s="379">
        <f t="shared" si="99"/>
        <v>6.8296914599234553</v>
      </c>
      <c r="X188" s="379">
        <f t="shared" si="99"/>
        <v>6.7049253582629929</v>
      </c>
      <c r="Y188" s="379">
        <f t="shared" si="99"/>
        <v>6.7721239171588632</v>
      </c>
      <c r="Z188" s="379">
        <f t="shared" si="99"/>
        <v>6.845236059966612</v>
      </c>
      <c r="AA188" s="379">
        <f t="shared" si="99"/>
        <v>6.9253874439918492</v>
      </c>
      <c r="AB188" s="379">
        <f t="shared" si="99"/>
        <v>7.0125465277099979</v>
      </c>
      <c r="AC188" s="379">
        <f t="shared" si="99"/>
        <v>7.0838695207091327</v>
      </c>
      <c r="AD188" s="379">
        <f t="shared" si="99"/>
        <v>7.2493984412330823</v>
      </c>
      <c r="AE188" s="379">
        <f t="shared" si="99"/>
        <v>7.4221425602408422</v>
      </c>
      <c r="AF188" s="379">
        <f t="shared" si="99"/>
        <v>7.6032774650499304</v>
      </c>
      <c r="AG188" s="379">
        <f t="shared" si="99"/>
        <v>7.7918501182376811</v>
      </c>
    </row>
    <row r="189" spans="1:33">
      <c r="A189" s="300" t="s">
        <v>334</v>
      </c>
      <c r="C189" s="379">
        <f t="shared" ref="C189:AG189" si="100">C183*0.9</f>
        <v>3.1005989595778982</v>
      </c>
      <c r="D189" s="379">
        <f t="shared" si="100"/>
        <v>3.3088785465782546</v>
      </c>
      <c r="E189" s="379">
        <f t="shared" si="100"/>
        <v>3.3900295192084902</v>
      </c>
      <c r="F189" s="379">
        <f t="shared" si="100"/>
        <v>3.4736134900567346</v>
      </c>
      <c r="G189" s="379">
        <f t="shared" si="100"/>
        <v>3.5596617373212776</v>
      </c>
      <c r="H189" s="379">
        <f t="shared" si="100"/>
        <v>3.7016373908561278</v>
      </c>
      <c r="I189" s="379">
        <f t="shared" si="100"/>
        <v>3.7943674784416555</v>
      </c>
      <c r="J189" s="379">
        <f t="shared" si="100"/>
        <v>3.8897551042656859</v>
      </c>
      <c r="K189" s="379">
        <f t="shared" si="100"/>
        <v>3.9878623441450061</v>
      </c>
      <c r="L189" s="379">
        <f t="shared" si="100"/>
        <v>4.0895572864239931</v>
      </c>
      <c r="M189" s="379">
        <f t="shared" si="100"/>
        <v>4.194072672292112</v>
      </c>
      <c r="N189" s="379">
        <f t="shared" si="100"/>
        <v>4.3663495931282359</v>
      </c>
      <c r="O189" s="379">
        <f t="shared" si="100"/>
        <v>4.4794545484003176</v>
      </c>
      <c r="P189" s="379">
        <f t="shared" si="100"/>
        <v>4.5956118059047348</v>
      </c>
      <c r="Q189" s="379">
        <f t="shared" si="100"/>
        <v>4.715724709906965</v>
      </c>
      <c r="R189" s="379">
        <f t="shared" si="100"/>
        <v>4.8390202320957423</v>
      </c>
      <c r="S189" s="379">
        <f t="shared" si="100"/>
        <v>4.9664045010640274</v>
      </c>
      <c r="T189" s="379">
        <f t="shared" si="100"/>
        <v>5.0979389715763466</v>
      </c>
      <c r="U189" s="379">
        <f t="shared" si="100"/>
        <v>5.2337011552026036</v>
      </c>
      <c r="V189" s="379">
        <f t="shared" si="100"/>
        <v>5.3737701349138121</v>
      </c>
      <c r="W189" s="379">
        <f t="shared" si="100"/>
        <v>5.5182120816820639</v>
      </c>
      <c r="X189" s="379">
        <f t="shared" si="100"/>
        <v>5.7543101485301174</v>
      </c>
      <c r="Y189" s="379">
        <f t="shared" si="100"/>
        <v>5.9103774761096064</v>
      </c>
      <c r="Z189" s="379">
        <f t="shared" si="100"/>
        <v>6.0711486593195385</v>
      </c>
      <c r="AA189" s="379">
        <f t="shared" si="100"/>
        <v>6.2375454925076212</v>
      </c>
      <c r="AB189" s="379">
        <f t="shared" si="100"/>
        <v>6.4088285065106945</v>
      </c>
      <c r="AC189" s="379">
        <f t="shared" si="100"/>
        <v>6.5859234413862495</v>
      </c>
      <c r="AD189" s="379">
        <f t="shared" si="100"/>
        <v>6.7680949151046832</v>
      </c>
      <c r="AE189" s="379">
        <f t="shared" si="100"/>
        <v>6.9562886286558516</v>
      </c>
      <c r="AF189" s="379">
        <f t="shared" si="100"/>
        <v>7.1506051870145351</v>
      </c>
      <c r="AG189" s="379">
        <f t="shared" si="100"/>
        <v>7.3511475075016772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0.79441811179346855</v>
      </c>
      <c r="D192" s="388">
        <f t="shared" si="102"/>
        <v>0.84145854253293206</v>
      </c>
      <c r="E192" s="388">
        <f t="shared" si="102"/>
        <v>0.85662248746740366</v>
      </c>
      <c r="F192" s="388">
        <f t="shared" si="102"/>
        <v>0.87973241202269259</v>
      </c>
      <c r="G192" s="388">
        <f t="shared" si="102"/>
        <v>0.904530892240198</v>
      </c>
      <c r="H192" s="388">
        <f t="shared" si="102"/>
        <v>0.93079857210301886</v>
      </c>
      <c r="I192" s="388">
        <f t="shared" si="102"/>
        <v>0.98303817204897526</v>
      </c>
      <c r="J192" s="388">
        <f t="shared" si="102"/>
        <v>1.0019520884804014</v>
      </c>
      <c r="K192" s="388">
        <f t="shared" si="102"/>
        <v>1.0244073232516167</v>
      </c>
      <c r="L192" s="388">
        <f t="shared" si="102"/>
        <v>1.0453306919922862</v>
      </c>
      <c r="M192" s="388">
        <f t="shared" si="102"/>
        <v>1.0644300316743494</v>
      </c>
      <c r="N192" s="388">
        <f t="shared" si="102"/>
        <v>1.1233672351872905</v>
      </c>
      <c r="O192" s="388">
        <f t="shared" si="102"/>
        <v>1.1382587436937996</v>
      </c>
      <c r="P192" s="388">
        <f t="shared" si="102"/>
        <v>1.1531490379005542</v>
      </c>
      <c r="Q192" s="388">
        <f t="shared" si="102"/>
        <v>1.1667824827313786</v>
      </c>
      <c r="R192" s="388">
        <f t="shared" si="102"/>
        <v>1.1788180245790068</v>
      </c>
      <c r="S192" s="388">
        <f t="shared" si="102"/>
        <v>1.1929436085029745</v>
      </c>
      <c r="T192" s="388">
        <f t="shared" si="102"/>
        <v>1.1992892420535308</v>
      </c>
      <c r="U192" s="388">
        <f t="shared" si="102"/>
        <v>1.2058289252583159</v>
      </c>
      <c r="V192" s="388">
        <f t="shared" si="102"/>
        <v>1.2120265187816321</v>
      </c>
      <c r="W192" s="388">
        <f t="shared" si="102"/>
        <v>1.2179168118395272</v>
      </c>
      <c r="X192" s="388">
        <f t="shared" si="102"/>
        <v>1.2736641533606414</v>
      </c>
      <c r="Y192" s="388">
        <f t="shared" si="102"/>
        <v>1.2788357354374544</v>
      </c>
      <c r="Z192" s="388">
        <f t="shared" si="102"/>
        <v>1.2836465294910182</v>
      </c>
      <c r="AA192" s="388">
        <f t="shared" si="102"/>
        <v>1.2880432563734519</v>
      </c>
      <c r="AB192" s="388">
        <f t="shared" si="102"/>
        <v>1.2919429034013332</v>
      </c>
      <c r="AC192" s="388">
        <f t="shared" si="102"/>
        <v>1.2896698466865273</v>
      </c>
      <c r="AD192" s="388">
        <f t="shared" si="102"/>
        <v>1.286325424028592</v>
      </c>
      <c r="AE192" s="388">
        <f t="shared" si="102"/>
        <v>1.2829703100320811</v>
      </c>
      <c r="AF192" s="388">
        <f t="shared" si="102"/>
        <v>1.2793611456438558</v>
      </c>
      <c r="AG192" s="388">
        <f t="shared" si="102"/>
        <v>1.2757281128665405</v>
      </c>
    </row>
    <row r="193" spans="1:33">
      <c r="A193" s="300" t="str">
        <f>A169</f>
        <v>H2-ICE</v>
      </c>
      <c r="C193" s="388">
        <f t="shared" ref="C193:AG193" si="103">C169/C168</f>
        <v>1.5125163171668432</v>
      </c>
      <c r="D193" s="388">
        <f t="shared" si="103"/>
        <v>1.5020446612402409</v>
      </c>
      <c r="E193" s="388">
        <f t="shared" si="103"/>
        <v>1.4948545995090408</v>
      </c>
      <c r="F193" s="388">
        <f t="shared" si="103"/>
        <v>1.5021648472673155</v>
      </c>
      <c r="G193" s="388">
        <f t="shared" si="103"/>
        <v>1.5125857000006306</v>
      </c>
      <c r="H193" s="388">
        <f t="shared" si="103"/>
        <v>1.5206725851099725</v>
      </c>
      <c r="I193" s="388">
        <f t="shared" si="103"/>
        <v>1.5243715341933077</v>
      </c>
      <c r="J193" s="388">
        <f t="shared" si="103"/>
        <v>1.5008343847145698</v>
      </c>
      <c r="K193" s="388">
        <f t="shared" si="103"/>
        <v>1.4836702730004987</v>
      </c>
      <c r="L193" s="388">
        <f t="shared" si="103"/>
        <v>1.4651029761238263</v>
      </c>
      <c r="M193" s="388">
        <f t="shared" si="103"/>
        <v>1.4451472258151881</v>
      </c>
      <c r="N193" s="388">
        <f t="shared" si="103"/>
        <v>1.4372429259723218</v>
      </c>
      <c r="O193" s="388">
        <f t="shared" si="103"/>
        <v>1.4128685069360578</v>
      </c>
      <c r="P193" s="388">
        <f t="shared" si="103"/>
        <v>1.3900424858528897</v>
      </c>
      <c r="Q193" s="388">
        <f t="shared" si="103"/>
        <v>1.3672000296912494</v>
      </c>
      <c r="R193" s="388">
        <f t="shared" si="103"/>
        <v>1.3441441485518391</v>
      </c>
      <c r="S193" s="388">
        <f t="shared" si="103"/>
        <v>1.299982244032083</v>
      </c>
      <c r="T193" s="388">
        <f t="shared" si="103"/>
        <v>1.2794941586474304</v>
      </c>
      <c r="U193" s="388">
        <f t="shared" si="103"/>
        <v>1.2606570911338268</v>
      </c>
      <c r="V193" s="388">
        <f t="shared" si="103"/>
        <v>1.2428325689050268</v>
      </c>
      <c r="W193" s="388">
        <f t="shared" si="103"/>
        <v>1.2260048667299777</v>
      </c>
      <c r="X193" s="388">
        <f t="shared" si="103"/>
        <v>1.229861642490625</v>
      </c>
      <c r="Y193" s="388">
        <f t="shared" si="103"/>
        <v>1.2141023351212545</v>
      </c>
      <c r="Z193" s="388">
        <f t="shared" si="103"/>
        <v>1.1992060708244081</v>
      </c>
      <c r="AA193" s="388">
        <f t="shared" si="103"/>
        <v>1.1850513993876259</v>
      </c>
      <c r="AB193" s="388">
        <f t="shared" si="103"/>
        <v>1.1715345246127613</v>
      </c>
      <c r="AC193" s="388">
        <f t="shared" si="103"/>
        <v>1.1510809097136587</v>
      </c>
      <c r="AD193" s="388">
        <f t="shared" si="103"/>
        <v>1.1435326614025945</v>
      </c>
      <c r="AE193" s="388">
        <f t="shared" si="103"/>
        <v>1.1365490975666503</v>
      </c>
      <c r="AF193" s="388">
        <f t="shared" si="103"/>
        <v>1.1298926539449397</v>
      </c>
      <c r="AG193" s="388">
        <f t="shared" si="103"/>
        <v>1.1237190841669111</v>
      </c>
    </row>
    <row r="194" spans="1:33">
      <c r="A194" s="300" t="str">
        <f>A170</f>
        <v>FCET</v>
      </c>
      <c r="C194" s="388">
        <f t="shared" ref="C194:AG194" si="104">C170/C168</f>
        <v>1.661047483076977</v>
      </c>
      <c r="D194" s="388">
        <f t="shared" si="104"/>
        <v>1.6387750947021542</v>
      </c>
      <c r="E194" s="388">
        <f t="shared" si="104"/>
        <v>1.6201928619911905</v>
      </c>
      <c r="F194" s="388">
        <f t="shared" si="104"/>
        <v>1.6172995395652967</v>
      </c>
      <c r="G194" s="388">
        <f t="shared" si="104"/>
        <v>1.6177776530116215</v>
      </c>
      <c r="H194" s="388">
        <f t="shared" si="104"/>
        <v>1.6070440594426094</v>
      </c>
      <c r="I194" s="388">
        <f t="shared" si="104"/>
        <v>1.618259222252395</v>
      </c>
      <c r="J194" s="388">
        <f t="shared" si="104"/>
        <v>1.592934250049024</v>
      </c>
      <c r="K194" s="388">
        <f t="shared" si="104"/>
        <v>1.5741318838351848</v>
      </c>
      <c r="L194" s="388">
        <f t="shared" si="104"/>
        <v>1.5536901212312777</v>
      </c>
      <c r="M194" s="388">
        <f t="shared" si="104"/>
        <v>1.5316088844770466</v>
      </c>
      <c r="N194" s="388">
        <f t="shared" si="104"/>
        <v>1.5108312185915298</v>
      </c>
      <c r="O194" s="388">
        <f t="shared" si="104"/>
        <v>1.48427359226343</v>
      </c>
      <c r="P194" s="388">
        <f t="shared" si="104"/>
        <v>1.459469565547193</v>
      </c>
      <c r="Q194" s="388">
        <f t="shared" si="104"/>
        <v>1.4345193089258412</v>
      </c>
      <c r="R194" s="388">
        <f t="shared" si="104"/>
        <v>1.4094059839760453</v>
      </c>
      <c r="S194" s="388">
        <f t="shared" si="104"/>
        <v>1.3661484315158074</v>
      </c>
      <c r="T194" s="388">
        <f t="shared" si="104"/>
        <v>1.3453737321266177</v>
      </c>
      <c r="U194" s="388">
        <f t="shared" si="104"/>
        <v>1.3262904084975442</v>
      </c>
      <c r="V194" s="388">
        <f t="shared" si="104"/>
        <v>1.3080446131899643</v>
      </c>
      <c r="W194" s="388">
        <f t="shared" si="104"/>
        <v>1.2906359882354332</v>
      </c>
      <c r="X194" s="388">
        <f t="shared" si="104"/>
        <v>1.2706883737213015</v>
      </c>
      <c r="Y194" s="388">
        <f t="shared" si="104"/>
        <v>1.25460753060889</v>
      </c>
      <c r="Z194" s="388">
        <f t="shared" si="104"/>
        <v>1.2392144305407615</v>
      </c>
      <c r="AA194" s="388">
        <f t="shared" si="104"/>
        <v>1.2244589956238843</v>
      </c>
      <c r="AB194" s="388">
        <f t="shared" si="104"/>
        <v>1.2103859529528989</v>
      </c>
      <c r="AC194" s="388">
        <f t="shared" si="104"/>
        <v>1.1877249238609575</v>
      </c>
      <c r="AD194" s="388">
        <f t="shared" si="104"/>
        <v>1.1796952529910334</v>
      </c>
      <c r="AE194" s="388">
        <f t="shared" si="104"/>
        <v>1.1720651516464244</v>
      </c>
      <c r="AF194" s="388">
        <f t="shared" si="104"/>
        <v>1.1647551668752809</v>
      </c>
      <c r="AG194" s="388">
        <f t="shared" si="104"/>
        <v>1.1577826244173834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A197" s="389"/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6:A37"/>
  </mergeCells>
  <pageMargins left="0.7" right="0.7" top="0.75" bottom="0.75" header="0.3" footer="0.3"/>
  <pageSetup orientation="portrait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9097-8025-458A-B2E4-F3FF251D10B6}">
  <sheetPr>
    <tabColor rgb="FF0070C0"/>
  </sheetPr>
  <dimension ref="A1:AO200"/>
  <sheetViews>
    <sheetView zoomScaleNormal="100" workbookViewId="0">
      <pane xSplit="2" ySplit="4" topLeftCell="C163" activePane="bottomRight" state="frozen"/>
      <selection pane="topRight" activeCell="C1" sqref="C1"/>
      <selection pane="bottomLeft" activeCell="A5" sqref="A5"/>
      <selection pane="bottomRight" activeCell="A177" sqref="A177:XFD177"/>
    </sheetView>
  </sheetViews>
  <sheetFormatPr defaultColWidth="9.109375" defaultRowHeight="14.4"/>
  <cols>
    <col min="1" max="1" width="30.88671875" style="300" customWidth="1"/>
    <col min="2" max="2" width="29" style="300" customWidth="1"/>
    <col min="3" max="3" width="15.44140625" style="340" customWidth="1"/>
    <col min="4" max="6" width="15.88671875" style="300" customWidth="1"/>
    <col min="7" max="31" width="14.44140625" style="300" customWidth="1"/>
    <col min="32" max="33" width="12.109375" style="300" bestFit="1" customWidth="1"/>
    <col min="34" max="34" width="10.88671875" style="300" bestFit="1" customWidth="1"/>
    <col min="35" max="36" width="12.109375" style="300" bestFit="1" customWidth="1"/>
    <col min="37" max="16384" width="9.109375" style="300"/>
  </cols>
  <sheetData>
    <row r="1" spans="1:21">
      <c r="G1" s="341" t="s">
        <v>247</v>
      </c>
      <c r="H1" s="300" t="s">
        <v>247</v>
      </c>
    </row>
    <row r="2" spans="1:21">
      <c r="A2" s="352" t="s">
        <v>868</v>
      </c>
      <c r="B2" s="352" t="str">
        <f>'No change with year'!B18</f>
        <v>LPG bullet tankers</v>
      </c>
      <c r="F2" s="341" t="s">
        <v>249</v>
      </c>
      <c r="G2" s="341" t="s">
        <v>250</v>
      </c>
      <c r="H2" s="300" t="s">
        <v>250</v>
      </c>
    </row>
    <row r="3" spans="1:21">
      <c r="A3" s="352" t="s">
        <v>4</v>
      </c>
      <c r="B3" s="352" t="str">
        <f>'No change with year'!C18</f>
        <v>40T Tractor</v>
      </c>
      <c r="F3" s="341" t="s">
        <v>252</v>
      </c>
    </row>
    <row r="4" spans="1:21" s="344" customFormat="1">
      <c r="A4" s="342"/>
      <c r="B4" s="342"/>
      <c r="C4" s="343"/>
    </row>
    <row r="5" spans="1:21" ht="15.6">
      <c r="A5" s="328" t="s">
        <v>254</v>
      </c>
      <c r="B5" s="300" t="s">
        <v>255</v>
      </c>
      <c r="C5" s="346">
        <f>'No change with year'!AR18</f>
        <v>39500</v>
      </c>
      <c r="D5" s="347" t="s">
        <v>169</v>
      </c>
      <c r="E5" s="347">
        <v>2</v>
      </c>
    </row>
    <row r="6" spans="1:21" ht="15.6">
      <c r="A6" s="328" t="s">
        <v>256</v>
      </c>
      <c r="B6" s="300" t="s">
        <v>257</v>
      </c>
      <c r="C6" s="346">
        <f>'Changing with year'!C88</f>
        <v>4300000</v>
      </c>
      <c r="D6" s="347" t="s">
        <v>169</v>
      </c>
      <c r="E6" s="347"/>
    </row>
    <row r="7" spans="1:21" ht="15.6">
      <c r="A7" s="328" t="s">
        <v>258</v>
      </c>
      <c r="B7" s="300" t="s">
        <v>257</v>
      </c>
      <c r="C7" s="346">
        <f>'Changing with year'!C99</f>
        <v>4550000</v>
      </c>
      <c r="D7" s="347" t="s">
        <v>169</v>
      </c>
      <c r="E7" s="347">
        <v>4</v>
      </c>
    </row>
    <row r="8" spans="1:21" ht="15.6">
      <c r="A8" s="328" t="s">
        <v>259</v>
      </c>
      <c r="B8" s="300" t="s">
        <v>257</v>
      </c>
      <c r="C8" s="346">
        <f>'Changing with year'!C112</f>
        <v>5456825</v>
      </c>
      <c r="D8" s="347" t="s">
        <v>169</v>
      </c>
      <c r="E8" s="347">
        <v>5</v>
      </c>
      <c r="S8" s="300" t="s">
        <v>341</v>
      </c>
      <c r="T8" s="300" t="s">
        <v>342</v>
      </c>
      <c r="U8" s="300" t="s">
        <v>343</v>
      </c>
    </row>
    <row r="9" spans="1:21" ht="15.6">
      <c r="A9" s="328" t="s">
        <v>260</v>
      </c>
      <c r="B9" s="300" t="s">
        <v>257</v>
      </c>
      <c r="C9" s="346">
        <f>'Changing with year'!C124</f>
        <v>5879200</v>
      </c>
      <c r="D9" s="347" t="s">
        <v>169</v>
      </c>
      <c r="E9" s="347">
        <v>6</v>
      </c>
      <c r="S9" s="300">
        <v>800</v>
      </c>
      <c r="T9" s="300">
        <v>2028</v>
      </c>
      <c r="U9" s="300">
        <v>2034</v>
      </c>
    </row>
    <row r="10" spans="1:21" ht="15.6">
      <c r="A10" s="328" t="s">
        <v>261</v>
      </c>
      <c r="B10" s="300" t="s">
        <v>257</v>
      </c>
      <c r="C10" s="346">
        <f>'Changing with year'!C136</f>
        <v>10205000</v>
      </c>
      <c r="D10" s="347" t="s">
        <v>169</v>
      </c>
      <c r="E10" s="347">
        <v>8</v>
      </c>
      <c r="S10" s="300">
        <v>500</v>
      </c>
      <c r="T10" s="300">
        <v>2029</v>
      </c>
      <c r="U10" s="300">
        <v>2035</v>
      </c>
    </row>
    <row r="11" spans="1:21" ht="15.6">
      <c r="A11" s="328" t="s">
        <v>262</v>
      </c>
      <c r="B11" s="300" t="s">
        <v>257</v>
      </c>
      <c r="C11" s="346">
        <f>'Changing with year'!C149</f>
        <v>12191400</v>
      </c>
      <c r="D11" s="347" t="s">
        <v>169</v>
      </c>
      <c r="E11" s="347">
        <v>9</v>
      </c>
    </row>
    <row r="12" spans="1:21" ht="15.6">
      <c r="A12" s="328" t="s">
        <v>263</v>
      </c>
      <c r="B12" s="300" t="s">
        <v>193</v>
      </c>
      <c r="C12" s="346">
        <f>'No change with year'!G18</f>
        <v>300</v>
      </c>
      <c r="D12" s="347"/>
      <c r="E12" s="347"/>
    </row>
    <row r="13" spans="1:21" ht="15.6">
      <c r="A13" s="328" t="s">
        <v>264</v>
      </c>
      <c r="B13" s="300" t="s">
        <v>265</v>
      </c>
      <c r="C13" s="346">
        <f>'No change with year'!D22</f>
        <v>3000</v>
      </c>
      <c r="D13" s="347" t="s">
        <v>169</v>
      </c>
      <c r="E13" s="347">
        <v>10</v>
      </c>
    </row>
    <row r="14" spans="1:21" ht="15.6">
      <c r="A14" s="328" t="s">
        <v>266</v>
      </c>
      <c r="B14" s="300" t="s">
        <v>194</v>
      </c>
      <c r="C14" s="346">
        <f>'No change with year'!J18</f>
        <v>80</v>
      </c>
      <c r="D14" s="347" t="s">
        <v>169</v>
      </c>
      <c r="E14" s="347">
        <v>11</v>
      </c>
    </row>
    <row r="15" spans="1:21" ht="15.6">
      <c r="A15" s="328" t="s">
        <v>209</v>
      </c>
      <c r="B15" s="300" t="s">
        <v>267</v>
      </c>
      <c r="C15" s="346">
        <f>'No change with year'!D23</f>
        <v>25000</v>
      </c>
      <c r="D15" s="347" t="s">
        <v>169</v>
      </c>
      <c r="E15" s="347">
        <v>12</v>
      </c>
    </row>
    <row r="16" spans="1:21" ht="15.6">
      <c r="A16" s="328" t="s">
        <v>268</v>
      </c>
      <c r="B16" s="300" t="s">
        <v>193</v>
      </c>
      <c r="C16" s="346">
        <f>'No change with year'!I17</f>
        <v>70</v>
      </c>
      <c r="D16" s="347"/>
      <c r="E16" s="347"/>
    </row>
    <row r="17" spans="1:5" ht="15.6">
      <c r="A17" s="348" t="s">
        <v>269</v>
      </c>
      <c r="B17" s="300" t="s">
        <v>255</v>
      </c>
      <c r="C17" s="346">
        <f>'No change with year'!AX18</f>
        <v>20500</v>
      </c>
      <c r="D17" s="347" t="s">
        <v>169</v>
      </c>
      <c r="E17" s="347">
        <v>13</v>
      </c>
    </row>
    <row r="18" spans="1:5" ht="15.6">
      <c r="A18" s="328" t="s">
        <v>270</v>
      </c>
      <c r="B18" s="300" t="s">
        <v>255</v>
      </c>
      <c r="C18" s="346">
        <f>'No change with year'!AY18</f>
        <v>18100</v>
      </c>
      <c r="D18" s="347" t="s">
        <v>169</v>
      </c>
      <c r="E18" s="347">
        <v>14</v>
      </c>
    </row>
    <row r="19" spans="1:5" ht="15.6">
      <c r="A19" s="328" t="s">
        <v>271</v>
      </c>
      <c r="B19" s="300" t="s">
        <v>255</v>
      </c>
      <c r="C19" s="346">
        <f>'No change with year'!AZ18</f>
        <v>19600</v>
      </c>
      <c r="D19" s="347" t="s">
        <v>169</v>
      </c>
      <c r="E19" s="347">
        <v>18</v>
      </c>
    </row>
    <row r="20" spans="1:5" ht="15.6">
      <c r="A20" s="328" t="s">
        <v>272</v>
      </c>
      <c r="B20" s="300" t="s">
        <v>273</v>
      </c>
      <c r="C20" s="391">
        <f>'Changing with year'!C267</f>
        <v>7</v>
      </c>
      <c r="D20" s="347" t="s">
        <v>169</v>
      </c>
      <c r="E20" s="347">
        <v>19</v>
      </c>
    </row>
    <row r="21" spans="1:5" ht="15.6">
      <c r="A21" s="328" t="s">
        <v>274</v>
      </c>
      <c r="B21" s="300" t="s">
        <v>195</v>
      </c>
      <c r="C21" s="346">
        <f>'No change with year'!K18</f>
        <v>250</v>
      </c>
      <c r="D21" s="347" t="s">
        <v>169</v>
      </c>
      <c r="E21" s="347">
        <v>20</v>
      </c>
    </row>
    <row r="22" spans="1:5" ht="15.6">
      <c r="A22" s="328" t="s">
        <v>172</v>
      </c>
      <c r="B22" s="300" t="s">
        <v>196</v>
      </c>
      <c r="C22" s="346">
        <f>'No change with year'!L18</f>
        <v>240</v>
      </c>
      <c r="D22" s="347" t="s">
        <v>169</v>
      </c>
      <c r="E22" s="347">
        <v>21</v>
      </c>
    </row>
    <row r="23" spans="1:5" ht="15.6">
      <c r="A23" s="328" t="s">
        <v>174</v>
      </c>
      <c r="B23" s="300" t="s">
        <v>197</v>
      </c>
      <c r="C23" s="346">
        <f>'No change with year'!Q18</f>
        <v>6.25</v>
      </c>
      <c r="D23" s="347" t="s">
        <v>275</v>
      </c>
      <c r="E23" s="347">
        <v>2</v>
      </c>
    </row>
    <row r="24" spans="1:5" ht="15.6">
      <c r="A24" s="328" t="s">
        <v>276</v>
      </c>
      <c r="B24" s="300" t="s">
        <v>198</v>
      </c>
      <c r="C24" s="390">
        <f>'No change with year'!O18</f>
        <v>0.5</v>
      </c>
      <c r="D24" s="347" t="s">
        <v>275</v>
      </c>
      <c r="E24" s="347">
        <v>3</v>
      </c>
    </row>
    <row r="25" spans="1:5" ht="15.6">
      <c r="A25" s="328" t="s">
        <v>685</v>
      </c>
      <c r="B25" s="300" t="s">
        <v>277</v>
      </c>
      <c r="C25" s="345">
        <f>'No change with year'!D28</f>
        <v>7</v>
      </c>
      <c r="D25" s="347" t="s">
        <v>275</v>
      </c>
      <c r="E25" s="347">
        <v>4</v>
      </c>
    </row>
    <row r="26" spans="1:5" ht="15.6">
      <c r="A26" s="328" t="s">
        <v>686</v>
      </c>
      <c r="B26" s="300" t="s">
        <v>198</v>
      </c>
      <c r="C26" s="325">
        <f>'No change with year'!D27</f>
        <v>0.12</v>
      </c>
      <c r="D26" s="347"/>
      <c r="E26" s="347"/>
    </row>
    <row r="27" spans="1:5" ht="15.6">
      <c r="A27" s="328" t="s">
        <v>687</v>
      </c>
      <c r="B27" s="300" t="s">
        <v>277</v>
      </c>
      <c r="C27" s="345">
        <f>'No change with year'!D30</f>
        <v>7</v>
      </c>
      <c r="D27" s="347"/>
      <c r="E27" s="347"/>
    </row>
    <row r="28" spans="1:5" ht="15.6">
      <c r="A28" s="328" t="s">
        <v>688</v>
      </c>
      <c r="B28" s="300" t="s">
        <v>198</v>
      </c>
      <c r="C28" s="325">
        <f>'No change with year'!D29</f>
        <v>0.12</v>
      </c>
      <c r="D28" s="347"/>
      <c r="E28" s="347"/>
    </row>
    <row r="29" spans="1:5" ht="15.6">
      <c r="A29" s="328" t="s">
        <v>221</v>
      </c>
      <c r="B29" s="300" t="s">
        <v>198</v>
      </c>
      <c r="C29" s="349">
        <f>'No change with year'!D32</f>
        <v>0.02</v>
      </c>
      <c r="D29" s="347"/>
      <c r="E29" s="347"/>
    </row>
    <row r="30" spans="1:5" ht="15.6">
      <c r="D30" s="347" t="s">
        <v>275</v>
      </c>
      <c r="E30" s="347">
        <v>5</v>
      </c>
    </row>
    <row r="31" spans="1:5">
      <c r="A31" s="328" t="s">
        <v>278</v>
      </c>
      <c r="B31" s="300" t="s">
        <v>198</v>
      </c>
      <c r="C31" s="325">
        <f>'No change with year'!D34</f>
        <v>0.5</v>
      </c>
      <c r="D31" s="325">
        <f>'No change with year'!H34</f>
        <v>0.3</v>
      </c>
      <c r="E31" s="325">
        <f>'No change with year'!I34</f>
        <v>0.25</v>
      </c>
    </row>
    <row r="32" spans="1:5">
      <c r="A32" s="328" t="s">
        <v>279</v>
      </c>
      <c r="C32" s="326">
        <f>'No change with year'!D36</f>
        <v>0.4</v>
      </c>
      <c r="D32" s="326"/>
      <c r="E32" s="325">
        <f>'No change with year'!I36</f>
        <v>0.35</v>
      </c>
    </row>
    <row r="33" spans="1:38">
      <c r="C33" s="300"/>
    </row>
    <row r="34" spans="1:38" s="352" customFormat="1">
      <c r="A34" s="350"/>
      <c r="B34" s="350"/>
      <c r="C34" s="351" t="s">
        <v>178</v>
      </c>
      <c r="D34" s="351" t="s">
        <v>179</v>
      </c>
      <c r="E34" s="351" t="s">
        <v>180</v>
      </c>
      <c r="F34" s="351" t="s">
        <v>181</v>
      </c>
      <c r="G34" s="351" t="s">
        <v>182</v>
      </c>
      <c r="H34" s="351" t="s">
        <v>239</v>
      </c>
    </row>
    <row r="35" spans="1:38">
      <c r="A35" s="328" t="s">
        <v>280</v>
      </c>
      <c r="B35" s="328" t="s">
        <v>281</v>
      </c>
      <c r="C35" s="353"/>
      <c r="D35" s="353"/>
      <c r="E35" s="354">
        <f>'No change with year'!E18</f>
        <v>346.5</v>
      </c>
      <c r="F35" s="355">
        <f>'No change with year'!F18</f>
        <v>28.2</v>
      </c>
      <c r="G35" s="328"/>
      <c r="H35" s="355">
        <f>'No change with year'!H18</f>
        <v>28.2</v>
      </c>
    </row>
    <row r="36" spans="1:38">
      <c r="A36" s="974" t="s">
        <v>345</v>
      </c>
      <c r="B36" s="328" t="s">
        <v>201</v>
      </c>
      <c r="C36" s="356"/>
      <c r="D36" s="356"/>
      <c r="E36" s="356"/>
      <c r="F36" s="356"/>
      <c r="G36" s="356"/>
      <c r="H36" s="356"/>
    </row>
    <row r="37" spans="1:38">
      <c r="A37" s="974"/>
      <c r="B37" s="328" t="s">
        <v>346</v>
      </c>
      <c r="C37" s="358">
        <f>'No change with year'!S18</f>
        <v>3.6</v>
      </c>
      <c r="D37" s="358">
        <f>'No change with year'!T18</f>
        <v>3.8</v>
      </c>
      <c r="E37" s="358">
        <f>'No change with year'!U18</f>
        <v>3.7</v>
      </c>
      <c r="F37" s="358">
        <f>'No change with year'!V18</f>
        <v>10.8</v>
      </c>
      <c r="G37" s="358">
        <f>'No change with year'!W18</f>
        <v>1.25</v>
      </c>
      <c r="H37" s="358">
        <f>'No change with year'!X18</f>
        <v>14.4</v>
      </c>
    </row>
    <row r="38" spans="1:38" ht="28.8">
      <c r="A38" s="296" t="s">
        <v>283</v>
      </c>
      <c r="B38" s="296" t="s">
        <v>284</v>
      </c>
      <c r="C38" s="297">
        <f>($C$21*$C$22)/C37</f>
        <v>16666.666666666668</v>
      </c>
      <c r="D38" s="297">
        <f>($C$21*$C$22)/D37</f>
        <v>15789.473684210527</v>
      </c>
      <c r="E38" s="297">
        <f>($C$21*$C$22)/E37</f>
        <v>16216.216216216215</v>
      </c>
      <c r="F38" s="297">
        <f>($C$21*$C$22)/F37</f>
        <v>5555.5555555555547</v>
      </c>
      <c r="G38" s="297">
        <f>($C$21*$C$22*G37)</f>
        <v>75000</v>
      </c>
      <c r="H38" s="297">
        <f>($C$21*$C$22)/H37</f>
        <v>4166.666666666667</v>
      </c>
    </row>
    <row r="39" spans="1:38" s="344" customFormat="1">
      <c r="A39" s="342" t="s">
        <v>286</v>
      </c>
      <c r="B39" s="342"/>
    </row>
    <row r="40" spans="1:38">
      <c r="A40" s="360" t="s">
        <v>41</v>
      </c>
      <c r="B40" s="360"/>
      <c r="C40" s="360">
        <v>2025</v>
      </c>
      <c r="D40" s="360">
        <f>C40+1</f>
        <v>2026</v>
      </c>
      <c r="E40" s="360">
        <f t="shared" ref="E40:AG40" si="0">D40+1</f>
        <v>2027</v>
      </c>
      <c r="F40" s="360">
        <f t="shared" si="0"/>
        <v>2028</v>
      </c>
      <c r="G40" s="360">
        <f t="shared" si="0"/>
        <v>2029</v>
      </c>
      <c r="H40" s="360">
        <f t="shared" si="0"/>
        <v>2030</v>
      </c>
      <c r="I40" s="360">
        <f t="shared" si="0"/>
        <v>2031</v>
      </c>
      <c r="J40" s="360">
        <f t="shared" si="0"/>
        <v>2032</v>
      </c>
      <c r="K40" s="360">
        <f t="shared" si="0"/>
        <v>2033</v>
      </c>
      <c r="L40" s="360">
        <f t="shared" si="0"/>
        <v>2034</v>
      </c>
      <c r="M40" s="360">
        <f t="shared" si="0"/>
        <v>2035</v>
      </c>
      <c r="N40" s="360">
        <f t="shared" si="0"/>
        <v>2036</v>
      </c>
      <c r="O40" s="360">
        <f t="shared" si="0"/>
        <v>2037</v>
      </c>
      <c r="P40" s="360">
        <f t="shared" si="0"/>
        <v>2038</v>
      </c>
      <c r="Q40" s="360">
        <f t="shared" si="0"/>
        <v>2039</v>
      </c>
      <c r="R40" s="360">
        <f t="shared" si="0"/>
        <v>2040</v>
      </c>
      <c r="S40" s="360">
        <f t="shared" si="0"/>
        <v>2041</v>
      </c>
      <c r="T40" s="360">
        <f t="shared" si="0"/>
        <v>2042</v>
      </c>
      <c r="U40" s="360">
        <f t="shared" si="0"/>
        <v>2043</v>
      </c>
      <c r="V40" s="360">
        <f t="shared" si="0"/>
        <v>2044</v>
      </c>
      <c r="W40" s="360">
        <f t="shared" si="0"/>
        <v>2045</v>
      </c>
      <c r="X40" s="360">
        <f t="shared" si="0"/>
        <v>2046</v>
      </c>
      <c r="Y40" s="360">
        <f t="shared" si="0"/>
        <v>2047</v>
      </c>
      <c r="Z40" s="360">
        <f t="shared" si="0"/>
        <v>2048</v>
      </c>
      <c r="AA40" s="360">
        <f t="shared" si="0"/>
        <v>2049</v>
      </c>
      <c r="AB40" s="360">
        <f t="shared" si="0"/>
        <v>2050</v>
      </c>
      <c r="AC40" s="360">
        <f t="shared" si="0"/>
        <v>2051</v>
      </c>
      <c r="AD40" s="360">
        <f t="shared" si="0"/>
        <v>2052</v>
      </c>
      <c r="AE40" s="360">
        <f t="shared" si="0"/>
        <v>2053</v>
      </c>
      <c r="AF40" s="360">
        <f t="shared" si="0"/>
        <v>2054</v>
      </c>
      <c r="AG40" s="360">
        <f t="shared" si="0"/>
        <v>2055</v>
      </c>
      <c r="AH40" s="328"/>
    </row>
    <row r="41" spans="1:38">
      <c r="A41" s="328" t="s">
        <v>287</v>
      </c>
      <c r="B41" s="328" t="s">
        <v>288</v>
      </c>
      <c r="C41" s="361">
        <f>'Changing with year'!C3</f>
        <v>88.926296108571407</v>
      </c>
      <c r="D41" s="361">
        <f>'Changing with year'!D3</f>
        <v>99</v>
      </c>
      <c r="E41" s="361">
        <f>'Changing with year'!E3</f>
        <v>100.98</v>
      </c>
      <c r="F41" s="361">
        <f>'Changing with year'!F3</f>
        <v>102.9996</v>
      </c>
      <c r="G41" s="361">
        <f>'Changing with year'!G3</f>
        <v>105.05959200000001</v>
      </c>
      <c r="H41" s="361">
        <f>'Changing with year'!H3</f>
        <v>107.16078384000001</v>
      </c>
      <c r="I41" s="361">
        <f>'Changing with year'!I3</f>
        <v>109.3039995168</v>
      </c>
      <c r="J41" s="361">
        <f>'Changing with year'!J3</f>
        <v>111.490079507136</v>
      </c>
      <c r="K41" s="361">
        <f>'Changing with year'!K3</f>
        <v>113.71988109727873</v>
      </c>
      <c r="L41" s="361">
        <f>'Changing with year'!L3</f>
        <v>115.99427871922431</v>
      </c>
      <c r="M41" s="361">
        <f>'Changing with year'!M3</f>
        <v>118.3141642936088</v>
      </c>
      <c r="N41" s="361">
        <f>'Changing with year'!N3</f>
        <v>120.68044757948097</v>
      </c>
      <c r="O41" s="361">
        <f>'Changing with year'!O3</f>
        <v>123.09405653107059</v>
      </c>
      <c r="P41" s="361">
        <f>'Changing with year'!P3</f>
        <v>125.555937661692</v>
      </c>
      <c r="Q41" s="361">
        <f>'Changing with year'!Q3</f>
        <v>128.06705641492584</v>
      </c>
      <c r="R41" s="361">
        <f>'Changing with year'!R3</f>
        <v>130.62839754322437</v>
      </c>
      <c r="S41" s="361">
        <f>'Changing with year'!S3</f>
        <v>133.24096549408887</v>
      </c>
      <c r="T41" s="361">
        <f>'Changing with year'!T3</f>
        <v>135.90578480397065</v>
      </c>
      <c r="U41" s="361">
        <f>'Changing with year'!U3</f>
        <v>138.62390050005007</v>
      </c>
      <c r="V41" s="361">
        <f>'Changing with year'!V3</f>
        <v>141.39637851005108</v>
      </c>
      <c r="W41" s="361">
        <f>'Changing with year'!W3</f>
        <v>144.22430608025209</v>
      </c>
      <c r="X41" s="361">
        <f>'Changing with year'!X3</f>
        <v>147.10879220185714</v>
      </c>
      <c r="Y41" s="361">
        <f>'Changing with year'!Y3</f>
        <v>150.05096804589428</v>
      </c>
      <c r="Z41" s="361">
        <f>'Changing with year'!Z3</f>
        <v>153.05198740681217</v>
      </c>
      <c r="AA41" s="361">
        <f>'Changing with year'!AA3</f>
        <v>156.11302715494841</v>
      </c>
      <c r="AB41" s="361">
        <f>'Changing with year'!AB3</f>
        <v>159.23528769804739</v>
      </c>
      <c r="AC41" s="361">
        <f>'Changing with year'!AC3</f>
        <v>162.41999345200833</v>
      </c>
      <c r="AD41" s="361">
        <f>'Changing with year'!AD3</f>
        <v>165.66839332104848</v>
      </c>
      <c r="AE41" s="361">
        <f>'Changing with year'!AE3</f>
        <v>168.98176118746946</v>
      </c>
      <c r="AF41" s="361">
        <f>'Changing with year'!AF3</f>
        <v>172.36139641121886</v>
      </c>
      <c r="AG41" s="361">
        <f>'Changing with year'!AG3</f>
        <v>175.80862433944324</v>
      </c>
      <c r="AH41" s="362"/>
    </row>
    <row r="42" spans="1:38">
      <c r="A42" s="328" t="s">
        <v>289</v>
      </c>
      <c r="B42" s="328" t="s">
        <v>288</v>
      </c>
      <c r="C42" s="361">
        <f>'Changing with year'!C4</f>
        <v>55</v>
      </c>
      <c r="D42" s="361">
        <f>'Changing with year'!D4</f>
        <v>56.374999999999993</v>
      </c>
      <c r="E42" s="361">
        <f>'Changing with year'!E4</f>
        <v>57.78437499999999</v>
      </c>
      <c r="F42" s="361">
        <f>'Changing with year'!F4</f>
        <v>59.228984374999982</v>
      </c>
      <c r="G42" s="361">
        <f>'Changing with year'!G4</f>
        <v>60.709708984374977</v>
      </c>
      <c r="H42" s="361">
        <f>'Changing with year'!H4</f>
        <v>62.227451708984347</v>
      </c>
      <c r="I42" s="361">
        <f>'Changing with year'!I4</f>
        <v>63.783138001708949</v>
      </c>
      <c r="J42" s="361">
        <f>'Changing with year'!J4</f>
        <v>65.377716451751667</v>
      </c>
      <c r="K42" s="361">
        <f>'Changing with year'!K4</f>
        <v>67.012159363045456</v>
      </c>
      <c r="L42" s="361">
        <f>'Changing with year'!L4</f>
        <v>68.687463347121593</v>
      </c>
      <c r="M42" s="361">
        <f>'Changing with year'!M4</f>
        <v>70.404649930799621</v>
      </c>
      <c r="N42" s="361">
        <f>'Changing with year'!N4</f>
        <v>72.164766179069602</v>
      </c>
      <c r="O42" s="361">
        <f>'Changing with year'!O4</f>
        <v>73.968885333546339</v>
      </c>
      <c r="P42" s="361">
        <f>'Changing with year'!P4</f>
        <v>75.818107466884996</v>
      </c>
      <c r="Q42" s="361">
        <f>'Changing with year'!Q4</f>
        <v>77.713560153557111</v>
      </c>
      <c r="R42" s="361">
        <f>'Changing with year'!R4</f>
        <v>79.656399157396038</v>
      </c>
      <c r="S42" s="361">
        <f>'Changing with year'!S4</f>
        <v>81.647809136330935</v>
      </c>
      <c r="T42" s="361">
        <f>'Changing with year'!T4</f>
        <v>83.689004364739205</v>
      </c>
      <c r="U42" s="361">
        <f>'Changing with year'!U4</f>
        <v>85.781229473857678</v>
      </c>
      <c r="V42" s="361">
        <f>'Changing with year'!V4</f>
        <v>87.925760210704112</v>
      </c>
      <c r="W42" s="361">
        <f>'Changing with year'!W4</f>
        <v>90.123904215971706</v>
      </c>
      <c r="X42" s="361">
        <f>'Changing with year'!X4</f>
        <v>92.377001821370996</v>
      </c>
      <c r="Y42" s="361">
        <f>'Changing with year'!Y4</f>
        <v>94.686426866905265</v>
      </c>
      <c r="Z42" s="361">
        <f>'Changing with year'!Z4</f>
        <v>97.053587538577887</v>
      </c>
      <c r="AA42" s="361">
        <f>'Changing with year'!AA4</f>
        <v>99.479927227042324</v>
      </c>
      <c r="AB42" s="361">
        <f>'Changing with year'!AB4</f>
        <v>101.96692540771838</v>
      </c>
      <c r="AC42" s="361">
        <f>'Changing with year'!AC4</f>
        <v>104.51609854291132</v>
      </c>
      <c r="AD42" s="361">
        <f>'Changing with year'!AD4</f>
        <v>107.1290010064841</v>
      </c>
      <c r="AE42" s="361">
        <f>'Changing with year'!AE4</f>
        <v>109.80722603164619</v>
      </c>
      <c r="AF42" s="361">
        <f>'Changing with year'!AF4</f>
        <v>112.55240668243734</v>
      </c>
      <c r="AG42" s="361">
        <f>'Changing with year'!AG4</f>
        <v>115.36621684949826</v>
      </c>
      <c r="AH42" s="362"/>
    </row>
    <row r="43" spans="1:38">
      <c r="A43" s="328" t="s">
        <v>179</v>
      </c>
      <c r="B43" s="328" t="s">
        <v>290</v>
      </c>
      <c r="C43" s="361">
        <f>'Changing with year'!C5</f>
        <v>87</v>
      </c>
      <c r="D43" s="361">
        <f>'Changing with year'!D5</f>
        <v>91.5</v>
      </c>
      <c r="E43" s="361">
        <f>'Changing with year'!E5</f>
        <v>94.245000000000005</v>
      </c>
      <c r="F43" s="361">
        <f>'Changing with year'!F5</f>
        <v>97.07235</v>
      </c>
      <c r="G43" s="361">
        <f>'Changing with year'!G5</f>
        <v>99.984520500000002</v>
      </c>
      <c r="H43" s="361">
        <f>'Changing with year'!H5</f>
        <v>102.984056115</v>
      </c>
      <c r="I43" s="361">
        <f>'Changing with year'!I5</f>
        <v>106.07357779845</v>
      </c>
      <c r="J43" s="361">
        <f>'Changing with year'!J5</f>
        <v>109.2557851324035</v>
      </c>
      <c r="K43" s="361">
        <f>'Changing with year'!K5</f>
        <v>112.53345868637561</v>
      </c>
      <c r="L43" s="361">
        <f>'Changing with year'!L5</f>
        <v>115.90946244696688</v>
      </c>
      <c r="M43" s="361">
        <f>'Changing with year'!M5</f>
        <v>119.38674632037589</v>
      </c>
      <c r="N43" s="361">
        <f>'Changing with year'!N5</f>
        <v>122.96834870998717</v>
      </c>
      <c r="O43" s="361">
        <f>'Changing with year'!O5</f>
        <v>126.65739917128678</v>
      </c>
      <c r="P43" s="361">
        <f>'Changing with year'!P5</f>
        <v>130.45712114642538</v>
      </c>
      <c r="Q43" s="361">
        <f>'Changing with year'!Q5</f>
        <v>134.37083478081814</v>
      </c>
      <c r="R43" s="361">
        <f>'Changing with year'!R5</f>
        <v>138.40195982424268</v>
      </c>
      <c r="S43" s="361">
        <f>'Changing with year'!S5</f>
        <v>142.55401861896996</v>
      </c>
      <c r="T43" s="361">
        <f>'Changing with year'!T5</f>
        <v>146.83063917753907</v>
      </c>
      <c r="U43" s="361">
        <f>'Changing with year'!U5</f>
        <v>151.23555835286524</v>
      </c>
      <c r="V43" s="361">
        <f>'Changing with year'!V5</f>
        <v>155.77262510345119</v>
      </c>
      <c r="W43" s="361">
        <f>'Changing with year'!W5</f>
        <v>160.44580385655473</v>
      </c>
      <c r="X43" s="361">
        <f>'Changing with year'!X5</f>
        <v>165.25917797225136</v>
      </c>
      <c r="Y43" s="361">
        <f>'Changing with year'!Y5</f>
        <v>170.21695331141891</v>
      </c>
      <c r="Z43" s="361">
        <f>'Changing with year'!Z5</f>
        <v>175.32346191076147</v>
      </c>
      <c r="AA43" s="361">
        <f>'Changing with year'!AA5</f>
        <v>180.58316576808431</v>
      </c>
      <c r="AB43" s="361">
        <f>'Changing with year'!AB5</f>
        <v>186.00066074112684</v>
      </c>
      <c r="AC43" s="361">
        <f>'Changing with year'!AC5</f>
        <v>191.58068056336066</v>
      </c>
      <c r="AD43" s="361">
        <f>'Changing with year'!AD5</f>
        <v>197.3281009802615</v>
      </c>
      <c r="AE43" s="361">
        <f>'Changing with year'!AE5</f>
        <v>203.24794400966934</v>
      </c>
      <c r="AF43" s="361">
        <f>'Changing with year'!AF5</f>
        <v>209.34538232995942</v>
      </c>
      <c r="AG43" s="361">
        <f>'Changing with year'!AG5</f>
        <v>215.62574379985821</v>
      </c>
      <c r="AH43" s="363"/>
    </row>
    <row r="44" spans="1:38">
      <c r="A44" s="328" t="s">
        <v>180</v>
      </c>
      <c r="B44" s="328" t="s">
        <v>290</v>
      </c>
      <c r="C44" s="361">
        <f>'Changing with year'!C6</f>
        <v>83</v>
      </c>
      <c r="D44" s="361">
        <f>'Changing with year'!D6</f>
        <v>86</v>
      </c>
      <c r="E44" s="361">
        <f>'Changing with year'!E6</f>
        <v>88.58</v>
      </c>
      <c r="F44" s="361">
        <f>'Changing with year'!F6</f>
        <v>91.237399999999994</v>
      </c>
      <c r="G44" s="361">
        <f>'Changing with year'!G6</f>
        <v>93.974521999999993</v>
      </c>
      <c r="H44" s="361">
        <f>'Changing with year'!H6</f>
        <v>96.793757659999997</v>
      </c>
      <c r="I44" s="361">
        <f>'Changing with year'!I6</f>
        <v>99.697570389800006</v>
      </c>
      <c r="J44" s="361">
        <f>'Changing with year'!J6</f>
        <v>102.68849750149401</v>
      </c>
      <c r="K44" s="361">
        <f>'Changing with year'!K6</f>
        <v>105.76915242653884</v>
      </c>
      <c r="L44" s="361">
        <f>'Changing with year'!L6</f>
        <v>108.94222699933501</v>
      </c>
      <c r="M44" s="361">
        <f>'Changing with year'!M6</f>
        <v>112.21049380931505</v>
      </c>
      <c r="N44" s="361">
        <f>'Changing with year'!N6</f>
        <v>115.5768086235945</v>
      </c>
      <c r="O44" s="361">
        <f>'Changing with year'!O6</f>
        <v>119.04411288230234</v>
      </c>
      <c r="P44" s="361">
        <f>'Changing with year'!P6</f>
        <v>122.61543626877142</v>
      </c>
      <c r="Q44" s="361">
        <f>'Changing with year'!Q6</f>
        <v>126.29389935683456</v>
      </c>
      <c r="R44" s="361">
        <f>'Changing with year'!R6</f>
        <v>130.08271633753961</v>
      </c>
      <c r="S44" s="361">
        <f>'Changing with year'!S6</f>
        <v>133.98519782766579</v>
      </c>
      <c r="T44" s="361">
        <f>'Changing with year'!T6</f>
        <v>138.00475376249577</v>
      </c>
      <c r="U44" s="361">
        <f>'Changing with year'!U6</f>
        <v>142.14489637537065</v>
      </c>
      <c r="V44" s="361">
        <f>'Changing with year'!V6</f>
        <v>146.40924326663176</v>
      </c>
      <c r="W44" s="361">
        <f>'Changing with year'!W6</f>
        <v>150.80152056463072</v>
      </c>
      <c r="X44" s="361">
        <f>'Changing with year'!X6</f>
        <v>155.32556618156966</v>
      </c>
      <c r="Y44" s="361">
        <f>'Changing with year'!Y6</f>
        <v>159.98533316701676</v>
      </c>
      <c r="Z44" s="361">
        <f>'Changing with year'!Z6</f>
        <v>164.78489316202726</v>
      </c>
      <c r="AA44" s="361">
        <f>'Changing with year'!AA6</f>
        <v>169.72843995688808</v>
      </c>
      <c r="AB44" s="361">
        <f>'Changing with year'!AB6</f>
        <v>174.82029315559473</v>
      </c>
      <c r="AC44" s="361">
        <f>'Changing with year'!AC6</f>
        <v>180.06490195026257</v>
      </c>
      <c r="AD44" s="361">
        <f>'Changing with year'!AD6</f>
        <v>185.46684900877045</v>
      </c>
      <c r="AE44" s="361">
        <f>'Changing with year'!AE6</f>
        <v>191.03085447903356</v>
      </c>
      <c r="AF44" s="361">
        <f>'Changing with year'!AF6</f>
        <v>196.76178011340457</v>
      </c>
      <c r="AG44" s="361">
        <f>'Changing with year'!AG6</f>
        <v>202.6646335168067</v>
      </c>
      <c r="AH44" s="363"/>
    </row>
    <row r="45" spans="1:38">
      <c r="A45" s="348" t="s">
        <v>291</v>
      </c>
      <c r="B45" s="328" t="s">
        <v>290</v>
      </c>
      <c r="C45" s="361">
        <f>'Changing with year'!C11</f>
        <v>546.5</v>
      </c>
      <c r="D45" s="361">
        <f>'Changing with year'!D11</f>
        <v>546.80000000000007</v>
      </c>
      <c r="E45" s="361">
        <f>'Changing with year'!E11</f>
        <v>547.48850000000004</v>
      </c>
      <c r="F45" s="361">
        <f>'Changing with year'!F11</f>
        <v>548.56179500000007</v>
      </c>
      <c r="G45" s="361">
        <f>'Changing with year'!G11</f>
        <v>550.01645015000008</v>
      </c>
      <c r="H45" s="361">
        <f>'Changing with year'!H11</f>
        <v>551.84929582550012</v>
      </c>
      <c r="I45" s="361">
        <f>'Changing with year'!I11</f>
        <v>514.76555703138001</v>
      </c>
      <c r="J45" s="361">
        <f>'Changing with year'!J11</f>
        <v>497.14781239946387</v>
      </c>
      <c r="K45" s="361">
        <f>'Changing with year'!K11</f>
        <v>480.12958348746292</v>
      </c>
      <c r="L45" s="361">
        <f>'Changing with year'!L11</f>
        <v>463.68728037350672</v>
      </c>
      <c r="M45" s="361">
        <f>'Changing with year'!M11</f>
        <v>447.79833457717973</v>
      </c>
      <c r="N45" s="361">
        <f>'Changing with year'!N11</f>
        <v>432.44115236203652</v>
      </c>
      <c r="O45" s="361">
        <f>'Changing with year'!O11</f>
        <v>417.59507023695778</v>
      </c>
      <c r="P45" s="361">
        <f>'Changing with year'!P11</f>
        <v>403.24031255107104</v>
      </c>
      <c r="Q45" s="361">
        <f>'Changing with year'!Q11</f>
        <v>389.35795108204587</v>
      </c>
      <c r="R45" s="361">
        <f>'Changing with year'!R11</f>
        <v>375.92986652242445</v>
      </c>
      <c r="S45" s="361">
        <f>'Changing with year'!S11</f>
        <v>342.1740920763624</v>
      </c>
      <c r="T45" s="361">
        <f>'Changing with year'!T11</f>
        <v>332.6221464405898</v>
      </c>
      <c r="U45" s="361">
        <f>'Changing with year'!U11</f>
        <v>323.42723049692546</v>
      </c>
      <c r="V45" s="361">
        <f>'Changing with year'!V11</f>
        <v>314.57269843666074</v>
      </c>
      <c r="W45" s="361">
        <f>'Changing with year'!W11</f>
        <v>306.04272468476341</v>
      </c>
      <c r="X45" s="361">
        <f>'Changing with year'!X11</f>
        <v>297.82226300876158</v>
      </c>
      <c r="Y45" s="361">
        <f>'Changing with year'!Y11</f>
        <v>289.89700767097747</v>
      </c>
      <c r="Z45" s="361">
        <f>'Changing with year'!Z11</f>
        <v>282.25335652195605</v>
      </c>
      <c r="AA45" s="361">
        <f>'Changing with year'!AA11</f>
        <v>274.87837593804039</v>
      </c>
      <c r="AB45" s="361">
        <f>'Changing with year'!AB11</f>
        <v>267.75976751089871</v>
      </c>
      <c r="AC45" s="361">
        <f>'Changing with year'!AC11</f>
        <v>257.70745534636421</v>
      </c>
      <c r="AD45" s="361">
        <f>'Changing with year'!AD11</f>
        <v>260.37854780004602</v>
      </c>
      <c r="AE45" s="361">
        <f>'Changing with year'!AE11</f>
        <v>263.40999726156872</v>
      </c>
      <c r="AF45" s="361">
        <f>'Changing with year'!AF11</f>
        <v>266.79613367130344</v>
      </c>
      <c r="AG45" s="361">
        <f>'Changing with year'!AG11</f>
        <v>270.53187916737176</v>
      </c>
      <c r="AH45" s="363"/>
      <c r="AI45" s="364"/>
      <c r="AJ45" s="364"/>
      <c r="AK45" s="365"/>
      <c r="AL45" s="365"/>
    </row>
    <row r="46" spans="1:38">
      <c r="A46" s="348" t="s">
        <v>292</v>
      </c>
      <c r="B46" s="328" t="s">
        <v>290</v>
      </c>
      <c r="C46" s="361">
        <f>'Changing with year'!C12</f>
        <v>250</v>
      </c>
      <c r="D46" s="361">
        <f>'Changing with year'!D12</f>
        <v>255</v>
      </c>
      <c r="E46" s="361">
        <f>'Changing with year'!E12</f>
        <v>260.10000000000002</v>
      </c>
      <c r="F46" s="361">
        <f>'Changing with year'!F12</f>
        <v>265.30200000000002</v>
      </c>
      <c r="G46" s="361">
        <f>'Changing with year'!G12</f>
        <v>270.60804000000002</v>
      </c>
      <c r="H46" s="361">
        <f>'Changing with year'!H12</f>
        <v>276.0202008</v>
      </c>
      <c r="I46" s="361">
        <f>'Changing with year'!I12</f>
        <v>281.54060481599998</v>
      </c>
      <c r="J46" s="361">
        <f>'Changing with year'!J12</f>
        <v>287.17141691232001</v>
      </c>
      <c r="K46" s="361">
        <f>'Changing with year'!K12</f>
        <v>292.91484525056643</v>
      </c>
      <c r="L46" s="361">
        <f>'Changing with year'!L12</f>
        <v>298.77314215557777</v>
      </c>
      <c r="M46" s="361">
        <f>'Changing with year'!M12</f>
        <v>304.74860499868936</v>
      </c>
      <c r="N46" s="361">
        <f>'Changing with year'!N12</f>
        <v>310.84357709866316</v>
      </c>
      <c r="O46" s="361">
        <f>'Changing with year'!O12</f>
        <v>317.06044864063642</v>
      </c>
      <c r="P46" s="361">
        <f>'Changing with year'!P12</f>
        <v>323.40165761344917</v>
      </c>
      <c r="Q46" s="361">
        <f>'Changing with year'!Q12</f>
        <v>329.86969076571819</v>
      </c>
      <c r="R46" s="361">
        <f>'Changing with year'!R12</f>
        <v>336.46708458103257</v>
      </c>
      <c r="S46" s="361">
        <f>'Changing with year'!S12</f>
        <v>343.19642627265324</v>
      </c>
      <c r="T46" s="361">
        <f>'Changing with year'!T12</f>
        <v>350.06035479810629</v>
      </c>
      <c r="U46" s="361">
        <f>'Changing with year'!U12</f>
        <v>357.0615618940684</v>
      </c>
      <c r="V46" s="361">
        <f>'Changing with year'!V12</f>
        <v>364.20279313194976</v>
      </c>
      <c r="W46" s="361">
        <f>'Changing with year'!W12</f>
        <v>371.48684899458874</v>
      </c>
      <c r="X46" s="361">
        <f>'Changing with year'!X12</f>
        <v>378.91658597448054</v>
      </c>
      <c r="Y46" s="361">
        <f>'Changing with year'!Y12</f>
        <v>386.49491769397014</v>
      </c>
      <c r="Z46" s="361">
        <f>'Changing with year'!Z12</f>
        <v>394.22481604784957</v>
      </c>
      <c r="AA46" s="361">
        <f>'Changing with year'!AA12</f>
        <v>402.10931236880657</v>
      </c>
      <c r="AB46" s="361">
        <f>'Changing with year'!AB12</f>
        <v>410.15149861618272</v>
      </c>
      <c r="AC46" s="361">
        <f>'Changing with year'!AC12</f>
        <v>418.35452858850635</v>
      </c>
      <c r="AD46" s="361">
        <f>'Changing with year'!AD12</f>
        <v>426.72161916027648</v>
      </c>
      <c r="AE46" s="361">
        <f>'Changing with year'!AE12</f>
        <v>435.25605154348199</v>
      </c>
      <c r="AF46" s="361">
        <f>'Changing with year'!AF12</f>
        <v>443.96117257435162</v>
      </c>
      <c r="AG46" s="361">
        <f>'Changing with year'!AG12</f>
        <v>452.84039602583869</v>
      </c>
      <c r="AH46" s="366"/>
      <c r="AI46" s="367"/>
      <c r="AJ46" s="366"/>
    </row>
    <row r="47" spans="1:38">
      <c r="A47" s="328" t="s">
        <v>293</v>
      </c>
      <c r="B47" s="328" t="s">
        <v>198</v>
      </c>
      <c r="C47" s="364">
        <f>'Changing with year'!C13</f>
        <v>0</v>
      </c>
      <c r="D47" s="364">
        <f>'Changing with year'!D13</f>
        <v>0</v>
      </c>
      <c r="E47" s="364">
        <f>'Changing with year'!E13</f>
        <v>0</v>
      </c>
      <c r="F47" s="364">
        <f>'Changing with year'!F13</f>
        <v>0</v>
      </c>
      <c r="G47" s="364">
        <f>'Changing with year'!G13</f>
        <v>0</v>
      </c>
      <c r="H47" s="364">
        <f>'Changing with year'!H13</f>
        <v>0</v>
      </c>
      <c r="I47" s="364">
        <f>'Changing with year'!I13</f>
        <v>0</v>
      </c>
      <c r="J47" s="364">
        <f>'Changing with year'!J13</f>
        <v>0</v>
      </c>
      <c r="K47" s="364">
        <f>'Changing with year'!K13</f>
        <v>0</v>
      </c>
      <c r="L47" s="364">
        <f>'Changing with year'!L13</f>
        <v>0</v>
      </c>
      <c r="M47" s="364">
        <f>'Changing with year'!M13</f>
        <v>0</v>
      </c>
      <c r="N47" s="364">
        <f>'Changing with year'!N13</f>
        <v>0</v>
      </c>
      <c r="O47" s="364">
        <f>'Changing with year'!O13</f>
        <v>0</v>
      </c>
      <c r="P47" s="364">
        <f>'Changing with year'!P13</f>
        <v>0</v>
      </c>
      <c r="Q47" s="364">
        <f>'Changing with year'!Q13</f>
        <v>0</v>
      </c>
      <c r="R47" s="364">
        <f>'Changing with year'!R13</f>
        <v>0</v>
      </c>
      <c r="S47" s="364">
        <f>'Changing with year'!S13</f>
        <v>0</v>
      </c>
      <c r="T47" s="364">
        <f>'Changing with year'!T13</f>
        <v>0</v>
      </c>
      <c r="U47" s="364">
        <f>'Changing with year'!U13</f>
        <v>0</v>
      </c>
      <c r="V47" s="364">
        <f>'Changing with year'!V13</f>
        <v>0</v>
      </c>
      <c r="W47" s="364">
        <f>'Changing with year'!W13</f>
        <v>0</v>
      </c>
      <c r="X47" s="364">
        <f>'Changing with year'!X13</f>
        <v>0</v>
      </c>
      <c r="Y47" s="364">
        <f>'Changing with year'!Y13</f>
        <v>0</v>
      </c>
      <c r="Z47" s="364">
        <f>'Changing with year'!Z13</f>
        <v>0</v>
      </c>
      <c r="AA47" s="364">
        <f>'Changing with year'!AA13</f>
        <v>0</v>
      </c>
      <c r="AB47" s="364">
        <f>'Changing with year'!AB13</f>
        <v>0</v>
      </c>
      <c r="AC47" s="364">
        <f>'Changing with year'!AC13</f>
        <v>0</v>
      </c>
      <c r="AD47" s="364">
        <f>'Changing with year'!AD13</f>
        <v>0</v>
      </c>
      <c r="AE47" s="364">
        <f>'Changing with year'!AE13</f>
        <v>0</v>
      </c>
      <c r="AF47" s="364">
        <f>'Changing with year'!AF13</f>
        <v>0</v>
      </c>
      <c r="AG47" s="364">
        <f>'Changing with year'!AG13</f>
        <v>0</v>
      </c>
      <c r="AH47" s="426"/>
      <c r="AI47" s="366"/>
    </row>
    <row r="48" spans="1:38">
      <c r="A48" s="328" t="s">
        <v>294</v>
      </c>
      <c r="B48" s="328" t="s">
        <v>290</v>
      </c>
      <c r="C48" s="329">
        <f t="shared" ref="C48:AG48" si="1">((C45*(100%-C47)+(C46*C47)))</f>
        <v>546.5</v>
      </c>
      <c r="D48" s="329">
        <f t="shared" si="1"/>
        <v>546.80000000000007</v>
      </c>
      <c r="E48" s="329">
        <f t="shared" si="1"/>
        <v>547.48850000000004</v>
      </c>
      <c r="F48" s="329">
        <f t="shared" si="1"/>
        <v>548.56179500000007</v>
      </c>
      <c r="G48" s="329">
        <f t="shared" si="1"/>
        <v>550.01645015000008</v>
      </c>
      <c r="H48" s="329">
        <f t="shared" si="1"/>
        <v>551.84929582550012</v>
      </c>
      <c r="I48" s="329">
        <f t="shared" si="1"/>
        <v>514.76555703138001</v>
      </c>
      <c r="J48" s="329">
        <f t="shared" si="1"/>
        <v>497.14781239946387</v>
      </c>
      <c r="K48" s="329">
        <f t="shared" si="1"/>
        <v>480.12958348746292</v>
      </c>
      <c r="L48" s="329">
        <f t="shared" si="1"/>
        <v>463.68728037350672</v>
      </c>
      <c r="M48" s="329">
        <f t="shared" si="1"/>
        <v>447.79833457717973</v>
      </c>
      <c r="N48" s="329">
        <f t="shared" si="1"/>
        <v>432.44115236203652</v>
      </c>
      <c r="O48" s="329">
        <f t="shared" si="1"/>
        <v>417.59507023695778</v>
      </c>
      <c r="P48" s="329">
        <f t="shared" si="1"/>
        <v>403.24031255107104</v>
      </c>
      <c r="Q48" s="329">
        <f t="shared" si="1"/>
        <v>389.35795108204587</v>
      </c>
      <c r="R48" s="329">
        <f t="shared" si="1"/>
        <v>375.92986652242445</v>
      </c>
      <c r="S48" s="329">
        <f t="shared" si="1"/>
        <v>342.1740920763624</v>
      </c>
      <c r="T48" s="329">
        <f t="shared" si="1"/>
        <v>332.6221464405898</v>
      </c>
      <c r="U48" s="329">
        <f t="shared" si="1"/>
        <v>323.42723049692546</v>
      </c>
      <c r="V48" s="329">
        <f t="shared" si="1"/>
        <v>314.57269843666074</v>
      </c>
      <c r="W48" s="329">
        <f t="shared" si="1"/>
        <v>306.04272468476341</v>
      </c>
      <c r="X48" s="329">
        <f t="shared" si="1"/>
        <v>297.82226300876158</v>
      </c>
      <c r="Y48" s="329">
        <f t="shared" si="1"/>
        <v>289.89700767097747</v>
      </c>
      <c r="Z48" s="329">
        <f t="shared" si="1"/>
        <v>282.25335652195605</v>
      </c>
      <c r="AA48" s="329">
        <f t="shared" si="1"/>
        <v>274.87837593804039</v>
      </c>
      <c r="AB48" s="329">
        <f t="shared" si="1"/>
        <v>267.75976751089871</v>
      </c>
      <c r="AC48" s="329">
        <f t="shared" si="1"/>
        <v>257.70745534636421</v>
      </c>
      <c r="AD48" s="329">
        <f t="shared" si="1"/>
        <v>260.37854780004602</v>
      </c>
      <c r="AE48" s="329">
        <f t="shared" si="1"/>
        <v>263.40999726156872</v>
      </c>
      <c r="AF48" s="329">
        <f t="shared" si="1"/>
        <v>266.79613367130344</v>
      </c>
      <c r="AG48" s="329">
        <f t="shared" si="1"/>
        <v>270.53187916737176</v>
      </c>
      <c r="AH48" s="426"/>
      <c r="AI48" s="366"/>
    </row>
    <row r="49" spans="1:41" ht="28.8">
      <c r="A49" s="296" t="str">
        <f>'Changing with year'!A14</f>
        <v>H2 Compression, storage &amp; transmission cost/kg</v>
      </c>
      <c r="B49" s="328" t="s">
        <v>290</v>
      </c>
      <c r="C49" s="329">
        <f>'Changing with year'!C14</f>
        <v>175</v>
      </c>
      <c r="D49" s="329">
        <f>'Changing with year'!D14</f>
        <v>168</v>
      </c>
      <c r="E49" s="329">
        <f>'Changing with year'!E14</f>
        <v>161.28</v>
      </c>
      <c r="F49" s="329">
        <f>'Changing with year'!F14</f>
        <v>154.8288</v>
      </c>
      <c r="G49" s="329">
        <f>'Changing with year'!G14</f>
        <v>148.635648</v>
      </c>
      <c r="H49" s="329">
        <f>'Changing with year'!H14</f>
        <v>142.69022207999998</v>
      </c>
      <c r="I49" s="329">
        <f>'Changing with year'!I14</f>
        <v>138.40951541759998</v>
      </c>
      <c r="J49" s="329">
        <f>'Changing with year'!J14</f>
        <v>134.25722995507198</v>
      </c>
      <c r="K49" s="329">
        <f>'Changing with year'!K14</f>
        <v>130.22951305641982</v>
      </c>
      <c r="L49" s="329">
        <f>'Changing with year'!L14</f>
        <v>126.32262766472722</v>
      </c>
      <c r="M49" s="329">
        <f>'Changing with year'!M14</f>
        <v>122.5329488347854</v>
      </c>
      <c r="N49" s="329">
        <f>'Changing with year'!N14</f>
        <v>118.85696036974184</v>
      </c>
      <c r="O49" s="329">
        <f>'Changing with year'!O14</f>
        <v>115.29125155864958</v>
      </c>
      <c r="P49" s="329">
        <f>'Changing with year'!P14</f>
        <v>111.83251401189008</v>
      </c>
      <c r="Q49" s="329">
        <f>'Changing with year'!Q14</f>
        <v>108.47753859153337</v>
      </c>
      <c r="R49" s="329">
        <f>'Changing with year'!R14</f>
        <v>105.22321243378737</v>
      </c>
      <c r="S49" s="329">
        <f>'Changing with year'!S14</f>
        <v>102.06651606077374</v>
      </c>
      <c r="T49" s="329">
        <f>'Changing with year'!T14</f>
        <v>99.004520578950519</v>
      </c>
      <c r="U49" s="329">
        <f>'Changing with year'!U14</f>
        <v>96.034384961582006</v>
      </c>
      <c r="V49" s="329">
        <f>'Changing with year'!V14</f>
        <v>93.153353412734546</v>
      </c>
      <c r="W49" s="329">
        <f>'Changing with year'!W14</f>
        <v>90.358752810352513</v>
      </c>
      <c r="X49" s="329">
        <f>'Changing with year'!X14</f>
        <v>87.647990226041941</v>
      </c>
      <c r="Y49" s="329">
        <f>'Changing with year'!Y14</f>
        <v>85.018550519260685</v>
      </c>
      <c r="Z49" s="329">
        <f>'Changing with year'!Z14</f>
        <v>82.467994003682861</v>
      </c>
      <c r="AA49" s="329">
        <f>'Changing with year'!AA14</f>
        <v>79.99395418357237</v>
      </c>
      <c r="AB49" s="329">
        <f>'Changing with year'!AB14</f>
        <v>77.59413555806519</v>
      </c>
      <c r="AC49" s="329">
        <f>'Changing with year'!AC14</f>
        <v>76.042252846903878</v>
      </c>
      <c r="AD49" s="329">
        <f>'Changing with year'!AD14</f>
        <v>74.521407789965792</v>
      </c>
      <c r="AE49" s="329">
        <f>'Changing with year'!AE14</f>
        <v>73.030979634166471</v>
      </c>
      <c r="AF49" s="329">
        <f>'Changing with year'!AF14</f>
        <v>71.570360041483141</v>
      </c>
      <c r="AG49" s="329">
        <f>'Changing with year'!AG14</f>
        <v>70.138952840653474</v>
      </c>
      <c r="AH49" s="330"/>
      <c r="AI49" s="299"/>
      <c r="AJ49" s="330"/>
    </row>
    <row r="50" spans="1:41">
      <c r="A50" s="350" t="s">
        <v>295</v>
      </c>
      <c r="B50" s="350" t="s">
        <v>290</v>
      </c>
      <c r="C50" s="401">
        <f>C48+C49</f>
        <v>721.5</v>
      </c>
      <c r="D50" s="401">
        <f>D48+D49</f>
        <v>714.80000000000007</v>
      </c>
      <c r="E50" s="401">
        <f t="shared" ref="E50:AG50" si="2">E48+E49</f>
        <v>708.76850000000002</v>
      </c>
      <c r="F50" s="401">
        <f t="shared" si="2"/>
        <v>703.39059500000008</v>
      </c>
      <c r="G50" s="401">
        <f t="shared" si="2"/>
        <v>698.65209815000003</v>
      </c>
      <c r="H50" s="401">
        <f t="shared" si="2"/>
        <v>694.53951790550013</v>
      </c>
      <c r="I50" s="401">
        <f t="shared" si="2"/>
        <v>653.17507244898002</v>
      </c>
      <c r="J50" s="401">
        <f t="shared" si="2"/>
        <v>631.40504235453591</v>
      </c>
      <c r="K50" s="401">
        <f t="shared" si="2"/>
        <v>610.35909654388274</v>
      </c>
      <c r="L50" s="401">
        <f t="shared" si="2"/>
        <v>590.0099080382339</v>
      </c>
      <c r="M50" s="401">
        <f t="shared" si="2"/>
        <v>570.33128341196516</v>
      </c>
      <c r="N50" s="401">
        <f t="shared" si="2"/>
        <v>551.29811273177836</v>
      </c>
      <c r="O50" s="401">
        <f t="shared" si="2"/>
        <v>532.88632179560739</v>
      </c>
      <c r="P50" s="401">
        <f t="shared" si="2"/>
        <v>515.07282656296115</v>
      </c>
      <c r="Q50" s="401">
        <f t="shared" si="2"/>
        <v>497.83548967357922</v>
      </c>
      <c r="R50" s="401">
        <f t="shared" si="2"/>
        <v>481.1530789562118</v>
      </c>
      <c r="S50" s="401">
        <f t="shared" si="2"/>
        <v>444.24060813713612</v>
      </c>
      <c r="T50" s="401">
        <f t="shared" si="2"/>
        <v>431.62666701954032</v>
      </c>
      <c r="U50" s="401">
        <f t="shared" si="2"/>
        <v>419.46161545850748</v>
      </c>
      <c r="V50" s="401">
        <f t="shared" si="2"/>
        <v>407.72605184939528</v>
      </c>
      <c r="W50" s="401">
        <f t="shared" si="2"/>
        <v>396.40147749511596</v>
      </c>
      <c r="X50" s="401">
        <f t="shared" si="2"/>
        <v>385.47025323480352</v>
      </c>
      <c r="Y50" s="401">
        <f t="shared" si="2"/>
        <v>374.91555819023813</v>
      </c>
      <c r="Z50" s="401">
        <f t="shared" si="2"/>
        <v>364.72135052563891</v>
      </c>
      <c r="AA50" s="401">
        <f t="shared" si="2"/>
        <v>354.87233012161278</v>
      </c>
      <c r="AB50" s="401">
        <f t="shared" si="2"/>
        <v>345.35390306896392</v>
      </c>
      <c r="AC50" s="401">
        <f t="shared" si="2"/>
        <v>333.74970819326808</v>
      </c>
      <c r="AD50" s="401">
        <f t="shared" si="2"/>
        <v>334.89995559001181</v>
      </c>
      <c r="AE50" s="401">
        <f t="shared" si="2"/>
        <v>336.44097689573516</v>
      </c>
      <c r="AF50" s="401">
        <f t="shared" si="2"/>
        <v>338.36649371278656</v>
      </c>
      <c r="AG50" s="401">
        <f t="shared" si="2"/>
        <v>340.67083200802523</v>
      </c>
      <c r="AH50" s="426"/>
      <c r="AI50" s="366"/>
    </row>
    <row r="51" spans="1:41">
      <c r="A51" s="328" t="s">
        <v>296</v>
      </c>
      <c r="B51" s="328" t="s">
        <v>297</v>
      </c>
      <c r="C51" s="361">
        <f>'Changing with year'!C18</f>
        <v>11.929847794463697</v>
      </c>
      <c r="D51" s="361">
        <f>'Changing with year'!D18</f>
        <v>12.079847794463697</v>
      </c>
      <c r="E51" s="361">
        <f>'Changing with year'!E18</f>
        <v>12.143104496690448</v>
      </c>
      <c r="F51" s="361">
        <f>'Changing with year'!F18</f>
        <v>12.138301820160951</v>
      </c>
      <c r="G51" s="361">
        <f>'Changing with year'!G18</f>
        <v>12.02914616249031</v>
      </c>
      <c r="H51" s="361">
        <f>'Changing with year'!H18</f>
        <v>12.117697017460955</v>
      </c>
      <c r="I51" s="361">
        <f>'Changing with year'!I18</f>
        <v>10.512840816471392</v>
      </c>
      <c r="J51" s="361">
        <f>'Changing with year'!J18</f>
        <v>10.251369246586112</v>
      </c>
      <c r="K51" s="361">
        <f>'Changing with year'!K18</f>
        <v>9.8125558192097646</v>
      </c>
      <c r="L51" s="361">
        <f>'Changing with year'!L18</f>
        <v>9.4425010234005669</v>
      </c>
      <c r="M51" s="361">
        <f>'Changing with year'!M18</f>
        <v>9.1507172669696732</v>
      </c>
      <c r="N51" s="361">
        <f>'Changing with year'!N18</f>
        <v>9.0500867782124139</v>
      </c>
      <c r="O51" s="361">
        <f>'Changing with year'!O18</f>
        <v>8.955716669869819</v>
      </c>
      <c r="P51" s="361">
        <f>'Changing with year'!P18</f>
        <v>8.8352409128911287</v>
      </c>
      <c r="Q51" s="361">
        <f>'Changing with year'!Q18</f>
        <v>8.7528702796112583</v>
      </c>
      <c r="R51" s="361">
        <f>'Changing with year'!R18</f>
        <v>8.7166400395011632</v>
      </c>
      <c r="S51" s="361">
        <f>'Changing with year'!S18</f>
        <v>8.7211746456846857</v>
      </c>
      <c r="T51" s="361">
        <f>'Changing with year'!T18</f>
        <v>8.7658685685018387</v>
      </c>
      <c r="U51" s="361">
        <f>'Changing with year'!U18</f>
        <v>8.7816042542245238</v>
      </c>
      <c r="V51" s="361">
        <f>'Changing with year'!V18</f>
        <v>8.8034905457347161</v>
      </c>
      <c r="W51" s="361">
        <f>'Changing with year'!W18</f>
        <v>8.8325785115440567</v>
      </c>
      <c r="X51" s="361">
        <f>'Changing with year'!X18</f>
        <v>8.8686273479571689</v>
      </c>
      <c r="Y51" s="361">
        <f>'Changing with year'!Y18</f>
        <v>8.9113473708053839</v>
      </c>
      <c r="Z51" s="361">
        <f>'Changing with year'!Z18</f>
        <v>8.9618749226355927</v>
      </c>
      <c r="AA51" s="361">
        <f>'Changing with year'!AA18</f>
        <v>9.0214636464065858</v>
      </c>
      <c r="AB51" s="361">
        <f>'Changing with year'!AB18</f>
        <v>9.0891343745922946</v>
      </c>
      <c r="AC51" s="361">
        <f>'Changing with year'!AC18</f>
        <v>9.3320079469657493</v>
      </c>
      <c r="AD51" s="361">
        <f>'Changing with year'!AD18</f>
        <v>9.630058555322444</v>
      </c>
      <c r="AE51" s="361">
        <f>'Changing with year'!AE18</f>
        <v>9.9390333959487744</v>
      </c>
      <c r="AF51" s="361">
        <f>'Changing with year'!AF18</f>
        <v>10.2630161837541</v>
      </c>
      <c r="AG51" s="361">
        <f>'Changing with year'!AG18</f>
        <v>10.603821995841201</v>
      </c>
      <c r="AH51" s="362" t="e">
        <f>#REF!</f>
        <v>#REF!</v>
      </c>
      <c r="AI51" s="362" t="e">
        <f>#REF!</f>
        <v>#REF!</v>
      </c>
      <c r="AJ51" s="368" t="s">
        <v>352</v>
      </c>
      <c r="AK51" s="368" t="s">
        <v>353</v>
      </c>
    </row>
    <row r="52" spans="1:41">
      <c r="A52" s="328" t="str">
        <f>'Changing with year'!A19</f>
        <v>Battery cost per kwh</v>
      </c>
      <c r="B52" s="328" t="s">
        <v>297</v>
      </c>
      <c r="C52" s="361">
        <f>'Changing with year'!C19</f>
        <v>9900</v>
      </c>
      <c r="D52" s="361">
        <f>'Changing with year'!D19</f>
        <v>9751.5</v>
      </c>
      <c r="E52" s="361">
        <f>'Changing with year'!E19</f>
        <v>9605.2274999999991</v>
      </c>
      <c r="F52" s="361">
        <f>'Changing with year'!F19</f>
        <v>9461.1490874999981</v>
      </c>
      <c r="G52" s="361">
        <f>'Changing with year'!G19</f>
        <v>9319.2318511874983</v>
      </c>
      <c r="H52" s="361">
        <f>'Changing with year'!H19</f>
        <v>9179.4433734196864</v>
      </c>
      <c r="I52" s="361">
        <f>'Changing with year'!I19</f>
        <v>8949.9572890841937</v>
      </c>
      <c r="J52" s="361">
        <f>'Changing with year'!J19</f>
        <v>8726.2083568570888</v>
      </c>
      <c r="K52" s="361">
        <f>'Changing with year'!K19</f>
        <v>8508.0531479356614</v>
      </c>
      <c r="L52" s="361">
        <f>'Changing with year'!L19</f>
        <v>8295.3518192372703</v>
      </c>
      <c r="M52" s="361">
        <f>'Changing with year'!M19</f>
        <v>8087.968023756338</v>
      </c>
      <c r="N52" s="361">
        <f>'Changing with year'!N19</f>
        <v>7885.7688231624297</v>
      </c>
      <c r="O52" s="361">
        <f>'Changing with year'!O19</f>
        <v>7688.6246025833689</v>
      </c>
      <c r="P52" s="361">
        <f>'Changing with year'!P19</f>
        <v>7496.4089875187847</v>
      </c>
      <c r="Q52" s="361">
        <f>'Changing with year'!Q19</f>
        <v>7308.9987628308145</v>
      </c>
      <c r="R52" s="361">
        <f>'Changing with year'!R19</f>
        <v>7126.2737937600441</v>
      </c>
      <c r="S52" s="361">
        <f>'Changing with year'!S19</f>
        <v>7055.0110558224433</v>
      </c>
      <c r="T52" s="361">
        <f>'Changing with year'!T19</f>
        <v>6984.4609452642189</v>
      </c>
      <c r="U52" s="361">
        <f>'Changing with year'!U19</f>
        <v>6914.6163358115764</v>
      </c>
      <c r="V52" s="361">
        <f>'Changing with year'!V19</f>
        <v>6845.4701724534607</v>
      </c>
      <c r="W52" s="361">
        <f>'Changing with year'!W19</f>
        <v>6777.0154707289257</v>
      </c>
      <c r="X52" s="361">
        <f>'Changing with year'!X19</f>
        <v>6709.2453160216364</v>
      </c>
      <c r="Y52" s="361">
        <f>'Changing with year'!Y19</f>
        <v>6642.1528628614196</v>
      </c>
      <c r="Z52" s="361">
        <f>'Changing with year'!Z19</f>
        <v>6575.7313342328052</v>
      </c>
      <c r="AA52" s="361">
        <f>'Changing with year'!AA19</f>
        <v>6509.9740208904768</v>
      </c>
      <c r="AB52" s="361">
        <f>'Changing with year'!AB19</f>
        <v>6444.8742806815717</v>
      </c>
      <c r="AC52" s="361">
        <f>'Changing with year'!AC19</f>
        <v>6509.3230234883877</v>
      </c>
      <c r="AD52" s="361">
        <f>'Changing with year'!AD19</f>
        <v>6574.4162537232714</v>
      </c>
      <c r="AE52" s="361">
        <f>'Changing with year'!AE19</f>
        <v>6640.1604162605045</v>
      </c>
      <c r="AF52" s="361">
        <f>'Changing with year'!AF19</f>
        <v>6706.56202042311</v>
      </c>
      <c r="AG52" s="361">
        <f>'Changing with year'!AG19</f>
        <v>6773.627640627341</v>
      </c>
      <c r="AH52" s="339" t="e">
        <f>#REF!</f>
        <v>#REF!</v>
      </c>
      <c r="AI52" s="339" t="e">
        <f>#REF!</f>
        <v>#REF!</v>
      </c>
      <c r="AJ52" s="339" t="e">
        <f>#REF!</f>
        <v>#REF!</v>
      </c>
      <c r="AK52" s="339" t="e">
        <f>#REF!</f>
        <v>#REF!</v>
      </c>
      <c r="AL52" s="300">
        <v>2030</v>
      </c>
      <c r="AM52" s="300">
        <v>2040</v>
      </c>
      <c r="AN52" s="300">
        <v>2050</v>
      </c>
      <c r="AO52" s="300">
        <v>2055</v>
      </c>
    </row>
    <row r="53" spans="1:41">
      <c r="A53" s="328" t="str">
        <f>'Changing with year'!A20</f>
        <v>Fuel Cell cost per kW</v>
      </c>
      <c r="B53" s="328" t="s">
        <v>298</v>
      </c>
      <c r="C53" s="361">
        <f>'Changing with year'!C20</f>
        <v>36000</v>
      </c>
      <c r="D53" s="361">
        <f>'Changing with year'!D20</f>
        <v>34920</v>
      </c>
      <c r="E53" s="361">
        <f>'Changing with year'!E20</f>
        <v>33872.400000000001</v>
      </c>
      <c r="F53" s="361">
        <f>'Changing with year'!F20</f>
        <v>32856.228000000003</v>
      </c>
      <c r="G53" s="361">
        <f>'Changing with year'!G20</f>
        <v>31870.541160000001</v>
      </c>
      <c r="H53" s="361">
        <f>'Changing with year'!H20</f>
        <v>30914.424925200001</v>
      </c>
      <c r="I53" s="361">
        <f>'Changing with year'!I20</f>
        <v>29986.992177444001</v>
      </c>
      <c r="J53" s="361">
        <f>'Changing with year'!J20</f>
        <v>29087.382412120682</v>
      </c>
      <c r="K53" s="361">
        <f>'Changing with year'!K20</f>
        <v>28214.76093975706</v>
      </c>
      <c r="L53" s="361">
        <f>'Changing with year'!L20</f>
        <v>27368.318111564346</v>
      </c>
      <c r="M53" s="361">
        <f>'Changing with year'!M20</f>
        <v>26547.268568217416</v>
      </c>
      <c r="N53" s="361">
        <f>'Changing with year'!N20</f>
        <v>25750.850511170895</v>
      </c>
      <c r="O53" s="361">
        <f>'Changing with year'!O20</f>
        <v>24978.324995835766</v>
      </c>
      <c r="P53" s="361">
        <f>'Changing with year'!P20</f>
        <v>24228.975245960693</v>
      </c>
      <c r="Q53" s="361">
        <f>'Changing with year'!Q20</f>
        <v>23502.105988581872</v>
      </c>
      <c r="R53" s="361">
        <f>'Changing with year'!R20</f>
        <v>22797.042808924416</v>
      </c>
      <c r="S53" s="361">
        <f>'Changing with year'!S20</f>
        <v>22341.101952745928</v>
      </c>
      <c r="T53" s="361">
        <f>'Changing with year'!T20</f>
        <v>21894.279913691011</v>
      </c>
      <c r="U53" s="361">
        <f>'Changing with year'!U20</f>
        <v>21456.39431541719</v>
      </c>
      <c r="V53" s="361">
        <f>'Changing with year'!V20</f>
        <v>21027.266429108848</v>
      </c>
      <c r="W53" s="361">
        <f>'Changing with year'!W20</f>
        <v>20606.721100526669</v>
      </c>
      <c r="X53" s="361">
        <f>'Changing with year'!X20</f>
        <v>20194.586678516134</v>
      </c>
      <c r="Y53" s="361">
        <f>'Changing with year'!Y20</f>
        <v>19790.694944945812</v>
      </c>
      <c r="Z53" s="361">
        <f>'Changing with year'!Z20</f>
        <v>19394.881046046896</v>
      </c>
      <c r="AA53" s="361">
        <f>'Changing with year'!AA20</f>
        <v>19006.983425125956</v>
      </c>
      <c r="AB53" s="361">
        <f>'Changing with year'!AB20</f>
        <v>18626.843756623435</v>
      </c>
      <c r="AC53" s="361">
        <f>'Changing with year'!AC20</f>
        <v>18813.112194189671</v>
      </c>
      <c r="AD53" s="361">
        <f>'Changing with year'!AD20</f>
        <v>19001.243316131568</v>
      </c>
      <c r="AE53" s="361">
        <f>'Changing with year'!AE20</f>
        <v>19191.255749292883</v>
      </c>
      <c r="AF53" s="361">
        <f>'Changing with year'!AF20</f>
        <v>19383.16830678581</v>
      </c>
      <c r="AG53" s="361">
        <f>'Changing with year'!AG20</f>
        <v>19576.99998985367</v>
      </c>
      <c r="AH53" s="339" t="e">
        <f>#REF!</f>
        <v>#REF!</v>
      </c>
      <c r="AI53" s="339" t="e">
        <f>#REF!</f>
        <v>#REF!</v>
      </c>
      <c r="AJ53" s="368" t="s">
        <v>354</v>
      </c>
      <c r="AK53" s="369" t="s">
        <v>355</v>
      </c>
    </row>
    <row r="54" spans="1:41">
      <c r="A54" s="348" t="s">
        <v>356</v>
      </c>
      <c r="B54" s="328" t="s">
        <v>300</v>
      </c>
      <c r="C54" s="393">
        <f>'Changing with year'!C294/($C$21*$C$22)</f>
        <v>10</v>
      </c>
      <c r="D54" s="393">
        <f>'Changing with year'!D294/($C$21*$C$22)</f>
        <v>10.45</v>
      </c>
      <c r="E54" s="393">
        <f>'Changing with year'!E294/($C$21*$C$22)</f>
        <v>10.916666666666666</v>
      </c>
      <c r="F54" s="393">
        <f>'Changing with year'!F294/($C$21*$C$22)</f>
        <v>11.4</v>
      </c>
      <c r="G54" s="393">
        <f>'Changing with year'!G294/($C$21*$C$22)</f>
        <v>11.916666666666666</v>
      </c>
      <c r="H54" s="393">
        <f>'Changing with year'!H294/($C$21*$C$22)</f>
        <v>12.45</v>
      </c>
      <c r="I54" s="393">
        <f>'Changing with year'!I294/($C$21*$C$22)</f>
        <v>13.016666666666667</v>
      </c>
      <c r="J54" s="393">
        <f>'Changing with year'!J294/($C$21*$C$22)</f>
        <v>13.6</v>
      </c>
      <c r="K54" s="393">
        <f>'Changing with year'!K294/($C$21*$C$22)</f>
        <v>14.216666666666667</v>
      </c>
      <c r="L54" s="393">
        <f>'Changing with year'!L294/($C$21*$C$22)</f>
        <v>14.85</v>
      </c>
      <c r="M54" s="393">
        <f>'Changing with year'!M294/($C$21*$C$22)</f>
        <v>15.516666666666667</v>
      </c>
      <c r="N54" s="393">
        <f>'Changing with year'!N294/($C$21*$C$22)</f>
        <v>16.216666666666665</v>
      </c>
      <c r="O54" s="393">
        <f>'Changing with year'!O294/($C$21*$C$22)</f>
        <v>16.95</v>
      </c>
      <c r="P54" s="393">
        <f>'Changing with year'!P294/($C$21*$C$22)</f>
        <v>17.716666666666665</v>
      </c>
      <c r="Q54" s="393">
        <f>'Changing with year'!Q294/($C$21*$C$22)</f>
        <v>18.516666666666666</v>
      </c>
      <c r="R54" s="393">
        <f>'Changing with year'!R294/($C$21*$C$22)</f>
        <v>19.350000000000001</v>
      </c>
      <c r="S54" s="393">
        <f>'Changing with year'!S294/($C$21*$C$22)</f>
        <v>20.216666666666665</v>
      </c>
      <c r="T54" s="393">
        <f>'Changing with year'!T294/($C$21*$C$22)</f>
        <v>21.133333333333333</v>
      </c>
      <c r="U54" s="393">
        <f>'Changing with year'!U294/($C$21*$C$22)</f>
        <v>22.083333333333332</v>
      </c>
      <c r="V54" s="393">
        <f>'Changing with year'!V294/($C$21*$C$22)</f>
        <v>23.083333333333332</v>
      </c>
      <c r="W54" s="393">
        <f>'Changing with year'!W294/($C$21*$C$22)</f>
        <v>24.116666666666667</v>
      </c>
      <c r="X54" s="393">
        <f>'Changing with year'!X294/($C$21*$C$22)</f>
        <v>25.2</v>
      </c>
      <c r="Y54" s="393">
        <f>'Changing with year'!Y294/($C$21*$C$22)</f>
        <v>26.333333333333332</v>
      </c>
      <c r="Z54" s="393">
        <f>'Changing with year'!Z294/($C$21*$C$22)</f>
        <v>27.516666666666666</v>
      </c>
      <c r="AA54" s="393">
        <f>'Changing with year'!AA294/($C$21*$C$22)</f>
        <v>28.75</v>
      </c>
      <c r="AB54" s="393">
        <f>'Changing with year'!AB294/($C$21*$C$22)</f>
        <v>30.05</v>
      </c>
      <c r="AC54" s="393">
        <f>'Changing with year'!AC294/($C$21*$C$22)</f>
        <v>31.4</v>
      </c>
      <c r="AD54" s="393">
        <f>'Changing with year'!AD294/($C$21*$C$22)</f>
        <v>32.81666666666667</v>
      </c>
      <c r="AE54" s="393">
        <f>'Changing with year'!AE294/($C$21*$C$22)</f>
        <v>34.299999999999997</v>
      </c>
      <c r="AF54" s="393">
        <f>'Changing with year'!AF294/($C$21*$C$22)</f>
        <v>35.85</v>
      </c>
      <c r="AG54" s="393">
        <f>'Changing with year'!AG294/($C$21*$C$22)</f>
        <v>37.466666666666669</v>
      </c>
      <c r="AH54" s="339"/>
    </row>
    <row r="55" spans="1:41">
      <c r="A55" s="348" t="s">
        <v>357</v>
      </c>
      <c r="B55" s="328" t="s">
        <v>300</v>
      </c>
      <c r="C55" s="393">
        <f>'Changing with year'!C305/($C$21*$C$22)</f>
        <v>11</v>
      </c>
      <c r="D55" s="393">
        <f>'Changing with year'!D305/($C$21*$C$22)</f>
        <v>11.5</v>
      </c>
      <c r="E55" s="393">
        <f>'Changing with year'!E305/($C$21*$C$22)</f>
        <v>12.016666666666667</v>
      </c>
      <c r="F55" s="393">
        <f>'Changing with year'!F305/($C$21*$C$22)</f>
        <v>12.55</v>
      </c>
      <c r="G55" s="393">
        <f>'Changing with year'!G305/($C$21*$C$22)</f>
        <v>13.116666666666667</v>
      </c>
      <c r="H55" s="393">
        <f>'Changing with year'!H305/($C$21*$C$22)</f>
        <v>13.7</v>
      </c>
      <c r="I55" s="393">
        <f>'Changing with year'!I305/($C$21*$C$22)</f>
        <v>14.316666666666666</v>
      </c>
      <c r="J55" s="393">
        <f>'Changing with year'!J305/($C$21*$C$22)</f>
        <v>14.966666666666667</v>
      </c>
      <c r="K55" s="393">
        <f>'Changing with year'!K305/($C$21*$C$22)</f>
        <v>15.633333333333333</v>
      </c>
      <c r="L55" s="393">
        <f>'Changing with year'!L305/($C$21*$C$22)</f>
        <v>16.333333333333332</v>
      </c>
      <c r="M55" s="393">
        <f>'Changing with year'!M305/($C$21*$C$22)</f>
        <v>17.066666666666666</v>
      </c>
      <c r="N55" s="393">
        <f>'Changing with year'!N305/($C$21*$C$22)</f>
        <v>17.833333333333332</v>
      </c>
      <c r="O55" s="393">
        <f>'Changing with year'!O305/($C$21*$C$22)</f>
        <v>18.633333333333333</v>
      </c>
      <c r="P55" s="393">
        <f>'Changing with year'!P305/($C$21*$C$22)</f>
        <v>19.466666666666665</v>
      </c>
      <c r="Q55" s="393">
        <f>'Changing with year'!Q305/($C$21*$C$22)</f>
        <v>20.350000000000001</v>
      </c>
      <c r="R55" s="393">
        <f>'Changing with year'!R305/($C$21*$C$22)</f>
        <v>21.266666666666666</v>
      </c>
      <c r="S55" s="393">
        <f>'Changing with year'!S305/($C$21*$C$22)</f>
        <v>22.216666666666665</v>
      </c>
      <c r="T55" s="393">
        <f>'Changing with year'!T305/($C$21*$C$22)</f>
        <v>23.216666666666665</v>
      </c>
      <c r="U55" s="393">
        <f>'Changing with year'!U305/($C$21*$C$22)</f>
        <v>24.266666666666666</v>
      </c>
      <c r="V55" s="393">
        <f>'Changing with year'!V305/($C$21*$C$22)</f>
        <v>25.366666666666667</v>
      </c>
      <c r="W55" s="393">
        <f>'Changing with year'!W305/($C$21*$C$22)</f>
        <v>26.5</v>
      </c>
      <c r="X55" s="393">
        <f>'Changing with year'!X305/($C$21*$C$22)</f>
        <v>27.7</v>
      </c>
      <c r="Y55" s="393">
        <f>'Changing with year'!Y305/($C$21*$C$22)</f>
        <v>28.95</v>
      </c>
      <c r="Z55" s="393">
        <f>'Changing with year'!Z305/($C$21*$C$22)</f>
        <v>30.25</v>
      </c>
      <c r="AA55" s="393">
        <f>'Changing with year'!AA305/($C$21*$C$22)</f>
        <v>31.616666666666667</v>
      </c>
      <c r="AB55" s="393">
        <f>'Changing with year'!AB305/($C$21*$C$22)</f>
        <v>33.033333333333331</v>
      </c>
      <c r="AC55" s="393">
        <f>'Changing with year'!AC305/($C$21*$C$22)</f>
        <v>34.516666666666666</v>
      </c>
      <c r="AD55" s="393">
        <f>'Changing with year'!AD305/($C$21*$C$22)</f>
        <v>36.06666666666667</v>
      </c>
      <c r="AE55" s="393">
        <f>'Changing with year'!AE305/($C$21*$C$22)</f>
        <v>37.68333333333333</v>
      </c>
      <c r="AF55" s="393">
        <f>'Changing with year'!AF305/($C$21*$C$22)</f>
        <v>39.383333333333333</v>
      </c>
      <c r="AG55" s="393">
        <f>'Changing with year'!AG305/($C$21*$C$22)</f>
        <v>41.15</v>
      </c>
      <c r="AH55" s="339"/>
    </row>
    <row r="56" spans="1:41">
      <c r="A56" s="328" t="s">
        <v>299</v>
      </c>
      <c r="B56" s="328" t="s">
        <v>300</v>
      </c>
      <c r="C56" s="338">
        <f>'Changing with year'!C166</f>
        <v>4.3</v>
      </c>
      <c r="D56" s="338">
        <f>'Changing with year'!D166</f>
        <v>4.4719999999999995</v>
      </c>
      <c r="E56" s="338">
        <f>'Changing with year'!E166</f>
        <v>4.6508799999999999</v>
      </c>
      <c r="F56" s="338">
        <f>'Changing with year'!F166</f>
        <v>4.8369152</v>
      </c>
      <c r="G56" s="338">
        <f>'Changing with year'!G166</f>
        <v>5.0303918080000001</v>
      </c>
      <c r="H56" s="338">
        <f>'Changing with year'!H166</f>
        <v>5.2316074803200001</v>
      </c>
      <c r="I56" s="338">
        <f>'Changing with year'!I166</f>
        <v>5.4408717795328005</v>
      </c>
      <c r="J56" s="338">
        <f>'Changing with year'!J166</f>
        <v>5.6585066507141129</v>
      </c>
      <c r="K56" s="338">
        <f>'Changing with year'!K166</f>
        <v>5.8848469167426778</v>
      </c>
      <c r="L56" s="338">
        <f>'Changing with year'!L166</f>
        <v>6.1202407934123855</v>
      </c>
      <c r="M56" s="338">
        <f>'Changing with year'!M166</f>
        <v>6.3650504251488815</v>
      </c>
      <c r="N56" s="338">
        <f>'Changing with year'!N166</f>
        <v>6.6196524421548366</v>
      </c>
      <c r="O56" s="338">
        <f>'Changing with year'!O166</f>
        <v>6.8844385398410299</v>
      </c>
      <c r="P56" s="338">
        <f>'Changing with year'!P166</f>
        <v>7.1598160814346716</v>
      </c>
      <c r="Q56" s="338">
        <f>'Changing with year'!Q166</f>
        <v>7.4462087246920587</v>
      </c>
      <c r="R56" s="338">
        <f>'Changing with year'!R166</f>
        <v>7.7440570736797412</v>
      </c>
      <c r="S56" s="338">
        <f>'Changing with year'!S166</f>
        <v>8.0538193566269314</v>
      </c>
      <c r="T56" s="338">
        <f>'Changing with year'!T166</f>
        <v>8.3759721308920092</v>
      </c>
      <c r="U56" s="338">
        <f>'Changing with year'!U166</f>
        <v>8.7110110161276904</v>
      </c>
      <c r="V56" s="338">
        <f>'Changing with year'!V166</f>
        <v>9.0594514567727984</v>
      </c>
      <c r="W56" s="338">
        <f>'Changing with year'!W166</f>
        <v>9.4218295150437115</v>
      </c>
      <c r="X56" s="338">
        <f>'Changing with year'!X166</f>
        <v>9.7987026956454599</v>
      </c>
      <c r="Y56" s="338">
        <f>'Changing with year'!Y166</f>
        <v>10.190650803471279</v>
      </c>
      <c r="Z56" s="338">
        <f>'Changing with year'!Z166</f>
        <v>10.598276835610131</v>
      </c>
      <c r="AA56" s="338">
        <f>'Changing with year'!AA166</f>
        <v>11.022207909034536</v>
      </c>
      <c r="AB56" s="338">
        <f>'Changing with year'!AB166</f>
        <v>11.463096225395919</v>
      </c>
      <c r="AC56" s="338">
        <f>'Changing with year'!AC166</f>
        <v>11.921620074411756</v>
      </c>
      <c r="AD56" s="338">
        <f>'Changing with year'!AD166</f>
        <v>12.398484877388226</v>
      </c>
      <c r="AE56" s="338">
        <f>'Changing with year'!AE166</f>
        <v>12.894424272483755</v>
      </c>
      <c r="AF56" s="338">
        <f>'Changing with year'!AF166</f>
        <v>13.410201243383106</v>
      </c>
      <c r="AG56" s="338">
        <f>'Changing with year'!AG166</f>
        <v>13.946609293118431</v>
      </c>
      <c r="AH56" s="339"/>
    </row>
    <row r="57" spans="1:41">
      <c r="A57" s="328" t="s">
        <v>301</v>
      </c>
      <c r="B57" s="328" t="s">
        <v>300</v>
      </c>
      <c r="C57" s="338">
        <f>'Changing with year'!C198</f>
        <v>4.8</v>
      </c>
      <c r="D57" s="338">
        <f>'Changing with year'!D198</f>
        <v>4.992</v>
      </c>
      <c r="E57" s="338">
        <f>'Changing with year'!E198</f>
        <v>5.1916799999999999</v>
      </c>
      <c r="F57" s="338">
        <f>'Changing with year'!F198</f>
        <v>5.3993472000000002</v>
      </c>
      <c r="G57" s="338">
        <f>'Changing with year'!G198</f>
        <v>5.6153210880000008</v>
      </c>
      <c r="H57" s="338">
        <f>'Changing with year'!H198</f>
        <v>5.839933931520001</v>
      </c>
      <c r="I57" s="338">
        <f>'Changing with year'!I198</f>
        <v>6.0735312887808011</v>
      </c>
      <c r="J57" s="338">
        <f>'Changing with year'!J198</f>
        <v>6.3164725403320334</v>
      </c>
      <c r="K57" s="338">
        <f>'Changing with year'!K198</f>
        <v>6.5691314419453146</v>
      </c>
      <c r="L57" s="338">
        <f>'Changing with year'!L198</f>
        <v>6.8318966996231278</v>
      </c>
      <c r="M57" s="338">
        <f>'Changing with year'!M198</f>
        <v>7.1051725676080535</v>
      </c>
      <c r="N57" s="338">
        <f>'Changing with year'!N198</f>
        <v>7.3893794703123756</v>
      </c>
      <c r="O57" s="338">
        <f>'Changing with year'!O198</f>
        <v>7.6849546491248706</v>
      </c>
      <c r="P57" s="338">
        <f>'Changing with year'!P198</f>
        <v>7.992352835089866</v>
      </c>
      <c r="Q57" s="338">
        <f>'Changing with year'!Q198</f>
        <v>8.3120469484934603</v>
      </c>
      <c r="R57" s="338">
        <f>'Changing with year'!R198</f>
        <v>8.6445288264331985</v>
      </c>
      <c r="S57" s="338">
        <f>'Changing with year'!S198</f>
        <v>8.9903099794905259</v>
      </c>
      <c r="T57" s="338">
        <f>'Changing with year'!T198</f>
        <v>9.3499223786701471</v>
      </c>
      <c r="U57" s="338">
        <f>'Changing with year'!U198</f>
        <v>9.7239192738169535</v>
      </c>
      <c r="V57" s="338">
        <f>'Changing with year'!V198</f>
        <v>10.112876044769632</v>
      </c>
      <c r="W57" s="338">
        <f>'Changing with year'!W198</f>
        <v>10.517391086560417</v>
      </c>
      <c r="X57" s="338">
        <f>'Changing with year'!X198</f>
        <v>10.938086730022835</v>
      </c>
      <c r="Y57" s="338">
        <f>'Changing with year'!Y198</f>
        <v>11.375610199223749</v>
      </c>
      <c r="Z57" s="338">
        <f>'Changing with year'!Z198</f>
        <v>11.8306346071927</v>
      </c>
      <c r="AA57" s="338">
        <f>'Changing with year'!AA198</f>
        <v>12.303859991480408</v>
      </c>
      <c r="AB57" s="338">
        <f>'Changing with year'!AB198</f>
        <v>12.796014391139625</v>
      </c>
      <c r="AC57" s="338">
        <f>'Changing with year'!AC198</f>
        <v>13.307854966785211</v>
      </c>
      <c r="AD57" s="338">
        <f>'Changing with year'!AD198</f>
        <v>13.84016916545662</v>
      </c>
      <c r="AE57" s="338">
        <f>'Changing with year'!AE198</f>
        <v>14.393775932074886</v>
      </c>
      <c r="AF57" s="338">
        <f>'Changing with year'!AF198</f>
        <v>14.969526969357883</v>
      </c>
      <c r="AG57" s="338">
        <f>'Changing with year'!AG198</f>
        <v>15.568308048132199</v>
      </c>
      <c r="AH57" s="339"/>
    </row>
    <row r="58" spans="1:41" ht="28.8">
      <c r="A58" s="337" t="s">
        <v>302</v>
      </c>
      <c r="B58" s="328" t="s">
        <v>300</v>
      </c>
      <c r="C58" s="338">
        <f>'Changing with year'!C230</f>
        <v>8.0373487201190255</v>
      </c>
      <c r="D58" s="338">
        <f>'Changing with year'!D230</f>
        <v>8.0691150021160496</v>
      </c>
      <c r="E58" s="338">
        <f>'Changing with year'!E230</f>
        <v>8.1093951270631468</v>
      </c>
      <c r="F58" s="338">
        <f>'Changing with year'!F230</f>
        <v>8.1583485688865682</v>
      </c>
      <c r="G58" s="338">
        <f>'Changing with year'!G230</f>
        <v>8.2161457074644044</v>
      </c>
      <c r="H58" s="338">
        <f>'Changing with year'!H230</f>
        <v>8.2829681516897935</v>
      </c>
      <c r="I58" s="338">
        <f>'Changing with year'!I230</f>
        <v>8.378645832091518</v>
      </c>
      <c r="J58" s="338">
        <f>'Changing with year'!J230</f>
        <v>8.4828634406226282</v>
      </c>
      <c r="K58" s="338">
        <f>'Changing with year'!K230</f>
        <v>8.5958683179900337</v>
      </c>
      <c r="L58" s="338">
        <f>'Changing with year'!L230</f>
        <v>8.717919583657288</v>
      </c>
      <c r="M58" s="338">
        <f>'Changing with year'!M230</f>
        <v>8.8492885692922769</v>
      </c>
      <c r="N58" s="338">
        <f>'Changing with year'!N230</f>
        <v>8.9902592703068915</v>
      </c>
      <c r="O58" s="338">
        <f>'Changing with year'!O230</f>
        <v>9.1411288161972326</v>
      </c>
      <c r="P58" s="338">
        <f>'Changing with year'!P230</f>
        <v>9.3022079604216259</v>
      </c>
      <c r="Q58" s="338">
        <f>'Changing with year'!Q230</f>
        <v>9.473821590583464</v>
      </c>
      <c r="R58" s="338">
        <f>'Changing with year'!R230</f>
        <v>9.6563092597168776</v>
      </c>
      <c r="S58" s="338">
        <f>'Changing with year'!S230</f>
        <v>9.8821150546054461</v>
      </c>
      <c r="T58" s="338">
        <f>'Changing with year'!T230</f>
        <v>10.11855754704456</v>
      </c>
      <c r="U58" s="338">
        <f>'Changing with year'!U230</f>
        <v>10.366046160278691</v>
      </c>
      <c r="V58" s="338">
        <f>'Changing with year'!V230</f>
        <v>10.625006854928662</v>
      </c>
      <c r="W58" s="338">
        <f>'Changing with year'!W230</f>
        <v>10.895882788882242</v>
      </c>
      <c r="X58" s="338">
        <f>'Changing with year'!X230</f>
        <v>11.179135003596404</v>
      </c>
      <c r="Y58" s="338">
        <f>'Changing with year'!Y230</f>
        <v>11.47524313786754</v>
      </c>
      <c r="Z58" s="338">
        <f>'Changing with year'!Z230</f>
        <v>11.784706170168253</v>
      </c>
      <c r="AA58" s="338">
        <f>'Changing with year'!AA230</f>
        <v>12.108043190693131</v>
      </c>
      <c r="AB58" s="338">
        <f>'Changing with year'!AB230</f>
        <v>12.445794204301825</v>
      </c>
      <c r="AC58" s="338">
        <f>'Changing with year'!AC230</f>
        <v>12.856562968346593</v>
      </c>
      <c r="AD58" s="338">
        <f>'Changing with year'!AD230</f>
        <v>13.282891852911877</v>
      </c>
      <c r="AE58" s="338">
        <f>'Changing with year'!AE230</f>
        <v>13.725394556518088</v>
      </c>
      <c r="AF58" s="338">
        <f>'Changing with year'!AF230</f>
        <v>14.184709238563446</v>
      </c>
      <c r="AG58" s="338">
        <f>'Changing with year'!AG230</f>
        <v>14.661499496888462</v>
      </c>
      <c r="AH58" s="339"/>
      <c r="AI58" s="339" t="e">
        <f>#REF!</f>
        <v>#REF!</v>
      </c>
    </row>
    <row r="59" spans="1:41">
      <c r="A59" s="328" t="s">
        <v>303</v>
      </c>
      <c r="B59" s="374" t="s">
        <v>300</v>
      </c>
      <c r="C59" s="338">
        <f>'Changing with year'!C262</f>
        <v>9.0424999999999986</v>
      </c>
      <c r="D59" s="338">
        <f>'Changing with year'!D262</f>
        <v>9.0491375000000005</v>
      </c>
      <c r="E59" s="338">
        <f>'Changing with year'!E262</f>
        <v>9.0649170624999993</v>
      </c>
      <c r="F59" s="338">
        <f>'Changing with year'!F262</f>
        <v>9.0899824559374984</v>
      </c>
      <c r="G59" s="338">
        <f>'Changing with year'!G262</f>
        <v>9.124488747339063</v>
      </c>
      <c r="H59" s="338">
        <f>'Changing with year'!H262</f>
        <v>9.1686026155675844</v>
      </c>
      <c r="I59" s="338">
        <f>'Changing with year'!I262</f>
        <v>9.2465676066917535</v>
      </c>
      <c r="J59" s="338">
        <f>'Changing with year'!J262</f>
        <v>9.3334267797308605</v>
      </c>
      <c r="K59" s="338">
        <f>'Changing with year'!K262</f>
        <v>9.4294203903161016</v>
      </c>
      <c r="L59" s="338">
        <f>'Changing with year'!L262</f>
        <v>9.5348006145368345</v>
      </c>
      <c r="M59" s="338">
        <f>'Changing with year'!M262</f>
        <v>9.6498319795542304</v>
      </c>
      <c r="N59" s="338">
        <f>'Changing with year'!N262</f>
        <v>9.7747918123636079</v>
      </c>
      <c r="O59" s="338">
        <f>'Changing with year'!O262</f>
        <v>9.9099707074128141</v>
      </c>
      <c r="P59" s="338">
        <f>'Changing with year'!P262</f>
        <v>10.055673013812896</v>
      </c>
      <c r="Q59" s="338">
        <f>'Changing with year'!Q262</f>
        <v>10.212217342906909</v>
      </c>
      <c r="R59" s="338">
        <f>'Changing with year'!R262</f>
        <v>10.379937096993853</v>
      </c>
      <c r="S59" s="338">
        <f>'Changing with year'!S262</f>
        <v>10.598506613509656</v>
      </c>
      <c r="T59" s="338">
        <f>'Changing with year'!T262</f>
        <v>10.827785190359725</v>
      </c>
      <c r="U59" s="338">
        <f>'Changing with year'!U262</f>
        <v>11.068181527160704</v>
      </c>
      <c r="V59" s="338">
        <f>'Changing with year'!V262</f>
        <v>11.320120868141855</v>
      </c>
      <c r="W59" s="338">
        <f>'Changing with year'!W262</f>
        <v>11.584045661963303</v>
      </c>
      <c r="X59" s="338">
        <f>'Changing with year'!X262</f>
        <v>11.860416247946654</v>
      </c>
      <c r="Y59" s="338">
        <f>'Changing with year'!Y262</f>
        <v>12.14971156977429</v>
      </c>
      <c r="Z59" s="338">
        <f>'Changing with year'!Z262</f>
        <v>12.452429917755932</v>
      </c>
      <c r="AA59" s="338">
        <f>'Changing with year'!AA262</f>
        <v>12.769089700804935</v>
      </c>
      <c r="AB59" s="338">
        <f>'Changing with year'!AB262</f>
        <v>13.10023024931251</v>
      </c>
      <c r="AC59" s="338">
        <f>'Changing with year'!AC262</f>
        <v>13.517543373807385</v>
      </c>
      <c r="AD59" s="338">
        <f>'Changing with year'!AD262</f>
        <v>13.950482062427279</v>
      </c>
      <c r="AE59" s="338">
        <f>'Changing with year'!AE262</f>
        <v>14.399660668128643</v>
      </c>
      <c r="AF59" s="338">
        <f>'Changing with year'!AF262</f>
        <v>14.865718011290106</v>
      </c>
      <c r="AG59" s="338">
        <f>'Changing with year'!AG262</f>
        <v>15.349318357342389</v>
      </c>
      <c r="AH59" s="339"/>
    </row>
    <row r="60" spans="1:41">
      <c r="A60" s="328" t="s">
        <v>304</v>
      </c>
      <c r="B60" s="374" t="s">
        <v>305</v>
      </c>
      <c r="C60" s="361">
        <f>'Changing with year'!C272*$C$21*$C$22</f>
        <v>540000</v>
      </c>
      <c r="D60" s="361">
        <f>'Changing with year'!D272*$C$21*$C$22</f>
        <v>545400</v>
      </c>
      <c r="E60" s="361">
        <f>'Changing with year'!E272*$C$21*$C$22</f>
        <v>550854</v>
      </c>
      <c r="F60" s="361">
        <f>'Changing with year'!F272*$C$21*$C$22</f>
        <v>556362.53999999992</v>
      </c>
      <c r="G60" s="361">
        <f>'Changing with year'!G272*$C$21*$C$22</f>
        <v>561926.16539999994</v>
      </c>
      <c r="H60" s="361">
        <f>'Changing with year'!H272*$C$21*$C$22</f>
        <v>567545.42705399997</v>
      </c>
      <c r="I60" s="361">
        <f>'Changing with year'!I272*$C$21*$C$22</f>
        <v>573220.88132453989</v>
      </c>
      <c r="J60" s="361">
        <f>'Changing with year'!J272*$C$21*$C$22</f>
        <v>578953.09013778542</v>
      </c>
      <c r="K60" s="361">
        <f>'Changing with year'!K272*$C$21*$C$22</f>
        <v>584742.62103916332</v>
      </c>
      <c r="L60" s="361">
        <f>'Changing with year'!L272*$C$21*$C$22</f>
        <v>590590.04724955501</v>
      </c>
      <c r="M60" s="361">
        <f>'Changing with year'!M272*$C$21*$C$22</f>
        <v>596495.94772205048</v>
      </c>
      <c r="N60" s="361">
        <f>'Changing with year'!N272*$C$21*$C$22</f>
        <v>602460.90719927102</v>
      </c>
      <c r="O60" s="361">
        <f>'Changing with year'!O272*$C$21*$C$22</f>
        <v>608485.51627126383</v>
      </c>
      <c r="P60" s="361">
        <f>'Changing with year'!P272*$C$21*$C$22</f>
        <v>614570.37143397657</v>
      </c>
      <c r="Q60" s="361">
        <f>'Changing with year'!Q272*$C$21*$C$22</f>
        <v>620716.07514831633</v>
      </c>
      <c r="R60" s="361">
        <f>'Changing with year'!R272*$C$21*$C$22</f>
        <v>626923.2358997995</v>
      </c>
      <c r="S60" s="361">
        <f>'Changing with year'!S272*$C$21*$C$22</f>
        <v>633192.46825879754</v>
      </c>
      <c r="T60" s="361">
        <f>'Changing with year'!T272*$C$21*$C$22</f>
        <v>639524.39294138551</v>
      </c>
      <c r="U60" s="361">
        <f>'Changing with year'!U272*$C$21*$C$22</f>
        <v>645919.63687079935</v>
      </c>
      <c r="V60" s="361">
        <f>'Changing with year'!V272*$C$21*$C$22</f>
        <v>652378.83323950728</v>
      </c>
      <c r="W60" s="361">
        <f>'Changing with year'!W272*$C$21*$C$22</f>
        <v>658902.62157190242</v>
      </c>
      <c r="X60" s="361">
        <f>'Changing with year'!X272*$C$21*$C$22</f>
        <v>665491.64778762148</v>
      </c>
      <c r="Y60" s="361">
        <f>'Changing with year'!Y272*$C$21*$C$22</f>
        <v>672146.56426549761</v>
      </c>
      <c r="Z60" s="361">
        <f>'Changing with year'!Z272*$C$21*$C$22</f>
        <v>678868.02990815276</v>
      </c>
      <c r="AA60" s="361">
        <f>'Changing with year'!AA272*$C$21*$C$22</f>
        <v>685656.71020723425</v>
      </c>
      <c r="AB60" s="361">
        <f>'Changing with year'!AB272*$C$21*$C$22</f>
        <v>692513.27730930655</v>
      </c>
      <c r="AC60" s="361">
        <f>'Changing with year'!AC272*$C$21*$C$22</f>
        <v>699438.41008239973</v>
      </c>
      <c r="AD60" s="361">
        <f>'Changing with year'!AD272*$C$21*$C$22</f>
        <v>706432.79418322374</v>
      </c>
      <c r="AE60" s="361">
        <f>'Changing with year'!AE272*$C$21*$C$22</f>
        <v>713497.12212505599</v>
      </c>
      <c r="AF60" s="361">
        <f>'Changing with year'!AF272*$C$21*$C$22</f>
        <v>720632.09334630647</v>
      </c>
      <c r="AG60" s="361">
        <f>'Changing with year'!AG272*$C$21*$C$22</f>
        <v>727838.41427976964</v>
      </c>
      <c r="AH60" s="339"/>
      <c r="AI60" s="375"/>
      <c r="AJ60" s="376"/>
    </row>
    <row r="61" spans="1:41">
      <c r="A61" s="328" t="s">
        <v>306</v>
      </c>
      <c r="B61" s="374" t="s">
        <v>305</v>
      </c>
      <c r="C61" s="361">
        <f>'Changing with year'!C283*$C$21*$C$22</f>
        <v>540000</v>
      </c>
      <c r="D61" s="361">
        <f>'Changing with year'!D283*$C$21*$C$22</f>
        <v>545400</v>
      </c>
      <c r="E61" s="361">
        <f>'Changing with year'!E283*$C$21*$C$22</f>
        <v>550854</v>
      </c>
      <c r="F61" s="361">
        <f>'Changing with year'!F283*$C$21*$C$22</f>
        <v>556362.53999999992</v>
      </c>
      <c r="G61" s="361">
        <f>'Changing with year'!G283*$C$21*$C$22</f>
        <v>561926.16539999994</v>
      </c>
      <c r="H61" s="361">
        <f>'Changing with year'!H283*$C$21*$C$22</f>
        <v>567545.42705399997</v>
      </c>
      <c r="I61" s="361">
        <f>'Changing with year'!I283*$C$21*$C$22</f>
        <v>573220.88132453989</v>
      </c>
      <c r="J61" s="361">
        <f>'Changing with year'!J283*$C$21*$C$22</f>
        <v>578953.09013778542</v>
      </c>
      <c r="K61" s="361">
        <f>'Changing with year'!K283*$C$21*$C$22</f>
        <v>584742.62103916332</v>
      </c>
      <c r="L61" s="361">
        <f>'Changing with year'!L283*$C$21*$C$22</f>
        <v>590590.04724955501</v>
      </c>
      <c r="M61" s="361">
        <f>'Changing with year'!M283*$C$21*$C$22</f>
        <v>596495.94772205048</v>
      </c>
      <c r="N61" s="361">
        <f>'Changing with year'!N283*$C$21*$C$22</f>
        <v>602460.90719927102</v>
      </c>
      <c r="O61" s="361">
        <f>'Changing with year'!O283*$C$21*$C$22</f>
        <v>608485.51627126383</v>
      </c>
      <c r="P61" s="361">
        <f>'Changing with year'!P283*$C$21*$C$22</f>
        <v>614570.37143397657</v>
      </c>
      <c r="Q61" s="361">
        <f>'Changing with year'!Q283*$C$21*$C$22</f>
        <v>620716.07514831633</v>
      </c>
      <c r="R61" s="361">
        <f>'Changing with year'!R283*$C$21*$C$22</f>
        <v>626923.2358997995</v>
      </c>
      <c r="S61" s="361">
        <f>'Changing with year'!S283*$C$21*$C$22</f>
        <v>633192.46825879754</v>
      </c>
      <c r="T61" s="361">
        <f>'Changing with year'!T283*$C$21*$C$22</f>
        <v>639524.39294138551</v>
      </c>
      <c r="U61" s="361">
        <f>'Changing with year'!U283*$C$21*$C$22</f>
        <v>645919.63687079935</v>
      </c>
      <c r="V61" s="361">
        <f>'Changing with year'!V283*$C$21*$C$22</f>
        <v>652378.83323950728</v>
      </c>
      <c r="W61" s="361">
        <f>'Changing with year'!W283*$C$21*$C$22</f>
        <v>658902.62157190242</v>
      </c>
      <c r="X61" s="361">
        <f>'Changing with year'!X283*$C$21*$C$22</f>
        <v>665491.64778762148</v>
      </c>
      <c r="Y61" s="361">
        <f>'Changing with year'!Y283*$C$21*$C$22</f>
        <v>672146.56426549761</v>
      </c>
      <c r="Z61" s="361">
        <f>'Changing with year'!Z283*$C$21*$C$22</f>
        <v>678868.02990815276</v>
      </c>
      <c r="AA61" s="361">
        <f>'Changing with year'!AA283*$C$21*$C$22</f>
        <v>685656.71020723425</v>
      </c>
      <c r="AB61" s="361">
        <f>'Changing with year'!AB283*$C$21*$C$22</f>
        <v>692513.27730930655</v>
      </c>
      <c r="AC61" s="361">
        <f>'Changing with year'!AC283*$C$21*$C$22</f>
        <v>699438.41008239973</v>
      </c>
      <c r="AD61" s="361">
        <f>'Changing with year'!AD283*$C$21*$C$22</f>
        <v>706432.79418322374</v>
      </c>
      <c r="AE61" s="361">
        <f>'Changing with year'!AE283*$C$21*$C$22</f>
        <v>713497.12212505599</v>
      </c>
      <c r="AF61" s="361">
        <f>'Changing with year'!AF283*$C$21*$C$22</f>
        <v>720632.09334630647</v>
      </c>
      <c r="AG61" s="361">
        <f>'Changing with year'!AG283*$C$21*$C$22</f>
        <v>727838.41427976964</v>
      </c>
    </row>
    <row r="62" spans="1:41">
      <c r="A62" s="360" t="s">
        <v>307</v>
      </c>
      <c r="B62" s="360"/>
      <c r="C62" s="360">
        <v>2025</v>
      </c>
      <c r="D62" s="360">
        <f>C62+1</f>
        <v>2026</v>
      </c>
      <c r="E62" s="360">
        <f t="shared" ref="E62:AG62" si="3">D62+1</f>
        <v>2027</v>
      </c>
      <c r="F62" s="360">
        <f t="shared" si="3"/>
        <v>2028</v>
      </c>
      <c r="G62" s="360">
        <f t="shared" si="3"/>
        <v>2029</v>
      </c>
      <c r="H62" s="360">
        <f t="shared" si="3"/>
        <v>2030</v>
      </c>
      <c r="I62" s="360">
        <f t="shared" si="3"/>
        <v>2031</v>
      </c>
      <c r="J62" s="360">
        <f t="shared" si="3"/>
        <v>2032</v>
      </c>
      <c r="K62" s="360">
        <f t="shared" si="3"/>
        <v>2033</v>
      </c>
      <c r="L62" s="360">
        <f t="shared" si="3"/>
        <v>2034</v>
      </c>
      <c r="M62" s="360">
        <f t="shared" si="3"/>
        <v>2035</v>
      </c>
      <c r="N62" s="360">
        <f t="shared" si="3"/>
        <v>2036</v>
      </c>
      <c r="O62" s="360">
        <f t="shared" si="3"/>
        <v>2037</v>
      </c>
      <c r="P62" s="360">
        <f t="shared" si="3"/>
        <v>2038</v>
      </c>
      <c r="Q62" s="360">
        <f t="shared" si="3"/>
        <v>2039</v>
      </c>
      <c r="R62" s="360">
        <f t="shared" si="3"/>
        <v>2040</v>
      </c>
      <c r="S62" s="360">
        <f t="shared" si="3"/>
        <v>2041</v>
      </c>
      <c r="T62" s="360">
        <f t="shared" si="3"/>
        <v>2042</v>
      </c>
      <c r="U62" s="360">
        <f t="shared" si="3"/>
        <v>2043</v>
      </c>
      <c r="V62" s="360">
        <f t="shared" si="3"/>
        <v>2044</v>
      </c>
      <c r="W62" s="360">
        <f t="shared" si="3"/>
        <v>2045</v>
      </c>
      <c r="X62" s="360">
        <f t="shared" si="3"/>
        <v>2046</v>
      </c>
      <c r="Y62" s="360">
        <f t="shared" si="3"/>
        <v>2047</v>
      </c>
      <c r="Z62" s="360">
        <f t="shared" si="3"/>
        <v>2048</v>
      </c>
      <c r="AA62" s="360">
        <f t="shared" si="3"/>
        <v>2049</v>
      </c>
      <c r="AB62" s="360">
        <f t="shared" si="3"/>
        <v>2050</v>
      </c>
      <c r="AC62" s="360">
        <f t="shared" si="3"/>
        <v>2051</v>
      </c>
      <c r="AD62" s="360">
        <f t="shared" si="3"/>
        <v>2052</v>
      </c>
      <c r="AE62" s="360">
        <f t="shared" si="3"/>
        <v>2053</v>
      </c>
      <c r="AF62" s="360">
        <f t="shared" si="3"/>
        <v>2054</v>
      </c>
      <c r="AG62" s="360">
        <f t="shared" si="3"/>
        <v>2055</v>
      </c>
    </row>
    <row r="63" spans="1:41">
      <c r="A63" s="368" t="s">
        <v>308</v>
      </c>
      <c r="B63" s="300" t="s">
        <v>309</v>
      </c>
      <c r="C63" s="376">
        <f>'Changing with year'!C88</f>
        <v>4300000</v>
      </c>
      <c r="D63" s="376">
        <f>'Changing with year'!D88</f>
        <v>4429000</v>
      </c>
      <c r="E63" s="376">
        <f>'Changing with year'!E88</f>
        <v>4561900</v>
      </c>
      <c r="F63" s="376">
        <f>'Changing with year'!F88</f>
        <v>4698800</v>
      </c>
      <c r="G63" s="376">
        <f>'Changing with year'!G88</f>
        <v>4839800</v>
      </c>
      <c r="H63" s="376">
        <f>'Changing with year'!H88</f>
        <v>5385000</v>
      </c>
      <c r="I63" s="376">
        <f>'Changing with year'!I88</f>
        <v>5546600</v>
      </c>
      <c r="J63" s="376">
        <f>'Changing with year'!J88</f>
        <v>5713000</v>
      </c>
      <c r="K63" s="376">
        <f>'Changing with year'!K88</f>
        <v>5884400</v>
      </c>
      <c r="L63" s="376">
        <f>'Changing with year'!L88</f>
        <v>6060900</v>
      </c>
      <c r="M63" s="376">
        <f>'Changing with year'!M88</f>
        <v>6242700</v>
      </c>
      <c r="N63" s="376">
        <f>'Changing with year'!N88</f>
        <v>6430000</v>
      </c>
      <c r="O63" s="376">
        <f>'Changing with year'!O88</f>
        <v>6622900</v>
      </c>
      <c r="P63" s="376">
        <f>'Changing with year'!P88</f>
        <v>6821600</v>
      </c>
      <c r="Q63" s="376">
        <f>'Changing with year'!Q88</f>
        <v>7026200</v>
      </c>
      <c r="R63" s="376">
        <f>'Changing with year'!R88</f>
        <v>7237000</v>
      </c>
      <c r="S63" s="376">
        <f>'Changing with year'!S88</f>
        <v>7454100</v>
      </c>
      <c r="T63" s="376">
        <f>'Changing with year'!T88</f>
        <v>7677700</v>
      </c>
      <c r="U63" s="376">
        <f>'Changing with year'!U88</f>
        <v>7908000</v>
      </c>
      <c r="V63" s="376">
        <f>'Changing with year'!V88</f>
        <v>8145200</v>
      </c>
      <c r="W63" s="376">
        <f>'Changing with year'!W88</f>
        <v>8389600</v>
      </c>
      <c r="X63" s="376">
        <f>'Changing with year'!X88</f>
        <v>8641300</v>
      </c>
      <c r="Y63" s="376">
        <f>'Changing with year'!Y88</f>
        <v>8900500</v>
      </c>
      <c r="Z63" s="376">
        <f>'Changing with year'!Z88</f>
        <v>9167500</v>
      </c>
      <c r="AA63" s="376">
        <f>'Changing with year'!AA88</f>
        <v>9442500</v>
      </c>
      <c r="AB63" s="376">
        <f>'Changing with year'!AB88</f>
        <v>9725800</v>
      </c>
      <c r="AC63" s="376">
        <f>'Changing with year'!AC88</f>
        <v>10017600</v>
      </c>
      <c r="AD63" s="376">
        <f>'Changing with year'!AD88</f>
        <v>10318100</v>
      </c>
      <c r="AE63" s="376">
        <f>'Changing with year'!AE88</f>
        <v>10627600</v>
      </c>
      <c r="AF63" s="376">
        <f>'Changing with year'!AF88</f>
        <v>10946400</v>
      </c>
      <c r="AG63" s="376">
        <f>'Changing with year'!AG88</f>
        <v>11274800</v>
      </c>
    </row>
    <row r="64" spans="1:41">
      <c r="A64" s="368" t="s">
        <v>310</v>
      </c>
      <c r="B64" s="300" t="s">
        <v>309</v>
      </c>
      <c r="C64" s="376">
        <f>(C63*'No change with year'!$Y$18)</f>
        <v>2365000</v>
      </c>
      <c r="D64" s="376">
        <f>(D63*'No change with year'!$Y$18)</f>
        <v>2435950</v>
      </c>
      <c r="E64" s="376">
        <f>(E63*'No change with year'!$Y$18)</f>
        <v>2509045</v>
      </c>
      <c r="F64" s="376">
        <f>(F63*'No change with year'!$Y$18)</f>
        <v>2584340</v>
      </c>
      <c r="G64" s="376">
        <f>(G63*'No change with year'!$Y$18)</f>
        <v>2661890</v>
      </c>
      <c r="H64" s="376">
        <f>(H63*'No change with year'!$Y$18)</f>
        <v>2961750.0000000005</v>
      </c>
      <c r="I64" s="376">
        <f>(I63*'No change with year'!$Y$18)</f>
        <v>3050630.0000000005</v>
      </c>
      <c r="J64" s="376">
        <f>(J63*'No change with year'!$Y$18)</f>
        <v>3142150.0000000005</v>
      </c>
      <c r="K64" s="376">
        <f>(K63*'No change with year'!$Y$18)</f>
        <v>3236420.0000000005</v>
      </c>
      <c r="L64" s="376">
        <f>(L63*'No change with year'!$Y$18)</f>
        <v>3333495.0000000005</v>
      </c>
      <c r="M64" s="376">
        <f>(M63*'No change with year'!$Y$18)</f>
        <v>3433485.0000000005</v>
      </c>
      <c r="N64" s="376">
        <f>(N63*'No change with year'!$Z$18)</f>
        <v>2893500.0000000005</v>
      </c>
      <c r="O64" s="376">
        <f>(O63*'No change with year'!$Z$18)</f>
        <v>2980305.0000000005</v>
      </c>
      <c r="P64" s="376">
        <f>(P63*'No change with year'!$Z$18)</f>
        <v>3069720.0000000005</v>
      </c>
      <c r="Q64" s="376">
        <f>(Q63*'No change with year'!$Z$18)</f>
        <v>3161790.0000000005</v>
      </c>
      <c r="R64" s="376">
        <f>(R63*'No change with year'!$Z$18)</f>
        <v>3256650.0000000005</v>
      </c>
      <c r="S64" s="376">
        <f>(S63*'No change with year'!$Z$18)</f>
        <v>3354345.0000000005</v>
      </c>
      <c r="T64" s="376">
        <f>(T63*'No change with year'!$Z$18)</f>
        <v>3454965.0000000005</v>
      </c>
      <c r="U64" s="376">
        <f>(U63*'No change with year'!$Z$18)</f>
        <v>3558600.0000000005</v>
      </c>
      <c r="V64" s="376">
        <f>(V63*'No change with year'!$Z$18)</f>
        <v>3665340.0000000005</v>
      </c>
      <c r="W64" s="376">
        <f>(W63*'No change with year'!$Z$18)</f>
        <v>3775320.0000000005</v>
      </c>
      <c r="X64" s="376">
        <f>(X63*'No change with year'!$AA$18)</f>
        <v>3024455.0000000005</v>
      </c>
      <c r="Y64" s="376">
        <f>(Y63*'No change with year'!$AA$18)</f>
        <v>3115175.0000000005</v>
      </c>
      <c r="Z64" s="376">
        <f>(Z63*'No change with year'!$AA$18)</f>
        <v>3208625.0000000005</v>
      </c>
      <c r="AA64" s="376">
        <f>(AA63*'No change with year'!$AA$18)</f>
        <v>3304875.0000000005</v>
      </c>
      <c r="AB64" s="376">
        <f>(AB63*'No change with year'!$AA$18)</f>
        <v>3404030.0000000005</v>
      </c>
      <c r="AC64" s="376">
        <f>(AC63*'No change with year'!$AA$18)</f>
        <v>3506160.0000000005</v>
      </c>
      <c r="AD64" s="376">
        <f>(AD63*'No change with year'!$AA$18)</f>
        <v>3611335.0000000005</v>
      </c>
      <c r="AE64" s="376">
        <f>(AE63*'No change with year'!$AA$18)</f>
        <v>3719660.0000000005</v>
      </c>
      <c r="AF64" s="376">
        <f>(AF63*'No change with year'!$AA$18)</f>
        <v>3831240.0000000005</v>
      </c>
      <c r="AG64" s="376">
        <f>(AG63*'No change with year'!$AA$18)</f>
        <v>3946180.0000000005</v>
      </c>
    </row>
    <row r="65" spans="1:35" s="371" customFormat="1" ht="11.85" customHeight="1">
      <c r="A65" s="377" t="s">
        <v>311</v>
      </c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</row>
    <row r="66" spans="1:35">
      <c r="A66" s="368" t="s">
        <v>312</v>
      </c>
      <c r="B66" s="368" t="s">
        <v>313</v>
      </c>
      <c r="C66" s="376">
        <f t="shared" ref="C66:AG66" si="4">-PMT($C$26,$C$25,C63)</f>
        <v>942206.26437598083</v>
      </c>
      <c r="D66" s="376">
        <f t="shared" si="4"/>
        <v>970472.45230726025</v>
      </c>
      <c r="E66" s="376">
        <f t="shared" si="4"/>
        <v>999593.19940855505</v>
      </c>
      <c r="F66" s="376">
        <f t="shared" si="4"/>
        <v>1029590.4174534554</v>
      </c>
      <c r="G66" s="376">
        <f t="shared" si="4"/>
        <v>1060486.0182155515</v>
      </c>
      <c r="H66" s="376">
        <f t="shared" si="4"/>
        <v>1179949.00782899</v>
      </c>
      <c r="I66" s="376">
        <f t="shared" si="4"/>
        <v>1215358.4339506547</v>
      </c>
      <c r="J66" s="376">
        <f t="shared" si="4"/>
        <v>1251819.625204646</v>
      </c>
      <c r="K66" s="376">
        <f t="shared" si="4"/>
        <v>1289376.4051381445</v>
      </c>
      <c r="L66" s="376">
        <f t="shared" si="4"/>
        <v>1328050.6855247398</v>
      </c>
      <c r="M66" s="376">
        <f t="shared" si="4"/>
        <v>1367886.2899116129</v>
      </c>
      <c r="N66" s="376">
        <f t="shared" si="4"/>
        <v>1408927.0418459433</v>
      </c>
      <c r="O66" s="376">
        <f t="shared" si="4"/>
        <v>1451194.8531013217</v>
      </c>
      <c r="P66" s="376">
        <f t="shared" si="4"/>
        <v>1494733.5472249282</v>
      </c>
      <c r="Q66" s="376">
        <f t="shared" si="4"/>
        <v>1539565.0359903527</v>
      </c>
      <c r="R66" s="376">
        <f t="shared" si="4"/>
        <v>1585755.0547183659</v>
      </c>
      <c r="S66" s="376">
        <f t="shared" si="4"/>
        <v>1633325.5151825577</v>
      </c>
      <c r="T66" s="376">
        <f t="shared" si="4"/>
        <v>1682320.2409301088</v>
      </c>
      <c r="U66" s="376">
        <f t="shared" si="4"/>
        <v>1732783.0555081991</v>
      </c>
      <c r="V66" s="376">
        <f t="shared" si="4"/>
        <v>1784757.782464009</v>
      </c>
      <c r="W66" s="376">
        <f t="shared" si="4"/>
        <v>1838310.1571183088</v>
      </c>
      <c r="X66" s="376">
        <f t="shared" si="4"/>
        <v>1893462.091244689</v>
      </c>
      <c r="Y66" s="376">
        <f t="shared" si="4"/>
        <v>1950257.4083903295</v>
      </c>
      <c r="Z66" s="376">
        <f t="shared" si="4"/>
        <v>2008761.8438760007</v>
      </c>
      <c r="AA66" s="376">
        <f t="shared" si="4"/>
        <v>2069019.2212488833</v>
      </c>
      <c r="AB66" s="376">
        <f t="shared" si="4"/>
        <v>2131095.2758297473</v>
      </c>
      <c r="AC66" s="376">
        <f t="shared" si="4"/>
        <v>2195033.8311657733</v>
      </c>
      <c r="AD66" s="376">
        <f t="shared" si="4"/>
        <v>2260878.7108041411</v>
      </c>
      <c r="AE66" s="376">
        <f t="shared" si="4"/>
        <v>2328695.6500656218</v>
      </c>
      <c r="AF66" s="376">
        <f t="shared" si="4"/>
        <v>2398550.3842709847</v>
      </c>
      <c r="AG66" s="376">
        <f t="shared" si="4"/>
        <v>2470508.6487410017</v>
      </c>
    </row>
    <row r="67" spans="1:35">
      <c r="A67" s="368" t="s">
        <v>314</v>
      </c>
      <c r="B67" s="368" t="s">
        <v>313</v>
      </c>
      <c r="C67" s="376">
        <f t="shared" ref="C67:AG67" si="5">C41*$C$38</f>
        <v>1482104.9351428568</v>
      </c>
      <c r="D67" s="376">
        <f t="shared" si="5"/>
        <v>1650000.0000000002</v>
      </c>
      <c r="E67" s="376">
        <f t="shared" si="5"/>
        <v>1683000.0000000002</v>
      </c>
      <c r="F67" s="376">
        <f t="shared" si="5"/>
        <v>1716660.0000000002</v>
      </c>
      <c r="G67" s="376">
        <f t="shared" si="5"/>
        <v>1750993.2000000002</v>
      </c>
      <c r="H67" s="376">
        <f t="shared" si="5"/>
        <v>1786013.0640000002</v>
      </c>
      <c r="I67" s="376">
        <f t="shared" si="5"/>
        <v>1821733.3252800002</v>
      </c>
      <c r="J67" s="376">
        <f t="shared" si="5"/>
        <v>1858167.9917856001</v>
      </c>
      <c r="K67" s="376">
        <f t="shared" si="5"/>
        <v>1895331.3516213123</v>
      </c>
      <c r="L67" s="376">
        <f t="shared" si="5"/>
        <v>1933237.9786537387</v>
      </c>
      <c r="M67" s="376">
        <f t="shared" si="5"/>
        <v>1971902.7382268135</v>
      </c>
      <c r="N67" s="376">
        <f t="shared" si="5"/>
        <v>2011340.7929913497</v>
      </c>
      <c r="O67" s="376">
        <f t="shared" si="5"/>
        <v>2051567.6088511767</v>
      </c>
      <c r="P67" s="376">
        <f t="shared" si="5"/>
        <v>2092598.9610282001</v>
      </c>
      <c r="Q67" s="376">
        <f t="shared" si="5"/>
        <v>2134450.9402487641</v>
      </c>
      <c r="R67" s="376">
        <f t="shared" si="5"/>
        <v>2177139.9590537394</v>
      </c>
      <c r="S67" s="376">
        <f t="shared" si="5"/>
        <v>2220682.7582348147</v>
      </c>
      <c r="T67" s="376">
        <f t="shared" si="5"/>
        <v>2265096.413399511</v>
      </c>
      <c r="U67" s="376">
        <f t="shared" si="5"/>
        <v>2310398.3416675013</v>
      </c>
      <c r="V67" s="376">
        <f t="shared" si="5"/>
        <v>2356606.3085008515</v>
      </c>
      <c r="W67" s="376">
        <f t="shared" si="5"/>
        <v>2403738.4346708683</v>
      </c>
      <c r="X67" s="376">
        <f t="shared" si="5"/>
        <v>2451813.2033642861</v>
      </c>
      <c r="Y67" s="376">
        <f t="shared" si="5"/>
        <v>2500849.4674315713</v>
      </c>
      <c r="Z67" s="376">
        <f t="shared" si="5"/>
        <v>2550866.4567802032</v>
      </c>
      <c r="AA67" s="376">
        <f t="shared" si="5"/>
        <v>2601883.7859158069</v>
      </c>
      <c r="AB67" s="376">
        <f t="shared" si="5"/>
        <v>2653921.4616341232</v>
      </c>
      <c r="AC67" s="376">
        <f t="shared" si="5"/>
        <v>2706999.8908668058</v>
      </c>
      <c r="AD67" s="376">
        <f t="shared" si="5"/>
        <v>2761139.8886841414</v>
      </c>
      <c r="AE67" s="376">
        <f t="shared" si="5"/>
        <v>2816362.6864578244</v>
      </c>
      <c r="AF67" s="376">
        <f t="shared" si="5"/>
        <v>2872689.9401869811</v>
      </c>
      <c r="AG67" s="376">
        <f t="shared" si="5"/>
        <v>2930143.7389907208</v>
      </c>
    </row>
    <row r="68" spans="1:35">
      <c r="A68" s="368" t="s">
        <v>315</v>
      </c>
      <c r="B68" s="368" t="s">
        <v>313</v>
      </c>
      <c r="C68" s="329">
        <f t="shared" ref="C68:AG68" si="6">$C$38*$AH$68*C42</f>
        <v>45833.333333333343</v>
      </c>
      <c r="D68" s="329">
        <f t="shared" si="6"/>
        <v>46979.166666666672</v>
      </c>
      <c r="E68" s="329">
        <f t="shared" si="6"/>
        <v>48153.645833333336</v>
      </c>
      <c r="F68" s="329">
        <f t="shared" si="6"/>
        <v>49357.486979166657</v>
      </c>
      <c r="G68" s="329">
        <f t="shared" si="6"/>
        <v>50591.424153645821</v>
      </c>
      <c r="H68" s="329">
        <f t="shared" si="6"/>
        <v>51856.209757486962</v>
      </c>
      <c r="I68" s="329">
        <f t="shared" si="6"/>
        <v>53152.615001424136</v>
      </c>
      <c r="J68" s="329">
        <f t="shared" si="6"/>
        <v>54481.430376459735</v>
      </c>
      <c r="K68" s="329">
        <f t="shared" si="6"/>
        <v>55843.466135871226</v>
      </c>
      <c r="L68" s="329">
        <f t="shared" si="6"/>
        <v>57239.552789268004</v>
      </c>
      <c r="M68" s="329">
        <f t="shared" si="6"/>
        <v>58670.541608999694</v>
      </c>
      <c r="N68" s="329">
        <f t="shared" si="6"/>
        <v>60137.305149224681</v>
      </c>
      <c r="O68" s="329">
        <f t="shared" si="6"/>
        <v>61640.737777955292</v>
      </c>
      <c r="P68" s="329">
        <f t="shared" si="6"/>
        <v>63181.756222404176</v>
      </c>
      <c r="Q68" s="329">
        <f t="shared" si="6"/>
        <v>64761.30012796427</v>
      </c>
      <c r="R68" s="329">
        <f t="shared" si="6"/>
        <v>66380.332631163372</v>
      </c>
      <c r="S68" s="329">
        <f t="shared" si="6"/>
        <v>68039.840946942451</v>
      </c>
      <c r="T68" s="329">
        <f t="shared" si="6"/>
        <v>69740.836970616016</v>
      </c>
      <c r="U68" s="329">
        <f t="shared" si="6"/>
        <v>71484.35789488141</v>
      </c>
      <c r="V68" s="329">
        <f t="shared" si="6"/>
        <v>73271.466842253445</v>
      </c>
      <c r="W68" s="329">
        <f t="shared" si="6"/>
        <v>75103.25351330977</v>
      </c>
      <c r="X68" s="329">
        <f t="shared" si="6"/>
        <v>76980.834851142514</v>
      </c>
      <c r="Y68" s="329">
        <f t="shared" si="6"/>
        <v>78905.355722421067</v>
      </c>
      <c r="Z68" s="329">
        <f t="shared" si="6"/>
        <v>80877.98961548158</v>
      </c>
      <c r="AA68" s="329">
        <f t="shared" si="6"/>
        <v>82899.939355868613</v>
      </c>
      <c r="AB68" s="329">
        <f t="shared" si="6"/>
        <v>84972.437839765335</v>
      </c>
      <c r="AC68" s="329">
        <f t="shared" si="6"/>
        <v>87096.748785759453</v>
      </c>
      <c r="AD68" s="329">
        <f t="shared" si="6"/>
        <v>89274.167505403442</v>
      </c>
      <c r="AE68" s="329">
        <f t="shared" si="6"/>
        <v>91506.021693038507</v>
      </c>
      <c r="AF68" s="329">
        <f t="shared" si="6"/>
        <v>93793.672235364458</v>
      </c>
      <c r="AG68" s="329">
        <f t="shared" si="6"/>
        <v>96138.514041248563</v>
      </c>
      <c r="AH68" s="378">
        <v>0.05</v>
      </c>
      <c r="AI68" s="300" t="s">
        <v>316</v>
      </c>
    </row>
    <row r="69" spans="1:35">
      <c r="A69" s="300" t="s">
        <v>317</v>
      </c>
      <c r="B69" s="368" t="s">
        <v>313</v>
      </c>
      <c r="C69" s="376">
        <f t="shared" ref="C69:AG69" si="7">$C$22*$C$21*C56</f>
        <v>258000</v>
      </c>
      <c r="D69" s="376">
        <f t="shared" si="7"/>
        <v>268320</v>
      </c>
      <c r="E69" s="376">
        <f t="shared" si="7"/>
        <v>279052.79999999999</v>
      </c>
      <c r="F69" s="376">
        <f t="shared" si="7"/>
        <v>290214.91200000001</v>
      </c>
      <c r="G69" s="376">
        <f t="shared" si="7"/>
        <v>301823.50848000002</v>
      </c>
      <c r="H69" s="376">
        <f t="shared" si="7"/>
        <v>313896.44881919998</v>
      </c>
      <c r="I69" s="376">
        <f t="shared" si="7"/>
        <v>326452.30677196803</v>
      </c>
      <c r="J69" s="376">
        <f t="shared" si="7"/>
        <v>339510.39904284675</v>
      </c>
      <c r="K69" s="376">
        <f t="shared" si="7"/>
        <v>353090.81500456069</v>
      </c>
      <c r="L69" s="376">
        <f t="shared" si="7"/>
        <v>367214.44760474312</v>
      </c>
      <c r="M69" s="376">
        <f t="shared" si="7"/>
        <v>381903.02550893289</v>
      </c>
      <c r="N69" s="376">
        <f t="shared" si="7"/>
        <v>397179.14652929018</v>
      </c>
      <c r="O69" s="376">
        <f t="shared" si="7"/>
        <v>413066.3123904618</v>
      </c>
      <c r="P69" s="376">
        <f t="shared" si="7"/>
        <v>429588.9648860803</v>
      </c>
      <c r="Q69" s="376">
        <f t="shared" si="7"/>
        <v>446772.5234815235</v>
      </c>
      <c r="R69" s="376">
        <f t="shared" si="7"/>
        <v>464643.42442078446</v>
      </c>
      <c r="S69" s="376">
        <f t="shared" si="7"/>
        <v>483229.16139761586</v>
      </c>
      <c r="T69" s="376">
        <f t="shared" si="7"/>
        <v>502558.32785352058</v>
      </c>
      <c r="U69" s="376">
        <f t="shared" si="7"/>
        <v>522660.66096766142</v>
      </c>
      <c r="V69" s="376">
        <f t="shared" si="7"/>
        <v>543567.08740636788</v>
      </c>
      <c r="W69" s="376">
        <f t="shared" si="7"/>
        <v>565309.77090262272</v>
      </c>
      <c r="X69" s="376">
        <f t="shared" si="7"/>
        <v>587922.16173872759</v>
      </c>
      <c r="Y69" s="376">
        <f t="shared" si="7"/>
        <v>611439.04820827674</v>
      </c>
      <c r="Z69" s="376">
        <f t="shared" si="7"/>
        <v>635896.61013660789</v>
      </c>
      <c r="AA69" s="376">
        <f t="shared" si="7"/>
        <v>661332.47454207216</v>
      </c>
      <c r="AB69" s="376">
        <f t="shared" si="7"/>
        <v>687785.77352375514</v>
      </c>
      <c r="AC69" s="376">
        <f t="shared" si="7"/>
        <v>715297.20446470531</v>
      </c>
      <c r="AD69" s="376">
        <f t="shared" si="7"/>
        <v>743909.09264329355</v>
      </c>
      <c r="AE69" s="376">
        <f t="shared" si="7"/>
        <v>773665.45634902536</v>
      </c>
      <c r="AF69" s="376">
        <f t="shared" si="7"/>
        <v>804612.07460298634</v>
      </c>
      <c r="AG69" s="376">
        <f t="shared" si="7"/>
        <v>836796.5575871059</v>
      </c>
    </row>
    <row r="70" spans="1:35">
      <c r="A70" s="368" t="s">
        <v>318</v>
      </c>
      <c r="B70" s="368" t="s">
        <v>313</v>
      </c>
      <c r="C70" s="376">
        <f>'Changing with year'!C294</f>
        <v>600000</v>
      </c>
      <c r="D70" s="376">
        <f>'Changing with year'!D294</f>
        <v>627000</v>
      </c>
      <c r="E70" s="376">
        <f>'Changing with year'!E294</f>
        <v>655000</v>
      </c>
      <c r="F70" s="376">
        <f>'Changing with year'!F294</f>
        <v>684000</v>
      </c>
      <c r="G70" s="376">
        <f>'Changing with year'!G294</f>
        <v>715000</v>
      </c>
      <c r="H70" s="376">
        <f>'Changing with year'!H294</f>
        <v>747000</v>
      </c>
      <c r="I70" s="376">
        <f>'Changing with year'!I294</f>
        <v>781000</v>
      </c>
      <c r="J70" s="376">
        <f>'Changing with year'!J294</f>
        <v>816000</v>
      </c>
      <c r="K70" s="376">
        <f>'Changing with year'!K294</f>
        <v>853000</v>
      </c>
      <c r="L70" s="376">
        <f>'Changing with year'!L294</f>
        <v>891000</v>
      </c>
      <c r="M70" s="376">
        <f>'Changing with year'!M294</f>
        <v>931000</v>
      </c>
      <c r="N70" s="376">
        <f>'Changing with year'!N294</f>
        <v>973000</v>
      </c>
      <c r="O70" s="376">
        <f>'Changing with year'!O294</f>
        <v>1017000</v>
      </c>
      <c r="P70" s="376">
        <f>'Changing with year'!P294</f>
        <v>1063000</v>
      </c>
      <c r="Q70" s="376">
        <f>'Changing with year'!Q294</f>
        <v>1111000</v>
      </c>
      <c r="R70" s="376">
        <f>'Changing with year'!R294</f>
        <v>1161000</v>
      </c>
      <c r="S70" s="376">
        <f>'Changing with year'!S294</f>
        <v>1213000</v>
      </c>
      <c r="T70" s="376">
        <f>'Changing with year'!T294</f>
        <v>1268000</v>
      </c>
      <c r="U70" s="376">
        <f>'Changing with year'!U294</f>
        <v>1325000</v>
      </c>
      <c r="V70" s="376">
        <f>'Changing with year'!V294</f>
        <v>1385000</v>
      </c>
      <c r="W70" s="376">
        <f>'Changing with year'!W294</f>
        <v>1447000</v>
      </c>
      <c r="X70" s="376">
        <f>'Changing with year'!X294</f>
        <v>1512000</v>
      </c>
      <c r="Y70" s="376">
        <f>'Changing with year'!Y294</f>
        <v>1580000</v>
      </c>
      <c r="Z70" s="376">
        <f>'Changing with year'!Z294</f>
        <v>1651000</v>
      </c>
      <c r="AA70" s="376">
        <f>'Changing with year'!AA294</f>
        <v>1725000</v>
      </c>
      <c r="AB70" s="376">
        <f>'Changing with year'!AB294</f>
        <v>1803000</v>
      </c>
      <c r="AC70" s="376">
        <f>'Changing with year'!AC294</f>
        <v>1884000</v>
      </c>
      <c r="AD70" s="376">
        <f>'Changing with year'!AD294</f>
        <v>1969000</v>
      </c>
      <c r="AE70" s="376">
        <f>'Changing with year'!AE294</f>
        <v>2058000</v>
      </c>
      <c r="AF70" s="376">
        <f>'Changing with year'!AF294</f>
        <v>2151000</v>
      </c>
      <c r="AG70" s="376">
        <f>'Changing with year'!AG294</f>
        <v>2248000</v>
      </c>
      <c r="AH70" s="339"/>
    </row>
    <row r="71" spans="1:35">
      <c r="A71" s="300" t="s">
        <v>272</v>
      </c>
      <c r="B71" s="368" t="s">
        <v>313</v>
      </c>
      <c r="C71" s="376">
        <f t="shared" ref="C71:AG71" si="8">C60</f>
        <v>540000</v>
      </c>
      <c r="D71" s="376">
        <f t="shared" si="8"/>
        <v>545400</v>
      </c>
      <c r="E71" s="376">
        <f t="shared" si="8"/>
        <v>550854</v>
      </c>
      <c r="F71" s="376">
        <f t="shared" si="8"/>
        <v>556362.53999999992</v>
      </c>
      <c r="G71" s="376">
        <f t="shared" si="8"/>
        <v>561926.16539999994</v>
      </c>
      <c r="H71" s="376">
        <f t="shared" si="8"/>
        <v>567545.42705399997</v>
      </c>
      <c r="I71" s="376">
        <f t="shared" si="8"/>
        <v>573220.88132453989</v>
      </c>
      <c r="J71" s="376">
        <f t="shared" si="8"/>
        <v>578953.09013778542</v>
      </c>
      <c r="K71" s="376">
        <f t="shared" si="8"/>
        <v>584742.62103916332</v>
      </c>
      <c r="L71" s="376">
        <f t="shared" si="8"/>
        <v>590590.04724955501</v>
      </c>
      <c r="M71" s="376">
        <f t="shared" si="8"/>
        <v>596495.94772205048</v>
      </c>
      <c r="N71" s="376">
        <f t="shared" si="8"/>
        <v>602460.90719927102</v>
      </c>
      <c r="O71" s="376">
        <f t="shared" si="8"/>
        <v>608485.51627126383</v>
      </c>
      <c r="P71" s="376">
        <f t="shared" si="8"/>
        <v>614570.37143397657</v>
      </c>
      <c r="Q71" s="376">
        <f t="shared" si="8"/>
        <v>620716.07514831633</v>
      </c>
      <c r="R71" s="376">
        <f t="shared" si="8"/>
        <v>626923.2358997995</v>
      </c>
      <c r="S71" s="376">
        <f t="shared" si="8"/>
        <v>633192.46825879754</v>
      </c>
      <c r="T71" s="376">
        <f t="shared" si="8"/>
        <v>639524.39294138551</v>
      </c>
      <c r="U71" s="376">
        <f t="shared" si="8"/>
        <v>645919.63687079935</v>
      </c>
      <c r="V71" s="376">
        <f t="shared" si="8"/>
        <v>652378.83323950728</v>
      </c>
      <c r="W71" s="376">
        <f t="shared" si="8"/>
        <v>658902.62157190242</v>
      </c>
      <c r="X71" s="376">
        <f t="shared" si="8"/>
        <v>665491.64778762148</v>
      </c>
      <c r="Y71" s="376">
        <f t="shared" si="8"/>
        <v>672146.56426549761</v>
      </c>
      <c r="Z71" s="376">
        <f t="shared" si="8"/>
        <v>678868.02990815276</v>
      </c>
      <c r="AA71" s="376">
        <f t="shared" si="8"/>
        <v>685656.71020723425</v>
      </c>
      <c r="AB71" s="376">
        <f t="shared" si="8"/>
        <v>692513.27730930655</v>
      </c>
      <c r="AC71" s="376">
        <f t="shared" si="8"/>
        <v>699438.41008239973</v>
      </c>
      <c r="AD71" s="376">
        <f t="shared" si="8"/>
        <v>706432.79418322374</v>
      </c>
      <c r="AE71" s="376">
        <f t="shared" si="8"/>
        <v>713497.12212505599</v>
      </c>
      <c r="AF71" s="376">
        <f t="shared" si="8"/>
        <v>720632.09334630647</v>
      </c>
      <c r="AG71" s="376">
        <f t="shared" si="8"/>
        <v>727838.41427976964</v>
      </c>
    </row>
    <row r="72" spans="1:35">
      <c r="A72" s="300" t="s">
        <v>319</v>
      </c>
      <c r="B72" s="368" t="s">
        <v>313</v>
      </c>
      <c r="C72" s="376">
        <f t="shared" ref="C72:AG72" si="9">C63*$C$29</f>
        <v>86000</v>
      </c>
      <c r="D72" s="376">
        <f t="shared" si="9"/>
        <v>88580</v>
      </c>
      <c r="E72" s="376">
        <f t="shared" si="9"/>
        <v>91238</v>
      </c>
      <c r="F72" s="376">
        <f t="shared" si="9"/>
        <v>93976</v>
      </c>
      <c r="G72" s="376">
        <f t="shared" si="9"/>
        <v>96796</v>
      </c>
      <c r="H72" s="376">
        <f t="shared" si="9"/>
        <v>107700</v>
      </c>
      <c r="I72" s="376">
        <f t="shared" si="9"/>
        <v>110932</v>
      </c>
      <c r="J72" s="376">
        <f t="shared" si="9"/>
        <v>114260</v>
      </c>
      <c r="K72" s="376">
        <f t="shared" si="9"/>
        <v>117688</v>
      </c>
      <c r="L72" s="376">
        <f t="shared" si="9"/>
        <v>121218</v>
      </c>
      <c r="M72" s="376">
        <f t="shared" si="9"/>
        <v>124854</v>
      </c>
      <c r="N72" s="376">
        <f t="shared" si="9"/>
        <v>128600</v>
      </c>
      <c r="O72" s="376">
        <f t="shared" si="9"/>
        <v>132458</v>
      </c>
      <c r="P72" s="376">
        <f t="shared" si="9"/>
        <v>136432</v>
      </c>
      <c r="Q72" s="376">
        <f t="shared" si="9"/>
        <v>140524</v>
      </c>
      <c r="R72" s="376">
        <f t="shared" si="9"/>
        <v>144740</v>
      </c>
      <c r="S72" s="376">
        <f t="shared" si="9"/>
        <v>149082</v>
      </c>
      <c r="T72" s="376">
        <f t="shared" si="9"/>
        <v>153554</v>
      </c>
      <c r="U72" s="376">
        <f t="shared" si="9"/>
        <v>158160</v>
      </c>
      <c r="V72" s="376">
        <f t="shared" si="9"/>
        <v>162904</v>
      </c>
      <c r="W72" s="376">
        <f t="shared" si="9"/>
        <v>167792</v>
      </c>
      <c r="X72" s="376">
        <f t="shared" si="9"/>
        <v>172826</v>
      </c>
      <c r="Y72" s="376">
        <f t="shared" si="9"/>
        <v>178010</v>
      </c>
      <c r="Z72" s="376">
        <f t="shared" si="9"/>
        <v>183350</v>
      </c>
      <c r="AA72" s="376">
        <f t="shared" si="9"/>
        <v>188850</v>
      </c>
      <c r="AB72" s="376">
        <f t="shared" si="9"/>
        <v>194516</v>
      </c>
      <c r="AC72" s="376">
        <f t="shared" si="9"/>
        <v>200352</v>
      </c>
      <c r="AD72" s="376">
        <f t="shared" si="9"/>
        <v>206362</v>
      </c>
      <c r="AE72" s="376">
        <f t="shared" si="9"/>
        <v>212552</v>
      </c>
      <c r="AF72" s="376">
        <f t="shared" si="9"/>
        <v>218928</v>
      </c>
      <c r="AG72" s="376">
        <f t="shared" si="9"/>
        <v>225496</v>
      </c>
    </row>
    <row r="73" spans="1:35" s="371" customFormat="1" ht="11.85" customHeight="1">
      <c r="A73" s="377" t="s">
        <v>320</v>
      </c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  <c r="AA73" s="376"/>
      <c r="AB73" s="376"/>
      <c r="AC73" s="376"/>
      <c r="AD73" s="376"/>
      <c r="AE73" s="376"/>
      <c r="AF73" s="376"/>
      <c r="AG73" s="376"/>
    </row>
    <row r="74" spans="1:35">
      <c r="A74" s="300" t="s">
        <v>312</v>
      </c>
      <c r="B74" s="300" t="s">
        <v>300</v>
      </c>
      <c r="C74" s="379">
        <f t="shared" ref="C74:AG74" si="10">C66/($C$22*$C$21)</f>
        <v>15.70343773959968</v>
      </c>
      <c r="D74" s="379">
        <f t="shared" si="10"/>
        <v>16.17454087178767</v>
      </c>
      <c r="E74" s="379">
        <f t="shared" si="10"/>
        <v>16.659886656809253</v>
      </c>
      <c r="F74" s="379">
        <f t="shared" si="10"/>
        <v>17.159840290890923</v>
      </c>
      <c r="G74" s="379">
        <f t="shared" si="10"/>
        <v>17.674766970259192</v>
      </c>
      <c r="H74" s="379">
        <f t="shared" si="10"/>
        <v>19.665816797149834</v>
      </c>
      <c r="I74" s="379">
        <f t="shared" si="10"/>
        <v>20.25597389917758</v>
      </c>
      <c r="J74" s="379">
        <f t="shared" si="10"/>
        <v>20.863660420077434</v>
      </c>
      <c r="K74" s="379">
        <f t="shared" si="10"/>
        <v>21.489606752302407</v>
      </c>
      <c r="L74" s="379">
        <f t="shared" si="10"/>
        <v>22.134178092078997</v>
      </c>
      <c r="M74" s="379">
        <f t="shared" si="10"/>
        <v>22.798104831860215</v>
      </c>
      <c r="N74" s="379">
        <f t="shared" si="10"/>
        <v>23.482117364099054</v>
      </c>
      <c r="O74" s="379">
        <f t="shared" si="10"/>
        <v>24.186580885022028</v>
      </c>
      <c r="P74" s="379">
        <f t="shared" si="10"/>
        <v>24.912225787082136</v>
      </c>
      <c r="Q74" s="379">
        <f t="shared" si="10"/>
        <v>25.65941726650588</v>
      </c>
      <c r="R74" s="379">
        <f t="shared" si="10"/>
        <v>26.429250911972765</v>
      </c>
      <c r="S74" s="379">
        <f t="shared" si="10"/>
        <v>27.222091919709296</v>
      </c>
      <c r="T74" s="379">
        <f t="shared" si="10"/>
        <v>28.03867068216848</v>
      </c>
      <c r="U74" s="379">
        <f t="shared" si="10"/>
        <v>28.87971759180332</v>
      </c>
      <c r="V74" s="379">
        <f t="shared" si="10"/>
        <v>29.745963041066815</v>
      </c>
      <c r="W74" s="379">
        <f t="shared" si="10"/>
        <v>30.63850261863848</v>
      </c>
      <c r="X74" s="379">
        <f t="shared" si="10"/>
        <v>31.557701520744814</v>
      </c>
      <c r="Y74" s="379">
        <f t="shared" si="10"/>
        <v>32.504290139838822</v>
      </c>
      <c r="Z74" s="379">
        <f t="shared" si="10"/>
        <v>33.479364064600013</v>
      </c>
      <c r="AA74" s="379">
        <f t="shared" si="10"/>
        <v>34.483653687481386</v>
      </c>
      <c r="AB74" s="379">
        <f t="shared" si="10"/>
        <v>35.518254597162453</v>
      </c>
      <c r="AC74" s="379">
        <f t="shared" si="10"/>
        <v>36.583897186096223</v>
      </c>
      <c r="AD74" s="379">
        <f t="shared" si="10"/>
        <v>37.681311846735689</v>
      </c>
      <c r="AE74" s="379">
        <f t="shared" si="10"/>
        <v>38.811594167760362</v>
      </c>
      <c r="AF74" s="379">
        <f t="shared" si="10"/>
        <v>39.975839737849746</v>
      </c>
      <c r="AG74" s="379">
        <f t="shared" si="10"/>
        <v>41.175144145683362</v>
      </c>
    </row>
    <row r="75" spans="1:35">
      <c r="A75" s="300" t="s">
        <v>321</v>
      </c>
      <c r="B75" s="300" t="s">
        <v>300</v>
      </c>
      <c r="C75" s="379">
        <f t="shared" ref="C75:AG75" si="11">(C67+C68)/($C$22*$C$21)</f>
        <v>25.465637807936499</v>
      </c>
      <c r="D75" s="379">
        <f t="shared" si="11"/>
        <v>28.282986111111118</v>
      </c>
      <c r="E75" s="379">
        <f t="shared" si="11"/>
        <v>28.852560763888892</v>
      </c>
      <c r="F75" s="379">
        <f t="shared" si="11"/>
        <v>29.433624782986115</v>
      </c>
      <c r="G75" s="379">
        <f t="shared" si="11"/>
        <v>30.026410402560767</v>
      </c>
      <c r="H75" s="379">
        <f t="shared" si="11"/>
        <v>30.63115456262479</v>
      </c>
      <c r="I75" s="379">
        <f t="shared" si="11"/>
        <v>31.248099004690406</v>
      </c>
      <c r="J75" s="379">
        <f t="shared" si="11"/>
        <v>31.877490369367667</v>
      </c>
      <c r="K75" s="379">
        <f t="shared" si="11"/>
        <v>32.519580295953055</v>
      </c>
      <c r="L75" s="379">
        <f t="shared" si="11"/>
        <v>33.174625524050114</v>
      </c>
      <c r="M75" s="379">
        <f t="shared" si="11"/>
        <v>33.842887997263553</v>
      </c>
      <c r="N75" s="379">
        <f t="shared" si="11"/>
        <v>34.524634969009568</v>
      </c>
      <c r="O75" s="379">
        <f t="shared" si="11"/>
        <v>35.220139110485533</v>
      </c>
      <c r="P75" s="379">
        <f t="shared" si="11"/>
        <v>35.929678620843404</v>
      </c>
      <c r="Q75" s="379">
        <f t="shared" si="11"/>
        <v>36.653537339612143</v>
      </c>
      <c r="R75" s="379">
        <f t="shared" si="11"/>
        <v>37.392004861415046</v>
      </c>
      <c r="S75" s="379">
        <f t="shared" si="11"/>
        <v>38.145376653029288</v>
      </c>
      <c r="T75" s="379">
        <f t="shared" si="11"/>
        <v>38.913954172835453</v>
      </c>
      <c r="U75" s="379">
        <f t="shared" si="11"/>
        <v>39.698044992706379</v>
      </c>
      <c r="V75" s="379">
        <f t="shared" si="11"/>
        <v>40.497962922385078</v>
      </c>
      <c r="W75" s="379">
        <f t="shared" si="11"/>
        <v>41.314028136402968</v>
      </c>
      <c r="X75" s="379">
        <f t="shared" si="11"/>
        <v>42.14656730359048</v>
      </c>
      <c r="Y75" s="379">
        <f t="shared" si="11"/>
        <v>42.995913719233201</v>
      </c>
      <c r="Z75" s="379">
        <f t="shared" si="11"/>
        <v>43.862407439928084</v>
      </c>
      <c r="AA75" s="379">
        <f t="shared" si="11"/>
        <v>44.746395421194599</v>
      </c>
      <c r="AB75" s="379">
        <f t="shared" si="11"/>
        <v>45.648231657898144</v>
      </c>
      <c r="AC75" s="379">
        <f t="shared" si="11"/>
        <v>46.568277327542752</v>
      </c>
      <c r="AD75" s="379">
        <f t="shared" si="11"/>
        <v>47.506900936492414</v>
      </c>
      <c r="AE75" s="379">
        <f t="shared" si="11"/>
        <v>48.464478469181046</v>
      </c>
      <c r="AF75" s="379">
        <f t="shared" si="11"/>
        <v>49.441393540372431</v>
      </c>
      <c r="AG75" s="379">
        <f t="shared" si="11"/>
        <v>50.438037550532826</v>
      </c>
    </row>
    <row r="76" spans="1:35">
      <c r="A76" s="300" t="s">
        <v>322</v>
      </c>
      <c r="B76" s="300" t="s">
        <v>300</v>
      </c>
      <c r="C76" s="379">
        <f t="shared" ref="C76:AG76" si="12">(C69+C70+C71+C72)/($C$22*$C$21)</f>
        <v>24.733333333333334</v>
      </c>
      <c r="D76" s="379">
        <f t="shared" si="12"/>
        <v>25.488333333333333</v>
      </c>
      <c r="E76" s="379">
        <f t="shared" si="12"/>
        <v>26.269080000000002</v>
      </c>
      <c r="F76" s="379">
        <f t="shared" si="12"/>
        <v>27.075890866666668</v>
      </c>
      <c r="G76" s="379">
        <f t="shared" si="12"/>
        <v>27.925761231333336</v>
      </c>
      <c r="H76" s="379">
        <f t="shared" si="12"/>
        <v>28.935697931220002</v>
      </c>
      <c r="I76" s="379">
        <f t="shared" si="12"/>
        <v>29.860086468275131</v>
      </c>
      <c r="J76" s="379">
        <f t="shared" si="12"/>
        <v>30.812058153010533</v>
      </c>
      <c r="K76" s="379">
        <f t="shared" si="12"/>
        <v>31.808690600728731</v>
      </c>
      <c r="L76" s="379">
        <f t="shared" si="12"/>
        <v>32.833708247571636</v>
      </c>
      <c r="M76" s="379">
        <f t="shared" si="12"/>
        <v>33.904216220516389</v>
      </c>
      <c r="N76" s="379">
        <f t="shared" si="12"/>
        <v>35.020667562142684</v>
      </c>
      <c r="O76" s="379">
        <f t="shared" si="12"/>
        <v>36.1834971443621</v>
      </c>
      <c r="P76" s="379">
        <f t="shared" si="12"/>
        <v>37.393188938667606</v>
      </c>
      <c r="Q76" s="379">
        <f t="shared" si="12"/>
        <v>38.650209977163996</v>
      </c>
      <c r="R76" s="379">
        <f t="shared" si="12"/>
        <v>39.955111005343063</v>
      </c>
      <c r="S76" s="379">
        <f t="shared" si="12"/>
        <v>41.308393827606892</v>
      </c>
      <c r="T76" s="379">
        <f t="shared" si="12"/>
        <v>42.727278679915095</v>
      </c>
      <c r="U76" s="379">
        <f t="shared" si="12"/>
        <v>44.195671630641009</v>
      </c>
      <c r="V76" s="379">
        <f t="shared" si="12"/>
        <v>45.730832010764587</v>
      </c>
      <c r="W76" s="379">
        <f t="shared" si="12"/>
        <v>47.316739874575418</v>
      </c>
      <c r="X76" s="379">
        <f t="shared" si="12"/>
        <v>48.970663492105821</v>
      </c>
      <c r="Y76" s="379">
        <f t="shared" si="12"/>
        <v>50.693260207896238</v>
      </c>
      <c r="Z76" s="379">
        <f t="shared" si="12"/>
        <v>52.485244000746007</v>
      </c>
      <c r="AA76" s="379">
        <f t="shared" si="12"/>
        <v>54.347319745821771</v>
      </c>
      <c r="AB76" s="379">
        <f t="shared" si="12"/>
        <v>56.296917513884367</v>
      </c>
      <c r="AC76" s="379">
        <f t="shared" si="12"/>
        <v>58.318126909118419</v>
      </c>
      <c r="AD76" s="379">
        <f t="shared" si="12"/>
        <v>60.428398113775287</v>
      </c>
      <c r="AE76" s="379">
        <f t="shared" si="12"/>
        <v>62.628576307901362</v>
      </c>
      <c r="AF76" s="379">
        <f t="shared" si="12"/>
        <v>64.919536132488219</v>
      </c>
      <c r="AG76" s="379">
        <f t="shared" si="12"/>
        <v>67.302182864447929</v>
      </c>
    </row>
    <row r="77" spans="1:35">
      <c r="A77" s="300" t="s">
        <v>310</v>
      </c>
      <c r="B77" s="300" t="s">
        <v>300</v>
      </c>
      <c r="C77" s="379">
        <f t="shared" ref="C77:AG77" si="13">C64/($C$22*$C$21*7)</f>
        <v>5.6309523809523814</v>
      </c>
      <c r="D77" s="379">
        <f t="shared" si="13"/>
        <v>5.7998809523809527</v>
      </c>
      <c r="E77" s="379">
        <f t="shared" si="13"/>
        <v>5.9739166666666668</v>
      </c>
      <c r="F77" s="379">
        <f t="shared" si="13"/>
        <v>6.1531904761904759</v>
      </c>
      <c r="G77" s="379">
        <f t="shared" si="13"/>
        <v>6.3378333333333332</v>
      </c>
      <c r="H77" s="379">
        <f t="shared" si="13"/>
        <v>7.0517857142857157</v>
      </c>
      <c r="I77" s="379">
        <f t="shared" si="13"/>
        <v>7.2634047619047628</v>
      </c>
      <c r="J77" s="379">
        <f t="shared" si="13"/>
        <v>7.4813095238095251</v>
      </c>
      <c r="K77" s="379">
        <f t="shared" si="13"/>
        <v>7.7057619047619061</v>
      </c>
      <c r="L77" s="379">
        <f t="shared" si="13"/>
        <v>7.9368928571428583</v>
      </c>
      <c r="M77" s="379">
        <f t="shared" si="13"/>
        <v>8.174964285714287</v>
      </c>
      <c r="N77" s="379">
        <f t="shared" si="13"/>
        <v>6.8892857142857151</v>
      </c>
      <c r="O77" s="379">
        <f t="shared" si="13"/>
        <v>7.0959642857142864</v>
      </c>
      <c r="P77" s="379">
        <f t="shared" si="13"/>
        <v>7.3088571428571436</v>
      </c>
      <c r="Q77" s="379">
        <f t="shared" si="13"/>
        <v>7.5280714285714296</v>
      </c>
      <c r="R77" s="379">
        <f t="shared" si="13"/>
        <v>7.7539285714285722</v>
      </c>
      <c r="S77" s="379">
        <f t="shared" si="13"/>
        <v>7.986535714285715</v>
      </c>
      <c r="T77" s="379">
        <f t="shared" si="13"/>
        <v>8.2261071428571437</v>
      </c>
      <c r="U77" s="379">
        <f t="shared" si="13"/>
        <v>8.4728571428571442</v>
      </c>
      <c r="V77" s="379">
        <f t="shared" si="13"/>
        <v>8.7270000000000003</v>
      </c>
      <c r="W77" s="379">
        <f t="shared" si="13"/>
        <v>8.9888571428571442</v>
      </c>
      <c r="X77" s="379">
        <f t="shared" si="13"/>
        <v>7.2010833333333348</v>
      </c>
      <c r="Y77" s="379">
        <f t="shared" si="13"/>
        <v>7.4170833333333341</v>
      </c>
      <c r="Z77" s="379">
        <f t="shared" si="13"/>
        <v>7.6395833333333343</v>
      </c>
      <c r="AA77" s="379">
        <f t="shared" si="13"/>
        <v>7.8687500000000012</v>
      </c>
      <c r="AB77" s="379">
        <f t="shared" si="13"/>
        <v>8.1048333333333336</v>
      </c>
      <c r="AC77" s="379">
        <f t="shared" si="13"/>
        <v>8.3480000000000008</v>
      </c>
      <c r="AD77" s="379">
        <f t="shared" si="13"/>
        <v>8.598416666666667</v>
      </c>
      <c r="AE77" s="379">
        <f t="shared" si="13"/>
        <v>8.8563333333333336</v>
      </c>
      <c r="AF77" s="379">
        <f t="shared" si="13"/>
        <v>9.1220000000000017</v>
      </c>
      <c r="AG77" s="379">
        <f t="shared" si="13"/>
        <v>9.3956666666666671</v>
      </c>
    </row>
    <row r="78" spans="1:35" s="352" customFormat="1">
      <c r="A78" s="380" t="s">
        <v>323</v>
      </c>
      <c r="B78" s="352" t="s">
        <v>300</v>
      </c>
      <c r="C78" s="381">
        <f>SUM(C74:C76)-C77</f>
        <v>60.271456499917136</v>
      </c>
      <c r="D78" s="381">
        <f t="shared" ref="D78:AG78" si="14">SUM(D74:D76)-D77</f>
        <v>64.145979363851154</v>
      </c>
      <c r="E78" s="381">
        <f t="shared" si="14"/>
        <v>65.807610754031487</v>
      </c>
      <c r="F78" s="381">
        <f t="shared" si="14"/>
        <v>67.516165464353236</v>
      </c>
      <c r="G78" s="381">
        <f t="shared" si="14"/>
        <v>69.28910527081996</v>
      </c>
      <c r="H78" s="381">
        <f t="shared" si="14"/>
        <v>72.180883576708908</v>
      </c>
      <c r="I78" s="381">
        <f t="shared" si="14"/>
        <v>74.100754610238354</v>
      </c>
      <c r="J78" s="381">
        <f t="shared" si="14"/>
        <v>76.071899418646098</v>
      </c>
      <c r="K78" s="381">
        <f t="shared" si="14"/>
        <v>78.112115744222294</v>
      </c>
      <c r="L78" s="381">
        <f t="shared" si="14"/>
        <v>80.205619006557896</v>
      </c>
      <c r="M78" s="381">
        <f t="shared" si="14"/>
        <v>82.370244763925882</v>
      </c>
      <c r="N78" s="381">
        <f t="shared" si="14"/>
        <v>86.138134180965594</v>
      </c>
      <c r="O78" s="381">
        <f t="shared" si="14"/>
        <v>88.494252854155363</v>
      </c>
      <c r="P78" s="381">
        <f t="shared" si="14"/>
        <v>90.926236203735996</v>
      </c>
      <c r="Q78" s="381">
        <f t="shared" si="14"/>
        <v>93.435093154710586</v>
      </c>
      <c r="R78" s="381">
        <f t="shared" si="14"/>
        <v>96.022438207302301</v>
      </c>
      <c r="S78" s="381">
        <f t="shared" si="14"/>
        <v>98.689326686059758</v>
      </c>
      <c r="T78" s="381">
        <f t="shared" si="14"/>
        <v>101.45379639206188</v>
      </c>
      <c r="U78" s="381">
        <f t="shared" si="14"/>
        <v>104.30057707229355</v>
      </c>
      <c r="V78" s="381">
        <f t="shared" si="14"/>
        <v>107.24775797421647</v>
      </c>
      <c r="W78" s="381">
        <f t="shared" si="14"/>
        <v>110.28041348675973</v>
      </c>
      <c r="X78" s="381">
        <f t="shared" si="14"/>
        <v>115.47384898310777</v>
      </c>
      <c r="Y78" s="381">
        <f t="shared" si="14"/>
        <v>118.77638073363492</v>
      </c>
      <c r="Z78" s="381">
        <f t="shared" si="14"/>
        <v>122.18743217194078</v>
      </c>
      <c r="AA78" s="381">
        <f t="shared" si="14"/>
        <v>125.70861885449776</v>
      </c>
      <c r="AB78" s="381">
        <f t="shared" si="14"/>
        <v>129.3585704356116</v>
      </c>
      <c r="AC78" s="381">
        <f t="shared" si="14"/>
        <v>133.1223014227574</v>
      </c>
      <c r="AD78" s="381">
        <f t="shared" si="14"/>
        <v>137.01819423033672</v>
      </c>
      <c r="AE78" s="381">
        <f t="shared" si="14"/>
        <v>141.04831561150942</v>
      </c>
      <c r="AF78" s="381">
        <f t="shared" si="14"/>
        <v>145.21476941071037</v>
      </c>
      <c r="AG78" s="381">
        <f t="shared" si="14"/>
        <v>149.51969789399743</v>
      </c>
    </row>
    <row r="79" spans="1:35" s="344" customFormat="1">
      <c r="A79" s="342" t="s">
        <v>179</v>
      </c>
      <c r="B79" s="342"/>
      <c r="H79" s="382">
        <f>H81/K59</f>
        <v>601807.61946862028</v>
      </c>
      <c r="AB79" s="382">
        <f>AB81/AE59</f>
        <v>711762.19426331879</v>
      </c>
    </row>
    <row r="80" spans="1:35">
      <c r="A80" s="360" t="s">
        <v>41</v>
      </c>
      <c r="B80" s="360"/>
      <c r="C80" s="360">
        <v>2025</v>
      </c>
      <c r="D80" s="360">
        <f>C80+1</f>
        <v>2026</v>
      </c>
      <c r="E80" s="360">
        <f t="shared" ref="E80:AG80" si="15">D80+1</f>
        <v>2027</v>
      </c>
      <c r="F80" s="360">
        <f t="shared" si="15"/>
        <v>2028</v>
      </c>
      <c r="G80" s="360">
        <f t="shared" si="15"/>
        <v>2029</v>
      </c>
      <c r="H80" s="360">
        <f t="shared" si="15"/>
        <v>2030</v>
      </c>
      <c r="I80" s="360">
        <f t="shared" si="15"/>
        <v>2031</v>
      </c>
      <c r="J80" s="360">
        <f t="shared" si="15"/>
        <v>2032</v>
      </c>
      <c r="K80" s="360">
        <f t="shared" si="15"/>
        <v>2033</v>
      </c>
      <c r="L80" s="360">
        <f t="shared" si="15"/>
        <v>2034</v>
      </c>
      <c r="M80" s="360">
        <f t="shared" si="15"/>
        <v>2035</v>
      </c>
      <c r="N80" s="360">
        <f t="shared" si="15"/>
        <v>2036</v>
      </c>
      <c r="O80" s="360">
        <f t="shared" si="15"/>
        <v>2037</v>
      </c>
      <c r="P80" s="360">
        <f t="shared" si="15"/>
        <v>2038</v>
      </c>
      <c r="Q80" s="360">
        <f t="shared" si="15"/>
        <v>2039</v>
      </c>
      <c r="R80" s="360">
        <f t="shared" si="15"/>
        <v>2040</v>
      </c>
      <c r="S80" s="360">
        <f t="shared" si="15"/>
        <v>2041</v>
      </c>
      <c r="T80" s="360">
        <f t="shared" si="15"/>
        <v>2042</v>
      </c>
      <c r="U80" s="360">
        <f t="shared" si="15"/>
        <v>2043</v>
      </c>
      <c r="V80" s="360">
        <f t="shared" si="15"/>
        <v>2044</v>
      </c>
      <c r="W80" s="360">
        <f t="shared" si="15"/>
        <v>2045</v>
      </c>
      <c r="X80" s="360">
        <f t="shared" si="15"/>
        <v>2046</v>
      </c>
      <c r="Y80" s="360">
        <f t="shared" si="15"/>
        <v>2047</v>
      </c>
      <c r="Z80" s="360">
        <f t="shared" si="15"/>
        <v>2048</v>
      </c>
      <c r="AA80" s="360">
        <f t="shared" si="15"/>
        <v>2049</v>
      </c>
      <c r="AB80" s="360">
        <f t="shared" si="15"/>
        <v>2050</v>
      </c>
      <c r="AC80" s="360">
        <f t="shared" si="15"/>
        <v>2051</v>
      </c>
      <c r="AD80" s="360">
        <f t="shared" si="15"/>
        <v>2052</v>
      </c>
      <c r="AE80" s="360">
        <f t="shared" si="15"/>
        <v>2053</v>
      </c>
      <c r="AF80" s="360">
        <f t="shared" si="15"/>
        <v>2054</v>
      </c>
      <c r="AG80" s="360">
        <f t="shared" si="15"/>
        <v>2055</v>
      </c>
    </row>
    <row r="81" spans="1:34">
      <c r="A81" s="368" t="s">
        <v>324</v>
      </c>
      <c r="B81" s="300" t="s">
        <v>309</v>
      </c>
      <c r="C81" s="376">
        <f>'Changing with year'!C99</f>
        <v>4550000</v>
      </c>
      <c r="D81" s="376">
        <f>'Changing with year'!D99</f>
        <v>4686500</v>
      </c>
      <c r="E81" s="376">
        <f>'Changing with year'!E99</f>
        <v>4827095</v>
      </c>
      <c r="F81" s="376">
        <f>'Changing with year'!F99</f>
        <v>4971907.8500000006</v>
      </c>
      <c r="G81" s="376">
        <f>'Changing with year'!G99</f>
        <v>5121065.085500001</v>
      </c>
      <c r="H81" s="376">
        <f>'Changing with year'!H99</f>
        <v>5674697.0380650014</v>
      </c>
      <c r="I81" s="376">
        <f>'Changing with year'!I99</f>
        <v>5844937.949206952</v>
      </c>
      <c r="J81" s="376">
        <f>'Changing with year'!J99</f>
        <v>6020286.0876831608</v>
      </c>
      <c r="K81" s="376">
        <f>'Changing with year'!K99</f>
        <v>6200894.6703136554</v>
      </c>
      <c r="L81" s="376">
        <f>'Changing with year'!L99</f>
        <v>6386921.5104230652</v>
      </c>
      <c r="M81" s="376">
        <f>'Changing with year'!M99</f>
        <v>6578529.1557357572</v>
      </c>
      <c r="N81" s="376">
        <f>'Changing with year'!N99</f>
        <v>6775885.0304078301</v>
      </c>
      <c r="O81" s="376">
        <f>'Changing with year'!O99</f>
        <v>6979161.5813200651</v>
      </c>
      <c r="P81" s="376">
        <f>'Changing with year'!P99</f>
        <v>7188536.4287596671</v>
      </c>
      <c r="Q81" s="376">
        <f>'Changing with year'!Q99</f>
        <v>7404192.5216224575</v>
      </c>
      <c r="R81" s="376">
        <f>'Changing with year'!R99</f>
        <v>7626318.2972711315</v>
      </c>
      <c r="S81" s="376">
        <f>'Changing with year'!S99</f>
        <v>7855107.8461892661</v>
      </c>
      <c r="T81" s="376">
        <f>'Changing with year'!T99</f>
        <v>8090761.0815749438</v>
      </c>
      <c r="U81" s="376">
        <f>'Changing with year'!U99</f>
        <v>8333483.9140221924</v>
      </c>
      <c r="V81" s="376">
        <f>'Changing with year'!V99</f>
        <v>8583488.4314428587</v>
      </c>
      <c r="W81" s="376">
        <f>'Changing with year'!W99</f>
        <v>8840993.0843861438</v>
      </c>
      <c r="X81" s="376">
        <f>'Changing with year'!X99</f>
        <v>9106222.8769177292</v>
      </c>
      <c r="Y81" s="376">
        <f>'Changing with year'!Y99</f>
        <v>9379409.5632252619</v>
      </c>
      <c r="Z81" s="376">
        <f>'Changing with year'!Z99</f>
        <v>9660791.8501220196</v>
      </c>
      <c r="AA81" s="376">
        <f>'Changing with year'!AA99</f>
        <v>9950615.6056256797</v>
      </c>
      <c r="AB81" s="376">
        <f>'Changing with year'!AB99</f>
        <v>10249134.073794451</v>
      </c>
      <c r="AC81" s="376">
        <f>'Changing with year'!AC99</f>
        <v>10556608.096008284</v>
      </c>
      <c r="AD81" s="376">
        <f>'Changing with year'!AD99</f>
        <v>10873306.338888533</v>
      </c>
      <c r="AE81" s="376">
        <f>'Changing with year'!AE99</f>
        <v>11199505.529055189</v>
      </c>
      <c r="AF81" s="376">
        <f>'Changing with year'!AF99</f>
        <v>11535490.694926845</v>
      </c>
      <c r="AG81" s="376">
        <f>'Changing with year'!AG99</f>
        <v>11881555.415774651</v>
      </c>
    </row>
    <row r="82" spans="1:34">
      <c r="A82" s="368" t="s">
        <v>310</v>
      </c>
      <c r="B82" s="300" t="s">
        <v>309</v>
      </c>
      <c r="C82" s="376">
        <f>(C81*'No change with year'!$AB$18)</f>
        <v>2275000</v>
      </c>
      <c r="D82" s="376">
        <f>(D81*'No change with year'!$AB$18)</f>
        <v>2343250</v>
      </c>
      <c r="E82" s="376">
        <f>(E81*'No change with year'!$AB$18)</f>
        <v>2413547.5</v>
      </c>
      <c r="F82" s="376">
        <f>(F81*'No change with year'!$AB$18)</f>
        <v>2485953.9250000003</v>
      </c>
      <c r="G82" s="376">
        <f>(G81*'No change with year'!$AB$18)</f>
        <v>2560532.5427500005</v>
      </c>
      <c r="H82" s="376">
        <f>(H81*'No change with year'!$AB$18)</f>
        <v>2837348.5190325007</v>
      </c>
      <c r="I82" s="376">
        <f>(I81*'No change with year'!$AB$18)</f>
        <v>2922468.974603476</v>
      </c>
      <c r="J82" s="376">
        <f>(J81*'No change with year'!$AB$18)</f>
        <v>3010143.0438415804</v>
      </c>
      <c r="K82" s="376">
        <f>(K81*'No change with year'!$AB$18)</f>
        <v>3100447.3351568277</v>
      </c>
      <c r="L82" s="376">
        <f>(L81*'No change with year'!$AB$18)</f>
        <v>3193460.7552115326</v>
      </c>
      <c r="M82" s="376">
        <f>(M81*'No change with year'!$AB$18)</f>
        <v>3289264.5778678786</v>
      </c>
      <c r="N82" s="376">
        <f>(N81*'No change with year'!$AC$18)</f>
        <v>2710354.0121631324</v>
      </c>
      <c r="O82" s="376">
        <f>(O81*'No change with year'!$AC$18)</f>
        <v>2791664.6325280266</v>
      </c>
      <c r="P82" s="376">
        <f>(P81*'No change with year'!$AC$18)</f>
        <v>2875414.5715038674</v>
      </c>
      <c r="Q82" s="376">
        <f>(Q81*'No change with year'!$AC$18)</f>
        <v>2961677.0086489837</v>
      </c>
      <c r="R82" s="376">
        <f>(R81*'No change with year'!$AC$18)</f>
        <v>3050527.318908453</v>
      </c>
      <c r="S82" s="376">
        <f>(S81*'No change with year'!$AC$18)</f>
        <v>3142043.1384757073</v>
      </c>
      <c r="T82" s="376">
        <f>(T81*'No change with year'!$AC$18)</f>
        <v>3236304.4326299783</v>
      </c>
      <c r="U82" s="376">
        <f>(U81*'No change with year'!$AC$18)</f>
        <v>3333393.5656088777</v>
      </c>
      <c r="V82" s="376">
        <f>(V81*'No change with year'!$AC$18)</f>
        <v>3433395.3725771443</v>
      </c>
      <c r="W82" s="376">
        <f>(W81*'No change with year'!$AC$18)</f>
        <v>3536397.2337544584</v>
      </c>
      <c r="X82" s="376">
        <f>(X81*'No change with year'!$AD$18)</f>
        <v>2731866.8630753192</v>
      </c>
      <c r="Y82" s="376">
        <f>(Y81*'No change with year'!$AD$18)</f>
        <v>2813822.8689675787</v>
      </c>
      <c r="Z82" s="376">
        <f>(Z81*'No change with year'!$AD$18)</f>
        <v>2898237.5550366063</v>
      </c>
      <c r="AA82" s="376">
        <f>(AA81*'No change with year'!$AD$18)</f>
        <v>2985184.6816877043</v>
      </c>
      <c r="AB82" s="376">
        <f>(AB81*'No change with year'!$AD$18)</f>
        <v>3074740.2221383355</v>
      </c>
      <c r="AC82" s="376">
        <f>(AC81*'No change with year'!$AD$18)</f>
        <v>3166982.4288024856</v>
      </c>
      <c r="AD82" s="376">
        <f>(AD81*'No change with year'!$AD$18)</f>
        <v>3261991.9016665607</v>
      </c>
      <c r="AE82" s="376">
        <f>(AE81*'No change with year'!$AD$18)</f>
        <v>3359851.6587165571</v>
      </c>
      <c r="AF82" s="376">
        <f>(AF81*'No change with year'!$AD$18)</f>
        <v>3460647.208478054</v>
      </c>
      <c r="AG82" s="376">
        <f>(AG81*'No change with year'!$AD$18)</f>
        <v>3564466.6247323956</v>
      </c>
    </row>
    <row r="83" spans="1:34" s="371" customFormat="1" ht="11.85" customHeight="1">
      <c r="A83" s="377" t="s">
        <v>311</v>
      </c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  <c r="AA83" s="376"/>
      <c r="AB83" s="376"/>
      <c r="AC83" s="376"/>
      <c r="AD83" s="376"/>
      <c r="AE83" s="376"/>
      <c r="AF83" s="376"/>
      <c r="AG83" s="376"/>
    </row>
    <row r="84" spans="1:34">
      <c r="A84" s="368" t="s">
        <v>312</v>
      </c>
      <c r="B84" s="368" t="s">
        <v>313</v>
      </c>
      <c r="C84" s="376">
        <f t="shared" ref="C84:AG84" si="16">-PMT($C$26,$C$25,C81)</f>
        <v>996985.69835132849</v>
      </c>
      <c r="D84" s="376">
        <f t="shared" si="16"/>
        <v>1026895.2693018684</v>
      </c>
      <c r="E84" s="376">
        <f t="shared" si="16"/>
        <v>1057702.1273809245</v>
      </c>
      <c r="F84" s="376">
        <f t="shared" si="16"/>
        <v>1089433.1912023521</v>
      </c>
      <c r="G84" s="376">
        <f t="shared" si="16"/>
        <v>1122116.186938423</v>
      </c>
      <c r="H84" s="376">
        <f t="shared" si="16"/>
        <v>1243426.766907132</v>
      </c>
      <c r="I84" s="376">
        <f t="shared" si="16"/>
        <v>1280729.5699143461</v>
      </c>
      <c r="J84" s="376">
        <f t="shared" si="16"/>
        <v>1319151.4570117765</v>
      </c>
      <c r="K84" s="376">
        <f t="shared" si="16"/>
        <v>1358726.0007221296</v>
      </c>
      <c r="L84" s="376">
        <f t="shared" si="16"/>
        <v>1399487.7807437936</v>
      </c>
      <c r="M84" s="376">
        <f t="shared" si="16"/>
        <v>1441472.4141661073</v>
      </c>
      <c r="N84" s="376">
        <f t="shared" si="16"/>
        <v>1484716.5865910908</v>
      </c>
      <c r="O84" s="376">
        <f t="shared" si="16"/>
        <v>1529258.0841888236</v>
      </c>
      <c r="P84" s="376">
        <f t="shared" si="16"/>
        <v>1575135.8267144882</v>
      </c>
      <c r="Q84" s="376">
        <f t="shared" si="16"/>
        <v>1622389.901515923</v>
      </c>
      <c r="R84" s="376">
        <f t="shared" si="16"/>
        <v>1671061.5985614008</v>
      </c>
      <c r="S84" s="376">
        <f t="shared" si="16"/>
        <v>1721193.4465182431</v>
      </c>
      <c r="T84" s="376">
        <f t="shared" si="16"/>
        <v>1772829.24991379</v>
      </c>
      <c r="U84" s="376">
        <f t="shared" si="16"/>
        <v>1826014.1274112039</v>
      </c>
      <c r="V84" s="376">
        <f t="shared" si="16"/>
        <v>1880794.5512335403</v>
      </c>
      <c r="W84" s="376">
        <f t="shared" si="16"/>
        <v>1937218.3877705461</v>
      </c>
      <c r="X84" s="376">
        <f t="shared" si="16"/>
        <v>1995334.9394036627</v>
      </c>
      <c r="Y84" s="376">
        <f t="shared" si="16"/>
        <v>2055194.9875857728</v>
      </c>
      <c r="Z84" s="376">
        <f t="shared" si="16"/>
        <v>2116850.8372133458</v>
      </c>
      <c r="AA84" s="376">
        <f t="shared" si="16"/>
        <v>2180356.3623297466</v>
      </c>
      <c r="AB84" s="376">
        <f t="shared" si="16"/>
        <v>2245767.0531996391</v>
      </c>
      <c r="AC84" s="376">
        <f t="shared" si="16"/>
        <v>2313140.0647956277</v>
      </c>
      <c r="AD84" s="376">
        <f t="shared" si="16"/>
        <v>2382534.266739497</v>
      </c>
      <c r="AE84" s="376">
        <f t="shared" si="16"/>
        <v>2454010.2947416818</v>
      </c>
      <c r="AF84" s="376">
        <f t="shared" si="16"/>
        <v>2527630.6035839319</v>
      </c>
      <c r="AG84" s="376">
        <f t="shared" si="16"/>
        <v>2603459.5216914504</v>
      </c>
    </row>
    <row r="85" spans="1:34">
      <c r="A85" s="300" t="s">
        <v>321</v>
      </c>
      <c r="B85" s="300" t="s">
        <v>309</v>
      </c>
      <c r="C85" s="376">
        <f t="shared" ref="C85:AG85" si="17">C43*$D$38</f>
        <v>1373684.2105263157</v>
      </c>
      <c r="D85" s="376">
        <f t="shared" si="17"/>
        <v>1444736.8421052631</v>
      </c>
      <c r="E85" s="376">
        <f t="shared" si="17"/>
        <v>1488078.9473684211</v>
      </c>
      <c r="F85" s="376">
        <f t="shared" si="17"/>
        <v>1532721.3157894737</v>
      </c>
      <c r="G85" s="376">
        <f t="shared" si="17"/>
        <v>1578702.9552631581</v>
      </c>
      <c r="H85" s="376">
        <f t="shared" si="17"/>
        <v>1626064.0439210527</v>
      </c>
      <c r="I85" s="376">
        <f t="shared" si="17"/>
        <v>1674845.9652386843</v>
      </c>
      <c r="J85" s="376">
        <f t="shared" si="17"/>
        <v>1725091.3441958448</v>
      </c>
      <c r="K85" s="376">
        <f t="shared" si="17"/>
        <v>1776844.0845217202</v>
      </c>
      <c r="L85" s="376">
        <f t="shared" si="17"/>
        <v>1830149.4070573719</v>
      </c>
      <c r="M85" s="376">
        <f t="shared" si="17"/>
        <v>1885053.8892690931</v>
      </c>
      <c r="N85" s="376">
        <f t="shared" si="17"/>
        <v>1941605.5059471659</v>
      </c>
      <c r="O85" s="376">
        <f t="shared" si="17"/>
        <v>1999853.6711255808</v>
      </c>
      <c r="P85" s="376">
        <f t="shared" si="17"/>
        <v>2059849.2812593482</v>
      </c>
      <c r="Q85" s="376">
        <f t="shared" si="17"/>
        <v>2121644.7596971286</v>
      </c>
      <c r="R85" s="376">
        <f t="shared" si="17"/>
        <v>2185294.1024880423</v>
      </c>
      <c r="S85" s="376">
        <f t="shared" si="17"/>
        <v>2250852.9255626835</v>
      </c>
      <c r="T85" s="376">
        <f t="shared" si="17"/>
        <v>2318378.5133295641</v>
      </c>
      <c r="U85" s="376">
        <f t="shared" si="17"/>
        <v>2387929.8687294512</v>
      </c>
      <c r="V85" s="376">
        <f t="shared" si="17"/>
        <v>2459567.7647913345</v>
      </c>
      <c r="W85" s="376">
        <f t="shared" si="17"/>
        <v>2533354.797735075</v>
      </c>
      <c r="X85" s="376">
        <f t="shared" si="17"/>
        <v>2609355.441667127</v>
      </c>
      <c r="Y85" s="376">
        <f t="shared" si="17"/>
        <v>2687636.1049171407</v>
      </c>
      <c r="Z85" s="376">
        <f t="shared" si="17"/>
        <v>2768265.1880646548</v>
      </c>
      <c r="AA85" s="376">
        <f t="shared" si="17"/>
        <v>2851313.1437065946</v>
      </c>
      <c r="AB85" s="376">
        <f t="shared" si="17"/>
        <v>2936852.5380177922</v>
      </c>
      <c r="AC85" s="376">
        <f t="shared" si="17"/>
        <v>3024958.1141583263</v>
      </c>
      <c r="AD85" s="376">
        <f t="shared" si="17"/>
        <v>3115706.8575830762</v>
      </c>
      <c r="AE85" s="376">
        <f t="shared" si="17"/>
        <v>3209178.0633105687</v>
      </c>
      <c r="AF85" s="376">
        <f t="shared" si="17"/>
        <v>3305453.4052098854</v>
      </c>
      <c r="AG85" s="376">
        <f t="shared" si="17"/>
        <v>3404617.0073661823</v>
      </c>
    </row>
    <row r="86" spans="1:34">
      <c r="A86" s="300" t="s">
        <v>317</v>
      </c>
      <c r="B86" s="300" t="s">
        <v>309</v>
      </c>
      <c r="C86" s="376">
        <f t="shared" ref="C86:AG86" si="18">C57*$C$21*$C$22</f>
        <v>288000</v>
      </c>
      <c r="D86" s="376">
        <f t="shared" si="18"/>
        <v>299520</v>
      </c>
      <c r="E86" s="376">
        <f t="shared" si="18"/>
        <v>311500.80000000005</v>
      </c>
      <c r="F86" s="376">
        <f t="shared" si="18"/>
        <v>323960.83199999999</v>
      </c>
      <c r="G86" s="376">
        <f t="shared" si="18"/>
        <v>336919.26528000005</v>
      </c>
      <c r="H86" s="376">
        <f t="shared" si="18"/>
        <v>350396.03589120007</v>
      </c>
      <c r="I86" s="376">
        <f t="shared" si="18"/>
        <v>364411.8773268481</v>
      </c>
      <c r="J86" s="376">
        <f t="shared" si="18"/>
        <v>378988.35241992201</v>
      </c>
      <c r="K86" s="376">
        <f t="shared" si="18"/>
        <v>394147.88651671889</v>
      </c>
      <c r="L86" s="376">
        <f t="shared" si="18"/>
        <v>409913.80197738763</v>
      </c>
      <c r="M86" s="376">
        <f t="shared" si="18"/>
        <v>426310.35405648319</v>
      </c>
      <c r="N86" s="376">
        <f t="shared" si="18"/>
        <v>443362.76821874257</v>
      </c>
      <c r="O86" s="376">
        <f t="shared" si="18"/>
        <v>461097.27894749219</v>
      </c>
      <c r="P86" s="376">
        <f t="shared" si="18"/>
        <v>479541.17010539194</v>
      </c>
      <c r="Q86" s="376">
        <f t="shared" si="18"/>
        <v>498722.81690960762</v>
      </c>
      <c r="R86" s="376">
        <f t="shared" si="18"/>
        <v>518671.72958599194</v>
      </c>
      <c r="S86" s="376">
        <f t="shared" si="18"/>
        <v>539418.59876943158</v>
      </c>
      <c r="T86" s="376">
        <f t="shared" si="18"/>
        <v>560995.34272020892</v>
      </c>
      <c r="U86" s="376">
        <f t="shared" si="18"/>
        <v>583435.1564290172</v>
      </c>
      <c r="V86" s="376">
        <f t="shared" si="18"/>
        <v>606772.5626861779</v>
      </c>
      <c r="W86" s="376">
        <f t="shared" si="18"/>
        <v>631043.46519362507</v>
      </c>
      <c r="X86" s="376">
        <f t="shared" si="18"/>
        <v>656285.20380137011</v>
      </c>
      <c r="Y86" s="376">
        <f t="shared" si="18"/>
        <v>682536.61195342499</v>
      </c>
      <c r="Z86" s="376">
        <f t="shared" si="18"/>
        <v>709838.07643156196</v>
      </c>
      <c r="AA86" s="376">
        <f t="shared" si="18"/>
        <v>738231.59948882437</v>
      </c>
      <c r="AB86" s="376">
        <f t="shared" si="18"/>
        <v>767760.8634683775</v>
      </c>
      <c r="AC86" s="376">
        <f t="shared" si="18"/>
        <v>798471.29800711269</v>
      </c>
      <c r="AD86" s="376">
        <f t="shared" si="18"/>
        <v>830410.14992739726</v>
      </c>
      <c r="AE86" s="376">
        <f t="shared" si="18"/>
        <v>863626.55592449324</v>
      </c>
      <c r="AF86" s="376">
        <f t="shared" si="18"/>
        <v>898171.61816147296</v>
      </c>
      <c r="AG86" s="376">
        <f t="shared" si="18"/>
        <v>934098.48288793198</v>
      </c>
    </row>
    <row r="87" spans="1:34">
      <c r="A87" s="368" t="s">
        <v>318</v>
      </c>
      <c r="B87" s="368" t="s">
        <v>313</v>
      </c>
      <c r="C87" s="376">
        <f>'Changing with year'!C294</f>
        <v>600000</v>
      </c>
      <c r="D87" s="376">
        <f>'Changing with year'!D294</f>
        <v>627000</v>
      </c>
      <c r="E87" s="376">
        <f>'Changing with year'!E294</f>
        <v>655000</v>
      </c>
      <c r="F87" s="376">
        <f>'Changing with year'!F294</f>
        <v>684000</v>
      </c>
      <c r="G87" s="376">
        <f>'Changing with year'!G294</f>
        <v>715000</v>
      </c>
      <c r="H87" s="376">
        <f>'Changing with year'!H294</f>
        <v>747000</v>
      </c>
      <c r="I87" s="376">
        <f>'Changing with year'!I294</f>
        <v>781000</v>
      </c>
      <c r="J87" s="376">
        <f>'Changing with year'!J294</f>
        <v>816000</v>
      </c>
      <c r="K87" s="376">
        <f>'Changing with year'!K294</f>
        <v>853000</v>
      </c>
      <c r="L87" s="376">
        <f>'Changing with year'!L294</f>
        <v>891000</v>
      </c>
      <c r="M87" s="376">
        <f>'Changing with year'!M294</f>
        <v>931000</v>
      </c>
      <c r="N87" s="376">
        <f>'Changing with year'!N294</f>
        <v>973000</v>
      </c>
      <c r="O87" s="376">
        <f>'Changing with year'!O294</f>
        <v>1017000</v>
      </c>
      <c r="P87" s="376">
        <f>'Changing with year'!P294</f>
        <v>1063000</v>
      </c>
      <c r="Q87" s="376">
        <f>'Changing with year'!Q294</f>
        <v>1111000</v>
      </c>
      <c r="R87" s="376">
        <f>'Changing with year'!R294</f>
        <v>1161000</v>
      </c>
      <c r="S87" s="376">
        <f>'Changing with year'!S294</f>
        <v>1213000</v>
      </c>
      <c r="T87" s="376">
        <f>'Changing with year'!T294</f>
        <v>1268000</v>
      </c>
      <c r="U87" s="376">
        <f>'Changing with year'!U294</f>
        <v>1325000</v>
      </c>
      <c r="V87" s="376">
        <f>'Changing with year'!V294</f>
        <v>1385000</v>
      </c>
      <c r="W87" s="376">
        <f>'Changing with year'!W294</f>
        <v>1447000</v>
      </c>
      <c r="X87" s="376">
        <f>'Changing with year'!X294</f>
        <v>1512000</v>
      </c>
      <c r="Y87" s="376">
        <f>'Changing with year'!Y294</f>
        <v>1580000</v>
      </c>
      <c r="Z87" s="376">
        <f>'Changing with year'!Z294</f>
        <v>1651000</v>
      </c>
      <c r="AA87" s="376">
        <f>'Changing with year'!AA294</f>
        <v>1725000</v>
      </c>
      <c r="AB87" s="376">
        <f>'Changing with year'!AB294</f>
        <v>1803000</v>
      </c>
      <c r="AC87" s="376">
        <f>'Changing with year'!AC294</f>
        <v>1884000</v>
      </c>
      <c r="AD87" s="376">
        <f>'Changing with year'!AD294</f>
        <v>1969000</v>
      </c>
      <c r="AE87" s="376">
        <f>'Changing with year'!AE294</f>
        <v>2058000</v>
      </c>
      <c r="AF87" s="376">
        <f>'Changing with year'!AF294</f>
        <v>2151000</v>
      </c>
      <c r="AG87" s="376">
        <f>'Changing with year'!AG294</f>
        <v>2248000</v>
      </c>
      <c r="AH87" s="339"/>
    </row>
    <row r="88" spans="1:34">
      <c r="A88" s="300" t="s">
        <v>272</v>
      </c>
      <c r="B88" s="368" t="s">
        <v>313</v>
      </c>
      <c r="C88" s="376">
        <f t="shared" ref="C88:AG88" si="19">C60</f>
        <v>540000</v>
      </c>
      <c r="D88" s="376">
        <f t="shared" si="19"/>
        <v>545400</v>
      </c>
      <c r="E88" s="376">
        <f t="shared" si="19"/>
        <v>550854</v>
      </c>
      <c r="F88" s="376">
        <f t="shared" si="19"/>
        <v>556362.53999999992</v>
      </c>
      <c r="G88" s="376">
        <f t="shared" si="19"/>
        <v>561926.16539999994</v>
      </c>
      <c r="H88" s="376">
        <f t="shared" si="19"/>
        <v>567545.42705399997</v>
      </c>
      <c r="I88" s="376">
        <f t="shared" si="19"/>
        <v>573220.88132453989</v>
      </c>
      <c r="J88" s="376">
        <f t="shared" si="19"/>
        <v>578953.09013778542</v>
      </c>
      <c r="K88" s="376">
        <f t="shared" si="19"/>
        <v>584742.62103916332</v>
      </c>
      <c r="L88" s="376">
        <f t="shared" si="19"/>
        <v>590590.04724955501</v>
      </c>
      <c r="M88" s="376">
        <f t="shared" si="19"/>
        <v>596495.94772205048</v>
      </c>
      <c r="N88" s="376">
        <f t="shared" si="19"/>
        <v>602460.90719927102</v>
      </c>
      <c r="O88" s="376">
        <f t="shared" si="19"/>
        <v>608485.51627126383</v>
      </c>
      <c r="P88" s="376">
        <f t="shared" si="19"/>
        <v>614570.37143397657</v>
      </c>
      <c r="Q88" s="376">
        <f t="shared" si="19"/>
        <v>620716.07514831633</v>
      </c>
      <c r="R88" s="376">
        <f t="shared" si="19"/>
        <v>626923.2358997995</v>
      </c>
      <c r="S88" s="376">
        <f t="shared" si="19"/>
        <v>633192.46825879754</v>
      </c>
      <c r="T88" s="376">
        <f t="shared" si="19"/>
        <v>639524.39294138551</v>
      </c>
      <c r="U88" s="376">
        <f t="shared" si="19"/>
        <v>645919.63687079935</v>
      </c>
      <c r="V88" s="376">
        <f t="shared" si="19"/>
        <v>652378.83323950728</v>
      </c>
      <c r="W88" s="376">
        <f t="shared" si="19"/>
        <v>658902.62157190242</v>
      </c>
      <c r="X88" s="376">
        <f t="shared" si="19"/>
        <v>665491.64778762148</v>
      </c>
      <c r="Y88" s="376">
        <f t="shared" si="19"/>
        <v>672146.56426549761</v>
      </c>
      <c r="Z88" s="376">
        <f t="shared" si="19"/>
        <v>678868.02990815276</v>
      </c>
      <c r="AA88" s="376">
        <f t="shared" si="19"/>
        <v>685656.71020723425</v>
      </c>
      <c r="AB88" s="376">
        <f t="shared" si="19"/>
        <v>692513.27730930655</v>
      </c>
      <c r="AC88" s="376">
        <f t="shared" si="19"/>
        <v>699438.41008239973</v>
      </c>
      <c r="AD88" s="376">
        <f t="shared" si="19"/>
        <v>706432.79418322374</v>
      </c>
      <c r="AE88" s="376">
        <f t="shared" si="19"/>
        <v>713497.12212505599</v>
      </c>
      <c r="AF88" s="376">
        <f t="shared" si="19"/>
        <v>720632.09334630647</v>
      </c>
      <c r="AG88" s="376">
        <f t="shared" si="19"/>
        <v>727838.41427976964</v>
      </c>
    </row>
    <row r="89" spans="1:34">
      <c r="A89" s="300" t="s">
        <v>319</v>
      </c>
      <c r="B89" s="300" t="s">
        <v>309</v>
      </c>
      <c r="C89" s="376">
        <f t="shared" ref="C89:AG89" si="20">C81*$C$29</f>
        <v>91000</v>
      </c>
      <c r="D89" s="376">
        <f t="shared" si="20"/>
        <v>93730</v>
      </c>
      <c r="E89" s="376">
        <f t="shared" si="20"/>
        <v>96541.900000000009</v>
      </c>
      <c r="F89" s="376">
        <f t="shared" si="20"/>
        <v>99438.157000000007</v>
      </c>
      <c r="G89" s="376">
        <f t="shared" si="20"/>
        <v>102421.30171000003</v>
      </c>
      <c r="H89" s="376">
        <f t="shared" si="20"/>
        <v>113493.94076130004</v>
      </c>
      <c r="I89" s="376">
        <f t="shared" si="20"/>
        <v>116898.75898413904</v>
      </c>
      <c r="J89" s="376">
        <f t="shared" si="20"/>
        <v>120405.72175366322</v>
      </c>
      <c r="K89" s="376">
        <f t="shared" si="20"/>
        <v>124017.89340627311</v>
      </c>
      <c r="L89" s="376">
        <f t="shared" si="20"/>
        <v>127738.4302084613</v>
      </c>
      <c r="M89" s="376">
        <f t="shared" si="20"/>
        <v>131570.58311471515</v>
      </c>
      <c r="N89" s="376">
        <f t="shared" si="20"/>
        <v>135517.70060815659</v>
      </c>
      <c r="O89" s="376">
        <f t="shared" si="20"/>
        <v>139583.23162640131</v>
      </c>
      <c r="P89" s="376">
        <f t="shared" si="20"/>
        <v>143770.72857519335</v>
      </c>
      <c r="Q89" s="376">
        <f t="shared" si="20"/>
        <v>148083.85043244917</v>
      </c>
      <c r="R89" s="376">
        <f t="shared" si="20"/>
        <v>152526.36594542264</v>
      </c>
      <c r="S89" s="376">
        <f t="shared" si="20"/>
        <v>157102.15692378531</v>
      </c>
      <c r="T89" s="376">
        <f t="shared" si="20"/>
        <v>161815.22163149889</v>
      </c>
      <c r="U89" s="376">
        <f t="shared" si="20"/>
        <v>166669.67828044386</v>
      </c>
      <c r="V89" s="376">
        <f t="shared" si="20"/>
        <v>171669.76862885719</v>
      </c>
      <c r="W89" s="376">
        <f t="shared" si="20"/>
        <v>176819.86168772288</v>
      </c>
      <c r="X89" s="376">
        <f t="shared" si="20"/>
        <v>182124.45753835459</v>
      </c>
      <c r="Y89" s="376">
        <f t="shared" si="20"/>
        <v>187588.19126450524</v>
      </c>
      <c r="Z89" s="376">
        <f t="shared" si="20"/>
        <v>193215.83700244038</v>
      </c>
      <c r="AA89" s="376">
        <f t="shared" si="20"/>
        <v>199012.31211251361</v>
      </c>
      <c r="AB89" s="376">
        <f t="shared" si="20"/>
        <v>204982.68147588903</v>
      </c>
      <c r="AC89" s="376">
        <f t="shared" si="20"/>
        <v>211132.16192016567</v>
      </c>
      <c r="AD89" s="376">
        <f t="shared" si="20"/>
        <v>217466.12677777067</v>
      </c>
      <c r="AE89" s="376">
        <f t="shared" si="20"/>
        <v>223990.1105811038</v>
      </c>
      <c r="AF89" s="376">
        <f t="shared" si="20"/>
        <v>230709.8138985369</v>
      </c>
      <c r="AG89" s="376">
        <f t="shared" si="20"/>
        <v>237631.10831549301</v>
      </c>
    </row>
    <row r="90" spans="1:34" s="371" customFormat="1" ht="11.85" customHeight="1">
      <c r="A90" s="377" t="s">
        <v>320</v>
      </c>
    </row>
    <row r="91" spans="1:34">
      <c r="A91" s="300" t="s">
        <v>325</v>
      </c>
      <c r="B91" s="300" t="s">
        <v>300</v>
      </c>
      <c r="C91" s="379">
        <f t="shared" ref="C91:AG91" si="21">C84/($C$22*$C$21)</f>
        <v>16.616428305855475</v>
      </c>
      <c r="D91" s="379">
        <f t="shared" si="21"/>
        <v>17.114921155031141</v>
      </c>
      <c r="E91" s="379">
        <f t="shared" si="21"/>
        <v>17.628368789682074</v>
      </c>
      <c r="F91" s="379">
        <f t="shared" si="21"/>
        <v>18.157219853372535</v>
      </c>
      <c r="G91" s="379">
        <f t="shared" si="21"/>
        <v>18.701936448973715</v>
      </c>
      <c r="H91" s="379">
        <f t="shared" si="21"/>
        <v>20.723779448452198</v>
      </c>
      <c r="I91" s="379">
        <f t="shared" si="21"/>
        <v>21.345492831905769</v>
      </c>
      <c r="J91" s="379">
        <f t="shared" si="21"/>
        <v>21.98585761686294</v>
      </c>
      <c r="K91" s="379">
        <f t="shared" si="21"/>
        <v>22.645433345368826</v>
      </c>
      <c r="L91" s="379">
        <f t="shared" si="21"/>
        <v>23.324796345729894</v>
      </c>
      <c r="M91" s="379">
        <f t="shared" si="21"/>
        <v>24.024540236101789</v>
      </c>
      <c r="N91" s="379">
        <f t="shared" si="21"/>
        <v>24.745276443184846</v>
      </c>
      <c r="O91" s="379">
        <f t="shared" si="21"/>
        <v>25.487634736480395</v>
      </c>
      <c r="P91" s="379">
        <f t="shared" si="21"/>
        <v>26.252263778574804</v>
      </c>
      <c r="Q91" s="379">
        <f t="shared" si="21"/>
        <v>27.039831691932051</v>
      </c>
      <c r="R91" s="379">
        <f t="shared" si="21"/>
        <v>27.851026642690012</v>
      </c>
      <c r="S91" s="379">
        <f t="shared" si="21"/>
        <v>28.686557441970717</v>
      </c>
      <c r="T91" s="379">
        <f t="shared" si="21"/>
        <v>29.547154165229834</v>
      </c>
      <c r="U91" s="379">
        <f t="shared" si="21"/>
        <v>30.433568790186733</v>
      </c>
      <c r="V91" s="379">
        <f t="shared" si="21"/>
        <v>31.34657585389234</v>
      </c>
      <c r="W91" s="379">
        <f t="shared" si="21"/>
        <v>32.2869731295091</v>
      </c>
      <c r="X91" s="379">
        <f t="shared" si="21"/>
        <v>33.255582323394378</v>
      </c>
      <c r="Y91" s="379">
        <f t="shared" si="21"/>
        <v>34.253249793096209</v>
      </c>
      <c r="Z91" s="379">
        <f t="shared" si="21"/>
        <v>35.280847286889099</v>
      </c>
      <c r="AA91" s="379">
        <f t="shared" si="21"/>
        <v>36.339272705495773</v>
      </c>
      <c r="AB91" s="379">
        <f t="shared" si="21"/>
        <v>37.429450886660653</v>
      </c>
      <c r="AC91" s="379">
        <f t="shared" si="21"/>
        <v>38.552334413260461</v>
      </c>
      <c r="AD91" s="379">
        <f t="shared" si="21"/>
        <v>39.708904445658284</v>
      </c>
      <c r="AE91" s="379">
        <f t="shared" si="21"/>
        <v>40.900171579028033</v>
      </c>
      <c r="AF91" s="379">
        <f t="shared" si="21"/>
        <v>42.127176726398865</v>
      </c>
      <c r="AG91" s="379">
        <f t="shared" si="21"/>
        <v>43.390992028190837</v>
      </c>
    </row>
    <row r="92" spans="1:34">
      <c r="A92" s="300" t="s">
        <v>321</v>
      </c>
      <c r="B92" s="300" t="s">
        <v>300</v>
      </c>
      <c r="C92" s="379">
        <f t="shared" ref="C92:AG92" si="22">(C85)/($C$22*$C$21)</f>
        <v>22.894736842105264</v>
      </c>
      <c r="D92" s="379">
        <f t="shared" si="22"/>
        <v>24.078947368421051</v>
      </c>
      <c r="E92" s="379">
        <f t="shared" si="22"/>
        <v>24.801315789473687</v>
      </c>
      <c r="F92" s="379">
        <f t="shared" si="22"/>
        <v>25.545355263157894</v>
      </c>
      <c r="G92" s="379">
        <f t="shared" si="22"/>
        <v>26.311715921052635</v>
      </c>
      <c r="H92" s="379">
        <f t="shared" si="22"/>
        <v>27.101067398684211</v>
      </c>
      <c r="I92" s="379">
        <f t="shared" si="22"/>
        <v>27.914099420644739</v>
      </c>
      <c r="J92" s="379">
        <f t="shared" si="22"/>
        <v>28.751522403264079</v>
      </c>
      <c r="K92" s="379">
        <f t="shared" si="22"/>
        <v>29.614068075362002</v>
      </c>
      <c r="L92" s="379">
        <f t="shared" si="22"/>
        <v>30.502490117622866</v>
      </c>
      <c r="M92" s="379">
        <f t="shared" si="22"/>
        <v>31.417564821151551</v>
      </c>
      <c r="N92" s="379">
        <f t="shared" si="22"/>
        <v>32.360091765786095</v>
      </c>
      <c r="O92" s="379">
        <f t="shared" si="22"/>
        <v>33.330894518759678</v>
      </c>
      <c r="P92" s="379">
        <f t="shared" si="22"/>
        <v>34.330821354322467</v>
      </c>
      <c r="Q92" s="379">
        <f t="shared" si="22"/>
        <v>35.36074599495214</v>
      </c>
      <c r="R92" s="379">
        <f t="shared" si="22"/>
        <v>36.421568374800707</v>
      </c>
      <c r="S92" s="379">
        <f t="shared" si="22"/>
        <v>37.514215426044721</v>
      </c>
      <c r="T92" s="379">
        <f t="shared" si="22"/>
        <v>38.63964188882607</v>
      </c>
      <c r="U92" s="379">
        <f t="shared" si="22"/>
        <v>39.798831145490851</v>
      </c>
      <c r="V92" s="379">
        <f t="shared" si="22"/>
        <v>40.992796079855573</v>
      </c>
      <c r="W92" s="379">
        <f t="shared" si="22"/>
        <v>42.222579962251253</v>
      </c>
      <c r="X92" s="379">
        <f t="shared" si="22"/>
        <v>43.489257361118781</v>
      </c>
      <c r="Y92" s="379">
        <f t="shared" si="22"/>
        <v>44.793935081952341</v>
      </c>
      <c r="Z92" s="379">
        <f t="shared" si="22"/>
        <v>46.137753134410914</v>
      </c>
      <c r="AA92" s="379">
        <f t="shared" si="22"/>
        <v>47.521885728443245</v>
      </c>
      <c r="AB92" s="379">
        <f t="shared" si="22"/>
        <v>48.947542300296533</v>
      </c>
      <c r="AC92" s="379">
        <f t="shared" si="22"/>
        <v>50.415968569305441</v>
      </c>
      <c r="AD92" s="379">
        <f t="shared" si="22"/>
        <v>51.928447626384603</v>
      </c>
      <c r="AE92" s="379">
        <f t="shared" si="22"/>
        <v>53.486301055176142</v>
      </c>
      <c r="AF92" s="379">
        <f t="shared" si="22"/>
        <v>55.090890086831422</v>
      </c>
      <c r="AG92" s="379">
        <f t="shared" si="22"/>
        <v>56.743616789436373</v>
      </c>
    </row>
    <row r="93" spans="1:34">
      <c r="A93" s="300" t="s">
        <v>322</v>
      </c>
      <c r="B93" s="300" t="s">
        <v>300</v>
      </c>
      <c r="C93" s="379">
        <f t="shared" ref="C93:AG93" si="23">(C87+C86+C88+C89)/($C$22*$C$21)</f>
        <v>25.316666666666666</v>
      </c>
      <c r="D93" s="379">
        <f t="shared" si="23"/>
        <v>26.094166666666666</v>
      </c>
      <c r="E93" s="379">
        <f t="shared" si="23"/>
        <v>26.898278333333334</v>
      </c>
      <c r="F93" s="379">
        <f t="shared" si="23"/>
        <v>27.729358816666668</v>
      </c>
      <c r="G93" s="379">
        <f t="shared" si="23"/>
        <v>28.604445539833328</v>
      </c>
      <c r="H93" s="379">
        <f t="shared" si="23"/>
        <v>29.640590061775001</v>
      </c>
      <c r="I93" s="379">
        <f t="shared" si="23"/>
        <v>30.592191960592114</v>
      </c>
      <c r="J93" s="379">
        <f t="shared" si="23"/>
        <v>31.572452738522841</v>
      </c>
      <c r="K93" s="379">
        <f t="shared" si="23"/>
        <v>32.598473349369257</v>
      </c>
      <c r="L93" s="379">
        <f t="shared" si="23"/>
        <v>33.654037990590069</v>
      </c>
      <c r="M93" s="379">
        <f t="shared" si="23"/>
        <v>34.756281414887475</v>
      </c>
      <c r="N93" s="379">
        <f t="shared" si="23"/>
        <v>35.905689600436169</v>
      </c>
      <c r="O93" s="379">
        <f t="shared" si="23"/>
        <v>37.10276711408595</v>
      </c>
      <c r="P93" s="379">
        <f t="shared" si="23"/>
        <v>38.348037835242692</v>
      </c>
      <c r="Q93" s="379">
        <f t="shared" si="23"/>
        <v>39.64204570817288</v>
      </c>
      <c r="R93" s="379">
        <f t="shared" si="23"/>
        <v>40.985355523853571</v>
      </c>
      <c r="S93" s="379">
        <f t="shared" si="23"/>
        <v>42.378553732533575</v>
      </c>
      <c r="T93" s="379">
        <f t="shared" si="23"/>
        <v>43.838915954884889</v>
      </c>
      <c r="U93" s="379">
        <f t="shared" si="23"/>
        <v>45.350407859671009</v>
      </c>
      <c r="V93" s="379">
        <f t="shared" si="23"/>
        <v>46.930352742575707</v>
      </c>
      <c r="W93" s="379">
        <f t="shared" si="23"/>
        <v>48.562765807554179</v>
      </c>
      <c r="X93" s="379">
        <f t="shared" si="23"/>
        <v>50.265021818789101</v>
      </c>
      <c r="Y93" s="379">
        <f t="shared" si="23"/>
        <v>52.037856124723795</v>
      </c>
      <c r="Z93" s="379">
        <f t="shared" si="23"/>
        <v>53.882032389035921</v>
      </c>
      <c r="AA93" s="379">
        <f t="shared" si="23"/>
        <v>55.798343696809539</v>
      </c>
      <c r="AB93" s="379">
        <f t="shared" si="23"/>
        <v>57.804280370892876</v>
      </c>
      <c r="AC93" s="379">
        <f t="shared" si="23"/>
        <v>59.884031166827974</v>
      </c>
      <c r="AD93" s="379">
        <f t="shared" si="23"/>
        <v>62.055151181473185</v>
      </c>
      <c r="AE93" s="379">
        <f t="shared" si="23"/>
        <v>64.318563143844216</v>
      </c>
      <c r="AF93" s="379">
        <f t="shared" si="23"/>
        <v>66.675225423438604</v>
      </c>
      <c r="AG93" s="379">
        <f t="shared" si="23"/>
        <v>69.12613342471991</v>
      </c>
    </row>
    <row r="94" spans="1:34">
      <c r="A94" s="300" t="s">
        <v>310</v>
      </c>
      <c r="B94" s="300" t="s">
        <v>300</v>
      </c>
      <c r="C94" s="379">
        <f t="shared" ref="C94:AG94" si="24">C82/($C$22*$C$21*7)</f>
        <v>5.416666666666667</v>
      </c>
      <c r="D94" s="379">
        <f t="shared" si="24"/>
        <v>5.5791666666666666</v>
      </c>
      <c r="E94" s="379">
        <f t="shared" si="24"/>
        <v>5.7465416666666664</v>
      </c>
      <c r="F94" s="379">
        <f t="shared" si="24"/>
        <v>5.9189379166666676</v>
      </c>
      <c r="G94" s="379">
        <f t="shared" si="24"/>
        <v>6.0965060541666682</v>
      </c>
      <c r="H94" s="379">
        <f t="shared" si="24"/>
        <v>6.7555917119821443</v>
      </c>
      <c r="I94" s="379">
        <f t="shared" si="24"/>
        <v>6.9582594633416095</v>
      </c>
      <c r="J94" s="379">
        <f t="shared" si="24"/>
        <v>7.167007247241858</v>
      </c>
      <c r="K94" s="379">
        <f t="shared" si="24"/>
        <v>7.3820174646591132</v>
      </c>
      <c r="L94" s="379">
        <f t="shared" si="24"/>
        <v>7.603477988598887</v>
      </c>
      <c r="M94" s="379">
        <f t="shared" si="24"/>
        <v>7.8315823282568537</v>
      </c>
      <c r="N94" s="379">
        <f t="shared" si="24"/>
        <v>6.4532238384836482</v>
      </c>
      <c r="O94" s="379">
        <f t="shared" si="24"/>
        <v>6.6468205536381584</v>
      </c>
      <c r="P94" s="379">
        <f t="shared" si="24"/>
        <v>6.8462251702473029</v>
      </c>
      <c r="Q94" s="379">
        <f t="shared" si="24"/>
        <v>7.0516119253547229</v>
      </c>
      <c r="R94" s="379">
        <f t="shared" si="24"/>
        <v>7.2631602831153641</v>
      </c>
      <c r="S94" s="379">
        <f t="shared" si="24"/>
        <v>7.4810550916088268</v>
      </c>
      <c r="T94" s="379">
        <f t="shared" si="24"/>
        <v>7.7054867443570911</v>
      </c>
      <c r="U94" s="379">
        <f t="shared" si="24"/>
        <v>7.9366513466878041</v>
      </c>
      <c r="V94" s="379">
        <f t="shared" si="24"/>
        <v>8.1747508870884396</v>
      </c>
      <c r="W94" s="379">
        <f t="shared" si="24"/>
        <v>8.419993413701091</v>
      </c>
      <c r="X94" s="379">
        <f t="shared" si="24"/>
        <v>6.504444912084093</v>
      </c>
      <c r="Y94" s="379">
        <f t="shared" si="24"/>
        <v>6.699578259446616</v>
      </c>
      <c r="Z94" s="379">
        <f t="shared" si="24"/>
        <v>6.900565607230015</v>
      </c>
      <c r="AA94" s="379">
        <f t="shared" si="24"/>
        <v>7.1075825754469149</v>
      </c>
      <c r="AB94" s="379">
        <f t="shared" si="24"/>
        <v>7.3208100527103221</v>
      </c>
      <c r="AC94" s="379">
        <f t="shared" si="24"/>
        <v>7.5404343542916319</v>
      </c>
      <c r="AD94" s="379">
        <f t="shared" si="24"/>
        <v>7.7666473849203825</v>
      </c>
      <c r="AE94" s="379">
        <f t="shared" si="24"/>
        <v>7.9996468064679931</v>
      </c>
      <c r="AF94" s="379">
        <f t="shared" si="24"/>
        <v>8.2396362106620327</v>
      </c>
      <c r="AG94" s="379">
        <f t="shared" si="24"/>
        <v>8.4868252969818947</v>
      </c>
    </row>
    <row r="95" spans="1:34" s="352" customFormat="1">
      <c r="A95" s="380" t="s">
        <v>323</v>
      </c>
      <c r="B95" s="352" t="s">
        <v>300</v>
      </c>
      <c r="C95" s="381">
        <f>SUM(C91:C93)-C94</f>
        <v>59.411165147960737</v>
      </c>
      <c r="D95" s="381">
        <f t="shared" ref="D95" si="25">SUM(D91:D93)-D94</f>
        <v>61.708868523452196</v>
      </c>
      <c r="E95" s="381">
        <f t="shared" ref="E95" si="26">SUM(E91:E93)-E94</f>
        <v>63.581421245822433</v>
      </c>
      <c r="F95" s="381">
        <f t="shared" ref="F95:AG95" si="27">SUM(F91:F93)-F94</f>
        <v>65.512996016530423</v>
      </c>
      <c r="G95" s="381">
        <f t="shared" si="27"/>
        <v>67.521591855693003</v>
      </c>
      <c r="H95" s="381">
        <f t="shared" si="27"/>
        <v>70.709845196929265</v>
      </c>
      <c r="I95" s="381">
        <f t="shared" si="27"/>
        <v>72.893524749801017</v>
      </c>
      <c r="J95" s="381">
        <f t="shared" si="27"/>
        <v>75.142825511408006</v>
      </c>
      <c r="K95" s="381">
        <f t="shared" si="27"/>
        <v>77.475957305440971</v>
      </c>
      <c r="L95" s="381">
        <f t="shared" si="27"/>
        <v>79.87784646534395</v>
      </c>
      <c r="M95" s="381">
        <f t="shared" si="27"/>
        <v>82.366804143883954</v>
      </c>
      <c r="N95" s="381">
        <f t="shared" si="27"/>
        <v>86.557833970923454</v>
      </c>
      <c r="O95" s="381">
        <f t="shared" si="27"/>
        <v>89.274475815687865</v>
      </c>
      <c r="P95" s="381">
        <f t="shared" si="27"/>
        <v>92.084897797892651</v>
      </c>
      <c r="Q95" s="381">
        <f t="shared" si="27"/>
        <v>94.991011469702343</v>
      </c>
      <c r="R95" s="381">
        <f t="shared" si="27"/>
        <v>97.994790258228917</v>
      </c>
      <c r="S95" s="381">
        <f t="shared" si="27"/>
        <v>101.09827150894019</v>
      </c>
      <c r="T95" s="381">
        <f t="shared" si="27"/>
        <v>104.3202252645837</v>
      </c>
      <c r="U95" s="381">
        <f t="shared" si="27"/>
        <v>107.64615644866079</v>
      </c>
      <c r="V95" s="381">
        <f t="shared" si="27"/>
        <v>111.09497378923518</v>
      </c>
      <c r="W95" s="381">
        <f t="shared" si="27"/>
        <v>114.65232548561343</v>
      </c>
      <c r="X95" s="381">
        <f t="shared" si="27"/>
        <v>120.50541659121816</v>
      </c>
      <c r="Y95" s="381">
        <f t="shared" si="27"/>
        <v>124.38546274032572</v>
      </c>
      <c r="Z95" s="381">
        <f t="shared" si="27"/>
        <v>128.40006720310592</v>
      </c>
      <c r="AA95" s="381">
        <f t="shared" si="27"/>
        <v>132.55191955530162</v>
      </c>
      <c r="AB95" s="381">
        <f t="shared" si="27"/>
        <v>136.86046350513973</v>
      </c>
      <c r="AC95" s="381">
        <f t="shared" si="27"/>
        <v>141.31189979510225</v>
      </c>
      <c r="AD95" s="381">
        <f t="shared" si="27"/>
        <v>145.92585586859568</v>
      </c>
      <c r="AE95" s="381">
        <f t="shared" si="27"/>
        <v>150.70538897158042</v>
      </c>
      <c r="AF95" s="381">
        <f t="shared" si="27"/>
        <v>155.65365602600684</v>
      </c>
      <c r="AG95" s="381">
        <f t="shared" si="27"/>
        <v>160.77391694536524</v>
      </c>
    </row>
    <row r="96" spans="1:34" s="344" customFormat="1">
      <c r="A96" s="342" t="s">
        <v>180</v>
      </c>
      <c r="B96" s="342"/>
      <c r="H96" s="382">
        <f>H98/H63</f>
        <v>1.2258124419684309</v>
      </c>
      <c r="AB96" s="382">
        <f>AB98/AB63</f>
        <v>1.1525015936992329</v>
      </c>
    </row>
    <row r="97" spans="1:34">
      <c r="A97" s="360" t="s">
        <v>41</v>
      </c>
      <c r="B97" s="360"/>
      <c r="C97" s="360">
        <v>2025</v>
      </c>
      <c r="D97" s="360">
        <f>C97+1</f>
        <v>2026</v>
      </c>
      <c r="E97" s="360">
        <f t="shared" ref="E97:AG97" si="28">D97+1</f>
        <v>2027</v>
      </c>
      <c r="F97" s="360">
        <f t="shared" si="28"/>
        <v>2028</v>
      </c>
      <c r="G97" s="360">
        <f t="shared" si="28"/>
        <v>2029</v>
      </c>
      <c r="H97" s="360">
        <f t="shared" si="28"/>
        <v>2030</v>
      </c>
      <c r="I97" s="360">
        <f t="shared" si="28"/>
        <v>2031</v>
      </c>
      <c r="J97" s="360">
        <f t="shared" si="28"/>
        <v>2032</v>
      </c>
      <c r="K97" s="360">
        <f t="shared" si="28"/>
        <v>2033</v>
      </c>
      <c r="L97" s="360">
        <f t="shared" si="28"/>
        <v>2034</v>
      </c>
      <c r="M97" s="360">
        <f t="shared" si="28"/>
        <v>2035</v>
      </c>
      <c r="N97" s="360">
        <f t="shared" si="28"/>
        <v>2036</v>
      </c>
      <c r="O97" s="360">
        <f t="shared" si="28"/>
        <v>2037</v>
      </c>
      <c r="P97" s="360">
        <f t="shared" si="28"/>
        <v>2038</v>
      </c>
      <c r="Q97" s="360">
        <f t="shared" si="28"/>
        <v>2039</v>
      </c>
      <c r="R97" s="360">
        <f t="shared" si="28"/>
        <v>2040</v>
      </c>
      <c r="S97" s="360">
        <f t="shared" si="28"/>
        <v>2041</v>
      </c>
      <c r="T97" s="360">
        <f t="shared" si="28"/>
        <v>2042</v>
      </c>
      <c r="U97" s="360">
        <f t="shared" si="28"/>
        <v>2043</v>
      </c>
      <c r="V97" s="360">
        <f t="shared" si="28"/>
        <v>2044</v>
      </c>
      <c r="W97" s="360">
        <f t="shared" si="28"/>
        <v>2045</v>
      </c>
      <c r="X97" s="360">
        <f t="shared" si="28"/>
        <v>2046</v>
      </c>
      <c r="Y97" s="360">
        <f t="shared" si="28"/>
        <v>2047</v>
      </c>
      <c r="Z97" s="360">
        <f t="shared" si="28"/>
        <v>2048</v>
      </c>
      <c r="AA97" s="360">
        <f t="shared" si="28"/>
        <v>2049</v>
      </c>
      <c r="AB97" s="360">
        <f t="shared" si="28"/>
        <v>2050</v>
      </c>
      <c r="AC97" s="360">
        <f t="shared" si="28"/>
        <v>2051</v>
      </c>
      <c r="AD97" s="360">
        <f t="shared" si="28"/>
        <v>2052</v>
      </c>
      <c r="AE97" s="360">
        <f t="shared" si="28"/>
        <v>2053</v>
      </c>
      <c r="AF97" s="360">
        <f t="shared" si="28"/>
        <v>2054</v>
      </c>
      <c r="AG97" s="360">
        <f t="shared" si="28"/>
        <v>2055</v>
      </c>
    </row>
    <row r="98" spans="1:34">
      <c r="A98" s="368" t="s">
        <v>326</v>
      </c>
      <c r="B98" s="300" t="s">
        <v>309</v>
      </c>
      <c r="C98" s="376">
        <f>ROUND(('Changing with year'!C112)/1000,0)*1000</f>
        <v>5457000</v>
      </c>
      <c r="D98" s="376">
        <f>ROUND(('Changing with year'!D112)/1000,0)*1000</f>
        <v>5597000</v>
      </c>
      <c r="E98" s="376">
        <f>ROUND(('Changing with year'!E112)/1000,0)*1000</f>
        <v>5742000</v>
      </c>
      <c r="F98" s="376">
        <f>ROUND(('Changing with year'!F112)/1000,0)*1000</f>
        <v>5891000</v>
      </c>
      <c r="G98" s="376">
        <f>ROUND(('Changing with year'!G112)/1000,0)*1000</f>
        <v>6044000</v>
      </c>
      <c r="H98" s="376">
        <f>ROUND(('Changing with year'!H112)/1000,0)*1000</f>
        <v>6601000</v>
      </c>
      <c r="I98" s="376">
        <f>ROUND(('Changing with year'!I112)/1000,0)*1000</f>
        <v>6775000</v>
      </c>
      <c r="J98" s="376">
        <f>ROUND(('Changing with year'!J112)/1000,0)*1000</f>
        <v>6953000</v>
      </c>
      <c r="K98" s="376">
        <f>ROUND(('Changing with year'!K112)/1000,0)*1000</f>
        <v>7137000</v>
      </c>
      <c r="L98" s="376">
        <f>ROUND(('Changing with year'!L112)/1000,0)*1000</f>
        <v>7326000</v>
      </c>
      <c r="M98" s="376">
        <f>ROUND(('Changing with year'!M112)/1000,0)*1000</f>
        <v>7521000</v>
      </c>
      <c r="N98" s="376">
        <f>ROUND(('Changing with year'!N112)/1000,0)*1000</f>
        <v>7721000</v>
      </c>
      <c r="O98" s="376">
        <f>ROUND(('Changing with year'!O112)/1000,0)*1000</f>
        <v>7926000</v>
      </c>
      <c r="P98" s="376">
        <f>ROUND(('Changing with year'!P112)/1000,0)*1000</f>
        <v>8138000</v>
      </c>
      <c r="Q98" s="376">
        <f>ROUND(('Changing with year'!Q112)/1000,0)*1000</f>
        <v>8356000</v>
      </c>
      <c r="R98" s="376">
        <f>ROUND(('Changing with year'!R112)/1000,0)*1000</f>
        <v>8580000</v>
      </c>
      <c r="S98" s="376">
        <f>ROUND(('Changing with year'!S112)/1000,0)*1000</f>
        <v>8811000</v>
      </c>
      <c r="T98" s="376">
        <f>ROUND(('Changing with year'!T112)/1000,0)*1000</f>
        <v>9048000</v>
      </c>
      <c r="U98" s="376">
        <f>ROUND(('Changing with year'!U112)/1000,0)*1000</f>
        <v>9292000</v>
      </c>
      <c r="V98" s="376">
        <f>ROUND(('Changing with year'!V112)/1000,0)*1000</f>
        <v>9543000</v>
      </c>
      <c r="W98" s="376">
        <f>ROUND(('Changing with year'!W112)/1000,0)*1000</f>
        <v>9801000</v>
      </c>
      <c r="X98" s="376">
        <f>ROUND(('Changing with year'!X112)/1000,0)*1000</f>
        <v>10067000</v>
      </c>
      <c r="Y98" s="376">
        <f>ROUND(('Changing with year'!Y112)/1000,0)*1000</f>
        <v>10340000</v>
      </c>
      <c r="Z98" s="376">
        <f>ROUND(('Changing with year'!Z112)/1000,0)*1000</f>
        <v>10622000</v>
      </c>
      <c r="AA98" s="376">
        <f>ROUND(('Changing with year'!AA112)/1000,0)*1000</f>
        <v>10911000</v>
      </c>
      <c r="AB98" s="376">
        <f>ROUND(('Changing with year'!AB112)/1000,0)*1000</f>
        <v>11209000</v>
      </c>
      <c r="AC98" s="376">
        <f>ROUND(('Changing with year'!AC112)/1000,0)*1000</f>
        <v>11516000</v>
      </c>
      <c r="AD98" s="376">
        <f>ROUND(('Changing with year'!AD112)/1000,0)*1000</f>
        <v>11831000</v>
      </c>
      <c r="AE98" s="376">
        <f>ROUND(('Changing with year'!AE112)/1000,0)*1000</f>
        <v>12156000</v>
      </c>
      <c r="AF98" s="376">
        <f>ROUND(('Changing with year'!AF112)/1000,0)*1000</f>
        <v>12490000</v>
      </c>
      <c r="AG98" s="376">
        <f>ROUND(('Changing with year'!AG112)/1000,0)*1000</f>
        <v>12834000</v>
      </c>
    </row>
    <row r="99" spans="1:34">
      <c r="A99" s="368" t="s">
        <v>310</v>
      </c>
      <c r="B99" s="300" t="s">
        <v>309</v>
      </c>
      <c r="C99" s="376">
        <f>(C98*'No change with year'!$AE$18)</f>
        <v>2728500</v>
      </c>
      <c r="D99" s="376">
        <f>(D98*'No change with year'!$AE$18)</f>
        <v>2798500</v>
      </c>
      <c r="E99" s="376">
        <f>(E98*'No change with year'!$AE$18)</f>
        <v>2871000</v>
      </c>
      <c r="F99" s="376">
        <f>(F98*'No change with year'!$AE$18)</f>
        <v>2945500</v>
      </c>
      <c r="G99" s="376">
        <f>(G98*'No change with year'!$AE$18)</f>
        <v>3022000</v>
      </c>
      <c r="H99" s="376">
        <f>(H98*'No change with year'!$AE$18)</f>
        <v>3300500</v>
      </c>
      <c r="I99" s="376">
        <f>(I98*'No change with year'!$AE$18)</f>
        <v>3387500</v>
      </c>
      <c r="J99" s="376">
        <f>(J98*'No change with year'!$AE$18)</f>
        <v>3476500</v>
      </c>
      <c r="K99" s="376">
        <f>(K98*'No change with year'!$AE$18)</f>
        <v>3568500</v>
      </c>
      <c r="L99" s="376">
        <f>(L98*'No change with year'!$AE$18)</f>
        <v>3663000</v>
      </c>
      <c r="M99" s="376">
        <f>(M98*'No change with year'!$AE$18)</f>
        <v>3760500</v>
      </c>
      <c r="N99" s="376">
        <f>(N98*'No change with year'!$AF$18)</f>
        <v>3088400.0000000005</v>
      </c>
      <c r="O99" s="376">
        <f>(O98*'No change with year'!$AF$18)</f>
        <v>3170400.0000000005</v>
      </c>
      <c r="P99" s="376">
        <f>(P98*'No change with year'!$AF$18)</f>
        <v>3255200.0000000005</v>
      </c>
      <c r="Q99" s="376">
        <f>(Q98*'No change with year'!$AF$18)</f>
        <v>3342400.0000000005</v>
      </c>
      <c r="R99" s="376">
        <f>(R98*'No change with year'!$AF$18)</f>
        <v>3432000.0000000005</v>
      </c>
      <c r="S99" s="376">
        <f>(S98*'No change with year'!$AF$18)</f>
        <v>3524400.0000000005</v>
      </c>
      <c r="T99" s="376">
        <f>(T98*'No change with year'!$AF$18)</f>
        <v>3619200.0000000009</v>
      </c>
      <c r="U99" s="376">
        <f>(U98*'No change with year'!$AF$18)</f>
        <v>3716800.0000000009</v>
      </c>
      <c r="V99" s="376">
        <f>(V98*'No change with year'!$AF$18)</f>
        <v>3817200.0000000009</v>
      </c>
      <c r="W99" s="376">
        <f>(W98*'No change with year'!$AF$18)</f>
        <v>3920400.0000000009</v>
      </c>
      <c r="X99" s="376">
        <f>(X98*'No change with year'!$AG$18)</f>
        <v>3020100.0000000005</v>
      </c>
      <c r="Y99" s="376">
        <f>(Y98*'No change with year'!$AG$18)</f>
        <v>3102000.0000000005</v>
      </c>
      <c r="Z99" s="376">
        <f>(Z98*'No change with year'!$AG$18)</f>
        <v>3186600.0000000005</v>
      </c>
      <c r="AA99" s="376">
        <f>(AA98*'No change with year'!$AG$18)</f>
        <v>3273300.0000000005</v>
      </c>
      <c r="AB99" s="376">
        <f>(AB98*'No change with year'!$AG$18)</f>
        <v>3362700.0000000005</v>
      </c>
      <c r="AC99" s="376">
        <f>(AC98*'No change with year'!$AG$18)</f>
        <v>3454800.0000000005</v>
      </c>
      <c r="AD99" s="376">
        <f>(AD98*'No change with year'!$AG$18)</f>
        <v>3549300.0000000005</v>
      </c>
      <c r="AE99" s="376">
        <f>(AE98*'No change with year'!$AG$18)</f>
        <v>3646800.0000000005</v>
      </c>
      <c r="AF99" s="376">
        <f>(AF98*'No change with year'!$AG$18)</f>
        <v>3747000.0000000005</v>
      </c>
      <c r="AG99" s="376">
        <f>(AG98*'No change with year'!$AG$18)</f>
        <v>3850200.0000000005</v>
      </c>
    </row>
    <row r="100" spans="1:34" s="371" customFormat="1" ht="11.85" customHeight="1">
      <c r="A100" s="377" t="s">
        <v>311</v>
      </c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</row>
    <row r="101" spans="1:34">
      <c r="A101" s="368" t="s">
        <v>312</v>
      </c>
      <c r="B101" s="368" t="s">
        <v>313</v>
      </c>
      <c r="C101" s="376">
        <f t="shared" ref="C101:AG101" si="29">-PMT($C$26,$C$25,C98)</f>
        <v>1195725.48481389</v>
      </c>
      <c r="D101" s="376">
        <f t="shared" si="29"/>
        <v>1226401.9678400846</v>
      </c>
      <c r="E101" s="376">
        <f t="shared" si="29"/>
        <v>1258174.0395457863</v>
      </c>
      <c r="F101" s="376">
        <f t="shared" si="29"/>
        <v>1290822.5821950936</v>
      </c>
      <c r="G101" s="376">
        <f t="shared" si="29"/>
        <v>1324347.5957880064</v>
      </c>
      <c r="H101" s="376">
        <f t="shared" si="29"/>
        <v>1446396.1746850812</v>
      </c>
      <c r="I101" s="376">
        <f t="shared" si="29"/>
        <v>1484522.6607319231</v>
      </c>
      <c r="J101" s="376">
        <f t="shared" si="29"/>
        <v>1523525.6177223707</v>
      </c>
      <c r="K101" s="376">
        <f t="shared" si="29"/>
        <v>1563843.2811282268</v>
      </c>
      <c r="L101" s="376">
        <f t="shared" si="29"/>
        <v>1605256.5332135893</v>
      </c>
      <c r="M101" s="376">
        <f t="shared" si="29"/>
        <v>1647984.4917143607</v>
      </c>
      <c r="N101" s="376">
        <f t="shared" si="29"/>
        <v>1691808.0388946389</v>
      </c>
      <c r="O101" s="376">
        <f t="shared" si="29"/>
        <v>1736727.174754424</v>
      </c>
      <c r="P101" s="376">
        <f t="shared" si="29"/>
        <v>1783180.1347655188</v>
      </c>
      <c r="Q101" s="376">
        <f t="shared" si="29"/>
        <v>1830947.8011920222</v>
      </c>
      <c r="R101" s="376">
        <f t="shared" si="29"/>
        <v>1880030.1740339338</v>
      </c>
      <c r="S101" s="376">
        <f t="shared" si="29"/>
        <v>1930646.3710271551</v>
      </c>
      <c r="T101" s="376">
        <f t="shared" si="29"/>
        <v>1982577.2744357847</v>
      </c>
      <c r="U101" s="376">
        <f t="shared" si="29"/>
        <v>2036042.0019957242</v>
      </c>
      <c r="V101" s="376">
        <f t="shared" si="29"/>
        <v>2091040.5537069729</v>
      </c>
      <c r="W101" s="376">
        <f t="shared" si="29"/>
        <v>2147572.9295695322</v>
      </c>
      <c r="X101" s="376">
        <f t="shared" si="29"/>
        <v>2205858.2473193016</v>
      </c>
      <c r="Y101" s="376">
        <f t="shared" si="29"/>
        <v>2265677.3892203816</v>
      </c>
      <c r="Z101" s="376">
        <f t="shared" si="29"/>
        <v>2327468.5907445736</v>
      </c>
      <c r="AA101" s="376">
        <f t="shared" si="29"/>
        <v>2390793.6164200758</v>
      </c>
      <c r="AB101" s="376">
        <f t="shared" si="29"/>
        <v>2456090.7017186903</v>
      </c>
      <c r="AC101" s="376">
        <f t="shared" si="29"/>
        <v>2523359.8466404174</v>
      </c>
      <c r="AD101" s="376">
        <f t="shared" si="29"/>
        <v>2592381.9334493554</v>
      </c>
      <c r="AE101" s="376">
        <f t="shared" si="29"/>
        <v>2663595.1976173073</v>
      </c>
      <c r="AF101" s="376">
        <f t="shared" si="29"/>
        <v>2736780.5214083716</v>
      </c>
      <c r="AG101" s="376">
        <f t="shared" si="29"/>
        <v>2812157.0225584502</v>
      </c>
    </row>
    <row r="102" spans="1:34">
      <c r="A102" s="300" t="s">
        <v>321</v>
      </c>
      <c r="B102" s="300" t="s">
        <v>309</v>
      </c>
      <c r="C102" s="376">
        <f t="shared" ref="C102:AG102" si="30">$E$38*C44</f>
        <v>1345945.9459459458</v>
      </c>
      <c r="D102" s="376">
        <f t="shared" si="30"/>
        <v>1394594.5945945946</v>
      </c>
      <c r="E102" s="376">
        <f t="shared" si="30"/>
        <v>1436432.4324324322</v>
      </c>
      <c r="F102" s="376">
        <f t="shared" si="30"/>
        <v>1479525.4054054052</v>
      </c>
      <c r="G102" s="376">
        <f t="shared" si="30"/>
        <v>1523911.1675675674</v>
      </c>
      <c r="H102" s="376">
        <f t="shared" si="30"/>
        <v>1569628.5025945944</v>
      </c>
      <c r="I102" s="376">
        <f t="shared" si="30"/>
        <v>1616717.3576724324</v>
      </c>
      <c r="J102" s="376">
        <f t="shared" si="30"/>
        <v>1665218.8784026054</v>
      </c>
      <c r="K102" s="376">
        <f t="shared" si="30"/>
        <v>1715175.4447546836</v>
      </c>
      <c r="L102" s="376">
        <f t="shared" si="30"/>
        <v>1766630.7080973242</v>
      </c>
      <c r="M102" s="376">
        <f t="shared" si="30"/>
        <v>1819629.629340244</v>
      </c>
      <c r="N102" s="376">
        <f t="shared" si="30"/>
        <v>1874218.5182204512</v>
      </c>
      <c r="O102" s="376">
        <f t="shared" si="30"/>
        <v>1930445.0737670648</v>
      </c>
      <c r="P102" s="376">
        <f t="shared" si="30"/>
        <v>1988358.4259800769</v>
      </c>
      <c r="Q102" s="376">
        <f t="shared" si="30"/>
        <v>2048009.1787594792</v>
      </c>
      <c r="R102" s="376">
        <f t="shared" si="30"/>
        <v>2109449.4541222639</v>
      </c>
      <c r="S102" s="376">
        <f t="shared" si="30"/>
        <v>2172732.9377459316</v>
      </c>
      <c r="T102" s="376">
        <f t="shared" si="30"/>
        <v>2237914.9258783096</v>
      </c>
      <c r="U102" s="376">
        <f t="shared" si="30"/>
        <v>2305052.3736546589</v>
      </c>
      <c r="V102" s="376">
        <f t="shared" si="30"/>
        <v>2374203.9448642987</v>
      </c>
      <c r="W102" s="376">
        <f t="shared" si="30"/>
        <v>2445430.0632102275</v>
      </c>
      <c r="X102" s="376">
        <f t="shared" si="30"/>
        <v>2518792.9651065348</v>
      </c>
      <c r="Y102" s="376">
        <f t="shared" si="30"/>
        <v>2594356.754059731</v>
      </c>
      <c r="Z102" s="376">
        <f t="shared" si="30"/>
        <v>2672187.456681523</v>
      </c>
      <c r="AA102" s="376">
        <f t="shared" si="30"/>
        <v>2752353.0803819685</v>
      </c>
      <c r="AB102" s="376">
        <f t="shared" si="30"/>
        <v>2834923.6727934279</v>
      </c>
      <c r="AC102" s="376">
        <f t="shared" si="30"/>
        <v>2919971.3829772305</v>
      </c>
      <c r="AD102" s="376">
        <f t="shared" si="30"/>
        <v>3007570.5244665476</v>
      </c>
      <c r="AE102" s="376">
        <f t="shared" si="30"/>
        <v>3097797.6402005441</v>
      </c>
      <c r="AF102" s="376">
        <f t="shared" si="30"/>
        <v>3190731.5694065602</v>
      </c>
      <c r="AG102" s="376">
        <f t="shared" si="30"/>
        <v>3286453.516488757</v>
      </c>
    </row>
    <row r="103" spans="1:34">
      <c r="A103" s="300" t="s">
        <v>317</v>
      </c>
      <c r="B103" s="300" t="s">
        <v>309</v>
      </c>
      <c r="C103" s="376">
        <f t="shared" ref="C103:AG103" si="31">C57*$C$21*$C$22</f>
        <v>288000</v>
      </c>
      <c r="D103" s="376">
        <f t="shared" si="31"/>
        <v>299520</v>
      </c>
      <c r="E103" s="376">
        <f t="shared" si="31"/>
        <v>311500.80000000005</v>
      </c>
      <c r="F103" s="376">
        <f t="shared" si="31"/>
        <v>323960.83199999999</v>
      </c>
      <c r="G103" s="376">
        <f t="shared" si="31"/>
        <v>336919.26528000005</v>
      </c>
      <c r="H103" s="376">
        <f t="shared" si="31"/>
        <v>350396.03589120007</v>
      </c>
      <c r="I103" s="376">
        <f t="shared" si="31"/>
        <v>364411.8773268481</v>
      </c>
      <c r="J103" s="376">
        <f t="shared" si="31"/>
        <v>378988.35241992201</v>
      </c>
      <c r="K103" s="376">
        <f t="shared" si="31"/>
        <v>394147.88651671889</v>
      </c>
      <c r="L103" s="376">
        <f t="shared" si="31"/>
        <v>409913.80197738763</v>
      </c>
      <c r="M103" s="376">
        <f t="shared" si="31"/>
        <v>426310.35405648319</v>
      </c>
      <c r="N103" s="376">
        <f t="shared" si="31"/>
        <v>443362.76821874257</v>
      </c>
      <c r="O103" s="376">
        <f t="shared" si="31"/>
        <v>461097.27894749219</v>
      </c>
      <c r="P103" s="376">
        <f t="shared" si="31"/>
        <v>479541.17010539194</v>
      </c>
      <c r="Q103" s="376">
        <f t="shared" si="31"/>
        <v>498722.81690960762</v>
      </c>
      <c r="R103" s="376">
        <f t="shared" si="31"/>
        <v>518671.72958599194</v>
      </c>
      <c r="S103" s="376">
        <f t="shared" si="31"/>
        <v>539418.59876943158</v>
      </c>
      <c r="T103" s="376">
        <f t="shared" si="31"/>
        <v>560995.34272020892</v>
      </c>
      <c r="U103" s="376">
        <f t="shared" si="31"/>
        <v>583435.1564290172</v>
      </c>
      <c r="V103" s="376">
        <f t="shared" si="31"/>
        <v>606772.5626861779</v>
      </c>
      <c r="W103" s="376">
        <f t="shared" si="31"/>
        <v>631043.46519362507</v>
      </c>
      <c r="X103" s="376">
        <f t="shared" si="31"/>
        <v>656285.20380137011</v>
      </c>
      <c r="Y103" s="376">
        <f t="shared" si="31"/>
        <v>682536.61195342499</v>
      </c>
      <c r="Z103" s="376">
        <f t="shared" si="31"/>
        <v>709838.07643156196</v>
      </c>
      <c r="AA103" s="376">
        <f t="shared" si="31"/>
        <v>738231.59948882437</v>
      </c>
      <c r="AB103" s="376">
        <f t="shared" si="31"/>
        <v>767760.8634683775</v>
      </c>
      <c r="AC103" s="376">
        <f t="shared" si="31"/>
        <v>798471.29800711269</v>
      </c>
      <c r="AD103" s="376">
        <f t="shared" si="31"/>
        <v>830410.14992739726</v>
      </c>
      <c r="AE103" s="376">
        <f t="shared" si="31"/>
        <v>863626.55592449324</v>
      </c>
      <c r="AF103" s="376">
        <f t="shared" si="31"/>
        <v>898171.61816147296</v>
      </c>
      <c r="AG103" s="376">
        <f t="shared" si="31"/>
        <v>934098.48288793198</v>
      </c>
    </row>
    <row r="104" spans="1:34">
      <c r="A104" s="368" t="s">
        <v>318</v>
      </c>
      <c r="B104" s="368" t="s">
        <v>313</v>
      </c>
      <c r="C104" s="376">
        <f>'Changing with year'!C294</f>
        <v>600000</v>
      </c>
      <c r="D104" s="376">
        <f>'Changing with year'!D294</f>
        <v>627000</v>
      </c>
      <c r="E104" s="376">
        <f>'Changing with year'!E294</f>
        <v>655000</v>
      </c>
      <c r="F104" s="376">
        <f>'Changing with year'!F294</f>
        <v>684000</v>
      </c>
      <c r="G104" s="376">
        <f>'Changing with year'!G294</f>
        <v>715000</v>
      </c>
      <c r="H104" s="376">
        <f>'Changing with year'!H294</f>
        <v>747000</v>
      </c>
      <c r="I104" s="376">
        <f>'Changing with year'!I294</f>
        <v>781000</v>
      </c>
      <c r="J104" s="376">
        <f>'Changing with year'!J294</f>
        <v>816000</v>
      </c>
      <c r="K104" s="376">
        <f>'Changing with year'!K294</f>
        <v>853000</v>
      </c>
      <c r="L104" s="376">
        <f>'Changing with year'!L294</f>
        <v>891000</v>
      </c>
      <c r="M104" s="376">
        <f>'Changing with year'!M294</f>
        <v>931000</v>
      </c>
      <c r="N104" s="376">
        <f>'Changing with year'!N294</f>
        <v>973000</v>
      </c>
      <c r="O104" s="376">
        <f>'Changing with year'!O294</f>
        <v>1017000</v>
      </c>
      <c r="P104" s="376">
        <f>'Changing with year'!P294</f>
        <v>1063000</v>
      </c>
      <c r="Q104" s="376">
        <f>'Changing with year'!Q294</f>
        <v>1111000</v>
      </c>
      <c r="R104" s="376">
        <f>'Changing with year'!R294</f>
        <v>1161000</v>
      </c>
      <c r="S104" s="376">
        <f>'Changing with year'!S294</f>
        <v>1213000</v>
      </c>
      <c r="T104" s="376">
        <f>'Changing with year'!T294</f>
        <v>1268000</v>
      </c>
      <c r="U104" s="376">
        <f>'Changing with year'!U294</f>
        <v>1325000</v>
      </c>
      <c r="V104" s="376">
        <f>'Changing with year'!V294</f>
        <v>1385000</v>
      </c>
      <c r="W104" s="376">
        <f>'Changing with year'!W294</f>
        <v>1447000</v>
      </c>
      <c r="X104" s="376">
        <f>'Changing with year'!X294</f>
        <v>1512000</v>
      </c>
      <c r="Y104" s="376">
        <f>'Changing with year'!Y294</f>
        <v>1580000</v>
      </c>
      <c r="Z104" s="376">
        <f>'Changing with year'!Z294</f>
        <v>1651000</v>
      </c>
      <c r="AA104" s="376">
        <f>'Changing with year'!AA294</f>
        <v>1725000</v>
      </c>
      <c r="AB104" s="376">
        <f>'Changing with year'!AB294</f>
        <v>1803000</v>
      </c>
      <c r="AC104" s="376">
        <f>'Changing with year'!AC294</f>
        <v>1884000</v>
      </c>
      <c r="AD104" s="376">
        <f>'Changing with year'!AD294</f>
        <v>1969000</v>
      </c>
      <c r="AE104" s="376">
        <f>'Changing with year'!AE294</f>
        <v>2058000</v>
      </c>
      <c r="AF104" s="376">
        <f>'Changing with year'!AF294</f>
        <v>2151000</v>
      </c>
      <c r="AG104" s="376">
        <f>'Changing with year'!AG294</f>
        <v>2248000</v>
      </c>
      <c r="AH104" s="339"/>
    </row>
    <row r="105" spans="1:34">
      <c r="A105" s="300" t="s">
        <v>272</v>
      </c>
      <c r="B105" s="368" t="s">
        <v>313</v>
      </c>
      <c r="C105" s="376">
        <f t="shared" ref="C105:AG105" si="32">C60</f>
        <v>540000</v>
      </c>
      <c r="D105" s="376">
        <f t="shared" si="32"/>
        <v>545400</v>
      </c>
      <c r="E105" s="376">
        <f t="shared" si="32"/>
        <v>550854</v>
      </c>
      <c r="F105" s="376">
        <f t="shared" si="32"/>
        <v>556362.53999999992</v>
      </c>
      <c r="G105" s="376">
        <f t="shared" si="32"/>
        <v>561926.16539999994</v>
      </c>
      <c r="H105" s="376">
        <f t="shared" si="32"/>
        <v>567545.42705399997</v>
      </c>
      <c r="I105" s="376">
        <f t="shared" si="32"/>
        <v>573220.88132453989</v>
      </c>
      <c r="J105" s="376">
        <f t="shared" si="32"/>
        <v>578953.09013778542</v>
      </c>
      <c r="K105" s="376">
        <f t="shared" si="32"/>
        <v>584742.62103916332</v>
      </c>
      <c r="L105" s="376">
        <f t="shared" si="32"/>
        <v>590590.04724955501</v>
      </c>
      <c r="M105" s="376">
        <f t="shared" si="32"/>
        <v>596495.94772205048</v>
      </c>
      <c r="N105" s="376">
        <f t="shared" si="32"/>
        <v>602460.90719927102</v>
      </c>
      <c r="O105" s="376">
        <f t="shared" si="32"/>
        <v>608485.51627126383</v>
      </c>
      <c r="P105" s="376">
        <f t="shared" si="32"/>
        <v>614570.37143397657</v>
      </c>
      <c r="Q105" s="376">
        <f t="shared" si="32"/>
        <v>620716.07514831633</v>
      </c>
      <c r="R105" s="376">
        <f t="shared" si="32"/>
        <v>626923.2358997995</v>
      </c>
      <c r="S105" s="376">
        <f t="shared" si="32"/>
        <v>633192.46825879754</v>
      </c>
      <c r="T105" s="376">
        <f t="shared" si="32"/>
        <v>639524.39294138551</v>
      </c>
      <c r="U105" s="376">
        <f t="shared" si="32"/>
        <v>645919.63687079935</v>
      </c>
      <c r="V105" s="376">
        <f t="shared" si="32"/>
        <v>652378.83323950728</v>
      </c>
      <c r="W105" s="376">
        <f t="shared" si="32"/>
        <v>658902.62157190242</v>
      </c>
      <c r="X105" s="376">
        <f t="shared" si="32"/>
        <v>665491.64778762148</v>
      </c>
      <c r="Y105" s="376">
        <f t="shared" si="32"/>
        <v>672146.56426549761</v>
      </c>
      <c r="Z105" s="376">
        <f t="shared" si="32"/>
        <v>678868.02990815276</v>
      </c>
      <c r="AA105" s="376">
        <f t="shared" si="32"/>
        <v>685656.71020723425</v>
      </c>
      <c r="AB105" s="376">
        <f t="shared" si="32"/>
        <v>692513.27730930655</v>
      </c>
      <c r="AC105" s="376">
        <f t="shared" si="32"/>
        <v>699438.41008239973</v>
      </c>
      <c r="AD105" s="376">
        <f t="shared" si="32"/>
        <v>706432.79418322374</v>
      </c>
      <c r="AE105" s="376">
        <f t="shared" si="32"/>
        <v>713497.12212505599</v>
      </c>
      <c r="AF105" s="376">
        <f t="shared" si="32"/>
        <v>720632.09334630647</v>
      </c>
      <c r="AG105" s="376">
        <f t="shared" si="32"/>
        <v>727838.41427976964</v>
      </c>
    </row>
    <row r="106" spans="1:34">
      <c r="A106" s="300" t="s">
        <v>319</v>
      </c>
      <c r="B106" s="300" t="s">
        <v>309</v>
      </c>
      <c r="C106" s="376">
        <f t="shared" ref="C106:AG106" si="33">C98*$C$29</f>
        <v>109140</v>
      </c>
      <c r="D106" s="376">
        <f t="shared" si="33"/>
        <v>111940</v>
      </c>
      <c r="E106" s="376">
        <f t="shared" si="33"/>
        <v>114840</v>
      </c>
      <c r="F106" s="376">
        <f t="shared" si="33"/>
        <v>117820</v>
      </c>
      <c r="G106" s="376">
        <f t="shared" si="33"/>
        <v>120880</v>
      </c>
      <c r="H106" s="376">
        <f t="shared" si="33"/>
        <v>132020</v>
      </c>
      <c r="I106" s="376">
        <f t="shared" si="33"/>
        <v>135500</v>
      </c>
      <c r="J106" s="376">
        <f t="shared" si="33"/>
        <v>139060</v>
      </c>
      <c r="K106" s="376">
        <f t="shared" si="33"/>
        <v>142740</v>
      </c>
      <c r="L106" s="376">
        <f t="shared" si="33"/>
        <v>146520</v>
      </c>
      <c r="M106" s="376">
        <f t="shared" si="33"/>
        <v>150420</v>
      </c>
      <c r="N106" s="376">
        <f t="shared" si="33"/>
        <v>154420</v>
      </c>
      <c r="O106" s="376">
        <f t="shared" si="33"/>
        <v>158520</v>
      </c>
      <c r="P106" s="376">
        <f t="shared" si="33"/>
        <v>162760</v>
      </c>
      <c r="Q106" s="376">
        <f t="shared" si="33"/>
        <v>167120</v>
      </c>
      <c r="R106" s="376">
        <f t="shared" si="33"/>
        <v>171600</v>
      </c>
      <c r="S106" s="376">
        <f t="shared" si="33"/>
        <v>176220</v>
      </c>
      <c r="T106" s="376">
        <f t="shared" si="33"/>
        <v>180960</v>
      </c>
      <c r="U106" s="376">
        <f t="shared" si="33"/>
        <v>185840</v>
      </c>
      <c r="V106" s="376">
        <f t="shared" si="33"/>
        <v>190860</v>
      </c>
      <c r="W106" s="376">
        <f t="shared" si="33"/>
        <v>196020</v>
      </c>
      <c r="X106" s="376">
        <f t="shared" si="33"/>
        <v>201340</v>
      </c>
      <c r="Y106" s="376">
        <f t="shared" si="33"/>
        <v>206800</v>
      </c>
      <c r="Z106" s="376">
        <f t="shared" si="33"/>
        <v>212440</v>
      </c>
      <c r="AA106" s="376">
        <f t="shared" si="33"/>
        <v>218220</v>
      </c>
      <c r="AB106" s="376">
        <f t="shared" si="33"/>
        <v>224180</v>
      </c>
      <c r="AC106" s="376">
        <f t="shared" si="33"/>
        <v>230320</v>
      </c>
      <c r="AD106" s="376">
        <f t="shared" si="33"/>
        <v>236620</v>
      </c>
      <c r="AE106" s="376">
        <f t="shared" si="33"/>
        <v>243120</v>
      </c>
      <c r="AF106" s="376">
        <f t="shared" si="33"/>
        <v>249800</v>
      </c>
      <c r="AG106" s="376">
        <f t="shared" si="33"/>
        <v>256680</v>
      </c>
    </row>
    <row r="107" spans="1:34" s="371" customFormat="1" ht="11.85" customHeight="1">
      <c r="A107" s="377" t="s">
        <v>320</v>
      </c>
    </row>
    <row r="108" spans="1:34">
      <c r="A108" s="300" t="s">
        <v>325</v>
      </c>
      <c r="B108" s="300" t="s">
        <v>300</v>
      </c>
      <c r="C108" s="379">
        <f t="shared" ref="C108:AG109" si="34">C101/($C$22*$C$21)</f>
        <v>19.9287580802315</v>
      </c>
      <c r="D108" s="379">
        <f t="shared" si="34"/>
        <v>20.440032797334744</v>
      </c>
      <c r="E108" s="379">
        <f t="shared" si="34"/>
        <v>20.969567325763105</v>
      </c>
      <c r="F108" s="379">
        <f t="shared" si="34"/>
        <v>21.513709703251561</v>
      </c>
      <c r="G108" s="379">
        <f t="shared" si="34"/>
        <v>22.072459929800107</v>
      </c>
      <c r="H108" s="379">
        <f t="shared" si="34"/>
        <v>24.106602911418019</v>
      </c>
      <c r="I108" s="379">
        <f t="shared" si="34"/>
        <v>24.742044345532051</v>
      </c>
      <c r="J108" s="379">
        <f t="shared" si="34"/>
        <v>25.392093628706178</v>
      </c>
      <c r="K108" s="379">
        <f t="shared" si="34"/>
        <v>26.064054685470445</v>
      </c>
      <c r="L108" s="379">
        <f t="shared" si="34"/>
        <v>26.754275553559822</v>
      </c>
      <c r="M108" s="379">
        <f t="shared" si="34"/>
        <v>27.466408195239346</v>
      </c>
      <c r="N108" s="379">
        <f t="shared" si="34"/>
        <v>28.196800648243983</v>
      </c>
      <c r="O108" s="379">
        <f t="shared" si="34"/>
        <v>28.945452912573735</v>
      </c>
      <c r="P108" s="379">
        <f t="shared" si="34"/>
        <v>29.719668912758646</v>
      </c>
      <c r="Q108" s="379">
        <f t="shared" si="34"/>
        <v>30.515796686533701</v>
      </c>
      <c r="R108" s="379">
        <f t="shared" si="34"/>
        <v>31.333836233898896</v>
      </c>
      <c r="S108" s="379">
        <f t="shared" si="34"/>
        <v>32.177439517119254</v>
      </c>
      <c r="T108" s="379">
        <f t="shared" si="34"/>
        <v>33.042954573929741</v>
      </c>
      <c r="U108" s="379">
        <f t="shared" si="34"/>
        <v>33.934033366595401</v>
      </c>
      <c r="V108" s="379">
        <f t="shared" si="34"/>
        <v>34.850675895116211</v>
      </c>
      <c r="W108" s="379">
        <f t="shared" si="34"/>
        <v>35.792882159492201</v>
      </c>
      <c r="X108" s="379">
        <f t="shared" si="34"/>
        <v>36.76430412198836</v>
      </c>
      <c r="Y108" s="379">
        <f t="shared" si="34"/>
        <v>37.761289820339691</v>
      </c>
      <c r="Z108" s="379">
        <f t="shared" si="34"/>
        <v>38.791143179076229</v>
      </c>
      <c r="AA108" s="379">
        <f t="shared" si="34"/>
        <v>39.846560273667926</v>
      </c>
      <c r="AB108" s="379">
        <f t="shared" si="34"/>
        <v>40.934845028644837</v>
      </c>
      <c r="AC108" s="379">
        <f t="shared" si="34"/>
        <v>42.055997444006955</v>
      </c>
      <c r="AD108" s="379">
        <f t="shared" si="34"/>
        <v>43.206365557489256</v>
      </c>
      <c r="AE108" s="379">
        <f t="shared" si="34"/>
        <v>44.39325329362179</v>
      </c>
      <c r="AF108" s="379">
        <f t="shared" si="34"/>
        <v>45.61300869013953</v>
      </c>
      <c r="AG108" s="379">
        <f t="shared" si="34"/>
        <v>46.869283709307503</v>
      </c>
    </row>
    <row r="109" spans="1:34">
      <c r="A109" s="300" t="s">
        <v>321</v>
      </c>
      <c r="B109" s="300" t="s">
        <v>300</v>
      </c>
      <c r="C109" s="379">
        <f t="shared" si="34"/>
        <v>22.432432432432432</v>
      </c>
      <c r="D109" s="379">
        <f t="shared" si="34"/>
        <v>23.243243243243242</v>
      </c>
      <c r="E109" s="379">
        <f t="shared" si="34"/>
        <v>23.940540540540535</v>
      </c>
      <c r="F109" s="379">
        <f t="shared" si="34"/>
        <v>24.658756756756752</v>
      </c>
      <c r="G109" s="379">
        <f t="shared" si="34"/>
        <v>25.398519459459457</v>
      </c>
      <c r="H109" s="379">
        <f t="shared" si="34"/>
        <v>26.160475043243238</v>
      </c>
      <c r="I109" s="379">
        <f t="shared" si="34"/>
        <v>26.94528929454054</v>
      </c>
      <c r="J109" s="379">
        <f t="shared" si="34"/>
        <v>27.753647973376758</v>
      </c>
      <c r="K109" s="379">
        <f t="shared" si="34"/>
        <v>28.58625741257806</v>
      </c>
      <c r="L109" s="379">
        <f t="shared" si="34"/>
        <v>29.443845134955403</v>
      </c>
      <c r="M109" s="379">
        <f t="shared" si="34"/>
        <v>30.327160489004065</v>
      </c>
      <c r="N109" s="379">
        <f t="shared" si="34"/>
        <v>31.236975303674186</v>
      </c>
      <c r="O109" s="379">
        <f t="shared" si="34"/>
        <v>32.174084562784415</v>
      </c>
      <c r="P109" s="379">
        <f t="shared" si="34"/>
        <v>33.139307099667946</v>
      </c>
      <c r="Q109" s="379">
        <f t="shared" si="34"/>
        <v>34.133486312657986</v>
      </c>
      <c r="R109" s="379">
        <f t="shared" si="34"/>
        <v>35.157490902037729</v>
      </c>
      <c r="S109" s="379">
        <f t="shared" si="34"/>
        <v>36.212215629098857</v>
      </c>
      <c r="T109" s="379">
        <f t="shared" si="34"/>
        <v>37.298582097971824</v>
      </c>
      <c r="U109" s="379">
        <f t="shared" si="34"/>
        <v>38.417539560910981</v>
      </c>
      <c r="V109" s="379">
        <f t="shared" si="34"/>
        <v>39.570065747738312</v>
      </c>
      <c r="W109" s="379">
        <f t="shared" si="34"/>
        <v>40.757167720170457</v>
      </c>
      <c r="X109" s="379">
        <f t="shared" si="34"/>
        <v>41.979882751775577</v>
      </c>
      <c r="Y109" s="379">
        <f t="shared" si="34"/>
        <v>43.239279234328848</v>
      </c>
      <c r="Z109" s="379">
        <f t="shared" si="34"/>
        <v>44.536457611358713</v>
      </c>
      <c r="AA109" s="379">
        <f t="shared" si="34"/>
        <v>45.872551339699477</v>
      </c>
      <c r="AB109" s="379">
        <f t="shared" si="34"/>
        <v>47.248727879890467</v>
      </c>
      <c r="AC109" s="379">
        <f t="shared" si="34"/>
        <v>48.666189716287171</v>
      </c>
      <c r="AD109" s="379">
        <f t="shared" si="34"/>
        <v>50.126175407775797</v>
      </c>
      <c r="AE109" s="379">
        <f t="shared" si="34"/>
        <v>51.629960670009069</v>
      </c>
      <c r="AF109" s="379">
        <f t="shared" si="34"/>
        <v>53.178859490109339</v>
      </c>
      <c r="AG109" s="379">
        <f t="shared" si="34"/>
        <v>54.774225274812615</v>
      </c>
    </row>
    <row r="110" spans="1:34">
      <c r="A110" s="300" t="s">
        <v>322</v>
      </c>
      <c r="B110" s="300" t="s">
        <v>300</v>
      </c>
      <c r="C110" s="379">
        <f t="shared" ref="C110:AG110" si="35">(C103+C104+C105+C106)/($C$22*$C$21)</f>
        <v>25.619</v>
      </c>
      <c r="D110" s="379">
        <f t="shared" si="35"/>
        <v>26.397666666666666</v>
      </c>
      <c r="E110" s="379">
        <f t="shared" si="35"/>
        <v>27.203246666666669</v>
      </c>
      <c r="F110" s="379">
        <f t="shared" si="35"/>
        <v>28.035722866666667</v>
      </c>
      <c r="G110" s="379">
        <f t="shared" si="35"/>
        <v>28.912090511333329</v>
      </c>
      <c r="H110" s="379">
        <f t="shared" si="35"/>
        <v>29.949357715753333</v>
      </c>
      <c r="I110" s="379">
        <f t="shared" si="35"/>
        <v>30.902212644189799</v>
      </c>
      <c r="J110" s="379">
        <f t="shared" si="35"/>
        <v>31.88335737596179</v>
      </c>
      <c r="K110" s="379">
        <f t="shared" si="35"/>
        <v>32.910508459264705</v>
      </c>
      <c r="L110" s="379">
        <f t="shared" si="35"/>
        <v>33.967064153782381</v>
      </c>
      <c r="M110" s="379">
        <f t="shared" si="35"/>
        <v>35.070438362975558</v>
      </c>
      <c r="N110" s="379">
        <f t="shared" si="35"/>
        <v>36.220727923633561</v>
      </c>
      <c r="O110" s="379">
        <f t="shared" si="35"/>
        <v>37.418379920312596</v>
      </c>
      <c r="P110" s="379">
        <f t="shared" si="35"/>
        <v>38.664525692322805</v>
      </c>
      <c r="Q110" s="379">
        <f t="shared" si="35"/>
        <v>39.95931486763206</v>
      </c>
      <c r="R110" s="379">
        <f t="shared" si="35"/>
        <v>41.303249424763194</v>
      </c>
      <c r="S110" s="379">
        <f t="shared" si="35"/>
        <v>42.697184450470488</v>
      </c>
      <c r="T110" s="379">
        <f t="shared" si="35"/>
        <v>44.157995594359903</v>
      </c>
      <c r="U110" s="379">
        <f t="shared" si="35"/>
        <v>45.669913221663606</v>
      </c>
      <c r="V110" s="379">
        <f t="shared" si="35"/>
        <v>47.250189932094756</v>
      </c>
      <c r="W110" s="379">
        <f t="shared" si="35"/>
        <v>48.882768112758797</v>
      </c>
      <c r="X110" s="379">
        <f t="shared" si="35"/>
        <v>50.585280859816521</v>
      </c>
      <c r="Y110" s="379">
        <f t="shared" si="35"/>
        <v>52.358052936982048</v>
      </c>
      <c r="Z110" s="379">
        <f t="shared" si="35"/>
        <v>54.202435105661912</v>
      </c>
      <c r="AA110" s="379">
        <f t="shared" si="35"/>
        <v>56.118471828267644</v>
      </c>
      <c r="AB110" s="379">
        <f t="shared" si="35"/>
        <v>58.124235679628065</v>
      </c>
      <c r="AC110" s="379">
        <f t="shared" si="35"/>
        <v>60.203828468158548</v>
      </c>
      <c r="AD110" s="379">
        <f t="shared" si="35"/>
        <v>62.374382401843683</v>
      </c>
      <c r="AE110" s="379">
        <f t="shared" si="35"/>
        <v>64.637394634159165</v>
      </c>
      <c r="AF110" s="379">
        <f t="shared" si="35"/>
        <v>66.993395191796324</v>
      </c>
      <c r="AG110" s="379">
        <f t="shared" si="35"/>
        <v>69.443614952795031</v>
      </c>
    </row>
    <row r="111" spans="1:34">
      <c r="A111" s="300" t="s">
        <v>310</v>
      </c>
      <c r="B111" s="300" t="s">
        <v>300</v>
      </c>
      <c r="C111" s="379">
        <f t="shared" ref="C111:AG111" si="36">C99/($C$22*$C$21*7)</f>
        <v>6.496428571428571</v>
      </c>
      <c r="D111" s="379">
        <f t="shared" si="36"/>
        <v>6.663095238095238</v>
      </c>
      <c r="E111" s="379">
        <f t="shared" si="36"/>
        <v>6.8357142857142854</v>
      </c>
      <c r="F111" s="379">
        <f t="shared" si="36"/>
        <v>7.0130952380952385</v>
      </c>
      <c r="G111" s="379">
        <f t="shared" si="36"/>
        <v>7.1952380952380954</v>
      </c>
      <c r="H111" s="379">
        <f t="shared" si="36"/>
        <v>7.8583333333333334</v>
      </c>
      <c r="I111" s="379">
        <f t="shared" si="36"/>
        <v>8.0654761904761898</v>
      </c>
      <c r="J111" s="379">
        <f t="shared" si="36"/>
        <v>8.2773809523809518</v>
      </c>
      <c r="K111" s="379">
        <f t="shared" si="36"/>
        <v>8.4964285714285719</v>
      </c>
      <c r="L111" s="379">
        <f t="shared" si="36"/>
        <v>8.7214285714285715</v>
      </c>
      <c r="M111" s="379">
        <f t="shared" si="36"/>
        <v>8.9535714285714292</v>
      </c>
      <c r="N111" s="379">
        <f t="shared" si="36"/>
        <v>7.3533333333333344</v>
      </c>
      <c r="O111" s="379">
        <f t="shared" si="36"/>
        <v>7.5485714285714298</v>
      </c>
      <c r="P111" s="379">
        <f t="shared" si="36"/>
        <v>7.7504761904761912</v>
      </c>
      <c r="Q111" s="379">
        <f t="shared" si="36"/>
        <v>7.9580952380952388</v>
      </c>
      <c r="R111" s="379">
        <f t="shared" si="36"/>
        <v>8.1714285714285726</v>
      </c>
      <c r="S111" s="379">
        <f t="shared" si="36"/>
        <v>8.3914285714285732</v>
      </c>
      <c r="T111" s="379">
        <f t="shared" si="36"/>
        <v>8.6171428571428592</v>
      </c>
      <c r="U111" s="379">
        <f t="shared" si="36"/>
        <v>8.8495238095238111</v>
      </c>
      <c r="V111" s="379">
        <f t="shared" si="36"/>
        <v>9.0885714285714307</v>
      </c>
      <c r="W111" s="379">
        <f t="shared" si="36"/>
        <v>9.3342857142857163</v>
      </c>
      <c r="X111" s="379">
        <f t="shared" si="36"/>
        <v>7.1907142857142867</v>
      </c>
      <c r="Y111" s="379">
        <f t="shared" si="36"/>
        <v>7.385714285714287</v>
      </c>
      <c r="Z111" s="379">
        <f t="shared" si="36"/>
        <v>7.5871428571428581</v>
      </c>
      <c r="AA111" s="379">
        <f t="shared" si="36"/>
        <v>7.7935714285714299</v>
      </c>
      <c r="AB111" s="379">
        <f t="shared" si="36"/>
        <v>8.0064285714285717</v>
      </c>
      <c r="AC111" s="379">
        <f t="shared" si="36"/>
        <v>8.225714285714286</v>
      </c>
      <c r="AD111" s="379">
        <f t="shared" si="36"/>
        <v>8.4507142857142874</v>
      </c>
      <c r="AE111" s="379">
        <f t="shared" si="36"/>
        <v>8.6828571428571433</v>
      </c>
      <c r="AF111" s="379">
        <f t="shared" si="36"/>
        <v>8.9214285714285726</v>
      </c>
      <c r="AG111" s="379">
        <f t="shared" si="36"/>
        <v>9.1671428571428581</v>
      </c>
    </row>
    <row r="112" spans="1:34" s="352" customFormat="1">
      <c r="A112" s="380" t="s">
        <v>323</v>
      </c>
      <c r="B112" s="352" t="s">
        <v>300</v>
      </c>
      <c r="C112" s="381">
        <f>SUM(C108:C110)-C111</f>
        <v>61.483761941235365</v>
      </c>
      <c r="D112" s="381">
        <f t="shared" ref="D112" si="37">SUM(D108:D110)-D111</f>
        <v>63.417847469149407</v>
      </c>
      <c r="E112" s="381">
        <f t="shared" ref="E112" si="38">SUM(E108:E110)-E111</f>
        <v>65.277640247256016</v>
      </c>
      <c r="F112" s="381">
        <f t="shared" ref="F112:AG112" si="39">SUM(F108:F110)-F111</f>
        <v>67.195094088579751</v>
      </c>
      <c r="G112" s="381">
        <f t="shared" si="39"/>
        <v>69.187831805354804</v>
      </c>
      <c r="H112" s="381">
        <f t="shared" si="39"/>
        <v>72.358102337081263</v>
      </c>
      <c r="I112" s="381">
        <f t="shared" si="39"/>
        <v>74.524070093786207</v>
      </c>
      <c r="J112" s="381">
        <f t="shared" si="39"/>
        <v>76.751718025663777</v>
      </c>
      <c r="K112" s="381">
        <f t="shared" si="39"/>
        <v>79.06439198588464</v>
      </c>
      <c r="L112" s="381">
        <f t="shared" si="39"/>
        <v>81.443756270869031</v>
      </c>
      <c r="M112" s="381">
        <f t="shared" si="39"/>
        <v>83.91043561864754</v>
      </c>
      <c r="N112" s="381">
        <f t="shared" si="39"/>
        <v>88.301170542218387</v>
      </c>
      <c r="O112" s="381">
        <f t="shared" si="39"/>
        <v>90.989345967099311</v>
      </c>
      <c r="P112" s="381">
        <f t="shared" si="39"/>
        <v>93.773025514273215</v>
      </c>
      <c r="Q112" s="381">
        <f t="shared" si="39"/>
        <v>96.650502628728503</v>
      </c>
      <c r="R112" s="381">
        <f t="shared" si="39"/>
        <v>99.623147989271246</v>
      </c>
      <c r="S112" s="381">
        <f t="shared" si="39"/>
        <v>102.69541102526001</v>
      </c>
      <c r="T112" s="381">
        <f t="shared" si="39"/>
        <v>105.88238940911862</v>
      </c>
      <c r="U112" s="381">
        <f t="shared" si="39"/>
        <v>109.17196233964617</v>
      </c>
      <c r="V112" s="381">
        <f t="shared" si="39"/>
        <v>112.58236014637785</v>
      </c>
      <c r="W112" s="381">
        <f t="shared" si="39"/>
        <v>116.09853227813574</v>
      </c>
      <c r="X112" s="381">
        <f t="shared" si="39"/>
        <v>122.13875344786616</v>
      </c>
      <c r="Y112" s="381">
        <f t="shared" si="39"/>
        <v>125.97290770593629</v>
      </c>
      <c r="Z112" s="381">
        <f t="shared" si="39"/>
        <v>129.942893038954</v>
      </c>
      <c r="AA112" s="381">
        <f t="shared" si="39"/>
        <v>134.04401201306362</v>
      </c>
      <c r="AB112" s="381">
        <f t="shared" si="39"/>
        <v>138.30138001673481</v>
      </c>
      <c r="AC112" s="381">
        <f t="shared" si="39"/>
        <v>142.70030134273838</v>
      </c>
      <c r="AD112" s="381">
        <f t="shared" si="39"/>
        <v>147.25620908139445</v>
      </c>
      <c r="AE112" s="381">
        <f t="shared" si="39"/>
        <v>151.9777514549329</v>
      </c>
      <c r="AF112" s="381">
        <f t="shared" si="39"/>
        <v>156.86383480061662</v>
      </c>
      <c r="AG112" s="381">
        <f t="shared" si="39"/>
        <v>161.91998107977227</v>
      </c>
    </row>
    <row r="113" spans="1:34" s="344" customFormat="1">
      <c r="A113" s="342" t="s">
        <v>327</v>
      </c>
      <c r="B113" s="342"/>
      <c r="H113" s="382">
        <f>H115/H63</f>
        <v>1.2269266480965646</v>
      </c>
      <c r="AB113" s="382">
        <f>AB115/AB63</f>
        <v>1.0922494807625081</v>
      </c>
    </row>
    <row r="114" spans="1:34">
      <c r="A114" s="360" t="s">
        <v>41</v>
      </c>
      <c r="B114" s="360"/>
      <c r="C114" s="360">
        <v>2025</v>
      </c>
      <c r="D114" s="360">
        <f>C114+1</f>
        <v>2026</v>
      </c>
      <c r="E114" s="360">
        <f t="shared" ref="E114:AG114" si="40">D114+1</f>
        <v>2027</v>
      </c>
      <c r="F114" s="360">
        <f t="shared" si="40"/>
        <v>2028</v>
      </c>
      <c r="G114" s="360">
        <f t="shared" si="40"/>
        <v>2029</v>
      </c>
      <c r="H114" s="360">
        <f t="shared" si="40"/>
        <v>2030</v>
      </c>
      <c r="I114" s="360">
        <f t="shared" si="40"/>
        <v>2031</v>
      </c>
      <c r="J114" s="360">
        <f t="shared" si="40"/>
        <v>2032</v>
      </c>
      <c r="K114" s="360">
        <f t="shared" si="40"/>
        <v>2033</v>
      </c>
      <c r="L114" s="360">
        <f t="shared" si="40"/>
        <v>2034</v>
      </c>
      <c r="M114" s="360">
        <f t="shared" si="40"/>
        <v>2035</v>
      </c>
      <c r="N114" s="360">
        <f t="shared" si="40"/>
        <v>2036</v>
      </c>
      <c r="O114" s="360">
        <f t="shared" si="40"/>
        <v>2037</v>
      </c>
      <c r="P114" s="360">
        <f t="shared" si="40"/>
        <v>2038</v>
      </c>
      <c r="Q114" s="360">
        <f t="shared" si="40"/>
        <v>2039</v>
      </c>
      <c r="R114" s="360">
        <f t="shared" si="40"/>
        <v>2040</v>
      </c>
      <c r="S114" s="360">
        <f t="shared" si="40"/>
        <v>2041</v>
      </c>
      <c r="T114" s="360">
        <f t="shared" si="40"/>
        <v>2042</v>
      </c>
      <c r="U114" s="360">
        <f t="shared" si="40"/>
        <v>2043</v>
      </c>
      <c r="V114" s="360">
        <f t="shared" si="40"/>
        <v>2044</v>
      </c>
      <c r="W114" s="360">
        <f t="shared" si="40"/>
        <v>2045</v>
      </c>
      <c r="X114" s="360">
        <f t="shared" si="40"/>
        <v>2046</v>
      </c>
      <c r="Y114" s="360">
        <f t="shared" si="40"/>
        <v>2047</v>
      </c>
      <c r="Z114" s="360">
        <f t="shared" si="40"/>
        <v>2048</v>
      </c>
      <c r="AA114" s="360">
        <f t="shared" si="40"/>
        <v>2049</v>
      </c>
      <c r="AB114" s="360">
        <f t="shared" si="40"/>
        <v>2050</v>
      </c>
      <c r="AC114" s="360">
        <f t="shared" si="40"/>
        <v>2051</v>
      </c>
      <c r="AD114" s="360">
        <f t="shared" si="40"/>
        <v>2052</v>
      </c>
      <c r="AE114" s="360">
        <f t="shared" si="40"/>
        <v>2053</v>
      </c>
      <c r="AF114" s="360">
        <f t="shared" si="40"/>
        <v>2054</v>
      </c>
      <c r="AG114" s="360">
        <f t="shared" si="40"/>
        <v>2055</v>
      </c>
    </row>
    <row r="115" spans="1:34">
      <c r="A115" s="368" t="s">
        <v>328</v>
      </c>
      <c r="B115" s="300" t="s">
        <v>309</v>
      </c>
      <c r="C115" s="376">
        <f>ROUND(('Changing with year'!C124)/1000,0)*1000</f>
        <v>5879000</v>
      </c>
      <c r="D115" s="376">
        <f>ROUND(('Changing with year'!D124)/1000,0)*1000</f>
        <v>5929000</v>
      </c>
      <c r="E115" s="376">
        <f>ROUND(('Changing with year'!E124)/1000,0)*1000</f>
        <v>5987000</v>
      </c>
      <c r="F115" s="376">
        <f>ROUND(('Changing with year'!F124)/1000,0)*1000</f>
        <v>6053000</v>
      </c>
      <c r="G115" s="376">
        <f>ROUND(('Changing with year'!G124)/1000,0)*1000</f>
        <v>6126000</v>
      </c>
      <c r="H115" s="376">
        <f>ROUND(('Changing with year'!H124)/1000,0)*1000</f>
        <v>6607000</v>
      </c>
      <c r="I115" s="376">
        <f>ROUND(('Changing with year'!I124)/1000,0)*1000</f>
        <v>6720000</v>
      </c>
      <c r="J115" s="376">
        <f>ROUND(('Changing with year'!J124)/1000,0)*1000</f>
        <v>6839000</v>
      </c>
      <c r="K115" s="376">
        <f>ROUND(('Changing with year'!K124)/1000,0)*1000</f>
        <v>6966000</v>
      </c>
      <c r="L115" s="376">
        <f>ROUND(('Changing with year'!L124)/1000,0)*1000</f>
        <v>7099000</v>
      </c>
      <c r="M115" s="376">
        <f>ROUND(('Changing with year'!M124)/1000,0)*1000</f>
        <v>7239000</v>
      </c>
      <c r="N115" s="376">
        <f>ROUND(('Changing with year'!N124)/1000,0)*1000</f>
        <v>7386000</v>
      </c>
      <c r="O115" s="376">
        <f>ROUND(('Changing with year'!O124)/1000,0)*1000</f>
        <v>7541000</v>
      </c>
      <c r="P115" s="376">
        <f>ROUND(('Changing with year'!P124)/1000,0)*1000</f>
        <v>7703000</v>
      </c>
      <c r="Q115" s="376">
        <f>ROUND(('Changing with year'!Q124)/1000,0)*1000</f>
        <v>7872000</v>
      </c>
      <c r="R115" s="376">
        <f>ROUND(('Changing with year'!R124)/1000,0)*1000</f>
        <v>8049000</v>
      </c>
      <c r="S115" s="376">
        <f>ROUND(('Changing with year'!S124)/1000,0)*1000</f>
        <v>8275000</v>
      </c>
      <c r="T115" s="376">
        <f>ROUND(('Changing with year'!T124)/1000,0)*1000</f>
        <v>8506000</v>
      </c>
      <c r="U115" s="376">
        <f>ROUND(('Changing with year'!U124)/1000,0)*1000</f>
        <v>8745000</v>
      </c>
      <c r="V115" s="376">
        <f>ROUND(('Changing with year'!V124)/1000,0)*1000</f>
        <v>8991000</v>
      </c>
      <c r="W115" s="376">
        <f>ROUND(('Changing with year'!W124)/1000,0)*1000</f>
        <v>9243000</v>
      </c>
      <c r="X115" s="376">
        <f>ROUND(('Changing with year'!X124)/1000,0)*1000</f>
        <v>9504000</v>
      </c>
      <c r="Y115" s="376">
        <f>ROUND(('Changing with year'!Y124)/1000,0)*1000</f>
        <v>9771000</v>
      </c>
      <c r="Z115" s="376">
        <f>ROUND(('Changing with year'!Z124)/1000,0)*1000</f>
        <v>10047000</v>
      </c>
      <c r="AA115" s="376">
        <f>ROUND(('Changing with year'!AA124)/1000,0)*1000</f>
        <v>10331000</v>
      </c>
      <c r="AB115" s="376">
        <f>ROUND(('Changing with year'!AB124)/1000,0)*1000</f>
        <v>10623000</v>
      </c>
      <c r="AC115" s="376">
        <f>ROUND(('Changing with year'!AC124)/1000,0)*1000</f>
        <v>10924000</v>
      </c>
      <c r="AD115" s="376">
        <f>ROUND(('Changing with year'!AD124)/1000,0)*1000</f>
        <v>11234000</v>
      </c>
      <c r="AE115" s="376">
        <f>ROUND(('Changing with year'!AE124)/1000,0)*1000</f>
        <v>11552000</v>
      </c>
      <c r="AF115" s="376">
        <f>ROUND(('Changing with year'!AF124)/1000,0)*1000</f>
        <v>11880000</v>
      </c>
      <c r="AG115" s="376">
        <f>ROUND(('Changing with year'!AG124)/1000,0)*1000</f>
        <v>12218000</v>
      </c>
    </row>
    <row r="116" spans="1:34">
      <c r="A116" s="368" t="s">
        <v>310</v>
      </c>
      <c r="B116" s="300" t="s">
        <v>309</v>
      </c>
      <c r="C116" s="376">
        <f>(C115*'No change with year'!$AH$18)</f>
        <v>1469750.0000000002</v>
      </c>
      <c r="D116" s="376">
        <f>(D115*'No change with year'!$AH$18)</f>
        <v>1482250.0000000002</v>
      </c>
      <c r="E116" s="376">
        <f>(E115*'No change with year'!$AH$18)</f>
        <v>1496750.0000000002</v>
      </c>
      <c r="F116" s="376">
        <f>(F115*'No change with year'!$AH$18)</f>
        <v>1513250.0000000002</v>
      </c>
      <c r="G116" s="376">
        <f>(G115*'No change with year'!$AH$18)</f>
        <v>1531500.0000000002</v>
      </c>
      <c r="H116" s="376">
        <f>(H115*'No change with year'!$AH$18)</f>
        <v>1651750.0000000005</v>
      </c>
      <c r="I116" s="376">
        <f>(I115*'No change with year'!$AH$18)</f>
        <v>1680000.0000000005</v>
      </c>
      <c r="J116" s="376">
        <f>(J115*'No change with year'!$AH$18)</f>
        <v>1709750.0000000005</v>
      </c>
      <c r="K116" s="376">
        <f>(K115*'No change with year'!$AH$18)</f>
        <v>1741500.0000000005</v>
      </c>
      <c r="L116" s="376">
        <f>(L115*'No change with year'!$AH$18)</f>
        <v>1774750.0000000005</v>
      </c>
      <c r="M116" s="376">
        <f>(M115*'No change with year'!$AH$18)</f>
        <v>1809750.0000000005</v>
      </c>
      <c r="N116" s="376">
        <f>(N115*'No change with year'!$AI$18)</f>
        <v>2585100.0000000005</v>
      </c>
      <c r="O116" s="376">
        <f>(O115*'No change with year'!$AI$18)</f>
        <v>2639350.0000000005</v>
      </c>
      <c r="P116" s="376">
        <f>(P115*'No change with year'!$AI$18)</f>
        <v>2696050.0000000005</v>
      </c>
      <c r="Q116" s="376">
        <f>(Q115*'No change with year'!$AI$18)</f>
        <v>2755200.0000000009</v>
      </c>
      <c r="R116" s="376">
        <f>(R115*'No change with year'!$AI$18)</f>
        <v>2817150.0000000009</v>
      </c>
      <c r="S116" s="376">
        <f>(S115*'No change with year'!$AI$18)</f>
        <v>2896250.0000000009</v>
      </c>
      <c r="T116" s="376">
        <f>(T115*'No change with year'!$AI$18)</f>
        <v>2977100.0000000009</v>
      </c>
      <c r="U116" s="376">
        <f>(U115*'No change with year'!$AI$18)</f>
        <v>3060750.0000000009</v>
      </c>
      <c r="V116" s="376">
        <f>(V115*'No change with year'!$AI$18)</f>
        <v>3146850.0000000009</v>
      </c>
      <c r="W116" s="376">
        <f>(W115*'No change with year'!$AI$18)</f>
        <v>3235050.0000000009</v>
      </c>
      <c r="X116" s="376">
        <f>(X115*'No change with year'!$AJ$18)</f>
        <v>3801600</v>
      </c>
      <c r="Y116" s="376">
        <f>(Y115*'No change with year'!$AJ$18)</f>
        <v>3908400</v>
      </c>
      <c r="Z116" s="376">
        <f>(Z115*'No change with year'!$AJ$18)</f>
        <v>4018800</v>
      </c>
      <c r="AA116" s="376">
        <f>(AA115*'No change with year'!$AJ$18)</f>
        <v>4132400</v>
      </c>
      <c r="AB116" s="376">
        <f>(AB115*'No change with year'!$AJ$18)</f>
        <v>4249200</v>
      </c>
      <c r="AC116" s="376">
        <f>(AC115*'No change with year'!$AJ$18)</f>
        <v>4369600</v>
      </c>
      <c r="AD116" s="376">
        <f>(AD115*'No change with year'!$AJ$18)</f>
        <v>4493600</v>
      </c>
      <c r="AE116" s="376">
        <f>(AE115*'No change with year'!$AJ$18)</f>
        <v>4620800</v>
      </c>
      <c r="AF116" s="376">
        <f>(AF115*'No change with year'!$AJ$18)</f>
        <v>4752000</v>
      </c>
      <c r="AG116" s="376">
        <f>(AG115*'No change with year'!$AJ$18)</f>
        <v>4887200</v>
      </c>
    </row>
    <row r="117" spans="1:34" s="371" customFormat="1" ht="11.85" customHeight="1">
      <c r="A117" s="377" t="s">
        <v>311</v>
      </c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  <c r="AA117" s="376"/>
      <c r="AB117" s="376"/>
      <c r="AC117" s="376"/>
      <c r="AD117" s="376"/>
      <c r="AE117" s="376"/>
      <c r="AF117" s="376"/>
      <c r="AG117" s="376"/>
    </row>
    <row r="118" spans="1:34">
      <c r="A118" s="368" t="s">
        <v>312</v>
      </c>
      <c r="B118" s="368" t="s">
        <v>313</v>
      </c>
      <c r="C118" s="376">
        <f>-PMT($C$28,$C$27,C115)</f>
        <v>1288193.169364277</v>
      </c>
      <c r="D118" s="376">
        <f t="shared" ref="D118:AG118" si="41">-PMT($C$28,$C$27,D115)</f>
        <v>1299149.0561593466</v>
      </c>
      <c r="E118" s="376">
        <f t="shared" si="41"/>
        <v>1311857.884841627</v>
      </c>
      <c r="F118" s="376">
        <f t="shared" si="41"/>
        <v>1326319.6554111191</v>
      </c>
      <c r="G118" s="376">
        <f t="shared" si="41"/>
        <v>1342315.2501319204</v>
      </c>
      <c r="H118" s="376">
        <f t="shared" si="41"/>
        <v>1447710.8811004895</v>
      </c>
      <c r="I118" s="376">
        <f t="shared" si="41"/>
        <v>1472471.1852573466</v>
      </c>
      <c r="J118" s="376">
        <f t="shared" si="41"/>
        <v>1498546.1958296122</v>
      </c>
      <c r="K118" s="376">
        <f t="shared" si="41"/>
        <v>1526374.1482890889</v>
      </c>
      <c r="L118" s="376">
        <f t="shared" si="41"/>
        <v>1555516.8071639738</v>
      </c>
      <c r="M118" s="376">
        <f t="shared" si="41"/>
        <v>1586193.2901901684</v>
      </c>
      <c r="N118" s="376">
        <f t="shared" si="41"/>
        <v>1618403.5973676729</v>
      </c>
      <c r="O118" s="376">
        <f t="shared" si="41"/>
        <v>1652366.8464323885</v>
      </c>
      <c r="P118" s="376">
        <f t="shared" si="41"/>
        <v>1687863.9196484138</v>
      </c>
      <c r="Q118" s="376">
        <f t="shared" si="41"/>
        <v>1724894.8170157489</v>
      </c>
      <c r="R118" s="376">
        <f t="shared" si="41"/>
        <v>1763678.6562702951</v>
      </c>
      <c r="S118" s="376">
        <f t="shared" si="41"/>
        <v>1813199.2645840095</v>
      </c>
      <c r="T118" s="376">
        <f t="shared" si="41"/>
        <v>1863815.4615772306</v>
      </c>
      <c r="U118" s="376">
        <f t="shared" si="41"/>
        <v>1916184.6004576632</v>
      </c>
      <c r="V118" s="376">
        <f t="shared" si="41"/>
        <v>1970087.5634894052</v>
      </c>
      <c r="W118" s="376">
        <f t="shared" si="41"/>
        <v>2025305.232936556</v>
      </c>
      <c r="X118" s="376">
        <f t="shared" si="41"/>
        <v>2082494.962006819</v>
      </c>
      <c r="Y118" s="376">
        <f t="shared" si="41"/>
        <v>2140999.3974924902</v>
      </c>
      <c r="Z118" s="376">
        <f t="shared" si="41"/>
        <v>2201475.892601274</v>
      </c>
      <c r="AA118" s="376">
        <f t="shared" si="41"/>
        <v>2263705.3295972692</v>
      </c>
      <c r="AB118" s="376">
        <f t="shared" si="41"/>
        <v>2327687.708480475</v>
      </c>
      <c r="AC118" s="376">
        <f t="shared" si="41"/>
        <v>2393642.1469867937</v>
      </c>
      <c r="AD118" s="376">
        <f t="shared" si="41"/>
        <v>2461568.6451162249</v>
      </c>
      <c r="AE118" s="376">
        <f t="shared" si="41"/>
        <v>2531248.0851328671</v>
      </c>
      <c r="AF118" s="376">
        <f t="shared" si="41"/>
        <v>2603118.7025085236</v>
      </c>
      <c r="AG118" s="376">
        <f t="shared" si="41"/>
        <v>2677180.4972431939</v>
      </c>
    </row>
    <row r="119" spans="1:34">
      <c r="A119" s="300" t="s">
        <v>321</v>
      </c>
      <c r="B119" s="368" t="s">
        <v>313</v>
      </c>
      <c r="C119" s="376">
        <f t="shared" ref="C119:AG119" si="42">$F$38*C50</f>
        <v>4008333.3333333326</v>
      </c>
      <c r="D119" s="376">
        <f t="shared" si="42"/>
        <v>3971111.111111111</v>
      </c>
      <c r="E119" s="376">
        <f t="shared" si="42"/>
        <v>3937602.7777777775</v>
      </c>
      <c r="F119" s="376">
        <f t="shared" si="42"/>
        <v>3907725.5277777775</v>
      </c>
      <c r="G119" s="376">
        <f t="shared" si="42"/>
        <v>3881400.5452777776</v>
      </c>
      <c r="H119" s="376">
        <f t="shared" si="42"/>
        <v>3858552.877252778</v>
      </c>
      <c r="I119" s="376">
        <f t="shared" si="42"/>
        <v>3628750.4024943328</v>
      </c>
      <c r="J119" s="376">
        <f t="shared" si="42"/>
        <v>3507805.7908585323</v>
      </c>
      <c r="K119" s="376">
        <f t="shared" si="42"/>
        <v>3390883.8696882371</v>
      </c>
      <c r="L119" s="376">
        <f t="shared" si="42"/>
        <v>3277832.8224346321</v>
      </c>
      <c r="M119" s="376">
        <f t="shared" si="42"/>
        <v>3168507.1300664726</v>
      </c>
      <c r="N119" s="376">
        <f t="shared" si="42"/>
        <v>3062767.2929543238</v>
      </c>
      <c r="O119" s="376">
        <f t="shared" si="42"/>
        <v>2960479.5655311518</v>
      </c>
      <c r="P119" s="376">
        <f t="shared" si="42"/>
        <v>2861515.7031275616</v>
      </c>
      <c r="Q119" s="376">
        <f t="shared" si="42"/>
        <v>2765752.720408773</v>
      </c>
      <c r="R119" s="376">
        <f t="shared" si="42"/>
        <v>2673072.6608678428</v>
      </c>
      <c r="S119" s="376">
        <f t="shared" si="42"/>
        <v>2468003.3785396446</v>
      </c>
      <c r="T119" s="376">
        <f t="shared" si="42"/>
        <v>2397925.9278863347</v>
      </c>
      <c r="U119" s="376">
        <f t="shared" si="42"/>
        <v>2330342.3081028191</v>
      </c>
      <c r="V119" s="376">
        <f t="shared" si="42"/>
        <v>2265144.7324966402</v>
      </c>
      <c r="W119" s="376">
        <f t="shared" si="42"/>
        <v>2202230.4305284214</v>
      </c>
      <c r="X119" s="376">
        <f t="shared" si="42"/>
        <v>2141501.4068600191</v>
      </c>
      <c r="Y119" s="376">
        <f t="shared" si="42"/>
        <v>2082864.2121679892</v>
      </c>
      <c r="Z119" s="376">
        <f t="shared" si="42"/>
        <v>2026229.7251424382</v>
      </c>
      <c r="AA119" s="376">
        <f t="shared" si="42"/>
        <v>1971512.9451200706</v>
      </c>
      <c r="AB119" s="376">
        <f t="shared" si="42"/>
        <v>1918632.794827577</v>
      </c>
      <c r="AC119" s="376">
        <f t="shared" si="42"/>
        <v>1854165.0455181557</v>
      </c>
      <c r="AD119" s="376">
        <f t="shared" si="42"/>
        <v>1860555.3088333986</v>
      </c>
      <c r="AE119" s="376">
        <f t="shared" si="42"/>
        <v>1869116.5383096396</v>
      </c>
      <c r="AF119" s="376">
        <f t="shared" si="42"/>
        <v>1879813.853959925</v>
      </c>
      <c r="AG119" s="376">
        <f t="shared" si="42"/>
        <v>1892615.7333779177</v>
      </c>
    </row>
    <row r="120" spans="1:34">
      <c r="A120" s="300" t="s">
        <v>317</v>
      </c>
      <c r="B120" s="368" t="s">
        <v>313</v>
      </c>
      <c r="C120" s="376">
        <f t="shared" ref="C120:AG120" si="43">$C$22*$C$21*C57</f>
        <v>288000</v>
      </c>
      <c r="D120" s="376">
        <f t="shared" si="43"/>
        <v>299520</v>
      </c>
      <c r="E120" s="376">
        <f t="shared" si="43"/>
        <v>311500.79999999999</v>
      </c>
      <c r="F120" s="376">
        <f t="shared" si="43"/>
        <v>323960.83199999999</v>
      </c>
      <c r="G120" s="376">
        <f t="shared" si="43"/>
        <v>336919.26528000005</v>
      </c>
      <c r="H120" s="376">
        <f t="shared" si="43"/>
        <v>350396.03589120007</v>
      </c>
      <c r="I120" s="376">
        <f t="shared" si="43"/>
        <v>364411.87732684804</v>
      </c>
      <c r="J120" s="376">
        <f t="shared" si="43"/>
        <v>378988.35241992201</v>
      </c>
      <c r="K120" s="376">
        <f t="shared" si="43"/>
        <v>394147.88651671889</v>
      </c>
      <c r="L120" s="376">
        <f t="shared" si="43"/>
        <v>409913.80197738769</v>
      </c>
      <c r="M120" s="376">
        <f t="shared" si="43"/>
        <v>426310.35405648319</v>
      </c>
      <c r="N120" s="376">
        <f t="shared" si="43"/>
        <v>443362.76821874251</v>
      </c>
      <c r="O120" s="376">
        <f t="shared" si="43"/>
        <v>461097.27894749225</v>
      </c>
      <c r="P120" s="376">
        <f t="shared" si="43"/>
        <v>479541.17010539194</v>
      </c>
      <c r="Q120" s="376">
        <f t="shared" si="43"/>
        <v>498722.81690960762</v>
      </c>
      <c r="R120" s="376">
        <f t="shared" si="43"/>
        <v>518671.72958599194</v>
      </c>
      <c r="S120" s="376">
        <f t="shared" si="43"/>
        <v>539418.59876943158</v>
      </c>
      <c r="T120" s="376">
        <f t="shared" si="43"/>
        <v>560995.34272020881</v>
      </c>
      <c r="U120" s="376">
        <f t="shared" si="43"/>
        <v>583435.1564290172</v>
      </c>
      <c r="V120" s="376">
        <f t="shared" si="43"/>
        <v>606772.5626861779</v>
      </c>
      <c r="W120" s="376">
        <f t="shared" si="43"/>
        <v>631043.46519362507</v>
      </c>
      <c r="X120" s="376">
        <f t="shared" si="43"/>
        <v>656285.20380137011</v>
      </c>
      <c r="Y120" s="376">
        <f t="shared" si="43"/>
        <v>682536.61195342487</v>
      </c>
      <c r="Z120" s="376">
        <f t="shared" si="43"/>
        <v>709838.07643156196</v>
      </c>
      <c r="AA120" s="376">
        <f t="shared" si="43"/>
        <v>738231.59948882449</v>
      </c>
      <c r="AB120" s="376">
        <f t="shared" si="43"/>
        <v>767760.8634683775</v>
      </c>
      <c r="AC120" s="376">
        <f t="shared" si="43"/>
        <v>798471.29800711269</v>
      </c>
      <c r="AD120" s="376">
        <f t="shared" si="43"/>
        <v>830410.14992739726</v>
      </c>
      <c r="AE120" s="376">
        <f t="shared" si="43"/>
        <v>863626.55592449324</v>
      </c>
      <c r="AF120" s="376">
        <f t="shared" si="43"/>
        <v>898171.61816147296</v>
      </c>
      <c r="AG120" s="376">
        <f t="shared" si="43"/>
        <v>934098.48288793187</v>
      </c>
    </row>
    <row r="121" spans="1:34">
      <c r="A121" s="368" t="s">
        <v>318</v>
      </c>
      <c r="B121" s="368" t="s">
        <v>313</v>
      </c>
      <c r="C121" s="376">
        <f>'Changing with year'!C294</f>
        <v>600000</v>
      </c>
      <c r="D121" s="376">
        <f>'Changing with year'!D294</f>
        <v>627000</v>
      </c>
      <c r="E121" s="376">
        <f>'Changing with year'!E294</f>
        <v>655000</v>
      </c>
      <c r="F121" s="376">
        <f>'Changing with year'!F294</f>
        <v>684000</v>
      </c>
      <c r="G121" s="376">
        <f>'Changing with year'!G294</f>
        <v>715000</v>
      </c>
      <c r="H121" s="376">
        <f>'Changing with year'!H294</f>
        <v>747000</v>
      </c>
      <c r="I121" s="376">
        <f>'Changing with year'!I294</f>
        <v>781000</v>
      </c>
      <c r="J121" s="376">
        <f>'Changing with year'!J294</f>
        <v>816000</v>
      </c>
      <c r="K121" s="376">
        <f>'Changing with year'!K294</f>
        <v>853000</v>
      </c>
      <c r="L121" s="376">
        <f>'Changing with year'!L294</f>
        <v>891000</v>
      </c>
      <c r="M121" s="376">
        <f>'Changing with year'!M294</f>
        <v>931000</v>
      </c>
      <c r="N121" s="376">
        <f>'Changing with year'!N294</f>
        <v>973000</v>
      </c>
      <c r="O121" s="376">
        <f>'Changing with year'!O294</f>
        <v>1017000</v>
      </c>
      <c r="P121" s="376">
        <f>'Changing with year'!P294</f>
        <v>1063000</v>
      </c>
      <c r="Q121" s="376">
        <f>'Changing with year'!Q294</f>
        <v>1111000</v>
      </c>
      <c r="R121" s="376">
        <f>'Changing with year'!R294</f>
        <v>1161000</v>
      </c>
      <c r="S121" s="376">
        <f>'Changing with year'!S294</f>
        <v>1213000</v>
      </c>
      <c r="T121" s="376">
        <f>'Changing with year'!T294</f>
        <v>1268000</v>
      </c>
      <c r="U121" s="376">
        <f>'Changing with year'!U294</f>
        <v>1325000</v>
      </c>
      <c r="V121" s="376">
        <f>'Changing with year'!V294</f>
        <v>1385000</v>
      </c>
      <c r="W121" s="376">
        <f>'Changing with year'!W294</f>
        <v>1447000</v>
      </c>
      <c r="X121" s="376">
        <f>'Changing with year'!X294</f>
        <v>1512000</v>
      </c>
      <c r="Y121" s="376">
        <f>'Changing with year'!Y294</f>
        <v>1580000</v>
      </c>
      <c r="Z121" s="376">
        <f>'Changing with year'!Z294</f>
        <v>1651000</v>
      </c>
      <c r="AA121" s="376">
        <f>'Changing with year'!AA294</f>
        <v>1725000</v>
      </c>
      <c r="AB121" s="376">
        <f>'Changing with year'!AB294</f>
        <v>1803000</v>
      </c>
      <c r="AC121" s="376">
        <f>'Changing with year'!AC294</f>
        <v>1884000</v>
      </c>
      <c r="AD121" s="376">
        <f>'Changing with year'!AD294</f>
        <v>1969000</v>
      </c>
      <c r="AE121" s="376">
        <f>'Changing with year'!AE294</f>
        <v>2058000</v>
      </c>
      <c r="AF121" s="376">
        <f>'Changing with year'!AF294</f>
        <v>2151000</v>
      </c>
      <c r="AG121" s="376">
        <f>'Changing with year'!AG294</f>
        <v>2248000</v>
      </c>
      <c r="AH121" s="339"/>
    </row>
    <row r="122" spans="1:34">
      <c r="A122" s="300" t="s">
        <v>272</v>
      </c>
      <c r="B122" s="368" t="s">
        <v>313</v>
      </c>
      <c r="C122" s="376">
        <f t="shared" ref="C122:AG122" si="44">C61</f>
        <v>540000</v>
      </c>
      <c r="D122" s="376">
        <f t="shared" si="44"/>
        <v>545400</v>
      </c>
      <c r="E122" s="376">
        <f t="shared" si="44"/>
        <v>550854</v>
      </c>
      <c r="F122" s="376">
        <f t="shared" si="44"/>
        <v>556362.53999999992</v>
      </c>
      <c r="G122" s="376">
        <f t="shared" si="44"/>
        <v>561926.16539999994</v>
      </c>
      <c r="H122" s="376">
        <f t="shared" si="44"/>
        <v>567545.42705399997</v>
      </c>
      <c r="I122" s="376">
        <f t="shared" si="44"/>
        <v>573220.88132453989</v>
      </c>
      <c r="J122" s="376">
        <f t="shared" si="44"/>
        <v>578953.09013778542</v>
      </c>
      <c r="K122" s="376">
        <f t="shared" si="44"/>
        <v>584742.62103916332</v>
      </c>
      <c r="L122" s="376">
        <f t="shared" si="44"/>
        <v>590590.04724955501</v>
      </c>
      <c r="M122" s="376">
        <f t="shared" si="44"/>
        <v>596495.94772205048</v>
      </c>
      <c r="N122" s="376">
        <f t="shared" si="44"/>
        <v>602460.90719927102</v>
      </c>
      <c r="O122" s="376">
        <f t="shared" si="44"/>
        <v>608485.51627126383</v>
      </c>
      <c r="P122" s="376">
        <f t="shared" si="44"/>
        <v>614570.37143397657</v>
      </c>
      <c r="Q122" s="376">
        <f t="shared" si="44"/>
        <v>620716.07514831633</v>
      </c>
      <c r="R122" s="376">
        <f t="shared" si="44"/>
        <v>626923.2358997995</v>
      </c>
      <c r="S122" s="376">
        <f t="shared" si="44"/>
        <v>633192.46825879754</v>
      </c>
      <c r="T122" s="376">
        <f t="shared" si="44"/>
        <v>639524.39294138551</v>
      </c>
      <c r="U122" s="376">
        <f t="shared" si="44"/>
        <v>645919.63687079935</v>
      </c>
      <c r="V122" s="376">
        <f t="shared" si="44"/>
        <v>652378.83323950728</v>
      </c>
      <c r="W122" s="376">
        <f t="shared" si="44"/>
        <v>658902.62157190242</v>
      </c>
      <c r="X122" s="376">
        <f t="shared" si="44"/>
        <v>665491.64778762148</v>
      </c>
      <c r="Y122" s="376">
        <f t="shared" si="44"/>
        <v>672146.56426549761</v>
      </c>
      <c r="Z122" s="376">
        <f t="shared" si="44"/>
        <v>678868.02990815276</v>
      </c>
      <c r="AA122" s="376">
        <f t="shared" si="44"/>
        <v>685656.71020723425</v>
      </c>
      <c r="AB122" s="376">
        <f t="shared" si="44"/>
        <v>692513.27730930655</v>
      </c>
      <c r="AC122" s="376">
        <f t="shared" si="44"/>
        <v>699438.41008239973</v>
      </c>
      <c r="AD122" s="376">
        <f t="shared" si="44"/>
        <v>706432.79418322374</v>
      </c>
      <c r="AE122" s="376">
        <f t="shared" si="44"/>
        <v>713497.12212505599</v>
      </c>
      <c r="AF122" s="376">
        <f t="shared" si="44"/>
        <v>720632.09334630647</v>
      </c>
      <c r="AG122" s="376">
        <f t="shared" si="44"/>
        <v>727838.41427976964</v>
      </c>
    </row>
    <row r="123" spans="1:34">
      <c r="A123" s="300" t="s">
        <v>319</v>
      </c>
      <c r="B123" s="368" t="s">
        <v>313</v>
      </c>
      <c r="C123" s="376">
        <f t="shared" ref="C123:AG123" si="45">C115*$C$29</f>
        <v>117580</v>
      </c>
      <c r="D123" s="376">
        <f t="shared" si="45"/>
        <v>118580</v>
      </c>
      <c r="E123" s="376">
        <f t="shared" si="45"/>
        <v>119740</v>
      </c>
      <c r="F123" s="376">
        <f t="shared" si="45"/>
        <v>121060</v>
      </c>
      <c r="G123" s="376">
        <f t="shared" si="45"/>
        <v>122520</v>
      </c>
      <c r="H123" s="376">
        <f t="shared" si="45"/>
        <v>132140</v>
      </c>
      <c r="I123" s="376">
        <f t="shared" si="45"/>
        <v>134400</v>
      </c>
      <c r="J123" s="376">
        <f t="shared" si="45"/>
        <v>136780</v>
      </c>
      <c r="K123" s="376">
        <f t="shared" si="45"/>
        <v>139320</v>
      </c>
      <c r="L123" s="376">
        <f t="shared" si="45"/>
        <v>141980</v>
      </c>
      <c r="M123" s="376">
        <f t="shared" si="45"/>
        <v>144780</v>
      </c>
      <c r="N123" s="376">
        <f t="shared" si="45"/>
        <v>147720</v>
      </c>
      <c r="O123" s="376">
        <f t="shared" si="45"/>
        <v>150820</v>
      </c>
      <c r="P123" s="376">
        <f t="shared" si="45"/>
        <v>154060</v>
      </c>
      <c r="Q123" s="376">
        <f t="shared" si="45"/>
        <v>157440</v>
      </c>
      <c r="R123" s="376">
        <f t="shared" si="45"/>
        <v>160980</v>
      </c>
      <c r="S123" s="376">
        <f t="shared" si="45"/>
        <v>165500</v>
      </c>
      <c r="T123" s="376">
        <f t="shared" si="45"/>
        <v>170120</v>
      </c>
      <c r="U123" s="376">
        <f t="shared" si="45"/>
        <v>174900</v>
      </c>
      <c r="V123" s="376">
        <f t="shared" si="45"/>
        <v>179820</v>
      </c>
      <c r="W123" s="376">
        <f t="shared" si="45"/>
        <v>184860</v>
      </c>
      <c r="X123" s="376">
        <f t="shared" si="45"/>
        <v>190080</v>
      </c>
      <c r="Y123" s="376">
        <f t="shared" si="45"/>
        <v>195420</v>
      </c>
      <c r="Z123" s="376">
        <f t="shared" si="45"/>
        <v>200940</v>
      </c>
      <c r="AA123" s="376">
        <f t="shared" si="45"/>
        <v>206620</v>
      </c>
      <c r="AB123" s="376">
        <f t="shared" si="45"/>
        <v>212460</v>
      </c>
      <c r="AC123" s="376">
        <f t="shared" si="45"/>
        <v>218480</v>
      </c>
      <c r="AD123" s="376">
        <f t="shared" si="45"/>
        <v>224680</v>
      </c>
      <c r="AE123" s="376">
        <f t="shared" si="45"/>
        <v>231040</v>
      </c>
      <c r="AF123" s="376">
        <f t="shared" si="45"/>
        <v>237600</v>
      </c>
      <c r="AG123" s="376">
        <f t="shared" si="45"/>
        <v>244360</v>
      </c>
    </row>
    <row r="124" spans="1:34" s="371" customFormat="1" ht="11.85" customHeight="1">
      <c r="A124" s="377" t="s">
        <v>320</v>
      </c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83"/>
      <c r="AF124" s="383"/>
      <c r="AG124" s="383"/>
    </row>
    <row r="125" spans="1:34">
      <c r="A125" s="300" t="s">
        <v>325</v>
      </c>
      <c r="B125" s="300" t="s">
        <v>300</v>
      </c>
      <c r="C125" s="379">
        <f t="shared" ref="C125:AG126" si="46">C118/($C$22*$C$21)</f>
        <v>21.469886156071283</v>
      </c>
      <c r="D125" s="379">
        <f t="shared" si="46"/>
        <v>21.652484269322443</v>
      </c>
      <c r="E125" s="379">
        <f t="shared" si="46"/>
        <v>21.864298080693782</v>
      </c>
      <c r="F125" s="379">
        <f t="shared" si="46"/>
        <v>22.105327590185318</v>
      </c>
      <c r="G125" s="379">
        <f t="shared" si="46"/>
        <v>22.371920835532009</v>
      </c>
      <c r="H125" s="379">
        <f t="shared" si="46"/>
        <v>24.12851468500816</v>
      </c>
      <c r="I125" s="379">
        <f t="shared" si="46"/>
        <v>24.541186420955778</v>
      </c>
      <c r="J125" s="379">
        <f t="shared" si="46"/>
        <v>24.975769930493538</v>
      </c>
      <c r="K125" s="379">
        <f t="shared" si="46"/>
        <v>25.43956913815148</v>
      </c>
      <c r="L125" s="379">
        <f t="shared" si="46"/>
        <v>25.925280119399563</v>
      </c>
      <c r="M125" s="379">
        <f t="shared" si="46"/>
        <v>26.436554836502808</v>
      </c>
      <c r="N125" s="379">
        <f t="shared" si="46"/>
        <v>26.973393289461217</v>
      </c>
      <c r="O125" s="379">
        <f t="shared" si="46"/>
        <v>27.53944744053981</v>
      </c>
      <c r="P125" s="379">
        <f t="shared" si="46"/>
        <v>28.131065327473564</v>
      </c>
      <c r="Q125" s="379">
        <f t="shared" si="46"/>
        <v>28.748246950262484</v>
      </c>
      <c r="R125" s="379">
        <f t="shared" si="46"/>
        <v>29.394644271171586</v>
      </c>
      <c r="S125" s="379">
        <f t="shared" si="46"/>
        <v>30.219987743066827</v>
      </c>
      <c r="T125" s="379">
        <f t="shared" si="46"/>
        <v>31.063591026287177</v>
      </c>
      <c r="U125" s="379">
        <f t="shared" si="46"/>
        <v>31.936410007627721</v>
      </c>
      <c r="V125" s="379">
        <f t="shared" si="46"/>
        <v>32.834792724823423</v>
      </c>
      <c r="W125" s="379">
        <f t="shared" si="46"/>
        <v>33.755087215609265</v>
      </c>
      <c r="X125" s="379">
        <f t="shared" si="46"/>
        <v>34.708249366780315</v>
      </c>
      <c r="Y125" s="379">
        <f t="shared" si="46"/>
        <v>35.683323291541505</v>
      </c>
      <c r="Z125" s="379">
        <f t="shared" si="46"/>
        <v>36.691264876687896</v>
      </c>
      <c r="AA125" s="379">
        <f t="shared" si="46"/>
        <v>37.728422159954484</v>
      </c>
      <c r="AB125" s="379">
        <f t="shared" si="46"/>
        <v>38.794795141341247</v>
      </c>
      <c r="AC125" s="379">
        <f t="shared" si="46"/>
        <v>39.894035783113232</v>
      </c>
      <c r="AD125" s="379">
        <f t="shared" si="46"/>
        <v>41.026144085270417</v>
      </c>
      <c r="AE125" s="379">
        <f t="shared" si="46"/>
        <v>42.187468085547785</v>
      </c>
      <c r="AF125" s="379">
        <f t="shared" si="46"/>
        <v>43.385311708475392</v>
      </c>
      <c r="AG125" s="379">
        <f t="shared" si="46"/>
        <v>44.619674954053231</v>
      </c>
    </row>
    <row r="126" spans="1:34">
      <c r="A126" s="300" t="s">
        <v>321</v>
      </c>
      <c r="B126" s="300" t="s">
        <v>300</v>
      </c>
      <c r="C126" s="379">
        <f t="shared" si="46"/>
        <v>66.805555555555543</v>
      </c>
      <c r="D126" s="379">
        <f t="shared" si="46"/>
        <v>66.18518518518519</v>
      </c>
      <c r="E126" s="379">
        <f t="shared" si="46"/>
        <v>65.626712962962955</v>
      </c>
      <c r="F126" s="379">
        <f t="shared" si="46"/>
        <v>65.128758796296296</v>
      </c>
      <c r="G126" s="379">
        <f t="shared" si="46"/>
        <v>64.690009087962963</v>
      </c>
      <c r="H126" s="379">
        <f t="shared" si="46"/>
        <v>64.309214620879629</v>
      </c>
      <c r="I126" s="379">
        <f t="shared" si="46"/>
        <v>60.479173374905542</v>
      </c>
      <c r="J126" s="379">
        <f t="shared" si="46"/>
        <v>58.463429847642203</v>
      </c>
      <c r="K126" s="379">
        <f t="shared" si="46"/>
        <v>56.514731161470621</v>
      </c>
      <c r="L126" s="379">
        <f t="shared" si="46"/>
        <v>54.630547040577198</v>
      </c>
      <c r="M126" s="379">
        <f t="shared" si="46"/>
        <v>52.80845216777454</v>
      </c>
      <c r="N126" s="379">
        <f t="shared" si="46"/>
        <v>51.046121549238727</v>
      </c>
      <c r="O126" s="379">
        <f t="shared" si="46"/>
        <v>49.341326092185867</v>
      </c>
      <c r="P126" s="379">
        <f t="shared" si="46"/>
        <v>47.691928385459363</v>
      </c>
      <c r="Q126" s="379">
        <f t="shared" si="46"/>
        <v>46.095878673479554</v>
      </c>
      <c r="R126" s="379">
        <f t="shared" si="46"/>
        <v>44.551211014464045</v>
      </c>
      <c r="S126" s="379">
        <f t="shared" si="46"/>
        <v>41.133389642327408</v>
      </c>
      <c r="T126" s="379">
        <f t="shared" si="46"/>
        <v>39.965432131438909</v>
      </c>
      <c r="U126" s="379">
        <f t="shared" si="46"/>
        <v>38.839038468380316</v>
      </c>
      <c r="V126" s="379">
        <f t="shared" si="46"/>
        <v>37.752412208277335</v>
      </c>
      <c r="W126" s="379">
        <f t="shared" si="46"/>
        <v>36.703840508807026</v>
      </c>
      <c r="X126" s="379">
        <f t="shared" si="46"/>
        <v>35.691690114333653</v>
      </c>
      <c r="Y126" s="379">
        <f t="shared" si="46"/>
        <v>34.714403536133155</v>
      </c>
      <c r="Z126" s="379">
        <f t="shared" si="46"/>
        <v>33.770495419040635</v>
      </c>
      <c r="AA126" s="379">
        <f t="shared" si="46"/>
        <v>32.858549085334509</v>
      </c>
      <c r="AB126" s="379">
        <f t="shared" si="46"/>
        <v>31.977213247126283</v>
      </c>
      <c r="AC126" s="379">
        <f t="shared" si="46"/>
        <v>30.902750758635928</v>
      </c>
      <c r="AD126" s="379">
        <f t="shared" si="46"/>
        <v>31.00925514722331</v>
      </c>
      <c r="AE126" s="379">
        <f t="shared" si="46"/>
        <v>31.151942305160659</v>
      </c>
      <c r="AF126" s="379">
        <f t="shared" si="46"/>
        <v>31.330230899332083</v>
      </c>
      <c r="AG126" s="379">
        <f t="shared" si="46"/>
        <v>31.543595556298627</v>
      </c>
    </row>
    <row r="127" spans="1:34">
      <c r="A127" s="300" t="s">
        <v>322</v>
      </c>
      <c r="B127" s="300" t="s">
        <v>300</v>
      </c>
      <c r="C127" s="379">
        <f t="shared" ref="C127:AG127" si="47">(C120+C121+C122+C123)/($C$22*$C$21)</f>
        <v>25.759666666666668</v>
      </c>
      <c r="D127" s="379">
        <f t="shared" si="47"/>
        <v>26.508333333333333</v>
      </c>
      <c r="E127" s="379">
        <f t="shared" si="47"/>
        <v>27.284913333333336</v>
      </c>
      <c r="F127" s="379">
        <f t="shared" si="47"/>
        <v>28.089722866666666</v>
      </c>
      <c r="G127" s="379">
        <f t="shared" si="47"/>
        <v>28.939423844666663</v>
      </c>
      <c r="H127" s="379">
        <f t="shared" si="47"/>
        <v>29.951357715753335</v>
      </c>
      <c r="I127" s="379">
        <f t="shared" si="47"/>
        <v>30.883879310856464</v>
      </c>
      <c r="J127" s="379">
        <f t="shared" si="47"/>
        <v>31.84535737596179</v>
      </c>
      <c r="K127" s="379">
        <f t="shared" si="47"/>
        <v>32.853508459264702</v>
      </c>
      <c r="L127" s="379">
        <f t="shared" si="47"/>
        <v>33.891397487115711</v>
      </c>
      <c r="M127" s="379">
        <f t="shared" si="47"/>
        <v>34.976438362975557</v>
      </c>
      <c r="N127" s="379">
        <f t="shared" si="47"/>
        <v>36.109061256966896</v>
      </c>
      <c r="O127" s="379">
        <f t="shared" si="47"/>
        <v>37.290046586979265</v>
      </c>
      <c r="P127" s="379">
        <f t="shared" si="47"/>
        <v>38.519525692322802</v>
      </c>
      <c r="Q127" s="379">
        <f t="shared" si="47"/>
        <v>39.797981534298728</v>
      </c>
      <c r="R127" s="379">
        <f t="shared" si="47"/>
        <v>41.126249424763195</v>
      </c>
      <c r="S127" s="379">
        <f t="shared" si="47"/>
        <v>42.518517783803816</v>
      </c>
      <c r="T127" s="379">
        <f t="shared" si="47"/>
        <v>43.977328927693236</v>
      </c>
      <c r="U127" s="379">
        <f t="shared" si="47"/>
        <v>45.487579888330274</v>
      </c>
      <c r="V127" s="379">
        <f t="shared" si="47"/>
        <v>47.066189932094758</v>
      </c>
      <c r="W127" s="379">
        <f t="shared" si="47"/>
        <v>48.696768112758797</v>
      </c>
      <c r="X127" s="379">
        <f t="shared" si="47"/>
        <v>50.397614193149856</v>
      </c>
      <c r="Y127" s="379">
        <f t="shared" si="47"/>
        <v>52.168386270315374</v>
      </c>
      <c r="Z127" s="379">
        <f t="shared" si="47"/>
        <v>54.01076843899525</v>
      </c>
      <c r="AA127" s="379">
        <f t="shared" si="47"/>
        <v>55.925138494934309</v>
      </c>
      <c r="AB127" s="379">
        <f t="shared" si="47"/>
        <v>57.928902346294727</v>
      </c>
      <c r="AC127" s="379">
        <f t="shared" si="47"/>
        <v>60.006495134825215</v>
      </c>
      <c r="AD127" s="379">
        <f t="shared" si="47"/>
        <v>62.175382401843677</v>
      </c>
      <c r="AE127" s="379">
        <f t="shared" si="47"/>
        <v>64.436061300825827</v>
      </c>
      <c r="AF127" s="379">
        <f t="shared" si="47"/>
        <v>66.790061858462991</v>
      </c>
      <c r="AG127" s="379">
        <f t="shared" si="47"/>
        <v>69.238281619461702</v>
      </c>
    </row>
    <row r="128" spans="1:34">
      <c r="A128" s="300" t="s">
        <v>310</v>
      </c>
      <c r="B128" s="300" t="s">
        <v>300</v>
      </c>
      <c r="C128" s="379">
        <f t="shared" ref="C128:AG128" si="48">C116/($C$22*$C$21*7)</f>
        <v>3.4994047619047626</v>
      </c>
      <c r="D128" s="379">
        <f t="shared" si="48"/>
        <v>3.5291666666666672</v>
      </c>
      <c r="E128" s="379">
        <f t="shared" si="48"/>
        <v>3.5636904761904766</v>
      </c>
      <c r="F128" s="379">
        <f t="shared" si="48"/>
        <v>3.6029761904761912</v>
      </c>
      <c r="G128" s="379">
        <f t="shared" si="48"/>
        <v>3.6464285714285718</v>
      </c>
      <c r="H128" s="379">
        <f t="shared" si="48"/>
        <v>3.9327380952380961</v>
      </c>
      <c r="I128" s="379">
        <f t="shared" si="48"/>
        <v>4.0000000000000009</v>
      </c>
      <c r="J128" s="379">
        <f t="shared" si="48"/>
        <v>4.0708333333333346</v>
      </c>
      <c r="K128" s="379">
        <f t="shared" si="48"/>
        <v>4.1464285714285722</v>
      </c>
      <c r="L128" s="379">
        <f t="shared" si="48"/>
        <v>4.2255952380952388</v>
      </c>
      <c r="M128" s="379">
        <f t="shared" si="48"/>
        <v>4.3089285714285728</v>
      </c>
      <c r="N128" s="379">
        <f t="shared" si="48"/>
        <v>6.1550000000000011</v>
      </c>
      <c r="O128" s="379">
        <f t="shared" si="48"/>
        <v>6.2841666666666676</v>
      </c>
      <c r="P128" s="379">
        <f t="shared" si="48"/>
        <v>6.4191666666666674</v>
      </c>
      <c r="Q128" s="379">
        <f t="shared" si="48"/>
        <v>6.5600000000000023</v>
      </c>
      <c r="R128" s="379">
        <f t="shared" si="48"/>
        <v>6.7075000000000022</v>
      </c>
      <c r="S128" s="379">
        <f t="shared" si="48"/>
        <v>6.8958333333333357</v>
      </c>
      <c r="T128" s="379">
        <f t="shared" si="48"/>
        <v>7.0883333333333356</v>
      </c>
      <c r="U128" s="379">
        <f t="shared" si="48"/>
        <v>7.2875000000000023</v>
      </c>
      <c r="V128" s="379">
        <f t="shared" si="48"/>
        <v>7.4925000000000024</v>
      </c>
      <c r="W128" s="379">
        <f t="shared" si="48"/>
        <v>7.7025000000000023</v>
      </c>
      <c r="X128" s="379">
        <f t="shared" si="48"/>
        <v>9.0514285714285716</v>
      </c>
      <c r="Y128" s="379">
        <f t="shared" si="48"/>
        <v>9.305714285714286</v>
      </c>
      <c r="Z128" s="379">
        <f t="shared" si="48"/>
        <v>9.5685714285714294</v>
      </c>
      <c r="AA128" s="379">
        <f t="shared" si="48"/>
        <v>9.8390476190476193</v>
      </c>
      <c r="AB128" s="379">
        <f t="shared" si="48"/>
        <v>10.117142857142857</v>
      </c>
      <c r="AC128" s="379">
        <f t="shared" si="48"/>
        <v>10.403809523809525</v>
      </c>
      <c r="AD128" s="379">
        <f t="shared" si="48"/>
        <v>10.699047619047619</v>
      </c>
      <c r="AE128" s="379">
        <f t="shared" si="48"/>
        <v>11.001904761904761</v>
      </c>
      <c r="AF128" s="379">
        <f t="shared" si="48"/>
        <v>11.314285714285715</v>
      </c>
      <c r="AG128" s="379">
        <f t="shared" si="48"/>
        <v>11.636190476190476</v>
      </c>
    </row>
    <row r="129" spans="1:34" s="352" customFormat="1">
      <c r="A129" s="380" t="s">
        <v>323</v>
      </c>
      <c r="B129" s="352" t="s">
        <v>300</v>
      </c>
      <c r="C129" s="384">
        <f>SUM(C125:C127)-C128</f>
        <v>110.53570361638874</v>
      </c>
      <c r="D129" s="384">
        <f t="shared" ref="D129:AG129" si="49">SUM(D125:D127)-D128</f>
        <v>110.8168361211743</v>
      </c>
      <c r="E129" s="384">
        <f t="shared" si="49"/>
        <v>111.2122339007996</v>
      </c>
      <c r="F129" s="384">
        <f t="shared" si="49"/>
        <v>111.72083306267209</v>
      </c>
      <c r="G129" s="384">
        <f t="shared" si="49"/>
        <v>112.35492519673306</v>
      </c>
      <c r="H129" s="384">
        <f t="shared" si="49"/>
        <v>114.45634892640302</v>
      </c>
      <c r="I129" s="384">
        <f t="shared" si="49"/>
        <v>111.9042391067178</v>
      </c>
      <c r="J129" s="384">
        <f t="shared" si="49"/>
        <v>111.2137238207642</v>
      </c>
      <c r="K129" s="384">
        <f t="shared" si="49"/>
        <v>110.66138018745824</v>
      </c>
      <c r="L129" s="384">
        <f t="shared" si="49"/>
        <v>110.22162940899723</v>
      </c>
      <c r="M129" s="384">
        <f t="shared" si="49"/>
        <v>109.91251679582433</v>
      </c>
      <c r="N129" s="384">
        <f t="shared" si="49"/>
        <v>107.97357609566684</v>
      </c>
      <c r="O129" s="384">
        <f t="shared" si="49"/>
        <v>107.88665345303826</v>
      </c>
      <c r="P129" s="384">
        <f t="shared" si="49"/>
        <v>107.92335273858906</v>
      </c>
      <c r="Q129" s="384">
        <f t="shared" si="49"/>
        <v>108.08210715804076</v>
      </c>
      <c r="R129" s="384">
        <f t="shared" si="49"/>
        <v>108.36460471039884</v>
      </c>
      <c r="S129" s="384">
        <f t="shared" si="49"/>
        <v>106.97606183586473</v>
      </c>
      <c r="T129" s="384">
        <f t="shared" si="49"/>
        <v>107.91801875208598</v>
      </c>
      <c r="U129" s="384">
        <f t="shared" si="49"/>
        <v>108.9755283643383</v>
      </c>
      <c r="V129" s="384">
        <f t="shared" si="49"/>
        <v>110.16089486519552</v>
      </c>
      <c r="W129" s="384">
        <f t="shared" si="49"/>
        <v>111.4531958371751</v>
      </c>
      <c r="X129" s="384">
        <f t="shared" si="49"/>
        <v>111.74612510283524</v>
      </c>
      <c r="Y129" s="384">
        <f t="shared" si="49"/>
        <v>113.26039881227575</v>
      </c>
      <c r="Z129" s="384">
        <f t="shared" si="49"/>
        <v>114.90395730615236</v>
      </c>
      <c r="AA129" s="384">
        <f t="shared" si="49"/>
        <v>116.67306212117569</v>
      </c>
      <c r="AB129" s="384">
        <f t="shared" si="49"/>
        <v>118.58376787761941</v>
      </c>
      <c r="AC129" s="384">
        <f t="shared" si="49"/>
        <v>120.39947215276486</v>
      </c>
      <c r="AD129" s="384">
        <f t="shared" si="49"/>
        <v>123.5117340152898</v>
      </c>
      <c r="AE129" s="384">
        <f t="shared" si="49"/>
        <v>126.77356692962951</v>
      </c>
      <c r="AF129" s="384">
        <f t="shared" si="49"/>
        <v>130.19131875198477</v>
      </c>
      <c r="AG129" s="384">
        <f t="shared" si="49"/>
        <v>133.76536165362307</v>
      </c>
    </row>
    <row r="130" spans="1:34" s="344" customFormat="1">
      <c r="A130" s="342" t="s">
        <v>182</v>
      </c>
      <c r="B130" s="342"/>
      <c r="H130" s="385">
        <f>H132/H63</f>
        <v>1.8061281337047355</v>
      </c>
      <c r="AB130" s="385" t="e">
        <f>SUM(#REF!)/AB63</f>
        <v>#REF!</v>
      </c>
    </row>
    <row r="131" spans="1:34">
      <c r="A131" s="360" t="s">
        <v>41</v>
      </c>
      <c r="B131" s="360"/>
      <c r="C131" s="360">
        <v>2025</v>
      </c>
      <c r="D131" s="360">
        <f>C131+1</f>
        <v>2026</v>
      </c>
      <c r="E131" s="360">
        <f t="shared" ref="E131:AG131" si="50">D131+1</f>
        <v>2027</v>
      </c>
      <c r="F131" s="360">
        <f t="shared" si="50"/>
        <v>2028</v>
      </c>
      <c r="G131" s="360">
        <f t="shared" si="50"/>
        <v>2029</v>
      </c>
      <c r="H131" s="360">
        <f t="shared" si="50"/>
        <v>2030</v>
      </c>
      <c r="I131" s="360">
        <f t="shared" si="50"/>
        <v>2031</v>
      </c>
      <c r="J131" s="360">
        <f t="shared" si="50"/>
        <v>2032</v>
      </c>
      <c r="K131" s="360">
        <f t="shared" si="50"/>
        <v>2033</v>
      </c>
      <c r="L131" s="360">
        <f t="shared" si="50"/>
        <v>2034</v>
      </c>
      <c r="M131" s="360">
        <f t="shared" si="50"/>
        <v>2035</v>
      </c>
      <c r="N131" s="360">
        <f t="shared" si="50"/>
        <v>2036</v>
      </c>
      <c r="O131" s="360">
        <f t="shared" si="50"/>
        <v>2037</v>
      </c>
      <c r="P131" s="360">
        <f t="shared" si="50"/>
        <v>2038</v>
      </c>
      <c r="Q131" s="360">
        <f t="shared" si="50"/>
        <v>2039</v>
      </c>
      <c r="R131" s="360">
        <f t="shared" si="50"/>
        <v>2040</v>
      </c>
      <c r="S131" s="360">
        <f t="shared" si="50"/>
        <v>2041</v>
      </c>
      <c r="T131" s="360">
        <f t="shared" si="50"/>
        <v>2042</v>
      </c>
      <c r="U131" s="360">
        <f t="shared" si="50"/>
        <v>2043</v>
      </c>
      <c r="V131" s="360">
        <f t="shared" si="50"/>
        <v>2044</v>
      </c>
      <c r="W131" s="360">
        <f t="shared" si="50"/>
        <v>2045</v>
      </c>
      <c r="X131" s="360">
        <f t="shared" si="50"/>
        <v>2046</v>
      </c>
      <c r="Y131" s="360">
        <f t="shared" si="50"/>
        <v>2047</v>
      </c>
      <c r="Z131" s="360">
        <f t="shared" si="50"/>
        <v>2048</v>
      </c>
      <c r="AA131" s="360">
        <f t="shared" si="50"/>
        <v>2049</v>
      </c>
      <c r="AB131" s="360">
        <f t="shared" si="50"/>
        <v>2050</v>
      </c>
      <c r="AC131" s="360">
        <f t="shared" si="50"/>
        <v>2051</v>
      </c>
      <c r="AD131" s="360">
        <f t="shared" si="50"/>
        <v>2052</v>
      </c>
      <c r="AE131" s="360">
        <f t="shared" si="50"/>
        <v>2053</v>
      </c>
      <c r="AF131" s="360">
        <f t="shared" si="50"/>
        <v>2054</v>
      </c>
      <c r="AG131" s="360">
        <f t="shared" si="50"/>
        <v>2055</v>
      </c>
    </row>
    <row r="132" spans="1:34">
      <c r="A132" s="368" t="s">
        <v>329</v>
      </c>
      <c r="B132" s="300" t="s">
        <v>309</v>
      </c>
      <c r="C132" s="376">
        <f>ROUND(('Changing with year'!C136)/1000,0)*1000</f>
        <v>10205000</v>
      </c>
      <c r="D132" s="376">
        <f>ROUND(('Changing with year'!D136)/1000,0)*1000</f>
        <v>10170000</v>
      </c>
      <c r="E132" s="376">
        <f>ROUND(('Changing with year'!E136)/1000,0)*1000</f>
        <v>10143000</v>
      </c>
      <c r="F132" s="376">
        <f>ROUND(('Changing with year'!F136)/1000,0)*1000</f>
        <v>9921000</v>
      </c>
      <c r="G132" s="376">
        <f>ROUND(('Changing with year'!G136)/1000,0)*1000</f>
        <v>9715000</v>
      </c>
      <c r="H132" s="376">
        <f>ROUND(('Changing with year'!H136)/1000,0)*1000</f>
        <v>9726000</v>
      </c>
      <c r="I132" s="376">
        <f>ROUND(('Changing with year'!I136)/1000,0)*1000</f>
        <v>9568000</v>
      </c>
      <c r="J132" s="376">
        <f>ROUND(('Changing with year'!J136)/1000,0)*1000</f>
        <v>9618000</v>
      </c>
      <c r="K132" s="376">
        <f>ROUND(('Changing with year'!K136)/1000,0)*1000</f>
        <v>9675000</v>
      </c>
      <c r="L132" s="376">
        <f>ROUND(('Changing with year'!L136)/1000,0)*1000</f>
        <v>9739000</v>
      </c>
      <c r="M132" s="376">
        <f>ROUND(('Changing with year'!M136)/1000,0)*1000</f>
        <v>9810000</v>
      </c>
      <c r="N132" s="376">
        <f>ROUND(('Changing with year'!N136)/1000,0)*1000</f>
        <v>9888000</v>
      </c>
      <c r="O132" s="376">
        <f>ROUND(('Changing with year'!O136)/1000,0)*1000</f>
        <v>9974000</v>
      </c>
      <c r="P132" s="376">
        <f>ROUND(('Changing with year'!P136)/1000,0)*1000</f>
        <v>10068000</v>
      </c>
      <c r="Q132" s="376">
        <f>ROUND(('Changing with year'!Q136)/1000,0)*1000</f>
        <v>10169000</v>
      </c>
      <c r="R132" s="376">
        <f>ROUND(('Changing with year'!R136)/1000,0)*1000</f>
        <v>10278000</v>
      </c>
      <c r="S132" s="376">
        <f>ROUND(('Changing with year'!S136)/1000,0)*1000</f>
        <v>10305000</v>
      </c>
      <c r="T132" s="376">
        <f>ROUND(('Changing with year'!T136)/1000,0)*1000</f>
        <v>10497000</v>
      </c>
      <c r="U132" s="376">
        <f>ROUND(('Changing with year'!U136)/1000,0)*1000</f>
        <v>10696000</v>
      </c>
      <c r="V132" s="376">
        <f>ROUND(('Changing with year'!V136)/1000,0)*1000</f>
        <v>10902000</v>
      </c>
      <c r="W132" s="376">
        <f>ROUND(('Changing with year'!W136)/1000,0)*1000</f>
        <v>11115000</v>
      </c>
      <c r="X132" s="376">
        <f>ROUND(('Changing with year'!X136)/1000,0)*1000</f>
        <v>11336000</v>
      </c>
      <c r="Y132" s="376">
        <f>ROUND(('Changing with year'!Y136)/1000,0)*1000</f>
        <v>11564000</v>
      </c>
      <c r="Z132" s="376">
        <f>ROUND(('Changing with year'!Z136)/1000,0)*1000</f>
        <v>11800000</v>
      </c>
      <c r="AA132" s="376">
        <f>ROUND(('Changing with year'!AA136)/1000,0)*1000</f>
        <v>12044000</v>
      </c>
      <c r="AB132" s="376">
        <f>ROUND(('Changing with year'!AB136)/1000,0)*1000</f>
        <v>12296000</v>
      </c>
      <c r="AC132" s="376">
        <f>ROUND(('Changing with year'!AC136)/1000,0)*1000</f>
        <v>12605000</v>
      </c>
      <c r="AD132" s="376">
        <f>ROUND(('Changing with year'!AD136)/1000,0)*1000</f>
        <v>12922000</v>
      </c>
      <c r="AE132" s="376">
        <f>ROUND(('Changing with year'!AE136)/1000,0)*1000</f>
        <v>13249000</v>
      </c>
      <c r="AF132" s="376">
        <f>ROUND(('Changing with year'!AF136)/1000,0)*1000</f>
        <v>13584000</v>
      </c>
      <c r="AG132" s="376">
        <f>ROUND(('Changing with year'!AG136)/1000,0)*1000</f>
        <v>13930000</v>
      </c>
    </row>
    <row r="133" spans="1:34">
      <c r="A133" s="368" t="s">
        <v>310</v>
      </c>
      <c r="B133" s="300" t="s">
        <v>309</v>
      </c>
      <c r="C133" s="376">
        <f>(C132*'No change with year'!$AK$18)</f>
        <v>2041000.0000000007</v>
      </c>
      <c r="D133" s="376">
        <f>(D132*'No change with year'!$AK$18)</f>
        <v>2034000.0000000007</v>
      </c>
      <c r="E133" s="376">
        <f>(E132*'No change with year'!$AK$18)</f>
        <v>2028600.0000000007</v>
      </c>
      <c r="F133" s="376">
        <f>(F132*'No change with year'!$AK$18)</f>
        <v>1984200.0000000007</v>
      </c>
      <c r="G133" s="376">
        <f>(G132*'No change with year'!$AK$18)</f>
        <v>1943000.0000000007</v>
      </c>
      <c r="H133" s="376">
        <f>(H132*'No change with year'!$AK$18)</f>
        <v>1945200.0000000007</v>
      </c>
      <c r="I133" s="376">
        <f>(I132*'No change with year'!$AK$18)</f>
        <v>1913600.0000000007</v>
      </c>
      <c r="J133" s="376">
        <f>(J132*'No change with year'!$AK$18)</f>
        <v>1923600.0000000007</v>
      </c>
      <c r="K133" s="376">
        <f>(K132*'No change with year'!$AK$18)</f>
        <v>1935000.0000000007</v>
      </c>
      <c r="L133" s="376">
        <f>(L132*'No change with year'!$AK$18)</f>
        <v>1947800.0000000007</v>
      </c>
      <c r="M133" s="376">
        <f>(M132*'No change with year'!$AK$18)</f>
        <v>1962000.0000000007</v>
      </c>
      <c r="N133" s="376">
        <f>(N132*'No change with year'!$AL$18)</f>
        <v>2966400.0000000005</v>
      </c>
      <c r="O133" s="376">
        <f>(O132*'No change with year'!$AL$18)</f>
        <v>2992200.0000000005</v>
      </c>
      <c r="P133" s="376">
        <f>(P132*'No change with year'!$AL$18)</f>
        <v>3020400.0000000005</v>
      </c>
      <c r="Q133" s="376">
        <f>(Q132*'No change with year'!$AL$18)</f>
        <v>3050700.0000000005</v>
      </c>
      <c r="R133" s="376">
        <f>(R132*'No change with year'!$AL$18)</f>
        <v>3083400.0000000005</v>
      </c>
      <c r="S133" s="376">
        <f>(S132*'No change with year'!$AL$18)</f>
        <v>3091500.0000000005</v>
      </c>
      <c r="T133" s="376">
        <f>(T132*'No change with year'!$AL$18)</f>
        <v>3149100.0000000005</v>
      </c>
      <c r="U133" s="376">
        <f>(U132*'No change with year'!$AL$18)</f>
        <v>3208800.0000000005</v>
      </c>
      <c r="V133" s="376">
        <f>(V132*'No change with year'!$AL$18)</f>
        <v>3270600.0000000005</v>
      </c>
      <c r="W133" s="376">
        <f>(W132*'No change with year'!$AL$18)</f>
        <v>3334500.0000000005</v>
      </c>
      <c r="X133" s="376">
        <f>(X132*'No change with year'!$AM$18)</f>
        <v>4534400</v>
      </c>
      <c r="Y133" s="376">
        <f>(Y132*'No change with year'!$AM$18)</f>
        <v>4625600</v>
      </c>
      <c r="Z133" s="376">
        <f>(Z132*'No change with year'!$AM$18)</f>
        <v>4720000</v>
      </c>
      <c r="AA133" s="376">
        <f>(AA132*'No change with year'!$AM$18)</f>
        <v>4817600</v>
      </c>
      <c r="AB133" s="376">
        <f>(AB132*'No change with year'!$AM$18)</f>
        <v>4918400</v>
      </c>
      <c r="AC133" s="376">
        <f>(AC132*'No change with year'!$AM$18)</f>
        <v>5042000</v>
      </c>
      <c r="AD133" s="376">
        <f>(AD132*'No change with year'!$AM$18)</f>
        <v>5168800</v>
      </c>
      <c r="AE133" s="376">
        <f>(AE132*'No change with year'!$AM$18)</f>
        <v>5299600</v>
      </c>
      <c r="AF133" s="376">
        <f>(AF132*'No change with year'!$AM$18)</f>
        <v>5433600</v>
      </c>
      <c r="AG133" s="376">
        <f>(AG132*'No change with year'!$AM$18)</f>
        <v>5572000</v>
      </c>
    </row>
    <row r="134" spans="1:34" s="371" customFormat="1" ht="11.85" customHeight="1">
      <c r="A134" s="377" t="s">
        <v>311</v>
      </c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  <c r="AA134" s="383"/>
      <c r="AB134" s="383"/>
      <c r="AC134" s="383"/>
      <c r="AD134" s="383"/>
      <c r="AE134" s="383"/>
      <c r="AF134" s="383"/>
      <c r="AG134" s="383"/>
    </row>
    <row r="135" spans="1:34">
      <c r="A135" s="300" t="s">
        <v>325</v>
      </c>
      <c r="B135" s="300" t="s">
        <v>313</v>
      </c>
      <c r="C135" s="376">
        <f>-PMT($C$28,$C$27,C132)</f>
        <v>2236096.4948736937</v>
      </c>
      <c r="D135" s="376">
        <f t="shared" ref="D135:AG135" si="51">-PMT($C$28,$C$27,D132)</f>
        <v>2228427.3741171448</v>
      </c>
      <c r="E135" s="376">
        <f t="shared" si="51"/>
        <v>2222511.1952478075</v>
      </c>
      <c r="F135" s="376">
        <f t="shared" si="51"/>
        <v>2173867.0578776989</v>
      </c>
      <c r="G135" s="376">
        <f t="shared" si="51"/>
        <v>2128728.8042820124</v>
      </c>
      <c r="H135" s="376">
        <f t="shared" si="51"/>
        <v>2131139.0993769276</v>
      </c>
      <c r="I135" s="376">
        <f t="shared" si="51"/>
        <v>2096518.4971045079</v>
      </c>
      <c r="J135" s="376">
        <f t="shared" si="51"/>
        <v>2107474.3838995774</v>
      </c>
      <c r="K135" s="376">
        <f t="shared" si="51"/>
        <v>2119964.0948459567</v>
      </c>
      <c r="L135" s="376">
        <f t="shared" si="51"/>
        <v>2133987.629943646</v>
      </c>
      <c r="M135" s="376">
        <f t="shared" si="51"/>
        <v>2149544.9891926446</v>
      </c>
      <c r="N135" s="376">
        <f t="shared" si="51"/>
        <v>2166636.1725929528</v>
      </c>
      <c r="O135" s="376">
        <f t="shared" si="51"/>
        <v>2185480.2978804726</v>
      </c>
      <c r="P135" s="376">
        <f t="shared" si="51"/>
        <v>2206077.3650552034</v>
      </c>
      <c r="Q135" s="376">
        <f t="shared" si="51"/>
        <v>2228208.2563812435</v>
      </c>
      <c r="R135" s="376">
        <f t="shared" si="51"/>
        <v>2252092.0895944955</v>
      </c>
      <c r="S135" s="376">
        <f t="shared" si="51"/>
        <v>2258008.2684638328</v>
      </c>
      <c r="T135" s="376">
        <f t="shared" si="51"/>
        <v>2300078.8737569</v>
      </c>
      <c r="U135" s="376">
        <f t="shared" si="51"/>
        <v>2343683.3032012768</v>
      </c>
      <c r="V135" s="376">
        <f t="shared" si="51"/>
        <v>2388821.5567969633</v>
      </c>
      <c r="W135" s="376">
        <f t="shared" si="51"/>
        <v>2435493.6345439595</v>
      </c>
      <c r="X135" s="376">
        <f t="shared" si="51"/>
        <v>2483918.6541781672</v>
      </c>
      <c r="Y135" s="376">
        <f t="shared" si="51"/>
        <v>2533877.4979636841</v>
      </c>
      <c r="Z135" s="376">
        <f t="shared" si="51"/>
        <v>2585589.2836364121</v>
      </c>
      <c r="AA135" s="376">
        <f t="shared" si="51"/>
        <v>2639054.0111963521</v>
      </c>
      <c r="AB135" s="376">
        <f t="shared" si="51"/>
        <v>2694271.6806435022</v>
      </c>
      <c r="AC135" s="376">
        <f t="shared" si="51"/>
        <v>2761979.0610370319</v>
      </c>
      <c r="AD135" s="376">
        <f t="shared" si="51"/>
        <v>2831439.3833177728</v>
      </c>
      <c r="AE135" s="376">
        <f t="shared" si="51"/>
        <v>2903090.8829575279</v>
      </c>
      <c r="AF135" s="376">
        <f t="shared" si="51"/>
        <v>2976495.3244844936</v>
      </c>
      <c r="AG135" s="376">
        <f t="shared" si="51"/>
        <v>3052310.061106375</v>
      </c>
    </row>
    <row r="136" spans="1:34">
      <c r="A136" s="300" t="s">
        <v>330</v>
      </c>
      <c r="B136" s="300" t="s">
        <v>313</v>
      </c>
      <c r="C136" s="376">
        <f t="shared" ref="C136:AG136" si="52">$G$38*C51</f>
        <v>894738.58458477724</v>
      </c>
      <c r="D136" s="376">
        <f t="shared" si="52"/>
        <v>905988.58458477736</v>
      </c>
      <c r="E136" s="376">
        <f t="shared" si="52"/>
        <v>910732.83725178358</v>
      </c>
      <c r="F136" s="376">
        <f t="shared" si="52"/>
        <v>910372.63651207136</v>
      </c>
      <c r="G136" s="376">
        <f t="shared" si="52"/>
        <v>902185.96218677319</v>
      </c>
      <c r="H136" s="376">
        <f t="shared" si="52"/>
        <v>908827.27630957158</v>
      </c>
      <c r="I136" s="376">
        <f t="shared" si="52"/>
        <v>788463.0612353544</v>
      </c>
      <c r="J136" s="376">
        <f t="shared" si="52"/>
        <v>768852.69349395845</v>
      </c>
      <c r="K136" s="376">
        <f t="shared" si="52"/>
        <v>735941.68644073233</v>
      </c>
      <c r="L136" s="376">
        <f t="shared" si="52"/>
        <v>708187.57675504254</v>
      </c>
      <c r="M136" s="376">
        <f t="shared" si="52"/>
        <v>686303.79502272548</v>
      </c>
      <c r="N136" s="376">
        <f t="shared" si="52"/>
        <v>678756.50836593099</v>
      </c>
      <c r="O136" s="376">
        <f t="shared" si="52"/>
        <v>671678.7502402364</v>
      </c>
      <c r="P136" s="376">
        <f t="shared" si="52"/>
        <v>662643.06846683461</v>
      </c>
      <c r="Q136" s="376">
        <f t="shared" si="52"/>
        <v>656465.27097084431</v>
      </c>
      <c r="R136" s="376">
        <f t="shared" si="52"/>
        <v>653748.00296258728</v>
      </c>
      <c r="S136" s="376">
        <f t="shared" si="52"/>
        <v>654088.09842635144</v>
      </c>
      <c r="T136" s="376">
        <f t="shared" si="52"/>
        <v>657440.14263763791</v>
      </c>
      <c r="U136" s="376">
        <f t="shared" si="52"/>
        <v>658620.31906683929</v>
      </c>
      <c r="V136" s="376">
        <f t="shared" si="52"/>
        <v>660261.79093010374</v>
      </c>
      <c r="W136" s="376">
        <f t="shared" si="52"/>
        <v>662443.38836580422</v>
      </c>
      <c r="X136" s="376">
        <f t="shared" si="52"/>
        <v>665147.05109678768</v>
      </c>
      <c r="Y136" s="376">
        <f t="shared" si="52"/>
        <v>668351.05281040375</v>
      </c>
      <c r="Z136" s="376">
        <f t="shared" si="52"/>
        <v>672140.61919766944</v>
      </c>
      <c r="AA136" s="376">
        <f t="shared" si="52"/>
        <v>676609.77348049392</v>
      </c>
      <c r="AB136" s="376">
        <f t="shared" si="52"/>
        <v>681685.07809442212</v>
      </c>
      <c r="AC136" s="376">
        <f t="shared" si="52"/>
        <v>699900.59602243116</v>
      </c>
      <c r="AD136" s="376">
        <f t="shared" si="52"/>
        <v>722254.39164918335</v>
      </c>
      <c r="AE136" s="376">
        <f t="shared" si="52"/>
        <v>745427.50469615811</v>
      </c>
      <c r="AF136" s="376">
        <f t="shared" si="52"/>
        <v>769726.21378155751</v>
      </c>
      <c r="AG136" s="376">
        <f t="shared" si="52"/>
        <v>795286.64968809008</v>
      </c>
    </row>
    <row r="137" spans="1:34">
      <c r="A137" s="300" t="s">
        <v>317</v>
      </c>
      <c r="B137" s="300" t="s">
        <v>313</v>
      </c>
      <c r="C137" s="376">
        <f t="shared" ref="C137:AG137" si="53">$C$22*$C$21*C58</f>
        <v>482240.92320714152</v>
      </c>
      <c r="D137" s="376">
        <f t="shared" si="53"/>
        <v>484146.90012696298</v>
      </c>
      <c r="E137" s="376">
        <f t="shared" si="53"/>
        <v>486563.7076237888</v>
      </c>
      <c r="F137" s="376">
        <f t="shared" si="53"/>
        <v>489500.91413319408</v>
      </c>
      <c r="G137" s="376">
        <f t="shared" si="53"/>
        <v>492968.74244786426</v>
      </c>
      <c r="H137" s="376">
        <f t="shared" si="53"/>
        <v>496978.0891013876</v>
      </c>
      <c r="I137" s="376">
        <f t="shared" si="53"/>
        <v>502718.74992549111</v>
      </c>
      <c r="J137" s="376">
        <f t="shared" si="53"/>
        <v>508971.80643735768</v>
      </c>
      <c r="K137" s="376">
        <f t="shared" si="53"/>
        <v>515752.09907940205</v>
      </c>
      <c r="L137" s="376">
        <f t="shared" si="53"/>
        <v>523075.17501943727</v>
      </c>
      <c r="M137" s="376">
        <f t="shared" si="53"/>
        <v>530957.3141575366</v>
      </c>
      <c r="N137" s="376">
        <f t="shared" si="53"/>
        <v>539415.55621841352</v>
      </c>
      <c r="O137" s="376">
        <f t="shared" si="53"/>
        <v>548467.72897183395</v>
      </c>
      <c r="P137" s="376">
        <f t="shared" si="53"/>
        <v>558132.4776252975</v>
      </c>
      <c r="Q137" s="376">
        <f t="shared" si="53"/>
        <v>568429.29543500789</v>
      </c>
      <c r="R137" s="376">
        <f t="shared" si="53"/>
        <v>579378.55558301264</v>
      </c>
      <c r="S137" s="376">
        <f t="shared" si="53"/>
        <v>592926.90327632672</v>
      </c>
      <c r="T137" s="376">
        <f t="shared" si="53"/>
        <v>607113.4528226736</v>
      </c>
      <c r="U137" s="376">
        <f t="shared" si="53"/>
        <v>621962.76961672143</v>
      </c>
      <c r="V137" s="376">
        <f t="shared" si="53"/>
        <v>637500.41129571968</v>
      </c>
      <c r="W137" s="376">
        <f t="shared" si="53"/>
        <v>653752.9673329345</v>
      </c>
      <c r="X137" s="376">
        <f t="shared" si="53"/>
        <v>670748.10021578427</v>
      </c>
      <c r="Y137" s="376">
        <f t="shared" si="53"/>
        <v>688514.58827205247</v>
      </c>
      <c r="Z137" s="376">
        <f t="shared" si="53"/>
        <v>707082.37021009519</v>
      </c>
      <c r="AA137" s="376">
        <f t="shared" si="53"/>
        <v>726482.59144158789</v>
      </c>
      <c r="AB137" s="376">
        <f t="shared" si="53"/>
        <v>746747.65225810942</v>
      </c>
      <c r="AC137" s="376">
        <f t="shared" si="53"/>
        <v>771393.77810079558</v>
      </c>
      <c r="AD137" s="376">
        <f t="shared" si="53"/>
        <v>796973.51117471268</v>
      </c>
      <c r="AE137" s="376">
        <f t="shared" si="53"/>
        <v>823523.67339108523</v>
      </c>
      <c r="AF137" s="376">
        <f t="shared" si="53"/>
        <v>851082.55431380682</v>
      </c>
      <c r="AG137" s="376">
        <f t="shared" si="53"/>
        <v>879689.96981330775</v>
      </c>
    </row>
    <row r="138" spans="1:34">
      <c r="A138" s="368" t="s">
        <v>318</v>
      </c>
      <c r="B138" s="300" t="s">
        <v>313</v>
      </c>
      <c r="C138" s="376">
        <f>'Changing with year'!C306</f>
        <v>660000</v>
      </c>
      <c r="D138" s="376">
        <f>'Changing with year'!D306</f>
        <v>690000</v>
      </c>
      <c r="E138" s="376">
        <f>'Changing with year'!E306</f>
        <v>721000</v>
      </c>
      <c r="F138" s="376">
        <f>'Changing with year'!F306</f>
        <v>753000</v>
      </c>
      <c r="G138" s="376">
        <f>'Changing with year'!G306</f>
        <v>787000</v>
      </c>
      <c r="H138" s="376">
        <f>'Changing with year'!H306</f>
        <v>822000</v>
      </c>
      <c r="I138" s="376">
        <f>'Changing with year'!I306</f>
        <v>859000</v>
      </c>
      <c r="J138" s="376">
        <f>'Changing with year'!J306</f>
        <v>898000</v>
      </c>
      <c r="K138" s="376">
        <f>'Changing with year'!K306</f>
        <v>938000</v>
      </c>
      <c r="L138" s="376">
        <f>'Changing with year'!L306</f>
        <v>980000</v>
      </c>
      <c r="M138" s="376">
        <f>'Changing with year'!M306</f>
        <v>1024000</v>
      </c>
      <c r="N138" s="376">
        <f>'Changing with year'!N306</f>
        <v>1070000</v>
      </c>
      <c r="O138" s="376">
        <f>'Changing with year'!O306</f>
        <v>1118000</v>
      </c>
      <c r="P138" s="376">
        <f>'Changing with year'!P306</f>
        <v>1168000</v>
      </c>
      <c r="Q138" s="376">
        <f>'Changing with year'!Q306</f>
        <v>1221000</v>
      </c>
      <c r="R138" s="376">
        <f>'Changing with year'!R306</f>
        <v>1276000</v>
      </c>
      <c r="S138" s="376">
        <f>'Changing with year'!S306</f>
        <v>1333000</v>
      </c>
      <c r="T138" s="376">
        <f>'Changing with year'!T306</f>
        <v>1393000</v>
      </c>
      <c r="U138" s="376">
        <f>'Changing with year'!U306</f>
        <v>1456000</v>
      </c>
      <c r="V138" s="376">
        <f>'Changing with year'!V306</f>
        <v>1522000</v>
      </c>
      <c r="W138" s="376">
        <f>'Changing with year'!W306</f>
        <v>1590000</v>
      </c>
      <c r="X138" s="376">
        <f>'Changing with year'!X306</f>
        <v>1662000</v>
      </c>
      <c r="Y138" s="376">
        <f>'Changing with year'!Y306</f>
        <v>1737000</v>
      </c>
      <c r="Z138" s="376">
        <f>'Changing with year'!Z306</f>
        <v>1815000</v>
      </c>
      <c r="AA138" s="376">
        <f>'Changing with year'!AA306</f>
        <v>1897000</v>
      </c>
      <c r="AB138" s="376">
        <f>'Changing with year'!AB306</f>
        <v>1982000</v>
      </c>
      <c r="AC138" s="376">
        <f>'Changing with year'!AC306</f>
        <v>2071000</v>
      </c>
      <c r="AD138" s="376">
        <f>'Changing with year'!AD306</f>
        <v>2164000</v>
      </c>
      <c r="AE138" s="376">
        <f>'Changing with year'!AE306</f>
        <v>2261000</v>
      </c>
      <c r="AF138" s="376">
        <f>'Changing with year'!AF306</f>
        <v>2363000</v>
      </c>
      <c r="AG138" s="376">
        <f>'Changing with year'!AG306</f>
        <v>2469000</v>
      </c>
      <c r="AH138" s="339"/>
    </row>
    <row r="139" spans="1:34">
      <c r="A139" s="300" t="s">
        <v>272</v>
      </c>
      <c r="B139" s="300" t="s">
        <v>313</v>
      </c>
      <c r="C139" s="376">
        <f t="shared" ref="C139:AG139" si="54">C61</f>
        <v>540000</v>
      </c>
      <c r="D139" s="376">
        <f t="shared" si="54"/>
        <v>545400</v>
      </c>
      <c r="E139" s="376">
        <f t="shared" si="54"/>
        <v>550854</v>
      </c>
      <c r="F139" s="376">
        <f t="shared" si="54"/>
        <v>556362.53999999992</v>
      </c>
      <c r="G139" s="376">
        <f t="shared" si="54"/>
        <v>561926.16539999994</v>
      </c>
      <c r="H139" s="376">
        <f t="shared" si="54"/>
        <v>567545.42705399997</v>
      </c>
      <c r="I139" s="376">
        <f t="shared" si="54"/>
        <v>573220.88132453989</v>
      </c>
      <c r="J139" s="376">
        <f t="shared" si="54"/>
        <v>578953.09013778542</v>
      </c>
      <c r="K139" s="376">
        <f t="shared" si="54"/>
        <v>584742.62103916332</v>
      </c>
      <c r="L139" s="376">
        <f t="shared" si="54"/>
        <v>590590.04724955501</v>
      </c>
      <c r="M139" s="376">
        <f t="shared" si="54"/>
        <v>596495.94772205048</v>
      </c>
      <c r="N139" s="376">
        <f t="shared" si="54"/>
        <v>602460.90719927102</v>
      </c>
      <c r="O139" s="376">
        <f t="shared" si="54"/>
        <v>608485.51627126383</v>
      </c>
      <c r="P139" s="376">
        <f t="shared" si="54"/>
        <v>614570.37143397657</v>
      </c>
      <c r="Q139" s="376">
        <f t="shared" si="54"/>
        <v>620716.07514831633</v>
      </c>
      <c r="R139" s="376">
        <f t="shared" si="54"/>
        <v>626923.2358997995</v>
      </c>
      <c r="S139" s="376">
        <f t="shared" si="54"/>
        <v>633192.46825879754</v>
      </c>
      <c r="T139" s="376">
        <f t="shared" si="54"/>
        <v>639524.39294138551</v>
      </c>
      <c r="U139" s="376">
        <f t="shared" si="54"/>
        <v>645919.63687079935</v>
      </c>
      <c r="V139" s="376">
        <f t="shared" si="54"/>
        <v>652378.83323950728</v>
      </c>
      <c r="W139" s="376">
        <f t="shared" si="54"/>
        <v>658902.62157190242</v>
      </c>
      <c r="X139" s="376">
        <f t="shared" si="54"/>
        <v>665491.64778762148</v>
      </c>
      <c r="Y139" s="376">
        <f t="shared" si="54"/>
        <v>672146.56426549761</v>
      </c>
      <c r="Z139" s="376">
        <f t="shared" si="54"/>
        <v>678868.02990815276</v>
      </c>
      <c r="AA139" s="376">
        <f t="shared" si="54"/>
        <v>685656.71020723425</v>
      </c>
      <c r="AB139" s="376">
        <f t="shared" si="54"/>
        <v>692513.27730930655</v>
      </c>
      <c r="AC139" s="376">
        <f t="shared" si="54"/>
        <v>699438.41008239973</v>
      </c>
      <c r="AD139" s="376">
        <f t="shared" si="54"/>
        <v>706432.79418322374</v>
      </c>
      <c r="AE139" s="376">
        <f t="shared" si="54"/>
        <v>713497.12212505599</v>
      </c>
      <c r="AF139" s="376">
        <f t="shared" si="54"/>
        <v>720632.09334630647</v>
      </c>
      <c r="AG139" s="376">
        <f t="shared" si="54"/>
        <v>727838.41427976964</v>
      </c>
    </row>
    <row r="140" spans="1:34">
      <c r="A140" s="300" t="s">
        <v>319</v>
      </c>
      <c r="B140" s="300" t="s">
        <v>313</v>
      </c>
      <c r="C140" s="386">
        <f t="shared" ref="C140:AG140" si="55">((C132)*$C$29)</f>
        <v>204100</v>
      </c>
      <c r="D140" s="386">
        <f t="shared" si="55"/>
        <v>203400</v>
      </c>
      <c r="E140" s="386">
        <f t="shared" si="55"/>
        <v>202860</v>
      </c>
      <c r="F140" s="386">
        <f t="shared" si="55"/>
        <v>198420</v>
      </c>
      <c r="G140" s="386">
        <f t="shared" si="55"/>
        <v>194300</v>
      </c>
      <c r="H140" s="386">
        <f t="shared" si="55"/>
        <v>194520</v>
      </c>
      <c r="I140" s="386">
        <f t="shared" si="55"/>
        <v>191360</v>
      </c>
      <c r="J140" s="386">
        <f t="shared" si="55"/>
        <v>192360</v>
      </c>
      <c r="K140" s="386">
        <f t="shared" si="55"/>
        <v>193500</v>
      </c>
      <c r="L140" s="386">
        <f t="shared" si="55"/>
        <v>194780</v>
      </c>
      <c r="M140" s="386">
        <f t="shared" si="55"/>
        <v>196200</v>
      </c>
      <c r="N140" s="386">
        <f t="shared" si="55"/>
        <v>197760</v>
      </c>
      <c r="O140" s="386">
        <f t="shared" si="55"/>
        <v>199480</v>
      </c>
      <c r="P140" s="386">
        <f t="shared" si="55"/>
        <v>201360</v>
      </c>
      <c r="Q140" s="386">
        <f t="shared" si="55"/>
        <v>203380</v>
      </c>
      <c r="R140" s="386">
        <f t="shared" si="55"/>
        <v>205560</v>
      </c>
      <c r="S140" s="386">
        <f t="shared" si="55"/>
        <v>206100</v>
      </c>
      <c r="T140" s="386">
        <f t="shared" si="55"/>
        <v>209940</v>
      </c>
      <c r="U140" s="386">
        <f t="shared" si="55"/>
        <v>213920</v>
      </c>
      <c r="V140" s="386">
        <f t="shared" si="55"/>
        <v>218040</v>
      </c>
      <c r="W140" s="386">
        <f t="shared" si="55"/>
        <v>222300</v>
      </c>
      <c r="X140" s="386">
        <f t="shared" si="55"/>
        <v>226720</v>
      </c>
      <c r="Y140" s="386">
        <f t="shared" si="55"/>
        <v>231280</v>
      </c>
      <c r="Z140" s="386">
        <f t="shared" si="55"/>
        <v>236000</v>
      </c>
      <c r="AA140" s="386">
        <f t="shared" si="55"/>
        <v>240880</v>
      </c>
      <c r="AB140" s="386">
        <f t="shared" si="55"/>
        <v>245920</v>
      </c>
      <c r="AC140" s="386">
        <f t="shared" si="55"/>
        <v>252100</v>
      </c>
      <c r="AD140" s="386">
        <f t="shared" si="55"/>
        <v>258440</v>
      </c>
      <c r="AE140" s="386">
        <f t="shared" si="55"/>
        <v>264980</v>
      </c>
      <c r="AF140" s="386">
        <f t="shared" si="55"/>
        <v>271680</v>
      </c>
      <c r="AG140" s="386">
        <f t="shared" si="55"/>
        <v>278600</v>
      </c>
    </row>
    <row r="141" spans="1:34" s="371" customFormat="1" ht="11.85" customHeight="1">
      <c r="A141" s="377" t="s">
        <v>320</v>
      </c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  <c r="AA141" s="383"/>
      <c r="AB141" s="383"/>
      <c r="AC141" s="383"/>
      <c r="AD141" s="383"/>
      <c r="AE141" s="383"/>
      <c r="AF141" s="383"/>
      <c r="AG141" s="383"/>
    </row>
    <row r="142" spans="1:34">
      <c r="A142" s="300" t="s">
        <v>325</v>
      </c>
      <c r="B142" s="300" t="s">
        <v>300</v>
      </c>
      <c r="C142" s="379">
        <f t="shared" ref="C142:AG142" si="56">(C135)/($C$22*$C$21)</f>
        <v>37.268274914561559</v>
      </c>
      <c r="D142" s="379">
        <f t="shared" si="56"/>
        <v>37.140456235285747</v>
      </c>
      <c r="E142" s="379">
        <f t="shared" si="56"/>
        <v>37.041853254130125</v>
      </c>
      <c r="F142" s="379">
        <f t="shared" si="56"/>
        <v>36.231117631294985</v>
      </c>
      <c r="G142" s="379">
        <f t="shared" si="56"/>
        <v>35.478813404700205</v>
      </c>
      <c r="H142" s="379">
        <f t="shared" si="56"/>
        <v>35.518984989615461</v>
      </c>
      <c r="I142" s="379">
        <f t="shared" si="56"/>
        <v>34.941974951741798</v>
      </c>
      <c r="J142" s="379">
        <f t="shared" si="56"/>
        <v>35.124573064992958</v>
      </c>
      <c r="K142" s="379">
        <f t="shared" si="56"/>
        <v>35.332734914099277</v>
      </c>
      <c r="L142" s="379">
        <f t="shared" si="56"/>
        <v>35.566460499060767</v>
      </c>
      <c r="M142" s="379">
        <f t="shared" si="56"/>
        <v>35.825749819877409</v>
      </c>
      <c r="N142" s="379">
        <f t="shared" si="56"/>
        <v>36.110602876549216</v>
      </c>
      <c r="O142" s="379">
        <f t="shared" si="56"/>
        <v>36.424671631341212</v>
      </c>
      <c r="P142" s="379">
        <f t="shared" si="56"/>
        <v>36.767956084253392</v>
      </c>
      <c r="Q142" s="379">
        <f t="shared" si="56"/>
        <v>37.136804273020722</v>
      </c>
      <c r="R142" s="379">
        <f t="shared" si="56"/>
        <v>37.534868159908257</v>
      </c>
      <c r="S142" s="379">
        <f t="shared" si="56"/>
        <v>37.633471141063879</v>
      </c>
      <c r="T142" s="379">
        <f t="shared" si="56"/>
        <v>38.334647895948329</v>
      </c>
      <c r="U142" s="379">
        <f t="shared" si="56"/>
        <v>39.061388386687945</v>
      </c>
      <c r="V142" s="379">
        <f t="shared" si="56"/>
        <v>39.813692613282726</v>
      </c>
      <c r="W142" s="379">
        <f t="shared" si="56"/>
        <v>40.591560575732657</v>
      </c>
      <c r="X142" s="379">
        <f t="shared" si="56"/>
        <v>41.398644236302786</v>
      </c>
      <c r="Y142" s="379">
        <f t="shared" si="56"/>
        <v>42.231291632728066</v>
      </c>
      <c r="Z142" s="379">
        <f t="shared" si="56"/>
        <v>43.093154727273536</v>
      </c>
      <c r="AA142" s="379">
        <f t="shared" si="56"/>
        <v>43.984233519939202</v>
      </c>
      <c r="AB142" s="379">
        <f t="shared" si="56"/>
        <v>44.904528010725038</v>
      </c>
      <c r="AC142" s="379">
        <f t="shared" si="56"/>
        <v>46.032984350617198</v>
      </c>
      <c r="AD142" s="379">
        <f t="shared" si="56"/>
        <v>47.190656388629549</v>
      </c>
      <c r="AE142" s="379">
        <f t="shared" si="56"/>
        <v>48.384848049292131</v>
      </c>
      <c r="AF142" s="379">
        <f t="shared" si="56"/>
        <v>49.608255408074896</v>
      </c>
      <c r="AG142" s="379">
        <f t="shared" si="56"/>
        <v>50.871834351772918</v>
      </c>
    </row>
    <row r="143" spans="1:34">
      <c r="A143" s="300" t="s">
        <v>321</v>
      </c>
      <c r="B143" s="300" t="s">
        <v>300</v>
      </c>
      <c r="C143" s="379">
        <f t="shared" ref="C143:AG143" si="57">C136/($C$22*$C$21)</f>
        <v>14.912309743079621</v>
      </c>
      <c r="D143" s="379">
        <f t="shared" si="57"/>
        <v>15.099809743079623</v>
      </c>
      <c r="E143" s="379">
        <f t="shared" si="57"/>
        <v>15.17888062086306</v>
      </c>
      <c r="F143" s="379">
        <f t="shared" si="57"/>
        <v>15.17287727520119</v>
      </c>
      <c r="G143" s="379">
        <f t="shared" si="57"/>
        <v>15.036432703112887</v>
      </c>
      <c r="H143" s="379">
        <f t="shared" si="57"/>
        <v>15.147121271826194</v>
      </c>
      <c r="I143" s="379">
        <f t="shared" si="57"/>
        <v>13.14105102058924</v>
      </c>
      <c r="J143" s="379">
        <f t="shared" si="57"/>
        <v>12.814211558232641</v>
      </c>
      <c r="K143" s="379">
        <f t="shared" si="57"/>
        <v>12.265694774012205</v>
      </c>
      <c r="L143" s="379">
        <f t="shared" si="57"/>
        <v>11.803126279250709</v>
      </c>
      <c r="M143" s="379">
        <f t="shared" si="57"/>
        <v>11.438396583712091</v>
      </c>
      <c r="N143" s="379">
        <f t="shared" si="57"/>
        <v>11.312608472765517</v>
      </c>
      <c r="O143" s="379">
        <f t="shared" si="57"/>
        <v>11.194645837337273</v>
      </c>
      <c r="P143" s="379">
        <f t="shared" si="57"/>
        <v>11.04405114111391</v>
      </c>
      <c r="Q143" s="379">
        <f t="shared" si="57"/>
        <v>10.941087849514071</v>
      </c>
      <c r="R143" s="379">
        <f t="shared" si="57"/>
        <v>10.895800049376454</v>
      </c>
      <c r="S143" s="379">
        <f t="shared" si="57"/>
        <v>10.901468307105857</v>
      </c>
      <c r="T143" s="379">
        <f t="shared" si="57"/>
        <v>10.957335710627298</v>
      </c>
      <c r="U143" s="379">
        <f t="shared" si="57"/>
        <v>10.977005317780655</v>
      </c>
      <c r="V143" s="379">
        <f t="shared" si="57"/>
        <v>11.004363182168396</v>
      </c>
      <c r="W143" s="379">
        <f t="shared" si="57"/>
        <v>11.040723139430071</v>
      </c>
      <c r="X143" s="379">
        <f t="shared" si="57"/>
        <v>11.085784184946462</v>
      </c>
      <c r="Y143" s="379">
        <f t="shared" si="57"/>
        <v>11.139184213506729</v>
      </c>
      <c r="Z143" s="379">
        <f t="shared" si="57"/>
        <v>11.202343653294491</v>
      </c>
      <c r="AA143" s="379">
        <f t="shared" si="57"/>
        <v>11.276829558008233</v>
      </c>
      <c r="AB143" s="379">
        <f t="shared" si="57"/>
        <v>11.361417968240369</v>
      </c>
      <c r="AC143" s="379">
        <f t="shared" si="57"/>
        <v>11.665009933707186</v>
      </c>
      <c r="AD143" s="379">
        <f t="shared" si="57"/>
        <v>12.037573194153056</v>
      </c>
      <c r="AE143" s="379">
        <f t="shared" si="57"/>
        <v>12.423791744935968</v>
      </c>
      <c r="AF143" s="379">
        <f t="shared" si="57"/>
        <v>12.828770229692624</v>
      </c>
      <c r="AG143" s="379">
        <f t="shared" si="57"/>
        <v>13.254777494801502</v>
      </c>
    </row>
    <row r="144" spans="1:34">
      <c r="A144" s="300" t="s">
        <v>322</v>
      </c>
      <c r="B144" s="300" t="s">
        <v>300</v>
      </c>
      <c r="C144" s="379">
        <f t="shared" ref="C144:AG144" si="58">(C137+C138+C139+C140)/($C$22*$C$21)</f>
        <v>31.439015386785691</v>
      </c>
      <c r="D144" s="379">
        <f t="shared" si="58"/>
        <v>32.049115002116046</v>
      </c>
      <c r="E144" s="379">
        <f t="shared" si="58"/>
        <v>32.687961793729812</v>
      </c>
      <c r="F144" s="379">
        <f t="shared" si="58"/>
        <v>33.288057568886565</v>
      </c>
      <c r="G144" s="379">
        <f t="shared" si="58"/>
        <v>33.936581797464399</v>
      </c>
      <c r="H144" s="379">
        <f t="shared" si="58"/>
        <v>34.684058602589793</v>
      </c>
      <c r="I144" s="379">
        <f t="shared" si="58"/>
        <v>35.438327187500519</v>
      </c>
      <c r="J144" s="379">
        <f t="shared" si="58"/>
        <v>36.304748276252383</v>
      </c>
      <c r="K144" s="379">
        <f t="shared" si="58"/>
        <v>37.199912001976088</v>
      </c>
      <c r="L144" s="379">
        <f t="shared" si="58"/>
        <v>38.140753704483203</v>
      </c>
      <c r="M144" s="379">
        <f t="shared" si="58"/>
        <v>39.127554364659787</v>
      </c>
      <c r="N144" s="379">
        <f t="shared" si="58"/>
        <v>40.160607723628075</v>
      </c>
      <c r="O144" s="379">
        <f t="shared" si="58"/>
        <v>41.240554087384957</v>
      </c>
      <c r="P144" s="379">
        <f t="shared" si="58"/>
        <v>42.367714150987901</v>
      </c>
      <c r="Q144" s="379">
        <f t="shared" si="58"/>
        <v>43.558756176388734</v>
      </c>
      <c r="R144" s="379">
        <f t="shared" si="58"/>
        <v>44.797696524713537</v>
      </c>
      <c r="S144" s="379">
        <f t="shared" si="58"/>
        <v>46.086989525585402</v>
      </c>
      <c r="T144" s="379">
        <f t="shared" si="58"/>
        <v>47.492964096067652</v>
      </c>
      <c r="U144" s="379">
        <f t="shared" si="58"/>
        <v>48.963373441458678</v>
      </c>
      <c r="V144" s="379">
        <f t="shared" si="58"/>
        <v>50.498654075587112</v>
      </c>
      <c r="W144" s="379">
        <f t="shared" si="58"/>
        <v>52.082593148413956</v>
      </c>
      <c r="X144" s="379">
        <f t="shared" si="58"/>
        <v>53.749329133390091</v>
      </c>
      <c r="Y144" s="379">
        <f t="shared" si="58"/>
        <v>55.482352542292496</v>
      </c>
      <c r="Z144" s="379">
        <f t="shared" si="58"/>
        <v>57.282506668637467</v>
      </c>
      <c r="AA144" s="379">
        <f t="shared" si="58"/>
        <v>59.166988360813704</v>
      </c>
      <c r="AB144" s="379">
        <f t="shared" si="58"/>
        <v>61.119682159456929</v>
      </c>
      <c r="AC144" s="379">
        <f t="shared" si="58"/>
        <v>63.232203136386588</v>
      </c>
      <c r="AD144" s="379">
        <f t="shared" si="58"/>
        <v>65.430771755965608</v>
      </c>
      <c r="AE144" s="379">
        <f t="shared" si="58"/>
        <v>67.71667992526902</v>
      </c>
      <c r="AF144" s="379">
        <f t="shared" si="58"/>
        <v>70.106577461001905</v>
      </c>
      <c r="AG144" s="379">
        <f t="shared" si="58"/>
        <v>72.585473068217965</v>
      </c>
    </row>
    <row r="145" spans="1:34">
      <c r="A145" s="300" t="s">
        <v>310</v>
      </c>
      <c r="B145" s="300" t="s">
        <v>300</v>
      </c>
      <c r="C145" s="379">
        <f t="shared" ref="C145:AG145" si="59">C133/($C$22*$C$21*7)</f>
        <v>4.8595238095238109</v>
      </c>
      <c r="D145" s="379">
        <f t="shared" si="59"/>
        <v>4.8428571428571443</v>
      </c>
      <c r="E145" s="379">
        <f t="shared" si="59"/>
        <v>4.8300000000000018</v>
      </c>
      <c r="F145" s="379">
        <f t="shared" si="59"/>
        <v>4.724285714285716</v>
      </c>
      <c r="G145" s="379">
        <f t="shared" si="59"/>
        <v>4.6261904761904775</v>
      </c>
      <c r="H145" s="379">
        <f t="shared" si="59"/>
        <v>4.6314285714285734</v>
      </c>
      <c r="I145" s="379">
        <f t="shared" si="59"/>
        <v>4.5561904761904781</v>
      </c>
      <c r="J145" s="379">
        <f t="shared" si="59"/>
        <v>4.5800000000000018</v>
      </c>
      <c r="K145" s="379">
        <f t="shared" si="59"/>
        <v>4.6071428571428585</v>
      </c>
      <c r="L145" s="379">
        <f t="shared" si="59"/>
        <v>4.6376190476190491</v>
      </c>
      <c r="M145" s="379">
        <f t="shared" si="59"/>
        <v>4.6714285714285735</v>
      </c>
      <c r="N145" s="379">
        <f t="shared" si="59"/>
        <v>7.0628571428571441</v>
      </c>
      <c r="O145" s="379">
        <f t="shared" si="59"/>
        <v>7.1242857142857154</v>
      </c>
      <c r="P145" s="379">
        <f t="shared" si="59"/>
        <v>7.1914285714285722</v>
      </c>
      <c r="Q145" s="379">
        <f t="shared" si="59"/>
        <v>7.2635714285714297</v>
      </c>
      <c r="R145" s="379">
        <f t="shared" si="59"/>
        <v>7.3414285714285725</v>
      </c>
      <c r="S145" s="379">
        <f t="shared" si="59"/>
        <v>7.3607142857142867</v>
      </c>
      <c r="T145" s="379">
        <f t="shared" si="59"/>
        <v>7.4978571428571437</v>
      </c>
      <c r="U145" s="379">
        <f t="shared" si="59"/>
        <v>7.6400000000000015</v>
      </c>
      <c r="V145" s="379">
        <f t="shared" si="59"/>
        <v>7.7871428571428583</v>
      </c>
      <c r="W145" s="379">
        <f t="shared" si="59"/>
        <v>7.9392857142857158</v>
      </c>
      <c r="X145" s="379">
        <f t="shared" si="59"/>
        <v>10.796190476190477</v>
      </c>
      <c r="Y145" s="379">
        <f t="shared" si="59"/>
        <v>11.013333333333334</v>
      </c>
      <c r="Z145" s="379">
        <f t="shared" si="59"/>
        <v>11.238095238095237</v>
      </c>
      <c r="AA145" s="379">
        <f t="shared" si="59"/>
        <v>11.470476190476191</v>
      </c>
      <c r="AB145" s="379">
        <f t="shared" si="59"/>
        <v>11.710476190476191</v>
      </c>
      <c r="AC145" s="379">
        <f t="shared" si="59"/>
        <v>12.004761904761905</v>
      </c>
      <c r="AD145" s="379">
        <f t="shared" si="59"/>
        <v>12.306666666666667</v>
      </c>
      <c r="AE145" s="379">
        <f t="shared" si="59"/>
        <v>12.618095238095238</v>
      </c>
      <c r="AF145" s="379">
        <f t="shared" si="59"/>
        <v>12.937142857142858</v>
      </c>
      <c r="AG145" s="379">
        <f t="shared" si="59"/>
        <v>13.266666666666667</v>
      </c>
    </row>
    <row r="146" spans="1:34" s="352" customFormat="1">
      <c r="A146" s="380" t="s">
        <v>323</v>
      </c>
      <c r="B146" s="352" t="s">
        <v>300</v>
      </c>
      <c r="C146" s="381">
        <f>SUM(C142:C144)-C145</f>
        <v>78.760076234903067</v>
      </c>
      <c r="D146" s="381">
        <f t="shared" ref="D146:AG146" si="60">SUM(D142:D144)-D145</f>
        <v>79.44652383762427</v>
      </c>
      <c r="E146" s="381">
        <f t="shared" si="60"/>
        <v>80.078695668723</v>
      </c>
      <c r="F146" s="381">
        <f t="shared" si="60"/>
        <v>79.967766761097025</v>
      </c>
      <c r="G146" s="381">
        <f t="shared" si="60"/>
        <v>79.825637429087024</v>
      </c>
      <c r="H146" s="381">
        <f t="shared" si="60"/>
        <v>80.718736292602884</v>
      </c>
      <c r="I146" s="381">
        <f t="shared" si="60"/>
        <v>78.965162683641083</v>
      </c>
      <c r="J146" s="381">
        <f t="shared" si="60"/>
        <v>79.663532899477985</v>
      </c>
      <c r="K146" s="381">
        <f t="shared" si="60"/>
        <v>80.191198832944707</v>
      </c>
      <c r="L146" s="381">
        <f t="shared" si="60"/>
        <v>80.87272143517562</v>
      </c>
      <c r="M146" s="381">
        <f t="shared" si="60"/>
        <v>81.720272196820702</v>
      </c>
      <c r="N146" s="381">
        <f t="shared" si="60"/>
        <v>80.520961930085676</v>
      </c>
      <c r="O146" s="381">
        <f t="shared" si="60"/>
        <v>81.73558584177772</v>
      </c>
      <c r="P146" s="381">
        <f t="shared" si="60"/>
        <v>82.98829280492663</v>
      </c>
      <c r="Q146" s="381">
        <f t="shared" si="60"/>
        <v>84.373076870352094</v>
      </c>
      <c r="R146" s="381">
        <f t="shared" si="60"/>
        <v>85.886936162569668</v>
      </c>
      <c r="S146" s="381">
        <f t="shared" si="60"/>
        <v>87.261214688040852</v>
      </c>
      <c r="T146" s="381">
        <f t="shared" si="60"/>
        <v>89.287090559786137</v>
      </c>
      <c r="U146" s="381">
        <f t="shared" si="60"/>
        <v>91.361767145927288</v>
      </c>
      <c r="V146" s="381">
        <f t="shared" si="60"/>
        <v>93.529567013895374</v>
      </c>
      <c r="W146" s="381">
        <f t="shared" si="60"/>
        <v>95.77559114929096</v>
      </c>
      <c r="X146" s="381">
        <f t="shared" si="60"/>
        <v>95.437567078448865</v>
      </c>
      <c r="Y146" s="381">
        <f t="shared" si="60"/>
        <v>97.83949505519395</v>
      </c>
      <c r="Z146" s="381">
        <f t="shared" si="60"/>
        <v>100.33990981111026</v>
      </c>
      <c r="AA146" s="381">
        <f t="shared" si="60"/>
        <v>102.95757524828495</v>
      </c>
      <c r="AB146" s="381">
        <f t="shared" si="60"/>
        <v>105.67515194794615</v>
      </c>
      <c r="AC146" s="381">
        <f t="shared" si="60"/>
        <v>108.92543551594906</v>
      </c>
      <c r="AD146" s="381">
        <f t="shared" si="60"/>
        <v>112.35233467208154</v>
      </c>
      <c r="AE146" s="381">
        <f t="shared" si="60"/>
        <v>115.9072244814019</v>
      </c>
      <c r="AF146" s="381">
        <f t="shared" si="60"/>
        <v>119.60646024162658</v>
      </c>
      <c r="AG146" s="381">
        <f t="shared" si="60"/>
        <v>123.44541824812573</v>
      </c>
    </row>
    <row r="147" spans="1:34" s="344" customFormat="1">
      <c r="A147" s="342" t="s">
        <v>331</v>
      </c>
      <c r="B147" s="342"/>
      <c r="H147" s="385">
        <f>H149/H63</f>
        <v>2.1632311977715877</v>
      </c>
      <c r="AB147" s="385">
        <f>AB149/AB63</f>
        <v>1.3733574615969895</v>
      </c>
    </row>
    <row r="148" spans="1:34">
      <c r="A148" s="360" t="s">
        <v>41</v>
      </c>
      <c r="B148" s="360"/>
      <c r="C148" s="360">
        <v>2025</v>
      </c>
      <c r="D148" s="360">
        <f>C148+1</f>
        <v>2026</v>
      </c>
      <c r="E148" s="360">
        <f t="shared" ref="E148:AG148" si="61">D148+1</f>
        <v>2027</v>
      </c>
      <c r="F148" s="360">
        <f t="shared" si="61"/>
        <v>2028</v>
      </c>
      <c r="G148" s="360">
        <f t="shared" si="61"/>
        <v>2029</v>
      </c>
      <c r="H148" s="360">
        <f t="shared" si="61"/>
        <v>2030</v>
      </c>
      <c r="I148" s="360">
        <f t="shared" si="61"/>
        <v>2031</v>
      </c>
      <c r="J148" s="360">
        <f t="shared" si="61"/>
        <v>2032</v>
      </c>
      <c r="K148" s="360">
        <f t="shared" si="61"/>
        <v>2033</v>
      </c>
      <c r="L148" s="360">
        <f t="shared" si="61"/>
        <v>2034</v>
      </c>
      <c r="M148" s="360">
        <f t="shared" si="61"/>
        <v>2035</v>
      </c>
      <c r="N148" s="360">
        <f t="shared" si="61"/>
        <v>2036</v>
      </c>
      <c r="O148" s="360">
        <f t="shared" si="61"/>
        <v>2037</v>
      </c>
      <c r="P148" s="360">
        <f t="shared" si="61"/>
        <v>2038</v>
      </c>
      <c r="Q148" s="360">
        <f t="shared" si="61"/>
        <v>2039</v>
      </c>
      <c r="R148" s="360">
        <f t="shared" si="61"/>
        <v>2040</v>
      </c>
      <c r="S148" s="360">
        <f t="shared" si="61"/>
        <v>2041</v>
      </c>
      <c r="T148" s="360">
        <f t="shared" si="61"/>
        <v>2042</v>
      </c>
      <c r="U148" s="360">
        <f t="shared" si="61"/>
        <v>2043</v>
      </c>
      <c r="V148" s="360">
        <f t="shared" si="61"/>
        <v>2044</v>
      </c>
      <c r="W148" s="360">
        <f t="shared" si="61"/>
        <v>2045</v>
      </c>
      <c r="X148" s="360">
        <f t="shared" si="61"/>
        <v>2046</v>
      </c>
      <c r="Y148" s="360">
        <f t="shared" si="61"/>
        <v>2047</v>
      </c>
      <c r="Z148" s="360">
        <f t="shared" si="61"/>
        <v>2048</v>
      </c>
      <c r="AA148" s="360">
        <f t="shared" si="61"/>
        <v>2049</v>
      </c>
      <c r="AB148" s="360">
        <f t="shared" si="61"/>
        <v>2050</v>
      </c>
      <c r="AC148" s="360">
        <f t="shared" si="61"/>
        <v>2051</v>
      </c>
      <c r="AD148" s="360">
        <f t="shared" si="61"/>
        <v>2052</v>
      </c>
      <c r="AE148" s="360">
        <f t="shared" si="61"/>
        <v>2053</v>
      </c>
      <c r="AF148" s="360">
        <f t="shared" si="61"/>
        <v>2054</v>
      </c>
      <c r="AG148" s="360">
        <f t="shared" si="61"/>
        <v>2055</v>
      </c>
    </row>
    <row r="149" spans="1:34">
      <c r="A149" s="368" t="s">
        <v>332</v>
      </c>
      <c r="B149" s="300" t="s">
        <v>309</v>
      </c>
      <c r="C149" s="376">
        <f>ROUND(('Changing with year'!C149)/1000,0)*1000</f>
        <v>12191000</v>
      </c>
      <c r="D149" s="376">
        <f>ROUND(('Changing with year'!D149)/1000,0)*1000</f>
        <v>12015000</v>
      </c>
      <c r="E149" s="376">
        <f>ROUND(('Changing with year'!E149)/1000,0)*1000</f>
        <v>11852000</v>
      </c>
      <c r="F149" s="376">
        <f>ROUND(('Changing with year'!F149)/1000,0)*1000</f>
        <v>11704000</v>
      </c>
      <c r="G149" s="376">
        <f>ROUND(('Changing with year'!G149)/1000,0)*1000</f>
        <v>11570000</v>
      </c>
      <c r="H149" s="376">
        <f>ROUND(('Changing with year'!H149)/1000,0)*1000</f>
        <v>11649000</v>
      </c>
      <c r="I149" s="376">
        <f>ROUND(('Changing with year'!I149)/1000,0)*1000</f>
        <v>11599000</v>
      </c>
      <c r="J149" s="376">
        <f>ROUND(('Changing with year'!J149)/1000,0)*1000</f>
        <v>11566000</v>
      </c>
      <c r="K149" s="376">
        <f>ROUND(('Changing with year'!K149)/1000,0)*1000</f>
        <v>11542000</v>
      </c>
      <c r="L149" s="376">
        <f>ROUND(('Changing with year'!L149)/1000,0)*1000</f>
        <v>11529000</v>
      </c>
      <c r="M149" s="376">
        <f>ROUND(('Changing with year'!M149)/1000,0)*1000</f>
        <v>11526000</v>
      </c>
      <c r="N149" s="376">
        <f>ROUND(('Changing with year'!N149)/1000,0)*1000</f>
        <v>11534000</v>
      </c>
      <c r="O149" s="376">
        <f>ROUND(('Changing with year'!O149)/1000,0)*1000</f>
        <v>11551000</v>
      </c>
      <c r="P149" s="376">
        <f>ROUND(('Changing with year'!P149)/1000,0)*1000</f>
        <v>11579000</v>
      </c>
      <c r="Q149" s="376">
        <f>ROUND(('Changing with year'!Q149)/1000,0)*1000</f>
        <v>11617000</v>
      </c>
      <c r="R149" s="376">
        <f>ROUND(('Changing with year'!R149)/1000,0)*1000</f>
        <v>11666000</v>
      </c>
      <c r="S149" s="376">
        <f>ROUND(('Changing with year'!S149)/1000,0)*1000</f>
        <v>11663000</v>
      </c>
      <c r="T149" s="376">
        <f>ROUND(('Changing with year'!T149)/1000,0)*1000</f>
        <v>11837000</v>
      </c>
      <c r="U149" s="376">
        <f>ROUND(('Changing with year'!U149)/1000,0)*1000</f>
        <v>12017000</v>
      </c>
      <c r="V149" s="376">
        <f>ROUND(('Changing with year'!V149)/1000,0)*1000</f>
        <v>12206000</v>
      </c>
      <c r="W149" s="376">
        <f>ROUND(('Changing with year'!W149)/1000,0)*1000</f>
        <v>12402000</v>
      </c>
      <c r="X149" s="376">
        <f>ROUND(('Changing with year'!X149)/1000,0)*1000</f>
        <v>12448000</v>
      </c>
      <c r="Y149" s="376">
        <f>ROUND(('Changing with year'!Y149)/1000,0)*1000</f>
        <v>12662000</v>
      </c>
      <c r="Z149" s="376">
        <f>ROUND(('Changing with year'!Z149)/1000,0)*1000</f>
        <v>12885000</v>
      </c>
      <c r="AA149" s="376">
        <f>ROUND(('Changing with year'!AA149)/1000,0)*1000</f>
        <v>13116000</v>
      </c>
      <c r="AB149" s="376">
        <f>ROUND(('Changing with year'!AB149)/1000,0)*1000</f>
        <v>13357000</v>
      </c>
      <c r="AC149" s="376">
        <f>ROUND(('Changing with year'!AC149)/1000,0)*1000</f>
        <v>13521000</v>
      </c>
      <c r="AD149" s="376">
        <f>ROUND(('Changing with year'!AD149)/1000,0)*1000</f>
        <v>13848000</v>
      </c>
      <c r="AE149" s="376">
        <f>ROUND(('Changing with year'!AE149)/1000,0)*1000</f>
        <v>14183000</v>
      </c>
      <c r="AF149" s="376">
        <f>ROUND(('Changing with year'!AF149)/1000,0)*1000</f>
        <v>14528000</v>
      </c>
      <c r="AG149" s="376">
        <f>ROUND(('Changing with year'!AG149)/1000,0)*1000</f>
        <v>14883000</v>
      </c>
    </row>
    <row r="150" spans="1:34">
      <c r="A150" s="368" t="s">
        <v>310</v>
      </c>
      <c r="B150" s="300" t="s">
        <v>309</v>
      </c>
      <c r="C150" s="376">
        <f>(C149*'No change with year'!$AN$18)</f>
        <v>1219100.0000000005</v>
      </c>
      <c r="D150" s="376">
        <f>(D149*'No change with year'!$AN$18)</f>
        <v>1201500.0000000005</v>
      </c>
      <c r="E150" s="376">
        <f>(E149*'No change with year'!$AN$18)</f>
        <v>1185200.0000000005</v>
      </c>
      <c r="F150" s="376">
        <f>(F149*'No change with year'!$AN$18)</f>
        <v>1170400.0000000005</v>
      </c>
      <c r="G150" s="376">
        <f>(G149*'No change with year'!$AN$18)</f>
        <v>1157000.0000000005</v>
      </c>
      <c r="H150" s="376">
        <f>(H149*'No change with year'!$AN$18)</f>
        <v>1164900.0000000005</v>
      </c>
      <c r="I150" s="376">
        <f>(I149*'No change with year'!$AN$18)</f>
        <v>1159900.0000000005</v>
      </c>
      <c r="J150" s="376">
        <f>(J149*'No change with year'!$AN$18)</f>
        <v>1156600.0000000005</v>
      </c>
      <c r="K150" s="376">
        <f>(K149*'No change with year'!$AN$18)</f>
        <v>1154200.0000000005</v>
      </c>
      <c r="L150" s="376">
        <f>(L149*'No change with year'!$AN$18)</f>
        <v>1152900.0000000005</v>
      </c>
      <c r="M150" s="376">
        <f>(M149*'No change with year'!$AN$18)</f>
        <v>1152600.0000000005</v>
      </c>
      <c r="N150" s="376">
        <f>(N149*'No change with year'!$AO$18)</f>
        <v>2306800.0000000009</v>
      </c>
      <c r="O150" s="376">
        <f>(O149*'No change with year'!$AO$18)</f>
        <v>2310200.0000000009</v>
      </c>
      <c r="P150" s="376">
        <f>(P149*'No change with year'!$AO$18)</f>
        <v>2315800.0000000009</v>
      </c>
      <c r="Q150" s="376">
        <f>(Q149*'No change with year'!$AO$18)</f>
        <v>2323400.0000000009</v>
      </c>
      <c r="R150" s="376">
        <f>(R149*'No change with year'!$AO$18)</f>
        <v>2333200.0000000009</v>
      </c>
      <c r="S150" s="376">
        <f>(S149*'No change with year'!$AO$18)</f>
        <v>2332600.0000000009</v>
      </c>
      <c r="T150" s="376">
        <f>(T149*'No change with year'!$AO$18)</f>
        <v>2367400.0000000009</v>
      </c>
      <c r="U150" s="376">
        <f>(U149*'No change with year'!$AO$18)</f>
        <v>2403400.0000000009</v>
      </c>
      <c r="V150" s="376">
        <f>(V149*'No change with year'!$AO$18)</f>
        <v>2441200.0000000009</v>
      </c>
      <c r="W150" s="376">
        <f>(W149*'No change with year'!$AO$18)</f>
        <v>2480400.0000000009</v>
      </c>
      <c r="X150" s="376">
        <f>(X149*'No change with year'!$AP$18)</f>
        <v>3734400.0000000005</v>
      </c>
      <c r="Y150" s="376">
        <f>(Y149*'No change with year'!$AP$18)</f>
        <v>3798600.0000000005</v>
      </c>
      <c r="Z150" s="376">
        <f>(Z149*'No change with year'!$AP$18)</f>
        <v>3865500.0000000005</v>
      </c>
      <c r="AA150" s="376">
        <f>(AA149*'No change with year'!$AP$18)</f>
        <v>3934800.0000000005</v>
      </c>
      <c r="AB150" s="376">
        <f>(AB149*'No change with year'!$AP$18)</f>
        <v>4007100.0000000005</v>
      </c>
      <c r="AC150" s="376">
        <f>(AC149*'No change with year'!$AP$18)</f>
        <v>4056300.0000000005</v>
      </c>
      <c r="AD150" s="376">
        <f>(AD149*'No change with year'!$AP$18)</f>
        <v>4154400.0000000005</v>
      </c>
      <c r="AE150" s="376">
        <f>(AE149*'No change with year'!$AP$18)</f>
        <v>4254900.0000000009</v>
      </c>
      <c r="AF150" s="376">
        <f>(AF149*'No change with year'!$AP$18)</f>
        <v>4358400.0000000009</v>
      </c>
      <c r="AG150" s="376">
        <f>(AG149*'No change with year'!$AP$18)</f>
        <v>4464900.0000000009</v>
      </c>
    </row>
    <row r="151" spans="1:34" s="371" customFormat="1" ht="11.85" customHeight="1">
      <c r="A151" s="377" t="s">
        <v>311</v>
      </c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  <c r="AA151" s="383"/>
      <c r="AB151" s="383"/>
      <c r="AC151" s="383"/>
      <c r="AD151" s="383"/>
      <c r="AE151" s="383"/>
      <c r="AF151" s="383"/>
      <c r="AG151" s="383"/>
    </row>
    <row r="152" spans="1:34">
      <c r="A152" s="300" t="s">
        <v>325</v>
      </c>
      <c r="B152" s="300" t="s">
        <v>313</v>
      </c>
      <c r="C152" s="376">
        <f>-PMT($C$28,$C$27,C149)</f>
        <v>2671264.3183738561</v>
      </c>
      <c r="D152" s="376">
        <f t="shared" ref="D152:AG152" si="62">-PMT($C$28,$C$27,D149)</f>
        <v>2632699.5968552111</v>
      </c>
      <c r="E152" s="376">
        <f t="shared" si="62"/>
        <v>2596983.4059032849</v>
      </c>
      <c r="F152" s="376">
        <f t="shared" si="62"/>
        <v>2564553.9809898785</v>
      </c>
      <c r="G152" s="376">
        <f t="shared" si="62"/>
        <v>2535192.2043790924</v>
      </c>
      <c r="H152" s="376">
        <f t="shared" si="62"/>
        <v>2552502.5055153021</v>
      </c>
      <c r="I152" s="376">
        <f t="shared" si="62"/>
        <v>2541546.618720233</v>
      </c>
      <c r="J152" s="376">
        <f t="shared" si="62"/>
        <v>2534315.7334354869</v>
      </c>
      <c r="K152" s="376">
        <f t="shared" si="62"/>
        <v>2529056.9077738537</v>
      </c>
      <c r="L152" s="376">
        <f t="shared" si="62"/>
        <v>2526208.3772071353</v>
      </c>
      <c r="M152" s="376">
        <f t="shared" si="62"/>
        <v>2525551.0239994312</v>
      </c>
      <c r="N152" s="376">
        <f t="shared" si="62"/>
        <v>2527303.9658866427</v>
      </c>
      <c r="O152" s="376">
        <f t="shared" si="62"/>
        <v>2531028.9673969662</v>
      </c>
      <c r="P152" s="376">
        <f t="shared" si="62"/>
        <v>2537164.2640022049</v>
      </c>
      <c r="Q152" s="376">
        <f t="shared" si="62"/>
        <v>2545490.7379664578</v>
      </c>
      <c r="R152" s="376">
        <f t="shared" si="62"/>
        <v>2556227.507025626</v>
      </c>
      <c r="S152" s="376">
        <f t="shared" si="62"/>
        <v>2555570.1538179214</v>
      </c>
      <c r="T152" s="376">
        <f t="shared" si="62"/>
        <v>2593696.6398647642</v>
      </c>
      <c r="U152" s="376">
        <f t="shared" si="62"/>
        <v>2633137.8323270143</v>
      </c>
      <c r="V152" s="376">
        <f t="shared" si="62"/>
        <v>2674551.0844123769</v>
      </c>
      <c r="W152" s="376">
        <f t="shared" si="62"/>
        <v>2717498.1606490496</v>
      </c>
      <c r="X152" s="376">
        <f t="shared" si="62"/>
        <v>2727577.5765005136</v>
      </c>
      <c r="Y152" s="376">
        <f t="shared" si="62"/>
        <v>2774468.7719834112</v>
      </c>
      <c r="Z152" s="376">
        <f t="shared" si="62"/>
        <v>2823332.0270894216</v>
      </c>
      <c r="AA152" s="376">
        <f t="shared" si="62"/>
        <v>2873948.2240826427</v>
      </c>
      <c r="AB152" s="376">
        <f t="shared" si="62"/>
        <v>2926755.5984348776</v>
      </c>
      <c r="AC152" s="376">
        <f t="shared" si="62"/>
        <v>2962690.9071227061</v>
      </c>
      <c r="AD152" s="376">
        <f t="shared" si="62"/>
        <v>3034342.4067624612</v>
      </c>
      <c r="AE152" s="376">
        <f t="shared" si="62"/>
        <v>3107746.8482894264</v>
      </c>
      <c r="AF152" s="376">
        <f t="shared" si="62"/>
        <v>3183342.4671754064</v>
      </c>
      <c r="AG152" s="376">
        <f t="shared" si="62"/>
        <v>3261129.2634204002</v>
      </c>
    </row>
    <row r="153" spans="1:34">
      <c r="A153" s="300" t="s">
        <v>333</v>
      </c>
      <c r="B153" s="300" t="s">
        <v>313</v>
      </c>
      <c r="C153" s="376">
        <f t="shared" ref="C153:AG153" si="63">$H$38*C50</f>
        <v>3006250</v>
      </c>
      <c r="D153" s="376">
        <f t="shared" si="63"/>
        <v>2978333.333333334</v>
      </c>
      <c r="E153" s="376">
        <f t="shared" si="63"/>
        <v>2953202.0833333335</v>
      </c>
      <c r="F153" s="376">
        <f t="shared" si="63"/>
        <v>2930794.145833334</v>
      </c>
      <c r="G153" s="376">
        <f t="shared" si="63"/>
        <v>2911050.4089583335</v>
      </c>
      <c r="H153" s="376">
        <f t="shared" si="63"/>
        <v>2893914.657939584</v>
      </c>
      <c r="I153" s="376">
        <f t="shared" si="63"/>
        <v>2721562.8018707503</v>
      </c>
      <c r="J153" s="376">
        <f t="shared" si="63"/>
        <v>2630854.3431438999</v>
      </c>
      <c r="K153" s="376">
        <f t="shared" si="63"/>
        <v>2543162.9022661783</v>
      </c>
      <c r="L153" s="376">
        <f t="shared" si="63"/>
        <v>2458374.6168259745</v>
      </c>
      <c r="M153" s="376">
        <f t="shared" si="63"/>
        <v>2376380.3475498548</v>
      </c>
      <c r="N153" s="376">
        <f t="shared" si="63"/>
        <v>2297075.4697157433</v>
      </c>
      <c r="O153" s="376">
        <f t="shared" si="63"/>
        <v>2220359.6741483645</v>
      </c>
      <c r="P153" s="376">
        <f t="shared" si="63"/>
        <v>2146136.7773456718</v>
      </c>
      <c r="Q153" s="376">
        <f t="shared" si="63"/>
        <v>2074314.5403065803</v>
      </c>
      <c r="R153" s="376">
        <f t="shared" si="63"/>
        <v>2004804.4956508826</v>
      </c>
      <c r="S153" s="376">
        <f t="shared" si="63"/>
        <v>1851002.5339047341</v>
      </c>
      <c r="T153" s="376">
        <f t="shared" si="63"/>
        <v>1798444.4459147514</v>
      </c>
      <c r="U153" s="376">
        <f t="shared" si="63"/>
        <v>1747756.7310771146</v>
      </c>
      <c r="V153" s="376">
        <f t="shared" si="63"/>
        <v>1698858.5493724805</v>
      </c>
      <c r="W153" s="376">
        <f t="shared" si="63"/>
        <v>1651672.8228963166</v>
      </c>
      <c r="X153" s="376">
        <f t="shared" si="63"/>
        <v>1606126.0551450148</v>
      </c>
      <c r="Y153" s="376">
        <f t="shared" si="63"/>
        <v>1562148.1591259923</v>
      </c>
      <c r="Z153" s="376">
        <f t="shared" si="63"/>
        <v>1519672.2938568289</v>
      </c>
      <c r="AA153" s="376">
        <f t="shared" si="63"/>
        <v>1478634.7088400533</v>
      </c>
      <c r="AB153" s="376">
        <f t="shared" si="63"/>
        <v>1438974.596120683</v>
      </c>
      <c r="AC153" s="376">
        <f t="shared" si="63"/>
        <v>1390623.7841386171</v>
      </c>
      <c r="AD153" s="376">
        <f t="shared" si="63"/>
        <v>1395416.4816250494</v>
      </c>
      <c r="AE153" s="376">
        <f t="shared" si="63"/>
        <v>1401837.40373223</v>
      </c>
      <c r="AF153" s="376">
        <f t="shared" si="63"/>
        <v>1409860.3904699441</v>
      </c>
      <c r="AG153" s="376">
        <f t="shared" si="63"/>
        <v>1419461.8000334385</v>
      </c>
    </row>
    <row r="154" spans="1:34">
      <c r="A154" s="300" t="s">
        <v>317</v>
      </c>
      <c r="B154" s="300" t="s">
        <v>313</v>
      </c>
      <c r="C154" s="376">
        <f t="shared" ref="C154:AG154" si="64">$C$22*$C$21*C59</f>
        <v>542549.99999999988</v>
      </c>
      <c r="D154" s="376">
        <f t="shared" si="64"/>
        <v>542948.25</v>
      </c>
      <c r="E154" s="376">
        <f t="shared" si="64"/>
        <v>543895.02374999993</v>
      </c>
      <c r="F154" s="376">
        <f t="shared" si="64"/>
        <v>545398.9473562499</v>
      </c>
      <c r="G154" s="376">
        <f t="shared" si="64"/>
        <v>547469.32484034379</v>
      </c>
      <c r="H154" s="376">
        <f t="shared" si="64"/>
        <v>550116.15693405503</v>
      </c>
      <c r="I154" s="376">
        <f t="shared" si="64"/>
        <v>554794.05640150525</v>
      </c>
      <c r="J154" s="376">
        <f t="shared" si="64"/>
        <v>560005.60678385163</v>
      </c>
      <c r="K154" s="376">
        <f t="shared" si="64"/>
        <v>565765.22341896605</v>
      </c>
      <c r="L154" s="376">
        <f t="shared" si="64"/>
        <v>572088.0368722101</v>
      </c>
      <c r="M154" s="376">
        <f t="shared" si="64"/>
        <v>578989.9187732538</v>
      </c>
      <c r="N154" s="376">
        <f t="shared" si="64"/>
        <v>586487.50874181651</v>
      </c>
      <c r="O154" s="376">
        <f t="shared" si="64"/>
        <v>594598.2424447689</v>
      </c>
      <c r="P154" s="376">
        <f t="shared" si="64"/>
        <v>603340.38082877372</v>
      </c>
      <c r="Q154" s="376">
        <f t="shared" si="64"/>
        <v>612733.04057441454</v>
      </c>
      <c r="R154" s="376">
        <f t="shared" si="64"/>
        <v>622796.22581963113</v>
      </c>
      <c r="S154" s="376">
        <f t="shared" si="64"/>
        <v>635910.39681057935</v>
      </c>
      <c r="T154" s="376">
        <f t="shared" si="64"/>
        <v>649667.11142158345</v>
      </c>
      <c r="U154" s="376">
        <f t="shared" si="64"/>
        <v>664090.89162964222</v>
      </c>
      <c r="V154" s="376">
        <f t="shared" si="64"/>
        <v>679207.25208851125</v>
      </c>
      <c r="W154" s="376">
        <f t="shared" si="64"/>
        <v>695042.73971779819</v>
      </c>
      <c r="X154" s="376">
        <f t="shared" si="64"/>
        <v>711624.97487679927</v>
      </c>
      <c r="Y154" s="376">
        <f t="shared" si="64"/>
        <v>728982.69418645743</v>
      </c>
      <c r="Z154" s="376">
        <f t="shared" si="64"/>
        <v>747145.79506535595</v>
      </c>
      <c r="AA154" s="376">
        <f t="shared" si="64"/>
        <v>766145.38204829616</v>
      </c>
      <c r="AB154" s="376">
        <f t="shared" si="64"/>
        <v>786013.81495875062</v>
      </c>
      <c r="AC154" s="376">
        <f t="shared" si="64"/>
        <v>811052.60242844315</v>
      </c>
      <c r="AD154" s="376">
        <f t="shared" si="64"/>
        <v>837028.92374563671</v>
      </c>
      <c r="AE154" s="376">
        <f t="shared" si="64"/>
        <v>863979.64008771861</v>
      </c>
      <c r="AF154" s="376">
        <f t="shared" si="64"/>
        <v>891943.0806774064</v>
      </c>
      <c r="AG154" s="376">
        <f t="shared" si="64"/>
        <v>920959.10144054331</v>
      </c>
    </row>
    <row r="155" spans="1:34">
      <c r="A155" s="368" t="s">
        <v>318</v>
      </c>
      <c r="B155" s="300" t="s">
        <v>313</v>
      </c>
      <c r="C155" s="376">
        <f>'Changing with year'!C305</f>
        <v>660000</v>
      </c>
      <c r="D155" s="376">
        <f>'Changing with year'!D305</f>
        <v>690000</v>
      </c>
      <c r="E155" s="376">
        <f>'Changing with year'!E305</f>
        <v>721000</v>
      </c>
      <c r="F155" s="376">
        <f>'Changing with year'!F305</f>
        <v>753000</v>
      </c>
      <c r="G155" s="376">
        <f>'Changing with year'!G305</f>
        <v>787000</v>
      </c>
      <c r="H155" s="376">
        <f>'Changing with year'!H305</f>
        <v>822000</v>
      </c>
      <c r="I155" s="376">
        <f>'Changing with year'!I305</f>
        <v>859000</v>
      </c>
      <c r="J155" s="376">
        <f>'Changing with year'!J305</f>
        <v>898000</v>
      </c>
      <c r="K155" s="376">
        <f>'Changing with year'!K305</f>
        <v>938000</v>
      </c>
      <c r="L155" s="376">
        <f>'Changing with year'!L305</f>
        <v>980000</v>
      </c>
      <c r="M155" s="376">
        <f>'Changing with year'!M305</f>
        <v>1024000</v>
      </c>
      <c r="N155" s="376">
        <f>'Changing with year'!N305</f>
        <v>1070000</v>
      </c>
      <c r="O155" s="376">
        <f>'Changing with year'!O305</f>
        <v>1118000</v>
      </c>
      <c r="P155" s="376">
        <f>'Changing with year'!P305</f>
        <v>1168000</v>
      </c>
      <c r="Q155" s="376">
        <f>'Changing with year'!Q305</f>
        <v>1221000</v>
      </c>
      <c r="R155" s="376">
        <f>'Changing with year'!R305</f>
        <v>1276000</v>
      </c>
      <c r="S155" s="376">
        <f>'Changing with year'!S305</f>
        <v>1333000</v>
      </c>
      <c r="T155" s="376">
        <f>'Changing with year'!T305</f>
        <v>1393000</v>
      </c>
      <c r="U155" s="376">
        <f>'Changing with year'!U305</f>
        <v>1456000</v>
      </c>
      <c r="V155" s="376">
        <f>'Changing with year'!V305</f>
        <v>1522000</v>
      </c>
      <c r="W155" s="376">
        <f>'Changing with year'!W305</f>
        <v>1590000</v>
      </c>
      <c r="X155" s="376">
        <f>'Changing with year'!X305</f>
        <v>1662000</v>
      </c>
      <c r="Y155" s="376">
        <f>'Changing with year'!Y305</f>
        <v>1737000</v>
      </c>
      <c r="Z155" s="376">
        <f>'Changing with year'!Z305</f>
        <v>1815000</v>
      </c>
      <c r="AA155" s="376">
        <f>'Changing with year'!AA305</f>
        <v>1897000</v>
      </c>
      <c r="AB155" s="376">
        <f>'Changing with year'!AB305</f>
        <v>1982000</v>
      </c>
      <c r="AC155" s="376">
        <f>'Changing with year'!AC305</f>
        <v>2071000</v>
      </c>
      <c r="AD155" s="376">
        <f>'Changing with year'!AD305</f>
        <v>2164000</v>
      </c>
      <c r="AE155" s="376">
        <f>'Changing with year'!AE305</f>
        <v>2261000</v>
      </c>
      <c r="AF155" s="376">
        <f>'Changing with year'!AF305</f>
        <v>2363000</v>
      </c>
      <c r="AG155" s="376">
        <f>'Changing with year'!AG305</f>
        <v>2469000</v>
      </c>
      <c r="AH155" s="339"/>
    </row>
    <row r="156" spans="1:34">
      <c r="A156" s="300" t="s">
        <v>272</v>
      </c>
      <c r="B156" s="300" t="s">
        <v>313</v>
      </c>
      <c r="C156" s="376">
        <f t="shared" ref="C156:AG156" si="65">C61</f>
        <v>540000</v>
      </c>
      <c r="D156" s="376">
        <f t="shared" si="65"/>
        <v>545400</v>
      </c>
      <c r="E156" s="376">
        <f t="shared" si="65"/>
        <v>550854</v>
      </c>
      <c r="F156" s="376">
        <f t="shared" si="65"/>
        <v>556362.53999999992</v>
      </c>
      <c r="G156" s="376">
        <f t="shared" si="65"/>
        <v>561926.16539999994</v>
      </c>
      <c r="H156" s="376">
        <f t="shared" si="65"/>
        <v>567545.42705399997</v>
      </c>
      <c r="I156" s="376">
        <f t="shared" si="65"/>
        <v>573220.88132453989</v>
      </c>
      <c r="J156" s="376">
        <f t="shared" si="65"/>
        <v>578953.09013778542</v>
      </c>
      <c r="K156" s="376">
        <f t="shared" si="65"/>
        <v>584742.62103916332</v>
      </c>
      <c r="L156" s="376">
        <f t="shared" si="65"/>
        <v>590590.04724955501</v>
      </c>
      <c r="M156" s="376">
        <f t="shared" si="65"/>
        <v>596495.94772205048</v>
      </c>
      <c r="N156" s="376">
        <f t="shared" si="65"/>
        <v>602460.90719927102</v>
      </c>
      <c r="O156" s="376">
        <f t="shared" si="65"/>
        <v>608485.51627126383</v>
      </c>
      <c r="P156" s="376">
        <f t="shared" si="65"/>
        <v>614570.37143397657</v>
      </c>
      <c r="Q156" s="376">
        <f t="shared" si="65"/>
        <v>620716.07514831633</v>
      </c>
      <c r="R156" s="376">
        <f t="shared" si="65"/>
        <v>626923.2358997995</v>
      </c>
      <c r="S156" s="376">
        <f t="shared" si="65"/>
        <v>633192.46825879754</v>
      </c>
      <c r="T156" s="376">
        <f t="shared" si="65"/>
        <v>639524.39294138551</v>
      </c>
      <c r="U156" s="376">
        <f t="shared" si="65"/>
        <v>645919.63687079935</v>
      </c>
      <c r="V156" s="376">
        <f t="shared" si="65"/>
        <v>652378.83323950728</v>
      </c>
      <c r="W156" s="376">
        <f t="shared" si="65"/>
        <v>658902.62157190242</v>
      </c>
      <c r="X156" s="376">
        <f t="shared" si="65"/>
        <v>665491.64778762148</v>
      </c>
      <c r="Y156" s="376">
        <f t="shared" si="65"/>
        <v>672146.56426549761</v>
      </c>
      <c r="Z156" s="376">
        <f t="shared" si="65"/>
        <v>678868.02990815276</v>
      </c>
      <c r="AA156" s="376">
        <f t="shared" si="65"/>
        <v>685656.71020723425</v>
      </c>
      <c r="AB156" s="376">
        <f t="shared" si="65"/>
        <v>692513.27730930655</v>
      </c>
      <c r="AC156" s="376">
        <f t="shared" si="65"/>
        <v>699438.41008239973</v>
      </c>
      <c r="AD156" s="376">
        <f t="shared" si="65"/>
        <v>706432.79418322374</v>
      </c>
      <c r="AE156" s="376">
        <f t="shared" si="65"/>
        <v>713497.12212505599</v>
      </c>
      <c r="AF156" s="376">
        <f t="shared" si="65"/>
        <v>720632.09334630647</v>
      </c>
      <c r="AG156" s="376">
        <f t="shared" si="65"/>
        <v>727838.41427976964</v>
      </c>
    </row>
    <row r="157" spans="1:34">
      <c r="A157" s="300" t="s">
        <v>319</v>
      </c>
      <c r="B157" s="300" t="s">
        <v>313</v>
      </c>
      <c r="C157" s="376">
        <f t="shared" ref="C157:AG157" si="66">C149*$C$29</f>
        <v>243820</v>
      </c>
      <c r="D157" s="376">
        <f t="shared" si="66"/>
        <v>240300</v>
      </c>
      <c r="E157" s="376">
        <f t="shared" si="66"/>
        <v>237040</v>
      </c>
      <c r="F157" s="376">
        <f t="shared" si="66"/>
        <v>234080</v>
      </c>
      <c r="G157" s="376">
        <f t="shared" si="66"/>
        <v>231400</v>
      </c>
      <c r="H157" s="376">
        <f t="shared" si="66"/>
        <v>232980</v>
      </c>
      <c r="I157" s="376">
        <f t="shared" si="66"/>
        <v>231980</v>
      </c>
      <c r="J157" s="376">
        <f t="shared" si="66"/>
        <v>231320</v>
      </c>
      <c r="K157" s="376">
        <f t="shared" si="66"/>
        <v>230840</v>
      </c>
      <c r="L157" s="376">
        <f t="shared" si="66"/>
        <v>230580</v>
      </c>
      <c r="M157" s="376">
        <f t="shared" si="66"/>
        <v>230520</v>
      </c>
      <c r="N157" s="376">
        <f t="shared" si="66"/>
        <v>230680</v>
      </c>
      <c r="O157" s="376">
        <f t="shared" si="66"/>
        <v>231020</v>
      </c>
      <c r="P157" s="376">
        <f t="shared" si="66"/>
        <v>231580</v>
      </c>
      <c r="Q157" s="376">
        <f t="shared" si="66"/>
        <v>232340</v>
      </c>
      <c r="R157" s="376">
        <f t="shared" si="66"/>
        <v>233320</v>
      </c>
      <c r="S157" s="376">
        <f t="shared" si="66"/>
        <v>233260</v>
      </c>
      <c r="T157" s="376">
        <f t="shared" si="66"/>
        <v>236740</v>
      </c>
      <c r="U157" s="376">
        <f t="shared" si="66"/>
        <v>240340</v>
      </c>
      <c r="V157" s="376">
        <f t="shared" si="66"/>
        <v>244120</v>
      </c>
      <c r="W157" s="376">
        <f t="shared" si="66"/>
        <v>248040</v>
      </c>
      <c r="X157" s="376">
        <f t="shared" si="66"/>
        <v>248960</v>
      </c>
      <c r="Y157" s="376">
        <f t="shared" si="66"/>
        <v>253240</v>
      </c>
      <c r="Z157" s="376">
        <f t="shared" si="66"/>
        <v>257700</v>
      </c>
      <c r="AA157" s="376">
        <f t="shared" si="66"/>
        <v>262320</v>
      </c>
      <c r="AB157" s="376">
        <f t="shared" si="66"/>
        <v>267140</v>
      </c>
      <c r="AC157" s="376">
        <f t="shared" si="66"/>
        <v>270420</v>
      </c>
      <c r="AD157" s="376">
        <f t="shared" si="66"/>
        <v>276960</v>
      </c>
      <c r="AE157" s="376">
        <f t="shared" si="66"/>
        <v>283660</v>
      </c>
      <c r="AF157" s="376">
        <f t="shared" si="66"/>
        <v>290560</v>
      </c>
      <c r="AG157" s="376">
        <f t="shared" si="66"/>
        <v>297660</v>
      </c>
    </row>
    <row r="158" spans="1:34" s="371" customFormat="1" ht="11.85" customHeight="1">
      <c r="A158" s="377" t="s">
        <v>320</v>
      </c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  <c r="AA158" s="383"/>
      <c r="AB158" s="383"/>
      <c r="AC158" s="383"/>
      <c r="AD158" s="383"/>
      <c r="AE158" s="383"/>
      <c r="AF158" s="383"/>
      <c r="AG158" s="383"/>
    </row>
    <row r="159" spans="1:34">
      <c r="A159" s="300" t="s">
        <v>325</v>
      </c>
      <c r="B159" s="300" t="s">
        <v>300</v>
      </c>
      <c r="C159" s="379">
        <f t="shared" ref="C159:AG160" si="67">C152/($C$22*$C$21)</f>
        <v>44.521071972897602</v>
      </c>
      <c r="D159" s="379">
        <f t="shared" si="67"/>
        <v>43.878326614253517</v>
      </c>
      <c r="E159" s="379">
        <f t="shared" si="67"/>
        <v>43.283056765054745</v>
      </c>
      <c r="F159" s="379">
        <f t="shared" si="67"/>
        <v>42.742566349831307</v>
      </c>
      <c r="G159" s="379">
        <f t="shared" si="67"/>
        <v>42.253203406318207</v>
      </c>
      <c r="H159" s="379">
        <f t="shared" si="67"/>
        <v>42.541708425255031</v>
      </c>
      <c r="I159" s="379">
        <f t="shared" si="67"/>
        <v>42.359110312003885</v>
      </c>
      <c r="J159" s="379">
        <f t="shared" si="67"/>
        <v>42.238595557258115</v>
      </c>
      <c r="K159" s="379">
        <f t="shared" si="67"/>
        <v>42.15094846289756</v>
      </c>
      <c r="L159" s="379">
        <f t="shared" si="67"/>
        <v>42.103472953452254</v>
      </c>
      <c r="M159" s="379">
        <f t="shared" si="67"/>
        <v>42.092517066657187</v>
      </c>
      <c r="N159" s="379">
        <f t="shared" si="67"/>
        <v>42.121732764777377</v>
      </c>
      <c r="O159" s="379">
        <f t="shared" si="67"/>
        <v>42.183816123282767</v>
      </c>
      <c r="P159" s="379">
        <f t="shared" si="67"/>
        <v>42.286071066703414</v>
      </c>
      <c r="Q159" s="379">
        <f t="shared" si="67"/>
        <v>42.4248456327743</v>
      </c>
      <c r="R159" s="379">
        <f t="shared" si="67"/>
        <v>42.603791783760435</v>
      </c>
      <c r="S159" s="379">
        <f t="shared" si="67"/>
        <v>42.592835896965354</v>
      </c>
      <c r="T159" s="379">
        <f t="shared" si="67"/>
        <v>43.228277331079404</v>
      </c>
      <c r="U159" s="379">
        <f t="shared" si="67"/>
        <v>43.885630538783573</v>
      </c>
      <c r="V159" s="379">
        <f t="shared" si="67"/>
        <v>44.57585140687295</v>
      </c>
      <c r="W159" s="379">
        <f t="shared" si="67"/>
        <v>45.291636010817491</v>
      </c>
      <c r="X159" s="379">
        <f t="shared" si="67"/>
        <v>45.45962627500856</v>
      </c>
      <c r="Y159" s="379">
        <f t="shared" si="67"/>
        <v>46.241146199723516</v>
      </c>
      <c r="Z159" s="379">
        <f t="shared" si="67"/>
        <v>47.055533784823695</v>
      </c>
      <c r="AA159" s="379">
        <f t="shared" si="67"/>
        <v>47.899137068044048</v>
      </c>
      <c r="AB159" s="379">
        <f t="shared" si="67"/>
        <v>48.779259973914627</v>
      </c>
      <c r="AC159" s="379">
        <f t="shared" si="67"/>
        <v>49.378181785378437</v>
      </c>
      <c r="AD159" s="379">
        <f t="shared" si="67"/>
        <v>50.57237344604102</v>
      </c>
      <c r="AE159" s="379">
        <f t="shared" si="67"/>
        <v>51.795780804823771</v>
      </c>
      <c r="AF159" s="379">
        <f t="shared" si="67"/>
        <v>53.055707786256775</v>
      </c>
      <c r="AG159" s="379">
        <f t="shared" si="67"/>
        <v>54.352154390340004</v>
      </c>
    </row>
    <row r="160" spans="1:34">
      <c r="A160" s="300" t="s">
        <v>321</v>
      </c>
      <c r="B160" s="300" t="s">
        <v>300</v>
      </c>
      <c r="C160" s="379">
        <f t="shared" si="67"/>
        <v>50.104166666666664</v>
      </c>
      <c r="D160" s="379">
        <f t="shared" si="67"/>
        <v>49.6388888888889</v>
      </c>
      <c r="E160" s="379">
        <f t="shared" si="67"/>
        <v>49.220034722222223</v>
      </c>
      <c r="F160" s="379">
        <f t="shared" si="67"/>
        <v>48.846569097222229</v>
      </c>
      <c r="G160" s="379">
        <f t="shared" si="67"/>
        <v>48.517506815972226</v>
      </c>
      <c r="H160" s="379">
        <f t="shared" si="67"/>
        <v>48.231910965659736</v>
      </c>
      <c r="I160" s="379">
        <f t="shared" si="67"/>
        <v>45.359380031179171</v>
      </c>
      <c r="J160" s="379">
        <f t="shared" si="67"/>
        <v>43.847572385731667</v>
      </c>
      <c r="K160" s="379">
        <f t="shared" si="67"/>
        <v>42.386048371102973</v>
      </c>
      <c r="L160" s="379">
        <f t="shared" si="67"/>
        <v>40.972910280432906</v>
      </c>
      <c r="M160" s="379">
        <f t="shared" si="67"/>
        <v>39.606339125830914</v>
      </c>
      <c r="N160" s="379">
        <f t="shared" si="67"/>
        <v>38.284591161929058</v>
      </c>
      <c r="O160" s="379">
        <f t="shared" si="67"/>
        <v>37.005994569139411</v>
      </c>
      <c r="P160" s="379">
        <f t="shared" si="67"/>
        <v>35.768946289094529</v>
      </c>
      <c r="Q160" s="379">
        <f t="shared" si="67"/>
        <v>34.571909005109674</v>
      </c>
      <c r="R160" s="379">
        <f t="shared" si="67"/>
        <v>33.413408260848044</v>
      </c>
      <c r="S160" s="379">
        <f t="shared" si="67"/>
        <v>30.850042231745569</v>
      </c>
      <c r="T160" s="379">
        <f t="shared" si="67"/>
        <v>29.974074098579191</v>
      </c>
      <c r="U160" s="379">
        <f t="shared" si="67"/>
        <v>29.129278851285243</v>
      </c>
      <c r="V160" s="379">
        <f t="shared" si="67"/>
        <v>28.314309156208008</v>
      </c>
      <c r="W160" s="379">
        <f t="shared" si="67"/>
        <v>27.527880381605279</v>
      </c>
      <c r="X160" s="379">
        <f t="shared" si="67"/>
        <v>26.768767585750247</v>
      </c>
      <c r="Y160" s="379">
        <f t="shared" si="67"/>
        <v>26.035802652099871</v>
      </c>
      <c r="Z160" s="379">
        <f t="shared" si="67"/>
        <v>25.327871564280482</v>
      </c>
      <c r="AA160" s="379">
        <f t="shared" si="67"/>
        <v>24.643911814000887</v>
      </c>
      <c r="AB160" s="379">
        <f t="shared" si="67"/>
        <v>23.982909935344718</v>
      </c>
      <c r="AC160" s="379">
        <f t="shared" si="67"/>
        <v>23.177063068976953</v>
      </c>
      <c r="AD160" s="379">
        <f t="shared" si="67"/>
        <v>23.256941360417489</v>
      </c>
      <c r="AE160" s="379">
        <f t="shared" si="67"/>
        <v>23.363956728870498</v>
      </c>
      <c r="AF160" s="379">
        <f t="shared" si="67"/>
        <v>23.49767317449907</v>
      </c>
      <c r="AG160" s="379">
        <f t="shared" si="67"/>
        <v>23.657696667223973</v>
      </c>
    </row>
    <row r="161" spans="1:33">
      <c r="A161" s="300" t="s">
        <v>322</v>
      </c>
      <c r="B161" s="300" t="s">
        <v>300</v>
      </c>
      <c r="C161" s="379">
        <f t="shared" ref="C161:AG161" si="68">(C154+C155+C156+C157)/($C$22*$C$21)</f>
        <v>33.106166666666667</v>
      </c>
      <c r="D161" s="379">
        <f t="shared" si="68"/>
        <v>33.644137499999999</v>
      </c>
      <c r="E161" s="379">
        <f t="shared" si="68"/>
        <v>34.213150395833331</v>
      </c>
      <c r="F161" s="379">
        <f t="shared" si="68"/>
        <v>34.814024789270832</v>
      </c>
      <c r="G161" s="379">
        <f t="shared" si="68"/>
        <v>35.463258170672397</v>
      </c>
      <c r="H161" s="379">
        <f t="shared" si="68"/>
        <v>36.210693066467584</v>
      </c>
      <c r="I161" s="379">
        <f t="shared" si="68"/>
        <v>36.983248962100753</v>
      </c>
      <c r="J161" s="379">
        <f t="shared" si="68"/>
        <v>37.804644948693948</v>
      </c>
      <c r="K161" s="379">
        <f t="shared" si="68"/>
        <v>38.65579740763549</v>
      </c>
      <c r="L161" s="379">
        <f t="shared" si="68"/>
        <v>39.554301402029417</v>
      </c>
      <c r="M161" s="379">
        <f t="shared" si="68"/>
        <v>40.500097774921741</v>
      </c>
      <c r="N161" s="379">
        <f t="shared" si="68"/>
        <v>41.493806932351461</v>
      </c>
      <c r="O161" s="379">
        <f t="shared" si="68"/>
        <v>42.535062645267217</v>
      </c>
      <c r="P161" s="379">
        <f t="shared" si="68"/>
        <v>43.624845871045835</v>
      </c>
      <c r="Q161" s="379">
        <f t="shared" si="68"/>
        <v>44.779818595378849</v>
      </c>
      <c r="R161" s="379">
        <f t="shared" si="68"/>
        <v>45.983991028657172</v>
      </c>
      <c r="S161" s="379">
        <f t="shared" si="68"/>
        <v>47.256047751156281</v>
      </c>
      <c r="T161" s="379">
        <f t="shared" si="68"/>
        <v>48.648858406049477</v>
      </c>
      <c r="U161" s="379">
        <f t="shared" si="68"/>
        <v>50.105842141674025</v>
      </c>
      <c r="V161" s="379">
        <f t="shared" si="68"/>
        <v>51.628434755466976</v>
      </c>
      <c r="W161" s="379">
        <f t="shared" si="68"/>
        <v>53.199756021495006</v>
      </c>
      <c r="X161" s="379">
        <f t="shared" si="68"/>
        <v>54.801277044407016</v>
      </c>
      <c r="Y161" s="379">
        <f t="shared" si="68"/>
        <v>56.522820974199249</v>
      </c>
      <c r="Z161" s="379">
        <f t="shared" si="68"/>
        <v>58.311897082891811</v>
      </c>
      <c r="AA161" s="379">
        <f t="shared" si="68"/>
        <v>60.185368204258843</v>
      </c>
      <c r="AB161" s="379">
        <f t="shared" si="68"/>
        <v>62.127784871134288</v>
      </c>
      <c r="AC161" s="379">
        <f t="shared" si="68"/>
        <v>64.198516875180715</v>
      </c>
      <c r="AD161" s="379">
        <f t="shared" si="68"/>
        <v>66.407028632147671</v>
      </c>
      <c r="AE161" s="379">
        <f t="shared" si="68"/>
        <v>68.702279370212906</v>
      </c>
      <c r="AF161" s="379">
        <f t="shared" si="68"/>
        <v>71.102252900395214</v>
      </c>
      <c r="AG161" s="379">
        <f t="shared" si="68"/>
        <v>73.590958595338563</v>
      </c>
    </row>
    <row r="162" spans="1:33">
      <c r="A162" s="300" t="s">
        <v>310</v>
      </c>
      <c r="B162" s="300" t="s">
        <v>300</v>
      </c>
      <c r="C162" s="379">
        <f t="shared" ref="C162:AG162" si="69">C150/($C$22*$C$21*7)</f>
        <v>2.9026190476190488</v>
      </c>
      <c r="D162" s="379">
        <f t="shared" si="69"/>
        <v>2.8607142857142867</v>
      </c>
      <c r="E162" s="379">
        <f t="shared" si="69"/>
        <v>2.8219047619047628</v>
      </c>
      <c r="F162" s="379">
        <f t="shared" si="69"/>
        <v>2.786666666666668</v>
      </c>
      <c r="G162" s="379">
        <f t="shared" si="69"/>
        <v>2.7547619047619061</v>
      </c>
      <c r="H162" s="379">
        <f t="shared" si="69"/>
        <v>2.7735714285714295</v>
      </c>
      <c r="I162" s="379">
        <f t="shared" si="69"/>
        <v>2.7616666666666676</v>
      </c>
      <c r="J162" s="379">
        <f t="shared" si="69"/>
        <v>2.753809523809525</v>
      </c>
      <c r="K162" s="379">
        <f t="shared" si="69"/>
        <v>2.7480952380952393</v>
      </c>
      <c r="L162" s="379">
        <f t="shared" si="69"/>
        <v>2.745000000000001</v>
      </c>
      <c r="M162" s="379">
        <f t="shared" si="69"/>
        <v>2.7442857142857155</v>
      </c>
      <c r="N162" s="379">
        <f t="shared" si="69"/>
        <v>5.4923809523809544</v>
      </c>
      <c r="O162" s="379">
        <f t="shared" si="69"/>
        <v>5.500476190476193</v>
      </c>
      <c r="P162" s="379">
        <f t="shared" si="69"/>
        <v>5.5138095238095257</v>
      </c>
      <c r="Q162" s="379">
        <f t="shared" si="69"/>
        <v>5.5319047619047641</v>
      </c>
      <c r="R162" s="379">
        <f t="shared" si="69"/>
        <v>5.5552380952380975</v>
      </c>
      <c r="S162" s="379">
        <f t="shared" si="69"/>
        <v>5.5538095238095257</v>
      </c>
      <c r="T162" s="379">
        <f t="shared" si="69"/>
        <v>5.6366666666666685</v>
      </c>
      <c r="U162" s="379">
        <f t="shared" si="69"/>
        <v>5.7223809523809548</v>
      </c>
      <c r="V162" s="379">
        <f t="shared" si="69"/>
        <v>5.8123809523809546</v>
      </c>
      <c r="W162" s="379">
        <f t="shared" si="69"/>
        <v>5.9057142857142884</v>
      </c>
      <c r="X162" s="379">
        <f t="shared" si="69"/>
        <v>8.8914285714285732</v>
      </c>
      <c r="Y162" s="379">
        <f t="shared" si="69"/>
        <v>9.0442857142857154</v>
      </c>
      <c r="Z162" s="379">
        <f t="shared" si="69"/>
        <v>9.2035714285714292</v>
      </c>
      <c r="AA162" s="379">
        <f t="shared" si="69"/>
        <v>9.3685714285714301</v>
      </c>
      <c r="AB162" s="379">
        <f t="shared" si="69"/>
        <v>9.5407142857142873</v>
      </c>
      <c r="AC162" s="379">
        <f t="shared" si="69"/>
        <v>9.6578571428571447</v>
      </c>
      <c r="AD162" s="379">
        <f t="shared" si="69"/>
        <v>9.8914285714285732</v>
      </c>
      <c r="AE162" s="379">
        <f t="shared" si="69"/>
        <v>10.130714285714287</v>
      </c>
      <c r="AF162" s="379">
        <f t="shared" si="69"/>
        <v>10.377142857142859</v>
      </c>
      <c r="AG162" s="379">
        <f t="shared" si="69"/>
        <v>10.630714285714287</v>
      </c>
    </row>
    <row r="163" spans="1:33">
      <c r="A163" s="380" t="s">
        <v>323</v>
      </c>
      <c r="B163" s="300" t="s">
        <v>300</v>
      </c>
      <c r="C163" s="387">
        <f>SUM(C159:C161)-C162</f>
        <v>124.82878625861187</v>
      </c>
      <c r="D163" s="387">
        <f t="shared" ref="D163:AG163" si="70">SUM(D159:D161)-D162</f>
        <v>124.30063871742813</v>
      </c>
      <c r="E163" s="387">
        <f t="shared" si="70"/>
        <v>123.89433712120555</v>
      </c>
      <c r="F163" s="387">
        <f t="shared" si="70"/>
        <v>123.61649356965771</v>
      </c>
      <c r="G163" s="387">
        <f t="shared" si="70"/>
        <v>123.47920648820092</v>
      </c>
      <c r="H163" s="387">
        <f t="shared" si="70"/>
        <v>124.21074102881093</v>
      </c>
      <c r="I163" s="387">
        <f t="shared" si="70"/>
        <v>121.94007263861714</v>
      </c>
      <c r="J163" s="387">
        <f t="shared" si="70"/>
        <v>121.13700336787421</v>
      </c>
      <c r="K163" s="387">
        <f t="shared" si="70"/>
        <v>120.44469900354078</v>
      </c>
      <c r="L163" s="387">
        <f t="shared" si="70"/>
        <v>119.88568463591457</v>
      </c>
      <c r="M163" s="387">
        <f t="shared" si="70"/>
        <v>119.45466825312414</v>
      </c>
      <c r="N163" s="387">
        <f t="shared" si="70"/>
        <v>116.40774990667694</v>
      </c>
      <c r="O163" s="387">
        <f t="shared" si="70"/>
        <v>116.22439714721321</v>
      </c>
      <c r="P163" s="387">
        <f t="shared" si="70"/>
        <v>116.16605370303425</v>
      </c>
      <c r="Q163" s="387">
        <f t="shared" si="70"/>
        <v>116.24466847135807</v>
      </c>
      <c r="R163" s="387">
        <f t="shared" si="70"/>
        <v>116.44595297802755</v>
      </c>
      <c r="S163" s="387">
        <f t="shared" si="70"/>
        <v>115.14511635605768</v>
      </c>
      <c r="T163" s="387">
        <f t="shared" si="70"/>
        <v>116.21454316904139</v>
      </c>
      <c r="U163" s="387">
        <f t="shared" si="70"/>
        <v>117.3983705793619</v>
      </c>
      <c r="V163" s="387">
        <f t="shared" si="70"/>
        <v>118.70621436616699</v>
      </c>
      <c r="W163" s="387">
        <f t="shared" si="70"/>
        <v>120.11355812820349</v>
      </c>
      <c r="X163" s="387">
        <f t="shared" si="70"/>
        <v>118.13824233373725</v>
      </c>
      <c r="Y163" s="387">
        <f t="shared" si="70"/>
        <v>119.75548411173692</v>
      </c>
      <c r="Z163" s="387">
        <f t="shared" si="70"/>
        <v>121.49173100342458</v>
      </c>
      <c r="AA163" s="387">
        <f t="shared" si="70"/>
        <v>123.35984565773235</v>
      </c>
      <c r="AB163" s="387">
        <f t="shared" si="70"/>
        <v>125.34924049467934</v>
      </c>
      <c r="AC163" s="387">
        <f t="shared" si="70"/>
        <v>127.09590458667897</v>
      </c>
      <c r="AD163" s="387">
        <f t="shared" si="70"/>
        <v>130.34491486717761</v>
      </c>
      <c r="AE163" s="387">
        <f t="shared" si="70"/>
        <v>133.7313026181929</v>
      </c>
      <c r="AF163" s="387">
        <f t="shared" si="70"/>
        <v>137.27849100400817</v>
      </c>
      <c r="AG163" s="387">
        <f t="shared" si="70"/>
        <v>140.97009536718826</v>
      </c>
    </row>
    <row r="164" spans="1:33">
      <c r="A164" s="360" t="s">
        <v>323</v>
      </c>
      <c r="B164" s="360"/>
      <c r="C164" s="360">
        <v>2025</v>
      </c>
      <c r="D164" s="360">
        <f>C164+1</f>
        <v>2026</v>
      </c>
      <c r="E164" s="360">
        <f t="shared" ref="E164:AG164" si="71">D164+1</f>
        <v>2027</v>
      </c>
      <c r="F164" s="360">
        <f t="shared" si="71"/>
        <v>2028</v>
      </c>
      <c r="G164" s="360">
        <f t="shared" si="71"/>
        <v>2029</v>
      </c>
      <c r="H164" s="360">
        <f t="shared" si="71"/>
        <v>2030</v>
      </c>
      <c r="I164" s="360">
        <f t="shared" si="71"/>
        <v>2031</v>
      </c>
      <c r="J164" s="360">
        <f t="shared" si="71"/>
        <v>2032</v>
      </c>
      <c r="K164" s="360">
        <f t="shared" si="71"/>
        <v>2033</v>
      </c>
      <c r="L164" s="360">
        <f t="shared" si="71"/>
        <v>2034</v>
      </c>
      <c r="M164" s="360">
        <f t="shared" si="71"/>
        <v>2035</v>
      </c>
      <c r="N164" s="360">
        <f t="shared" si="71"/>
        <v>2036</v>
      </c>
      <c r="O164" s="360">
        <f t="shared" si="71"/>
        <v>2037</v>
      </c>
      <c r="P164" s="360">
        <f t="shared" si="71"/>
        <v>2038</v>
      </c>
      <c r="Q164" s="360">
        <f t="shared" si="71"/>
        <v>2039</v>
      </c>
      <c r="R164" s="360">
        <f t="shared" si="71"/>
        <v>2040</v>
      </c>
      <c r="S164" s="360">
        <f t="shared" si="71"/>
        <v>2041</v>
      </c>
      <c r="T164" s="360">
        <f t="shared" si="71"/>
        <v>2042</v>
      </c>
      <c r="U164" s="360">
        <f t="shared" si="71"/>
        <v>2043</v>
      </c>
      <c r="V164" s="360">
        <f t="shared" si="71"/>
        <v>2044</v>
      </c>
      <c r="W164" s="360">
        <f t="shared" si="71"/>
        <v>2045</v>
      </c>
      <c r="X164" s="360">
        <f t="shared" si="71"/>
        <v>2046</v>
      </c>
      <c r="Y164" s="360">
        <f t="shared" si="71"/>
        <v>2047</v>
      </c>
      <c r="Z164" s="360">
        <f t="shared" si="71"/>
        <v>2048</v>
      </c>
      <c r="AA164" s="360">
        <f t="shared" si="71"/>
        <v>2049</v>
      </c>
      <c r="AB164" s="360">
        <f t="shared" si="71"/>
        <v>2050</v>
      </c>
      <c r="AC164" s="360">
        <f t="shared" si="71"/>
        <v>2051</v>
      </c>
      <c r="AD164" s="360">
        <f t="shared" si="71"/>
        <v>2052</v>
      </c>
      <c r="AE164" s="360">
        <f t="shared" si="71"/>
        <v>2053</v>
      </c>
      <c r="AF164" s="360">
        <f t="shared" si="71"/>
        <v>2054</v>
      </c>
      <c r="AG164" s="360">
        <f t="shared" si="71"/>
        <v>2055</v>
      </c>
    </row>
    <row r="165" spans="1:33">
      <c r="A165" s="300" t="str">
        <f>A62</f>
        <v xml:space="preserve">Diesel   </v>
      </c>
      <c r="B165" s="300" t="str">
        <f>A165</f>
        <v xml:space="preserve">Diesel   </v>
      </c>
      <c r="C165" s="379">
        <f t="shared" ref="C165:AG165" si="72">C78</f>
        <v>60.271456499917136</v>
      </c>
      <c r="D165" s="379">
        <f t="shared" si="72"/>
        <v>64.145979363851154</v>
      </c>
      <c r="E165" s="379">
        <f t="shared" si="72"/>
        <v>65.807610754031487</v>
      </c>
      <c r="F165" s="379">
        <f t="shared" si="72"/>
        <v>67.516165464353236</v>
      </c>
      <c r="G165" s="379">
        <f t="shared" si="72"/>
        <v>69.28910527081996</v>
      </c>
      <c r="H165" s="379">
        <f t="shared" si="72"/>
        <v>72.180883576708908</v>
      </c>
      <c r="I165" s="379">
        <f t="shared" si="72"/>
        <v>74.100754610238354</v>
      </c>
      <c r="J165" s="379">
        <f t="shared" si="72"/>
        <v>76.071899418646098</v>
      </c>
      <c r="K165" s="379">
        <f t="shared" si="72"/>
        <v>78.112115744222294</v>
      </c>
      <c r="L165" s="379">
        <f t="shared" si="72"/>
        <v>80.205619006557896</v>
      </c>
      <c r="M165" s="379">
        <f t="shared" si="72"/>
        <v>82.370244763925882</v>
      </c>
      <c r="N165" s="379">
        <f t="shared" si="72"/>
        <v>86.138134180965594</v>
      </c>
      <c r="O165" s="379">
        <f t="shared" si="72"/>
        <v>88.494252854155363</v>
      </c>
      <c r="P165" s="379">
        <f t="shared" si="72"/>
        <v>90.926236203735996</v>
      </c>
      <c r="Q165" s="379">
        <f t="shared" si="72"/>
        <v>93.435093154710586</v>
      </c>
      <c r="R165" s="379">
        <f t="shared" si="72"/>
        <v>96.022438207302301</v>
      </c>
      <c r="S165" s="379">
        <f t="shared" si="72"/>
        <v>98.689326686059758</v>
      </c>
      <c r="T165" s="379">
        <f t="shared" si="72"/>
        <v>101.45379639206188</v>
      </c>
      <c r="U165" s="379">
        <f t="shared" si="72"/>
        <v>104.30057707229355</v>
      </c>
      <c r="V165" s="379">
        <f t="shared" si="72"/>
        <v>107.24775797421647</v>
      </c>
      <c r="W165" s="379">
        <f t="shared" si="72"/>
        <v>110.28041348675973</v>
      </c>
      <c r="X165" s="379">
        <f t="shared" si="72"/>
        <v>115.47384898310777</v>
      </c>
      <c r="Y165" s="379">
        <f t="shared" si="72"/>
        <v>118.77638073363492</v>
      </c>
      <c r="Z165" s="379">
        <f t="shared" si="72"/>
        <v>122.18743217194078</v>
      </c>
      <c r="AA165" s="379">
        <f t="shared" si="72"/>
        <v>125.70861885449776</v>
      </c>
      <c r="AB165" s="379">
        <f t="shared" si="72"/>
        <v>129.3585704356116</v>
      </c>
      <c r="AC165" s="379">
        <f t="shared" si="72"/>
        <v>133.1223014227574</v>
      </c>
      <c r="AD165" s="379">
        <f t="shared" si="72"/>
        <v>137.01819423033672</v>
      </c>
      <c r="AE165" s="379">
        <f t="shared" si="72"/>
        <v>141.04831561150942</v>
      </c>
      <c r="AF165" s="379">
        <f t="shared" si="72"/>
        <v>145.21476941071037</v>
      </c>
      <c r="AG165" s="379">
        <f t="shared" si="72"/>
        <v>149.51969789399743</v>
      </c>
    </row>
    <row r="166" spans="1:33">
      <c r="A166" s="368" t="s">
        <v>179</v>
      </c>
      <c r="B166" s="368" t="s">
        <v>179</v>
      </c>
      <c r="C166" s="379">
        <f t="shared" ref="C166:AG166" si="73">C95</f>
        <v>59.411165147960737</v>
      </c>
      <c r="D166" s="379">
        <f t="shared" si="73"/>
        <v>61.708868523452196</v>
      </c>
      <c r="E166" s="379">
        <f t="shared" si="73"/>
        <v>63.581421245822433</v>
      </c>
      <c r="F166" s="379">
        <f t="shared" si="73"/>
        <v>65.512996016530423</v>
      </c>
      <c r="G166" s="379">
        <f t="shared" si="73"/>
        <v>67.521591855693003</v>
      </c>
      <c r="H166" s="379">
        <f t="shared" si="73"/>
        <v>70.709845196929265</v>
      </c>
      <c r="I166" s="379">
        <f t="shared" si="73"/>
        <v>72.893524749801017</v>
      </c>
      <c r="J166" s="379">
        <f t="shared" si="73"/>
        <v>75.142825511408006</v>
      </c>
      <c r="K166" s="379">
        <f t="shared" si="73"/>
        <v>77.475957305440971</v>
      </c>
      <c r="L166" s="379">
        <f t="shared" si="73"/>
        <v>79.87784646534395</v>
      </c>
      <c r="M166" s="379">
        <f t="shared" si="73"/>
        <v>82.366804143883954</v>
      </c>
      <c r="N166" s="379">
        <f t="shared" si="73"/>
        <v>86.557833970923454</v>
      </c>
      <c r="O166" s="379">
        <f t="shared" si="73"/>
        <v>89.274475815687865</v>
      </c>
      <c r="P166" s="379">
        <f t="shared" si="73"/>
        <v>92.084897797892651</v>
      </c>
      <c r="Q166" s="379">
        <f t="shared" si="73"/>
        <v>94.991011469702343</v>
      </c>
      <c r="R166" s="379">
        <f t="shared" si="73"/>
        <v>97.994790258228917</v>
      </c>
      <c r="S166" s="379">
        <f t="shared" si="73"/>
        <v>101.09827150894019</v>
      </c>
      <c r="T166" s="379">
        <f t="shared" si="73"/>
        <v>104.3202252645837</v>
      </c>
      <c r="U166" s="379">
        <f t="shared" si="73"/>
        <v>107.64615644866079</v>
      </c>
      <c r="V166" s="379">
        <f t="shared" si="73"/>
        <v>111.09497378923518</v>
      </c>
      <c r="W166" s="379">
        <f t="shared" si="73"/>
        <v>114.65232548561343</v>
      </c>
      <c r="X166" s="379">
        <f t="shared" si="73"/>
        <v>120.50541659121816</v>
      </c>
      <c r="Y166" s="379">
        <f t="shared" si="73"/>
        <v>124.38546274032572</v>
      </c>
      <c r="Z166" s="379">
        <f t="shared" si="73"/>
        <v>128.40006720310592</v>
      </c>
      <c r="AA166" s="379">
        <f t="shared" si="73"/>
        <v>132.55191955530162</v>
      </c>
      <c r="AB166" s="379">
        <f t="shared" si="73"/>
        <v>136.86046350513973</v>
      </c>
      <c r="AC166" s="379">
        <f t="shared" si="73"/>
        <v>141.31189979510225</v>
      </c>
      <c r="AD166" s="379">
        <f t="shared" si="73"/>
        <v>145.92585586859568</v>
      </c>
      <c r="AE166" s="379">
        <f t="shared" si="73"/>
        <v>150.70538897158042</v>
      </c>
      <c r="AF166" s="379">
        <f t="shared" si="73"/>
        <v>155.65365602600684</v>
      </c>
      <c r="AG166" s="379">
        <f t="shared" si="73"/>
        <v>160.77391694536524</v>
      </c>
    </row>
    <row r="167" spans="1:33">
      <c r="A167" s="300" t="s">
        <v>180</v>
      </c>
      <c r="B167" s="300" t="s">
        <v>180</v>
      </c>
      <c r="C167" s="379">
        <f t="shared" ref="C167:AG167" si="74">C112</f>
        <v>61.483761941235365</v>
      </c>
      <c r="D167" s="379">
        <f t="shared" si="74"/>
        <v>63.417847469149407</v>
      </c>
      <c r="E167" s="379">
        <f t="shared" si="74"/>
        <v>65.277640247256016</v>
      </c>
      <c r="F167" s="379">
        <f t="shared" si="74"/>
        <v>67.195094088579751</v>
      </c>
      <c r="G167" s="379">
        <f t="shared" si="74"/>
        <v>69.187831805354804</v>
      </c>
      <c r="H167" s="379">
        <f t="shared" si="74"/>
        <v>72.358102337081263</v>
      </c>
      <c r="I167" s="379">
        <f t="shared" si="74"/>
        <v>74.524070093786207</v>
      </c>
      <c r="J167" s="379">
        <f t="shared" si="74"/>
        <v>76.751718025663777</v>
      </c>
      <c r="K167" s="379">
        <f t="shared" si="74"/>
        <v>79.06439198588464</v>
      </c>
      <c r="L167" s="379">
        <f t="shared" si="74"/>
        <v>81.443756270869031</v>
      </c>
      <c r="M167" s="379">
        <f t="shared" si="74"/>
        <v>83.91043561864754</v>
      </c>
      <c r="N167" s="379">
        <f t="shared" si="74"/>
        <v>88.301170542218387</v>
      </c>
      <c r="O167" s="379">
        <f t="shared" si="74"/>
        <v>90.989345967099311</v>
      </c>
      <c r="P167" s="379">
        <f t="shared" si="74"/>
        <v>93.773025514273215</v>
      </c>
      <c r="Q167" s="379">
        <f t="shared" si="74"/>
        <v>96.650502628728503</v>
      </c>
      <c r="R167" s="379">
        <f t="shared" si="74"/>
        <v>99.623147989271246</v>
      </c>
      <c r="S167" s="379">
        <f t="shared" si="74"/>
        <v>102.69541102526001</v>
      </c>
      <c r="T167" s="379">
        <f t="shared" si="74"/>
        <v>105.88238940911862</v>
      </c>
      <c r="U167" s="379">
        <f t="shared" si="74"/>
        <v>109.17196233964617</v>
      </c>
      <c r="V167" s="379">
        <f t="shared" si="74"/>
        <v>112.58236014637785</v>
      </c>
      <c r="W167" s="379">
        <f t="shared" si="74"/>
        <v>116.09853227813574</v>
      </c>
      <c r="X167" s="379">
        <f t="shared" si="74"/>
        <v>122.13875344786616</v>
      </c>
      <c r="Y167" s="379">
        <f t="shared" si="74"/>
        <v>125.97290770593629</v>
      </c>
      <c r="Z167" s="379">
        <f t="shared" si="74"/>
        <v>129.942893038954</v>
      </c>
      <c r="AA167" s="379">
        <f t="shared" si="74"/>
        <v>134.04401201306362</v>
      </c>
      <c r="AB167" s="379">
        <f t="shared" si="74"/>
        <v>138.30138001673481</v>
      </c>
      <c r="AC167" s="379">
        <f t="shared" si="74"/>
        <v>142.70030134273838</v>
      </c>
      <c r="AD167" s="379">
        <f t="shared" si="74"/>
        <v>147.25620908139445</v>
      </c>
      <c r="AE167" s="379">
        <f t="shared" si="74"/>
        <v>151.9777514549329</v>
      </c>
      <c r="AF167" s="379">
        <f t="shared" si="74"/>
        <v>156.86383480061662</v>
      </c>
      <c r="AG167" s="379">
        <f t="shared" si="74"/>
        <v>161.91998107977227</v>
      </c>
    </row>
    <row r="168" spans="1:33">
      <c r="A168" s="300" t="str">
        <f>A130</f>
        <v>BET</v>
      </c>
      <c r="B168" s="300" t="str">
        <f>A168</f>
        <v>BET</v>
      </c>
      <c r="C168" s="379">
        <f t="shared" ref="C168:AG168" si="75">C146</f>
        <v>78.760076234903067</v>
      </c>
      <c r="D168" s="379">
        <f t="shared" si="75"/>
        <v>79.44652383762427</v>
      </c>
      <c r="E168" s="379">
        <f t="shared" si="75"/>
        <v>80.078695668723</v>
      </c>
      <c r="F168" s="379">
        <f t="shared" si="75"/>
        <v>79.967766761097025</v>
      </c>
      <c r="G168" s="379">
        <f t="shared" si="75"/>
        <v>79.825637429087024</v>
      </c>
      <c r="H168" s="379">
        <f t="shared" si="75"/>
        <v>80.718736292602884</v>
      </c>
      <c r="I168" s="379">
        <f t="shared" si="75"/>
        <v>78.965162683641083</v>
      </c>
      <c r="J168" s="379">
        <f t="shared" si="75"/>
        <v>79.663532899477985</v>
      </c>
      <c r="K168" s="379">
        <f t="shared" si="75"/>
        <v>80.191198832944707</v>
      </c>
      <c r="L168" s="379">
        <f t="shared" si="75"/>
        <v>80.87272143517562</v>
      </c>
      <c r="M168" s="379">
        <f t="shared" si="75"/>
        <v>81.720272196820702</v>
      </c>
      <c r="N168" s="379">
        <f t="shared" si="75"/>
        <v>80.520961930085676</v>
      </c>
      <c r="O168" s="379">
        <f t="shared" si="75"/>
        <v>81.73558584177772</v>
      </c>
      <c r="P168" s="379">
        <f t="shared" si="75"/>
        <v>82.98829280492663</v>
      </c>
      <c r="Q168" s="379">
        <f t="shared" si="75"/>
        <v>84.373076870352094</v>
      </c>
      <c r="R168" s="379">
        <f t="shared" si="75"/>
        <v>85.886936162569668</v>
      </c>
      <c r="S168" s="379">
        <f t="shared" si="75"/>
        <v>87.261214688040852</v>
      </c>
      <c r="T168" s="379">
        <f t="shared" si="75"/>
        <v>89.287090559786137</v>
      </c>
      <c r="U168" s="379">
        <f t="shared" si="75"/>
        <v>91.361767145927288</v>
      </c>
      <c r="V168" s="379">
        <f t="shared" si="75"/>
        <v>93.529567013895374</v>
      </c>
      <c r="W168" s="379">
        <f t="shared" si="75"/>
        <v>95.77559114929096</v>
      </c>
      <c r="X168" s="379">
        <f t="shared" si="75"/>
        <v>95.437567078448865</v>
      </c>
      <c r="Y168" s="379">
        <f t="shared" si="75"/>
        <v>97.83949505519395</v>
      </c>
      <c r="Z168" s="379">
        <f t="shared" si="75"/>
        <v>100.33990981111026</v>
      </c>
      <c r="AA168" s="379">
        <f t="shared" si="75"/>
        <v>102.95757524828495</v>
      </c>
      <c r="AB168" s="379">
        <f t="shared" si="75"/>
        <v>105.67515194794615</v>
      </c>
      <c r="AC168" s="379">
        <f t="shared" si="75"/>
        <v>108.92543551594906</v>
      </c>
      <c r="AD168" s="379">
        <f t="shared" si="75"/>
        <v>112.35233467208154</v>
      </c>
      <c r="AE168" s="379">
        <f t="shared" si="75"/>
        <v>115.9072244814019</v>
      </c>
      <c r="AF168" s="379">
        <f t="shared" si="75"/>
        <v>119.60646024162658</v>
      </c>
      <c r="AG168" s="379">
        <f t="shared" si="75"/>
        <v>123.44541824812573</v>
      </c>
    </row>
    <row r="169" spans="1:33">
      <c r="A169" s="300" t="str">
        <f>A113</f>
        <v>H2-ICE</v>
      </c>
      <c r="B169" s="300" t="str">
        <f>A169</f>
        <v>H2-ICE</v>
      </c>
      <c r="C169" s="379">
        <f t="shared" ref="C169:AG169" si="76">C129</f>
        <v>110.53570361638874</v>
      </c>
      <c r="D169" s="379">
        <f t="shared" si="76"/>
        <v>110.8168361211743</v>
      </c>
      <c r="E169" s="379">
        <f t="shared" si="76"/>
        <v>111.2122339007996</v>
      </c>
      <c r="F169" s="379">
        <f t="shared" si="76"/>
        <v>111.72083306267209</v>
      </c>
      <c r="G169" s="379">
        <f t="shared" si="76"/>
        <v>112.35492519673306</v>
      </c>
      <c r="H169" s="379">
        <f t="shared" si="76"/>
        <v>114.45634892640302</v>
      </c>
      <c r="I169" s="379">
        <f t="shared" si="76"/>
        <v>111.9042391067178</v>
      </c>
      <c r="J169" s="379">
        <f t="shared" si="76"/>
        <v>111.2137238207642</v>
      </c>
      <c r="K169" s="379">
        <f t="shared" si="76"/>
        <v>110.66138018745824</v>
      </c>
      <c r="L169" s="379">
        <f t="shared" si="76"/>
        <v>110.22162940899723</v>
      </c>
      <c r="M169" s="379">
        <f t="shared" si="76"/>
        <v>109.91251679582433</v>
      </c>
      <c r="N169" s="379">
        <f t="shared" si="76"/>
        <v>107.97357609566684</v>
      </c>
      <c r="O169" s="379">
        <f t="shared" si="76"/>
        <v>107.88665345303826</v>
      </c>
      <c r="P169" s="379">
        <f t="shared" si="76"/>
        <v>107.92335273858906</v>
      </c>
      <c r="Q169" s="379">
        <f t="shared" si="76"/>
        <v>108.08210715804076</v>
      </c>
      <c r="R169" s="379">
        <f t="shared" si="76"/>
        <v>108.36460471039884</v>
      </c>
      <c r="S169" s="379">
        <f t="shared" si="76"/>
        <v>106.97606183586473</v>
      </c>
      <c r="T169" s="379">
        <f t="shared" si="76"/>
        <v>107.91801875208598</v>
      </c>
      <c r="U169" s="379">
        <f t="shared" si="76"/>
        <v>108.9755283643383</v>
      </c>
      <c r="V169" s="379">
        <f t="shared" si="76"/>
        <v>110.16089486519552</v>
      </c>
      <c r="W169" s="379">
        <f t="shared" si="76"/>
        <v>111.4531958371751</v>
      </c>
      <c r="X169" s="379">
        <f t="shared" si="76"/>
        <v>111.74612510283524</v>
      </c>
      <c r="Y169" s="379">
        <f t="shared" si="76"/>
        <v>113.26039881227575</v>
      </c>
      <c r="Z169" s="379">
        <f t="shared" si="76"/>
        <v>114.90395730615236</v>
      </c>
      <c r="AA169" s="379">
        <f t="shared" si="76"/>
        <v>116.67306212117569</v>
      </c>
      <c r="AB169" s="379">
        <f t="shared" si="76"/>
        <v>118.58376787761941</v>
      </c>
      <c r="AC169" s="379">
        <f t="shared" si="76"/>
        <v>120.39947215276486</v>
      </c>
      <c r="AD169" s="379">
        <f t="shared" si="76"/>
        <v>123.5117340152898</v>
      </c>
      <c r="AE169" s="379">
        <f t="shared" si="76"/>
        <v>126.77356692962951</v>
      </c>
      <c r="AF169" s="379">
        <f t="shared" si="76"/>
        <v>130.19131875198477</v>
      </c>
      <c r="AG169" s="379">
        <f t="shared" si="76"/>
        <v>133.76536165362307</v>
      </c>
    </row>
    <row r="170" spans="1:33">
      <c r="A170" s="300" t="str">
        <f>A147</f>
        <v>FCET</v>
      </c>
      <c r="B170" s="300" t="str">
        <f t="shared" ref="B170" si="77">A170</f>
        <v>FCET</v>
      </c>
      <c r="C170" s="379">
        <f t="shared" ref="C170:AG170" si="78">C163</f>
        <v>124.82878625861187</v>
      </c>
      <c r="D170" s="379">
        <f t="shared" si="78"/>
        <v>124.30063871742813</v>
      </c>
      <c r="E170" s="379">
        <f t="shared" si="78"/>
        <v>123.89433712120555</v>
      </c>
      <c r="F170" s="379">
        <f t="shared" si="78"/>
        <v>123.61649356965771</v>
      </c>
      <c r="G170" s="379">
        <f t="shared" si="78"/>
        <v>123.47920648820092</v>
      </c>
      <c r="H170" s="379">
        <f t="shared" si="78"/>
        <v>124.21074102881093</v>
      </c>
      <c r="I170" s="379">
        <f t="shared" si="78"/>
        <v>121.94007263861714</v>
      </c>
      <c r="J170" s="379">
        <f t="shared" si="78"/>
        <v>121.13700336787421</v>
      </c>
      <c r="K170" s="379">
        <f t="shared" si="78"/>
        <v>120.44469900354078</v>
      </c>
      <c r="L170" s="379">
        <f t="shared" si="78"/>
        <v>119.88568463591457</v>
      </c>
      <c r="M170" s="379">
        <f t="shared" si="78"/>
        <v>119.45466825312414</v>
      </c>
      <c r="N170" s="379">
        <f t="shared" si="78"/>
        <v>116.40774990667694</v>
      </c>
      <c r="O170" s="379">
        <f t="shared" si="78"/>
        <v>116.22439714721321</v>
      </c>
      <c r="P170" s="379">
        <f t="shared" si="78"/>
        <v>116.16605370303425</v>
      </c>
      <c r="Q170" s="379">
        <f t="shared" si="78"/>
        <v>116.24466847135807</v>
      </c>
      <c r="R170" s="379">
        <f t="shared" si="78"/>
        <v>116.44595297802755</v>
      </c>
      <c r="S170" s="379">
        <f t="shared" si="78"/>
        <v>115.14511635605768</v>
      </c>
      <c r="T170" s="379">
        <f t="shared" si="78"/>
        <v>116.21454316904139</v>
      </c>
      <c r="U170" s="379">
        <f t="shared" si="78"/>
        <v>117.3983705793619</v>
      </c>
      <c r="V170" s="379">
        <f t="shared" si="78"/>
        <v>118.70621436616699</v>
      </c>
      <c r="W170" s="379">
        <f t="shared" si="78"/>
        <v>120.11355812820349</v>
      </c>
      <c r="X170" s="379">
        <f t="shared" si="78"/>
        <v>118.13824233373725</v>
      </c>
      <c r="Y170" s="379">
        <f t="shared" si="78"/>
        <v>119.75548411173692</v>
      </c>
      <c r="Z170" s="379">
        <f t="shared" si="78"/>
        <v>121.49173100342458</v>
      </c>
      <c r="AA170" s="379">
        <f t="shared" si="78"/>
        <v>123.35984565773235</v>
      </c>
      <c r="AB170" s="379">
        <f t="shared" si="78"/>
        <v>125.34924049467934</v>
      </c>
      <c r="AC170" s="379">
        <f t="shared" si="78"/>
        <v>127.09590458667897</v>
      </c>
      <c r="AD170" s="379">
        <f t="shared" si="78"/>
        <v>130.34491486717761</v>
      </c>
      <c r="AE170" s="379">
        <f t="shared" si="78"/>
        <v>133.7313026181929</v>
      </c>
      <c r="AF170" s="379">
        <f t="shared" si="78"/>
        <v>137.27849100400817</v>
      </c>
      <c r="AG170" s="379">
        <f t="shared" si="78"/>
        <v>140.97009536718826</v>
      </c>
    </row>
    <row r="171" spans="1:33">
      <c r="A171" s="300" t="s">
        <v>334</v>
      </c>
      <c r="C171" s="379">
        <f t="shared" ref="C171:AG171" si="79">C165*0.9</f>
        <v>54.244310849925427</v>
      </c>
      <c r="D171" s="379">
        <f t="shared" si="79"/>
        <v>57.73138142746604</v>
      </c>
      <c r="E171" s="379">
        <f t="shared" si="79"/>
        <v>59.226849678628341</v>
      </c>
      <c r="F171" s="379">
        <f t="shared" si="79"/>
        <v>60.764548917917914</v>
      </c>
      <c r="G171" s="379">
        <f t="shared" si="79"/>
        <v>62.360194743737964</v>
      </c>
      <c r="H171" s="379">
        <f t="shared" si="79"/>
        <v>64.962795219038014</v>
      </c>
      <c r="I171" s="379">
        <f t="shared" si="79"/>
        <v>66.690679149214517</v>
      </c>
      <c r="J171" s="379">
        <f t="shared" si="79"/>
        <v>68.464709476781493</v>
      </c>
      <c r="K171" s="379">
        <f t="shared" si="79"/>
        <v>70.300904169800063</v>
      </c>
      <c r="L171" s="379">
        <f t="shared" si="79"/>
        <v>72.185057105902104</v>
      </c>
      <c r="M171" s="379">
        <f t="shared" si="79"/>
        <v>74.133220287533291</v>
      </c>
      <c r="N171" s="379">
        <f t="shared" si="79"/>
        <v>77.524320762869039</v>
      </c>
      <c r="O171" s="379">
        <f t="shared" si="79"/>
        <v>79.644827568739828</v>
      </c>
      <c r="P171" s="379">
        <f t="shared" si="79"/>
        <v>81.833612583362395</v>
      </c>
      <c r="Q171" s="379">
        <f t="shared" si="79"/>
        <v>84.091583839239533</v>
      </c>
      <c r="R171" s="379">
        <f t="shared" si="79"/>
        <v>86.420194386572078</v>
      </c>
      <c r="S171" s="379">
        <f t="shared" si="79"/>
        <v>88.820394017453779</v>
      </c>
      <c r="T171" s="379">
        <f t="shared" si="79"/>
        <v>91.308416752855692</v>
      </c>
      <c r="U171" s="379">
        <f t="shared" si="79"/>
        <v>93.870519365064197</v>
      </c>
      <c r="V171" s="379">
        <f t="shared" si="79"/>
        <v>96.522982176794827</v>
      </c>
      <c r="W171" s="379">
        <f t="shared" si="79"/>
        <v>99.252372138083757</v>
      </c>
      <c r="X171" s="379">
        <f t="shared" si="79"/>
        <v>103.92646408479699</v>
      </c>
      <c r="Y171" s="379">
        <f t="shared" si="79"/>
        <v>106.89874266027144</v>
      </c>
      <c r="Z171" s="379">
        <f t="shared" si="79"/>
        <v>109.96868895474671</v>
      </c>
      <c r="AA171" s="379">
        <f t="shared" si="79"/>
        <v>113.13775696904798</v>
      </c>
      <c r="AB171" s="379">
        <f t="shared" si="79"/>
        <v>116.42271339205044</v>
      </c>
      <c r="AC171" s="379">
        <f t="shared" si="79"/>
        <v>119.81007128048167</v>
      </c>
      <c r="AD171" s="379">
        <f t="shared" si="79"/>
        <v>123.31637480730305</v>
      </c>
      <c r="AE171" s="379">
        <f t="shared" si="79"/>
        <v>126.94348405035848</v>
      </c>
      <c r="AF171" s="379">
        <f t="shared" si="79"/>
        <v>130.69329246963935</v>
      </c>
      <c r="AG171" s="379">
        <f t="shared" si="79"/>
        <v>134.56772810459771</v>
      </c>
    </row>
    <row r="172" spans="1:33">
      <c r="C172" s="300"/>
    </row>
    <row r="173" spans="1:33">
      <c r="A173" s="360" t="s">
        <v>335</v>
      </c>
      <c r="B173" s="360"/>
      <c r="C173" s="360">
        <v>2025</v>
      </c>
      <c r="D173" s="360">
        <f>C173+1</f>
        <v>2026</v>
      </c>
      <c r="E173" s="360">
        <f t="shared" ref="E173:AG173" si="80">D173+1</f>
        <v>2027</v>
      </c>
      <c r="F173" s="360">
        <f t="shared" si="80"/>
        <v>2028</v>
      </c>
      <c r="G173" s="360">
        <f t="shared" si="80"/>
        <v>2029</v>
      </c>
      <c r="H173" s="360">
        <f t="shared" si="80"/>
        <v>2030</v>
      </c>
      <c r="I173" s="360">
        <f t="shared" si="80"/>
        <v>2031</v>
      </c>
      <c r="J173" s="360">
        <f t="shared" si="80"/>
        <v>2032</v>
      </c>
      <c r="K173" s="360">
        <f t="shared" si="80"/>
        <v>2033</v>
      </c>
      <c r="L173" s="360">
        <f t="shared" si="80"/>
        <v>2034</v>
      </c>
      <c r="M173" s="360">
        <f t="shared" si="80"/>
        <v>2035</v>
      </c>
      <c r="N173" s="360">
        <f t="shared" si="80"/>
        <v>2036</v>
      </c>
      <c r="O173" s="360">
        <f t="shared" si="80"/>
        <v>2037</v>
      </c>
      <c r="P173" s="360">
        <f t="shared" si="80"/>
        <v>2038</v>
      </c>
      <c r="Q173" s="360">
        <f t="shared" si="80"/>
        <v>2039</v>
      </c>
      <c r="R173" s="360">
        <f t="shared" si="80"/>
        <v>2040</v>
      </c>
      <c r="S173" s="360">
        <f t="shared" si="80"/>
        <v>2041</v>
      </c>
      <c r="T173" s="360">
        <f t="shared" si="80"/>
        <v>2042</v>
      </c>
      <c r="U173" s="360">
        <f t="shared" si="80"/>
        <v>2043</v>
      </c>
      <c r="V173" s="360">
        <f t="shared" si="80"/>
        <v>2044</v>
      </c>
      <c r="W173" s="360">
        <f t="shared" si="80"/>
        <v>2045</v>
      </c>
      <c r="X173" s="360">
        <f t="shared" si="80"/>
        <v>2046</v>
      </c>
      <c r="Y173" s="360">
        <f t="shared" si="80"/>
        <v>2047</v>
      </c>
      <c r="Z173" s="360">
        <f t="shared" si="80"/>
        <v>2048</v>
      </c>
      <c r="AA173" s="360">
        <f t="shared" si="80"/>
        <v>2049</v>
      </c>
      <c r="AB173" s="360">
        <f t="shared" si="80"/>
        <v>2050</v>
      </c>
      <c r="AC173" s="360">
        <f t="shared" si="80"/>
        <v>2051</v>
      </c>
      <c r="AD173" s="360">
        <f t="shared" si="80"/>
        <v>2052</v>
      </c>
      <c r="AE173" s="360">
        <f t="shared" si="80"/>
        <v>2053</v>
      </c>
      <c r="AF173" s="360">
        <f t="shared" si="80"/>
        <v>2054</v>
      </c>
      <c r="AG173" s="360">
        <f t="shared" si="80"/>
        <v>2055</v>
      </c>
    </row>
    <row r="174" spans="1:33">
      <c r="A174" s="300" t="s">
        <v>307</v>
      </c>
      <c r="B174" s="300" t="str">
        <f>A174</f>
        <v xml:space="preserve">Diesel   </v>
      </c>
      <c r="C174" s="379">
        <f t="shared" ref="C174:AG174" si="81">C165/($C$17)*1000</f>
        <v>2.9400710487764457</v>
      </c>
      <c r="D174" s="379">
        <f t="shared" si="81"/>
        <v>3.1290721640902999</v>
      </c>
      <c r="E174" s="379">
        <f t="shared" si="81"/>
        <v>3.2101273538551944</v>
      </c>
      <c r="F174" s="379">
        <f t="shared" si="81"/>
        <v>3.2934714860660113</v>
      </c>
      <c r="G174" s="379">
        <f t="shared" si="81"/>
        <v>3.3799563546741442</v>
      </c>
      <c r="H174" s="379">
        <f t="shared" si="81"/>
        <v>3.521018711058971</v>
      </c>
      <c r="I174" s="379">
        <f t="shared" si="81"/>
        <v>3.614670956596993</v>
      </c>
      <c r="J174" s="379">
        <f t="shared" si="81"/>
        <v>3.7108243618851757</v>
      </c>
      <c r="K174" s="379">
        <f t="shared" si="81"/>
        <v>3.8103471094742583</v>
      </c>
      <c r="L174" s="379">
        <f t="shared" si="81"/>
        <v>3.9124692198320927</v>
      </c>
      <c r="M174" s="379">
        <f t="shared" si="81"/>
        <v>4.0180607201915066</v>
      </c>
      <c r="N174" s="379">
        <f t="shared" si="81"/>
        <v>4.2018602039495416</v>
      </c>
      <c r="O174" s="379">
        <f t="shared" si="81"/>
        <v>4.3167928221539205</v>
      </c>
      <c r="P174" s="379">
        <f t="shared" si="81"/>
        <v>4.4354261562798047</v>
      </c>
      <c r="Q174" s="379">
        <f t="shared" si="81"/>
        <v>4.5578094221810037</v>
      </c>
      <c r="R174" s="379">
        <f t="shared" si="81"/>
        <v>4.6840213759659655</v>
      </c>
      <c r="S174" s="379">
        <f t="shared" si="81"/>
        <v>4.8141134968809638</v>
      </c>
      <c r="T174" s="379">
        <f t="shared" si="81"/>
        <v>4.9489656776615547</v>
      </c>
      <c r="U174" s="379">
        <f t="shared" si="81"/>
        <v>5.0878330279167585</v>
      </c>
      <c r="V174" s="379">
        <f t="shared" si="81"/>
        <v>5.2315979499617784</v>
      </c>
      <c r="W174" s="379">
        <f t="shared" si="81"/>
        <v>5.3795323652077913</v>
      </c>
      <c r="X174" s="379">
        <f t="shared" si="81"/>
        <v>5.6328706821028174</v>
      </c>
      <c r="Y174" s="379">
        <f t="shared" si="81"/>
        <v>5.7939697918846305</v>
      </c>
      <c r="Z174" s="379">
        <f t="shared" si="81"/>
        <v>5.9603625449727211</v>
      </c>
      <c r="AA174" s="379">
        <f t="shared" si="81"/>
        <v>6.1321277489998911</v>
      </c>
      <c r="AB174" s="379">
        <f t="shared" si="81"/>
        <v>6.3101741675908096</v>
      </c>
      <c r="AC174" s="379">
        <f t="shared" si="81"/>
        <v>6.4937708011101165</v>
      </c>
      <c r="AD174" s="379">
        <f t="shared" si="81"/>
        <v>6.6838143526993523</v>
      </c>
      <c r="AE174" s="379">
        <f t="shared" si="81"/>
        <v>6.8804056395858257</v>
      </c>
      <c r="AF174" s="379">
        <f t="shared" si="81"/>
        <v>7.0836472883273354</v>
      </c>
      <c r="AG174" s="379">
        <f t="shared" si="81"/>
        <v>7.2936437997071915</v>
      </c>
    </row>
    <row r="175" spans="1:33">
      <c r="A175" s="300" t="s">
        <v>179</v>
      </c>
      <c r="B175" s="300" t="str">
        <f t="shared" ref="B175:B179" si="82">A175</f>
        <v>CNG</v>
      </c>
      <c r="C175" s="379">
        <f t="shared" ref="C175:AG175" si="83">C169/($C$17)*1000</f>
        <v>5.3919855422628657</v>
      </c>
      <c r="D175" s="379">
        <f t="shared" si="83"/>
        <v>5.4056993229841126</v>
      </c>
      <c r="E175" s="379">
        <f t="shared" si="83"/>
        <v>5.4249870195512004</v>
      </c>
      <c r="F175" s="379">
        <f t="shared" si="83"/>
        <v>5.449796734764492</v>
      </c>
      <c r="G175" s="379">
        <f t="shared" si="83"/>
        <v>5.4807280583772231</v>
      </c>
      <c r="H175" s="379">
        <f t="shared" si="83"/>
        <v>5.5832365329952696</v>
      </c>
      <c r="I175" s="379">
        <f t="shared" si="83"/>
        <v>5.4587433710594047</v>
      </c>
      <c r="J175" s="379">
        <f t="shared" si="83"/>
        <v>5.4250596985738628</v>
      </c>
      <c r="K175" s="379">
        <f t="shared" si="83"/>
        <v>5.3981161067052801</v>
      </c>
      <c r="L175" s="379">
        <f t="shared" si="83"/>
        <v>5.3766648492193765</v>
      </c>
      <c r="M175" s="379">
        <f t="shared" si="83"/>
        <v>5.361586185162162</v>
      </c>
      <c r="N175" s="379">
        <f t="shared" si="83"/>
        <v>5.2670037119837483</v>
      </c>
      <c r="O175" s="379">
        <f t="shared" si="83"/>
        <v>5.2627635830750368</v>
      </c>
      <c r="P175" s="379">
        <f t="shared" si="83"/>
        <v>5.2645537921262955</v>
      </c>
      <c r="Q175" s="379">
        <f t="shared" si="83"/>
        <v>5.2722979101483292</v>
      </c>
      <c r="R175" s="379">
        <f t="shared" si="83"/>
        <v>5.2860782785560403</v>
      </c>
      <c r="S175" s="379">
        <f t="shared" si="83"/>
        <v>5.2183444797982794</v>
      </c>
      <c r="T175" s="379">
        <f t="shared" si="83"/>
        <v>5.2642935976627303</v>
      </c>
      <c r="U175" s="379">
        <f t="shared" si="83"/>
        <v>5.3158794324067467</v>
      </c>
      <c r="V175" s="379">
        <f t="shared" si="83"/>
        <v>5.3737021885461225</v>
      </c>
      <c r="W175" s="379">
        <f t="shared" si="83"/>
        <v>5.4367412603500052</v>
      </c>
      <c r="X175" s="379">
        <f t="shared" si="83"/>
        <v>5.4510304928212312</v>
      </c>
      <c r="Y175" s="379">
        <f t="shared" si="83"/>
        <v>5.5248975030378418</v>
      </c>
      <c r="Z175" s="379">
        <f t="shared" si="83"/>
        <v>5.6050710881049932</v>
      </c>
      <c r="AA175" s="379">
        <f t="shared" si="83"/>
        <v>5.6913688839597896</v>
      </c>
      <c r="AB175" s="379">
        <f t="shared" si="83"/>
        <v>5.7845740428107026</v>
      </c>
      <c r="AC175" s="379">
        <f t="shared" si="83"/>
        <v>5.8731449830617004</v>
      </c>
      <c r="AD175" s="379">
        <f t="shared" si="83"/>
        <v>6.0249626348921854</v>
      </c>
      <c r="AE175" s="379">
        <f t="shared" si="83"/>
        <v>6.1840764355916837</v>
      </c>
      <c r="AF175" s="379">
        <f t="shared" si="83"/>
        <v>6.3507960366821843</v>
      </c>
      <c r="AG175" s="379">
        <f t="shared" si="83"/>
        <v>6.5251395928596629</v>
      </c>
    </row>
    <row r="176" spans="1:33">
      <c r="A176" s="300" t="s">
        <v>180</v>
      </c>
      <c r="B176" s="300" t="str">
        <f>A176</f>
        <v>LNG</v>
      </c>
      <c r="C176" s="379">
        <f t="shared" ref="C176:AG176" si="84">C167/($C$17)*1000</f>
        <v>2.9992078995724567</v>
      </c>
      <c r="D176" s="379">
        <f t="shared" si="84"/>
        <v>3.093553535080459</v>
      </c>
      <c r="E176" s="379">
        <f t="shared" si="84"/>
        <v>3.1842751340124886</v>
      </c>
      <c r="F176" s="379">
        <f t="shared" si="84"/>
        <v>3.2778094677355978</v>
      </c>
      <c r="G176" s="379">
        <f t="shared" si="84"/>
        <v>3.3750161856270635</v>
      </c>
      <c r="H176" s="379">
        <f t="shared" si="84"/>
        <v>3.5296635286381104</v>
      </c>
      <c r="I176" s="379">
        <f t="shared" si="84"/>
        <v>3.6353204923798148</v>
      </c>
      <c r="J176" s="379">
        <f t="shared" si="84"/>
        <v>3.7439862451543306</v>
      </c>
      <c r="K176" s="379">
        <f t="shared" si="84"/>
        <v>3.8567996090675436</v>
      </c>
      <c r="L176" s="379">
        <f t="shared" si="84"/>
        <v>3.9728661595545867</v>
      </c>
      <c r="M176" s="379">
        <f t="shared" si="84"/>
        <v>4.0931919813974407</v>
      </c>
      <c r="N176" s="379">
        <f t="shared" si="84"/>
        <v>4.3073741727911408</v>
      </c>
      <c r="O176" s="379">
        <f t="shared" si="84"/>
        <v>4.4385046813219171</v>
      </c>
      <c r="P176" s="379">
        <f t="shared" si="84"/>
        <v>4.574293927525523</v>
      </c>
      <c r="Q176" s="379">
        <f t="shared" si="84"/>
        <v>4.7146586648160245</v>
      </c>
      <c r="R176" s="379">
        <f t="shared" si="84"/>
        <v>4.8596657555742073</v>
      </c>
      <c r="S176" s="379">
        <f t="shared" si="84"/>
        <v>5.0095322451346345</v>
      </c>
      <c r="T176" s="379">
        <f t="shared" si="84"/>
        <v>5.1649946053228595</v>
      </c>
      <c r="U176" s="379">
        <f t="shared" si="84"/>
        <v>5.3254615775437157</v>
      </c>
      <c r="V176" s="379">
        <f t="shared" si="84"/>
        <v>5.4918224461647727</v>
      </c>
      <c r="W176" s="379">
        <f t="shared" si="84"/>
        <v>5.6633430379578407</v>
      </c>
      <c r="X176" s="379">
        <f t="shared" si="84"/>
        <v>5.9579879730666425</v>
      </c>
      <c r="Y176" s="379">
        <f t="shared" si="84"/>
        <v>6.1450198880944535</v>
      </c>
      <c r="Z176" s="379">
        <f t="shared" si="84"/>
        <v>6.3386777092172686</v>
      </c>
      <c r="AA176" s="379">
        <f t="shared" si="84"/>
        <v>6.5387322933201766</v>
      </c>
      <c r="AB176" s="379">
        <f t="shared" si="84"/>
        <v>6.7464087813041376</v>
      </c>
      <c r="AC176" s="379">
        <f t="shared" si="84"/>
        <v>6.9609903094018728</v>
      </c>
      <c r="AD176" s="379">
        <f t="shared" si="84"/>
        <v>7.1832297112875345</v>
      </c>
      <c r="AE176" s="379">
        <f t="shared" si="84"/>
        <v>7.413548851460142</v>
      </c>
      <c r="AF176" s="379">
        <f t="shared" si="84"/>
        <v>7.6518943805178843</v>
      </c>
      <c r="AG176" s="379">
        <f t="shared" si="84"/>
        <v>7.8985356624279159</v>
      </c>
    </row>
    <row r="177" spans="1:33">
      <c r="A177" s="300" t="str">
        <f>A168</f>
        <v>BET</v>
      </c>
      <c r="B177" s="300" t="str">
        <f>A177</f>
        <v>BET</v>
      </c>
      <c r="C177" s="379">
        <f t="shared" ref="C177:AG177" si="85">C168/($C$18)*1000</f>
        <v>4.3513854273427111</v>
      </c>
      <c r="D177" s="379">
        <f t="shared" si="85"/>
        <v>4.38931070926101</v>
      </c>
      <c r="E177" s="379">
        <f t="shared" si="85"/>
        <v>4.4242373297637014</v>
      </c>
      <c r="F177" s="379">
        <f t="shared" si="85"/>
        <v>4.4181086608340898</v>
      </c>
      <c r="G177" s="379">
        <f t="shared" si="85"/>
        <v>4.4102562115517694</v>
      </c>
      <c r="H177" s="379">
        <f t="shared" si="85"/>
        <v>4.459598690199055</v>
      </c>
      <c r="I177" s="379">
        <f t="shared" si="85"/>
        <v>4.3627161703669106</v>
      </c>
      <c r="J177" s="379">
        <f t="shared" si="85"/>
        <v>4.4013001601921538</v>
      </c>
      <c r="K177" s="379">
        <f t="shared" si="85"/>
        <v>4.4304529741958403</v>
      </c>
      <c r="L177" s="379">
        <f t="shared" si="85"/>
        <v>4.4681061566395366</v>
      </c>
      <c r="M177" s="379">
        <f t="shared" si="85"/>
        <v>4.5149321655702046</v>
      </c>
      <c r="N177" s="379">
        <f t="shared" si="85"/>
        <v>4.4486719298389872</v>
      </c>
      <c r="O177" s="379">
        <f t="shared" si="85"/>
        <v>4.5157782233026369</v>
      </c>
      <c r="P177" s="379">
        <f t="shared" si="85"/>
        <v>4.5849885527583769</v>
      </c>
      <c r="Q177" s="379">
        <f t="shared" si="85"/>
        <v>4.6614959596879606</v>
      </c>
      <c r="R177" s="379">
        <f t="shared" si="85"/>
        <v>4.7451345946171086</v>
      </c>
      <c r="S177" s="379">
        <f t="shared" si="85"/>
        <v>4.8210615849746326</v>
      </c>
      <c r="T177" s="379">
        <f t="shared" si="85"/>
        <v>4.9329884287174659</v>
      </c>
      <c r="U177" s="379">
        <f t="shared" si="85"/>
        <v>5.0476114445263693</v>
      </c>
      <c r="V177" s="379">
        <f t="shared" si="85"/>
        <v>5.1673793930328928</v>
      </c>
      <c r="W177" s="379">
        <f t="shared" si="85"/>
        <v>5.2914691242702192</v>
      </c>
      <c r="X177" s="379">
        <f t="shared" si="85"/>
        <v>5.2727937612402691</v>
      </c>
      <c r="Y177" s="379">
        <f t="shared" si="85"/>
        <v>5.4054969643753568</v>
      </c>
      <c r="Z177" s="379">
        <f t="shared" si="85"/>
        <v>5.5436414260281914</v>
      </c>
      <c r="AA177" s="379">
        <f t="shared" si="85"/>
        <v>5.688263825872097</v>
      </c>
      <c r="AB177" s="379">
        <f t="shared" si="85"/>
        <v>5.8384061849693998</v>
      </c>
      <c r="AC177" s="379">
        <f t="shared" si="85"/>
        <v>6.017979862759617</v>
      </c>
      <c r="AD177" s="379">
        <f t="shared" si="85"/>
        <v>6.2073113078498094</v>
      </c>
      <c r="AE177" s="379">
        <f t="shared" si="85"/>
        <v>6.403714059745961</v>
      </c>
      <c r="AF177" s="379">
        <f t="shared" si="85"/>
        <v>6.6080917260567169</v>
      </c>
      <c r="AG177" s="379">
        <f t="shared" si="85"/>
        <v>6.8201888534876094</v>
      </c>
    </row>
    <row r="178" spans="1:33">
      <c r="A178" s="300" t="s">
        <v>181</v>
      </c>
      <c r="B178" s="300" t="str">
        <f t="shared" ref="B178" si="86">A178</f>
        <v>H2 ICE</v>
      </c>
      <c r="C178" s="379">
        <f t="shared" ref="C178:AG178" si="87">C170/($C$17)*1000</f>
        <v>6.0892090857859449</v>
      </c>
      <c r="D178" s="379">
        <f t="shared" si="87"/>
        <v>6.0634457910940558</v>
      </c>
      <c r="E178" s="379">
        <f t="shared" si="87"/>
        <v>6.0436262010344173</v>
      </c>
      <c r="F178" s="379">
        <f t="shared" si="87"/>
        <v>6.0300728570564734</v>
      </c>
      <c r="G178" s="379">
        <f t="shared" si="87"/>
        <v>6.0233759262537028</v>
      </c>
      <c r="H178" s="379">
        <f t="shared" si="87"/>
        <v>6.0590605379907769</v>
      </c>
      <c r="I178" s="379">
        <f t="shared" si="87"/>
        <v>5.9482962262740067</v>
      </c>
      <c r="J178" s="379">
        <f t="shared" si="87"/>
        <v>5.9091221155060589</v>
      </c>
      <c r="K178" s="379">
        <f t="shared" si="87"/>
        <v>5.8753511709044277</v>
      </c>
      <c r="L178" s="379">
        <f t="shared" si="87"/>
        <v>5.848082177361686</v>
      </c>
      <c r="M178" s="379">
        <f t="shared" si="87"/>
        <v>5.8270569879572749</v>
      </c>
      <c r="N178" s="379">
        <f t="shared" si="87"/>
        <v>5.6784268247159488</v>
      </c>
      <c r="O178" s="379">
        <f t="shared" si="87"/>
        <v>5.6694827876689367</v>
      </c>
      <c r="P178" s="379">
        <f t="shared" si="87"/>
        <v>5.6666367660016714</v>
      </c>
      <c r="Q178" s="379">
        <f t="shared" si="87"/>
        <v>5.670471632749174</v>
      </c>
      <c r="R178" s="379">
        <f t="shared" si="87"/>
        <v>5.6802903891720762</v>
      </c>
      <c r="S178" s="379">
        <f t="shared" si="87"/>
        <v>5.6168349441979366</v>
      </c>
      <c r="T178" s="379">
        <f t="shared" si="87"/>
        <v>5.6690021058068973</v>
      </c>
      <c r="U178" s="379">
        <f t="shared" si="87"/>
        <v>5.7267497843591162</v>
      </c>
      <c r="V178" s="379">
        <f t="shared" si="87"/>
        <v>5.7905470422520482</v>
      </c>
      <c r="W178" s="379">
        <f t="shared" si="87"/>
        <v>5.8591979574733415</v>
      </c>
      <c r="X178" s="379">
        <f t="shared" si="87"/>
        <v>5.762841089450597</v>
      </c>
      <c r="Y178" s="379">
        <f t="shared" si="87"/>
        <v>5.8417309322798499</v>
      </c>
      <c r="Z178" s="379">
        <f t="shared" si="87"/>
        <v>5.926425902606077</v>
      </c>
      <c r="AA178" s="379">
        <f t="shared" si="87"/>
        <v>6.0175534467186509</v>
      </c>
      <c r="AB178" s="379">
        <f t="shared" si="87"/>
        <v>6.1145970973014308</v>
      </c>
      <c r="AC178" s="379">
        <f t="shared" si="87"/>
        <v>6.1998002237404375</v>
      </c>
      <c r="AD178" s="379">
        <f t="shared" si="87"/>
        <v>6.3582885301062246</v>
      </c>
      <c r="AE178" s="379">
        <f t="shared" si="87"/>
        <v>6.5234781764972141</v>
      </c>
      <c r="AF178" s="379">
        <f t="shared" si="87"/>
        <v>6.6965117562930816</v>
      </c>
      <c r="AG178" s="379">
        <f t="shared" si="87"/>
        <v>6.8765900179116226</v>
      </c>
    </row>
    <row r="179" spans="1:33">
      <c r="A179" s="300" t="str">
        <f>A170</f>
        <v>FCET</v>
      </c>
      <c r="B179" s="300" t="str">
        <f t="shared" si="82"/>
        <v>FCET</v>
      </c>
      <c r="C179" s="379">
        <f t="shared" ref="C179:AG179" si="88">C170/($C$19)*1000</f>
        <v>6.3688156254393808</v>
      </c>
      <c r="D179" s="379">
        <f t="shared" si="88"/>
        <v>6.3418693223177618</v>
      </c>
      <c r="E179" s="379">
        <f t="shared" si="88"/>
        <v>6.3211396490410996</v>
      </c>
      <c r="F179" s="379">
        <f t="shared" si="88"/>
        <v>6.3069639576355971</v>
      </c>
      <c r="G179" s="379">
        <f t="shared" si="88"/>
        <v>6.2999595147041285</v>
      </c>
      <c r="H179" s="379">
        <f t="shared" si="88"/>
        <v>6.3372827055515781</v>
      </c>
      <c r="I179" s="379">
        <f t="shared" si="88"/>
        <v>6.2214322774804662</v>
      </c>
      <c r="J179" s="379">
        <f t="shared" si="88"/>
        <v>6.1804593555037863</v>
      </c>
      <c r="K179" s="379">
        <f t="shared" si="88"/>
        <v>6.145137704262285</v>
      </c>
      <c r="L179" s="379">
        <f t="shared" si="88"/>
        <v>6.1166165630568656</v>
      </c>
      <c r="M179" s="379">
        <f t="shared" si="88"/>
        <v>6.0946259312818434</v>
      </c>
      <c r="N179" s="379">
        <f t="shared" si="88"/>
        <v>5.9391709136059667</v>
      </c>
      <c r="O179" s="379">
        <f t="shared" si="88"/>
        <v>5.9298161809802652</v>
      </c>
      <c r="P179" s="379">
        <f t="shared" si="88"/>
        <v>5.9268394746446047</v>
      </c>
      <c r="Q179" s="379">
        <f t="shared" si="88"/>
        <v>5.9308504322121456</v>
      </c>
      <c r="R179" s="379">
        <f t="shared" si="88"/>
        <v>5.9411200498993644</v>
      </c>
      <c r="S179" s="379">
        <f t="shared" si="88"/>
        <v>5.8747508344927395</v>
      </c>
      <c r="T179" s="379">
        <f t="shared" si="88"/>
        <v>5.9293134269919072</v>
      </c>
      <c r="U179" s="379">
        <f t="shared" si="88"/>
        <v>5.9897127846613216</v>
      </c>
      <c r="V179" s="379">
        <f t="shared" si="88"/>
        <v>6.0564395084779079</v>
      </c>
      <c r="W179" s="379">
        <f t="shared" si="88"/>
        <v>6.1282427616430351</v>
      </c>
      <c r="X179" s="379">
        <f t="shared" si="88"/>
        <v>6.0274613435580227</v>
      </c>
      <c r="Y179" s="379">
        <f t="shared" si="88"/>
        <v>6.1099736791702508</v>
      </c>
      <c r="Z179" s="379">
        <f t="shared" si="88"/>
        <v>6.1985577042563555</v>
      </c>
      <c r="AA179" s="379">
        <f t="shared" si="88"/>
        <v>6.293869676414916</v>
      </c>
      <c r="AB179" s="379">
        <f t="shared" si="88"/>
        <v>6.3953694129938441</v>
      </c>
      <c r="AC179" s="379">
        <f t="shared" si="88"/>
        <v>6.484484927891784</v>
      </c>
      <c r="AD179" s="379">
        <f t="shared" si="88"/>
        <v>6.6502507585294701</v>
      </c>
      <c r="AE179" s="379">
        <f t="shared" si="88"/>
        <v>6.8230256437853525</v>
      </c>
      <c r="AF179" s="379">
        <f t="shared" si="88"/>
        <v>7.0040046430616414</v>
      </c>
      <c r="AG179" s="379">
        <f t="shared" si="88"/>
        <v>7.1923518044483812</v>
      </c>
    </row>
    <row r="180" spans="1:33">
      <c r="A180" s="300" t="s">
        <v>334</v>
      </c>
      <c r="C180" s="379">
        <f t="shared" ref="C180:AG180" si="89">C174*0.9</f>
        <v>2.6460639438988012</v>
      </c>
      <c r="D180" s="379">
        <f t="shared" si="89"/>
        <v>2.81616494768127</v>
      </c>
      <c r="E180" s="379">
        <f t="shared" si="89"/>
        <v>2.8891146184696752</v>
      </c>
      <c r="F180" s="379">
        <f t="shared" si="89"/>
        <v>2.9641243374594102</v>
      </c>
      <c r="G180" s="379">
        <f t="shared" si="89"/>
        <v>3.0419607192067297</v>
      </c>
      <c r="H180" s="379">
        <f t="shared" si="89"/>
        <v>3.168916839953074</v>
      </c>
      <c r="I180" s="379">
        <f t="shared" si="89"/>
        <v>3.253203860937294</v>
      </c>
      <c r="J180" s="379">
        <f t="shared" si="89"/>
        <v>3.3397419256966581</v>
      </c>
      <c r="K180" s="379">
        <f t="shared" si="89"/>
        <v>3.4293123985268323</v>
      </c>
      <c r="L180" s="379">
        <f t="shared" si="89"/>
        <v>3.5212222978488836</v>
      </c>
      <c r="M180" s="379">
        <f t="shared" si="89"/>
        <v>3.6162546481723559</v>
      </c>
      <c r="N180" s="379">
        <f t="shared" si="89"/>
        <v>3.7816741835545877</v>
      </c>
      <c r="O180" s="379">
        <f t="shared" si="89"/>
        <v>3.8851135399385286</v>
      </c>
      <c r="P180" s="379">
        <f t="shared" si="89"/>
        <v>3.9918835406518243</v>
      </c>
      <c r="Q180" s="379">
        <f t="shared" si="89"/>
        <v>4.1020284799629039</v>
      </c>
      <c r="R180" s="379">
        <f t="shared" si="89"/>
        <v>4.2156192383693689</v>
      </c>
      <c r="S180" s="379">
        <f t="shared" si="89"/>
        <v>4.3327021471928679</v>
      </c>
      <c r="T180" s="379">
        <f t="shared" si="89"/>
        <v>4.4540691098953991</v>
      </c>
      <c r="U180" s="379">
        <f t="shared" si="89"/>
        <v>4.579049725125083</v>
      </c>
      <c r="V180" s="379">
        <f t="shared" si="89"/>
        <v>4.7084381549656005</v>
      </c>
      <c r="W180" s="379">
        <f t="shared" si="89"/>
        <v>4.8415791286870125</v>
      </c>
      <c r="X180" s="379">
        <f t="shared" si="89"/>
        <v>5.0695836138925356</v>
      </c>
      <c r="Y180" s="379">
        <f t="shared" si="89"/>
        <v>5.2145728126961677</v>
      </c>
      <c r="Z180" s="379">
        <f t="shared" si="89"/>
        <v>5.3643262904754492</v>
      </c>
      <c r="AA180" s="379">
        <f t="shared" si="89"/>
        <v>5.5189149740999017</v>
      </c>
      <c r="AB180" s="379">
        <f t="shared" si="89"/>
        <v>5.6791567508317291</v>
      </c>
      <c r="AC180" s="379">
        <f t="shared" si="89"/>
        <v>5.844393720999105</v>
      </c>
      <c r="AD180" s="379">
        <f t="shared" si="89"/>
        <v>6.0154329174294174</v>
      </c>
      <c r="AE180" s="379">
        <f t="shared" si="89"/>
        <v>6.1923650756272437</v>
      </c>
      <c r="AF180" s="379">
        <f t="shared" si="89"/>
        <v>6.3752825594946021</v>
      </c>
      <c r="AG180" s="379">
        <f t="shared" si="89"/>
        <v>6.5642794197364722</v>
      </c>
    </row>
    <row r="181" spans="1:33"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  <c r="AA181" s="376"/>
      <c r="AB181" s="376"/>
      <c r="AC181" s="376"/>
      <c r="AD181" s="376"/>
      <c r="AE181" s="376"/>
      <c r="AF181" s="376"/>
      <c r="AG181" s="376"/>
    </row>
    <row r="182" spans="1:33">
      <c r="A182" s="360" t="s">
        <v>336</v>
      </c>
      <c r="B182" s="360"/>
      <c r="C182" s="360">
        <v>2025</v>
      </c>
      <c r="D182" s="360">
        <f>C182+1</f>
        <v>2026</v>
      </c>
      <c r="E182" s="360">
        <f t="shared" ref="E182:AG182" si="90">D182+1</f>
        <v>2027</v>
      </c>
      <c r="F182" s="360">
        <f t="shared" si="90"/>
        <v>2028</v>
      </c>
      <c r="G182" s="360">
        <f t="shared" si="90"/>
        <v>2029</v>
      </c>
      <c r="H182" s="360">
        <f t="shared" si="90"/>
        <v>2030</v>
      </c>
      <c r="I182" s="360">
        <f t="shared" si="90"/>
        <v>2031</v>
      </c>
      <c r="J182" s="360">
        <f t="shared" si="90"/>
        <v>2032</v>
      </c>
      <c r="K182" s="360">
        <f t="shared" si="90"/>
        <v>2033</v>
      </c>
      <c r="L182" s="360">
        <f t="shared" si="90"/>
        <v>2034</v>
      </c>
      <c r="M182" s="360">
        <f t="shared" si="90"/>
        <v>2035</v>
      </c>
      <c r="N182" s="360">
        <f t="shared" si="90"/>
        <v>2036</v>
      </c>
      <c r="O182" s="360">
        <f t="shared" si="90"/>
        <v>2037</v>
      </c>
      <c r="P182" s="360">
        <f t="shared" si="90"/>
        <v>2038</v>
      </c>
      <c r="Q182" s="360">
        <f t="shared" si="90"/>
        <v>2039</v>
      </c>
      <c r="R182" s="360">
        <f t="shared" si="90"/>
        <v>2040</v>
      </c>
      <c r="S182" s="360">
        <f t="shared" si="90"/>
        <v>2041</v>
      </c>
      <c r="T182" s="360">
        <f t="shared" si="90"/>
        <v>2042</v>
      </c>
      <c r="U182" s="360">
        <f t="shared" si="90"/>
        <v>2043</v>
      </c>
      <c r="V182" s="360">
        <f t="shared" si="90"/>
        <v>2044</v>
      </c>
      <c r="W182" s="360">
        <f t="shared" si="90"/>
        <v>2045</v>
      </c>
      <c r="X182" s="360">
        <f t="shared" si="90"/>
        <v>2046</v>
      </c>
      <c r="Y182" s="360">
        <f t="shared" si="90"/>
        <v>2047</v>
      </c>
      <c r="Z182" s="360">
        <f t="shared" si="90"/>
        <v>2048</v>
      </c>
      <c r="AA182" s="360">
        <f t="shared" si="90"/>
        <v>2049</v>
      </c>
      <c r="AB182" s="360">
        <f t="shared" si="90"/>
        <v>2050</v>
      </c>
      <c r="AC182" s="360">
        <f t="shared" si="90"/>
        <v>2051</v>
      </c>
      <c r="AD182" s="360">
        <f t="shared" si="90"/>
        <v>2052</v>
      </c>
      <c r="AE182" s="360">
        <f t="shared" si="90"/>
        <v>2053</v>
      </c>
      <c r="AF182" s="360">
        <f t="shared" si="90"/>
        <v>2054</v>
      </c>
      <c r="AG182" s="360">
        <f t="shared" si="90"/>
        <v>2055</v>
      </c>
    </row>
    <row r="183" spans="1:33">
      <c r="A183" s="300" t="str">
        <f>A174</f>
        <v xml:space="preserve">Diesel   </v>
      </c>
      <c r="B183" s="300" t="str">
        <f>A183</f>
        <v xml:space="preserve">Diesel   </v>
      </c>
      <c r="C183" s="379">
        <f t="shared" ref="C183:AG183" si="91">C165/($C$17*$C$24)*1000</f>
        <v>5.8801420975528913</v>
      </c>
      <c r="D183" s="379">
        <f t="shared" si="91"/>
        <v>6.2581443281805997</v>
      </c>
      <c r="E183" s="379">
        <f t="shared" si="91"/>
        <v>6.4202547077103889</v>
      </c>
      <c r="F183" s="379">
        <f t="shared" si="91"/>
        <v>6.5869429721320225</v>
      </c>
      <c r="G183" s="379">
        <f t="shared" si="91"/>
        <v>6.7599127093482885</v>
      </c>
      <c r="H183" s="379">
        <f t="shared" si="91"/>
        <v>7.042037422117942</v>
      </c>
      <c r="I183" s="379">
        <f t="shared" si="91"/>
        <v>7.229341913193986</v>
      </c>
      <c r="J183" s="379">
        <f t="shared" si="91"/>
        <v>7.4216487237703515</v>
      </c>
      <c r="K183" s="379">
        <f t="shared" si="91"/>
        <v>7.6206942189485165</v>
      </c>
      <c r="L183" s="379">
        <f t="shared" si="91"/>
        <v>7.8249384396641855</v>
      </c>
      <c r="M183" s="379">
        <f t="shared" si="91"/>
        <v>8.0361214403830132</v>
      </c>
      <c r="N183" s="379">
        <f t="shared" si="91"/>
        <v>8.4037204078990833</v>
      </c>
      <c r="O183" s="379">
        <f t="shared" si="91"/>
        <v>8.6335856443078409</v>
      </c>
      <c r="P183" s="379">
        <f t="shared" si="91"/>
        <v>8.8708523125596095</v>
      </c>
      <c r="Q183" s="379">
        <f t="shared" si="91"/>
        <v>9.1156188443620074</v>
      </c>
      <c r="R183" s="379">
        <f t="shared" si="91"/>
        <v>9.3680427519319309</v>
      </c>
      <c r="S183" s="379">
        <f t="shared" si="91"/>
        <v>9.6282269937619276</v>
      </c>
      <c r="T183" s="379">
        <f t="shared" si="91"/>
        <v>9.8979313553231094</v>
      </c>
      <c r="U183" s="379">
        <f t="shared" si="91"/>
        <v>10.175666055833517</v>
      </c>
      <c r="V183" s="379">
        <f t="shared" si="91"/>
        <v>10.463195899923557</v>
      </c>
      <c r="W183" s="379">
        <f t="shared" si="91"/>
        <v>10.759064730415583</v>
      </c>
      <c r="X183" s="379">
        <f t="shared" si="91"/>
        <v>11.265741364205635</v>
      </c>
      <c r="Y183" s="379">
        <f t="shared" si="91"/>
        <v>11.587939583769261</v>
      </c>
      <c r="Z183" s="379">
        <f t="shared" si="91"/>
        <v>11.920725089945442</v>
      </c>
      <c r="AA183" s="379">
        <f t="shared" si="91"/>
        <v>12.264255497999782</v>
      </c>
      <c r="AB183" s="379">
        <f t="shared" si="91"/>
        <v>12.620348335181619</v>
      </c>
      <c r="AC183" s="379">
        <f t="shared" si="91"/>
        <v>12.987541602220233</v>
      </c>
      <c r="AD183" s="379">
        <f t="shared" si="91"/>
        <v>13.367628705398705</v>
      </c>
      <c r="AE183" s="379">
        <f t="shared" si="91"/>
        <v>13.760811279171651</v>
      </c>
      <c r="AF183" s="379">
        <f t="shared" si="91"/>
        <v>14.167294576654671</v>
      </c>
      <c r="AG183" s="379">
        <f t="shared" si="91"/>
        <v>14.587287599414383</v>
      </c>
    </row>
    <row r="184" spans="1:33">
      <c r="A184" s="300" t="str">
        <f>A175</f>
        <v>CNG</v>
      </c>
      <c r="B184" s="300" t="str">
        <f t="shared" ref="B184:B188" si="92">A184</f>
        <v>CNG</v>
      </c>
      <c r="C184" s="379">
        <f t="shared" ref="C184:AG184" si="93">C169/($C$17*$C$24)*1000</f>
        <v>10.783971084525731</v>
      </c>
      <c r="D184" s="379">
        <f t="shared" si="93"/>
        <v>10.811398645968225</v>
      </c>
      <c r="E184" s="379">
        <f t="shared" si="93"/>
        <v>10.849974039102401</v>
      </c>
      <c r="F184" s="379">
        <f t="shared" si="93"/>
        <v>10.899593469528984</v>
      </c>
      <c r="G184" s="379">
        <f t="shared" si="93"/>
        <v>10.961456116754446</v>
      </c>
      <c r="H184" s="379">
        <f t="shared" si="93"/>
        <v>11.166473065990539</v>
      </c>
      <c r="I184" s="379">
        <f t="shared" si="93"/>
        <v>10.917486742118809</v>
      </c>
      <c r="J184" s="379">
        <f t="shared" si="93"/>
        <v>10.850119397147726</v>
      </c>
      <c r="K184" s="379">
        <f t="shared" si="93"/>
        <v>10.79623221341056</v>
      </c>
      <c r="L184" s="379">
        <f t="shared" si="93"/>
        <v>10.753329698438753</v>
      </c>
      <c r="M184" s="379">
        <f t="shared" si="93"/>
        <v>10.723172370324324</v>
      </c>
      <c r="N184" s="379">
        <f t="shared" si="93"/>
        <v>10.534007423967497</v>
      </c>
      <c r="O184" s="379">
        <f t="shared" si="93"/>
        <v>10.525527166150074</v>
      </c>
      <c r="P184" s="379">
        <f t="shared" si="93"/>
        <v>10.529107584252591</v>
      </c>
      <c r="Q184" s="379">
        <f t="shared" si="93"/>
        <v>10.544595820296658</v>
      </c>
      <c r="R184" s="379">
        <f t="shared" si="93"/>
        <v>10.572156557112081</v>
      </c>
      <c r="S184" s="379">
        <f t="shared" si="93"/>
        <v>10.436688959596559</v>
      </c>
      <c r="T184" s="379">
        <f t="shared" si="93"/>
        <v>10.528587195325461</v>
      </c>
      <c r="U184" s="379">
        <f t="shared" si="93"/>
        <v>10.631758864813493</v>
      </c>
      <c r="V184" s="379">
        <f t="shared" si="93"/>
        <v>10.747404377092245</v>
      </c>
      <c r="W184" s="379">
        <f t="shared" si="93"/>
        <v>10.87348252070001</v>
      </c>
      <c r="X184" s="379">
        <f t="shared" si="93"/>
        <v>10.902060985642462</v>
      </c>
      <c r="Y184" s="379">
        <f t="shared" si="93"/>
        <v>11.049795006075684</v>
      </c>
      <c r="Z184" s="379">
        <f t="shared" si="93"/>
        <v>11.210142176209986</v>
      </c>
      <c r="AA184" s="379">
        <f t="shared" si="93"/>
        <v>11.382737767919579</v>
      </c>
      <c r="AB184" s="379">
        <f t="shared" si="93"/>
        <v>11.569148085621405</v>
      </c>
      <c r="AC184" s="379">
        <f t="shared" si="93"/>
        <v>11.746289966123401</v>
      </c>
      <c r="AD184" s="379">
        <f t="shared" si="93"/>
        <v>12.049925269784371</v>
      </c>
      <c r="AE184" s="379">
        <f t="shared" si="93"/>
        <v>12.368152871183367</v>
      </c>
      <c r="AF184" s="379">
        <f t="shared" si="93"/>
        <v>12.701592073364369</v>
      </c>
      <c r="AG184" s="379">
        <f t="shared" si="93"/>
        <v>13.050279185719326</v>
      </c>
    </row>
    <row r="185" spans="1:33">
      <c r="A185" s="300" t="str">
        <f>A176</f>
        <v>LNG</v>
      </c>
      <c r="B185" s="300" t="str">
        <f>A185</f>
        <v>LNG</v>
      </c>
      <c r="C185" s="379">
        <f t="shared" ref="C185:AG185" si="94">C167/($C$17*$C$24)*1000</f>
        <v>5.9984157991449134</v>
      </c>
      <c r="D185" s="379">
        <f t="shared" si="94"/>
        <v>6.1871070701609181</v>
      </c>
      <c r="E185" s="379">
        <f t="shared" si="94"/>
        <v>6.3685502680249773</v>
      </c>
      <c r="F185" s="379">
        <f t="shared" si="94"/>
        <v>6.5556189354711956</v>
      </c>
      <c r="G185" s="379">
        <f t="shared" si="94"/>
        <v>6.750032371254127</v>
      </c>
      <c r="H185" s="379">
        <f t="shared" si="94"/>
        <v>7.0593270572762208</v>
      </c>
      <c r="I185" s="379">
        <f t="shared" si="94"/>
        <v>7.2706409847596296</v>
      </c>
      <c r="J185" s="379">
        <f t="shared" si="94"/>
        <v>7.4879724903086613</v>
      </c>
      <c r="K185" s="379">
        <f t="shared" si="94"/>
        <v>7.7135992181350872</v>
      </c>
      <c r="L185" s="379">
        <f t="shared" si="94"/>
        <v>7.9457323191091733</v>
      </c>
      <c r="M185" s="379">
        <f t="shared" si="94"/>
        <v>8.1863839627948813</v>
      </c>
      <c r="N185" s="379">
        <f t="shared" si="94"/>
        <v>8.6147483455822815</v>
      </c>
      <c r="O185" s="379">
        <f t="shared" si="94"/>
        <v>8.8770093626438342</v>
      </c>
      <c r="P185" s="379">
        <f t="shared" si="94"/>
        <v>9.148587855051046</v>
      </c>
      <c r="Q185" s="379">
        <f t="shared" si="94"/>
        <v>9.4293173296320489</v>
      </c>
      <c r="R185" s="379">
        <f t="shared" si="94"/>
        <v>9.7193315111484146</v>
      </c>
      <c r="S185" s="379">
        <f t="shared" si="94"/>
        <v>10.019064490269269</v>
      </c>
      <c r="T185" s="379">
        <f t="shared" si="94"/>
        <v>10.329989210645719</v>
      </c>
      <c r="U185" s="379">
        <f t="shared" si="94"/>
        <v>10.650923155087431</v>
      </c>
      <c r="V185" s="379">
        <f t="shared" si="94"/>
        <v>10.983644892329545</v>
      </c>
      <c r="W185" s="379">
        <f t="shared" si="94"/>
        <v>11.326686075915681</v>
      </c>
      <c r="X185" s="379">
        <f t="shared" si="94"/>
        <v>11.915975946133285</v>
      </c>
      <c r="Y185" s="379">
        <f t="shared" si="94"/>
        <v>12.290039776188907</v>
      </c>
      <c r="Z185" s="379">
        <f t="shared" si="94"/>
        <v>12.677355418434537</v>
      </c>
      <c r="AA185" s="379">
        <f t="shared" si="94"/>
        <v>13.077464586640353</v>
      </c>
      <c r="AB185" s="379">
        <f t="shared" si="94"/>
        <v>13.492817562608275</v>
      </c>
      <c r="AC185" s="379">
        <f t="shared" si="94"/>
        <v>13.921980618803746</v>
      </c>
      <c r="AD185" s="379">
        <f t="shared" si="94"/>
        <v>14.366459422575069</v>
      </c>
      <c r="AE185" s="379">
        <f t="shared" si="94"/>
        <v>14.827097702920284</v>
      </c>
      <c r="AF185" s="379">
        <f t="shared" si="94"/>
        <v>15.303788761035769</v>
      </c>
      <c r="AG185" s="379">
        <f t="shared" si="94"/>
        <v>15.797071324855832</v>
      </c>
    </row>
    <row r="186" spans="1:33">
      <c r="A186" s="300" t="str">
        <f>A178</f>
        <v>H2 ICE</v>
      </c>
      <c r="B186" s="300" t="str">
        <f t="shared" ref="B186" si="95">A186</f>
        <v>H2 ICE</v>
      </c>
      <c r="C186" s="379">
        <f t="shared" ref="C186:AG186" si="96">C170/($C$17*$C$24)*1000</f>
        <v>12.17841817157189</v>
      </c>
      <c r="D186" s="379">
        <f t="shared" si="96"/>
        <v>12.126891582188112</v>
      </c>
      <c r="E186" s="379">
        <f t="shared" si="96"/>
        <v>12.087252402068835</v>
      </c>
      <c r="F186" s="379">
        <f t="shared" si="96"/>
        <v>12.060145714112947</v>
      </c>
      <c r="G186" s="379">
        <f t="shared" si="96"/>
        <v>12.046751852507406</v>
      </c>
      <c r="H186" s="379">
        <f t="shared" si="96"/>
        <v>12.118121075981554</v>
      </c>
      <c r="I186" s="379">
        <f t="shared" si="96"/>
        <v>11.896592452548013</v>
      </c>
      <c r="J186" s="379">
        <f t="shared" si="96"/>
        <v>11.818244231012118</v>
      </c>
      <c r="K186" s="379">
        <f t="shared" si="96"/>
        <v>11.750702341808855</v>
      </c>
      <c r="L186" s="379">
        <f t="shared" si="96"/>
        <v>11.696164354723372</v>
      </c>
      <c r="M186" s="379">
        <f t="shared" si="96"/>
        <v>11.65411397591455</v>
      </c>
      <c r="N186" s="379">
        <f t="shared" si="96"/>
        <v>11.356853649431898</v>
      </c>
      <c r="O186" s="379">
        <f t="shared" si="96"/>
        <v>11.338965575337873</v>
      </c>
      <c r="P186" s="379">
        <f t="shared" si="96"/>
        <v>11.333273532003343</v>
      </c>
      <c r="Q186" s="379">
        <f t="shared" si="96"/>
        <v>11.340943265498348</v>
      </c>
      <c r="R186" s="379">
        <f t="shared" si="96"/>
        <v>11.360580778344152</v>
      </c>
      <c r="S186" s="379">
        <f t="shared" si="96"/>
        <v>11.233669888395873</v>
      </c>
      <c r="T186" s="379">
        <f t="shared" si="96"/>
        <v>11.338004211613795</v>
      </c>
      <c r="U186" s="379">
        <f t="shared" si="96"/>
        <v>11.453499568718232</v>
      </c>
      <c r="V186" s="379">
        <f t="shared" si="96"/>
        <v>11.581094084504096</v>
      </c>
      <c r="W186" s="379">
        <f t="shared" si="96"/>
        <v>11.718395914946683</v>
      </c>
      <c r="X186" s="379">
        <f t="shared" si="96"/>
        <v>11.525682178901194</v>
      </c>
      <c r="Y186" s="379">
        <f t="shared" si="96"/>
        <v>11.6834618645597</v>
      </c>
      <c r="Z186" s="379">
        <f t="shared" si="96"/>
        <v>11.852851805212154</v>
      </c>
      <c r="AA186" s="379">
        <f t="shared" si="96"/>
        <v>12.035106893437302</v>
      </c>
      <c r="AB186" s="379">
        <f t="shared" si="96"/>
        <v>12.229194194602862</v>
      </c>
      <c r="AC186" s="379">
        <f t="shared" si="96"/>
        <v>12.399600447480875</v>
      </c>
      <c r="AD186" s="379">
        <f t="shared" si="96"/>
        <v>12.716577060212449</v>
      </c>
      <c r="AE186" s="379">
        <f t="shared" si="96"/>
        <v>13.046956352994428</v>
      </c>
      <c r="AF186" s="379">
        <f t="shared" si="96"/>
        <v>13.393023512586163</v>
      </c>
      <c r="AG186" s="379">
        <f t="shared" si="96"/>
        <v>13.753180035823245</v>
      </c>
    </row>
    <row r="187" spans="1:33">
      <c r="A187" s="300" t="str">
        <f>A177</f>
        <v>BET</v>
      </c>
      <c r="B187" s="300" t="str">
        <f t="shared" si="92"/>
        <v>BET</v>
      </c>
      <c r="C187" s="379">
        <f t="shared" ref="C187:AG187" si="97">C168/($C$18*$C$24)*1000</f>
        <v>8.7027708546854221</v>
      </c>
      <c r="D187" s="379">
        <f t="shared" si="97"/>
        <v>8.7786214185220199</v>
      </c>
      <c r="E187" s="379">
        <f t="shared" si="97"/>
        <v>8.8484746595274029</v>
      </c>
      <c r="F187" s="379">
        <f t="shared" si="97"/>
        <v>8.8362173216681796</v>
      </c>
      <c r="G187" s="379">
        <f t="shared" si="97"/>
        <v>8.8205124231035388</v>
      </c>
      <c r="H187" s="379">
        <f t="shared" si="97"/>
        <v>8.9191973803981099</v>
      </c>
      <c r="I187" s="379">
        <f t="shared" si="97"/>
        <v>8.7254323407338212</v>
      </c>
      <c r="J187" s="379">
        <f t="shared" si="97"/>
        <v>8.8026003203843075</v>
      </c>
      <c r="K187" s="379">
        <f t="shared" si="97"/>
        <v>8.8609059483916806</v>
      </c>
      <c r="L187" s="379">
        <f t="shared" si="97"/>
        <v>8.9362123132790732</v>
      </c>
      <c r="M187" s="379">
        <f t="shared" si="97"/>
        <v>9.0298643311404092</v>
      </c>
      <c r="N187" s="379">
        <f t="shared" si="97"/>
        <v>8.8973438596779744</v>
      </c>
      <c r="O187" s="379">
        <f t="shared" si="97"/>
        <v>9.0315564466052738</v>
      </c>
      <c r="P187" s="379">
        <f t="shared" si="97"/>
        <v>9.1699771055167538</v>
      </c>
      <c r="Q187" s="379">
        <f t="shared" si="97"/>
        <v>9.3229919193759212</v>
      </c>
      <c r="R187" s="379">
        <f t="shared" si="97"/>
        <v>9.4902691892342173</v>
      </c>
      <c r="S187" s="379">
        <f t="shared" si="97"/>
        <v>9.6421231699492651</v>
      </c>
      <c r="T187" s="379">
        <f t="shared" si="97"/>
        <v>9.8659768574349318</v>
      </c>
      <c r="U187" s="379">
        <f t="shared" si="97"/>
        <v>10.095222889052739</v>
      </c>
      <c r="V187" s="379">
        <f t="shared" si="97"/>
        <v>10.334758786065786</v>
      </c>
      <c r="W187" s="379">
        <f t="shared" si="97"/>
        <v>10.582938248540438</v>
      </c>
      <c r="X187" s="379">
        <f t="shared" si="97"/>
        <v>10.545587522480538</v>
      </c>
      <c r="Y187" s="379">
        <f t="shared" si="97"/>
        <v>10.810993928750714</v>
      </c>
      <c r="Z187" s="379">
        <f t="shared" si="97"/>
        <v>11.087282852056383</v>
      </c>
      <c r="AA187" s="379">
        <f t="shared" si="97"/>
        <v>11.376527651744194</v>
      </c>
      <c r="AB187" s="379">
        <f t="shared" si="97"/>
        <v>11.6768123699388</v>
      </c>
      <c r="AC187" s="379">
        <f t="shared" si="97"/>
        <v>12.035959725519234</v>
      </c>
      <c r="AD187" s="379">
        <f t="shared" si="97"/>
        <v>12.414622615699619</v>
      </c>
      <c r="AE187" s="379">
        <f t="shared" si="97"/>
        <v>12.807428119491922</v>
      </c>
      <c r="AF187" s="379">
        <f t="shared" si="97"/>
        <v>13.216183452113434</v>
      </c>
      <c r="AG187" s="379">
        <f t="shared" si="97"/>
        <v>13.640377706975219</v>
      </c>
    </row>
    <row r="188" spans="1:33">
      <c r="A188" s="300" t="str">
        <f t="shared" ref="A188" si="98">A179</f>
        <v>FCET</v>
      </c>
      <c r="B188" s="300" t="str">
        <f t="shared" si="92"/>
        <v>FCET</v>
      </c>
      <c r="C188" s="379">
        <f t="shared" ref="C188:AG188" si="99">C170/($C$19*$C$24)*1000</f>
        <v>12.737631250878762</v>
      </c>
      <c r="D188" s="379">
        <f t="shared" si="99"/>
        <v>12.683738644635524</v>
      </c>
      <c r="E188" s="379">
        <f t="shared" si="99"/>
        <v>12.642279298082199</v>
      </c>
      <c r="F188" s="379">
        <f t="shared" si="99"/>
        <v>12.613927915271194</v>
      </c>
      <c r="G188" s="379">
        <f t="shared" si="99"/>
        <v>12.599919029408257</v>
      </c>
      <c r="H188" s="379">
        <f t="shared" si="99"/>
        <v>12.674565411103156</v>
      </c>
      <c r="I188" s="379">
        <f t="shared" si="99"/>
        <v>12.442864554960932</v>
      </c>
      <c r="J188" s="379">
        <f t="shared" si="99"/>
        <v>12.360918711007573</v>
      </c>
      <c r="K188" s="379">
        <f t="shared" si="99"/>
        <v>12.29027540852457</v>
      </c>
      <c r="L188" s="379">
        <f t="shared" si="99"/>
        <v>12.233233126113731</v>
      </c>
      <c r="M188" s="379">
        <f t="shared" si="99"/>
        <v>12.189251862563687</v>
      </c>
      <c r="N188" s="379">
        <f t="shared" si="99"/>
        <v>11.878341827211933</v>
      </c>
      <c r="O188" s="379">
        <f t="shared" si="99"/>
        <v>11.85963236196053</v>
      </c>
      <c r="P188" s="379">
        <f t="shared" si="99"/>
        <v>11.853678949289209</v>
      </c>
      <c r="Q188" s="379">
        <f t="shared" si="99"/>
        <v>11.861700864424291</v>
      </c>
      <c r="R188" s="379">
        <f t="shared" si="99"/>
        <v>11.882240099798729</v>
      </c>
      <c r="S188" s="379">
        <f t="shared" si="99"/>
        <v>11.749501668985479</v>
      </c>
      <c r="T188" s="379">
        <f t="shared" si="99"/>
        <v>11.858626853983814</v>
      </c>
      <c r="U188" s="379">
        <f t="shared" si="99"/>
        <v>11.979425569322643</v>
      </c>
      <c r="V188" s="379">
        <f t="shared" si="99"/>
        <v>12.112879016955816</v>
      </c>
      <c r="W188" s="379">
        <f t="shared" si="99"/>
        <v>12.25648552328607</v>
      </c>
      <c r="X188" s="379">
        <f t="shared" si="99"/>
        <v>12.054922687116045</v>
      </c>
      <c r="Y188" s="379">
        <f t="shared" si="99"/>
        <v>12.219947358340502</v>
      </c>
      <c r="Z188" s="379">
        <f t="shared" si="99"/>
        <v>12.397115408512711</v>
      </c>
      <c r="AA188" s="379">
        <f t="shared" si="99"/>
        <v>12.587739352829832</v>
      </c>
      <c r="AB188" s="379">
        <f t="shared" si="99"/>
        <v>12.790738825987688</v>
      </c>
      <c r="AC188" s="379">
        <f t="shared" si="99"/>
        <v>12.968969855783568</v>
      </c>
      <c r="AD188" s="379">
        <f t="shared" si="99"/>
        <v>13.30050151705894</v>
      </c>
      <c r="AE188" s="379">
        <f t="shared" si="99"/>
        <v>13.646051287570705</v>
      </c>
      <c r="AF188" s="379">
        <f t="shared" si="99"/>
        <v>14.008009286123283</v>
      </c>
      <c r="AG188" s="379">
        <f t="shared" si="99"/>
        <v>14.384703608896762</v>
      </c>
    </row>
    <row r="189" spans="1:33">
      <c r="A189" s="300" t="s">
        <v>334</v>
      </c>
      <c r="C189" s="379">
        <f t="shared" ref="C189:AG189" si="100">C183*0.9</f>
        <v>5.2921278877976023</v>
      </c>
      <c r="D189" s="379">
        <f t="shared" si="100"/>
        <v>5.63232989536254</v>
      </c>
      <c r="E189" s="379">
        <f t="shared" si="100"/>
        <v>5.7782292369393504</v>
      </c>
      <c r="F189" s="379">
        <f t="shared" si="100"/>
        <v>5.9282486749188203</v>
      </c>
      <c r="G189" s="379">
        <f t="shared" si="100"/>
        <v>6.0839214384134594</v>
      </c>
      <c r="H189" s="379">
        <f t="shared" si="100"/>
        <v>6.3378336799061481</v>
      </c>
      <c r="I189" s="379">
        <f t="shared" si="100"/>
        <v>6.5064077218745879</v>
      </c>
      <c r="J189" s="379">
        <f t="shared" si="100"/>
        <v>6.6794838513933161</v>
      </c>
      <c r="K189" s="379">
        <f t="shared" si="100"/>
        <v>6.8586247970536647</v>
      </c>
      <c r="L189" s="379">
        <f t="shared" si="100"/>
        <v>7.0424445956977673</v>
      </c>
      <c r="M189" s="379">
        <f t="shared" si="100"/>
        <v>7.2325092963447117</v>
      </c>
      <c r="N189" s="379">
        <f t="shared" si="100"/>
        <v>7.5633483671091755</v>
      </c>
      <c r="O189" s="379">
        <f t="shared" si="100"/>
        <v>7.7702270798770572</v>
      </c>
      <c r="P189" s="379">
        <f t="shared" si="100"/>
        <v>7.9837670813036485</v>
      </c>
      <c r="Q189" s="379">
        <f t="shared" si="100"/>
        <v>8.2040569599258077</v>
      </c>
      <c r="R189" s="379">
        <f t="shared" si="100"/>
        <v>8.4312384767387378</v>
      </c>
      <c r="S189" s="379">
        <f t="shared" si="100"/>
        <v>8.6654042943857359</v>
      </c>
      <c r="T189" s="379">
        <f t="shared" si="100"/>
        <v>8.9081382197907981</v>
      </c>
      <c r="U189" s="379">
        <f t="shared" si="100"/>
        <v>9.158099450250166</v>
      </c>
      <c r="V189" s="379">
        <f t="shared" si="100"/>
        <v>9.416876309931201</v>
      </c>
      <c r="W189" s="379">
        <f t="shared" si="100"/>
        <v>9.6831582573740249</v>
      </c>
      <c r="X189" s="379">
        <f t="shared" si="100"/>
        <v>10.139167227785071</v>
      </c>
      <c r="Y189" s="379">
        <f t="shared" si="100"/>
        <v>10.429145625392335</v>
      </c>
      <c r="Z189" s="379">
        <f t="shared" si="100"/>
        <v>10.728652580950898</v>
      </c>
      <c r="AA189" s="379">
        <f t="shared" si="100"/>
        <v>11.037829948199803</v>
      </c>
      <c r="AB189" s="379">
        <f t="shared" si="100"/>
        <v>11.358313501663458</v>
      </c>
      <c r="AC189" s="379">
        <f t="shared" si="100"/>
        <v>11.68878744199821</v>
      </c>
      <c r="AD189" s="379">
        <f t="shared" si="100"/>
        <v>12.030865834858835</v>
      </c>
      <c r="AE189" s="379">
        <f t="shared" si="100"/>
        <v>12.384730151254487</v>
      </c>
      <c r="AF189" s="379">
        <f t="shared" si="100"/>
        <v>12.750565118989204</v>
      </c>
      <c r="AG189" s="379">
        <f t="shared" si="100"/>
        <v>13.128558839472944</v>
      </c>
    </row>
    <row r="190" spans="1:33"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  <c r="AA190" s="376"/>
      <c r="AB190" s="376"/>
      <c r="AC190" s="376"/>
      <c r="AD190" s="376"/>
      <c r="AE190" s="376"/>
      <c r="AF190" s="376"/>
      <c r="AG190" s="376"/>
    </row>
    <row r="191" spans="1:33">
      <c r="A191" s="360" t="s">
        <v>337</v>
      </c>
      <c r="B191" s="360"/>
      <c r="C191" s="360">
        <v>2025</v>
      </c>
      <c r="D191" s="360">
        <f>C191+1</f>
        <v>2026</v>
      </c>
      <c r="E191" s="360">
        <f t="shared" ref="E191:AG191" si="101">D191+1</f>
        <v>2027</v>
      </c>
      <c r="F191" s="360">
        <f t="shared" si="101"/>
        <v>2028</v>
      </c>
      <c r="G191" s="360">
        <f t="shared" si="101"/>
        <v>2029</v>
      </c>
      <c r="H191" s="360">
        <f t="shared" si="101"/>
        <v>2030</v>
      </c>
      <c r="I191" s="360">
        <f t="shared" si="101"/>
        <v>2031</v>
      </c>
      <c r="J191" s="360">
        <f t="shared" si="101"/>
        <v>2032</v>
      </c>
      <c r="K191" s="360">
        <f t="shared" si="101"/>
        <v>2033</v>
      </c>
      <c r="L191" s="360">
        <f t="shared" si="101"/>
        <v>2034</v>
      </c>
      <c r="M191" s="360">
        <f t="shared" si="101"/>
        <v>2035</v>
      </c>
      <c r="N191" s="360">
        <f t="shared" si="101"/>
        <v>2036</v>
      </c>
      <c r="O191" s="360">
        <f t="shared" si="101"/>
        <v>2037</v>
      </c>
      <c r="P191" s="360">
        <f t="shared" si="101"/>
        <v>2038</v>
      </c>
      <c r="Q191" s="360">
        <f t="shared" si="101"/>
        <v>2039</v>
      </c>
      <c r="R191" s="360">
        <f t="shared" si="101"/>
        <v>2040</v>
      </c>
      <c r="S191" s="360">
        <f t="shared" si="101"/>
        <v>2041</v>
      </c>
      <c r="T191" s="360">
        <f t="shared" si="101"/>
        <v>2042</v>
      </c>
      <c r="U191" s="360">
        <f t="shared" si="101"/>
        <v>2043</v>
      </c>
      <c r="V191" s="360">
        <f t="shared" si="101"/>
        <v>2044</v>
      </c>
      <c r="W191" s="360">
        <f t="shared" si="101"/>
        <v>2045</v>
      </c>
      <c r="X191" s="360">
        <f t="shared" si="101"/>
        <v>2046</v>
      </c>
      <c r="Y191" s="360">
        <f t="shared" si="101"/>
        <v>2047</v>
      </c>
      <c r="Z191" s="360">
        <f t="shared" si="101"/>
        <v>2048</v>
      </c>
      <c r="AA191" s="360">
        <f t="shared" si="101"/>
        <v>2049</v>
      </c>
      <c r="AB191" s="360">
        <f t="shared" si="101"/>
        <v>2050</v>
      </c>
      <c r="AC191" s="360">
        <f t="shared" si="101"/>
        <v>2051</v>
      </c>
      <c r="AD191" s="360">
        <f t="shared" si="101"/>
        <v>2052</v>
      </c>
      <c r="AE191" s="360">
        <f t="shared" si="101"/>
        <v>2053</v>
      </c>
      <c r="AF191" s="360">
        <f t="shared" si="101"/>
        <v>2054</v>
      </c>
      <c r="AG191" s="360">
        <f t="shared" si="101"/>
        <v>2055</v>
      </c>
    </row>
    <row r="192" spans="1:33">
      <c r="A192" s="300" t="str">
        <f>A165</f>
        <v xml:space="preserve">Diesel   </v>
      </c>
      <c r="C192" s="388">
        <f t="shared" ref="C192:AG192" si="102">C165/C168</f>
        <v>0.76525391265692333</v>
      </c>
      <c r="D192" s="388">
        <f t="shared" si="102"/>
        <v>0.80741077476158762</v>
      </c>
      <c r="E192" s="388">
        <f t="shared" si="102"/>
        <v>0.82178674620613867</v>
      </c>
      <c r="F192" s="388">
        <f t="shared" si="102"/>
        <v>0.84429224672557335</v>
      </c>
      <c r="G192" s="388">
        <f t="shared" si="102"/>
        <v>0.86800566212042873</v>
      </c>
      <c r="H192" s="388">
        <f t="shared" si="102"/>
        <v>0.89422712609195798</v>
      </c>
      <c r="I192" s="388">
        <f t="shared" si="102"/>
        <v>0.93839804911323932</v>
      </c>
      <c r="J192" s="388">
        <f t="shared" si="102"/>
        <v>0.9549149610855957</v>
      </c>
      <c r="K192" s="388">
        <f t="shared" si="102"/>
        <v>0.9740734255257415</v>
      </c>
      <c r="L192" s="388">
        <f t="shared" si="102"/>
        <v>0.991751205885257</v>
      </c>
      <c r="M192" s="388">
        <f t="shared" si="102"/>
        <v>1.0079536270454379</v>
      </c>
      <c r="N192" s="388">
        <f t="shared" si="102"/>
        <v>1.0697603719110704</v>
      </c>
      <c r="O192" s="388">
        <f t="shared" si="102"/>
        <v>1.0826894056336851</v>
      </c>
      <c r="P192" s="388">
        <f t="shared" si="102"/>
        <v>1.0956513639516408</v>
      </c>
      <c r="Q192" s="388">
        <f t="shared" si="102"/>
        <v>1.1074041225056093</v>
      </c>
      <c r="R192" s="388">
        <f t="shared" si="102"/>
        <v>1.1180098219541539</v>
      </c>
      <c r="S192" s="388">
        <f t="shared" si="102"/>
        <v>1.1309643928161492</v>
      </c>
      <c r="T192" s="388">
        <f t="shared" si="102"/>
        <v>1.136265004895965</v>
      </c>
      <c r="U192" s="388">
        <f t="shared" si="102"/>
        <v>1.1416217125671375</v>
      </c>
      <c r="V192" s="388">
        <f t="shared" si="102"/>
        <v>1.1466722385048893</v>
      </c>
      <c r="W192" s="388">
        <f t="shared" si="102"/>
        <v>1.1514459181448358</v>
      </c>
      <c r="X192" s="388">
        <f t="shared" si="102"/>
        <v>1.2099412476450626</v>
      </c>
      <c r="Y192" s="388">
        <f t="shared" si="102"/>
        <v>1.2139921681589823</v>
      </c>
      <c r="Z192" s="388">
        <f t="shared" si="102"/>
        <v>1.2177351205712508</v>
      </c>
      <c r="AA192" s="388">
        <f t="shared" si="102"/>
        <v>1.2209749360486399</v>
      </c>
      <c r="AB192" s="388">
        <f t="shared" si="102"/>
        <v>1.2241153010059689</v>
      </c>
      <c r="AC192" s="388">
        <f t="shared" si="102"/>
        <v>1.2221415575911596</v>
      </c>
      <c r="AD192" s="388">
        <f t="shared" si="102"/>
        <v>1.2195402492546905</v>
      </c>
      <c r="AE192" s="388">
        <f t="shared" si="102"/>
        <v>1.2169070240668354</v>
      </c>
      <c r="AF192" s="388">
        <f t="shared" si="102"/>
        <v>1.2141047324479832</v>
      </c>
      <c r="AG192" s="388">
        <f t="shared" si="102"/>
        <v>1.2112211211716444</v>
      </c>
    </row>
    <row r="193" spans="1:33">
      <c r="A193" s="300" t="str">
        <f>A169</f>
        <v>H2-ICE</v>
      </c>
      <c r="C193" s="388">
        <f t="shared" ref="C193:AG193" si="103">C169/C168</f>
        <v>1.4034484081340197</v>
      </c>
      <c r="D193" s="388">
        <f t="shared" si="103"/>
        <v>1.3948607285532824</v>
      </c>
      <c r="E193" s="388">
        <f t="shared" si="103"/>
        <v>1.3887867799554667</v>
      </c>
      <c r="F193" s="388">
        <f t="shared" si="103"/>
        <v>1.3970733157577986</v>
      </c>
      <c r="G193" s="388">
        <f t="shared" si="103"/>
        <v>1.4075042657384775</v>
      </c>
      <c r="H193" s="388">
        <f t="shared" si="103"/>
        <v>1.4179650745708203</v>
      </c>
      <c r="I193" s="388">
        <f t="shared" si="103"/>
        <v>1.4171342817976689</v>
      </c>
      <c r="J193" s="388">
        <f t="shared" si="103"/>
        <v>1.3960430798505667</v>
      </c>
      <c r="K193" s="388">
        <f t="shared" si="103"/>
        <v>1.3799691462150276</v>
      </c>
      <c r="L193" s="388">
        <f t="shared" si="103"/>
        <v>1.3629024404396548</v>
      </c>
      <c r="M193" s="388">
        <f t="shared" si="103"/>
        <v>1.3449847123747152</v>
      </c>
      <c r="N193" s="388">
        <f t="shared" si="103"/>
        <v>1.340937483948808</v>
      </c>
      <c r="O193" s="388">
        <f t="shared" si="103"/>
        <v>1.3199471483801843</v>
      </c>
      <c r="P193" s="388">
        <f t="shared" si="103"/>
        <v>1.3004647895610422</v>
      </c>
      <c r="Q193" s="388">
        <f t="shared" si="103"/>
        <v>1.2810023193076154</v>
      </c>
      <c r="R193" s="388">
        <f t="shared" si="103"/>
        <v>1.2617123110001582</v>
      </c>
      <c r="S193" s="388">
        <f t="shared" si="103"/>
        <v>1.2259290936792999</v>
      </c>
      <c r="T193" s="388">
        <f t="shared" si="103"/>
        <v>1.208663179363255</v>
      </c>
      <c r="U193" s="388">
        <f t="shared" si="103"/>
        <v>1.1927913805594137</v>
      </c>
      <c r="V193" s="388">
        <f t="shared" si="103"/>
        <v>1.1778189334376934</v>
      </c>
      <c r="W193" s="388">
        <f t="shared" si="103"/>
        <v>1.163691025027938</v>
      </c>
      <c r="X193" s="388">
        <f t="shared" si="103"/>
        <v>1.1708819548069669</v>
      </c>
      <c r="Y193" s="388">
        <f t="shared" si="103"/>
        <v>1.1576143023671825</v>
      </c>
      <c r="Z193" s="388">
        <f t="shared" si="103"/>
        <v>1.1451471056976124</v>
      </c>
      <c r="AA193" s="388">
        <f t="shared" si="103"/>
        <v>1.1332149367330715</v>
      </c>
      <c r="AB193" s="388">
        <f t="shared" si="103"/>
        <v>1.1221537484614343</v>
      </c>
      <c r="AC193" s="388">
        <f t="shared" si="103"/>
        <v>1.105338450862891</v>
      </c>
      <c r="AD193" s="388">
        <f t="shared" si="103"/>
        <v>1.0993250329490596</v>
      </c>
      <c r="AE193" s="388">
        <f t="shared" si="103"/>
        <v>1.0937503464244474</v>
      </c>
      <c r="AF193" s="388">
        <f t="shared" si="103"/>
        <v>1.0884973812365559</v>
      </c>
      <c r="AG193" s="388">
        <f t="shared" si="103"/>
        <v>1.0835992420938152</v>
      </c>
    </row>
    <row r="194" spans="1:33">
      <c r="A194" s="300" t="str">
        <f>A170</f>
        <v>FCET</v>
      </c>
      <c r="C194" s="388">
        <f t="shared" ref="C194:AG194" si="104">C170/C168</f>
        <v>1.5849246499750484</v>
      </c>
      <c r="D194" s="388">
        <f t="shared" si="104"/>
        <v>1.5645824727520912</v>
      </c>
      <c r="E194" s="388">
        <f t="shared" si="104"/>
        <v>1.5471572818036794</v>
      </c>
      <c r="F194" s="388">
        <f t="shared" si="104"/>
        <v>1.5458290080672237</v>
      </c>
      <c r="G194" s="388">
        <f t="shared" si="104"/>
        <v>1.5468615154860927</v>
      </c>
      <c r="H194" s="388">
        <f t="shared" si="104"/>
        <v>1.5388092868370844</v>
      </c>
      <c r="I194" s="388">
        <f t="shared" si="104"/>
        <v>1.5442261941148259</v>
      </c>
      <c r="J194" s="388">
        <f t="shared" si="104"/>
        <v>1.5206079740491649</v>
      </c>
      <c r="K194" s="388">
        <f t="shared" si="104"/>
        <v>1.5019690534176033</v>
      </c>
      <c r="L194" s="388">
        <f t="shared" si="104"/>
        <v>1.4823995348296792</v>
      </c>
      <c r="M194" s="388">
        <f t="shared" si="104"/>
        <v>1.4617507387325062</v>
      </c>
      <c r="N194" s="388">
        <f t="shared" si="104"/>
        <v>1.4456825541621181</v>
      </c>
      <c r="O194" s="388">
        <f t="shared" si="104"/>
        <v>1.4219558831106724</v>
      </c>
      <c r="P194" s="388">
        <f t="shared" si="104"/>
        <v>1.3997884493912376</v>
      </c>
      <c r="Q194" s="388">
        <f t="shared" si="104"/>
        <v>1.377745991769151</v>
      </c>
      <c r="R194" s="388">
        <f t="shared" si="104"/>
        <v>1.355805180401531</v>
      </c>
      <c r="S194" s="388">
        <f t="shared" si="104"/>
        <v>1.3195451927606312</v>
      </c>
      <c r="T194" s="388">
        <f t="shared" si="104"/>
        <v>1.3015828205447548</v>
      </c>
      <c r="U194" s="388">
        <f t="shared" si="104"/>
        <v>1.2849835795300208</v>
      </c>
      <c r="V194" s="388">
        <f t="shared" si="104"/>
        <v>1.2691838330496195</v>
      </c>
      <c r="W194" s="388">
        <f t="shared" si="104"/>
        <v>1.2541145054482152</v>
      </c>
      <c r="X194" s="388">
        <f t="shared" si="104"/>
        <v>1.237858905567329</v>
      </c>
      <c r="Y194" s="388">
        <f t="shared" si="104"/>
        <v>1.2239994088704111</v>
      </c>
      <c r="Z194" s="388">
        <f t="shared" si="104"/>
        <v>1.2108016763432674</v>
      </c>
      <c r="AA194" s="388">
        <f t="shared" si="104"/>
        <v>1.1981619163062724</v>
      </c>
      <c r="AB194" s="388">
        <f t="shared" si="104"/>
        <v>1.186175162127274</v>
      </c>
      <c r="AC194" s="388">
        <f t="shared" si="104"/>
        <v>1.1668156660073152</v>
      </c>
      <c r="AD194" s="388">
        <f t="shared" si="104"/>
        <v>1.1601442484271496</v>
      </c>
      <c r="AE194" s="388">
        <f t="shared" si="104"/>
        <v>1.1537788366216206</v>
      </c>
      <c r="AF194" s="388">
        <f t="shared" si="104"/>
        <v>1.1477514736802754</v>
      </c>
      <c r="AG194" s="388">
        <f t="shared" si="104"/>
        <v>1.1419629611836859</v>
      </c>
    </row>
    <row r="195" spans="1:33">
      <c r="C195" s="388"/>
      <c r="D195" s="388"/>
      <c r="E195" s="388"/>
      <c r="F195" s="388"/>
      <c r="G195" s="388"/>
      <c r="H195" s="388"/>
      <c r="I195" s="388"/>
      <c r="J195" s="388"/>
      <c r="K195" s="388"/>
      <c r="L195" s="388"/>
      <c r="M195" s="388"/>
      <c r="N195" s="388"/>
      <c r="O195" s="388"/>
      <c r="P195" s="388"/>
      <c r="Q195" s="388"/>
      <c r="R195" s="388"/>
      <c r="S195" s="388"/>
      <c r="T195" s="388"/>
      <c r="U195" s="388"/>
      <c r="V195" s="388"/>
      <c r="W195" s="388"/>
      <c r="X195" s="388"/>
      <c r="Y195" s="388"/>
      <c r="Z195" s="388"/>
      <c r="AA195" s="388"/>
      <c r="AB195" s="388"/>
      <c r="AC195" s="388"/>
      <c r="AD195" s="388"/>
      <c r="AE195" s="388"/>
    </row>
    <row r="197" spans="1:33">
      <c r="C197" s="300"/>
    </row>
    <row r="198" spans="1:33">
      <c r="C198" s="376"/>
      <c r="D198" s="376"/>
      <c r="E198" s="376"/>
      <c r="F198" s="376"/>
      <c r="G198" s="376"/>
    </row>
    <row r="199" spans="1:33">
      <c r="C199" s="376"/>
      <c r="D199" s="376"/>
      <c r="E199" s="376"/>
      <c r="F199" s="376"/>
      <c r="G199" s="376"/>
    </row>
    <row r="200" spans="1:33">
      <c r="C200" s="376"/>
      <c r="D200" s="376"/>
      <c r="E200" s="376"/>
      <c r="F200" s="376"/>
      <c r="G200" s="376"/>
    </row>
  </sheetData>
  <mergeCells count="1">
    <mergeCell ref="A36:A37"/>
  </mergeCells>
  <pageMargins left="0.7" right="0.7" top="0.75" bottom="0.75" header="0.3" footer="0.3"/>
  <pageSetup orientation="portrait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2"/>
  <sheetViews>
    <sheetView zoomScale="85" zoomScaleNormal="85" workbookViewId="0">
      <pane xSplit="1" topLeftCell="B1" activePane="topRight" state="frozen"/>
      <selection pane="topRight" activeCell="S4" sqref="S4"/>
    </sheetView>
  </sheetViews>
  <sheetFormatPr defaultColWidth="8.88671875" defaultRowHeight="14.4"/>
  <cols>
    <col min="1" max="1" width="8" style="82" bestFit="1" customWidth="1"/>
    <col min="2" max="2" width="15.109375" style="86" customWidth="1"/>
    <col min="3" max="3" width="13.109375" style="82" bestFit="1" customWidth="1"/>
    <col min="4" max="4" width="12.44140625" style="82" bestFit="1" customWidth="1"/>
    <col min="5" max="5" width="19.6640625" style="87" bestFit="1" customWidth="1"/>
    <col min="6" max="6" width="10.109375" style="88" bestFit="1" customWidth="1"/>
    <col min="7" max="7" width="12.44140625" style="82" bestFit="1" customWidth="1"/>
    <col min="8" max="8" width="11.44140625" style="82" bestFit="1" customWidth="1"/>
    <col min="9" max="9" width="13" style="82" customWidth="1"/>
    <col min="10" max="10" width="10" style="89" bestFit="1" customWidth="1"/>
    <col min="11" max="11" width="9.88671875" style="89" bestFit="1" customWidth="1"/>
    <col min="12" max="12" width="14.109375" style="85" customWidth="1"/>
    <col min="13" max="13" width="13" style="82" bestFit="1" customWidth="1"/>
    <col min="14" max="14" width="10.6640625" style="82" bestFit="1" customWidth="1"/>
    <col min="15" max="15" width="14.109375" style="82" customWidth="1"/>
    <col min="16" max="16" width="8.44140625" style="82" bestFit="1" customWidth="1"/>
    <col min="17" max="17" width="13.44140625" style="82" customWidth="1"/>
    <col min="18" max="18" width="10" style="82" bestFit="1" customWidth="1"/>
    <col min="19" max="19" width="11.109375" style="82" customWidth="1"/>
    <col min="20" max="20" width="11.88671875" style="82" customWidth="1"/>
    <col min="21" max="21" width="16.44140625" style="82" bestFit="1" customWidth="1"/>
    <col min="22" max="22" width="17.44140625" style="82" bestFit="1" customWidth="1"/>
    <col min="23" max="23" width="11.109375" style="82" bestFit="1" customWidth="1"/>
    <col min="24" max="24" width="14" style="82" bestFit="1" customWidth="1"/>
    <col min="25" max="25" width="17.109375" style="85" hidden="1" customWidth="1"/>
    <col min="26" max="26" width="12" style="82" bestFit="1" customWidth="1"/>
    <col min="27" max="27" width="21.6640625" style="82" bestFit="1" customWidth="1"/>
    <col min="28" max="16384" width="8.88671875" style="82"/>
  </cols>
  <sheetData>
    <row r="1" spans="1:26" s="75" customFormat="1" ht="57.6">
      <c r="A1" s="73" t="s">
        <v>41</v>
      </c>
      <c r="B1" s="92" t="s">
        <v>503</v>
      </c>
      <c r="C1" s="73" t="s">
        <v>504</v>
      </c>
      <c r="D1" s="73" t="s">
        <v>532</v>
      </c>
      <c r="E1" s="73" t="s">
        <v>506</v>
      </c>
      <c r="F1" s="73" t="s">
        <v>507</v>
      </c>
      <c r="G1" s="73" t="s">
        <v>508</v>
      </c>
      <c r="H1" s="73" t="s">
        <v>509</v>
      </c>
      <c r="I1" s="73" t="s">
        <v>510</v>
      </c>
      <c r="J1" s="74" t="s">
        <v>511</v>
      </c>
      <c r="K1" s="73" t="s">
        <v>512</v>
      </c>
      <c r="L1" s="93" t="s">
        <v>513</v>
      </c>
      <c r="M1" s="73" t="s">
        <v>178</v>
      </c>
      <c r="N1" s="73" t="s">
        <v>514</v>
      </c>
      <c r="O1" s="94" t="s">
        <v>515</v>
      </c>
      <c r="Q1" s="76" t="s">
        <v>516</v>
      </c>
      <c r="R1" s="76" t="s">
        <v>517</v>
      </c>
      <c r="S1" s="77" t="s">
        <v>518</v>
      </c>
      <c r="T1" s="77" t="s">
        <v>519</v>
      </c>
      <c r="U1" s="76" t="s">
        <v>520</v>
      </c>
      <c r="V1" s="77" t="s">
        <v>521</v>
      </c>
      <c r="W1" s="78" t="s">
        <v>522</v>
      </c>
      <c r="X1" s="77" t="s">
        <v>523</v>
      </c>
      <c r="Y1" s="77" t="s">
        <v>533</v>
      </c>
      <c r="Z1" s="77" t="s">
        <v>525</v>
      </c>
    </row>
    <row r="2" spans="1:26">
      <c r="A2" s="110">
        <v>2025</v>
      </c>
      <c r="B2" s="96">
        <v>267331</v>
      </c>
      <c r="C2" s="97" t="e">
        <f t="shared" ref="C2:C32" ca="1" si="0">IF(A2&lt;$R$2, 0,
  (
    ($Z$2 * EXP(-$V$2*EXP(-$W$2*(A2-$R$2))) / EXP(-$V$2*EXP(-$W$2*(2055-$R$2))))
    +
    (
      (
        $X$2 -
        ($Z$2 * EXP(-$V$2*EXP(-$W$2*(2045-$R$2))) / EXP(-$V$2*EXP(-$W$2*(2055-$R$2))))
      )
      / ((2045-$R$2)*10)
    ) * (A2-$R$2) * (2055-A2) * IF(A2&gt;2055, 0, 1)
  )
)</f>
        <v>#NUM!</v>
      </c>
      <c r="D2" s="79" t="e">
        <f ca="1">C2*B2</f>
        <v>#NUM!</v>
      </c>
      <c r="E2" s="97">
        <f t="shared" ref="E2:E32" si="1">IF(A2&lt;$R$3, 0,
  (
    ($Z$3 * EXP(-$V$3*EXP(-$W$3*(A2-$R$3))) / EXP(-$V$3*EXP(-$W$3*(2055-$R$3))))
    +
    (
      (
        $X$3 -
        ($Z$3 * EXP(-$V$3*EXP(-$W$3*(2045-$R$3))) / EXP(-$V$3*EXP(-$W$3*(2055-$R$3))))
      )
      / MAX(1, (2045-$R$3)*10)
    ) * (A2-$R$3) * (2055-A2) * IF(A2&gt;2055, 0, 1)
  )
)</f>
        <v>0</v>
      </c>
      <c r="F2" s="79">
        <f>E2*B2</f>
        <v>0</v>
      </c>
      <c r="G2" s="97">
        <f t="shared" ref="G2:G32" si="2">IF(A2&lt;$R$4, 0,
  $Z$4 * (EXP(-$V$4*EXP(-$W$4*(A2-$R$4))) / MAX(0.000000001, EXP(-$V$4*EXP(-$W$4*(2055-$R$4))))) * (
    ($X$4 * MAX(0.000000001, EXP(-$V$4*EXP(-$W$4*(2055-$R$4))))) /
    ($Z$4 * MAX(0.000000001, EXP(-$V$4*EXP(-$W$4*(2045-$R$4)))))
  ) ^ ((2055-A2)/10)
)</f>
        <v>0</v>
      </c>
      <c r="H2" s="79">
        <f>G2*B2</f>
        <v>0</v>
      </c>
      <c r="I2" s="79">
        <f>Table14[[#This Row],[LNG Share %]]*Table14[[#This Row],[Grand Total Sales]]</f>
        <v>607</v>
      </c>
      <c r="J2" s="80">
        <f t="shared" ref="J2:J32" si="3">IF(A2&lt;$R$7, 0,
  (
    ($U$7 / (((2045-$R$7)/($T$7-$R$7))^($S$7-1) * EXP((($S$7-1)/$S$7 * (1 - ((2045-$R$7)/($T$7-$R$7))^$S$7)))))
    *
    (
      (((A2-$R$7)/($T$7-$R$7))^($S$7-1) * EXP((($S$7-1)/$S$7 * (1 - ((A2-$R$7)/($T$7-$R$7))^$S$7))))
      -
      (((2025-$R$7)/($T$7-$R$7))^($S$7-1) * EXP((($S$7-1)/$S$7 * (1 - ((2025-$R$7)/($T$7-$R$7))^$S$7)))) * MAX(0, 1 - ((A2-2025)/20)^2)
    )
    +
    ($V$7/VLOOKUP(2025, A:B, 2, FALSE)) * MAX(0, 1 - ((A2-2025)/20)^2)
  )
  * MAX(0, MIN(1, (2055-A2)/10))
)</f>
        <v>2.2705933842315333E-3</v>
      </c>
      <c r="K2" s="98">
        <f>Table14[[#This Row],[CNG Share %]]*Table14[[#This Row],[Grand Total Sales]]</f>
        <v>12500</v>
      </c>
      <c r="L2" s="97">
        <f t="shared" ref="L2:L32" si="4">IF(A2&lt;$R$8, 0,
  (
    ($U$8 / (((2045-$R$8)/($T$8-$R$8))^($S$8-1) * EXP((($S$8-1)/$S$8 * (1 - ((2045-$R$8)/($T$8-$R$8))^$S$8)))))
    *
    (((A2-$R$8)/($T$8-$R$8))^($S$8-1) * EXP((($S$8-1)/$S$8 * (1 - ((A2-$R$8)/($T$8-$R$8))^$S$8))))
    +
    (
      ($V$8/VLOOKUP(2025, A:B, 2, FALSE))
      -
      ($U$8 / (((2045-$R$8)/($T$8-$R$8))^($S$8-1) * EXP((($S$8-1)/$S$8 * (1 - ((2045-$R$8)/($T$8-$R$8))^$S$8)))))
      *
      (((2025-$R$8)/($T$8-$R$8))^($S$8-1) * EXP((($S$8-1)/$S$8 * (1 - ((2025-$R$8)/($T$8-$R$8))^$S$8))))
    )
    * MAX(0, 1 - ((A2-2025)/20)^2)
  )
  * MAX(0, MIN(1, (2055-A2)/10))
)</f>
        <v>4.6758512854850352E-2</v>
      </c>
      <c r="M2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" s="97" t="e">
        <f ca="1">Table14[[#This Row],[Diesel]]/Table14[[#This Row],[Grand Total Sales]]</f>
        <v>#NUM!</v>
      </c>
      <c r="O2" s="81" t="e">
        <f t="shared" ref="O2:O32" ca="1" si="5">C2+E2+G2</f>
        <v>#NUM!</v>
      </c>
      <c r="Q2" s="83" t="s">
        <v>182</v>
      </c>
      <c r="R2" s="83">
        <v>2025</v>
      </c>
      <c r="S2" s="84" t="e">
        <f ca="1">VALUE(X2) / EXP( -V2 * EXP( -W2 * (2045 - VALUE(R2)) ) )</f>
        <v>#NUM!</v>
      </c>
      <c r="T2" s="83">
        <v>2036</v>
      </c>
      <c r="U2" s="80">
        <v>1.9E-3</v>
      </c>
      <c r="V2" s="83" t="e">
        <f ca="1">LN( MAX(S2, VALUE(U2)*1.01) / VALUE(U2) )</f>
        <v>#NUM!</v>
      </c>
      <c r="W2" s="84" t="e">
        <f ca="1">-(1/(VALUE(T2)-VALUE(R2))) * LN( LN( MAX(S2, 0.1001)/0.1 ) / V2 )</f>
        <v>#NUM!</v>
      </c>
      <c r="X2" s="91">
        <f>'Estimation SS2045'!U174</f>
        <v>0.76063904990810127</v>
      </c>
      <c r="Y2" s="83" t="e">
        <f ca="1">X2 / EXP(-V2 * EXP(-W2 * (2055 - R2)))</f>
        <v>#NUM!</v>
      </c>
      <c r="Z2" s="101">
        <f>'Estimation 100% ZET 2055'!O161</f>
        <v>0.87248713217441975</v>
      </c>
    </row>
    <row r="3" spans="1:26">
      <c r="A3" s="110">
        <v>2026</v>
      </c>
      <c r="B3" s="96">
        <v>292754.94669882156</v>
      </c>
      <c r="C3" s="97" t="e">
        <f t="shared" ca="1" si="0"/>
        <v>#NUM!</v>
      </c>
      <c r="D3" s="79" t="e">
        <f t="shared" ref="D3:D32" ca="1" si="6">C3*B3</f>
        <v>#NUM!</v>
      </c>
      <c r="E3" s="97">
        <f t="shared" si="1"/>
        <v>0</v>
      </c>
      <c r="F3" s="79">
        <f t="shared" ref="F3:F32" si="7">E3*B3</f>
        <v>0</v>
      </c>
      <c r="G3" s="97">
        <f t="shared" si="2"/>
        <v>0</v>
      </c>
      <c r="H3" s="79">
        <f t="shared" ref="H3:H32" si="8">G3*B3</f>
        <v>0</v>
      </c>
      <c r="I3" s="79">
        <f>Table14[[#This Row],[LNG Share %]]*Table14[[#This Row],[Grand Total Sales]]</f>
        <v>665.31812874202467</v>
      </c>
      <c r="J3" s="80">
        <f t="shared" si="3"/>
        <v>2.272611056599792E-3</v>
      </c>
      <c r="K3" s="98">
        <f>Table14[[#This Row],[CNG Share %]]*Table14[[#This Row],[Grand Total Sales]]</f>
        <v>14362.819272794066</v>
      </c>
      <c r="L3" s="97">
        <f t="shared" si="4"/>
        <v>4.906089353827435E-2</v>
      </c>
      <c r="M3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3" s="97" t="e">
        <f ca="1">Table14[[#This Row],[Diesel]]/Table14[[#This Row],[Grand Total Sales]]</f>
        <v>#NUM!</v>
      </c>
      <c r="O3" s="81" t="e">
        <f t="shared" ca="1" si="5"/>
        <v>#NUM!</v>
      </c>
      <c r="Q3" s="83" t="s">
        <v>327</v>
      </c>
      <c r="R3" s="83">
        <v>2033</v>
      </c>
      <c r="S3" s="84" t="e">
        <f ca="1">VALUE(X3) / EXP( -V3 * EXP( -W3 * (2045 - VALUE(R3)) ) )</f>
        <v>#NUM!</v>
      </c>
      <c r="T3" s="83">
        <v>2042</v>
      </c>
      <c r="U3" s="80">
        <v>1E-4</v>
      </c>
      <c r="V3" s="83" t="e">
        <f ca="1">-LN(U3/S3)</f>
        <v>#NUM!</v>
      </c>
      <c r="W3" s="84" t="e">
        <f ca="1">(LN(-V3 / LN(0.1/S3))) / (T3-R3)</f>
        <v>#NUM!</v>
      </c>
      <c r="X3" s="80">
        <f>'Estimation SS2045'!V174</f>
        <v>4.9342570337904706E-2</v>
      </c>
      <c r="Y3" s="83" t="e">
        <f ca="1">X3 / EXP(-V3 * EXP(-W3 * (2055 - R3)))</f>
        <v>#NUM!</v>
      </c>
      <c r="Z3" s="102">
        <f>'Estimation 100% ZET 2055'!P161</f>
        <v>6.594153636981645E-2</v>
      </c>
    </row>
    <row r="4" spans="1:26">
      <c r="A4" s="110">
        <v>2027</v>
      </c>
      <c r="B4" s="96">
        <v>306587.86764295929</v>
      </c>
      <c r="C4" s="97" t="e">
        <f t="shared" ca="1" si="0"/>
        <v>#NUM!</v>
      </c>
      <c r="D4" s="79" t="e">
        <f t="shared" ca="1" si="6"/>
        <v>#NUM!</v>
      </c>
      <c r="E4" s="97">
        <f t="shared" si="1"/>
        <v>0</v>
      </c>
      <c r="F4" s="79">
        <f t="shared" si="7"/>
        <v>0</v>
      </c>
      <c r="G4" s="97">
        <f t="shared" si="2"/>
        <v>0</v>
      </c>
      <c r="H4" s="79">
        <f t="shared" si="8"/>
        <v>0</v>
      </c>
      <c r="I4" s="79">
        <f>Table14[[#This Row],[LNG Share %]]*Table14[[#This Row],[Grand Total Sales]]</f>
        <v>697.93479190777612</v>
      </c>
      <c r="J4" s="80">
        <f t="shared" si="3"/>
        <v>2.2764592652458277E-3</v>
      </c>
      <c r="K4" s="98">
        <f>Table14[[#This Row],[CNG Share %]]*Table14[[#This Row],[Grand Total Sales]]</f>
        <v>15684.75938404155</v>
      </c>
      <c r="L4" s="97">
        <f t="shared" si="4"/>
        <v>5.115910001470584E-2</v>
      </c>
      <c r="M4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4" s="97" t="e">
        <f ca="1">Table14[[#This Row],[Diesel]]/Table14[[#This Row],[Grand Total Sales]]</f>
        <v>#NUM!</v>
      </c>
      <c r="O4" s="81" t="e">
        <f t="shared" ca="1" si="5"/>
        <v>#NUM!</v>
      </c>
      <c r="Q4" s="83" t="s">
        <v>526</v>
      </c>
      <c r="R4" s="83">
        <v>2038</v>
      </c>
      <c r="S4" s="84" t="e">
        <f ca="1" xml:space="preserve"> X4 / EXP( -V4 * EXP( -W4 * (2045 - R4) ) )</f>
        <v>#NUM!</v>
      </c>
      <c r="T4" s="83">
        <v>2051</v>
      </c>
      <c r="U4" s="80">
        <v>1E-4</v>
      </c>
      <c r="V4" s="83" t="e">
        <f ca="1">LN(MAX(S4, U4 * 1.001) / U4)</f>
        <v>#NUM!</v>
      </c>
      <c r="W4" s="84" t="e">
        <f ca="1" xml:space="preserve"> -(1 / (T4 - R4)) * LN( LN( MAX(S4, 0.1001) / 0.1 ) / V4 )</f>
        <v>#NUM!</v>
      </c>
      <c r="X4" s="80">
        <f>'Estimation SS2045'!W174</f>
        <v>4.0152693340873742E-2</v>
      </c>
      <c r="Y4" s="83" t="e">
        <f ca="1">X4 / EXP(-V4 * EXP(-W4 * (2055 - R4)))</f>
        <v>#NUM!</v>
      </c>
      <c r="Z4" s="102">
        <f>'Estimation 100% ZET 2055'!Q161</f>
        <v>6.1571331455763816E-2</v>
      </c>
    </row>
    <row r="5" spans="1:26">
      <c r="A5" s="110">
        <v>2028</v>
      </c>
      <c r="B5" s="96">
        <v>311586.67970932607</v>
      </c>
      <c r="C5" s="97" t="e">
        <f t="shared" ca="1" si="0"/>
        <v>#NUM!</v>
      </c>
      <c r="D5" s="79" t="e">
        <f t="shared" ca="1" si="6"/>
        <v>#NUM!</v>
      </c>
      <c r="E5" s="97">
        <f t="shared" si="1"/>
        <v>0</v>
      </c>
      <c r="F5" s="79">
        <f t="shared" si="7"/>
        <v>0</v>
      </c>
      <c r="G5" s="97">
        <f t="shared" si="2"/>
        <v>0</v>
      </c>
      <c r="H5" s="79">
        <f t="shared" si="8"/>
        <v>0</v>
      </c>
      <c r="I5" s="79">
        <f>Table14[[#This Row],[LNG Share %]]*Table14[[#This Row],[Grand Total Sales]]</f>
        <v>713.1246600003484</v>
      </c>
      <c r="J5" s="80">
        <f t="shared" si="3"/>
        <v>2.2886878882807517E-3</v>
      </c>
      <c r="K5" s="98">
        <f>Table14[[#This Row],[CNG Share %]]*Table14[[#This Row],[Grand Total Sales]]</f>
        <v>16528.491857963454</v>
      </c>
      <c r="L5" s="97">
        <f t="shared" si="4"/>
        <v>5.3046208115772486E-2</v>
      </c>
      <c r="M5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5" s="97" t="e">
        <f ca="1">Table14[[#This Row],[Diesel]]/Table14[[#This Row],[Grand Total Sales]]</f>
        <v>#NUM!</v>
      </c>
      <c r="O5" s="81" t="e">
        <f t="shared" ca="1" si="5"/>
        <v>#NUM!</v>
      </c>
    </row>
    <row r="6" spans="1:26" ht="31.2">
      <c r="A6" s="110">
        <v>2029</v>
      </c>
      <c r="B6" s="96">
        <v>340622.21301305306</v>
      </c>
      <c r="C6" s="97" t="e">
        <f t="shared" ca="1" si="0"/>
        <v>#NUM!</v>
      </c>
      <c r="D6" s="79" t="e">
        <f t="shared" ca="1" si="6"/>
        <v>#NUM!</v>
      </c>
      <c r="E6" s="97">
        <f t="shared" si="1"/>
        <v>0</v>
      </c>
      <c r="F6" s="79">
        <f t="shared" si="7"/>
        <v>0</v>
      </c>
      <c r="G6" s="97">
        <f t="shared" si="2"/>
        <v>0</v>
      </c>
      <c r="H6" s="79">
        <f t="shared" si="8"/>
        <v>0</v>
      </c>
      <c r="I6" s="79">
        <f>Table14[[#This Row],[LNG Share %]]*Table14[[#This Row],[Grand Total Sales]]</f>
        <v>788.79258096229034</v>
      </c>
      <c r="J6" s="80">
        <f t="shared" si="3"/>
        <v>2.3157402859456579E-3</v>
      </c>
      <c r="K6" s="98">
        <f>Table14[[#This Row],[CNG Share %]]*Table14[[#This Row],[Grand Total Sales]]</f>
        <v>18637.430923860698</v>
      </c>
      <c r="L6" s="97">
        <f t="shared" si="4"/>
        <v>5.471584122185974E-2</v>
      </c>
      <c r="M6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6" s="97" t="e">
        <f ca="1">Table14[[#This Row],[Diesel]]/Table14[[#This Row],[Grand Total Sales]]</f>
        <v>#NUM!</v>
      </c>
      <c r="O6" s="81" t="e">
        <f t="shared" ca="1" si="5"/>
        <v>#NUM!</v>
      </c>
      <c r="Q6" s="76" t="s">
        <v>516</v>
      </c>
      <c r="R6" s="76" t="s">
        <v>517</v>
      </c>
      <c r="S6" s="76" t="s">
        <v>527</v>
      </c>
      <c r="T6" s="76" t="s">
        <v>528</v>
      </c>
      <c r="U6" s="76" t="s">
        <v>529</v>
      </c>
      <c r="V6" s="76" t="s">
        <v>530</v>
      </c>
      <c r="W6" s="76" t="s">
        <v>531</v>
      </c>
    </row>
    <row r="7" spans="1:26">
      <c r="A7" s="110">
        <v>2030</v>
      </c>
      <c r="B7" s="96">
        <v>349981.35720283689</v>
      </c>
      <c r="C7" s="97" t="e">
        <f t="shared" ca="1" si="0"/>
        <v>#NUM!</v>
      </c>
      <c r="D7" s="79" t="e">
        <f t="shared" ca="1" si="6"/>
        <v>#NUM!</v>
      </c>
      <c r="E7" s="97">
        <f t="shared" si="1"/>
        <v>0</v>
      </c>
      <c r="F7" s="79">
        <f t="shared" si="7"/>
        <v>0</v>
      </c>
      <c r="G7" s="97">
        <f t="shared" si="2"/>
        <v>0</v>
      </c>
      <c r="H7" s="79">
        <f t="shared" si="8"/>
        <v>0</v>
      </c>
      <c r="I7" s="79">
        <f>Table14[[#This Row],[LNG Share %]]*Table14[[#This Row],[Grand Total Sales]]</f>
        <v>827.29269733532749</v>
      </c>
      <c r="J7" s="80">
        <f t="shared" si="3"/>
        <v>2.3638193301132259E-3</v>
      </c>
      <c r="K7" s="98">
        <f>Table14[[#This Row],[CNG Share %]]*Table14[[#This Row],[Grand Total Sales]]</f>
        <v>19655.723135042652</v>
      </c>
      <c r="L7" s="97">
        <f t="shared" si="4"/>
        <v>5.6162200444439342E-2</v>
      </c>
      <c r="M7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7" s="97" t="e">
        <f ca="1">Table14[[#This Row],[Diesel]]/Table14[[#This Row],[Grand Total Sales]]</f>
        <v>#NUM!</v>
      </c>
      <c r="O7" s="81" t="e">
        <f t="shared" ca="1" si="5"/>
        <v>#NUM!</v>
      </c>
      <c r="Q7" s="83" t="s">
        <v>180</v>
      </c>
      <c r="R7" s="83">
        <v>2024</v>
      </c>
      <c r="S7" s="83">
        <v>4</v>
      </c>
      <c r="T7" s="83">
        <v>2045</v>
      </c>
      <c r="U7" s="80">
        <f>'Estimation SS2045'!T174</f>
        <v>4.8070125830623495E-3</v>
      </c>
      <c r="V7" s="83">
        <v>607</v>
      </c>
      <c r="W7" s="100">
        <f>V7 / VLOOKUP(2025, A:B, 2, FALSE)</f>
        <v>2.2705933842315333E-3</v>
      </c>
    </row>
    <row r="8" spans="1:26">
      <c r="A8" s="110">
        <v>2031</v>
      </c>
      <c r="B8" s="96">
        <v>357120.10231487907</v>
      </c>
      <c r="C8" s="97" t="e">
        <f t="shared" ca="1" si="0"/>
        <v>#NUM!</v>
      </c>
      <c r="D8" s="79" t="e">
        <f t="shared" ca="1" si="6"/>
        <v>#NUM!</v>
      </c>
      <c r="E8" s="97">
        <f t="shared" si="1"/>
        <v>0</v>
      </c>
      <c r="F8" s="79">
        <f t="shared" si="7"/>
        <v>0</v>
      </c>
      <c r="G8" s="97">
        <f t="shared" si="2"/>
        <v>0</v>
      </c>
      <c r="H8" s="79">
        <f t="shared" si="8"/>
        <v>0</v>
      </c>
      <c r="I8" s="79">
        <f>Table14[[#This Row],[LNG Share %]]*Table14[[#This Row],[Grand Total Sales]]</f>
        <v>870.89867616943809</v>
      </c>
      <c r="J8" s="80">
        <f t="shared" si="3"/>
        <v>2.4386716696265711E-3</v>
      </c>
      <c r="K8" s="98">
        <f>Table14[[#This Row],[CNG Share %]]*Table14[[#This Row],[Grand Total Sales]]</f>
        <v>20491.583716406367</v>
      </c>
      <c r="L8" s="97">
        <f t="shared" si="4"/>
        <v>5.7380090293373001E-2</v>
      </c>
      <c r="M8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8" s="97" t="e">
        <f ca="1">Table14[[#This Row],[Diesel]]/Table14[[#This Row],[Grand Total Sales]]</f>
        <v>#NUM!</v>
      </c>
      <c r="O8" s="81" t="e">
        <f t="shared" ca="1" si="5"/>
        <v>#NUM!</v>
      </c>
      <c r="Q8" s="83" t="s">
        <v>179</v>
      </c>
      <c r="R8" s="83">
        <v>2016</v>
      </c>
      <c r="S8" s="83">
        <v>2</v>
      </c>
      <c r="T8" s="83">
        <v>2045</v>
      </c>
      <c r="U8" s="91">
        <f>'Estimation SS2045'!S174</f>
        <v>4.9059804891842217E-2</v>
      </c>
      <c r="V8" s="83">
        <v>12500</v>
      </c>
      <c r="W8" s="100">
        <f>V8 / VLOOKUP(2025, A:B, 2, FALSE)</f>
        <v>4.6758512854850352E-2</v>
      </c>
      <c r="Y8" s="82"/>
    </row>
    <row r="9" spans="1:26">
      <c r="A9" s="110">
        <v>2032</v>
      </c>
      <c r="B9" s="96">
        <v>393736.80271614628</v>
      </c>
      <c r="C9" s="97" t="e">
        <f t="shared" ca="1" si="0"/>
        <v>#NUM!</v>
      </c>
      <c r="D9" s="79" t="e">
        <f t="shared" ca="1" si="6"/>
        <v>#NUM!</v>
      </c>
      <c r="E9" s="97">
        <f t="shared" si="1"/>
        <v>0</v>
      </c>
      <c r="F9" s="79">
        <f t="shared" si="7"/>
        <v>0</v>
      </c>
      <c r="G9" s="97">
        <f t="shared" si="2"/>
        <v>0</v>
      </c>
      <c r="H9" s="79">
        <f t="shared" si="8"/>
        <v>0</v>
      </c>
      <c r="I9" s="79">
        <f>Table14[[#This Row],[LNG Share %]]*Table14[[#This Row],[Grand Total Sales]]</f>
        <v>1002.1685627049702</v>
      </c>
      <c r="J9" s="80">
        <f t="shared" si="3"/>
        <v>2.5452753102875579E-3</v>
      </c>
      <c r="K9" s="98">
        <f>Table14[[#This Row],[CNG Share %]]*Table14[[#This Row],[Grand Total Sales]]</f>
        <v>22980.424741897623</v>
      </c>
      <c r="L9" s="97">
        <f t="shared" si="4"/>
        <v>5.8364939683996794E-2</v>
      </c>
      <c r="M9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9" s="97" t="e">
        <f ca="1">Table14[[#This Row],[Diesel]]/Table14[[#This Row],[Grand Total Sales]]</f>
        <v>#NUM!</v>
      </c>
      <c r="O9" s="81" t="e">
        <f t="shared" ca="1" si="5"/>
        <v>#NUM!</v>
      </c>
      <c r="Y9" s="82"/>
    </row>
    <row r="10" spans="1:26">
      <c r="A10" s="110">
        <v>2033</v>
      </c>
      <c r="B10" s="96">
        <v>419873.04375717574</v>
      </c>
      <c r="C10" s="97" t="e">
        <f t="shared" ca="1" si="0"/>
        <v>#NUM!</v>
      </c>
      <c r="D10" s="79" t="e">
        <f t="shared" ca="1" si="6"/>
        <v>#NUM!</v>
      </c>
      <c r="E10" s="97" t="e">
        <f t="shared" ca="1" si="1"/>
        <v>#NUM!</v>
      </c>
      <c r="F10" s="79" t="e">
        <f t="shared" ca="1" si="7"/>
        <v>#NUM!</v>
      </c>
      <c r="G10" s="97">
        <f t="shared" si="2"/>
        <v>0</v>
      </c>
      <c r="H10" s="79">
        <f t="shared" si="8"/>
        <v>0</v>
      </c>
      <c r="I10" s="79">
        <f>Table14[[#This Row],[LNG Share %]]*Table14[[#This Row],[Grand Total Sales]]</f>
        <v>1128.3763002857227</v>
      </c>
      <c r="J10" s="80">
        <f t="shared" si="3"/>
        <v>2.6874225841902206E-3</v>
      </c>
      <c r="K10" s="98">
        <f>Table14[[#This Row],[CNG Share %]]*Table14[[#This Row],[Grand Total Sales]]</f>
        <v>24819.878896374001</v>
      </c>
      <c r="L10" s="97">
        <f t="shared" si="4"/>
        <v>5.9112818184936938E-2</v>
      </c>
      <c r="M10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0" s="97" t="e">
        <f ca="1">Table14[[#This Row],[Diesel]]/Table14[[#This Row],[Grand Total Sales]]</f>
        <v>#NUM!</v>
      </c>
      <c r="O10" s="81" t="e">
        <f t="shared" ca="1" si="5"/>
        <v>#NUM!</v>
      </c>
      <c r="Y10" s="82"/>
    </row>
    <row r="11" spans="1:26">
      <c r="A11" s="110">
        <v>2034</v>
      </c>
      <c r="B11" s="96">
        <v>435077.27002177993</v>
      </c>
      <c r="C11" s="97" t="e">
        <f t="shared" ca="1" si="0"/>
        <v>#NUM!</v>
      </c>
      <c r="D11" s="79" t="e">
        <f t="shared" ca="1" si="6"/>
        <v>#NUM!</v>
      </c>
      <c r="E11" s="97" t="e">
        <f t="shared" ca="1" si="1"/>
        <v>#NUM!</v>
      </c>
      <c r="F11" s="79" t="e">
        <f t="shared" ca="1" si="7"/>
        <v>#NUM!</v>
      </c>
      <c r="G11" s="97">
        <f t="shared" si="2"/>
        <v>0</v>
      </c>
      <c r="H11" s="79">
        <f t="shared" si="8"/>
        <v>0</v>
      </c>
      <c r="I11" s="79">
        <f>Table14[[#This Row],[LNG Share %]]*Table14[[#This Row],[Grand Total Sales]]</f>
        <v>1247.4543828273315</v>
      </c>
      <c r="J11" s="80">
        <f t="shared" si="3"/>
        <v>2.8672019174085651E-3</v>
      </c>
      <c r="K11" s="98">
        <f>Table14[[#This Row],[CNG Share %]]*Table14[[#This Row],[Grand Total Sales]]</f>
        <v>25939.501515793367</v>
      </c>
      <c r="L11" s="97">
        <f t="shared" si="4"/>
        <v>5.9620447454069109E-2</v>
      </c>
      <c r="M11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1" s="97" t="e">
        <f ca="1">Table14[[#This Row],[Diesel]]/Table14[[#This Row],[Grand Total Sales]]</f>
        <v>#NUM!</v>
      </c>
      <c r="O11" s="81" t="e">
        <f t="shared" ca="1" si="5"/>
        <v>#NUM!</v>
      </c>
      <c r="Y11" s="82"/>
    </row>
    <row r="12" spans="1:26">
      <c r="A12" s="110">
        <v>2035</v>
      </c>
      <c r="B12" s="96">
        <v>459488.51042355108</v>
      </c>
      <c r="C12" s="97" t="e">
        <f t="shared" ca="1" si="0"/>
        <v>#NUM!</v>
      </c>
      <c r="D12" s="79" t="e">
        <f t="shared" ca="1" si="6"/>
        <v>#NUM!</v>
      </c>
      <c r="E12" s="97" t="e">
        <f t="shared" ca="1" si="1"/>
        <v>#NUM!</v>
      </c>
      <c r="F12" s="79" t="e">
        <f t="shared" ca="1" si="7"/>
        <v>#NUM!</v>
      </c>
      <c r="G12" s="97">
        <f t="shared" si="2"/>
        <v>0</v>
      </c>
      <c r="H12" s="79">
        <f t="shared" si="8"/>
        <v>0</v>
      </c>
      <c r="I12" s="79">
        <f>Table14[[#This Row],[LNG Share %]]*Table14[[#This Row],[Grand Total Sales]]</f>
        <v>1417.2456263235715</v>
      </c>
      <c r="J12" s="80">
        <f t="shared" si="3"/>
        <v>3.0843983999016018E-3</v>
      </c>
      <c r="K12" s="98">
        <f>Table14[[#This Row],[CNG Share %]]*Table14[[#This Row],[Grand Total Sales]]</f>
        <v>27516.564954276422</v>
      </c>
      <c r="L12" s="97">
        <f t="shared" si="4"/>
        <v>5.9885207856257339E-2</v>
      </c>
      <c r="M12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2" s="97" t="e">
        <f ca="1">Table14[[#This Row],[Diesel]]/Table14[[#This Row],[Grand Total Sales]]</f>
        <v>#NUM!</v>
      </c>
      <c r="O12" s="81" t="e">
        <f t="shared" ca="1" si="5"/>
        <v>#NUM!</v>
      </c>
      <c r="Y12" s="82"/>
    </row>
    <row r="13" spans="1:26">
      <c r="A13" s="110">
        <v>2036</v>
      </c>
      <c r="B13" s="96">
        <v>480530.91758130846</v>
      </c>
      <c r="C13" s="97" t="e">
        <f t="shared" ca="1" si="0"/>
        <v>#NUM!</v>
      </c>
      <c r="D13" s="79" t="e">
        <f t="shared" ca="1" si="6"/>
        <v>#NUM!</v>
      </c>
      <c r="E13" s="97" t="e">
        <f t="shared" ca="1" si="1"/>
        <v>#NUM!</v>
      </c>
      <c r="F13" s="79" t="e">
        <f t="shared" ca="1" si="7"/>
        <v>#NUM!</v>
      </c>
      <c r="G13" s="97">
        <f t="shared" si="2"/>
        <v>0</v>
      </c>
      <c r="H13" s="79">
        <f t="shared" si="8"/>
        <v>0</v>
      </c>
      <c r="I13" s="79">
        <f>Table14[[#This Row],[LNG Share %]]*Table14[[#This Row],[Grand Total Sales]]</f>
        <v>1602.9815927284085</v>
      </c>
      <c r="J13" s="80">
        <f t="shared" si="3"/>
        <v>3.3358552677459621E-3</v>
      </c>
      <c r="K13" s="98">
        <f>Table14[[#This Row],[CNG Share %]]*Table14[[#This Row],[Grand Total Sales]]</f>
        <v>28786.272037136558</v>
      </c>
      <c r="L13" s="97">
        <f t="shared" si="4"/>
        <v>5.9905140301957288E-2</v>
      </c>
      <c r="M13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3" s="97" t="e">
        <f ca="1">Table14[[#This Row],[Diesel]]/Table14[[#This Row],[Grand Total Sales]]</f>
        <v>#NUM!</v>
      </c>
      <c r="O13" s="81" t="e">
        <f t="shared" ca="1" si="5"/>
        <v>#NUM!</v>
      </c>
      <c r="Y13" s="82"/>
    </row>
    <row r="14" spans="1:26">
      <c r="A14" s="110">
        <v>2037</v>
      </c>
      <c r="B14" s="96">
        <v>499921.0156190925</v>
      </c>
      <c r="C14" s="97" t="e">
        <f t="shared" ca="1" si="0"/>
        <v>#NUM!</v>
      </c>
      <c r="D14" s="79" t="e">
        <f t="shared" ca="1" si="6"/>
        <v>#NUM!</v>
      </c>
      <c r="E14" s="97" t="e">
        <f t="shared" ca="1" si="1"/>
        <v>#NUM!</v>
      </c>
      <c r="F14" s="79" t="e">
        <f t="shared" ca="1" si="7"/>
        <v>#NUM!</v>
      </c>
      <c r="G14" s="97">
        <f t="shared" si="2"/>
        <v>0</v>
      </c>
      <c r="H14" s="79">
        <f t="shared" si="8"/>
        <v>0</v>
      </c>
      <c r="I14" s="79">
        <f>Table14[[#This Row],[LNG Share %]]*Table14[[#This Row],[Grand Total Sales]]</f>
        <v>1807.1470037612651</v>
      </c>
      <c r="J14" s="80">
        <f t="shared" si="3"/>
        <v>3.6148650432775448E-3</v>
      </c>
      <c r="K14" s="98">
        <f>Table14[[#This Row],[CNG Share %]]*Table14[[#This Row],[Grand Total Sales]]</f>
        <v>29834.757990563445</v>
      </c>
      <c r="L14" s="97">
        <f t="shared" si="4"/>
        <v>5.9678943389920622E-2</v>
      </c>
      <c r="M14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4" s="97" t="e">
        <f ca="1">Table14[[#This Row],[Diesel]]/Table14[[#This Row],[Grand Total Sales]]</f>
        <v>#NUM!</v>
      </c>
      <c r="O14" s="81" t="e">
        <f t="shared" ca="1" si="5"/>
        <v>#NUM!</v>
      </c>
      <c r="Y14" s="82"/>
    </row>
    <row r="15" spans="1:26">
      <c r="A15" s="110">
        <v>2038</v>
      </c>
      <c r="B15" s="96">
        <v>520453.58811327023</v>
      </c>
      <c r="C15" s="97" t="e">
        <f t="shared" ca="1" si="0"/>
        <v>#NUM!</v>
      </c>
      <c r="D15" s="79" t="e">
        <f t="shared" ca="1" si="6"/>
        <v>#NUM!</v>
      </c>
      <c r="E15" s="97" t="e">
        <f t="shared" ca="1" si="1"/>
        <v>#NUM!</v>
      </c>
      <c r="F15" s="79" t="e">
        <f t="shared" ca="1" si="7"/>
        <v>#NUM!</v>
      </c>
      <c r="G15" s="97" t="e">
        <f t="shared" ca="1" si="2"/>
        <v>#NUM!</v>
      </c>
      <c r="H15" s="79" t="e">
        <f t="shared" ca="1" si="8"/>
        <v>#NUM!</v>
      </c>
      <c r="I15" s="79">
        <f>Table14[[#This Row],[LNG Share %]]*Table14[[#This Row],[Grand Total Sales]]</f>
        <v>2035.3312936665209</v>
      </c>
      <c r="J15" s="80">
        <f t="shared" si="3"/>
        <v>3.9106874083526472E-3</v>
      </c>
      <c r="K15" s="98">
        <f>Table14[[#This Row],[CNG Share %]]*Table14[[#This Row],[Grand Total Sales]]</f>
        <v>30813.957431796025</v>
      </c>
      <c r="L15" s="97">
        <f t="shared" si="4"/>
        <v>5.9205965979601913E-2</v>
      </c>
      <c r="M15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5" s="97" t="e">
        <f ca="1">Table14[[#This Row],[Diesel]]/Table14[[#This Row],[Grand Total Sales]]</f>
        <v>#NUM!</v>
      </c>
      <c r="O15" s="81" t="e">
        <f t="shared" ca="1" si="5"/>
        <v>#NUM!</v>
      </c>
      <c r="Y15" s="82"/>
    </row>
    <row r="16" spans="1:26">
      <c r="A16" s="110">
        <v>2039</v>
      </c>
      <c r="B16" s="96">
        <v>544897.21587223513</v>
      </c>
      <c r="C16" s="97" t="e">
        <f t="shared" ca="1" si="0"/>
        <v>#NUM!</v>
      </c>
      <c r="D16" s="79" t="e">
        <f t="shared" ca="1" si="6"/>
        <v>#NUM!</v>
      </c>
      <c r="E16" s="97" t="e">
        <f t="shared" ca="1" si="1"/>
        <v>#NUM!</v>
      </c>
      <c r="F16" s="79" t="e">
        <f t="shared" ca="1" si="7"/>
        <v>#NUM!</v>
      </c>
      <c r="G16" s="97" t="e">
        <f t="shared" ca="1" si="2"/>
        <v>#NUM!</v>
      </c>
      <c r="H16" s="79" t="e">
        <f t="shared" ca="1" si="8"/>
        <v>#NUM!</v>
      </c>
      <c r="I16" s="79">
        <f>Table14[[#This Row],[LNG Share %]]*Table14[[#This Row],[Grand Total Sales]]</f>
        <v>2293.099516454155</v>
      </c>
      <c r="J16" s="80">
        <f t="shared" si="3"/>
        <v>4.2083157147050458E-3</v>
      </c>
      <c r="K16" s="98">
        <f>Table14[[#This Row],[CNG Share %]]*Table14[[#This Row],[Grand Total Sales]]</f>
        <v>31868.965018070317</v>
      </c>
      <c r="L16" s="97">
        <f t="shared" si="4"/>
        <v>5.8486195358984541E-2</v>
      </c>
      <c r="M16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6" s="97" t="e">
        <f ca="1">Table14[[#This Row],[Diesel]]/Table14[[#This Row],[Grand Total Sales]]</f>
        <v>#NUM!</v>
      </c>
      <c r="O16" s="81" t="e">
        <f t="shared" ca="1" si="5"/>
        <v>#NUM!</v>
      </c>
      <c r="Y16" s="82"/>
    </row>
    <row r="17" spans="1:25">
      <c r="A17" s="110">
        <v>2040</v>
      </c>
      <c r="B17" s="96">
        <v>570440.92983826029</v>
      </c>
      <c r="C17" s="97" t="e">
        <f t="shared" ca="1" si="0"/>
        <v>#NUM!</v>
      </c>
      <c r="D17" s="79" t="e">
        <f t="shared" ca="1" si="6"/>
        <v>#NUM!</v>
      </c>
      <c r="E17" s="97" t="e">
        <f t="shared" ca="1" si="1"/>
        <v>#NUM!</v>
      </c>
      <c r="F17" s="79" t="e">
        <f t="shared" ca="1" si="7"/>
        <v>#NUM!</v>
      </c>
      <c r="G17" s="97" t="e">
        <f t="shared" ca="1" si="2"/>
        <v>#NUM!</v>
      </c>
      <c r="H17" s="79" t="e">
        <f t="shared" ca="1" si="8"/>
        <v>#NUM!</v>
      </c>
      <c r="I17" s="79">
        <f>Table14[[#This Row],[LNG Share %]]*Table14[[#This Row],[Grand Total Sales]]</f>
        <v>2560.4969559723609</v>
      </c>
      <c r="J17" s="80">
        <f t="shared" si="3"/>
        <v>4.4886276948927035E-3</v>
      </c>
      <c r="K17" s="98">
        <f>Table14[[#This Row],[CNG Share %]]*Table14[[#This Row],[Grand Total Sales]]</f>
        <v>32811.899880918209</v>
      </c>
      <c r="L17" s="97">
        <f t="shared" si="4"/>
        <v>5.75202412109901E-2</v>
      </c>
      <c r="M17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7" s="97" t="e">
        <f ca="1">Table14[[#This Row],[Diesel]]/Table14[[#This Row],[Grand Total Sales]]</f>
        <v>#NUM!</v>
      </c>
      <c r="O17" s="81" t="e">
        <f t="shared" ca="1" si="5"/>
        <v>#NUM!</v>
      </c>
      <c r="Y17" s="82"/>
    </row>
    <row r="18" spans="1:25">
      <c r="A18" s="110">
        <v>2041</v>
      </c>
      <c r="B18" s="96">
        <v>599003.52173783188</v>
      </c>
      <c r="C18" s="97" t="e">
        <f t="shared" ca="1" si="0"/>
        <v>#NUM!</v>
      </c>
      <c r="D18" s="79" t="e">
        <f t="shared" ca="1" si="6"/>
        <v>#NUM!</v>
      </c>
      <c r="E18" s="97" t="e">
        <f t="shared" ca="1" si="1"/>
        <v>#NUM!</v>
      </c>
      <c r="F18" s="79" t="e">
        <f t="shared" ca="1" si="7"/>
        <v>#NUM!</v>
      </c>
      <c r="G18" s="97" t="e">
        <f t="shared" ca="1" si="2"/>
        <v>#NUM!</v>
      </c>
      <c r="H18" s="79" t="e">
        <f t="shared" ca="1" si="8"/>
        <v>#NUM!</v>
      </c>
      <c r="I18" s="79">
        <f>Table14[[#This Row],[LNG Share %]]*Table14[[#This Row],[Grand Total Sales]]</f>
        <v>2832.7169644130622</v>
      </c>
      <c r="J18" s="80">
        <f t="shared" si="3"/>
        <v>4.7290489314566466E-3</v>
      </c>
      <c r="K18" s="98">
        <f>Table14[[#This Row],[CNG Share %]]*Table14[[#This Row],[Grand Total Sales]]</f>
        <v>33729.478360653418</v>
      </c>
      <c r="L18" s="97">
        <f t="shared" si="4"/>
        <v>5.6309315616037268E-2</v>
      </c>
      <c r="M18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8" s="97" t="e">
        <f ca="1">Table14[[#This Row],[Diesel]]/Table14[[#This Row],[Grand Total Sales]]</f>
        <v>#NUM!</v>
      </c>
      <c r="O18" s="81" t="e">
        <f t="shared" ca="1" si="5"/>
        <v>#NUM!</v>
      </c>
      <c r="Y18" s="82"/>
    </row>
    <row r="19" spans="1:25">
      <c r="A19" s="110">
        <v>2042</v>
      </c>
      <c r="B19" s="96">
        <v>627352.14783028059</v>
      </c>
      <c r="C19" s="97" t="e">
        <f t="shared" ca="1" si="0"/>
        <v>#NUM!</v>
      </c>
      <c r="D19" s="79" t="e">
        <f t="shared" ca="1" si="6"/>
        <v>#NUM!</v>
      </c>
      <c r="E19" s="97" t="e">
        <f t="shared" ca="1" si="1"/>
        <v>#NUM!</v>
      </c>
      <c r="F19" s="79" t="e">
        <f t="shared" ca="1" si="7"/>
        <v>#NUM!</v>
      </c>
      <c r="G19" s="97" t="e">
        <f t="shared" ca="1" si="2"/>
        <v>#NUM!</v>
      </c>
      <c r="H19" s="79" t="e">
        <f t="shared" ca="1" si="8"/>
        <v>#NUM!</v>
      </c>
      <c r="I19" s="79">
        <f>Table14[[#This Row],[LNG Share %]]*Table14[[#This Row],[Grand Total Sales]]</f>
        <v>3077.0496170812025</v>
      </c>
      <c r="J19" s="80">
        <f t="shared" si="3"/>
        <v>4.9048204070445706E-3</v>
      </c>
      <c r="K19" s="98">
        <f>Table14[[#This Row],[CNG Share %]]*Table14[[#This Row],[Grand Total Sales]]</f>
        <v>34413.533411264958</v>
      </c>
      <c r="L19" s="97">
        <f t="shared" si="4"/>
        <v>5.4855209359345264E-2</v>
      </c>
      <c r="M19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19" s="97" t="e">
        <f ca="1">Table14[[#This Row],[Diesel]]/Table14[[#This Row],[Grand Total Sales]]</f>
        <v>#NUM!</v>
      </c>
      <c r="O19" s="81" t="e">
        <f t="shared" ca="1" si="5"/>
        <v>#NUM!</v>
      </c>
      <c r="Y19" s="82"/>
    </row>
    <row r="20" spans="1:25">
      <c r="A20" s="110">
        <v>2043</v>
      </c>
      <c r="B20" s="96">
        <v>653885.95227445662</v>
      </c>
      <c r="C20" s="97" t="e">
        <f t="shared" ca="1" si="0"/>
        <v>#NUM!</v>
      </c>
      <c r="D20" s="79" t="e">
        <f t="shared" ca="1" si="6"/>
        <v>#NUM!</v>
      </c>
      <c r="E20" s="97" t="e">
        <f t="shared" ca="1" si="1"/>
        <v>#NUM!</v>
      </c>
      <c r="F20" s="79" t="e">
        <f t="shared" ca="1" si="7"/>
        <v>#NUM!</v>
      </c>
      <c r="G20" s="97" t="e">
        <f t="shared" ca="1" si="2"/>
        <v>#NUM!</v>
      </c>
      <c r="H20" s="79" t="e">
        <f t="shared" ca="1" si="8"/>
        <v>#NUM!</v>
      </c>
      <c r="I20" s="79">
        <f>Table14[[#This Row],[LNG Share %]]*Table14[[#This Row],[Grand Total Sales]]</f>
        <v>3263.4711621700171</v>
      </c>
      <c r="J20" s="80">
        <f t="shared" si="3"/>
        <v>4.9908874029461255E-3</v>
      </c>
      <c r="K20" s="98">
        <f>Table14[[#This Row],[CNG Share %]]*Table14[[#This Row],[Grand Total Sales]]</f>
        <v>34760.750397382879</v>
      </c>
      <c r="L20" s="97">
        <f t="shared" si="4"/>
        <v>5.3160264838955723E-2</v>
      </c>
      <c r="M20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0" s="97" t="e">
        <f ca="1">Table14[[#This Row],[Diesel]]/Table14[[#This Row],[Grand Total Sales]]</f>
        <v>#NUM!</v>
      </c>
      <c r="O20" s="81" t="e">
        <f t="shared" ca="1" si="5"/>
        <v>#NUM!</v>
      </c>
      <c r="Y20" s="82"/>
    </row>
    <row r="21" spans="1:25">
      <c r="A21" s="110">
        <v>2044</v>
      </c>
      <c r="B21" s="96">
        <v>679845.65758863045</v>
      </c>
      <c r="C21" s="97" t="e">
        <f t="shared" ca="1" si="0"/>
        <v>#NUM!</v>
      </c>
      <c r="D21" s="79" t="e">
        <f t="shared" ca="1" si="6"/>
        <v>#NUM!</v>
      </c>
      <c r="E21" s="97" t="e">
        <f t="shared" ca="1" si="1"/>
        <v>#NUM!</v>
      </c>
      <c r="F21" s="79" t="e">
        <f t="shared" ca="1" si="7"/>
        <v>#NUM!</v>
      </c>
      <c r="G21" s="97" t="e">
        <f t="shared" ca="1" si="2"/>
        <v>#NUM!</v>
      </c>
      <c r="H21" s="79" t="e">
        <f t="shared" ca="1" si="8"/>
        <v>#NUM!</v>
      </c>
      <c r="I21" s="79">
        <f>Table14[[#This Row],[LNG Share %]]*Table14[[#This Row],[Grand Total Sales]]</f>
        <v>3374.9690562111618</v>
      </c>
      <c r="J21" s="80">
        <f t="shared" si="3"/>
        <v>4.9643165599997556E-3</v>
      </c>
      <c r="K21" s="98">
        <f>Table14[[#This Row],[CNG Share %]]*Table14[[#This Row],[Grand Total Sales]]</f>
        <v>34826.688655795602</v>
      </c>
      <c r="L21" s="97">
        <f t="shared" si="4"/>
        <v>5.1227345893954321E-2</v>
      </c>
      <c r="M21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1" s="97" t="e">
        <f ca="1">Table14[[#This Row],[Diesel]]/Table14[[#This Row],[Grand Total Sales]]</f>
        <v>#NUM!</v>
      </c>
      <c r="O21" s="81" t="e">
        <f t="shared" ca="1" si="5"/>
        <v>#NUM!</v>
      </c>
      <c r="Y21" s="82"/>
    </row>
    <row r="22" spans="1:25">
      <c r="A22" s="110">
        <v>2045</v>
      </c>
      <c r="B22" s="103">
        <v>707151.92480868869</v>
      </c>
      <c r="C22" s="104" t="e">
        <f t="shared" ca="1" si="0"/>
        <v>#NUM!</v>
      </c>
      <c r="D22" s="105" t="e">
        <f t="shared" ca="1" si="6"/>
        <v>#NUM!</v>
      </c>
      <c r="E22" s="104" t="e">
        <f t="shared" ca="1" si="1"/>
        <v>#NUM!</v>
      </c>
      <c r="F22" s="105" t="e">
        <f t="shared" ca="1" si="7"/>
        <v>#NUM!</v>
      </c>
      <c r="G22" s="104" t="e">
        <f t="shared" ca="1" si="2"/>
        <v>#NUM!</v>
      </c>
      <c r="H22" s="105" t="e">
        <f t="shared" ca="1" si="8"/>
        <v>#NUM!</v>
      </c>
      <c r="I22" s="105">
        <f>Table14[[#This Row],[LNG Share %]]*Table14[[#This Row],[Grand Total Sales]]</f>
        <v>3399.2882006921268</v>
      </c>
      <c r="J22" s="106">
        <f t="shared" si="3"/>
        <v>4.8070125830623495E-3</v>
      </c>
      <c r="K22" s="107">
        <f>Table14[[#This Row],[CNG Share %]]*Table14[[#This Row],[Grand Total Sales]]</f>
        <v>34692.735460004944</v>
      </c>
      <c r="L22" s="104">
        <f t="shared" si="4"/>
        <v>4.9059804891842217E-2</v>
      </c>
      <c r="M22" s="108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2" s="104" t="e">
        <f ca="1">Table14[[#This Row],[Diesel]]/Table14[[#This Row],[Grand Total Sales]]</f>
        <v>#NUM!</v>
      </c>
      <c r="O22" s="109" t="e">
        <f t="shared" ca="1" si="5"/>
        <v>#NUM!</v>
      </c>
      <c r="Y22" s="82"/>
    </row>
    <row r="23" spans="1:25">
      <c r="A23" s="110">
        <v>2046</v>
      </c>
      <c r="B23" s="96">
        <v>733905.72927503032</v>
      </c>
      <c r="C23" s="97" t="e">
        <f t="shared" ca="1" si="0"/>
        <v>#NUM!</v>
      </c>
      <c r="D23" s="79" t="e">
        <f t="shared" ca="1" si="6"/>
        <v>#NUM!</v>
      </c>
      <c r="E23" s="97" t="e">
        <f t="shared" ca="1" si="1"/>
        <v>#NUM!</v>
      </c>
      <c r="F23" s="79" t="e">
        <f t="shared" ca="1" si="7"/>
        <v>#NUM!</v>
      </c>
      <c r="G23" s="97" t="e">
        <f t="shared" ca="1" si="2"/>
        <v>#NUM!</v>
      </c>
      <c r="H23" s="79" t="e">
        <f t="shared" ca="1" si="8"/>
        <v>#NUM!</v>
      </c>
      <c r="I23" s="79">
        <f>Table14[[#This Row],[LNG Share %]]*Table14[[#This Row],[Grand Total Sales]]</f>
        <v>3131.4984404273573</v>
      </c>
      <c r="J23" s="80">
        <f t="shared" si="3"/>
        <v>4.2668946644151785E-3</v>
      </c>
      <c r="K23" s="98">
        <f>Table14[[#This Row],[CNG Share %]]*Table14[[#This Row],[Grand Total Sales]]</f>
        <v>32366.667621281002</v>
      </c>
      <c r="L23" s="97">
        <f t="shared" si="4"/>
        <v>4.4101941612110826E-2</v>
      </c>
      <c r="M23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3" s="97" t="e">
        <f ca="1">Table14[[#This Row],[Diesel]]/Table14[[#This Row],[Grand Total Sales]]</f>
        <v>#NUM!</v>
      </c>
      <c r="O23" s="81" t="e">
        <f t="shared" ca="1" si="5"/>
        <v>#NUM!</v>
      </c>
      <c r="Y23" s="82"/>
    </row>
    <row r="24" spans="1:25">
      <c r="A24" s="110">
        <v>2047</v>
      </c>
      <c r="B24" s="96">
        <v>762287.14309451857</v>
      </c>
      <c r="C24" s="97" t="e">
        <f t="shared" ca="1" si="0"/>
        <v>#NUM!</v>
      </c>
      <c r="D24" s="79" t="e">
        <f t="shared" ca="1" si="6"/>
        <v>#NUM!</v>
      </c>
      <c r="E24" s="97" t="e">
        <f t="shared" ca="1" si="1"/>
        <v>#NUM!</v>
      </c>
      <c r="F24" s="79" t="e">
        <f t="shared" ca="1" si="7"/>
        <v>#NUM!</v>
      </c>
      <c r="G24" s="97" t="e">
        <f t="shared" ca="1" si="2"/>
        <v>#NUM!</v>
      </c>
      <c r="H24" s="79" t="e">
        <f t="shared" ca="1" si="8"/>
        <v>#NUM!</v>
      </c>
      <c r="I24" s="79">
        <f>Table14[[#This Row],[LNG Share %]]*Table14[[#This Row],[Grand Total Sales]]</f>
        <v>2771.0652029207145</v>
      </c>
      <c r="J24" s="80">
        <f t="shared" si="3"/>
        <v>3.6351986623721932E-3</v>
      </c>
      <c r="K24" s="98">
        <f>Table14[[#This Row],[CNG Share %]]*Table14[[#This Row],[Grand Total Sales]]</f>
        <v>29779.263050208599</v>
      </c>
      <c r="L24" s="97">
        <f t="shared" si="4"/>
        <v>3.9065676654756548E-2</v>
      </c>
      <c r="M24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4" s="97" t="e">
        <f ca="1">Table14[[#This Row],[Diesel]]/Table14[[#This Row],[Grand Total Sales]]</f>
        <v>#NUM!</v>
      </c>
      <c r="O24" s="81" t="e">
        <f t="shared" ca="1" si="5"/>
        <v>#NUM!</v>
      </c>
      <c r="Y24" s="82"/>
    </row>
    <row r="25" spans="1:25">
      <c r="A25" s="110">
        <v>2048</v>
      </c>
      <c r="B25" s="96">
        <v>775644.39619870787</v>
      </c>
      <c r="C25" s="97" t="e">
        <f t="shared" ca="1" si="0"/>
        <v>#NUM!</v>
      </c>
      <c r="D25" s="79" t="e">
        <f t="shared" ca="1" si="6"/>
        <v>#NUM!</v>
      </c>
      <c r="E25" s="97" t="e">
        <f t="shared" ca="1" si="1"/>
        <v>#NUM!</v>
      </c>
      <c r="F25" s="79" t="e">
        <f t="shared" ca="1" si="7"/>
        <v>#NUM!</v>
      </c>
      <c r="G25" s="97" t="e">
        <f t="shared" ca="1" si="2"/>
        <v>#NUM!</v>
      </c>
      <c r="H25" s="79" t="e">
        <f t="shared" ca="1" si="8"/>
        <v>#NUM!</v>
      </c>
      <c r="I25" s="79">
        <f>Table14[[#This Row],[LNG Share %]]*Table14[[#This Row],[Grand Total Sales]]</f>
        <v>2294.3900517963712</v>
      </c>
      <c r="J25" s="80">
        <f t="shared" si="3"/>
        <v>2.9580437414887021E-3</v>
      </c>
      <c r="K25" s="98">
        <f>Table14[[#This Row],[CNG Share %]]*Table14[[#This Row],[Grand Total Sales]]</f>
        <v>26362.565380696913</v>
      </c>
      <c r="L25" s="97">
        <f t="shared" si="4"/>
        <v>3.3987953126323162E-2</v>
      </c>
      <c r="M25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5" s="97" t="e">
        <f ca="1">Table14[[#This Row],[Diesel]]/Table14[[#This Row],[Grand Total Sales]]</f>
        <v>#NUM!</v>
      </c>
      <c r="O25" s="81" t="e">
        <f t="shared" ca="1" si="5"/>
        <v>#NUM!</v>
      </c>
      <c r="Y25" s="82"/>
    </row>
    <row r="26" spans="1:25">
      <c r="A26" s="110">
        <v>2049</v>
      </c>
      <c r="B26" s="96">
        <v>799528.3922447518</v>
      </c>
      <c r="C26" s="97" t="e">
        <f t="shared" ca="1" si="0"/>
        <v>#NUM!</v>
      </c>
      <c r="D26" s="79" t="e">
        <f t="shared" ca="1" si="6"/>
        <v>#NUM!</v>
      </c>
      <c r="E26" s="97" t="e">
        <f t="shared" ca="1" si="1"/>
        <v>#NUM!</v>
      </c>
      <c r="F26" s="79" t="e">
        <f t="shared" ca="1" si="7"/>
        <v>#NUM!</v>
      </c>
      <c r="G26" s="97" t="e">
        <f t="shared" ca="1" si="2"/>
        <v>#NUM!</v>
      </c>
      <c r="H26" s="79" t="e">
        <f t="shared" ca="1" si="8"/>
        <v>#NUM!</v>
      </c>
      <c r="I26" s="79">
        <f>Table14[[#This Row],[LNG Share %]]*Table14[[#This Row],[Grand Total Sales]]</f>
        <v>1826.0659277056936</v>
      </c>
      <c r="J26" s="80">
        <f t="shared" si="3"/>
        <v>2.2839288078048614E-3</v>
      </c>
      <c r="K26" s="98">
        <f>Table14[[#This Row],[CNG Share %]]*Table14[[#This Row],[Grand Total Sales]]</f>
        <v>23109.630031823926</v>
      </c>
      <c r="L26" s="97">
        <f t="shared" si="4"/>
        <v>2.8904076773235594E-2</v>
      </c>
      <c r="M26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6" s="97" t="e">
        <f ca="1">Table14[[#This Row],[Diesel]]/Table14[[#This Row],[Grand Total Sales]]</f>
        <v>#NUM!</v>
      </c>
      <c r="O26" s="81" t="e">
        <f t="shared" ca="1" si="5"/>
        <v>#NUM!</v>
      </c>
      <c r="Y26" s="82"/>
    </row>
    <row r="27" spans="1:25">
      <c r="A27" s="110">
        <v>2050</v>
      </c>
      <c r="B27" s="96">
        <v>853377.39840152417</v>
      </c>
      <c r="C27" s="97" t="e">
        <f t="shared" ca="1" si="0"/>
        <v>#NUM!</v>
      </c>
      <c r="D27" s="79" t="e">
        <f t="shared" ca="1" si="6"/>
        <v>#NUM!</v>
      </c>
      <c r="E27" s="97" t="e">
        <f t="shared" ca="1" si="1"/>
        <v>#NUM!</v>
      </c>
      <c r="F27" s="79" t="e">
        <f t="shared" ca="1" si="7"/>
        <v>#NUM!</v>
      </c>
      <c r="G27" s="97" t="e">
        <f t="shared" ca="1" si="2"/>
        <v>#NUM!</v>
      </c>
      <c r="H27" s="79" t="e">
        <f t="shared" ca="1" si="8"/>
        <v>#NUM!</v>
      </c>
      <c r="I27" s="79">
        <f>Table14[[#This Row],[LNG Share %]]*Table14[[#This Row],[Grand Total Sales]]</f>
        <v>1414.5438766162938</v>
      </c>
      <c r="J27" s="80">
        <f t="shared" si="3"/>
        <v>1.6575830098921065E-3</v>
      </c>
      <c r="K27" s="98">
        <f>Table14[[#This Row],[CNG Share %]]*Table14[[#This Row],[Grand Total Sales]]</f>
        <v>20350.940602531504</v>
      </c>
      <c r="L27" s="97">
        <f t="shared" si="4"/>
        <v>2.3847527062060933E-2</v>
      </c>
      <c r="M27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7" s="97" t="e">
        <f ca="1">Table14[[#This Row],[Diesel]]/Table14[[#This Row],[Grand Total Sales]]</f>
        <v>#NUM!</v>
      </c>
      <c r="O27" s="81" t="e">
        <f t="shared" ca="1" si="5"/>
        <v>#NUM!</v>
      </c>
      <c r="Y27" s="82"/>
    </row>
    <row r="28" spans="1:25">
      <c r="A28" s="110">
        <v>2051</v>
      </c>
      <c r="B28" s="96">
        <v>887732.45411361207</v>
      </c>
      <c r="C28" s="97" t="e">
        <f t="shared" ca="1" si="0"/>
        <v>#NUM!</v>
      </c>
      <c r="D28" s="79" t="e">
        <f t="shared" ca="1" si="6"/>
        <v>#NUM!</v>
      </c>
      <c r="E28" s="97" t="e">
        <f t="shared" ca="1" si="1"/>
        <v>#NUM!</v>
      </c>
      <c r="F28" s="79" t="e">
        <f t="shared" ca="1" si="7"/>
        <v>#NUM!</v>
      </c>
      <c r="G28" s="97" t="e">
        <f t="shared" ca="1" si="2"/>
        <v>#NUM!</v>
      </c>
      <c r="H28" s="79" t="e">
        <f t="shared" ca="1" si="8"/>
        <v>#NUM!</v>
      </c>
      <c r="I28" s="79">
        <f>Table14[[#This Row],[LNG Share %]]*Table14[[#This Row],[Grand Total Sales]]</f>
        <v>989.24320141664168</v>
      </c>
      <c r="J28" s="80">
        <f t="shared" si="3"/>
        <v>1.1143483566840942E-3</v>
      </c>
      <c r="K28" s="98">
        <f>Table14[[#This Row],[CNG Share %]]*Table14[[#This Row],[Grand Total Sales]]</f>
        <v>16733.572762453117</v>
      </c>
      <c r="L28" s="97">
        <f t="shared" si="4"/>
        <v>1.8849792733060939E-2</v>
      </c>
      <c r="M28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8" s="97" t="e">
        <f ca="1">Table14[[#This Row],[Diesel]]/Table14[[#This Row],[Grand Total Sales]]</f>
        <v>#NUM!</v>
      </c>
      <c r="O28" s="81" t="e">
        <f t="shared" ca="1" si="5"/>
        <v>#NUM!</v>
      </c>
      <c r="Y28" s="82"/>
    </row>
    <row r="29" spans="1:25">
      <c r="A29" s="110">
        <v>2052</v>
      </c>
      <c r="B29" s="96">
        <v>922779.7166642159</v>
      </c>
      <c r="C29" s="97" t="e">
        <f t="shared" ca="1" si="0"/>
        <v>#NUM!</v>
      </c>
      <c r="D29" s="79" t="e">
        <f t="shared" ca="1" si="6"/>
        <v>#NUM!</v>
      </c>
      <c r="E29" s="97" t="e">
        <f t="shared" ca="1" si="1"/>
        <v>#NUM!</v>
      </c>
      <c r="F29" s="79" t="e">
        <f t="shared" ca="1" si="7"/>
        <v>#NUM!</v>
      </c>
      <c r="G29" s="97" t="e">
        <f t="shared" ca="1" si="2"/>
        <v>#NUM!</v>
      </c>
      <c r="H29" s="79" t="e">
        <f t="shared" ca="1" si="8"/>
        <v>#NUM!</v>
      </c>
      <c r="I29" s="79">
        <f>Table14[[#This Row],[LNG Share %]]*Table14[[#This Row],[Grand Total Sales]]</f>
        <v>624.01187277507177</v>
      </c>
      <c r="J29" s="80">
        <f t="shared" si="3"/>
        <v>6.762305905799827E-4</v>
      </c>
      <c r="K29" s="98">
        <f>Table14[[#This Row],[CNG Share %]]*Table14[[#This Row],[Grand Total Sales]]</f>
        <v>12863.763618351302</v>
      </c>
      <c r="L29" s="97">
        <f t="shared" si="4"/>
        <v>1.3940232306853154E-2</v>
      </c>
      <c r="M29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29" s="97" t="e">
        <f ca="1">Table14[[#This Row],[Diesel]]/Table14[[#This Row],[Grand Total Sales]]</f>
        <v>#NUM!</v>
      </c>
      <c r="O29" s="81" t="e">
        <f t="shared" ca="1" si="5"/>
        <v>#NUM!</v>
      </c>
      <c r="Y29" s="82"/>
    </row>
    <row r="30" spans="1:25">
      <c r="A30" s="110">
        <v>2053</v>
      </c>
      <c r="B30" s="96">
        <v>958111.62865612877</v>
      </c>
      <c r="C30" s="97" t="e">
        <f t="shared" ca="1" si="0"/>
        <v>#NUM!</v>
      </c>
      <c r="D30" s="79" t="e">
        <f t="shared" ca="1" si="6"/>
        <v>#NUM!</v>
      </c>
      <c r="E30" s="97" t="e">
        <f t="shared" ca="1" si="1"/>
        <v>#NUM!</v>
      </c>
      <c r="F30" s="79" t="e">
        <f t="shared" ca="1" si="7"/>
        <v>#NUM!</v>
      </c>
      <c r="G30" s="97" t="e">
        <f t="shared" ca="1" si="2"/>
        <v>#NUM!</v>
      </c>
      <c r="H30" s="79" t="e">
        <f t="shared" ca="1" si="8"/>
        <v>#NUM!</v>
      </c>
      <c r="I30" s="79">
        <f>Table14[[#This Row],[LNG Share %]]*Table14[[#This Row],[Grand Total Sales]]</f>
        <v>335.74478098181294</v>
      </c>
      <c r="J30" s="80">
        <f t="shared" si="3"/>
        <v>3.5042344852106316E-4</v>
      </c>
      <c r="K30" s="98">
        <f>Table14[[#This Row],[CNG Share %]]*Table14[[#This Row],[Grand Total Sales]]</f>
        <v>8762.8503760012482</v>
      </c>
      <c r="L30" s="97">
        <f t="shared" si="4"/>
        <v>9.1459597336191814E-3</v>
      </c>
      <c r="M30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30" s="97" t="e">
        <f ca="1">Table14[[#This Row],[Diesel]]/Table14[[#This Row],[Grand Total Sales]]</f>
        <v>#NUM!</v>
      </c>
      <c r="O30" s="81" t="e">
        <f t="shared" ca="1" si="5"/>
        <v>#NUM!</v>
      </c>
      <c r="Y30" s="82"/>
    </row>
    <row r="31" spans="1:25">
      <c r="A31" s="110">
        <v>2054</v>
      </c>
      <c r="B31" s="96">
        <v>993759.15863359021</v>
      </c>
      <c r="C31" s="97" t="e">
        <f t="shared" ca="1" si="0"/>
        <v>#NUM!</v>
      </c>
      <c r="D31" s="79" t="e">
        <f t="shared" ca="1" si="6"/>
        <v>#NUM!</v>
      </c>
      <c r="E31" s="97" t="e">
        <f t="shared" ca="1" si="1"/>
        <v>#NUM!</v>
      </c>
      <c r="F31" s="79" t="e">
        <f t="shared" ca="1" si="7"/>
        <v>#NUM!</v>
      </c>
      <c r="G31" s="97" t="e">
        <f t="shared" ca="1" si="2"/>
        <v>#NUM!</v>
      </c>
      <c r="H31" s="79" t="e">
        <f t="shared" ca="1" si="8"/>
        <v>#NUM!</v>
      </c>
      <c r="I31" s="79">
        <f>Table14[[#This Row],[LNG Share %]]*Table14[[#This Row],[Grand Total Sales]]</f>
        <v>129.71139817984832</v>
      </c>
      <c r="J31" s="80">
        <f t="shared" si="3"/>
        <v>1.3052599017874744E-4</v>
      </c>
      <c r="K31" s="98">
        <f>Table14[[#This Row],[CNG Share %]]*Table14[[#This Row],[Grand Total Sales]]</f>
        <v>4463.7227636214284</v>
      </c>
      <c r="L31" s="97">
        <f t="shared" si="4"/>
        <v>4.4917550946237377E-3</v>
      </c>
      <c r="M31" s="99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31" s="97" t="e">
        <f ca="1">Table14[[#This Row],[Diesel]]/Table14[[#This Row],[Grand Total Sales]]</f>
        <v>#NUM!</v>
      </c>
      <c r="O31" s="81" t="e">
        <f t="shared" ca="1" si="5"/>
        <v>#NUM!</v>
      </c>
      <c r="Y31" s="82"/>
    </row>
    <row r="32" spans="1:25">
      <c r="A32" s="110">
        <v>2055</v>
      </c>
      <c r="B32" s="103">
        <v>1030212.0249440252</v>
      </c>
      <c r="C32" s="104" t="e">
        <f t="shared" ca="1" si="0"/>
        <v>#NUM!</v>
      </c>
      <c r="D32" s="105" t="e">
        <f t="shared" ca="1" si="6"/>
        <v>#NUM!</v>
      </c>
      <c r="E32" s="104" t="e">
        <f t="shared" ca="1" si="1"/>
        <v>#NUM!</v>
      </c>
      <c r="F32" s="105" t="e">
        <f t="shared" ca="1" si="7"/>
        <v>#NUM!</v>
      </c>
      <c r="G32" s="104" t="e">
        <f t="shared" ca="1" si="2"/>
        <v>#NUM!</v>
      </c>
      <c r="H32" s="105" t="e">
        <f t="shared" ca="1" si="8"/>
        <v>#NUM!</v>
      </c>
      <c r="I32" s="105">
        <f>Table14[[#This Row],[LNG Share %]]*Table14[[#This Row],[Grand Total Sales]]</f>
        <v>0</v>
      </c>
      <c r="J32" s="106">
        <f t="shared" si="3"/>
        <v>0</v>
      </c>
      <c r="K32" s="107">
        <f>Table14[[#This Row],[CNG Share %]]*Table14[[#This Row],[Grand Total Sales]]</f>
        <v>0</v>
      </c>
      <c r="L32" s="104">
        <f t="shared" si="4"/>
        <v>0</v>
      </c>
      <c r="M32" s="108" t="e">
        <f ca="1">Table14[[#This Row],[Grand Total Sales]]-(Table14[[#This Row],[BET Units BAU]]+Table14[[#This Row],[H2 ICE Units]]+Table14[[#This Row],[H2 FCET Units]]+Table14[[#This Row],[LNG Units]]+Table14[[#This Row],[CNG Units]])</f>
        <v>#NUM!</v>
      </c>
      <c r="N32" s="104" t="e">
        <f ca="1">Table14[[#This Row],[Diesel]]/Table14[[#This Row],[Grand Total Sales]]</f>
        <v>#NUM!</v>
      </c>
      <c r="O32" s="109" t="e">
        <f t="shared" ca="1" si="5"/>
        <v>#NUM!</v>
      </c>
      <c r="Y32" s="82"/>
    </row>
  </sheetData>
  <autoFilter ref="O1:O32" xr:uid="{00000000-0009-0000-0000-00000F000000}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32"/>
  <sheetViews>
    <sheetView zoomScale="85" zoomScaleNormal="85" workbookViewId="0">
      <pane xSplit="1" topLeftCell="B1" activePane="topRight" state="frozen"/>
      <selection pane="topRight" activeCell="Q4" sqref="Q4:Z4"/>
    </sheetView>
  </sheetViews>
  <sheetFormatPr defaultColWidth="8.88671875" defaultRowHeight="14.4"/>
  <cols>
    <col min="1" max="1" width="9.109375" style="82" bestFit="1" customWidth="1"/>
    <col min="2" max="2" width="15.109375" style="86" bestFit="1" customWidth="1"/>
    <col min="3" max="3" width="13.109375" style="82" bestFit="1" customWidth="1"/>
    <col min="4" max="4" width="12.44140625" style="82" bestFit="1" customWidth="1"/>
    <col min="5" max="5" width="19.6640625" style="87" bestFit="1" customWidth="1"/>
    <col min="6" max="6" width="9.88671875" style="88" bestFit="1" customWidth="1"/>
    <col min="7" max="7" width="12.44140625" style="82" bestFit="1" customWidth="1"/>
    <col min="8" max="8" width="11.44140625" style="82" bestFit="1" customWidth="1"/>
    <col min="9" max="9" width="13" style="82" customWidth="1"/>
    <col min="10" max="10" width="10" style="89" bestFit="1" customWidth="1"/>
    <col min="11" max="11" width="9.88671875" style="89" bestFit="1" customWidth="1"/>
    <col min="12" max="12" width="14.109375" style="85" customWidth="1"/>
    <col min="13" max="13" width="13" style="82" bestFit="1" customWidth="1"/>
    <col min="14" max="14" width="10.6640625" style="82" bestFit="1" customWidth="1"/>
    <col min="15" max="15" width="14.109375" style="82" customWidth="1"/>
    <col min="16" max="16" width="8.44140625" style="82" bestFit="1" customWidth="1"/>
    <col min="17" max="17" width="13.44140625" style="82" customWidth="1"/>
    <col min="18" max="18" width="10" style="82" bestFit="1" customWidth="1"/>
    <col min="19" max="19" width="11.109375" style="82" customWidth="1"/>
    <col min="20" max="20" width="11.88671875" style="82" customWidth="1"/>
    <col min="21" max="21" width="16.44140625" style="82" bestFit="1" customWidth="1"/>
    <col min="22" max="22" width="17.44140625" style="82" bestFit="1" customWidth="1"/>
    <col min="23" max="23" width="11.109375" style="82" bestFit="1" customWidth="1"/>
    <col min="24" max="24" width="14" style="82" bestFit="1" customWidth="1"/>
    <col min="25" max="25" width="17.109375" style="85" hidden="1" customWidth="1"/>
    <col min="26" max="26" width="12" style="82" bestFit="1" customWidth="1"/>
    <col min="27" max="27" width="21.6640625" style="82" bestFit="1" customWidth="1"/>
    <col min="28" max="16384" width="8.88671875" style="82"/>
  </cols>
  <sheetData>
    <row r="1" spans="1:25" s="75" customFormat="1" ht="43.2">
      <c r="A1" s="73" t="s">
        <v>41</v>
      </c>
      <c r="B1" s="92" t="s">
        <v>503</v>
      </c>
      <c r="C1" s="73" t="s">
        <v>504</v>
      </c>
      <c r="D1" s="73" t="s">
        <v>532</v>
      </c>
      <c r="E1" s="73" t="s">
        <v>506</v>
      </c>
      <c r="F1" s="73" t="s">
        <v>507</v>
      </c>
      <c r="G1" s="73" t="s">
        <v>508</v>
      </c>
      <c r="H1" s="73" t="s">
        <v>509</v>
      </c>
      <c r="I1" s="73" t="s">
        <v>510</v>
      </c>
      <c r="J1" s="74" t="s">
        <v>511</v>
      </c>
      <c r="K1" s="73" t="s">
        <v>512</v>
      </c>
      <c r="L1" s="93" t="s">
        <v>513</v>
      </c>
      <c r="M1" s="73" t="s">
        <v>178</v>
      </c>
      <c r="N1" s="73" t="s">
        <v>514</v>
      </c>
      <c r="O1" s="94" t="s">
        <v>515</v>
      </c>
      <c r="Q1" s="76" t="s">
        <v>516</v>
      </c>
      <c r="R1" s="76" t="s">
        <v>517</v>
      </c>
      <c r="S1" s="77" t="s">
        <v>518</v>
      </c>
      <c r="T1" s="77" t="s">
        <v>519</v>
      </c>
      <c r="U1" s="76" t="s">
        <v>520</v>
      </c>
      <c r="V1" s="77" t="s">
        <v>521</v>
      </c>
      <c r="W1" s="78" t="s">
        <v>522</v>
      </c>
      <c r="X1" s="77" t="s">
        <v>525</v>
      </c>
      <c r="Y1" s="77" t="s">
        <v>534</v>
      </c>
    </row>
    <row r="2" spans="1:25">
      <c r="A2" s="95">
        <v>2025</v>
      </c>
      <c r="B2" s="96">
        <v>267331</v>
      </c>
      <c r="C2" s="97" t="e">
        <f t="shared" ref="C2:C32" ca="1" si="0">$S$2 * EXP(-$V$2 * EXP(-$W$2 * (A2- $R$2)))</f>
        <v>#NUM!</v>
      </c>
      <c r="D2" s="79" t="e">
        <f ca="1">C2*B2</f>
        <v>#NUM!</v>
      </c>
      <c r="E2" s="97">
        <f t="shared" ref="E2:E32" si="1">IF(A2 &lt;$R$3, 0, $S$3 * EXP(-$V$3 * EXP(-$W$3 * (A2 -$R$3))))</f>
        <v>0</v>
      </c>
      <c r="F2" s="79">
        <f>E2*B2</f>
        <v>0</v>
      </c>
      <c r="G2" s="97">
        <f t="shared" ref="G2:G32" si="2">IF(A2 &lt; $R$4, 0, $S$4 * EXP(-$V$4* EXP(-$W$4 * (A2 - $R$4))))</f>
        <v>0</v>
      </c>
      <c r="H2" s="79">
        <f>G2*B2</f>
        <v>0</v>
      </c>
      <c r="I2" s="79">
        <f>Table13[[#This Row],[LNG Share %]]*Table13[[#This Row],[Grand Total Sales]]</f>
        <v>607</v>
      </c>
      <c r="J2" s="80">
        <f t="shared" ref="J2:J32" si="3">IF(A2&lt;$R$7, 0,
  (
    ($U$7 / (((2045-$R$7)/($T$7-$R$7))^($S$7-1) * EXP((($S$7-1)/$S$7 * (1 - ((2045-$R$7)/($T$7-$R$7))^$S$7)))))
    *
    (
      (((A2-$R$7)/($T$7-$R$7))^($S$7-1) * EXP((($S$7-1)/$S$7 * (1 - ((A2-$R$7)/($T$7-$R$7))^$S$7))))
      -
      (((2025-$R$7)/($T$7-$R$7))^($S$7-1) * EXP((($S$7-1)/$S$7 * (1 - ((2025-$R$7)/($T$7-$R$7))^$S$7)))) * MAX(0, 1 - ((A2-2025)/20)^2)
    )
    +
    ($V$7/VLOOKUP(2025, A:B, 2, FALSE)) * MAX(0, 1 - ((A2-2025)/20)^2)
  )
  * MAX(0, MIN(1, (2055-A2)/10))
)</f>
        <v>2.2705933842315333E-3</v>
      </c>
      <c r="K2" s="98">
        <f>Table13[[#This Row],[CNG Share %]]*Table13[[#This Row],[Grand Total Sales]]</f>
        <v>12500</v>
      </c>
      <c r="L2" s="97">
        <f t="shared" ref="L2:L32" si="4">IF(A2&lt;$R$8, 0,
  (
    ($U$8 / (((2045-$R$8)/($T$8-$R$8))^($S$8-1) * EXP((($S$8-1)/$S$8 * (1 - ((2045-$R$8)/($T$8-$R$8))^$S$8)))))
    *
    (((A2-$R$8)/($T$8-$R$8))^($S$8-1) * EXP((($S$8-1)/$S$8 * (1 - ((A2-$R$8)/($T$8-$R$8))^$S$8))))
    +
    (
      ($V$8/VLOOKUP(2025, A:B, 2, FALSE))
      -
      ($U$8 / (((2045-$R$8)/($T$8-$R$8))^($S$8-1) * EXP((($S$8-1)/$S$8 * (1 - ((2045-$R$8)/($T$8-$R$8))^$S$8)))))
      *
      (((2025-$R$8)/($T$8-$R$8))^($S$8-1) * EXP((($S$8-1)/$S$8 * (1 - ((2025-$R$8)/($T$8-$R$8))^$S$8))))
    )
    * MAX(0, 1 - ((A2-2025)/20)^2)
  )
  * MAX(0, MIN(1, (2055-A2)/10))
)</f>
        <v>4.6758512854850352E-2</v>
      </c>
      <c r="M2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" s="97" t="e">
        <f ca="1">Table13[[#This Row],[Diesel]]/Table13[[#This Row],[Grand Total Sales]]</f>
        <v>#NUM!</v>
      </c>
      <c r="O2" s="81" t="e">
        <f t="shared" ref="O2:O32" ca="1" si="5">C2+E2+G2</f>
        <v>#NUM!</v>
      </c>
      <c r="Q2" s="83" t="s">
        <v>182</v>
      </c>
      <c r="R2" s="83">
        <v>2025</v>
      </c>
      <c r="S2" s="83" t="e">
        <f ca="1">VALUE(X2) / EXP( -V2 * EXP( -W2 * (2055 - VALUE(R2)) ) )</f>
        <v>#NUM!</v>
      </c>
      <c r="T2" s="83">
        <v>2036</v>
      </c>
      <c r="U2" s="80">
        <v>1.9E-3</v>
      </c>
      <c r="V2" s="83" t="e">
        <f ca="1">LN( MAX(S2, VALUE(U2)*1.01) / VALUE(U2) )</f>
        <v>#NUM!</v>
      </c>
      <c r="W2" s="84" t="e">
        <f ca="1">-(1/(VALUE(T2)-VALUE(R2))) * LN( LN( MAX(S2, 0.1001)/0.1 ) / V2 )</f>
        <v>#NUM!</v>
      </c>
      <c r="X2" s="91">
        <f>'Estimation 100% ZET 2055'!O161</f>
        <v>0.87248713217441975</v>
      </c>
      <c r="Y2" s="83" t="e">
        <f ca="1">X2 / EXP(-V2 * EXP(-W2 * (2055 - R2)))</f>
        <v>#NUM!</v>
      </c>
    </row>
    <row r="3" spans="1:25">
      <c r="A3" s="95">
        <v>2026</v>
      </c>
      <c r="B3" s="96">
        <v>292754.94669882156</v>
      </c>
      <c r="C3" s="97" t="e">
        <f t="shared" ca="1" si="0"/>
        <v>#NUM!</v>
      </c>
      <c r="D3" s="79" t="e">
        <f t="shared" ref="D3:D32" ca="1" si="6">C3*B3</f>
        <v>#NUM!</v>
      </c>
      <c r="E3" s="97">
        <f t="shared" si="1"/>
        <v>0</v>
      </c>
      <c r="F3" s="79">
        <f t="shared" ref="F3:F32" si="7">E3*B3</f>
        <v>0</v>
      </c>
      <c r="G3" s="97">
        <f t="shared" si="2"/>
        <v>0</v>
      </c>
      <c r="H3" s="79">
        <f t="shared" ref="H3:H32" si="8">G3*B3</f>
        <v>0</v>
      </c>
      <c r="I3" s="79">
        <f>Table13[[#This Row],[LNG Share %]]*Table13[[#This Row],[Grand Total Sales]]</f>
        <v>672.13263712499122</v>
      </c>
      <c r="J3" s="80">
        <f t="shared" si="3"/>
        <v>2.2958882324760964E-3</v>
      </c>
      <c r="K3" s="98">
        <f>Table13[[#This Row],[CNG Share %]]*Table13[[#This Row],[Grand Total Sales]]</f>
        <v>13852.695160996758</v>
      </c>
      <c r="L3" s="97">
        <f t="shared" si="4"/>
        <v>4.7318398261765461E-2</v>
      </c>
      <c r="M3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3" s="97" t="e">
        <f ca="1">Table13[[#This Row],[Diesel]]/Table13[[#This Row],[Grand Total Sales]]</f>
        <v>#NUM!</v>
      </c>
      <c r="O3" s="81" t="e">
        <f t="shared" ca="1" si="5"/>
        <v>#NUM!</v>
      </c>
      <c r="Q3" s="83" t="s">
        <v>327</v>
      </c>
      <c r="R3" s="83">
        <v>2033</v>
      </c>
      <c r="S3" s="83" t="e">
        <f t="shared" ref="S3" ca="1" si="9">X3/ EXP( -V3 * EXP( -W3 * (2055 -R3) ) )</f>
        <v>#NUM!</v>
      </c>
      <c r="T3" s="83">
        <v>2042</v>
      </c>
      <c r="U3" s="80">
        <v>1E-4</v>
      </c>
      <c r="V3" s="83" t="e">
        <f ca="1">-LN(U3/S3)</f>
        <v>#NUM!</v>
      </c>
      <c r="W3" s="84" t="e">
        <f ca="1">(LN(-V3 / LN(0.1/S3))) / (T3-R3)</f>
        <v>#NUM!</v>
      </c>
      <c r="X3" s="80">
        <f>'Estimation 100% ZET 2055'!P161</f>
        <v>6.594153636981645E-2</v>
      </c>
      <c r="Y3" s="83" t="e">
        <f ca="1">X3 / EXP(-V3 * EXP(-W3 * (2055 - R3)))</f>
        <v>#NUM!</v>
      </c>
    </row>
    <row r="4" spans="1:25">
      <c r="A4" s="95">
        <v>2027</v>
      </c>
      <c r="B4" s="96">
        <v>306587.86764295929</v>
      </c>
      <c r="C4" s="97" t="e">
        <f t="shared" ca="1" si="0"/>
        <v>#NUM!</v>
      </c>
      <c r="D4" s="79" t="e">
        <f t="shared" ca="1" si="6"/>
        <v>#NUM!</v>
      </c>
      <c r="E4" s="97">
        <f t="shared" si="1"/>
        <v>0</v>
      </c>
      <c r="F4" s="79">
        <f t="shared" si="7"/>
        <v>0</v>
      </c>
      <c r="G4" s="97">
        <f t="shared" si="2"/>
        <v>0</v>
      </c>
      <c r="H4" s="79">
        <f t="shared" si="8"/>
        <v>0</v>
      </c>
      <c r="I4" s="79">
        <f>Table13[[#This Row],[LNG Share %]]*Table13[[#This Row],[Grand Total Sales]]</f>
        <v>714.3221644182496</v>
      </c>
      <c r="J4" s="80">
        <f t="shared" si="3"/>
        <v>2.3299100838853884E-3</v>
      </c>
      <c r="K4" s="98">
        <f>Table13[[#This Row],[CNG Share %]]*Table13[[#This Row],[Grand Total Sales]]</f>
        <v>14673.840922557118</v>
      </c>
      <c r="L4" s="97">
        <f t="shared" si="4"/>
        <v>4.786177951322497E-2</v>
      </c>
      <c r="M4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4" s="97" t="e">
        <f ca="1">Table13[[#This Row],[Diesel]]/Table13[[#This Row],[Grand Total Sales]]</f>
        <v>#NUM!</v>
      </c>
      <c r="O4" s="81" t="e">
        <f t="shared" ca="1" si="5"/>
        <v>#NUM!</v>
      </c>
      <c r="Q4" s="83" t="s">
        <v>526</v>
      </c>
      <c r="R4" s="83">
        <v>2042</v>
      </c>
      <c r="S4" s="83" t="e">
        <f ca="1" xml:space="preserve"> X4 / EXP( -V4 * EXP( -W4 * (2055 - R4) ) )</f>
        <v>#NUM!</v>
      </c>
      <c r="T4" s="83">
        <v>2045</v>
      </c>
      <c r="U4" s="80">
        <v>1E-4</v>
      </c>
      <c r="V4" s="83" t="e">
        <f ca="1">LN(MAX(S4, U4 * 1.001) / U4)</f>
        <v>#NUM!</v>
      </c>
      <c r="W4" s="84" t="e">
        <f ca="1" xml:space="preserve"> -(1 / (T4 - R4)) * LN( LN( MAX(S4, 0.1001) / 0.1 ) / V4 )</f>
        <v>#NUM!</v>
      </c>
      <c r="X4" s="80">
        <f>'Estimation 100% ZET 2055'!Q161</f>
        <v>6.1571331455763816E-2</v>
      </c>
      <c r="Y4" s="83" t="e">
        <f ca="1">X4 / EXP(-V4 * EXP(-W4 * (2055 - R4)))</f>
        <v>#NUM!</v>
      </c>
    </row>
    <row r="5" spans="1:25">
      <c r="A5" s="95">
        <v>2028</v>
      </c>
      <c r="B5" s="96">
        <v>311586.67970932607</v>
      </c>
      <c r="C5" s="97" t="e">
        <f t="shared" ca="1" si="0"/>
        <v>#NUM!</v>
      </c>
      <c r="D5" s="79" t="e">
        <f t="shared" ca="1" si="6"/>
        <v>#NUM!</v>
      </c>
      <c r="E5" s="97">
        <f t="shared" si="1"/>
        <v>0</v>
      </c>
      <c r="F5" s="79">
        <f t="shared" si="7"/>
        <v>0</v>
      </c>
      <c r="G5" s="97">
        <f t="shared" si="2"/>
        <v>0</v>
      </c>
      <c r="H5" s="79">
        <f t="shared" si="8"/>
        <v>0</v>
      </c>
      <c r="I5" s="79">
        <f>Table13[[#This Row],[LNG Share %]]*Table13[[#This Row],[Grand Total Sales]]</f>
        <v>740.78817029041579</v>
      </c>
      <c r="J5" s="80">
        <f t="shared" si="3"/>
        <v>2.3774705997749472E-3</v>
      </c>
      <c r="K5" s="98">
        <f>Table13[[#This Row],[CNG Share %]]*Table13[[#This Row],[Grand Total Sales]]</f>
        <v>15087.040739958549</v>
      </c>
      <c r="L5" s="97">
        <f t="shared" si="4"/>
        <v>4.8420043995568082E-2</v>
      </c>
      <c r="M5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5" s="97" t="e">
        <f ca="1">Table13[[#This Row],[Diesel]]/Table13[[#This Row],[Grand Total Sales]]</f>
        <v>#NUM!</v>
      </c>
      <c r="O5" s="81" t="e">
        <f t="shared" ca="1" si="5"/>
        <v>#NUM!</v>
      </c>
    </row>
    <row r="6" spans="1:25" ht="31.2">
      <c r="A6" s="95">
        <v>2029</v>
      </c>
      <c r="B6" s="96">
        <v>340622.21301305306</v>
      </c>
      <c r="C6" s="97" t="e">
        <f t="shared" ca="1" si="0"/>
        <v>#NUM!</v>
      </c>
      <c r="D6" s="79" t="e">
        <f t="shared" ca="1" si="6"/>
        <v>#NUM!</v>
      </c>
      <c r="E6" s="97">
        <f t="shared" si="1"/>
        <v>0</v>
      </c>
      <c r="F6" s="79">
        <f t="shared" si="7"/>
        <v>0</v>
      </c>
      <c r="G6" s="97">
        <f t="shared" si="2"/>
        <v>0</v>
      </c>
      <c r="H6" s="79">
        <f t="shared" si="8"/>
        <v>0</v>
      </c>
      <c r="I6" s="79">
        <f>Table13[[#This Row],[LNG Share %]]*Table13[[#This Row],[Grand Total Sales]]</f>
        <v>832.18743288335804</v>
      </c>
      <c r="J6" s="80">
        <f t="shared" si="3"/>
        <v>2.4431390587303465E-3</v>
      </c>
      <c r="K6" s="98">
        <f>Table13[[#This Row],[CNG Share %]]*Table13[[#This Row],[Grand Total Sales]]</f>
        <v>16698.272572565365</v>
      </c>
      <c r="L6" s="97">
        <f t="shared" si="4"/>
        <v>4.9022852693184363E-2</v>
      </c>
      <c r="M6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6" s="97" t="e">
        <f ca="1">Table13[[#This Row],[Diesel]]/Table13[[#This Row],[Grand Total Sales]]</f>
        <v>#NUM!</v>
      </c>
      <c r="O6" s="81" t="e">
        <f t="shared" ca="1" si="5"/>
        <v>#NUM!</v>
      </c>
      <c r="Q6" s="76" t="s">
        <v>516</v>
      </c>
      <c r="R6" s="76" t="s">
        <v>517</v>
      </c>
      <c r="S6" s="76" t="s">
        <v>527</v>
      </c>
      <c r="T6" s="76" t="s">
        <v>528</v>
      </c>
      <c r="U6" s="76" t="s">
        <v>529</v>
      </c>
      <c r="V6" s="76" t="s">
        <v>530</v>
      </c>
      <c r="W6" s="76" t="s">
        <v>531</v>
      </c>
    </row>
    <row r="7" spans="1:25">
      <c r="A7" s="95">
        <v>2030</v>
      </c>
      <c r="B7" s="96">
        <v>349981.35720283689</v>
      </c>
      <c r="C7" s="97" t="e">
        <f t="shared" ca="1" si="0"/>
        <v>#NUM!</v>
      </c>
      <c r="D7" s="79" t="e">
        <f t="shared" ca="1" si="6"/>
        <v>#NUM!</v>
      </c>
      <c r="E7" s="97">
        <f t="shared" si="1"/>
        <v>0</v>
      </c>
      <c r="F7" s="79">
        <f t="shared" si="7"/>
        <v>0</v>
      </c>
      <c r="G7" s="97">
        <f t="shared" si="2"/>
        <v>0</v>
      </c>
      <c r="H7" s="79">
        <f t="shared" si="8"/>
        <v>0</v>
      </c>
      <c r="I7" s="79">
        <f>Table13[[#This Row],[LNG Share %]]*Table13[[#This Row],[Grand Total Sales]]</f>
        <v>885.82895176457203</v>
      </c>
      <c r="J7" s="80">
        <f t="shared" si="3"/>
        <v>2.5310746802184002E-3</v>
      </c>
      <c r="K7" s="98">
        <f>Table13[[#This Row],[CNG Share %]]*Table13[[#This Row],[Grand Total Sales]]</f>
        <v>17392.840696149382</v>
      </c>
      <c r="L7" s="97">
        <f t="shared" si="4"/>
        <v>4.9696477650005517E-2</v>
      </c>
      <c r="M7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7" s="97" t="e">
        <f ca="1">Table13[[#This Row],[Diesel]]/Table13[[#This Row],[Grand Total Sales]]</f>
        <v>#NUM!</v>
      </c>
      <c r="O7" s="81" t="e">
        <f t="shared" ca="1" si="5"/>
        <v>#NUM!</v>
      </c>
      <c r="Q7" s="83" t="s">
        <v>180</v>
      </c>
      <c r="R7" s="83">
        <v>2022</v>
      </c>
      <c r="S7" s="83">
        <v>4</v>
      </c>
      <c r="T7" s="83">
        <v>2045</v>
      </c>
      <c r="U7" s="80">
        <f>'Estimation SS2045'!T174</f>
        <v>4.8070125830623495E-3</v>
      </c>
      <c r="V7" s="83">
        <v>607</v>
      </c>
      <c r="W7" s="100">
        <f>V7 / VLOOKUP(2025, A:B, 2, FALSE)</f>
        <v>2.2705933842315333E-3</v>
      </c>
    </row>
    <row r="8" spans="1:25">
      <c r="A8" s="95">
        <v>2031</v>
      </c>
      <c r="B8" s="96">
        <v>357120.10231487907</v>
      </c>
      <c r="C8" s="97" t="e">
        <f t="shared" ca="1" si="0"/>
        <v>#NUM!</v>
      </c>
      <c r="D8" s="79" t="e">
        <f t="shared" ca="1" si="6"/>
        <v>#NUM!</v>
      </c>
      <c r="E8" s="97">
        <f t="shared" si="1"/>
        <v>0</v>
      </c>
      <c r="F8" s="79">
        <f t="shared" si="7"/>
        <v>0</v>
      </c>
      <c r="G8" s="97">
        <f t="shared" si="2"/>
        <v>0</v>
      </c>
      <c r="H8" s="79">
        <f t="shared" si="8"/>
        <v>0</v>
      </c>
      <c r="I8" s="79">
        <f>Table13[[#This Row],[LNG Share %]]*Table13[[#This Row],[Grand Total Sales]]</f>
        <v>944.51120359952893</v>
      </c>
      <c r="J8" s="80">
        <f t="shared" si="3"/>
        <v>2.644799879584311E-3</v>
      </c>
      <c r="K8" s="98">
        <f>Table13[[#This Row],[CNG Share %]]*Table13[[#This Row],[Grand Total Sales]]</f>
        <v>18020.908072631479</v>
      </c>
      <c r="L8" s="97">
        <f t="shared" si="4"/>
        <v>5.0461757699492724E-2</v>
      </c>
      <c r="M8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8" s="97" t="e">
        <f ca="1">Table13[[#This Row],[Diesel]]/Table13[[#This Row],[Grand Total Sales]]</f>
        <v>#NUM!</v>
      </c>
      <c r="O8" s="81" t="e">
        <f t="shared" ca="1" si="5"/>
        <v>#NUM!</v>
      </c>
      <c r="Q8" s="83" t="s">
        <v>179</v>
      </c>
      <c r="R8" s="83">
        <v>2017</v>
      </c>
      <c r="S8" s="83">
        <v>4.5</v>
      </c>
      <c r="T8" s="83">
        <v>2045</v>
      </c>
      <c r="U8" s="91">
        <f>'Estimation SS2045'!S174</f>
        <v>4.9059804891842217E-2</v>
      </c>
      <c r="V8" s="83">
        <v>12500</v>
      </c>
      <c r="W8" s="100">
        <f>V8 / VLOOKUP(2025, A:B, 2, FALSE)</f>
        <v>4.6758512854850352E-2</v>
      </c>
      <c r="Y8" s="82"/>
    </row>
    <row r="9" spans="1:25">
      <c r="A9" s="95">
        <v>2032</v>
      </c>
      <c r="B9" s="96">
        <v>393736.80271614628</v>
      </c>
      <c r="C9" s="97" t="e">
        <f t="shared" ca="1" si="0"/>
        <v>#NUM!</v>
      </c>
      <c r="D9" s="79" t="e">
        <f t="shared" ca="1" si="6"/>
        <v>#NUM!</v>
      </c>
      <c r="E9" s="97">
        <f t="shared" si="1"/>
        <v>0</v>
      </c>
      <c r="F9" s="79">
        <f t="shared" si="7"/>
        <v>0</v>
      </c>
      <c r="G9" s="97">
        <f t="shared" si="2"/>
        <v>0</v>
      </c>
      <c r="H9" s="79">
        <f t="shared" si="8"/>
        <v>0</v>
      </c>
      <c r="I9" s="79">
        <f>Table13[[#This Row],[LNG Share %]]*Table13[[#This Row],[Grand Total Sales]]</f>
        <v>1097.3099892229234</v>
      </c>
      <c r="J9" s="80">
        <f t="shared" si="3"/>
        <v>2.7869124289455838E-3</v>
      </c>
      <c r="K9" s="98">
        <f>Table13[[#This Row],[CNG Share %]]*Table13[[#This Row],[Grand Total Sales]]</f>
        <v>20211.1679834481</v>
      </c>
      <c r="L9" s="97">
        <f t="shared" si="4"/>
        <v>5.1331670913218608E-2</v>
      </c>
      <c r="M9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9" s="97" t="e">
        <f ca="1">Table13[[#This Row],[Diesel]]/Table13[[#This Row],[Grand Total Sales]]</f>
        <v>#NUM!</v>
      </c>
      <c r="O9" s="81" t="e">
        <f t="shared" ca="1" si="5"/>
        <v>#NUM!</v>
      </c>
      <c r="Y9" s="82"/>
    </row>
    <row r="10" spans="1:25">
      <c r="A10" s="95">
        <v>2033</v>
      </c>
      <c r="B10" s="96">
        <v>419873.04375717574</v>
      </c>
      <c r="C10" s="97" t="e">
        <f t="shared" ca="1" si="0"/>
        <v>#NUM!</v>
      </c>
      <c r="D10" s="79" t="e">
        <f t="shared" ca="1" si="6"/>
        <v>#NUM!</v>
      </c>
      <c r="E10" s="97" t="e">
        <f t="shared" ca="1" si="1"/>
        <v>#NUM!</v>
      </c>
      <c r="F10" s="79" t="e">
        <f t="shared" ca="1" si="7"/>
        <v>#NUM!</v>
      </c>
      <c r="G10" s="97">
        <f t="shared" si="2"/>
        <v>0</v>
      </c>
      <c r="H10" s="79">
        <f t="shared" si="8"/>
        <v>0</v>
      </c>
      <c r="I10" s="79">
        <f>Table13[[#This Row],[LNG Share %]]*Table13[[#This Row],[Grand Total Sales]]</f>
        <v>1242.2955497195599</v>
      </c>
      <c r="J10" s="80">
        <f t="shared" si="3"/>
        <v>2.958740905591486E-3</v>
      </c>
      <c r="K10" s="98">
        <f>Table13[[#This Row],[CNG Share %]]*Table13[[#This Row],[Grand Total Sales]]</f>
        <v>21962.956875112392</v>
      </c>
      <c r="L10" s="97">
        <f t="shared" si="4"/>
        <v>5.2308566128894382E-2</v>
      </c>
      <c r="M10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0" s="97" t="e">
        <f ca="1">Table13[[#This Row],[Diesel]]/Table13[[#This Row],[Grand Total Sales]]</f>
        <v>#NUM!</v>
      </c>
      <c r="O10" s="81" t="e">
        <f t="shared" ca="1" si="5"/>
        <v>#NUM!</v>
      </c>
      <c r="Y10" s="82"/>
    </row>
    <row r="11" spans="1:25">
      <c r="A11" s="95">
        <v>2034</v>
      </c>
      <c r="B11" s="96">
        <v>435077.27002177993</v>
      </c>
      <c r="C11" s="97" t="e">
        <f t="shared" ca="1" si="0"/>
        <v>#NUM!</v>
      </c>
      <c r="D11" s="79" t="e">
        <f t="shared" ca="1" si="6"/>
        <v>#NUM!</v>
      </c>
      <c r="E11" s="97" t="e">
        <f t="shared" ca="1" si="1"/>
        <v>#NUM!</v>
      </c>
      <c r="F11" s="79" t="e">
        <f t="shared" ca="1" si="7"/>
        <v>#NUM!</v>
      </c>
      <c r="G11" s="97">
        <f t="shared" si="2"/>
        <v>0</v>
      </c>
      <c r="H11" s="79">
        <f t="shared" si="8"/>
        <v>0</v>
      </c>
      <c r="I11" s="79">
        <f>Table13[[#This Row],[LNG Share %]]*Table13[[#This Row],[Grand Total Sales]]</f>
        <v>1374.8253096418166</v>
      </c>
      <c r="J11" s="80">
        <f t="shared" si="3"/>
        <v>3.1599566430418049E-3</v>
      </c>
      <c r="K11" s="98">
        <f>Table13[[#This Row],[CNG Share %]]*Table13[[#This Row],[Grand Total Sales]]</f>
        <v>23224.927424826456</v>
      </c>
      <c r="L11" s="97">
        <f t="shared" si="4"/>
        <v>5.3381155544310138E-2</v>
      </c>
      <c r="M11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1" s="97" t="e">
        <f ca="1">Table13[[#This Row],[Diesel]]/Table13[[#This Row],[Grand Total Sales]]</f>
        <v>#NUM!</v>
      </c>
      <c r="O11" s="81" t="e">
        <f t="shared" ca="1" si="5"/>
        <v>#NUM!</v>
      </c>
      <c r="Y11" s="82"/>
    </row>
    <row r="12" spans="1:25">
      <c r="A12" s="95">
        <v>2035</v>
      </c>
      <c r="B12" s="96">
        <v>459488.51042355108</v>
      </c>
      <c r="C12" s="97" t="e">
        <f t="shared" ca="1" si="0"/>
        <v>#NUM!</v>
      </c>
      <c r="D12" s="79" t="e">
        <f t="shared" ca="1" si="6"/>
        <v>#NUM!</v>
      </c>
      <c r="E12" s="97" t="e">
        <f t="shared" ca="1" si="1"/>
        <v>#NUM!</v>
      </c>
      <c r="F12" s="79" t="e">
        <f t="shared" ca="1" si="7"/>
        <v>#NUM!</v>
      </c>
      <c r="G12" s="97">
        <f t="shared" si="2"/>
        <v>0</v>
      </c>
      <c r="H12" s="79">
        <f t="shared" si="8"/>
        <v>0</v>
      </c>
      <c r="I12" s="79">
        <f>Table13[[#This Row],[LNG Share %]]*Table13[[#This Row],[Grand Total Sales]]</f>
        <v>1556.823648268024</v>
      </c>
      <c r="J12" s="80">
        <f t="shared" si="3"/>
        <v>3.3881666525958664E-3</v>
      </c>
      <c r="K12" s="98">
        <f>Table13[[#This Row],[CNG Share %]]*Table13[[#This Row],[Grand Total Sales]]</f>
        <v>25051.977810379529</v>
      </c>
      <c r="L12" s="97">
        <f t="shared" si="4"/>
        <v>5.4521445568436328E-2</v>
      </c>
      <c r="M12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2" s="97" t="e">
        <f ca="1">Table13[[#This Row],[Diesel]]/Table13[[#This Row],[Grand Total Sales]]</f>
        <v>#NUM!</v>
      </c>
      <c r="O12" s="81" t="e">
        <f t="shared" ca="1" si="5"/>
        <v>#NUM!</v>
      </c>
      <c r="Y12" s="82"/>
    </row>
    <row r="13" spans="1:25">
      <c r="A13" s="95">
        <v>2036</v>
      </c>
      <c r="B13" s="96">
        <v>480530.91758130846</v>
      </c>
      <c r="C13" s="97" t="e">
        <f t="shared" ca="1" si="0"/>
        <v>#NUM!</v>
      </c>
      <c r="D13" s="79" t="e">
        <f t="shared" ca="1" si="6"/>
        <v>#NUM!</v>
      </c>
      <c r="E13" s="97" t="e">
        <f t="shared" ca="1" si="1"/>
        <v>#NUM!</v>
      </c>
      <c r="F13" s="79" t="e">
        <f t="shared" ca="1" si="7"/>
        <v>#NUM!</v>
      </c>
      <c r="G13" s="97">
        <f t="shared" si="2"/>
        <v>0</v>
      </c>
      <c r="H13" s="79">
        <f t="shared" si="8"/>
        <v>0</v>
      </c>
      <c r="I13" s="79">
        <f>Table13[[#This Row],[LNG Share %]]*Table13[[#This Row],[Grand Total Sales]]</f>
        <v>1748.4238223555926</v>
      </c>
      <c r="J13" s="80">
        <f t="shared" si="3"/>
        <v>3.6385251362306978E-3</v>
      </c>
      <c r="K13" s="98">
        <f>Table13[[#This Row],[CNG Share %]]*Table13[[#This Row],[Grand Total Sales]]</f>
        <v>26756.8604573216</v>
      </c>
      <c r="L13" s="97">
        <f t="shared" si="4"/>
        <v>5.5681870777428574E-2</v>
      </c>
      <c r="M13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3" s="97" t="e">
        <f ca="1">Table13[[#This Row],[Diesel]]/Table13[[#This Row],[Grand Total Sales]]</f>
        <v>#NUM!</v>
      </c>
      <c r="O13" s="81" t="e">
        <f t="shared" ca="1" si="5"/>
        <v>#NUM!</v>
      </c>
      <c r="Y13" s="82"/>
    </row>
    <row r="14" spans="1:25">
      <c r="A14" s="95">
        <v>2037</v>
      </c>
      <c r="B14" s="96">
        <v>499921.0156190925</v>
      </c>
      <c r="C14" s="97" t="e">
        <f t="shared" ca="1" si="0"/>
        <v>#NUM!</v>
      </c>
      <c r="D14" s="79" t="e">
        <f t="shared" ca="1" si="6"/>
        <v>#NUM!</v>
      </c>
      <c r="E14" s="97" t="e">
        <f t="shared" ca="1" si="1"/>
        <v>#NUM!</v>
      </c>
      <c r="F14" s="79" t="e">
        <f t="shared" ca="1" si="7"/>
        <v>#NUM!</v>
      </c>
      <c r="G14" s="97">
        <f t="shared" si="2"/>
        <v>0</v>
      </c>
      <c r="H14" s="79">
        <f t="shared" si="8"/>
        <v>0</v>
      </c>
      <c r="I14" s="79">
        <f>Table13[[#This Row],[LNG Share %]]*Table13[[#This Row],[Grand Total Sales]]</f>
        <v>1951.3992029239259</v>
      </c>
      <c r="J14" s="80">
        <f t="shared" si="3"/>
        <v>3.9034150234859618E-3</v>
      </c>
      <c r="K14" s="98">
        <f>Table13[[#This Row],[CNG Share %]]*Table13[[#This Row],[Grand Total Sales]]</f>
        <v>28392.008514448979</v>
      </c>
      <c r="L14" s="97">
        <f t="shared" si="4"/>
        <v>5.6792988546978493E-2</v>
      </c>
      <c r="M14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4" s="97" t="e">
        <f ca="1">Table13[[#This Row],[Diesel]]/Table13[[#This Row],[Grand Total Sales]]</f>
        <v>#NUM!</v>
      </c>
      <c r="O14" s="81" t="e">
        <f t="shared" ca="1" si="5"/>
        <v>#NUM!</v>
      </c>
      <c r="Y14" s="82"/>
    </row>
    <row r="15" spans="1:25">
      <c r="A15" s="95">
        <v>2038</v>
      </c>
      <c r="B15" s="96">
        <v>520453.58811327023</v>
      </c>
      <c r="C15" s="97" t="e">
        <f t="shared" ca="1" si="0"/>
        <v>#NUM!</v>
      </c>
      <c r="D15" s="79" t="e">
        <f t="shared" ca="1" si="6"/>
        <v>#NUM!</v>
      </c>
      <c r="E15" s="97" t="e">
        <f t="shared" ca="1" si="1"/>
        <v>#NUM!</v>
      </c>
      <c r="F15" s="79" t="e">
        <f t="shared" ca="1" si="7"/>
        <v>#NUM!</v>
      </c>
      <c r="G15" s="97">
        <f t="shared" si="2"/>
        <v>0</v>
      </c>
      <c r="H15" s="79">
        <f t="shared" si="8"/>
        <v>0</v>
      </c>
      <c r="I15" s="79">
        <f>Table13[[#This Row],[LNG Share %]]*Table13[[#This Row],[Grand Total Sales]]</f>
        <v>2171.4694069502616</v>
      </c>
      <c r="J15" s="80">
        <f t="shared" si="3"/>
        <v>4.1722633036736182E-3</v>
      </c>
      <c r="K15" s="98">
        <f>Table13[[#This Row],[CNG Share %]]*Table13[[#This Row],[Grand Total Sales]]</f>
        <v>30062.53225881566</v>
      </c>
      <c r="L15" s="97">
        <f t="shared" si="4"/>
        <v>5.7762176965283837E-2</v>
      </c>
      <c r="M15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5" s="97" t="e">
        <f ca="1">Table13[[#This Row],[Diesel]]/Table13[[#This Row],[Grand Total Sales]]</f>
        <v>#NUM!</v>
      </c>
      <c r="O15" s="81" t="e">
        <f t="shared" ca="1" si="5"/>
        <v>#NUM!</v>
      </c>
      <c r="Y15" s="82"/>
    </row>
    <row r="16" spans="1:25">
      <c r="A16" s="95">
        <v>2039</v>
      </c>
      <c r="B16" s="96">
        <v>544897.21587223513</v>
      </c>
      <c r="C16" s="97" t="e">
        <f t="shared" ca="1" si="0"/>
        <v>#NUM!</v>
      </c>
      <c r="D16" s="79" t="e">
        <f t="shared" ca="1" si="6"/>
        <v>#NUM!</v>
      </c>
      <c r="E16" s="97" t="e">
        <f t="shared" ca="1" si="1"/>
        <v>#NUM!</v>
      </c>
      <c r="F16" s="79" t="e">
        <f t="shared" ca="1" si="7"/>
        <v>#NUM!</v>
      </c>
      <c r="G16" s="97">
        <f t="shared" si="2"/>
        <v>0</v>
      </c>
      <c r="H16" s="79">
        <f t="shared" si="8"/>
        <v>0</v>
      </c>
      <c r="I16" s="79">
        <f>Table13[[#This Row],[LNG Share %]]*Table13[[#This Row],[Grand Total Sales]]</f>
        <v>2414.7456475622139</v>
      </c>
      <c r="J16" s="80">
        <f t="shared" si="3"/>
        <v>4.4315617280166319E-3</v>
      </c>
      <c r="K16" s="98">
        <f>Table13[[#This Row],[CNG Share %]]*Table13[[#This Row],[Grand Total Sales]]</f>
        <v>31862.231150500873</v>
      </c>
      <c r="L16" s="97">
        <f t="shared" si="4"/>
        <v>5.8473837308010354E-2</v>
      </c>
      <c r="M16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6" s="97" t="e">
        <f ca="1">Table13[[#This Row],[Diesel]]/Table13[[#This Row],[Grand Total Sales]]</f>
        <v>#NUM!</v>
      </c>
      <c r="O16" s="81" t="e">
        <f t="shared" ca="1" si="5"/>
        <v>#NUM!</v>
      </c>
      <c r="Y16" s="82"/>
    </row>
    <row r="17" spans="1:25">
      <c r="A17" s="95">
        <v>2040</v>
      </c>
      <c r="B17" s="96">
        <v>570440.92983826029</v>
      </c>
      <c r="C17" s="97" t="e">
        <f t="shared" ca="1" si="0"/>
        <v>#NUM!</v>
      </c>
      <c r="D17" s="79" t="e">
        <f t="shared" ca="1" si="6"/>
        <v>#NUM!</v>
      </c>
      <c r="E17" s="97" t="e">
        <f t="shared" ca="1" si="1"/>
        <v>#NUM!</v>
      </c>
      <c r="F17" s="79" t="e">
        <f t="shared" ca="1" si="7"/>
        <v>#NUM!</v>
      </c>
      <c r="G17" s="97">
        <f t="shared" si="2"/>
        <v>0</v>
      </c>
      <c r="H17" s="79">
        <f t="shared" si="8"/>
        <v>0</v>
      </c>
      <c r="I17" s="79">
        <f>Table13[[#This Row],[LNG Share %]]*Table13[[#This Row],[Grand Total Sales]]</f>
        <v>2661.2004463650019</v>
      </c>
      <c r="J17" s="80">
        <f t="shared" si="3"/>
        <v>4.6651639234925593E-3</v>
      </c>
      <c r="K17" s="98">
        <f>Table13[[#This Row],[CNG Share %]]*Table13[[#This Row],[Grand Total Sales]]</f>
        <v>33537.141100871617</v>
      </c>
      <c r="L17" s="97">
        <f t="shared" si="4"/>
        <v>5.8791610746410775E-2</v>
      </c>
      <c r="M17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7" s="97" t="e">
        <f ca="1">Table13[[#This Row],[Diesel]]/Table13[[#This Row],[Grand Total Sales]]</f>
        <v>#NUM!</v>
      </c>
      <c r="O17" s="81" t="e">
        <f t="shared" ca="1" si="5"/>
        <v>#NUM!</v>
      </c>
      <c r="Y17" s="82"/>
    </row>
    <row r="18" spans="1:25">
      <c r="A18" s="95">
        <v>2041</v>
      </c>
      <c r="B18" s="96">
        <v>599003.52173783188</v>
      </c>
      <c r="C18" s="97" t="e">
        <f t="shared" ca="1" si="0"/>
        <v>#NUM!</v>
      </c>
      <c r="D18" s="79" t="e">
        <f t="shared" ca="1" si="6"/>
        <v>#NUM!</v>
      </c>
      <c r="E18" s="97" t="e">
        <f t="shared" ca="1" si="1"/>
        <v>#NUM!</v>
      </c>
      <c r="F18" s="79" t="e">
        <f t="shared" ca="1" si="7"/>
        <v>#NUM!</v>
      </c>
      <c r="G18" s="97">
        <f t="shared" si="2"/>
        <v>0</v>
      </c>
      <c r="H18" s="79">
        <f t="shared" si="8"/>
        <v>0</v>
      </c>
      <c r="I18" s="79">
        <f>Table13[[#This Row],[LNG Share %]]*Table13[[#This Row],[Grand Total Sales]]</f>
        <v>2908.112430088167</v>
      </c>
      <c r="J18" s="80">
        <f t="shared" si="3"/>
        <v>4.8549170823756387E-3</v>
      </c>
      <c r="K18" s="98">
        <f>Table13[[#This Row],[CNG Share %]]*Table13[[#This Row],[Grand Total Sales]]</f>
        <v>35079.473399009825</v>
      </c>
      <c r="L18" s="97">
        <f t="shared" si="4"/>
        <v>5.8563050342737705E-2</v>
      </c>
      <c r="M18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8" s="97" t="e">
        <f ca="1">Table13[[#This Row],[Diesel]]/Table13[[#This Row],[Grand Total Sales]]</f>
        <v>#NUM!</v>
      </c>
      <c r="O18" s="81" t="e">
        <f t="shared" ca="1" si="5"/>
        <v>#NUM!</v>
      </c>
      <c r="Y18" s="82"/>
    </row>
    <row r="19" spans="1:25">
      <c r="A19" s="95">
        <v>2042</v>
      </c>
      <c r="B19" s="96">
        <v>627352.14783028059</v>
      </c>
      <c r="C19" s="97" t="e">
        <f t="shared" ca="1" si="0"/>
        <v>#NUM!</v>
      </c>
      <c r="D19" s="79" t="e">
        <f t="shared" ca="1" si="6"/>
        <v>#NUM!</v>
      </c>
      <c r="E19" s="97" t="e">
        <f t="shared" ca="1" si="1"/>
        <v>#NUM!</v>
      </c>
      <c r="F19" s="79" t="e">
        <f t="shared" ca="1" si="7"/>
        <v>#NUM!</v>
      </c>
      <c r="G19" s="97" t="e">
        <f t="shared" ca="1" si="2"/>
        <v>#NUM!</v>
      </c>
      <c r="H19" s="79" t="e">
        <f t="shared" ca="1" si="8"/>
        <v>#NUM!</v>
      </c>
      <c r="I19" s="79">
        <f>Table13[[#This Row],[LNG Share %]]*Table13[[#This Row],[Grand Total Sales]]</f>
        <v>3125.2537728758525</v>
      </c>
      <c r="J19" s="80">
        <f t="shared" si="3"/>
        <v>4.9816578833509258E-3</v>
      </c>
      <c r="K19" s="98">
        <f>Table13[[#This Row],[CNG Share %]]*Table13[[#This Row],[Grand Total Sales]]</f>
        <v>36152.434224790595</v>
      </c>
      <c r="L19" s="97">
        <f t="shared" si="4"/>
        <v>5.7627019130842318E-2</v>
      </c>
      <c r="M19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19" s="97" t="e">
        <f ca="1">Table13[[#This Row],[Diesel]]/Table13[[#This Row],[Grand Total Sales]]</f>
        <v>#NUM!</v>
      </c>
      <c r="O19" s="81" t="e">
        <f t="shared" ca="1" si="5"/>
        <v>#NUM!</v>
      </c>
      <c r="Y19" s="82"/>
    </row>
    <row r="20" spans="1:25">
      <c r="A20" s="95">
        <v>2043</v>
      </c>
      <c r="B20" s="96">
        <v>653885.95227445662</v>
      </c>
      <c r="C20" s="97" t="e">
        <f t="shared" ca="1" si="0"/>
        <v>#NUM!</v>
      </c>
      <c r="D20" s="79" t="e">
        <f t="shared" ca="1" si="6"/>
        <v>#NUM!</v>
      </c>
      <c r="E20" s="97" t="e">
        <f t="shared" ca="1" si="1"/>
        <v>#NUM!</v>
      </c>
      <c r="F20" s="79" t="e">
        <f t="shared" ca="1" si="7"/>
        <v>#NUM!</v>
      </c>
      <c r="G20" s="97" t="e">
        <f t="shared" ca="1" si="2"/>
        <v>#NUM!</v>
      </c>
      <c r="H20" s="79" t="e">
        <f t="shared" ca="1" si="8"/>
        <v>#NUM!</v>
      </c>
      <c r="I20" s="79">
        <f>Table13[[#This Row],[LNG Share %]]*Table13[[#This Row],[Grand Total Sales]]</f>
        <v>3286.7949426171513</v>
      </c>
      <c r="J20" s="80">
        <f t="shared" si="3"/>
        <v>5.0265568960221052E-3</v>
      </c>
      <c r="K20" s="98">
        <f>Table13[[#This Row],[CNG Share %]]*Table13[[#This Row],[Grand Total Sales]]</f>
        <v>36502.397354206689</v>
      </c>
      <c r="L20" s="97">
        <f t="shared" si="4"/>
        <v>5.5823798060254823E-2</v>
      </c>
      <c r="M20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0" s="97" t="e">
        <f ca="1">Table13[[#This Row],[Diesel]]/Table13[[#This Row],[Grand Total Sales]]</f>
        <v>#NUM!</v>
      </c>
      <c r="O20" s="81" t="e">
        <f t="shared" ca="1" si="5"/>
        <v>#NUM!</v>
      </c>
      <c r="Y20" s="82"/>
    </row>
    <row r="21" spans="1:25">
      <c r="A21" s="95">
        <v>2044</v>
      </c>
      <c r="B21" s="96">
        <v>679845.65758863045</v>
      </c>
      <c r="C21" s="97" t="e">
        <f t="shared" ca="1" si="0"/>
        <v>#NUM!</v>
      </c>
      <c r="D21" s="79" t="e">
        <f t="shared" ca="1" si="6"/>
        <v>#NUM!</v>
      </c>
      <c r="E21" s="97" t="e">
        <f t="shared" ca="1" si="1"/>
        <v>#NUM!</v>
      </c>
      <c r="F21" s="79" t="e">
        <f t="shared" ca="1" si="7"/>
        <v>#NUM!</v>
      </c>
      <c r="G21" s="97" t="e">
        <f t="shared" ca="1" si="2"/>
        <v>#NUM!</v>
      </c>
      <c r="H21" s="79" t="e">
        <f t="shared" ca="1" si="8"/>
        <v>#NUM!</v>
      </c>
      <c r="I21" s="79">
        <f>Table13[[#This Row],[LNG Share %]]*Table13[[#This Row],[Grand Total Sales]]</f>
        <v>3380.6927280508585</v>
      </c>
      <c r="J21" s="80">
        <f t="shared" si="3"/>
        <v>4.9727356353822449E-3</v>
      </c>
      <c r="K21" s="98">
        <f>Table13[[#This Row],[CNG Share %]]*Table13[[#This Row],[Grand Total Sales]]</f>
        <v>36036.91020147864</v>
      </c>
      <c r="L21" s="97">
        <f t="shared" si="4"/>
        <v>5.3007487507236981E-2</v>
      </c>
      <c r="M21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1" s="97" t="e">
        <f ca="1">Table13[[#This Row],[Diesel]]/Table13[[#This Row],[Grand Total Sales]]</f>
        <v>#NUM!</v>
      </c>
      <c r="O21" s="81" t="e">
        <f t="shared" ca="1" si="5"/>
        <v>#NUM!</v>
      </c>
      <c r="Y21" s="82"/>
    </row>
    <row r="22" spans="1:25">
      <c r="A22" s="95">
        <v>2045</v>
      </c>
      <c r="B22" s="96">
        <v>707151.92480868869</v>
      </c>
      <c r="C22" s="97" t="e">
        <f t="shared" ca="1" si="0"/>
        <v>#NUM!</v>
      </c>
      <c r="D22" s="79" t="e">
        <f t="shared" ca="1" si="6"/>
        <v>#NUM!</v>
      </c>
      <c r="E22" s="97" t="e">
        <f t="shared" ca="1" si="1"/>
        <v>#NUM!</v>
      </c>
      <c r="F22" s="79" t="e">
        <f t="shared" ca="1" si="7"/>
        <v>#NUM!</v>
      </c>
      <c r="G22" s="97" t="e">
        <f t="shared" ca="1" si="2"/>
        <v>#NUM!</v>
      </c>
      <c r="H22" s="79" t="e">
        <f t="shared" ca="1" si="8"/>
        <v>#NUM!</v>
      </c>
      <c r="I22" s="79">
        <f>Table13[[#This Row],[LNG Share %]]*Table13[[#This Row],[Grand Total Sales]]</f>
        <v>3399.2882006921268</v>
      </c>
      <c r="J22" s="80">
        <f t="shared" si="3"/>
        <v>4.8070125830623495E-3</v>
      </c>
      <c r="K22" s="98">
        <f>Table13[[#This Row],[CNG Share %]]*Table13[[#This Row],[Grand Total Sales]]</f>
        <v>34692.735460004944</v>
      </c>
      <c r="L22" s="97">
        <f t="shared" si="4"/>
        <v>4.9059804891842217E-2</v>
      </c>
      <c r="M22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2" s="97" t="e">
        <f ca="1">Table13[[#This Row],[Diesel]]/Table13[[#This Row],[Grand Total Sales]]</f>
        <v>#NUM!</v>
      </c>
      <c r="O22" s="81" t="e">
        <f t="shared" ca="1" si="5"/>
        <v>#NUM!</v>
      </c>
      <c r="Y22" s="82"/>
    </row>
    <row r="23" spans="1:25">
      <c r="A23" s="95">
        <v>2046</v>
      </c>
      <c r="B23" s="96">
        <v>733905.72927503032</v>
      </c>
      <c r="C23" s="97" t="e">
        <f t="shared" ca="1" si="0"/>
        <v>#NUM!</v>
      </c>
      <c r="D23" s="79" t="e">
        <f t="shared" ca="1" si="6"/>
        <v>#NUM!</v>
      </c>
      <c r="E23" s="97" t="e">
        <f t="shared" ca="1" si="1"/>
        <v>#NUM!</v>
      </c>
      <c r="F23" s="79" t="e">
        <f t="shared" ca="1" si="7"/>
        <v>#NUM!</v>
      </c>
      <c r="G23" s="97" t="e">
        <f t="shared" ca="1" si="2"/>
        <v>#NUM!</v>
      </c>
      <c r="H23" s="79" t="e">
        <f t="shared" ca="1" si="8"/>
        <v>#NUM!</v>
      </c>
      <c r="I23" s="79">
        <f>Table13[[#This Row],[LNG Share %]]*Table13[[#This Row],[Grand Total Sales]]</f>
        <v>3138.7630643795196</v>
      </c>
      <c r="J23" s="80">
        <f t="shared" si="3"/>
        <v>4.2767932435683054E-3</v>
      </c>
      <c r="K23" s="98">
        <f>Table13[[#This Row],[CNG Share %]]*Table13[[#This Row],[Grand Total Sales]]</f>
        <v>32074.981467662594</v>
      </c>
      <c r="L23" s="97">
        <f t="shared" si="4"/>
        <v>4.3704497986883181E-2</v>
      </c>
      <c r="M23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3" s="97" t="e">
        <f ca="1">Table13[[#This Row],[Diesel]]/Table13[[#This Row],[Grand Total Sales]]</f>
        <v>#NUM!</v>
      </c>
      <c r="O23" s="81" t="e">
        <f t="shared" ca="1" si="5"/>
        <v>#NUM!</v>
      </c>
      <c r="Y23" s="82"/>
    </row>
    <row r="24" spans="1:25">
      <c r="A24" s="95">
        <v>2047</v>
      </c>
      <c r="B24" s="96">
        <v>762287.14309451857</v>
      </c>
      <c r="C24" s="97" t="e">
        <f t="shared" ca="1" si="0"/>
        <v>#NUM!</v>
      </c>
      <c r="D24" s="79" t="e">
        <f t="shared" ca="1" si="6"/>
        <v>#NUM!</v>
      </c>
      <c r="E24" s="97" t="e">
        <f t="shared" ca="1" si="1"/>
        <v>#NUM!</v>
      </c>
      <c r="F24" s="79" t="e">
        <f t="shared" ca="1" si="7"/>
        <v>#NUM!</v>
      </c>
      <c r="G24" s="97" t="e">
        <f t="shared" ca="1" si="2"/>
        <v>#NUM!</v>
      </c>
      <c r="H24" s="79" t="e">
        <f t="shared" ca="1" si="8"/>
        <v>#NUM!</v>
      </c>
      <c r="I24" s="79">
        <f>Table13[[#This Row],[LNG Share %]]*Table13[[#This Row],[Grand Total Sales]]</f>
        <v>2797.5209655379822</v>
      </c>
      <c r="J24" s="80">
        <f t="shared" si="3"/>
        <v>3.6699044328379915E-3</v>
      </c>
      <c r="K24" s="98">
        <f>Table13[[#This Row],[CNG Share %]]*Table13[[#This Row],[Grand Total Sales]]</f>
        <v>28696.618606780121</v>
      </c>
      <c r="L24" s="97">
        <f t="shared" si="4"/>
        <v>3.7645418615202764E-2</v>
      </c>
      <c r="M24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4" s="97" t="e">
        <f ca="1">Table13[[#This Row],[Diesel]]/Table13[[#This Row],[Grand Total Sales]]</f>
        <v>#NUM!</v>
      </c>
      <c r="O24" s="81" t="e">
        <f t="shared" ca="1" si="5"/>
        <v>#NUM!</v>
      </c>
      <c r="Y24" s="82"/>
    </row>
    <row r="25" spans="1:25">
      <c r="A25" s="95">
        <v>2048</v>
      </c>
      <c r="B25" s="96">
        <v>775644.39619870787</v>
      </c>
      <c r="C25" s="97" t="e">
        <f t="shared" ca="1" si="0"/>
        <v>#NUM!</v>
      </c>
      <c r="D25" s="79" t="e">
        <f t="shared" ca="1" si="6"/>
        <v>#NUM!</v>
      </c>
      <c r="E25" s="97" t="e">
        <f t="shared" ca="1" si="1"/>
        <v>#NUM!</v>
      </c>
      <c r="F25" s="79" t="e">
        <f t="shared" ca="1" si="7"/>
        <v>#NUM!</v>
      </c>
      <c r="G25" s="97" t="e">
        <f t="shared" ca="1" si="2"/>
        <v>#NUM!</v>
      </c>
      <c r="H25" s="79" t="e">
        <f t="shared" ca="1" si="8"/>
        <v>#NUM!</v>
      </c>
      <c r="I25" s="79">
        <f>Table13[[#This Row],[LNG Share %]]*Table13[[#This Row],[Grand Total Sales]]</f>
        <v>2345.2883994985714</v>
      </c>
      <c r="J25" s="80">
        <f t="shared" si="3"/>
        <v>3.0236644665937165E-3</v>
      </c>
      <c r="K25" s="98">
        <f>Table13[[#This Row],[CNG Share %]]*Table13[[#This Row],[Grand Total Sales]]</f>
        <v>24208.362081405387</v>
      </c>
      <c r="L25" s="97">
        <f t="shared" si="4"/>
        <v>3.1210645239037587E-2</v>
      </c>
      <c r="M25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5" s="97" t="e">
        <f ca="1">Table13[[#This Row],[Diesel]]/Table13[[#This Row],[Grand Total Sales]]</f>
        <v>#NUM!</v>
      </c>
      <c r="O25" s="81" t="e">
        <f t="shared" ca="1" si="5"/>
        <v>#NUM!</v>
      </c>
      <c r="Y25" s="82"/>
    </row>
    <row r="26" spans="1:25">
      <c r="A26" s="95">
        <v>2049</v>
      </c>
      <c r="B26" s="96">
        <v>799528.3922447518</v>
      </c>
      <c r="C26" s="97" t="e">
        <f t="shared" ca="1" si="0"/>
        <v>#NUM!</v>
      </c>
      <c r="D26" s="79" t="e">
        <f t="shared" ca="1" si="6"/>
        <v>#NUM!</v>
      </c>
      <c r="E26" s="97" t="e">
        <f t="shared" ca="1" si="1"/>
        <v>#NUM!</v>
      </c>
      <c r="F26" s="79" t="e">
        <f t="shared" ca="1" si="7"/>
        <v>#NUM!</v>
      </c>
      <c r="G26" s="97" t="e">
        <f t="shared" ca="1" si="2"/>
        <v>#NUM!</v>
      </c>
      <c r="H26" s="79" t="e">
        <f t="shared" ca="1" si="8"/>
        <v>#NUM!</v>
      </c>
      <c r="I26" s="79">
        <f>Table13[[#This Row],[LNG Share %]]*Table13[[#This Row],[Grand Total Sales]]</f>
        <v>1900.7212400391561</v>
      </c>
      <c r="J26" s="80">
        <f t="shared" si="3"/>
        <v>2.3773029932091603E-3</v>
      </c>
      <c r="K26" s="98">
        <f>Table13[[#This Row],[CNG Share %]]*Table13[[#This Row],[Grand Total Sales]]</f>
        <v>19789.503568554144</v>
      </c>
      <c r="L26" s="97">
        <f t="shared" si="4"/>
        <v>2.4751470692608222E-2</v>
      </c>
      <c r="M26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6" s="97" t="e">
        <f ca="1">Table13[[#This Row],[Diesel]]/Table13[[#This Row],[Grand Total Sales]]</f>
        <v>#NUM!</v>
      </c>
      <c r="O26" s="81" t="e">
        <f t="shared" ca="1" si="5"/>
        <v>#NUM!</v>
      </c>
      <c r="Y26" s="82"/>
    </row>
    <row r="27" spans="1:25">
      <c r="A27" s="95">
        <v>2050</v>
      </c>
      <c r="B27" s="96">
        <v>853377.39840152417</v>
      </c>
      <c r="C27" s="97" t="e">
        <f t="shared" ca="1" si="0"/>
        <v>#NUM!</v>
      </c>
      <c r="D27" s="79" t="e">
        <f t="shared" ca="1" si="6"/>
        <v>#NUM!</v>
      </c>
      <c r="E27" s="97" t="e">
        <f t="shared" ca="1" si="1"/>
        <v>#NUM!</v>
      </c>
      <c r="F27" s="79" t="e">
        <f t="shared" ca="1" si="7"/>
        <v>#NUM!</v>
      </c>
      <c r="G27" s="97" t="e">
        <f t="shared" ca="1" si="2"/>
        <v>#NUM!</v>
      </c>
      <c r="H27" s="79" t="e">
        <f t="shared" ca="1" si="8"/>
        <v>#NUM!</v>
      </c>
      <c r="I27" s="79">
        <f>Table13[[#This Row],[LNG Share %]]*Table13[[#This Row],[Grand Total Sales]]</f>
        <v>1508.5827965402332</v>
      </c>
      <c r="J27" s="80">
        <f t="shared" si="3"/>
        <v>1.7677791787853597E-3</v>
      </c>
      <c r="K27" s="98">
        <f>Table13[[#This Row],[CNG Share %]]*Table13[[#This Row],[Grand Total Sales]]</f>
        <v>15879.719269098341</v>
      </c>
      <c r="L27" s="97">
        <f t="shared" si="4"/>
        <v>1.8608085120185882E-2</v>
      </c>
      <c r="M27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7" s="97" t="e">
        <f ca="1">Table13[[#This Row],[Diesel]]/Table13[[#This Row],[Grand Total Sales]]</f>
        <v>#NUM!</v>
      </c>
      <c r="O27" s="81" t="e">
        <f t="shared" ca="1" si="5"/>
        <v>#NUM!</v>
      </c>
      <c r="Y27" s="82"/>
    </row>
    <row r="28" spans="1:25">
      <c r="A28" s="95">
        <v>2051</v>
      </c>
      <c r="B28" s="96">
        <v>887732.45411361207</v>
      </c>
      <c r="C28" s="97" t="e">
        <f t="shared" ca="1" si="0"/>
        <v>#NUM!</v>
      </c>
      <c r="D28" s="79" t="e">
        <f t="shared" ca="1" si="6"/>
        <v>#NUM!</v>
      </c>
      <c r="E28" s="97" t="e">
        <f t="shared" ca="1" si="1"/>
        <v>#NUM!</v>
      </c>
      <c r="F28" s="79" t="e">
        <f t="shared" ca="1" si="7"/>
        <v>#NUM!</v>
      </c>
      <c r="G28" s="97" t="e">
        <f t="shared" ca="1" si="2"/>
        <v>#NUM!</v>
      </c>
      <c r="H28" s="79" t="e">
        <f t="shared" ca="1" si="8"/>
        <v>#NUM!</v>
      </c>
      <c r="I28" s="79">
        <f>Table13[[#This Row],[LNG Share %]]*Table13[[#This Row],[Grand Total Sales]]</f>
        <v>1088.2010808981229</v>
      </c>
      <c r="J28" s="80">
        <f t="shared" si="3"/>
        <v>1.225820995791661E-3</v>
      </c>
      <c r="K28" s="98">
        <f>Table13[[#This Row],[CNG Share %]]*Table13[[#This Row],[Grand Total Sales]]</f>
        <v>11607.094395115642</v>
      </c>
      <c r="L28" s="97">
        <f t="shared" si="4"/>
        <v>1.3074991616370674E-2</v>
      </c>
      <c r="M28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8" s="97" t="e">
        <f ca="1">Table13[[#This Row],[Diesel]]/Table13[[#This Row],[Grand Total Sales]]</f>
        <v>#NUM!</v>
      </c>
      <c r="O28" s="81" t="e">
        <f t="shared" ca="1" si="5"/>
        <v>#NUM!</v>
      </c>
      <c r="Y28" s="82"/>
    </row>
    <row r="29" spans="1:25">
      <c r="A29" s="95">
        <v>2052</v>
      </c>
      <c r="B29" s="96">
        <v>922779.7166642159</v>
      </c>
      <c r="C29" s="97" t="e">
        <f t="shared" ca="1" si="0"/>
        <v>#NUM!</v>
      </c>
      <c r="D29" s="79" t="e">
        <f t="shared" ca="1" si="6"/>
        <v>#NUM!</v>
      </c>
      <c r="E29" s="97" t="e">
        <f t="shared" ca="1" si="1"/>
        <v>#NUM!</v>
      </c>
      <c r="F29" s="79" t="e">
        <f t="shared" ca="1" si="7"/>
        <v>#NUM!</v>
      </c>
      <c r="G29" s="97" t="e">
        <f t="shared" ca="1" si="2"/>
        <v>#NUM!</v>
      </c>
      <c r="H29" s="79" t="e">
        <f t="shared" ca="1" si="8"/>
        <v>#NUM!</v>
      </c>
      <c r="I29" s="79">
        <f>Table13[[#This Row],[LNG Share %]]*Table13[[#This Row],[Grand Total Sales]]</f>
        <v>713.17543420312768</v>
      </c>
      <c r="J29" s="80">
        <f t="shared" si="3"/>
        <v>7.72855559484128E-4</v>
      </c>
      <c r="K29" s="98">
        <f>Table13[[#This Row],[CNG Share %]]*Table13[[#This Row],[Grand Total Sales]]</f>
        <v>7725.1390566887349</v>
      </c>
      <c r="L29" s="97">
        <f t="shared" si="4"/>
        <v>8.3715960777882847E-3</v>
      </c>
      <c r="M29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29" s="97" t="e">
        <f ca="1">Table13[[#This Row],[Diesel]]/Table13[[#This Row],[Grand Total Sales]]</f>
        <v>#NUM!</v>
      </c>
      <c r="O29" s="81" t="e">
        <f t="shared" ca="1" si="5"/>
        <v>#NUM!</v>
      </c>
      <c r="Y29" s="82"/>
    </row>
    <row r="30" spans="1:25">
      <c r="A30" s="95">
        <v>2053</v>
      </c>
      <c r="B30" s="96">
        <v>958111.62865612877</v>
      </c>
      <c r="C30" s="97" t="e">
        <f t="shared" ca="1" si="0"/>
        <v>#NUM!</v>
      </c>
      <c r="D30" s="79" t="e">
        <f t="shared" ca="1" si="6"/>
        <v>#NUM!</v>
      </c>
      <c r="E30" s="97" t="e">
        <f t="shared" ca="1" si="1"/>
        <v>#NUM!</v>
      </c>
      <c r="F30" s="79" t="e">
        <f t="shared" ca="1" si="7"/>
        <v>#NUM!</v>
      </c>
      <c r="G30" s="97" t="e">
        <f t="shared" ca="1" si="2"/>
        <v>#NUM!</v>
      </c>
      <c r="H30" s="79" t="e">
        <f t="shared" ca="1" si="8"/>
        <v>#NUM!</v>
      </c>
      <c r="I30" s="79">
        <f>Table13[[#This Row],[LNG Share %]]*Table13[[#This Row],[Grand Total Sales]]</f>
        <v>401.80169597645784</v>
      </c>
      <c r="J30" s="80">
        <f t="shared" si="3"/>
        <v>4.193683532888907E-4</v>
      </c>
      <c r="K30" s="98">
        <f>Table13[[#This Row],[CNG Share %]]*Table13[[#This Row],[Grand Total Sales]]</f>
        <v>4429.3493475484765</v>
      </c>
      <c r="L30" s="97">
        <f t="shared" si="4"/>
        <v>4.6229992571546101E-3</v>
      </c>
      <c r="M30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30" s="97" t="e">
        <f ca="1">Table13[[#This Row],[Diesel]]/Table13[[#This Row],[Grand Total Sales]]</f>
        <v>#NUM!</v>
      </c>
      <c r="O30" s="81" t="e">
        <f t="shared" ca="1" si="5"/>
        <v>#NUM!</v>
      </c>
      <c r="Y30" s="82"/>
    </row>
    <row r="31" spans="1:25">
      <c r="A31" s="95">
        <v>2054</v>
      </c>
      <c r="B31" s="96">
        <v>993759.15863359021</v>
      </c>
      <c r="C31" s="97" t="e">
        <f t="shared" ca="1" si="0"/>
        <v>#NUM!</v>
      </c>
      <c r="D31" s="79" t="e">
        <f t="shared" ca="1" si="6"/>
        <v>#NUM!</v>
      </c>
      <c r="E31" s="97" t="e">
        <f t="shared" ca="1" si="1"/>
        <v>#NUM!</v>
      </c>
      <c r="F31" s="79" t="e">
        <f t="shared" ca="1" si="7"/>
        <v>#NUM!</v>
      </c>
      <c r="G31" s="97" t="e">
        <f t="shared" ca="1" si="2"/>
        <v>#NUM!</v>
      </c>
      <c r="H31" s="79" t="e">
        <f t="shared" ca="1" si="8"/>
        <v>#NUM!</v>
      </c>
      <c r="I31" s="79">
        <f>Table13[[#This Row],[LNG Share %]]*Table13[[#This Row],[Grand Total Sales]]</f>
        <v>163.92829450801733</v>
      </c>
      <c r="J31" s="80">
        <f t="shared" si="3"/>
        <v>1.6495776978137967E-4</v>
      </c>
      <c r="K31" s="98">
        <f>Table13[[#This Row],[CNG Share %]]*Table13[[#This Row],[Grand Total Sales]]</f>
        <v>1842.8332468676435</v>
      </c>
      <c r="L31" s="97">
        <f t="shared" si="4"/>
        <v>1.8544063024299796E-3</v>
      </c>
      <c r="M31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31" s="97" t="e">
        <f ca="1">Table13[[#This Row],[Diesel]]/Table13[[#This Row],[Grand Total Sales]]</f>
        <v>#NUM!</v>
      </c>
      <c r="O31" s="81" t="e">
        <f t="shared" ca="1" si="5"/>
        <v>#NUM!</v>
      </c>
      <c r="Y31" s="82"/>
    </row>
    <row r="32" spans="1:25">
      <c r="A32" s="95">
        <v>2055</v>
      </c>
      <c r="B32" s="96">
        <v>1030212.0249440252</v>
      </c>
      <c r="C32" s="97" t="e">
        <f t="shared" ca="1" si="0"/>
        <v>#NUM!</v>
      </c>
      <c r="D32" s="79" t="e">
        <f t="shared" ca="1" si="6"/>
        <v>#NUM!</v>
      </c>
      <c r="E32" s="97" t="e">
        <f t="shared" ca="1" si="1"/>
        <v>#NUM!</v>
      </c>
      <c r="F32" s="79" t="e">
        <f t="shared" ca="1" si="7"/>
        <v>#NUM!</v>
      </c>
      <c r="G32" s="97" t="e">
        <f t="shared" ca="1" si="2"/>
        <v>#NUM!</v>
      </c>
      <c r="H32" s="79" t="e">
        <f t="shared" ca="1" si="8"/>
        <v>#NUM!</v>
      </c>
      <c r="I32" s="79">
        <f>Table13[[#This Row],[LNG Share %]]*Table13[[#This Row],[Grand Total Sales]]</f>
        <v>0</v>
      </c>
      <c r="J32" s="80">
        <f t="shared" si="3"/>
        <v>0</v>
      </c>
      <c r="K32" s="98">
        <f>Table13[[#This Row],[CNG Share %]]*Table13[[#This Row],[Grand Total Sales]]</f>
        <v>0</v>
      </c>
      <c r="L32" s="97">
        <f t="shared" si="4"/>
        <v>0</v>
      </c>
      <c r="M32" s="99" t="e">
        <f ca="1">Table13[[#This Row],[Grand Total Sales]]-(Table13[[#This Row],[BET Units BAU]]+Table13[[#This Row],[H2 ICE Units]]+Table13[[#This Row],[H2 FCET Units]]+Table13[[#This Row],[LNG Units]]+Table13[[#This Row],[CNG Units]])</f>
        <v>#NUM!</v>
      </c>
      <c r="N32" s="97" t="e">
        <f ca="1">Table13[[#This Row],[Diesel]]/Table13[[#This Row],[Grand Total Sales]]</f>
        <v>#NUM!</v>
      </c>
      <c r="O32" s="81" t="e">
        <f t="shared" ca="1" si="5"/>
        <v>#NUM!</v>
      </c>
      <c r="Y32" s="82"/>
    </row>
  </sheetData>
  <autoFilter ref="O1:O32" xr:uid="{00000000-0009-0000-0000-000010000000}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9"/>
  <sheetViews>
    <sheetView zoomScale="80" zoomScaleNormal="8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U29" sqref="U29"/>
    </sheetView>
  </sheetViews>
  <sheetFormatPr defaultColWidth="8.88671875" defaultRowHeight="14.4"/>
  <cols>
    <col min="1" max="1" width="8.88671875" style="4" customWidth="1"/>
    <col min="2" max="2" width="8.88671875" style="4" bestFit="1" customWidth="1"/>
    <col min="3" max="3" width="9.88671875" style="4" bestFit="1" customWidth="1"/>
    <col min="4" max="4" width="8.88671875" style="4" bestFit="1" customWidth="1"/>
    <col min="5" max="5" width="9.88671875" style="4" bestFit="1" customWidth="1"/>
    <col min="6" max="6" width="8.88671875" style="4" bestFit="1" customWidth="1"/>
    <col min="7" max="7" width="9.88671875" style="4" bestFit="1" customWidth="1"/>
    <col min="8" max="8" width="8.88671875" style="4" bestFit="1" customWidth="1"/>
    <col min="9" max="9" width="9.88671875" style="4" bestFit="1" customWidth="1"/>
    <col min="10" max="10" width="8.88671875" style="4" customWidth="1"/>
    <col min="11" max="11" width="9.88671875" style="4" bestFit="1" customWidth="1"/>
    <col min="12" max="13" width="8.88671875" style="4" customWidth="1"/>
    <col min="14" max="14" width="9.88671875" style="4" bestFit="1" customWidth="1"/>
    <col min="15" max="15" width="11.44140625" style="4" bestFit="1" customWidth="1"/>
    <col min="16" max="16" width="8.88671875" style="4" bestFit="1" customWidth="1"/>
    <col min="17" max="31" width="10.109375" style="4" bestFit="1" customWidth="1"/>
    <col min="32" max="35" width="9" style="4" bestFit="1" customWidth="1"/>
    <col min="36" max="36" width="10.109375" style="4" bestFit="1" customWidth="1"/>
    <col min="37" max="16384" width="8.88671875" style="4"/>
  </cols>
  <sheetData>
    <row r="1" spans="1:27" s="126" customFormat="1">
      <c r="B1" s="976" t="s">
        <v>178</v>
      </c>
      <c r="C1" s="976"/>
      <c r="D1" s="976" t="s">
        <v>535</v>
      </c>
      <c r="E1" s="976"/>
      <c r="F1" s="976" t="s">
        <v>181</v>
      </c>
      <c r="G1" s="976"/>
      <c r="H1" s="976" t="s">
        <v>331</v>
      </c>
      <c r="I1" s="976"/>
      <c r="J1" s="976" t="s">
        <v>179</v>
      </c>
      <c r="K1" s="976"/>
      <c r="L1" s="976" t="s">
        <v>180</v>
      </c>
      <c r="M1" s="976"/>
      <c r="N1" s="976" t="s">
        <v>536</v>
      </c>
      <c r="O1" s="976"/>
      <c r="Q1" s="976" t="s">
        <v>537</v>
      </c>
      <c r="R1" s="976"/>
      <c r="T1" s="5" t="s">
        <v>538</v>
      </c>
      <c r="U1" s="5"/>
      <c r="V1" s="5"/>
      <c r="W1" s="5"/>
      <c r="X1" s="5"/>
      <c r="Y1" s="5"/>
      <c r="Z1" s="5"/>
      <c r="AA1" s="5"/>
    </row>
    <row r="2" spans="1:27" s="127" customFormat="1" ht="28.8">
      <c r="B2" s="127" t="s">
        <v>539</v>
      </c>
      <c r="C2" s="127" t="s">
        <v>540</v>
      </c>
      <c r="D2" s="127" t="s">
        <v>539</v>
      </c>
      <c r="E2" s="127" t="s">
        <v>541</v>
      </c>
      <c r="F2" s="127" t="s">
        <v>539</v>
      </c>
      <c r="G2" s="127" t="s">
        <v>542</v>
      </c>
      <c r="H2" s="127" t="s">
        <v>539</v>
      </c>
      <c r="I2" s="127" t="s">
        <v>543</v>
      </c>
      <c r="J2" s="127" t="s">
        <v>539</v>
      </c>
      <c r="K2" s="127" t="s">
        <v>543</v>
      </c>
      <c r="L2" s="127" t="s">
        <v>539</v>
      </c>
      <c r="M2" s="127" t="s">
        <v>543</v>
      </c>
      <c r="N2" s="127" t="s">
        <v>539</v>
      </c>
      <c r="O2" s="127" t="s">
        <v>544</v>
      </c>
      <c r="P2" s="127" t="s">
        <v>1072</v>
      </c>
      <c r="Q2" s="127" t="s">
        <v>539</v>
      </c>
      <c r="R2" s="127" t="s">
        <v>545</v>
      </c>
      <c r="T2" s="127" t="s">
        <v>38</v>
      </c>
      <c r="U2" s="127" t="s">
        <v>44</v>
      </c>
      <c r="V2" s="127" t="s">
        <v>45</v>
      </c>
      <c r="W2" s="127" t="s">
        <v>46</v>
      </c>
      <c r="X2" s="127" t="s">
        <v>47</v>
      </c>
      <c r="Y2" s="127" t="s">
        <v>48</v>
      </c>
      <c r="Z2" s="127" t="s">
        <v>49</v>
      </c>
      <c r="AA2" s="127" t="s">
        <v>50</v>
      </c>
    </row>
    <row r="3" spans="1:27" s="127" customFormat="1">
      <c r="A3" s="127">
        <v>1999</v>
      </c>
      <c r="N3" s="128">
        <f t="shared" ref="N3:N6" si="0">N4/(N18/N4)^(1/12)</f>
        <v>79343.156585160599</v>
      </c>
      <c r="P3" s="757">
        <f t="shared" ref="P3:P6" si="1">P4/(P18/P4)^(1/12)</f>
        <v>83519.112194905887</v>
      </c>
    </row>
    <row r="4" spans="1:27" s="127" customFormat="1">
      <c r="A4" s="127">
        <v>2000</v>
      </c>
      <c r="N4" s="128">
        <f t="shared" si="0"/>
        <v>83546.982293313471</v>
      </c>
      <c r="P4" s="757">
        <f t="shared" si="1"/>
        <v>87944.191887698384</v>
      </c>
    </row>
    <row r="5" spans="1:27" s="126" customFormat="1">
      <c r="A5" s="126">
        <v>2001</v>
      </c>
      <c r="N5" s="128">
        <f t="shared" si="0"/>
        <v>88491.696678697044</v>
      </c>
      <c r="P5" s="757">
        <f t="shared" si="1"/>
        <v>93149.154398628467</v>
      </c>
      <c r="Q5" s="125" t="e">
        <f t="shared" ref="Q5:Q16" ca="1" si="2">Q6/(Q20/Q6)^(1/12)</f>
        <v>#REF!</v>
      </c>
    </row>
    <row r="6" spans="1:27" s="126" customFormat="1">
      <c r="A6" s="126">
        <v>2002</v>
      </c>
      <c r="N6" s="128">
        <f t="shared" si="0"/>
        <v>95340.779117190861</v>
      </c>
      <c r="P6" s="757">
        <f t="shared" si="1"/>
        <v>100358.71486020091</v>
      </c>
      <c r="Q6" s="125" t="e">
        <f t="shared" ca="1" si="2"/>
        <v>#REF!</v>
      </c>
    </row>
    <row r="7" spans="1:27" s="126" customFormat="1">
      <c r="A7" s="126">
        <v>2003</v>
      </c>
      <c r="N7" s="757">
        <f>N8/(N22/N8)^(1/12)</f>
        <v>102700.61821588653</v>
      </c>
      <c r="P7" s="757">
        <f>P8/(P22/P8)^(1/12)</f>
        <v>108105.9139114595</v>
      </c>
      <c r="Q7" s="125" t="e">
        <f ca="1">Q8/(Q22/Q8)^(1/12)</f>
        <v>#REF!</v>
      </c>
    </row>
    <row r="8" spans="1:27" s="126" customFormat="1">
      <c r="A8" s="126">
        <v>2004</v>
      </c>
      <c r="N8" s="128">
        <f t="shared" ref="N8:N17" si="3">P8*0.95</f>
        <v>110543.9</v>
      </c>
      <c r="P8" s="128">
        <v>116362</v>
      </c>
      <c r="Q8" s="125" t="e">
        <f t="shared" ca="1" si="2"/>
        <v>#REF!</v>
      </c>
    </row>
    <row r="9" spans="1:27" s="126" customFormat="1">
      <c r="A9" s="126">
        <v>2005</v>
      </c>
      <c r="N9" s="128">
        <f t="shared" si="3"/>
        <v>138511.9</v>
      </c>
      <c r="P9" s="128">
        <v>145802</v>
      </c>
      <c r="Q9" s="125" t="e">
        <f t="shared" ca="1" si="2"/>
        <v>#REF!</v>
      </c>
    </row>
    <row r="10" spans="1:27" s="126" customFormat="1">
      <c r="A10" s="126">
        <v>2006</v>
      </c>
      <c r="N10" s="128">
        <f t="shared" si="3"/>
        <v>145504.85</v>
      </c>
      <c r="P10" s="128">
        <v>153163</v>
      </c>
      <c r="Q10" s="125" t="e">
        <f t="shared" ca="1" si="2"/>
        <v>#REF!</v>
      </c>
    </row>
    <row r="11" spans="1:27" s="126" customFormat="1">
      <c r="A11" s="126">
        <v>2007</v>
      </c>
      <c r="N11" s="128">
        <f t="shared" si="3"/>
        <v>204616.69999999998</v>
      </c>
      <c r="P11" s="128">
        <v>215386</v>
      </c>
      <c r="Q11" s="125" t="e">
        <f t="shared" ca="1" si="2"/>
        <v>#REF!</v>
      </c>
    </row>
    <row r="12" spans="1:27" s="126" customFormat="1">
      <c r="A12" s="126">
        <v>2008</v>
      </c>
      <c r="N12" s="128">
        <f t="shared" si="3"/>
        <v>191800.25</v>
      </c>
      <c r="P12" s="128">
        <v>201895</v>
      </c>
      <c r="Q12" s="125" t="e">
        <f ca="1">Q13/(#REF!/Q13)^(1/12)</f>
        <v>#REF!</v>
      </c>
    </row>
    <row r="13" spans="1:27" s="126" customFormat="1">
      <c r="A13" s="126">
        <v>2009</v>
      </c>
      <c r="N13" s="128">
        <f t="shared" si="3"/>
        <v>143059.54999999999</v>
      </c>
      <c r="P13" s="128">
        <v>150589</v>
      </c>
      <c r="Q13" s="125" t="e">
        <f ca="1">Q14/(#REF!/Q14)^(1/12)</f>
        <v>#REF!</v>
      </c>
    </row>
    <row r="14" spans="1:27" s="126" customFormat="1">
      <c r="A14" s="126">
        <v>2010</v>
      </c>
      <c r="N14" s="128">
        <f t="shared" si="3"/>
        <v>155287.94999999998</v>
      </c>
      <c r="P14" s="128">
        <v>163461</v>
      </c>
      <c r="Q14" s="125">
        <f t="shared" ca="1" si="2"/>
        <v>881467.54567437165</v>
      </c>
    </row>
    <row r="15" spans="1:27">
      <c r="A15" s="126">
        <v>2011</v>
      </c>
      <c r="N15" s="128">
        <f t="shared" si="3"/>
        <v>230899.4</v>
      </c>
      <c r="P15" s="128">
        <v>243052</v>
      </c>
      <c r="Q15" s="125">
        <f t="shared" ca="1" si="2"/>
        <v>451908.94498160802</v>
      </c>
    </row>
    <row r="16" spans="1:27">
      <c r="A16" s="126">
        <v>2012</v>
      </c>
      <c r="N16" s="128">
        <f t="shared" si="3"/>
        <v>250016.25</v>
      </c>
      <c r="P16" s="128">
        <v>263175</v>
      </c>
      <c r="Q16" s="125">
        <f t="shared" ca="1" si="2"/>
        <v>263559.49164729752</v>
      </c>
    </row>
    <row r="17" spans="1:27">
      <c r="A17" s="126">
        <v>2013</v>
      </c>
      <c r="N17" s="128">
        <f t="shared" si="3"/>
        <v>202307.25</v>
      </c>
      <c r="P17" s="128">
        <v>212955</v>
      </c>
      <c r="Q17" s="125">
        <f ca="1">Q18/(Q32/Q18)^(1/12)</f>
        <v>170415.27605707041</v>
      </c>
    </row>
    <row r="18" spans="1:27">
      <c r="A18" s="126">
        <v>2014</v>
      </c>
      <c r="N18" s="128">
        <f t="shared" ref="N18:N23" si="4">P18*0.95</f>
        <v>155233.79999999999</v>
      </c>
      <c r="P18" s="128">
        <v>163404</v>
      </c>
      <c r="Q18" s="128">
        <v>120475</v>
      </c>
    </row>
    <row r="19" spans="1:27">
      <c r="A19" s="126">
        <v>2015</v>
      </c>
      <c r="N19" s="128">
        <f t="shared" si="4"/>
        <v>176426.4</v>
      </c>
      <c r="P19" s="128">
        <v>185712</v>
      </c>
      <c r="Q19" s="128">
        <v>158398</v>
      </c>
    </row>
    <row r="20" spans="1:27">
      <c r="A20" s="126">
        <v>2016</v>
      </c>
      <c r="N20" s="128">
        <f t="shared" si="4"/>
        <v>233234.5</v>
      </c>
      <c r="P20" s="128">
        <v>245510</v>
      </c>
      <c r="Q20" s="128">
        <v>214258</v>
      </c>
    </row>
    <row r="21" spans="1:27">
      <c r="A21" s="126">
        <v>2017</v>
      </c>
      <c r="N21" s="128">
        <f t="shared" si="4"/>
        <v>250671.75</v>
      </c>
      <c r="P21" s="128">
        <v>263865</v>
      </c>
      <c r="Q21" s="128">
        <v>211032</v>
      </c>
    </row>
    <row r="22" spans="1:27">
      <c r="A22" s="126">
        <v>2018</v>
      </c>
      <c r="N22" s="128">
        <f t="shared" si="4"/>
        <v>267347.09999999998</v>
      </c>
      <c r="P22" s="128">
        <v>281418</v>
      </c>
      <c r="Q22" s="128">
        <v>247608</v>
      </c>
    </row>
    <row r="23" spans="1:27">
      <c r="A23" s="126">
        <v>2019</v>
      </c>
      <c r="N23" s="128">
        <f t="shared" si="4"/>
        <v>320609.8</v>
      </c>
      <c r="P23" s="128">
        <v>337484</v>
      </c>
      <c r="Q23" s="128">
        <v>274768</v>
      </c>
    </row>
    <row r="24" spans="1:27">
      <c r="A24" s="126">
        <v>2020</v>
      </c>
      <c r="N24" s="128">
        <f>P24*0.95</f>
        <v>230718.9</v>
      </c>
      <c r="P24" s="128">
        <v>242862</v>
      </c>
      <c r="Q24" s="128">
        <v>143237</v>
      </c>
    </row>
    <row r="25" spans="1:27">
      <c r="A25" s="126">
        <v>2021</v>
      </c>
      <c r="N25" s="128">
        <v>125404</v>
      </c>
      <c r="P25" s="128">
        <v>94647</v>
      </c>
      <c r="Q25" s="128">
        <v>125404</v>
      </c>
    </row>
    <row r="26" spans="1:27">
      <c r="A26" s="126">
        <v>2022</v>
      </c>
      <c r="N26" s="128">
        <v>193951</v>
      </c>
      <c r="P26" s="128">
        <v>189517</v>
      </c>
      <c r="Q26" s="128">
        <v>193951</v>
      </c>
    </row>
    <row r="27" spans="1:27">
      <c r="A27" s="126">
        <v>2023</v>
      </c>
      <c r="N27" s="128">
        <v>274193.36683216912</v>
      </c>
      <c r="O27" s="128">
        <v>5193503</v>
      </c>
      <c r="P27" s="128">
        <v>285425</v>
      </c>
      <c r="Q27" s="4" t="s">
        <v>1073</v>
      </c>
      <c r="R27" s="128"/>
      <c r="T27" s="6"/>
      <c r="U27" s="8"/>
      <c r="V27" s="8"/>
      <c r="W27" s="8"/>
      <c r="X27" s="8"/>
      <c r="Y27" s="8"/>
      <c r="Z27" s="8"/>
      <c r="AA27" s="8"/>
    </row>
    <row r="28" spans="1:27">
      <c r="A28" s="126">
        <v>2024</v>
      </c>
      <c r="N28" s="128">
        <v>267078.16728943493</v>
      </c>
      <c r="O28" s="128">
        <f>O27-N3+N28-125000</f>
        <v>5256238.0107042743</v>
      </c>
      <c r="P28" s="977" t="s">
        <v>546</v>
      </c>
      <c r="R28" s="128"/>
      <c r="T28" s="6">
        <f t="shared" ref="T28:T59" si="5">SUM(U28:AA28)</f>
        <v>0</v>
      </c>
      <c r="U28" s="9"/>
      <c r="V28" s="9"/>
      <c r="W28" s="9"/>
      <c r="X28" s="9"/>
      <c r="Y28" s="9"/>
      <c r="Z28" s="9"/>
      <c r="AA28" s="9"/>
    </row>
    <row r="29" spans="1:27" ht="14.85" customHeight="1">
      <c r="A29" s="129">
        <v>2025</v>
      </c>
      <c r="B29" s="130">
        <f ca="1">PTTM!M2</f>
        <v>254978</v>
      </c>
      <c r="C29" s="132">
        <f ca="1">O29-I29-G29-E29-K29-M29</f>
        <v>5302669.0284109609</v>
      </c>
      <c r="D29" s="130">
        <f ca="1">PTTM!D2</f>
        <v>149.00000000000006</v>
      </c>
      <c r="E29" s="132">
        <f ca="1">E15+D29</f>
        <v>149.00000000000006</v>
      </c>
      <c r="F29" s="130">
        <f>PTTM!F2</f>
        <v>0</v>
      </c>
      <c r="G29" s="132">
        <f>G15+F29</f>
        <v>0</v>
      </c>
      <c r="H29" s="130">
        <f>PTTM!H2</f>
        <v>0</v>
      </c>
      <c r="I29" s="132">
        <f>I15+H29</f>
        <v>0</v>
      </c>
      <c r="J29" s="130">
        <f>PTTM!K2</f>
        <v>11875</v>
      </c>
      <c r="K29" s="132">
        <f>K28+J29</f>
        <v>11875</v>
      </c>
      <c r="L29" s="130">
        <f>PTTM!I2</f>
        <v>368</v>
      </c>
      <c r="M29" s="132">
        <f>M28+L29</f>
        <v>368</v>
      </c>
      <c r="N29" s="130">
        <f>PTTM!B2</f>
        <v>267370</v>
      </c>
      <c r="O29" s="133">
        <f>O28-N4+N29-125000</f>
        <v>5315061.0284109609</v>
      </c>
      <c r="P29" s="977"/>
      <c r="Q29" s="130">
        <f t="shared" ref="Q29:Q59" ca="1" si="6">D29+F29+H29</f>
        <v>149.00000000000006</v>
      </c>
      <c r="R29" s="130">
        <f t="shared" ref="R29:R59" ca="1" si="7">E29+G29+I29</f>
        <v>149.00000000000006</v>
      </c>
      <c r="T29" s="6" t="e">
        <f t="shared" si="5"/>
        <v>#DIV/0!</v>
      </c>
      <c r="U29" s="9" t="e">
        <v>#DIV/0!</v>
      </c>
      <c r="V29" s="9" t="e">
        <v>#DIV/0!</v>
      </c>
      <c r="W29" s="9" t="e">
        <v>#DIV/0!</v>
      </c>
      <c r="X29" s="9" t="e">
        <v>#DIV/0!</v>
      </c>
      <c r="Y29" s="9" t="e">
        <v>#DIV/0!</v>
      </c>
      <c r="Z29" s="9" t="e">
        <v>#DIV/0!</v>
      </c>
      <c r="AA29" s="9" t="e">
        <v>#DIV/0!</v>
      </c>
    </row>
    <row r="30" spans="1:27">
      <c r="A30" s="126">
        <v>2026</v>
      </c>
      <c r="B30" s="130">
        <f ca="1">PTTM!M3</f>
        <v>286923.37491417094</v>
      </c>
      <c r="C30" s="132">
        <f t="shared" ref="C30:C59" ca="1" si="8">O30-I30-G30-E30-K30-M30</f>
        <v>5376100.706646435</v>
      </c>
      <c r="D30" s="130">
        <f ca="1">PTTM!D3</f>
        <v>408.14205125370876</v>
      </c>
      <c r="E30" s="132">
        <f t="shared" ref="E30:I42" ca="1" si="9">E29+D30</f>
        <v>557.14205125370881</v>
      </c>
      <c r="F30" s="130">
        <f>PTTM!F3</f>
        <v>0</v>
      </c>
      <c r="G30" s="132">
        <f t="shared" si="9"/>
        <v>0</v>
      </c>
      <c r="H30" s="130">
        <f>PTTM!H3</f>
        <v>0</v>
      </c>
      <c r="I30" s="132">
        <f t="shared" si="9"/>
        <v>0</v>
      </c>
      <c r="J30" s="130">
        <f>PTTM!K3</f>
        <v>13373.994638025666</v>
      </c>
      <c r="K30" s="132">
        <f t="shared" ref="K30:K44" si="10">K29+J30</f>
        <v>25248.994638025666</v>
      </c>
      <c r="L30" s="130">
        <f>PTTM!I3</f>
        <v>414.46682101680636</v>
      </c>
      <c r="M30" s="132">
        <f t="shared" ref="M30:M44" si="11">M29+L30</f>
        <v>782.46682101680631</v>
      </c>
      <c r="N30" s="130">
        <f>PTTM!B3</f>
        <v>301119.97842446715</v>
      </c>
      <c r="O30" s="133">
        <f>O29-N5+N30-125000</f>
        <v>5402689.3101567309</v>
      </c>
      <c r="P30" s="977"/>
      <c r="Q30" s="8">
        <f t="shared" ca="1" si="6"/>
        <v>408.14205125370876</v>
      </c>
      <c r="R30" s="128">
        <f t="shared" ca="1" si="7"/>
        <v>557.14205125370881</v>
      </c>
      <c r="T30" s="6" t="e">
        <f t="shared" si="5"/>
        <v>#DIV/0!</v>
      </c>
      <c r="U30" s="9" t="e">
        <v>#DIV/0!</v>
      </c>
      <c r="V30" s="9" t="e">
        <v>#DIV/0!</v>
      </c>
      <c r="W30" s="9" t="e">
        <v>#DIV/0!</v>
      </c>
      <c r="X30" s="9" t="e">
        <v>#DIV/0!</v>
      </c>
      <c r="Y30" s="9" t="e">
        <v>#DIV/0!</v>
      </c>
      <c r="Z30" s="9" t="e">
        <v>#DIV/0!</v>
      </c>
      <c r="AA30" s="9" t="e">
        <v>#DIV/0!</v>
      </c>
    </row>
    <row r="31" spans="1:27" ht="14.4" customHeight="1">
      <c r="A31" s="126">
        <v>2027</v>
      </c>
      <c r="B31" s="130">
        <f ca="1">PTTM!M4</f>
        <v>291640.49304184003</v>
      </c>
      <c r="C31" s="132">
        <f t="shared" ca="1" si="8"/>
        <v>5447400.4205710832</v>
      </c>
      <c r="D31" s="130">
        <f ca="1">PTTM!D4</f>
        <v>910.05335873534762</v>
      </c>
      <c r="E31" s="132">
        <f t="shared" ca="1" si="9"/>
        <v>1467.1954099890563</v>
      </c>
      <c r="F31" s="130">
        <f>PTTM!F4</f>
        <v>0</v>
      </c>
      <c r="G31" s="132">
        <f t="shared" si="9"/>
        <v>0</v>
      </c>
      <c r="H31" s="130">
        <f>PTTM!H4</f>
        <v>0</v>
      </c>
      <c r="I31" s="132">
        <f t="shared" si="9"/>
        <v>0</v>
      </c>
      <c r="J31" s="130">
        <f>PTTM!K4</f>
        <v>13617.238294212208</v>
      </c>
      <c r="K31" s="132">
        <f t="shared" si="10"/>
        <v>38866.232932237872</v>
      </c>
      <c r="L31" s="130">
        <f>PTTM!I4</f>
        <v>422.21530521241357</v>
      </c>
      <c r="M31" s="132">
        <f t="shared" si="11"/>
        <v>1204.6821262292199</v>
      </c>
      <c r="N31" s="130">
        <f>PTTM!B4</f>
        <v>306590</v>
      </c>
      <c r="O31" s="133">
        <f t="shared" ref="O31:O35" si="12">O30-N6+N31-125000</f>
        <v>5488938.5310395397</v>
      </c>
      <c r="P31" s="977"/>
      <c r="Q31" s="8">
        <f t="shared" ca="1" si="6"/>
        <v>910.05335873534762</v>
      </c>
      <c r="R31" s="128">
        <f t="shared" ca="1" si="7"/>
        <v>1467.1954099890563</v>
      </c>
      <c r="T31" s="6" t="e">
        <f t="shared" si="5"/>
        <v>#DIV/0!</v>
      </c>
      <c r="U31" s="9" t="e">
        <v>#DIV/0!</v>
      </c>
      <c r="V31" s="9" t="e">
        <v>#DIV/0!</v>
      </c>
      <c r="W31" s="9" t="e">
        <v>#DIV/0!</v>
      </c>
      <c r="X31" s="9" t="e">
        <v>#DIV/0!</v>
      </c>
      <c r="Y31" s="9" t="e">
        <v>#DIV/0!</v>
      </c>
      <c r="Z31" s="9" t="e">
        <v>#DIV/0!</v>
      </c>
      <c r="AA31" s="9" t="e">
        <v>#DIV/0!</v>
      </c>
    </row>
    <row r="32" spans="1:27">
      <c r="A32" s="126">
        <v>2028</v>
      </c>
      <c r="B32" s="130">
        <f ca="1">PTTM!M5</f>
        <v>295403.7373023011</v>
      </c>
      <c r="C32" s="132">
        <f t="shared" ca="1" si="8"/>
        <v>5515103.5396574968</v>
      </c>
      <c r="D32" s="130">
        <f ca="1">PTTM!D5</f>
        <v>1846.2496348009729</v>
      </c>
      <c r="E32" s="132">
        <f t="shared" ca="1" si="9"/>
        <v>3313.445044790029</v>
      </c>
      <c r="F32" s="130">
        <f>PTTM!F5</f>
        <v>31.155000000000008</v>
      </c>
      <c r="G32" s="132">
        <f t="shared" si="9"/>
        <v>31.155000000000008</v>
      </c>
      <c r="H32" s="130">
        <f>PTTM!H5</f>
        <v>0</v>
      </c>
      <c r="I32" s="132">
        <f t="shared" si="9"/>
        <v>0</v>
      </c>
      <c r="J32" s="130">
        <f>PTTM!K5</f>
        <v>13838.845902642373</v>
      </c>
      <c r="K32" s="132">
        <f t="shared" si="10"/>
        <v>52705.078834880245</v>
      </c>
      <c r="L32" s="130">
        <f>PTTM!I5</f>
        <v>430.01216025553077</v>
      </c>
      <c r="M32" s="132">
        <f t="shared" si="11"/>
        <v>1634.6942864847506</v>
      </c>
      <c r="N32" s="130">
        <f>PTTM!B5</f>
        <v>311550</v>
      </c>
      <c r="O32" s="133">
        <f t="shared" si="12"/>
        <v>5572787.9128236528</v>
      </c>
      <c r="P32" s="977"/>
      <c r="Q32" s="8">
        <f t="shared" ca="1" si="6"/>
        <v>1877.4046348009729</v>
      </c>
      <c r="R32" s="128">
        <f t="shared" ca="1" si="7"/>
        <v>3344.6000447900292</v>
      </c>
      <c r="T32" s="6" t="e">
        <f t="shared" si="5"/>
        <v>#DIV/0!</v>
      </c>
      <c r="U32" s="9" t="e">
        <v>#DIV/0!</v>
      </c>
      <c r="V32" s="9" t="e">
        <v>#DIV/0!</v>
      </c>
      <c r="W32" s="9" t="e">
        <v>#DIV/0!</v>
      </c>
      <c r="X32" s="9" t="e">
        <v>#DIV/0!</v>
      </c>
      <c r="Y32" s="9" t="e">
        <v>#DIV/0!</v>
      </c>
      <c r="Z32" s="9" t="e">
        <v>#DIV/0!</v>
      </c>
      <c r="AA32" s="9" t="e">
        <v>#DIV/0!</v>
      </c>
    </row>
    <row r="33" spans="1:27">
      <c r="A33" s="126">
        <v>2029</v>
      </c>
      <c r="B33" s="130">
        <f ca="1">PTTM!M6</f>
        <v>321267.14949389733</v>
      </c>
      <c r="C33" s="132">
        <f t="shared" ca="1" si="8"/>
        <v>5600826.7891513947</v>
      </c>
      <c r="D33" s="130">
        <f ca="1">PTTM!D6</f>
        <v>3714.3648909410667</v>
      </c>
      <c r="E33" s="132">
        <f t="shared" ca="1" si="9"/>
        <v>7027.8099357310957</v>
      </c>
      <c r="F33" s="130">
        <f>PTTM!F6</f>
        <v>60.165251595160974</v>
      </c>
      <c r="G33" s="132">
        <f t="shared" si="9"/>
        <v>91.320251595160983</v>
      </c>
      <c r="H33" s="130">
        <f>PTTM!H6</f>
        <v>0</v>
      </c>
      <c r="I33" s="132">
        <f t="shared" si="9"/>
        <v>0</v>
      </c>
      <c r="J33" s="130">
        <f>PTTM!K6</f>
        <v>15135.2996480521</v>
      </c>
      <c r="K33" s="132">
        <f t="shared" si="10"/>
        <v>67840.378482932341</v>
      </c>
      <c r="L33" s="130">
        <f>PTTM!I6</f>
        <v>473.02071551434142</v>
      </c>
      <c r="M33" s="132">
        <f t="shared" si="11"/>
        <v>2107.7150019990922</v>
      </c>
      <c r="N33" s="130">
        <f>PTTM!B6</f>
        <v>340650</v>
      </c>
      <c r="O33" s="133">
        <f t="shared" si="12"/>
        <v>5677894.0128236525</v>
      </c>
      <c r="P33" s="977"/>
      <c r="Q33" s="8">
        <f t="shared" ca="1" si="6"/>
        <v>3774.5301425362277</v>
      </c>
      <c r="R33" s="128">
        <f t="shared" ca="1" si="7"/>
        <v>7119.1301873262564</v>
      </c>
      <c r="T33" s="6" t="e">
        <f t="shared" si="5"/>
        <v>#DIV/0!</v>
      </c>
      <c r="U33" s="9" t="e">
        <v>#DIV/0!</v>
      </c>
      <c r="V33" s="9" t="e">
        <v>#DIV/0!</v>
      </c>
      <c r="W33" s="9" t="e">
        <v>#DIV/0!</v>
      </c>
      <c r="X33" s="9" t="e">
        <v>#DIV/0!</v>
      </c>
      <c r="Y33" s="9" t="e">
        <v>#DIV/0!</v>
      </c>
      <c r="Z33" s="9" t="e">
        <v>#DIV/0!</v>
      </c>
      <c r="AA33" s="9" t="e">
        <v>#DIV/0!</v>
      </c>
    </row>
    <row r="34" spans="1:27">
      <c r="A34" s="126">
        <v>2030</v>
      </c>
      <c r="B34" s="130">
        <f ca="1">PTTM!M7</f>
        <v>327228.8298569399</v>
      </c>
      <c r="C34" s="132">
        <f t="shared" ca="1" si="8"/>
        <v>5664543.719008334</v>
      </c>
      <c r="D34" s="130">
        <f ca="1">PTTM!D7</f>
        <v>6533.3896585746834</v>
      </c>
      <c r="E34" s="132">
        <f t="shared" ca="1" si="9"/>
        <v>13561.199594305779</v>
      </c>
      <c r="F34" s="130">
        <f>PTTM!F7</f>
        <v>103.8564062908798</v>
      </c>
      <c r="G34" s="132">
        <f t="shared" si="9"/>
        <v>195.1766578860408</v>
      </c>
      <c r="H34" s="130">
        <f>PTTM!H7</f>
        <v>34.995000000000005</v>
      </c>
      <c r="I34" s="132">
        <f t="shared" si="9"/>
        <v>34.995000000000005</v>
      </c>
      <c r="J34" s="130">
        <f>PTTM!K7</f>
        <v>15556.839574443309</v>
      </c>
      <c r="K34" s="132">
        <f t="shared" si="10"/>
        <v>83397.218057375649</v>
      </c>
      <c r="L34" s="130">
        <f>PTTM!I7</f>
        <v>492.08950375123715</v>
      </c>
      <c r="M34" s="132">
        <f t="shared" si="11"/>
        <v>2599.8045057503296</v>
      </c>
      <c r="N34" s="130">
        <f>PTTM!B7</f>
        <v>349950</v>
      </c>
      <c r="O34" s="133">
        <f t="shared" si="12"/>
        <v>5764332.1128236521</v>
      </c>
      <c r="P34" s="977"/>
      <c r="Q34" s="8">
        <f t="shared" ca="1" si="6"/>
        <v>6672.2410648655632</v>
      </c>
      <c r="R34" s="131">
        <f t="shared" ca="1" si="7"/>
        <v>13791.371252191821</v>
      </c>
      <c r="T34" s="6" t="e">
        <f t="shared" si="5"/>
        <v>#DIV/0!</v>
      </c>
      <c r="U34" s="9" t="e">
        <v>#DIV/0!</v>
      </c>
      <c r="V34" s="9" t="e">
        <v>#DIV/0!</v>
      </c>
      <c r="W34" s="9" t="e">
        <v>#DIV/0!</v>
      </c>
      <c r="X34" s="9" t="e">
        <v>#DIV/0!</v>
      </c>
      <c r="Y34" s="9" t="e">
        <v>#DIV/0!</v>
      </c>
      <c r="Z34" s="9" t="e">
        <v>#DIV/0!</v>
      </c>
      <c r="AA34" s="9" t="e">
        <v>#DIV/0!</v>
      </c>
    </row>
    <row r="35" spans="1:27">
      <c r="A35" s="126">
        <v>2031</v>
      </c>
      <c r="B35" s="130">
        <f ca="1">PTTM!M8</f>
        <v>329773.4206455758</v>
      </c>
      <c r="C35" s="132">
        <f t="shared" ca="1" si="8"/>
        <v>5723812.2896539103</v>
      </c>
      <c r="D35" s="130">
        <f ca="1">PTTM!D8</f>
        <v>10713.900000000001</v>
      </c>
      <c r="E35" s="132">
        <f t="shared" ca="1" si="9"/>
        <v>24275.099594305779</v>
      </c>
      <c r="F35" s="130">
        <f>PTTM!F8</f>
        <v>170.17395775208524</v>
      </c>
      <c r="G35" s="132">
        <f t="shared" si="9"/>
        <v>365.35061563812604</v>
      </c>
      <c r="H35" s="130">
        <f>PTTM!H8</f>
        <v>67.458112974663635</v>
      </c>
      <c r="I35" s="132">
        <f t="shared" si="9"/>
        <v>102.45311297466364</v>
      </c>
      <c r="J35" s="130">
        <f>PTTM!K8</f>
        <v>15891.460949332401</v>
      </c>
      <c r="K35" s="132">
        <f t="shared" si="10"/>
        <v>99288.679006708044</v>
      </c>
      <c r="L35" s="130">
        <f>PTTM!I8</f>
        <v>513.58633436503203</v>
      </c>
      <c r="M35" s="132">
        <f t="shared" si="11"/>
        <v>3113.3908401153617</v>
      </c>
      <c r="N35" s="130">
        <f>PTTM!B8</f>
        <v>357130</v>
      </c>
      <c r="O35" s="133">
        <f t="shared" si="12"/>
        <v>5850957.2628236525</v>
      </c>
      <c r="P35" s="977"/>
      <c r="Q35" s="8">
        <f t="shared" ca="1" si="6"/>
        <v>10951.532070726751</v>
      </c>
      <c r="R35" s="128">
        <f t="shared" ca="1" si="7"/>
        <v>24742.90332291857</v>
      </c>
      <c r="T35" s="6" t="e">
        <f t="shared" si="5"/>
        <v>#DIV/0!</v>
      </c>
      <c r="U35" s="9" t="e">
        <v>#DIV/0!</v>
      </c>
      <c r="V35" s="9" t="e">
        <v>#DIV/0!</v>
      </c>
      <c r="W35" s="9" t="e">
        <v>#DIV/0!</v>
      </c>
      <c r="X35" s="9" t="e">
        <v>#DIV/0!</v>
      </c>
      <c r="Y35" s="9" t="e">
        <v>#DIV/0!</v>
      </c>
      <c r="Z35" s="9" t="e">
        <v>#DIV/0!</v>
      </c>
      <c r="AA35" s="9" t="e">
        <v>#DIV/0!</v>
      </c>
    </row>
    <row r="36" spans="1:27">
      <c r="A36" s="126">
        <v>2032</v>
      </c>
      <c r="B36" s="130">
        <f>PTTM!M9</f>
        <v>352051.69730960153</v>
      </c>
      <c r="C36" s="132">
        <f t="shared" ca="1" si="8"/>
        <v>5871247.2869635122</v>
      </c>
      <c r="D36" s="130">
        <f>PTTM!D9</f>
        <v>23198.796684822002</v>
      </c>
      <c r="E36" s="132">
        <f t="shared" ca="1" si="9"/>
        <v>47473.896279127781</v>
      </c>
      <c r="F36" s="130">
        <f>PTTM!F9</f>
        <v>289.05014875549324</v>
      </c>
      <c r="G36" s="132">
        <f t="shared" si="9"/>
        <v>654.40076439361928</v>
      </c>
      <c r="H36" s="130">
        <f>PTTM!H9</f>
        <v>131.93256070106435</v>
      </c>
      <c r="I36" s="132">
        <f t="shared" si="9"/>
        <v>234.38567367572799</v>
      </c>
      <c r="J36" s="130">
        <f>PTTM!K9</f>
        <v>17551.564186772997</v>
      </c>
      <c r="K36" s="132">
        <f t="shared" si="10"/>
        <v>116840.24319348104</v>
      </c>
      <c r="L36" s="130">
        <f>PTTM!I9</f>
        <v>586.95910934693575</v>
      </c>
      <c r="M36" s="132">
        <f t="shared" si="11"/>
        <v>3700.3499494622974</v>
      </c>
      <c r="N36" s="130">
        <f>PTTM!B9</f>
        <v>393810</v>
      </c>
      <c r="O36" s="133">
        <f>O35-N11+N36</f>
        <v>6040150.5628236523</v>
      </c>
      <c r="P36" s="977"/>
      <c r="Q36" s="8">
        <f t="shared" si="6"/>
        <v>23619.779394278561</v>
      </c>
      <c r="R36" s="128">
        <f t="shared" ca="1" si="7"/>
        <v>48362.682717197131</v>
      </c>
      <c r="T36" s="6" t="e">
        <f t="shared" si="5"/>
        <v>#DIV/0!</v>
      </c>
      <c r="U36" s="9" t="e">
        <v>#DIV/0!</v>
      </c>
      <c r="V36" s="9" t="e">
        <v>#DIV/0!</v>
      </c>
      <c r="W36" s="9" t="e">
        <v>#DIV/0!</v>
      </c>
      <c r="X36" s="9" t="e">
        <v>#DIV/0!</v>
      </c>
      <c r="Y36" s="9" t="e">
        <v>#DIV/0!</v>
      </c>
      <c r="Z36" s="9" t="e">
        <v>#DIV/0!</v>
      </c>
      <c r="AA36" s="9" t="e">
        <v>#DIV/0!</v>
      </c>
    </row>
    <row r="37" spans="1:27">
      <c r="A37" s="126">
        <v>2033</v>
      </c>
      <c r="B37" s="130">
        <f>PTTM!M10</f>
        <v>364026.46173636639</v>
      </c>
      <c r="C37" s="132">
        <f t="shared" ca="1" si="8"/>
        <v>6043473.4986998783</v>
      </c>
      <c r="D37" s="130">
        <f>PTTM!D10</f>
        <v>35771.164928748061</v>
      </c>
      <c r="E37" s="132">
        <f t="shared" ca="1" si="9"/>
        <v>83245.061207875842</v>
      </c>
      <c r="F37" s="130">
        <f>PTTM!F10</f>
        <v>457.11094801035966</v>
      </c>
      <c r="G37" s="132">
        <f t="shared" si="9"/>
        <v>1111.5117124039789</v>
      </c>
      <c r="H37" s="130">
        <f>PTTM!H10</f>
        <v>235.74184956656484</v>
      </c>
      <c r="I37" s="132">
        <f t="shared" si="9"/>
        <v>470.1275232422928</v>
      </c>
      <c r="J37" s="130">
        <f>PTTM!K10</f>
        <v>18760.164376046756</v>
      </c>
      <c r="K37" s="132">
        <f t="shared" si="10"/>
        <v>135600.4075695278</v>
      </c>
      <c r="L37" s="130">
        <f>PTTM!I10</f>
        <v>659.35616126186483</v>
      </c>
      <c r="M37" s="132">
        <f t="shared" si="11"/>
        <v>4359.7061107241625</v>
      </c>
      <c r="N37" s="130">
        <f>PTTM!B10</f>
        <v>419910</v>
      </c>
      <c r="O37" s="133">
        <f t="shared" ref="O37:O38" si="13">O36-N12+N37</f>
        <v>6268260.3128236523</v>
      </c>
      <c r="P37" s="977"/>
      <c r="Q37" s="8">
        <f t="shared" si="6"/>
        <v>36464.017726324986</v>
      </c>
      <c r="R37" s="128">
        <f t="shared" ca="1" si="7"/>
        <v>84826.700443522117</v>
      </c>
      <c r="T37" s="6" t="e">
        <f t="shared" si="5"/>
        <v>#DIV/0!</v>
      </c>
      <c r="U37" s="9" t="e">
        <v>#DIV/0!</v>
      </c>
      <c r="V37" s="9" t="e">
        <v>#DIV/0!</v>
      </c>
      <c r="W37" s="9" t="e">
        <v>#DIV/0!</v>
      </c>
      <c r="X37" s="9" t="e">
        <v>#DIV/0!</v>
      </c>
      <c r="Y37" s="9" t="e">
        <v>#DIV/0!</v>
      </c>
      <c r="Z37" s="9" t="e">
        <v>#DIV/0!</v>
      </c>
      <c r="AA37" s="9" t="e">
        <v>#DIV/0!</v>
      </c>
    </row>
    <row r="38" spans="1:27">
      <c r="A38" s="126">
        <v>2034</v>
      </c>
      <c r="B38" s="130">
        <f>PTTM!M11</f>
        <v>358317.48498955189</v>
      </c>
      <c r="C38" s="132">
        <f t="shared" ca="1" si="8"/>
        <v>6258731.4336894304</v>
      </c>
      <c r="D38" s="130">
        <f>PTTM!D11</f>
        <v>55485.024442825299</v>
      </c>
      <c r="E38" s="132">
        <f t="shared" ca="1" si="9"/>
        <v>138730.08565070113</v>
      </c>
      <c r="F38" s="130">
        <f>PTTM!F11</f>
        <v>678.64608072933686</v>
      </c>
      <c r="G38" s="132">
        <f t="shared" si="9"/>
        <v>1790.1577931333159</v>
      </c>
      <c r="H38" s="130">
        <f>PTTM!H11</f>
        <v>388.94901126299607</v>
      </c>
      <c r="I38" s="132">
        <f t="shared" si="9"/>
        <v>859.07653450528892</v>
      </c>
      <c r="J38" s="130">
        <f>PTTM!K11</f>
        <v>19506.793371984204</v>
      </c>
      <c r="K38" s="132">
        <f t="shared" si="10"/>
        <v>155107.20094151201</v>
      </c>
      <c r="L38" s="130">
        <f>PTTM!I11</f>
        <v>733.10210364627039</v>
      </c>
      <c r="M38" s="132">
        <f t="shared" si="11"/>
        <v>5092.8082143704332</v>
      </c>
      <c r="N38" s="130">
        <f>PTTM!B11</f>
        <v>435110</v>
      </c>
      <c r="O38" s="133">
        <f t="shared" si="13"/>
        <v>6560310.7628236525</v>
      </c>
      <c r="P38" s="977"/>
      <c r="Q38" s="8">
        <f t="shared" si="6"/>
        <v>56552.619534817626</v>
      </c>
      <c r="R38" s="128">
        <f t="shared" ca="1" si="7"/>
        <v>141379.31997833974</v>
      </c>
      <c r="T38" s="6" t="e">
        <f t="shared" si="5"/>
        <v>#DIV/0!</v>
      </c>
      <c r="U38" s="9" t="e">
        <v>#DIV/0!</v>
      </c>
      <c r="V38" s="9" t="e">
        <v>#DIV/0!</v>
      </c>
      <c r="W38" s="9" t="e">
        <v>#DIV/0!</v>
      </c>
      <c r="X38" s="9" t="e">
        <v>#DIV/0!</v>
      </c>
      <c r="Y38" s="9" t="e">
        <v>#DIV/0!</v>
      </c>
      <c r="Z38" s="9" t="e">
        <v>#DIV/0!</v>
      </c>
      <c r="AA38" s="9" t="e">
        <v>#DIV/0!</v>
      </c>
    </row>
    <row r="39" spans="1:27">
      <c r="A39" s="126">
        <v>2035</v>
      </c>
      <c r="B39" s="130">
        <f>PTTM!M12</f>
        <v>351873.36167924327</v>
      </c>
      <c r="C39" s="132">
        <f t="shared" ca="1" si="8"/>
        <v>6455316.845368674</v>
      </c>
      <c r="D39" s="130">
        <f>PTTM!D12</f>
        <v>84443.889041331873</v>
      </c>
      <c r="E39" s="132">
        <f t="shared" ca="1" si="9"/>
        <v>223173.97469203302</v>
      </c>
      <c r="F39" s="130">
        <f>PTTM!F12</f>
        <v>994.95656405211207</v>
      </c>
      <c r="G39" s="132">
        <f t="shared" si="9"/>
        <v>2785.1143571854282</v>
      </c>
      <c r="H39" s="130">
        <f>PTTM!H12</f>
        <v>624.55365816275889</v>
      </c>
      <c r="I39" s="132">
        <f t="shared" si="9"/>
        <v>1483.6301926680478</v>
      </c>
      <c r="J39" s="130">
        <f>PTTM!K12</f>
        <v>20696.979035130444</v>
      </c>
      <c r="K39" s="132">
        <f t="shared" si="10"/>
        <v>175804.17997664245</v>
      </c>
      <c r="L39" s="130">
        <f>PTTM!I12</f>
        <v>846.26002207956196</v>
      </c>
      <c r="M39" s="132">
        <f t="shared" si="11"/>
        <v>5939.0682364499953</v>
      </c>
      <c r="N39" s="130">
        <f>PTTM!B12</f>
        <v>459480</v>
      </c>
      <c r="O39" s="758">
        <f>O38-N14+N39</f>
        <v>6864502.8128236523</v>
      </c>
      <c r="P39" s="977"/>
      <c r="Q39" s="8">
        <f t="shared" si="6"/>
        <v>86063.399263546744</v>
      </c>
      <c r="R39" s="131">
        <f t="shared" ca="1" si="7"/>
        <v>227442.71924188652</v>
      </c>
      <c r="T39" s="6" t="e">
        <f t="shared" si="5"/>
        <v>#DIV/0!</v>
      </c>
      <c r="U39" s="9" t="e">
        <v>#DIV/0!</v>
      </c>
      <c r="V39" s="9" t="e">
        <v>#DIV/0!</v>
      </c>
      <c r="W39" s="9" t="e">
        <v>#DIV/0!</v>
      </c>
      <c r="X39" s="9" t="e">
        <v>#DIV/0!</v>
      </c>
      <c r="Y39" s="9" t="e">
        <v>#DIV/0!</v>
      </c>
      <c r="Z39" s="9" t="e">
        <v>#DIV/0!</v>
      </c>
      <c r="AA39" s="9" t="e">
        <v>#DIV/0!</v>
      </c>
    </row>
    <row r="40" spans="1:27">
      <c r="A40" s="126">
        <v>2036</v>
      </c>
      <c r="B40" s="130">
        <f>PTTM!M13</f>
        <v>334780.22756338998</v>
      </c>
      <c r="C40" s="132">
        <f t="shared" ca="1" si="8"/>
        <v>6613670.6729320632</v>
      </c>
      <c r="D40" s="130">
        <f>PTTM!D13</f>
        <v>120706.24004318622</v>
      </c>
      <c r="E40" s="132">
        <f t="shared" ca="1" si="9"/>
        <v>343880.21473521926</v>
      </c>
      <c r="F40" s="130">
        <f>PTTM!F13</f>
        <v>1403.903123123192</v>
      </c>
      <c r="G40" s="132">
        <f t="shared" si="9"/>
        <v>4189.0174803086202</v>
      </c>
      <c r="H40" s="130">
        <f>PTTM!H13</f>
        <v>952.97754001239377</v>
      </c>
      <c r="I40" s="132">
        <f t="shared" si="9"/>
        <v>2436.6077326804416</v>
      </c>
      <c r="J40" s="130">
        <f>PTTM!K13</f>
        <v>21782.625641962928</v>
      </c>
      <c r="K40" s="132">
        <f t="shared" si="10"/>
        <v>197586.80561860537</v>
      </c>
      <c r="L40" s="130">
        <f>PTTM!I13</f>
        <v>984.02608832528972</v>
      </c>
      <c r="M40" s="132">
        <f t="shared" si="11"/>
        <v>6923.0943247752848</v>
      </c>
      <c r="N40" s="130">
        <f>PTTM!B13</f>
        <v>480610</v>
      </c>
      <c r="O40" s="133">
        <f>O39-N19+N40</f>
        <v>7168686.4128236519</v>
      </c>
      <c r="P40" s="977" t="s">
        <v>547</v>
      </c>
      <c r="Q40" s="8">
        <f t="shared" si="6"/>
        <v>123063.1207063218</v>
      </c>
      <c r="R40" s="128">
        <f t="shared" ca="1" si="7"/>
        <v>350505.8399482083</v>
      </c>
      <c r="T40" s="6" t="e">
        <f t="shared" si="5"/>
        <v>#DIV/0!</v>
      </c>
      <c r="U40" s="9" t="e">
        <v>#DIV/0!</v>
      </c>
      <c r="V40" s="9" t="e">
        <v>#DIV/0!</v>
      </c>
      <c r="W40" s="9" t="e">
        <v>#DIV/0!</v>
      </c>
      <c r="X40" s="9" t="e">
        <v>#DIV/0!</v>
      </c>
      <c r="Y40" s="9" t="e">
        <v>#DIV/0!</v>
      </c>
      <c r="Z40" s="9" t="e">
        <v>#DIV/0!</v>
      </c>
      <c r="AA40" s="9" t="e">
        <v>#DIV/0!</v>
      </c>
    </row>
    <row r="41" spans="1:27">
      <c r="A41" s="126">
        <v>2037</v>
      </c>
      <c r="B41" s="130">
        <f>PTTM!M14</f>
        <v>309577.30230970401</v>
      </c>
      <c r="C41" s="132">
        <f t="shared" ca="1" si="8"/>
        <v>6565013.4752417672</v>
      </c>
      <c r="D41" s="130">
        <f>PTTM!D14</f>
        <v>163130.00873910473</v>
      </c>
      <c r="E41" s="132">
        <f t="shared" ca="1" si="9"/>
        <v>507010.22347432398</v>
      </c>
      <c r="F41" s="130">
        <f>PTTM!F14</f>
        <v>1919.2768008992973</v>
      </c>
      <c r="G41" s="132">
        <f t="shared" si="9"/>
        <v>6108.2942812079173</v>
      </c>
      <c r="H41" s="130">
        <f>PTTM!H14</f>
        <v>1393.211641671091</v>
      </c>
      <c r="I41" s="132">
        <f t="shared" si="9"/>
        <v>3829.8193743515326</v>
      </c>
      <c r="J41" s="130">
        <f>PTTM!K14</f>
        <v>22837.081882772323</v>
      </c>
      <c r="K41" s="132">
        <f t="shared" si="10"/>
        <v>220423.8875013777</v>
      </c>
      <c r="L41" s="130">
        <f>PTTM!I14</f>
        <v>1153.1186258485841</v>
      </c>
      <c r="M41" s="132">
        <f t="shared" si="11"/>
        <v>8076.2129506238689</v>
      </c>
      <c r="N41" s="130">
        <f>PTTM!B14</f>
        <v>500010</v>
      </c>
      <c r="O41" s="133">
        <f>O40-N20+N41-125000</f>
        <v>7310461.9128236519</v>
      </c>
      <c r="P41" s="977"/>
      <c r="Q41" s="8">
        <f t="shared" si="6"/>
        <v>166442.49718167511</v>
      </c>
      <c r="R41" s="128">
        <f t="shared" ca="1" si="7"/>
        <v>516948.33712988341</v>
      </c>
      <c r="T41" s="6" t="e">
        <f t="shared" si="5"/>
        <v>#DIV/0!</v>
      </c>
      <c r="U41" s="9" t="e">
        <v>#DIV/0!</v>
      </c>
      <c r="V41" s="9" t="e">
        <v>#DIV/0!</v>
      </c>
      <c r="W41" s="9" t="e">
        <v>#DIV/0!</v>
      </c>
      <c r="X41" s="9" t="e">
        <v>#DIV/0!</v>
      </c>
      <c r="Y41" s="9" t="e">
        <v>#DIV/0!</v>
      </c>
      <c r="Z41" s="9" t="e">
        <v>#DIV/0!</v>
      </c>
      <c r="AA41" s="9" t="e">
        <v>#DIV/0!</v>
      </c>
    </row>
    <row r="42" spans="1:27">
      <c r="A42" s="126">
        <v>2038</v>
      </c>
      <c r="B42" s="130">
        <f>PTTM!M15</f>
        <v>279636.07195282949</v>
      </c>
      <c r="C42" s="132">
        <f t="shared" ca="1" si="8"/>
        <v>6468977.7971945973</v>
      </c>
      <c r="D42" s="130">
        <f>PTTM!D15</f>
        <v>210964.75954333376</v>
      </c>
      <c r="E42" s="132">
        <f t="shared" ca="1" si="9"/>
        <v>717974.98301765777</v>
      </c>
      <c r="F42" s="130">
        <f>PTTM!F15</f>
        <v>2563.2557365888842</v>
      </c>
      <c r="G42" s="132">
        <f t="shared" si="9"/>
        <v>8671.5500177968024</v>
      </c>
      <c r="H42" s="130">
        <f>PTTM!H15</f>
        <v>1970.4666371189423</v>
      </c>
      <c r="I42" s="132">
        <f t="shared" si="9"/>
        <v>5800.2860114704745</v>
      </c>
      <c r="J42" s="130">
        <f>PTTM!K15</f>
        <v>23992.565735955901</v>
      </c>
      <c r="K42" s="132">
        <f t="shared" si="10"/>
        <v>244416.4532373336</v>
      </c>
      <c r="L42" s="130">
        <f>PTTM!I15</f>
        <v>1362.8803941730075</v>
      </c>
      <c r="M42" s="132">
        <f t="shared" si="11"/>
        <v>9439.0933447968764</v>
      </c>
      <c r="N42" s="130">
        <f>PTTM!B15</f>
        <v>520490</v>
      </c>
      <c r="O42" s="133">
        <f>O41-N21+N42-125000</f>
        <v>7455280.1628236519</v>
      </c>
      <c r="P42" s="977"/>
      <c r="Q42" s="8">
        <f t="shared" si="6"/>
        <v>215498.48191704159</v>
      </c>
      <c r="R42" s="128">
        <f t="shared" ca="1" si="7"/>
        <v>732446.81904692505</v>
      </c>
      <c r="T42" s="6" t="e">
        <f t="shared" si="5"/>
        <v>#DIV/0!</v>
      </c>
      <c r="U42" s="9" t="e">
        <v>#DIV/0!</v>
      </c>
      <c r="V42" s="9" t="e">
        <v>#DIV/0!</v>
      </c>
      <c r="W42" s="9" t="e">
        <v>#DIV/0!</v>
      </c>
      <c r="X42" s="9" t="e">
        <v>#DIV/0!</v>
      </c>
      <c r="Y42" s="9" t="e">
        <v>#DIV/0!</v>
      </c>
      <c r="Z42" s="9" t="e">
        <v>#DIV/0!</v>
      </c>
      <c r="AA42" s="9" t="e">
        <v>#DIV/0!</v>
      </c>
    </row>
    <row r="43" spans="1:27">
      <c r="A43" s="126">
        <v>2039</v>
      </c>
      <c r="B43" s="130">
        <f>PTTM!M16</f>
        <v>247895.70673552196</v>
      </c>
      <c r="C43" s="132">
        <f t="shared" ca="1" si="8"/>
        <v>6324526.4039301183</v>
      </c>
      <c r="D43" s="130">
        <f>PTTM!D16</f>
        <v>263975.59727063327</v>
      </c>
      <c r="E43" s="132">
        <f ca="1">E42+D43</f>
        <v>981950.58028829098</v>
      </c>
      <c r="F43" s="130">
        <f>PTTM!F16</f>
        <v>3368.9115448661978</v>
      </c>
      <c r="G43" s="132">
        <f>G42+F43</f>
        <v>12040.461562663</v>
      </c>
      <c r="H43" s="130">
        <f>PTTM!H16</f>
        <v>2719.3558254801883</v>
      </c>
      <c r="I43" s="132">
        <f>I42+H43</f>
        <v>8519.6418369506628</v>
      </c>
      <c r="J43" s="130">
        <f>PTTM!K16</f>
        <v>25387.010398007762</v>
      </c>
      <c r="K43" s="132">
        <f t="shared" si="10"/>
        <v>269803.46363534138</v>
      </c>
      <c r="L43" s="130">
        <f>PTTM!I16</f>
        <v>1623.418225490632</v>
      </c>
      <c r="M43" s="132">
        <f t="shared" si="11"/>
        <v>11062.511570287508</v>
      </c>
      <c r="N43" s="130">
        <f>PTTM!B16</f>
        <v>544970</v>
      </c>
      <c r="O43" s="133">
        <f>O42-N22+N43-125000</f>
        <v>7607903.0628236523</v>
      </c>
      <c r="P43" s="977"/>
      <c r="Q43" s="8">
        <f t="shared" si="6"/>
        <v>270063.86464097968</v>
      </c>
      <c r="R43" s="128">
        <f t="shared" ca="1" si="7"/>
        <v>1002510.6836879046</v>
      </c>
      <c r="T43" s="6" t="e">
        <f t="shared" si="5"/>
        <v>#DIV/0!</v>
      </c>
      <c r="U43" s="9" t="e">
        <v>#DIV/0!</v>
      </c>
      <c r="V43" s="9" t="e">
        <v>#DIV/0!</v>
      </c>
      <c r="W43" s="9" t="e">
        <v>#DIV/0!</v>
      </c>
      <c r="X43" s="9" t="e">
        <v>#DIV/0!</v>
      </c>
      <c r="Y43" s="9" t="e">
        <v>#DIV/0!</v>
      </c>
      <c r="Z43" s="9" t="e">
        <v>#DIV/0!</v>
      </c>
      <c r="AA43" s="9" t="e">
        <v>#DIV/0!</v>
      </c>
    </row>
    <row r="44" spans="1:27">
      <c r="A44" s="126">
        <v>2040</v>
      </c>
      <c r="B44" s="130">
        <f>PTTM!M17</f>
        <v>214530.13224374619</v>
      </c>
      <c r="C44" s="132">
        <f t="shared" ca="1" si="8"/>
        <v>6218446.7361738645</v>
      </c>
      <c r="D44" s="130">
        <f>PTTM!D17</f>
        <v>319209.64966294769</v>
      </c>
      <c r="E44" s="132">
        <f ca="1">E43+D44</f>
        <v>1301160.2299512387</v>
      </c>
      <c r="F44" s="130">
        <f>PTTM!F17</f>
        <v>4339.986773426459</v>
      </c>
      <c r="G44" s="132">
        <f>G43+F44</f>
        <v>16380.448336089459</v>
      </c>
      <c r="H44" s="130">
        <f>PTTM!H17</f>
        <v>3651.2367705709662</v>
      </c>
      <c r="I44" s="132">
        <f>I43+H44</f>
        <v>12170.878607521629</v>
      </c>
      <c r="J44" s="130">
        <f>PTTM!K17</f>
        <v>26883.748625806136</v>
      </c>
      <c r="K44" s="132">
        <f t="shared" si="10"/>
        <v>296687.21226114751</v>
      </c>
      <c r="L44" s="130">
        <f>PTTM!I17</f>
        <v>1925.2459235025458</v>
      </c>
      <c r="M44" s="132">
        <f t="shared" si="11"/>
        <v>12987.757493790054</v>
      </c>
      <c r="N44" s="130">
        <f>PTTM!B17</f>
        <v>570540</v>
      </c>
      <c r="O44" s="133">
        <f t="shared" ref="O44:O59" si="14">O43-N23+N44</f>
        <v>7857833.2628236525</v>
      </c>
      <c r="P44" s="977"/>
      <c r="Q44" s="8">
        <f t="shared" si="6"/>
        <v>327200.87320694514</v>
      </c>
      <c r="R44" s="128">
        <f t="shared" ca="1" si="7"/>
        <v>1329711.5568948498</v>
      </c>
      <c r="T44" s="6" t="e">
        <f t="shared" si="5"/>
        <v>#DIV/0!</v>
      </c>
      <c r="U44" s="9" t="e">
        <v>#DIV/0!</v>
      </c>
      <c r="V44" s="9" t="e">
        <v>#DIV/0!</v>
      </c>
      <c r="W44" s="9" t="e">
        <v>#DIV/0!</v>
      </c>
      <c r="X44" s="9" t="e">
        <v>#DIV/0!</v>
      </c>
      <c r="Y44" s="9" t="e">
        <v>#DIV/0!</v>
      </c>
      <c r="Z44" s="9" t="e">
        <v>#DIV/0!</v>
      </c>
      <c r="AA44" s="9" t="e">
        <v>#DIV/0!</v>
      </c>
    </row>
    <row r="45" spans="1:27">
      <c r="A45" s="126">
        <v>2041</v>
      </c>
      <c r="B45" s="130">
        <f>PTTM!M18</f>
        <v>182409.57690597442</v>
      </c>
      <c r="C45" s="132">
        <f t="shared" ca="1" si="8"/>
        <v>6182529.4130798392</v>
      </c>
      <c r="D45" s="130">
        <f>PTTM!D18</f>
        <v>375531.5975071119</v>
      </c>
      <c r="E45" s="132">
        <f ca="1">E44+D45-D29</f>
        <v>1676542.8274583507</v>
      </c>
      <c r="F45" s="130">
        <f>PTTM!F18</f>
        <v>5506.4433901977236</v>
      </c>
      <c r="G45" s="132">
        <f>G44+F45-F29</f>
        <v>21886.891726287184</v>
      </c>
      <c r="H45" s="130">
        <f>PTTM!H18</f>
        <v>4797.2421475223946</v>
      </c>
      <c r="I45" s="132">
        <f>I44+H45-H29</f>
        <v>16968.120755044023</v>
      </c>
      <c r="J45" s="130">
        <f>PTTM!K18</f>
        <v>28559.143776407946</v>
      </c>
      <c r="K45" s="132">
        <f>K44+J45-J29</f>
        <v>313371.35603755544</v>
      </c>
      <c r="L45" s="130">
        <f>PTTM!I18</f>
        <v>2265.9962727856296</v>
      </c>
      <c r="M45" s="132">
        <f>M44+L45-L29</f>
        <v>14885.753766575683</v>
      </c>
      <c r="N45" s="130">
        <f>PTTM!B18</f>
        <v>599070</v>
      </c>
      <c r="O45" s="133">
        <f t="shared" si="14"/>
        <v>8226184.3628236521</v>
      </c>
      <c r="P45" s="977"/>
      <c r="Q45" s="8">
        <f t="shared" si="6"/>
        <v>385835.283044832</v>
      </c>
      <c r="R45" s="128">
        <f t="shared" ca="1" si="7"/>
        <v>1715397.8399396818</v>
      </c>
      <c r="T45" s="6" t="e">
        <f t="shared" si="5"/>
        <v>#DIV/0!</v>
      </c>
      <c r="U45" s="9" t="e">
        <v>#DIV/0!</v>
      </c>
      <c r="V45" s="9" t="e">
        <v>#DIV/0!</v>
      </c>
      <c r="W45" s="9" t="e">
        <v>#DIV/0!</v>
      </c>
      <c r="X45" s="9" t="e">
        <v>#DIV/0!</v>
      </c>
      <c r="Y45" s="9" t="e">
        <v>#DIV/0!</v>
      </c>
      <c r="Z45" s="9" t="e">
        <v>#DIV/0!</v>
      </c>
      <c r="AA45" s="9" t="e">
        <v>#DIV/0!</v>
      </c>
    </row>
    <row r="46" spans="1:27">
      <c r="A46" s="126">
        <v>2042</v>
      </c>
      <c r="B46" s="130">
        <f>PTTM!M19</f>
        <v>152976.15997313161</v>
      </c>
      <c r="C46" s="132">
        <f t="shared" ca="1" si="8"/>
        <v>6224298.1765632667</v>
      </c>
      <c r="D46" s="130">
        <f>PTTM!D19</f>
        <v>428657.49622644176</v>
      </c>
      <c r="E46" s="132">
        <f t="shared" ref="E46:I59" ca="1" si="15">E45+D46-D30</f>
        <v>2104792.1816335386</v>
      </c>
      <c r="F46" s="130">
        <f>PTTM!F19</f>
        <v>6854.825044815685</v>
      </c>
      <c r="G46" s="132">
        <f t="shared" si="15"/>
        <v>28741.716771102867</v>
      </c>
      <c r="H46" s="130">
        <f>PTTM!H19</f>
        <v>6149.6052665740663</v>
      </c>
      <c r="I46" s="132">
        <f t="shared" si="15"/>
        <v>23117.726021618088</v>
      </c>
      <c r="J46" s="130">
        <f>PTTM!K19</f>
        <v>30244.597157381802</v>
      </c>
      <c r="K46" s="132">
        <f t="shared" ref="K46:K59" si="16">K45+J46-J30</f>
        <v>330241.95855691162</v>
      </c>
      <c r="L46" s="130">
        <f>PTTM!I19</f>
        <v>2617.3163316550517</v>
      </c>
      <c r="M46" s="132">
        <f t="shared" ref="M46:M59" si="17">M45+L46-L30</f>
        <v>17088.60327721393</v>
      </c>
      <c r="N46" s="130">
        <f>PTTM!B19</f>
        <v>627500</v>
      </c>
      <c r="O46" s="133">
        <f t="shared" si="14"/>
        <v>8728280.3628236521</v>
      </c>
      <c r="P46" s="977"/>
      <c r="Q46" s="8">
        <f t="shared" si="6"/>
        <v>441661.92653783149</v>
      </c>
      <c r="R46" s="128">
        <f t="shared" ca="1" si="7"/>
        <v>2156651.6244262597</v>
      </c>
      <c r="T46" s="6" t="e">
        <f t="shared" si="5"/>
        <v>#DIV/0!</v>
      </c>
      <c r="U46" s="9" t="e">
        <v>#DIV/0!</v>
      </c>
      <c r="V46" s="9" t="e">
        <v>#DIV/0!</v>
      </c>
      <c r="W46" s="9" t="e">
        <v>#DIV/0!</v>
      </c>
      <c r="X46" s="9" t="e">
        <v>#DIV/0!</v>
      </c>
      <c r="Y46" s="9" t="e">
        <v>#DIV/0!</v>
      </c>
      <c r="Z46" s="9" t="e">
        <v>#DIV/0!</v>
      </c>
      <c r="AA46" s="9" t="e">
        <v>#DIV/0!</v>
      </c>
    </row>
    <row r="47" spans="1:27">
      <c r="A47" s="126">
        <v>2043</v>
      </c>
      <c r="B47" s="130">
        <f>PTTM!M20</f>
        <v>128751.06957330508</v>
      </c>
      <c r="C47" s="132">
        <f t="shared" ca="1" si="8"/>
        <v>6174047.7530947328</v>
      </c>
      <c r="D47" s="130">
        <f>PTTM!D20</f>
        <v>474459.69525957655</v>
      </c>
      <c r="E47" s="132">
        <f t="shared" ca="1" si="15"/>
        <v>2578341.8235343797</v>
      </c>
      <c r="F47" s="130">
        <f>PTTM!F20</f>
        <v>8363.567574579256</v>
      </c>
      <c r="G47" s="132">
        <f t="shared" si="15"/>
        <v>37105.284345682121</v>
      </c>
      <c r="H47" s="130">
        <f>PTTM!H20</f>
        <v>7688.7880289966124</v>
      </c>
      <c r="I47" s="132">
        <f t="shared" si="15"/>
        <v>30806.5140506147</v>
      </c>
      <c r="J47" s="130">
        <f>PTTM!K20</f>
        <v>31813.957625514628</v>
      </c>
      <c r="K47" s="132">
        <f t="shared" si="16"/>
        <v>348438.67788821406</v>
      </c>
      <c r="L47" s="130">
        <f>PTTM!I20</f>
        <v>2942.9219380279092</v>
      </c>
      <c r="M47" s="132">
        <f t="shared" si="17"/>
        <v>19609.309910029428</v>
      </c>
      <c r="N47" s="130">
        <f>PTTM!B20</f>
        <v>654020</v>
      </c>
      <c r="O47" s="133">
        <f t="shared" si="14"/>
        <v>9188349.3628236521</v>
      </c>
      <c r="P47" s="977"/>
      <c r="Q47" s="8">
        <f t="shared" si="6"/>
        <v>490512.05086315243</v>
      </c>
      <c r="R47" s="128">
        <f t="shared" ca="1" si="7"/>
        <v>2646253.6219306765</v>
      </c>
      <c r="T47" s="6" t="e">
        <f t="shared" si="5"/>
        <v>#DIV/0!</v>
      </c>
      <c r="U47" s="9" t="e">
        <v>#DIV/0!</v>
      </c>
      <c r="V47" s="9" t="e">
        <v>#DIV/0!</v>
      </c>
      <c r="W47" s="9" t="e">
        <v>#DIV/0!</v>
      </c>
      <c r="X47" s="9" t="e">
        <v>#DIV/0!</v>
      </c>
      <c r="Y47" s="9" t="e">
        <v>#DIV/0!</v>
      </c>
      <c r="Z47" s="9" t="e">
        <v>#DIV/0!</v>
      </c>
      <c r="AA47" s="9" t="e">
        <v>#DIV/0!</v>
      </c>
    </row>
    <row r="48" spans="1:27">
      <c r="A48" s="126">
        <v>2044</v>
      </c>
      <c r="B48" s="130">
        <f>PTTM!M21</f>
        <v>112865.0066417983</v>
      </c>
      <c r="C48" s="132">
        <f t="shared" ca="1" si="8"/>
        <v>6028865.6556020603</v>
      </c>
      <c r="D48" s="130">
        <f>PTTM!D21</f>
        <v>511169.18704648392</v>
      </c>
      <c r="E48" s="132">
        <f t="shared" ca="1" si="15"/>
        <v>3087664.7609460629</v>
      </c>
      <c r="F48" s="130">
        <f>PTTM!F21</f>
        <v>10039.813326939546</v>
      </c>
      <c r="G48" s="132">
        <f t="shared" si="15"/>
        <v>47113.94267262167</v>
      </c>
      <c r="H48" s="130">
        <f>PTTM!H21</f>
        <v>9418.3917311327987</v>
      </c>
      <c r="I48" s="132">
        <f t="shared" si="15"/>
        <v>40224.905781747497</v>
      </c>
      <c r="J48" s="130">
        <f>PTTM!K21</f>
        <v>33284.652261065159</v>
      </c>
      <c r="K48" s="132">
        <f t="shared" si="16"/>
        <v>367884.48424663686</v>
      </c>
      <c r="L48" s="130">
        <f>PTTM!I21</f>
        <v>3212.9489925802427</v>
      </c>
      <c r="M48" s="132">
        <f t="shared" si="17"/>
        <v>22392.246742354138</v>
      </c>
      <c r="N48" s="130">
        <f>PTTM!B21</f>
        <v>679990</v>
      </c>
      <c r="O48" s="133">
        <f t="shared" si="14"/>
        <v>9594145.9959914833</v>
      </c>
      <c r="P48" s="977"/>
      <c r="Q48" s="8">
        <f t="shared" si="6"/>
        <v>530627.3921045562</v>
      </c>
      <c r="R48" s="128">
        <f t="shared" ca="1" si="7"/>
        <v>3175003.6094004316</v>
      </c>
      <c r="T48" s="6" t="e">
        <f t="shared" si="5"/>
        <v>#DIV/0!</v>
      </c>
      <c r="U48" s="9" t="e">
        <v>#DIV/0!</v>
      </c>
      <c r="V48" s="9" t="e">
        <v>#DIV/0!</v>
      </c>
      <c r="W48" s="9" t="e">
        <v>#DIV/0!</v>
      </c>
      <c r="X48" s="9" t="e">
        <v>#DIV/0!</v>
      </c>
      <c r="Y48" s="9" t="e">
        <v>#DIV/0!</v>
      </c>
      <c r="Z48" s="9" t="e">
        <v>#DIV/0!</v>
      </c>
      <c r="AA48" s="9" t="e">
        <v>#DIV/0!</v>
      </c>
    </row>
    <row r="49" spans="1:27">
      <c r="A49" s="126">
        <v>2045</v>
      </c>
      <c r="B49" s="130">
        <f>PTTM!M22</f>
        <v>107929.76918376249</v>
      </c>
      <c r="C49" s="132">
        <f t="shared" ca="1" si="8"/>
        <v>5889100.1080024894</v>
      </c>
      <c r="D49" s="130">
        <f>PTTM!D22</f>
        <v>537961.96804750466</v>
      </c>
      <c r="E49" s="132">
        <f t="shared" ca="1" si="15"/>
        <v>3621912.3641026267</v>
      </c>
      <c r="F49" s="130">
        <f>PTTM!F22</f>
        <v>11905.528320341517</v>
      </c>
      <c r="G49" s="132">
        <f t="shared" si="15"/>
        <v>58959.305741368022</v>
      </c>
      <c r="H49" s="130">
        <f>PTTM!H22</f>
        <v>11355.427789265219</v>
      </c>
      <c r="I49" s="132">
        <f t="shared" si="15"/>
        <v>51580.333571012714</v>
      </c>
      <c r="J49" s="130">
        <f>PTTM!K22</f>
        <v>34697.547009755406</v>
      </c>
      <c r="K49" s="132">
        <f t="shared" si="16"/>
        <v>387446.73160834017</v>
      </c>
      <c r="L49" s="130">
        <f>PTTM!I22</f>
        <v>3399.7596493708465</v>
      </c>
      <c r="M49" s="132">
        <f t="shared" si="17"/>
        <v>25318.985676210646</v>
      </c>
      <c r="N49" s="130">
        <f>PTTM!B22</f>
        <v>707250</v>
      </c>
      <c r="O49" s="133">
        <f t="shared" si="14"/>
        <v>10034317.828702047</v>
      </c>
      <c r="P49" s="977"/>
      <c r="Q49" s="8">
        <f t="shared" si="6"/>
        <v>561222.92415711132</v>
      </c>
      <c r="R49" s="128">
        <f t="shared" ca="1" si="7"/>
        <v>3732452.0034150071</v>
      </c>
      <c r="T49" s="6" t="e">
        <f t="shared" si="5"/>
        <v>#DIV/0!</v>
      </c>
      <c r="U49" s="9" t="e">
        <v>#DIV/0!</v>
      </c>
      <c r="V49" s="9" t="e">
        <v>#DIV/0!</v>
      </c>
      <c r="W49" s="9" t="e">
        <v>#DIV/0!</v>
      </c>
      <c r="X49" s="9" t="e">
        <v>#DIV/0!</v>
      </c>
      <c r="Y49" s="9" t="e">
        <v>#DIV/0!</v>
      </c>
      <c r="Z49" s="9" t="e">
        <v>#DIV/0!</v>
      </c>
      <c r="AA49" s="9" t="e">
        <v>#DIV/0!</v>
      </c>
    </row>
    <row r="50" spans="1:27">
      <c r="A50" s="126">
        <v>2046</v>
      </c>
      <c r="B50" s="130">
        <f>PTTM!M23</f>
        <v>100750.91226072586</v>
      </c>
      <c r="C50" s="132">
        <f t="shared" ca="1" si="8"/>
        <v>5745202.1904062759</v>
      </c>
      <c r="D50" s="130">
        <f>PTTM!D23</f>
        <v>568624.57473841088</v>
      </c>
      <c r="E50" s="132">
        <f t="shared" ca="1" si="15"/>
        <v>4184003.549182463</v>
      </c>
      <c r="F50" s="130">
        <f>PTTM!F23</f>
        <v>13926.994462713301</v>
      </c>
      <c r="G50" s="132">
        <f t="shared" si="15"/>
        <v>72782.443797790431</v>
      </c>
      <c r="H50" s="130">
        <f>PTTM!H23</f>
        <v>13463.368998761969</v>
      </c>
      <c r="I50" s="132">
        <f t="shared" si="15"/>
        <v>65008.707569774684</v>
      </c>
      <c r="J50" s="130">
        <f>PTTM!K23</f>
        <v>33866.494024629414</v>
      </c>
      <c r="K50" s="132">
        <f t="shared" si="16"/>
        <v>405756.38605852629</v>
      </c>
      <c r="L50" s="130">
        <f>PTTM!I23</f>
        <v>3407.6555147585923</v>
      </c>
      <c r="M50" s="132">
        <f t="shared" si="17"/>
        <v>28234.551687218001</v>
      </c>
      <c r="N50" s="130">
        <f>PTTM!B23</f>
        <v>734040</v>
      </c>
      <c r="O50" s="133">
        <f t="shared" si="14"/>
        <v>10500987.828702047</v>
      </c>
      <c r="P50" s="977"/>
      <c r="Q50" s="8">
        <f t="shared" si="6"/>
        <v>596014.93819988612</v>
      </c>
      <c r="R50" s="128">
        <f t="shared" ca="1" si="7"/>
        <v>4321794.7005500272</v>
      </c>
      <c r="T50" s="6" t="e">
        <f t="shared" si="5"/>
        <v>#DIV/0!</v>
      </c>
      <c r="U50" s="9" t="e">
        <v>#DIV/0!</v>
      </c>
      <c r="V50" s="9" t="e">
        <v>#DIV/0!</v>
      </c>
      <c r="W50" s="9" t="e">
        <v>#DIV/0!</v>
      </c>
      <c r="X50" s="9" t="e">
        <v>#DIV/0!</v>
      </c>
      <c r="Y50" s="9" t="e">
        <v>#DIV/0!</v>
      </c>
      <c r="Z50" s="9" t="e">
        <v>#DIV/0!</v>
      </c>
      <c r="AA50" s="9" t="e">
        <v>#DIV/0!</v>
      </c>
    </row>
    <row r="51" spans="1:27">
      <c r="A51" s="126">
        <v>2047</v>
      </c>
      <c r="B51" s="130">
        <f>PTTM!M24</f>
        <v>92875.77261704125</v>
      </c>
      <c r="C51" s="132">
        <f t="shared" ca="1" si="8"/>
        <v>5564314.5639532739</v>
      </c>
      <c r="D51" s="130">
        <f>PTTM!D24</f>
        <v>601347.10319754377</v>
      </c>
      <c r="E51" s="132">
        <f t="shared" ca="1" si="15"/>
        <v>4774636.752380006</v>
      </c>
      <c r="F51" s="130">
        <f>PTTM!F24</f>
        <v>16135.42707107211</v>
      </c>
      <c r="G51" s="132">
        <f t="shared" si="15"/>
        <v>88747.69691111047</v>
      </c>
      <c r="H51" s="130">
        <f>PTTM!H24</f>
        <v>15766.956827215763</v>
      </c>
      <c r="I51" s="132">
        <f t="shared" si="15"/>
        <v>80708.206284015774</v>
      </c>
      <c r="J51" s="130">
        <f>PTTM!K24</f>
        <v>32950.579735954721</v>
      </c>
      <c r="K51" s="132">
        <f t="shared" si="16"/>
        <v>422815.50484514859</v>
      </c>
      <c r="L51" s="130">
        <f>PTTM!I24</f>
        <v>3414.1605511723046</v>
      </c>
      <c r="M51" s="132">
        <f t="shared" si="17"/>
        <v>31135.125904025273</v>
      </c>
      <c r="N51" s="130">
        <f>PTTM!B24</f>
        <v>762490</v>
      </c>
      <c r="O51" s="133">
        <f t="shared" si="14"/>
        <v>10962357.85027758</v>
      </c>
      <c r="P51" s="977"/>
      <c r="Q51" s="8">
        <f t="shared" si="6"/>
        <v>633249.48709583166</v>
      </c>
      <c r="R51" s="128">
        <f t="shared" ca="1" si="7"/>
        <v>4944092.655575132</v>
      </c>
      <c r="T51" s="6" t="e">
        <f t="shared" si="5"/>
        <v>#DIV/0!</v>
      </c>
      <c r="U51" s="9" t="e">
        <v>#DIV/0!</v>
      </c>
      <c r="V51" s="9" t="e">
        <v>#DIV/0!</v>
      </c>
      <c r="W51" s="9" t="e">
        <v>#DIV/0!</v>
      </c>
      <c r="X51" s="9" t="e">
        <v>#DIV/0!</v>
      </c>
      <c r="Y51" s="9" t="e">
        <v>#DIV/0!</v>
      </c>
      <c r="Z51" s="9" t="e">
        <v>#DIV/0!</v>
      </c>
      <c r="AA51" s="9" t="e">
        <v>#DIV/0!</v>
      </c>
    </row>
    <row r="52" spans="1:27">
      <c r="A52" s="126">
        <v>2048</v>
      </c>
      <c r="B52" s="130">
        <f>PTTM!M25</f>
        <v>82474.463510243804</v>
      </c>
      <c r="C52" s="132">
        <f t="shared" ca="1" si="8"/>
        <v>5381957.330153916</v>
      </c>
      <c r="D52" s="130">
        <f>PTTM!D25</f>
        <v>622730.46326968796</v>
      </c>
      <c r="E52" s="132">
        <f t="shared" ca="1" si="15"/>
        <v>5374168.4189648721</v>
      </c>
      <c r="F52" s="130">
        <f>PTTM!F25</f>
        <v>18136.838861057146</v>
      </c>
      <c r="G52" s="132">
        <f t="shared" si="15"/>
        <v>106595.48562341213</v>
      </c>
      <c r="H52" s="130">
        <f>PTTM!H25</f>
        <v>17872.997792618466</v>
      </c>
      <c r="I52" s="132">
        <f t="shared" si="15"/>
        <v>98449.271515933171</v>
      </c>
      <c r="J52" s="130">
        <f>PTTM!K25</f>
        <v>31259.153452335016</v>
      </c>
      <c r="K52" s="132">
        <f t="shared" si="16"/>
        <v>436523.09411071066</v>
      </c>
      <c r="L52" s="130">
        <f>PTTM!I25</f>
        <v>3346.0831140575924</v>
      </c>
      <c r="M52" s="132">
        <f t="shared" si="17"/>
        <v>33894.249908735932</v>
      </c>
      <c r="N52" s="130">
        <f>PTTM!B25</f>
        <v>775820</v>
      </c>
      <c r="O52" s="133">
        <f t="shared" si="14"/>
        <v>11431587.85027758</v>
      </c>
      <c r="P52" s="977"/>
      <c r="Q52" s="8">
        <f t="shared" si="6"/>
        <v>658740.29992336361</v>
      </c>
      <c r="R52" s="128">
        <f t="shared" ca="1" si="7"/>
        <v>5579213.1761042168</v>
      </c>
      <c r="T52" s="6" t="e">
        <f t="shared" si="5"/>
        <v>#DIV/0!</v>
      </c>
      <c r="U52" s="9" t="e">
        <v>#DIV/0!</v>
      </c>
      <c r="V52" s="9" t="e">
        <v>#DIV/0!</v>
      </c>
      <c r="W52" s="9" t="e">
        <v>#DIV/0!</v>
      </c>
      <c r="X52" s="9" t="e">
        <v>#DIV/0!</v>
      </c>
      <c r="Y52" s="9" t="e">
        <v>#DIV/0!</v>
      </c>
      <c r="Z52" s="9" t="e">
        <v>#DIV/0!</v>
      </c>
      <c r="AA52" s="9" t="e">
        <v>#DIV/0!</v>
      </c>
    </row>
    <row r="53" spans="1:27">
      <c r="A53" s="126">
        <v>2049</v>
      </c>
      <c r="B53" s="130">
        <f>PTTM!M26</f>
        <v>72614.954733080696</v>
      </c>
      <c r="C53" s="132">
        <f t="shared" ca="1" si="8"/>
        <v>5198905.823150631</v>
      </c>
      <c r="D53" s="130">
        <f>PTTM!D26</f>
        <v>653103.40519004629</v>
      </c>
      <c r="E53" s="132">
        <f t="shared" ca="1" si="15"/>
        <v>5991500.6592261698</v>
      </c>
      <c r="F53" s="130">
        <f>PTTM!F26</f>
        <v>20473.483382251045</v>
      </c>
      <c r="G53" s="132">
        <f t="shared" si="15"/>
        <v>126611.8580576528</v>
      </c>
      <c r="H53" s="130">
        <f>PTTM!H26</f>
        <v>20306.724855547549</v>
      </c>
      <c r="I53" s="132">
        <f t="shared" si="15"/>
        <v>118520.25452191416</v>
      </c>
      <c r="J53" s="130">
        <f>PTTM!K26</f>
        <v>29884.052259427608</v>
      </c>
      <c r="K53" s="132">
        <f t="shared" si="16"/>
        <v>447646.98199409153</v>
      </c>
      <c r="L53" s="130">
        <f>PTTM!I26</f>
        <v>3317.3795796468844</v>
      </c>
      <c r="M53" s="132">
        <f t="shared" si="17"/>
        <v>36552.273327120951</v>
      </c>
      <c r="N53" s="130">
        <f>PTTM!B26</f>
        <v>799700</v>
      </c>
      <c r="O53" s="133">
        <f t="shared" si="14"/>
        <v>11919737.85027758</v>
      </c>
      <c r="P53" s="977"/>
      <c r="Q53" s="8">
        <f t="shared" si="6"/>
        <v>693883.61342784483</v>
      </c>
      <c r="R53" s="128">
        <f t="shared" ca="1" si="7"/>
        <v>6236632.7718057362</v>
      </c>
      <c r="T53" s="6" t="e">
        <f t="shared" si="5"/>
        <v>#DIV/0!</v>
      </c>
      <c r="U53" s="9" t="e">
        <v>#DIV/0!</v>
      </c>
      <c r="V53" s="9" t="e">
        <v>#DIV/0!</v>
      </c>
      <c r="W53" s="9" t="e">
        <v>#DIV/0!</v>
      </c>
      <c r="X53" s="9" t="e">
        <v>#DIV/0!</v>
      </c>
      <c r="Y53" s="9" t="e">
        <v>#DIV/0!</v>
      </c>
      <c r="Z53" s="9" t="e">
        <v>#DIV/0!</v>
      </c>
      <c r="AA53" s="9" t="e">
        <v>#DIV/0!</v>
      </c>
    </row>
    <row r="54" spans="1:27">
      <c r="A54" s="126">
        <v>2050</v>
      </c>
      <c r="B54" s="130">
        <f>PTTM!M27</f>
        <v>64301.572122595971</v>
      </c>
      <c r="C54" s="132">
        <f t="shared" ca="1" si="8"/>
        <v>4999349.9102836754</v>
      </c>
      <c r="D54" s="130">
        <f>PTTM!D27</f>
        <v>709008.30697129469</v>
      </c>
      <c r="E54" s="132">
        <f t="shared" ca="1" si="15"/>
        <v>6645023.9417546391</v>
      </c>
      <c r="F54" s="130">
        <f>PTTM!F27</f>
        <v>23739.913097510482</v>
      </c>
      <c r="G54" s="132">
        <f t="shared" si="15"/>
        <v>149673.12507443395</v>
      </c>
      <c r="H54" s="130">
        <f>PTTM!H27</f>
        <v>23659.823508657439</v>
      </c>
      <c r="I54" s="132">
        <f t="shared" si="15"/>
        <v>141791.1290193086</v>
      </c>
      <c r="J54" s="130">
        <f>PTTM!K27</f>
        <v>29400.344463971884</v>
      </c>
      <c r="K54" s="132">
        <f t="shared" si="16"/>
        <v>457540.53308607923</v>
      </c>
      <c r="L54" s="130">
        <f>PTTM!I27</f>
        <v>3400.0398359695378</v>
      </c>
      <c r="M54" s="132">
        <f t="shared" si="17"/>
        <v>39219.21105944422</v>
      </c>
      <c r="N54" s="130">
        <f>PTTM!B27</f>
        <v>853510</v>
      </c>
      <c r="O54" s="133">
        <f t="shared" si="14"/>
        <v>12432597.85027758</v>
      </c>
      <c r="P54" s="977"/>
      <c r="Q54" s="8">
        <f t="shared" si="6"/>
        <v>756408.04357746255</v>
      </c>
      <c r="R54" s="128">
        <f t="shared" ca="1" si="7"/>
        <v>6936488.1958483821</v>
      </c>
      <c r="T54" s="6" t="e">
        <f t="shared" si="5"/>
        <v>#DIV/0!</v>
      </c>
      <c r="U54" s="9" t="e">
        <v>#DIV/0!</v>
      </c>
      <c r="V54" s="9" t="e">
        <v>#DIV/0!</v>
      </c>
      <c r="W54" s="9" t="e">
        <v>#DIV/0!</v>
      </c>
      <c r="X54" s="9" t="e">
        <v>#DIV/0!</v>
      </c>
      <c r="Y54" s="9" t="e">
        <v>#DIV/0!</v>
      </c>
      <c r="Z54" s="9" t="e">
        <v>#DIV/0!</v>
      </c>
      <c r="AA54" s="9" t="e">
        <v>#DIV/0!</v>
      </c>
    </row>
    <row r="55" spans="1:27">
      <c r="A55" s="126">
        <v>2051</v>
      </c>
      <c r="B55" s="130">
        <f>PTTM!M28</f>
        <v>58764.65669671644</v>
      </c>
      <c r="C55" s="132">
        <f t="shared" ca="1" si="8"/>
        <v>4815771.205301147</v>
      </c>
      <c r="D55" s="130">
        <f>PTTM!D28</f>
        <v>744988.65938316251</v>
      </c>
      <c r="E55" s="132">
        <f t="shared" ca="1" si="15"/>
        <v>7305568.7120964704</v>
      </c>
      <c r="F55" s="130">
        <f>PTTM!F28</f>
        <v>26636.700000000004</v>
      </c>
      <c r="G55" s="132">
        <f t="shared" si="15"/>
        <v>175314.86851038184</v>
      </c>
      <c r="H55" s="130">
        <f>PTTM!H28</f>
        <v>26636.699999999997</v>
      </c>
      <c r="I55" s="132">
        <f t="shared" si="15"/>
        <v>167803.27536114585</v>
      </c>
      <c r="J55" s="130">
        <f>PTTM!K28</f>
        <v>27664.041074742723</v>
      </c>
      <c r="K55" s="132">
        <f t="shared" si="16"/>
        <v>464507.5951256915</v>
      </c>
      <c r="L55" s="130">
        <f>PTTM!I28</f>
        <v>3199.2428453784096</v>
      </c>
      <c r="M55" s="132">
        <f t="shared" si="17"/>
        <v>41572.193882743064</v>
      </c>
      <c r="N55" s="130">
        <f>PTTM!B28</f>
        <v>887890</v>
      </c>
      <c r="O55" s="133">
        <f t="shared" si="14"/>
        <v>12970537.85027758</v>
      </c>
      <c r="P55" s="977"/>
      <c r="Q55" s="8">
        <f t="shared" si="6"/>
        <v>798262.05938316241</v>
      </c>
      <c r="R55" s="128">
        <f t="shared" ca="1" si="7"/>
        <v>7648686.8559679985</v>
      </c>
      <c r="T55" s="6" t="e">
        <f t="shared" si="5"/>
        <v>#DIV/0!</v>
      </c>
      <c r="U55" s="9" t="e">
        <v>#DIV/0!</v>
      </c>
      <c r="V55" s="9" t="e">
        <v>#DIV/0!</v>
      </c>
      <c r="W55" s="9" t="e">
        <v>#DIV/0!</v>
      </c>
      <c r="X55" s="9" t="e">
        <v>#DIV/0!</v>
      </c>
      <c r="Y55" s="9" t="e">
        <v>#DIV/0!</v>
      </c>
      <c r="Z55" s="9" t="e">
        <v>#DIV/0!</v>
      </c>
      <c r="AA55" s="9" t="e">
        <v>#DIV/0!</v>
      </c>
    </row>
    <row r="56" spans="1:27">
      <c r="A56" s="126">
        <v>2052</v>
      </c>
      <c r="B56" s="130">
        <f>PTTM!M29</f>
        <v>45171.642727470258</v>
      </c>
      <c r="C56" s="132">
        <f t="shared" ca="1" si="8"/>
        <v>4649642.6204652293</v>
      </c>
      <c r="D56" s="130">
        <f>PTTM!D29</f>
        <v>782128.42297234351</v>
      </c>
      <c r="E56" s="132">
        <f t="shared" ca="1" si="15"/>
        <v>7966990.8950256277</v>
      </c>
      <c r="F56" s="130">
        <f>PTTM!F29</f>
        <v>41668.308493558536</v>
      </c>
      <c r="G56" s="132">
        <f t="shared" si="15"/>
        <v>215579.2738808172</v>
      </c>
      <c r="H56" s="130">
        <f>PTTM!H29</f>
        <v>30776.636548157676</v>
      </c>
      <c r="I56" s="132">
        <f t="shared" si="15"/>
        <v>197626.93436929112</v>
      </c>
      <c r="J56" s="130">
        <f>PTTM!K29</f>
        <v>20808.557445092014</v>
      </c>
      <c r="K56" s="132">
        <f t="shared" si="16"/>
        <v>463533.52692882059</v>
      </c>
      <c r="L56" s="130">
        <f>PTTM!I29</f>
        <v>2406.431813377988</v>
      </c>
      <c r="M56" s="132">
        <f t="shared" si="17"/>
        <v>42994.599607795761</v>
      </c>
      <c r="N56" s="130">
        <f>PTTM!B29</f>
        <v>922960</v>
      </c>
      <c r="O56" s="133">
        <f t="shared" si="14"/>
        <v>13536367.85027758</v>
      </c>
      <c r="P56" s="977"/>
      <c r="Q56" s="8">
        <f t="shared" si="6"/>
        <v>854573.36801405973</v>
      </c>
      <c r="R56" s="128">
        <f t="shared" ca="1" si="7"/>
        <v>8380197.1032757359</v>
      </c>
      <c r="T56" s="6" t="e">
        <f t="shared" si="5"/>
        <v>#DIV/0!</v>
      </c>
      <c r="U56" s="9" t="e">
        <v>#DIV/0!</v>
      </c>
      <c r="V56" s="9" t="e">
        <v>#DIV/0!</v>
      </c>
      <c r="W56" s="9" t="e">
        <v>#DIV/0!</v>
      </c>
      <c r="X56" s="9" t="e">
        <v>#DIV/0!</v>
      </c>
      <c r="Y56" s="9" t="e">
        <v>#DIV/0!</v>
      </c>
      <c r="Z56" s="9" t="e">
        <v>#DIV/0!</v>
      </c>
      <c r="AA56" s="9" t="e">
        <v>#DIV/0!</v>
      </c>
    </row>
    <row r="57" spans="1:27">
      <c r="A57" s="126">
        <v>2053</v>
      </c>
      <c r="B57" s="130">
        <f>PTTM!M30</f>
        <v>34614.271824249881</v>
      </c>
      <c r="C57" s="132">
        <f t="shared" ca="1" si="8"/>
        <v>4480879.5899797734</v>
      </c>
      <c r="D57" s="130">
        <f>PTTM!D30</f>
        <v>820111.14805883309</v>
      </c>
      <c r="E57" s="132">
        <f t="shared" ca="1" si="15"/>
        <v>8623972.0343453567</v>
      </c>
      <c r="F57" s="130">
        <f>PTTM!F30</f>
        <v>49908.008295828316</v>
      </c>
      <c r="G57" s="132">
        <f t="shared" si="15"/>
        <v>263568.00537574623</v>
      </c>
      <c r="H57" s="130">
        <f>PTTM!H30</f>
        <v>40972.597833973632</v>
      </c>
      <c r="I57" s="132">
        <f t="shared" si="15"/>
        <v>237206.32056159369</v>
      </c>
      <c r="J57" s="130">
        <f>PTTM!K30</f>
        <v>11405.02546406052</v>
      </c>
      <c r="K57" s="132">
        <f t="shared" si="16"/>
        <v>452101.4705101088</v>
      </c>
      <c r="L57" s="130">
        <f>PTTM!I30</f>
        <v>1318.9485230546181</v>
      </c>
      <c r="M57" s="132">
        <f t="shared" si="17"/>
        <v>43160.429505001797</v>
      </c>
      <c r="N57" s="130">
        <f>PTTM!B30</f>
        <v>958330</v>
      </c>
      <c r="O57" s="133">
        <f t="shared" si="14"/>
        <v>14100887.85027758</v>
      </c>
      <c r="P57" s="977"/>
      <c r="Q57" s="8">
        <f t="shared" si="6"/>
        <v>910991.75418863504</v>
      </c>
      <c r="R57" s="128">
        <f t="shared" ca="1" si="7"/>
        <v>9124746.3602826968</v>
      </c>
      <c r="T57" s="6" t="e">
        <f t="shared" si="5"/>
        <v>#DIV/0!</v>
      </c>
      <c r="U57" s="9" t="e">
        <v>#DIV/0!</v>
      </c>
      <c r="V57" s="9" t="e">
        <v>#DIV/0!</v>
      </c>
      <c r="W57" s="9" t="e">
        <v>#DIV/0!</v>
      </c>
      <c r="X57" s="9" t="e">
        <v>#DIV/0!</v>
      </c>
      <c r="Y57" s="9" t="e">
        <v>#DIV/0!</v>
      </c>
      <c r="Z57" s="9" t="e">
        <v>#DIV/0!</v>
      </c>
      <c r="AA57" s="9" t="e">
        <v>#DIV/0!</v>
      </c>
    </row>
    <row r="58" spans="1:27">
      <c r="A58" s="126">
        <v>2054</v>
      </c>
      <c r="B58" s="130">
        <f>PTTM!M31</f>
        <v>20901.971268808818</v>
      </c>
      <c r="C58" s="132">
        <f t="shared" ca="1" si="8"/>
        <v>4322725.4892957518</v>
      </c>
      <c r="D58" s="130">
        <f>PTTM!D31</f>
        <v>858927.07426048594</v>
      </c>
      <c r="E58" s="132">
        <f t="shared" ca="1" si="15"/>
        <v>9271934.3490625098</v>
      </c>
      <c r="F58" s="130">
        <f>PTTM!F31</f>
        <v>58654.580491494009</v>
      </c>
      <c r="G58" s="132">
        <f t="shared" si="15"/>
        <v>319659.3301306513</v>
      </c>
      <c r="H58" s="130">
        <f>PTTM!H31</f>
        <v>51848.727907656939</v>
      </c>
      <c r="I58" s="132">
        <f t="shared" si="15"/>
        <v>287084.58183213166</v>
      </c>
      <c r="J58" s="130">
        <f>PTTM!K31</f>
        <v>3269.5364177955371</v>
      </c>
      <c r="K58" s="132">
        <f t="shared" si="16"/>
        <v>431378.44119194843</v>
      </c>
      <c r="L58" s="130">
        <f>PTTM!I31</f>
        <v>378.10965375866755</v>
      </c>
      <c r="M58" s="132">
        <f t="shared" si="17"/>
        <v>42175.658764587461</v>
      </c>
      <c r="N58" s="130">
        <f>PTTM!B31</f>
        <v>993980</v>
      </c>
      <c r="O58" s="133">
        <f t="shared" si="14"/>
        <v>14674957.85027758</v>
      </c>
      <c r="P58" s="977"/>
      <c r="Q58" s="8">
        <f t="shared" si="6"/>
        <v>969430.3826596369</v>
      </c>
      <c r="R58" s="128">
        <f t="shared" ca="1" si="7"/>
        <v>9878678.2610252928</v>
      </c>
      <c r="T58" s="6" t="e">
        <f t="shared" si="5"/>
        <v>#DIV/0!</v>
      </c>
      <c r="U58" s="9" t="e">
        <v>#DIV/0!</v>
      </c>
      <c r="V58" s="9" t="e">
        <v>#DIV/0!</v>
      </c>
      <c r="W58" s="9" t="e">
        <v>#DIV/0!</v>
      </c>
      <c r="X58" s="9" t="e">
        <v>#DIV/0!</v>
      </c>
      <c r="Y58" s="9" t="e">
        <v>#DIV/0!</v>
      </c>
      <c r="Z58" s="9" t="e">
        <v>#DIV/0!</v>
      </c>
      <c r="AA58" s="9" t="e">
        <v>#DIV/0!</v>
      </c>
    </row>
    <row r="59" spans="1:27">
      <c r="A59" s="126">
        <v>2055</v>
      </c>
      <c r="B59" s="130">
        <f>PTTM!M32</f>
        <v>0</v>
      </c>
      <c r="C59" s="132">
        <f t="shared" ca="1" si="8"/>
        <v>4184689.7825602307</v>
      </c>
      <c r="D59" s="130">
        <f>PTTM!D32</f>
        <v>898513.42332718265</v>
      </c>
      <c r="E59" s="132">
        <f t="shared" ca="1" si="15"/>
        <v>9906472.1751190592</v>
      </c>
      <c r="F59" s="130">
        <f>PTTM!F32</f>
        <v>67908.572399728073</v>
      </c>
      <c r="G59" s="132">
        <f t="shared" si="15"/>
        <v>384198.99098551314</v>
      </c>
      <c r="H59" s="130">
        <f>PTTM!H32</f>
        <v>63408.004273089253</v>
      </c>
      <c r="I59" s="132">
        <f t="shared" si="15"/>
        <v>347773.2302797407</v>
      </c>
      <c r="J59" s="130">
        <f>PTTM!K32</f>
        <v>0</v>
      </c>
      <c r="K59" s="132">
        <f t="shared" si="16"/>
        <v>405991.43079394067</v>
      </c>
      <c r="L59" s="130">
        <f>PTTM!I32</f>
        <v>0</v>
      </c>
      <c r="M59" s="132">
        <f t="shared" si="17"/>
        <v>40552.240539096827</v>
      </c>
      <c r="N59" s="130">
        <f>PTTM!B32</f>
        <v>1029830</v>
      </c>
      <c r="O59" s="133">
        <f t="shared" si="14"/>
        <v>15269677.85027758</v>
      </c>
      <c r="P59" s="977"/>
      <c r="Q59" s="8">
        <f t="shared" si="6"/>
        <v>1029830</v>
      </c>
      <c r="R59" s="128">
        <f t="shared" ca="1" si="7"/>
        <v>10638444.396384312</v>
      </c>
      <c r="T59" s="6" t="e">
        <f t="shared" si="5"/>
        <v>#DIV/0!</v>
      </c>
      <c r="U59" s="9" t="e">
        <v>#DIV/0!</v>
      </c>
      <c r="V59" s="9" t="e">
        <v>#DIV/0!</v>
      </c>
      <c r="W59" s="9" t="e">
        <v>#DIV/0!</v>
      </c>
      <c r="X59" s="9" t="e">
        <v>#DIV/0!</v>
      </c>
      <c r="Y59" s="9" t="e">
        <v>#DIV/0!</v>
      </c>
      <c r="Z59" s="9" t="e">
        <v>#DIV/0!</v>
      </c>
      <c r="AA59" s="9" t="e">
        <v>#DIV/0!</v>
      </c>
    </row>
  </sheetData>
  <mergeCells count="10">
    <mergeCell ref="P40:P59"/>
    <mergeCell ref="J1:K1"/>
    <mergeCell ref="L1:M1"/>
    <mergeCell ref="Q1:R1"/>
    <mergeCell ref="P28:P39"/>
    <mergeCell ref="B1:C1"/>
    <mergeCell ref="D1:E1"/>
    <mergeCell ref="F1:G1"/>
    <mergeCell ref="H1:I1"/>
    <mergeCell ref="N1:O1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81"/>
  <sheetViews>
    <sheetView topLeftCell="S1" zoomScaleNormal="100" workbookViewId="0">
      <pane ySplit="1" topLeftCell="A15" activePane="bottomLeft" state="frozen"/>
      <selection activeCell="C97" sqref="C97:AG97"/>
      <selection pane="bottomLeft" activeCell="A74" sqref="A74:AF81"/>
    </sheetView>
  </sheetViews>
  <sheetFormatPr defaultRowHeight="14.4"/>
  <cols>
    <col min="1" max="1" width="16.6640625" bestFit="1" customWidth="1"/>
    <col min="2" max="2" width="12.109375" bestFit="1" customWidth="1"/>
    <col min="3" max="10" width="11.6640625" bestFit="1" customWidth="1"/>
    <col min="11" max="11" width="12" bestFit="1" customWidth="1"/>
    <col min="12" max="13" width="12.44140625" bestFit="1" customWidth="1"/>
    <col min="14" max="18" width="13.109375" bestFit="1" customWidth="1"/>
    <col min="19" max="32" width="14.44140625" bestFit="1" customWidth="1"/>
  </cols>
  <sheetData>
    <row r="1" spans="1:32">
      <c r="A1" s="2"/>
      <c r="B1" s="3">
        <v>2025</v>
      </c>
      <c r="C1" s="3">
        <v>2026</v>
      </c>
      <c r="D1" s="3">
        <v>2027</v>
      </c>
      <c r="E1" s="3">
        <v>2028</v>
      </c>
      <c r="F1" s="3">
        <v>2029</v>
      </c>
      <c r="G1" s="3">
        <v>2030</v>
      </c>
      <c r="H1" s="3">
        <v>2031</v>
      </c>
      <c r="I1" s="3">
        <v>2032</v>
      </c>
      <c r="J1" s="3">
        <v>2033</v>
      </c>
      <c r="K1" s="3">
        <v>2034</v>
      </c>
      <c r="L1" s="3">
        <v>2035</v>
      </c>
      <c r="M1" s="3">
        <v>2036</v>
      </c>
      <c r="N1" s="3">
        <v>2037</v>
      </c>
      <c r="O1" s="3">
        <v>2038</v>
      </c>
      <c r="P1" s="3">
        <v>2039</v>
      </c>
      <c r="Q1" s="3">
        <v>2040</v>
      </c>
      <c r="R1" s="3">
        <v>2041</v>
      </c>
      <c r="S1" s="3">
        <v>2042</v>
      </c>
      <c r="T1" s="3">
        <v>2043</v>
      </c>
      <c r="U1" s="3">
        <v>2044</v>
      </c>
      <c r="V1" s="3">
        <v>2045</v>
      </c>
      <c r="W1" s="3">
        <v>2046</v>
      </c>
      <c r="X1" s="3">
        <v>2047</v>
      </c>
      <c r="Y1" s="3">
        <v>2048</v>
      </c>
      <c r="Z1" s="3">
        <v>2049</v>
      </c>
      <c r="AA1" s="3">
        <v>2050</v>
      </c>
      <c r="AB1" s="3">
        <v>2051</v>
      </c>
      <c r="AC1" s="3">
        <v>2052</v>
      </c>
      <c r="AD1" s="3">
        <v>2053</v>
      </c>
      <c r="AE1" s="3">
        <v>2054</v>
      </c>
      <c r="AF1" s="3">
        <v>2055</v>
      </c>
    </row>
    <row r="2" spans="1:32">
      <c r="A2" s="112" t="s">
        <v>44</v>
      </c>
      <c r="B2" s="111">
        <v>0.25112688015980189</v>
      </c>
      <c r="C2" s="111">
        <v>0.25</v>
      </c>
      <c r="D2" s="111">
        <v>0.25</v>
      </c>
      <c r="E2" s="111">
        <v>0.25</v>
      </c>
      <c r="F2" s="111">
        <v>0.25000000000000006</v>
      </c>
      <c r="G2" s="111">
        <v>0.25</v>
      </c>
      <c r="H2" s="111">
        <v>0.26</v>
      </c>
      <c r="I2" s="111">
        <v>0.26</v>
      </c>
      <c r="J2" s="111">
        <v>0.27</v>
      </c>
      <c r="K2" s="111">
        <v>0.28000000000000008</v>
      </c>
      <c r="L2" s="111">
        <v>0.28999999999999998</v>
      </c>
      <c r="M2" s="111">
        <v>0.28999999999999998</v>
      </c>
      <c r="N2" s="111">
        <v>0.3</v>
      </c>
      <c r="O2" s="111">
        <v>0.3</v>
      </c>
      <c r="P2" s="111">
        <v>0.3</v>
      </c>
      <c r="Q2" s="111">
        <v>0.3</v>
      </c>
      <c r="R2" s="111">
        <v>0.3</v>
      </c>
      <c r="S2" s="111">
        <v>0.3</v>
      </c>
      <c r="T2" s="111">
        <v>0.3</v>
      </c>
      <c r="U2" s="111">
        <v>0.3</v>
      </c>
      <c r="V2" s="111">
        <v>0.3</v>
      </c>
      <c r="W2" s="111">
        <v>0.3</v>
      </c>
      <c r="X2" s="111">
        <v>0.3</v>
      </c>
      <c r="Y2" s="111">
        <v>0.3</v>
      </c>
      <c r="Z2" s="111">
        <v>0.29999999999999993</v>
      </c>
      <c r="AA2" s="111">
        <v>0.29999999999999993</v>
      </c>
      <c r="AB2" s="111">
        <v>0.29999999999999993</v>
      </c>
      <c r="AC2" s="111">
        <v>0.3</v>
      </c>
      <c r="AD2" s="111">
        <v>0.29999999999999993</v>
      </c>
      <c r="AE2" s="111">
        <v>0.3</v>
      </c>
      <c r="AF2" s="111">
        <v>0.29999999999999993</v>
      </c>
    </row>
    <row r="3" spans="1:32">
      <c r="A3" s="112" t="s">
        <v>45</v>
      </c>
      <c r="B3" s="111">
        <v>8.8508253812689133E-2</v>
      </c>
      <c r="C3" s="111">
        <v>0.1</v>
      </c>
      <c r="D3" s="111">
        <v>0.1</v>
      </c>
      <c r="E3" s="111">
        <v>0.1</v>
      </c>
      <c r="F3" s="111">
        <v>0.10000000000000003</v>
      </c>
      <c r="G3" s="111">
        <v>9.9999999999999992E-2</v>
      </c>
      <c r="H3" s="111">
        <v>0.10999999999999999</v>
      </c>
      <c r="I3" s="111">
        <v>0.13</v>
      </c>
      <c r="J3" s="111">
        <v>0.13</v>
      </c>
      <c r="K3" s="111">
        <v>0.14000000000000004</v>
      </c>
      <c r="L3" s="111">
        <v>0.15</v>
      </c>
      <c r="M3" s="111">
        <v>0.16</v>
      </c>
      <c r="N3" s="111">
        <v>0.18</v>
      </c>
      <c r="O3" s="111">
        <v>0.19</v>
      </c>
      <c r="P3" s="111">
        <v>0.19</v>
      </c>
      <c r="Q3" s="111">
        <v>0.2</v>
      </c>
      <c r="R3" s="111">
        <v>0.2</v>
      </c>
      <c r="S3" s="111">
        <v>0.2</v>
      </c>
      <c r="T3" s="111">
        <v>0.2</v>
      </c>
      <c r="U3" s="111">
        <v>0.2</v>
      </c>
      <c r="V3" s="111">
        <v>0.19999999999999998</v>
      </c>
      <c r="W3" s="111">
        <v>0.2</v>
      </c>
      <c r="X3" s="111">
        <v>0.19999999999999998</v>
      </c>
      <c r="Y3" s="111">
        <v>0.2</v>
      </c>
      <c r="Z3" s="111">
        <v>0.19999999999999998</v>
      </c>
      <c r="AA3" s="111">
        <v>0.2</v>
      </c>
      <c r="AB3" s="111">
        <v>0.2</v>
      </c>
      <c r="AC3" s="111">
        <v>0.2</v>
      </c>
      <c r="AD3" s="111">
        <v>0.2</v>
      </c>
      <c r="AE3" s="111">
        <v>0.19999999999999998</v>
      </c>
      <c r="AF3" s="111">
        <v>0.2</v>
      </c>
    </row>
    <row r="4" spans="1:32">
      <c r="A4" s="112" t="s">
        <v>46</v>
      </c>
      <c r="B4" s="111">
        <v>0.25573539918677596</v>
      </c>
      <c r="C4" s="111">
        <v>0.25</v>
      </c>
      <c r="D4" s="111">
        <v>0.25</v>
      </c>
      <c r="E4" s="111">
        <v>0.25</v>
      </c>
      <c r="F4" s="111">
        <v>0.25000000000000006</v>
      </c>
      <c r="G4" s="111">
        <v>0.25</v>
      </c>
      <c r="H4" s="111">
        <v>0.24000000000000002</v>
      </c>
      <c r="I4" s="111">
        <v>0.23</v>
      </c>
      <c r="J4" s="111">
        <v>0.22</v>
      </c>
      <c r="K4" s="111">
        <v>0.21000000000000002</v>
      </c>
      <c r="L4" s="111">
        <v>0.2</v>
      </c>
      <c r="M4" s="111">
        <v>0.19</v>
      </c>
      <c r="N4" s="111">
        <v>0.18</v>
      </c>
      <c r="O4" s="111">
        <v>0.17</v>
      </c>
      <c r="P4" s="111">
        <v>0.16</v>
      </c>
      <c r="Q4" s="111">
        <v>0.15</v>
      </c>
      <c r="R4" s="111">
        <v>0.15</v>
      </c>
      <c r="S4" s="111">
        <v>0.15</v>
      </c>
      <c r="T4" s="111">
        <v>0.15</v>
      </c>
      <c r="U4" s="111">
        <v>0.15</v>
      </c>
      <c r="V4" s="111">
        <v>0.15</v>
      </c>
      <c r="W4" s="111">
        <v>0.15</v>
      </c>
      <c r="X4" s="111">
        <v>0.15</v>
      </c>
      <c r="Y4" s="111">
        <v>0.15</v>
      </c>
      <c r="Z4" s="111">
        <v>0.14999999999999997</v>
      </c>
      <c r="AA4" s="111">
        <v>0.14999999999999997</v>
      </c>
      <c r="AB4" s="111">
        <v>0.14999999999999997</v>
      </c>
      <c r="AC4" s="111">
        <v>0.15</v>
      </c>
      <c r="AD4" s="111">
        <v>0.14999999999999997</v>
      </c>
      <c r="AE4" s="111">
        <v>0.15</v>
      </c>
      <c r="AF4" s="111">
        <v>0.14999999999999997</v>
      </c>
    </row>
    <row r="5" spans="1:32">
      <c r="A5" s="112" t="s">
        <v>47</v>
      </c>
      <c r="B5" s="111">
        <v>0.151852946347412</v>
      </c>
      <c r="C5" s="111">
        <v>0.15</v>
      </c>
      <c r="D5" s="111">
        <v>0.15</v>
      </c>
      <c r="E5" s="111">
        <v>0.15</v>
      </c>
      <c r="F5" s="111">
        <v>0.15000000000000002</v>
      </c>
      <c r="G5" s="111">
        <v>0.15</v>
      </c>
      <c r="H5" s="111">
        <v>0.14000000000000001</v>
      </c>
      <c r="I5" s="111">
        <v>0.13</v>
      </c>
      <c r="J5" s="111">
        <v>0.11999999999999998</v>
      </c>
      <c r="K5" s="111">
        <v>0.11000000000000001</v>
      </c>
      <c r="L5" s="111">
        <v>0.1</v>
      </c>
      <c r="M5" s="111">
        <v>0.09</v>
      </c>
      <c r="N5" s="111">
        <v>0.06</v>
      </c>
      <c r="O5" s="111">
        <v>0.05</v>
      </c>
      <c r="P5" s="111">
        <v>0.04</v>
      </c>
      <c r="Q5" s="111">
        <v>0.03</v>
      </c>
      <c r="R5" s="111">
        <v>0.03</v>
      </c>
      <c r="S5" s="111">
        <v>2.9999999999999995E-2</v>
      </c>
      <c r="T5" s="111">
        <v>2.9999999999999995E-2</v>
      </c>
      <c r="U5" s="111">
        <v>3.0000000000000002E-2</v>
      </c>
      <c r="V5" s="111">
        <v>2.9999999999999995E-2</v>
      </c>
      <c r="W5" s="111">
        <v>0.03</v>
      </c>
      <c r="X5" s="111">
        <v>3.0000000000000002E-2</v>
      </c>
      <c r="Y5" s="111">
        <v>0.03</v>
      </c>
      <c r="Z5" s="111">
        <v>2.9999999999999995E-2</v>
      </c>
      <c r="AA5" s="111">
        <v>2.9999999999999992E-2</v>
      </c>
      <c r="AB5" s="111">
        <v>2.9999999999999995E-2</v>
      </c>
      <c r="AC5" s="111">
        <v>0.03</v>
      </c>
      <c r="AD5" s="111">
        <v>2.9999999999999995E-2</v>
      </c>
      <c r="AE5" s="111">
        <v>2.9999999999999995E-2</v>
      </c>
      <c r="AF5" s="111">
        <v>0.03</v>
      </c>
    </row>
    <row r="6" spans="1:32">
      <c r="A6" s="112" t="s">
        <v>48</v>
      </c>
      <c r="B6" s="111">
        <v>3.4530226573049889E-2</v>
      </c>
      <c r="C6" s="111">
        <v>0.03</v>
      </c>
      <c r="D6" s="111">
        <v>0.03</v>
      </c>
      <c r="E6" s="111">
        <v>2.9999999999999995E-2</v>
      </c>
      <c r="F6" s="111">
        <v>3.0000000000000006E-2</v>
      </c>
      <c r="G6" s="111">
        <v>3.0000000000000002E-2</v>
      </c>
      <c r="H6" s="111">
        <v>3.0000000000000002E-2</v>
      </c>
      <c r="I6" s="111">
        <v>2.9999999999999995E-2</v>
      </c>
      <c r="J6" s="111">
        <v>2.9999999999999995E-2</v>
      </c>
      <c r="K6" s="111">
        <v>3.0000000000000002E-2</v>
      </c>
      <c r="L6" s="111">
        <v>0.03</v>
      </c>
      <c r="M6" s="111">
        <v>0.03</v>
      </c>
      <c r="N6" s="111">
        <v>0.02</v>
      </c>
      <c r="O6" s="111">
        <v>0.02</v>
      </c>
      <c r="P6" s="111">
        <v>0.02</v>
      </c>
      <c r="Q6" s="111">
        <v>0.02</v>
      </c>
      <c r="R6" s="111">
        <v>0.02</v>
      </c>
      <c r="S6" s="111">
        <v>0.02</v>
      </c>
      <c r="T6" s="111">
        <v>0.02</v>
      </c>
      <c r="U6" s="111">
        <v>0.02</v>
      </c>
      <c r="V6" s="111">
        <v>0.02</v>
      </c>
      <c r="W6" s="111">
        <v>0.02</v>
      </c>
      <c r="X6" s="111">
        <v>0.02</v>
      </c>
      <c r="Y6" s="111">
        <v>0.02</v>
      </c>
      <c r="Z6" s="111">
        <v>1.9999999999999997E-2</v>
      </c>
      <c r="AA6" s="111">
        <v>1.9999999999999997E-2</v>
      </c>
      <c r="AB6" s="111">
        <v>1.9999999999999997E-2</v>
      </c>
      <c r="AC6" s="111">
        <v>2.0000000000000004E-2</v>
      </c>
      <c r="AD6" s="111">
        <v>0.02</v>
      </c>
      <c r="AE6" s="111">
        <v>1.9999999999999997E-2</v>
      </c>
      <c r="AF6" s="111">
        <v>0.02</v>
      </c>
    </row>
    <row r="7" spans="1:32">
      <c r="A7" s="112" t="s">
        <v>49</v>
      </c>
      <c r="B7" s="111">
        <v>7.5823604445425337E-3</v>
      </c>
      <c r="C7" s="111">
        <v>0.01</v>
      </c>
      <c r="D7" s="111">
        <v>0.01</v>
      </c>
      <c r="E7" s="111">
        <v>0.01</v>
      </c>
      <c r="F7" s="111">
        <v>1.0000000000000002E-2</v>
      </c>
      <c r="G7" s="111">
        <v>0.01</v>
      </c>
      <c r="H7" s="111">
        <v>0.02</v>
      </c>
      <c r="I7" s="111">
        <v>2.9999999999999995E-2</v>
      </c>
      <c r="J7" s="111">
        <v>4.0000000000000008E-2</v>
      </c>
      <c r="K7" s="111">
        <v>5.000000000000001E-2</v>
      </c>
      <c r="L7" s="111">
        <v>0.05</v>
      </c>
      <c r="M7" s="111">
        <v>0.06</v>
      </c>
      <c r="N7" s="111">
        <v>0.08</v>
      </c>
      <c r="O7" s="111">
        <v>0.08</v>
      </c>
      <c r="P7" s="111">
        <v>0.09</v>
      </c>
      <c r="Q7" s="111">
        <v>0.1</v>
      </c>
      <c r="R7" s="111">
        <v>0.1</v>
      </c>
      <c r="S7" s="111">
        <v>0.1</v>
      </c>
      <c r="T7" s="111">
        <v>0.1</v>
      </c>
      <c r="U7" s="111">
        <v>0.1</v>
      </c>
      <c r="V7" s="111">
        <v>9.9999999999999992E-2</v>
      </c>
      <c r="W7" s="111">
        <v>0.1</v>
      </c>
      <c r="X7" s="111">
        <v>9.9999999999999992E-2</v>
      </c>
      <c r="Y7" s="111">
        <v>0.1</v>
      </c>
      <c r="Z7" s="111">
        <v>9.9999999999999992E-2</v>
      </c>
      <c r="AA7" s="111">
        <v>0.1</v>
      </c>
      <c r="AB7" s="111">
        <v>0.1</v>
      </c>
      <c r="AC7" s="111">
        <v>0.1</v>
      </c>
      <c r="AD7" s="111">
        <v>0.1</v>
      </c>
      <c r="AE7" s="111">
        <v>9.9999999999999992E-2</v>
      </c>
      <c r="AF7" s="111">
        <v>0.1</v>
      </c>
    </row>
    <row r="8" spans="1:32">
      <c r="A8" s="112" t="s">
        <v>548</v>
      </c>
      <c r="B8" s="111">
        <v>0.21066393347572859</v>
      </c>
      <c r="C8" s="111">
        <v>0.21</v>
      </c>
      <c r="D8" s="111">
        <v>0.21</v>
      </c>
      <c r="E8" s="111">
        <v>0.21</v>
      </c>
      <c r="F8" s="111">
        <v>0.21000000000000002</v>
      </c>
      <c r="G8" s="111">
        <v>0.21</v>
      </c>
      <c r="H8" s="111">
        <v>0.2</v>
      </c>
      <c r="I8" s="111">
        <v>0.19</v>
      </c>
      <c r="J8" s="111">
        <v>0.19</v>
      </c>
      <c r="K8" s="111">
        <v>0.18000000000000002</v>
      </c>
      <c r="L8" s="111">
        <v>0.18000000000000002</v>
      </c>
      <c r="M8" s="111">
        <v>0.18</v>
      </c>
      <c r="N8" s="111">
        <v>0.18</v>
      </c>
      <c r="O8" s="111">
        <v>0.19</v>
      </c>
      <c r="P8" s="111">
        <v>0.2</v>
      </c>
      <c r="Q8" s="111">
        <v>0.2</v>
      </c>
      <c r="R8" s="111">
        <v>0.2</v>
      </c>
      <c r="S8" s="111">
        <v>0.2</v>
      </c>
      <c r="T8" s="111">
        <v>0.2</v>
      </c>
      <c r="U8" s="111">
        <v>0.2</v>
      </c>
      <c r="V8" s="111">
        <v>0.19999999999999998</v>
      </c>
      <c r="W8" s="111">
        <v>0.2</v>
      </c>
      <c r="X8" s="111">
        <v>0.19999999999999998</v>
      </c>
      <c r="Y8" s="111">
        <v>0.2</v>
      </c>
      <c r="Z8" s="111">
        <v>0.19999999999999998</v>
      </c>
      <c r="AA8" s="111">
        <v>0.2</v>
      </c>
      <c r="AB8" s="111">
        <v>0.2</v>
      </c>
      <c r="AC8" s="111">
        <v>0.2</v>
      </c>
      <c r="AD8" s="111">
        <v>0.2</v>
      </c>
      <c r="AE8" s="111">
        <v>0.19999999999999998</v>
      </c>
      <c r="AF8" s="111">
        <v>0.2</v>
      </c>
    </row>
    <row r="9" spans="1:32">
      <c r="A9" s="112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</row>
    <row r="10" spans="1:32">
      <c r="A10" s="119" t="s">
        <v>503</v>
      </c>
      <c r="B10" s="120" cm="1">
        <f t="array" ref="B10:AF10">TRANSPOSE(Table1[Grand Total Sales])</f>
        <v>267370</v>
      </c>
      <c r="C10" s="120">
        <v>301119.97842446715</v>
      </c>
      <c r="D10" s="120">
        <v>306590</v>
      </c>
      <c r="E10" s="120">
        <v>311550</v>
      </c>
      <c r="F10" s="120">
        <v>340650</v>
      </c>
      <c r="G10" s="120">
        <v>349950</v>
      </c>
      <c r="H10" s="120">
        <v>357130</v>
      </c>
      <c r="I10" s="120">
        <v>393810</v>
      </c>
      <c r="J10" s="120">
        <v>419910</v>
      </c>
      <c r="K10" s="120">
        <v>435110</v>
      </c>
      <c r="L10" s="120">
        <v>459480</v>
      </c>
      <c r="M10" s="120">
        <v>480610</v>
      </c>
      <c r="N10" s="120">
        <v>500010</v>
      </c>
      <c r="O10" s="120">
        <v>520490</v>
      </c>
      <c r="P10" s="120">
        <v>544970</v>
      </c>
      <c r="Q10" s="120">
        <v>570540</v>
      </c>
      <c r="R10" s="120">
        <v>599070</v>
      </c>
      <c r="S10" s="120">
        <v>627500</v>
      </c>
      <c r="T10" s="120">
        <v>654020</v>
      </c>
      <c r="U10" s="120">
        <v>679990</v>
      </c>
      <c r="V10" s="120">
        <v>707250</v>
      </c>
      <c r="W10" s="120">
        <v>734040</v>
      </c>
      <c r="X10" s="120">
        <v>762490</v>
      </c>
      <c r="Y10" s="120">
        <v>775820</v>
      </c>
      <c r="Z10" s="120">
        <v>799700</v>
      </c>
      <c r="AA10" s="120">
        <v>853510</v>
      </c>
      <c r="AB10" s="120">
        <v>887890</v>
      </c>
      <c r="AC10" s="120">
        <v>922960</v>
      </c>
      <c r="AD10" s="120">
        <v>958330</v>
      </c>
      <c r="AE10" s="120">
        <v>993980</v>
      </c>
      <c r="AF10" s="120">
        <v>1029830</v>
      </c>
    </row>
    <row r="11" spans="1:32">
      <c r="A11" s="117" t="str" cm="1">
        <f t="array" aca="1" ref="A11:AF11" ca="1">TRANSPOSE(Table1[[#All],[BET Units ]])</f>
        <v xml:space="preserve">BET Units </v>
      </c>
      <c r="B11" s="118">
        <f ca="1"/>
        <v>149</v>
      </c>
      <c r="C11" s="118">
        <f ca="1"/>
        <v>408.14205125370887</v>
      </c>
      <c r="D11" s="118">
        <f ca="1"/>
        <v>910.05335873534818</v>
      </c>
      <c r="E11" s="118">
        <f ca="1"/>
        <v>1846.2496348009738</v>
      </c>
      <c r="F11" s="118">
        <f ca="1"/>
        <v>3714.3648909410686</v>
      </c>
      <c r="G11" s="118">
        <f ca="1"/>
        <v>6533.3896585746807</v>
      </c>
      <c r="H11" s="118">
        <f ca="1"/>
        <v>10713.900000000001</v>
      </c>
      <c r="I11" s="118">
        <f ca="1"/>
        <v>23198.796684822002</v>
      </c>
      <c r="J11" s="118">
        <f ca="1"/>
        <v>35771.164928748061</v>
      </c>
      <c r="K11" s="118">
        <f ca="1"/>
        <v>55485.024442825299</v>
      </c>
      <c r="L11" s="118">
        <f ca="1"/>
        <v>84443.889041331873</v>
      </c>
      <c r="M11" s="118">
        <f ca="1"/>
        <v>120706.24004318622</v>
      </c>
      <c r="N11" s="118">
        <f ca="1"/>
        <v>163130.00873910473</v>
      </c>
      <c r="O11" s="118">
        <f ca="1"/>
        <v>210964.75954333376</v>
      </c>
      <c r="P11" s="118">
        <f ca="1"/>
        <v>263975.59727063327</v>
      </c>
      <c r="Q11" s="118">
        <f ca="1"/>
        <v>319209.64966294769</v>
      </c>
      <c r="R11" s="118">
        <f ca="1"/>
        <v>375531.5975071119</v>
      </c>
      <c r="S11" s="118">
        <f ca="1"/>
        <v>428657.49622644176</v>
      </c>
      <c r="T11" s="118">
        <f ca="1"/>
        <v>474459.69525957655</v>
      </c>
      <c r="U11" s="118">
        <f ca="1"/>
        <v>511169.18704648392</v>
      </c>
      <c r="V11" s="118">
        <f ca="1"/>
        <v>537961.96804750466</v>
      </c>
      <c r="W11" s="118">
        <f ca="1"/>
        <v>568624.57473841088</v>
      </c>
      <c r="X11" s="118">
        <f ca="1"/>
        <v>601347.10319754377</v>
      </c>
      <c r="Y11" s="118">
        <f ca="1"/>
        <v>622730.46326968796</v>
      </c>
      <c r="Z11" s="118">
        <f ca="1"/>
        <v>653103.40519004629</v>
      </c>
      <c r="AA11" s="118">
        <f ca="1"/>
        <v>709008.30697129469</v>
      </c>
      <c r="AB11" s="118">
        <f ca="1"/>
        <v>744988.65938316251</v>
      </c>
      <c r="AC11" s="118">
        <f ca="1"/>
        <v>782128.42297234351</v>
      </c>
      <c r="AD11" s="118">
        <f ca="1"/>
        <v>820111.14805883309</v>
      </c>
      <c r="AE11" s="118">
        <f ca="1"/>
        <v>858927.07426048594</v>
      </c>
      <c r="AF11" s="118">
        <f ca="1"/>
        <v>898513.42332718265</v>
      </c>
    </row>
    <row r="12" spans="1:32">
      <c r="A12" t="s">
        <v>44</v>
      </c>
      <c r="B12" s="114">
        <f ca="1">B2*$B$11</f>
        <v>37.417905143810479</v>
      </c>
      <c r="C12" s="114">
        <f ca="1">$C$11*C2</f>
        <v>102.03551281342722</v>
      </c>
      <c r="D12" s="114">
        <f ca="1">$D$11*D2</f>
        <v>227.51333968383705</v>
      </c>
      <c r="E12" s="114">
        <f ca="1">$E$11*E2</f>
        <v>461.56240870024345</v>
      </c>
      <c r="F12" s="114">
        <f ca="1">$F$11*F2</f>
        <v>928.59122273526737</v>
      </c>
      <c r="G12" s="114">
        <f ca="1">$G$11*G2</f>
        <v>1633.3474146436702</v>
      </c>
      <c r="H12" s="114">
        <f ca="1">$H$11*H2</f>
        <v>2785.6140000000005</v>
      </c>
      <c r="I12" s="114">
        <f ca="1">$I$11*I2</f>
        <v>6031.6871380537204</v>
      </c>
      <c r="J12" s="114">
        <f ca="1">$J$11*J2</f>
        <v>9658.2145307619776</v>
      </c>
      <c r="K12" s="114">
        <f ca="1">$K$11*K2</f>
        <v>15535.806843991088</v>
      </c>
      <c r="L12" s="114">
        <f ca="1">$L$11*L2</f>
        <v>24488.727821986242</v>
      </c>
      <c r="M12" s="114">
        <f ca="1">$M$11*M2</f>
        <v>35004.809612524004</v>
      </c>
      <c r="N12" s="114">
        <f ca="1">$N$11*N2</f>
        <v>48939.002621731415</v>
      </c>
      <c r="O12" s="114">
        <f ca="1">$O$11*O2</f>
        <v>63289.427863000121</v>
      </c>
      <c r="P12" s="114">
        <f ca="1">$P$11*P2</f>
        <v>79192.679181189975</v>
      </c>
      <c r="Q12" s="114">
        <f ca="1">$Q$11*Q2</f>
        <v>95762.894898884304</v>
      </c>
      <c r="R12" s="114">
        <f ca="1">$R$11*R2</f>
        <v>112659.47925213356</v>
      </c>
      <c r="S12" s="114">
        <f ca="1">$S$11*S2</f>
        <v>128597.24886793252</v>
      </c>
      <c r="T12" s="114">
        <f ca="1">$T$11*T2</f>
        <v>142337.90857787296</v>
      </c>
      <c r="U12" s="114">
        <f ca="1">$U$11*U2</f>
        <v>153350.75611394516</v>
      </c>
      <c r="V12" s="114">
        <f ca="1">$V$11*V2</f>
        <v>161388.5904142514</v>
      </c>
      <c r="W12" s="114">
        <f ca="1">$W$11*W2</f>
        <v>170587.37242152327</v>
      </c>
      <c r="X12" s="114">
        <f ca="1">$X$11*X2</f>
        <v>180404.13095926313</v>
      </c>
      <c r="Y12" s="114">
        <f ca="1">$Y$11*Y2</f>
        <v>186819.13898090637</v>
      </c>
      <c r="Z12" s="114">
        <f ca="1">$Z$11*Z2</f>
        <v>195931.02155701385</v>
      </c>
      <c r="AA12" s="114">
        <f ca="1">$AA$11*AA2</f>
        <v>212702.49209138835</v>
      </c>
      <c r="AB12" s="114">
        <f ca="1">$AB$11*AB2</f>
        <v>223496.59781494871</v>
      </c>
      <c r="AC12" s="114">
        <f ca="1">$AC$11*AC2</f>
        <v>234638.52689170305</v>
      </c>
      <c r="AD12" s="114">
        <f ca="1">$AD$11*AD2</f>
        <v>246033.34441764987</v>
      </c>
      <c r="AE12" s="114">
        <f ca="1">$AE$11*AE2</f>
        <v>257678.12227814578</v>
      </c>
      <c r="AF12" s="114">
        <f ca="1">$AF$11*AF2</f>
        <v>269554.02699815476</v>
      </c>
    </row>
    <row r="13" spans="1:32">
      <c r="A13" t="s">
        <v>45</v>
      </c>
      <c r="B13" s="114">
        <f t="shared" ref="B13:B18" ca="1" si="0">B3*$B$11</f>
        <v>13.187729818090681</v>
      </c>
      <c r="C13" s="114">
        <f t="shared" ref="C13:C18" ca="1" si="1">$C$11*C3</f>
        <v>40.81420512537089</v>
      </c>
      <c r="D13" s="114">
        <f t="shared" ref="D13:D18" ca="1" si="2">$D$11*D3</f>
        <v>91.005335873534818</v>
      </c>
      <c r="E13" s="114">
        <f t="shared" ref="E13:E18" ca="1" si="3">$E$11*E3</f>
        <v>184.62496348009739</v>
      </c>
      <c r="F13" s="114">
        <f t="shared" ref="F13:F18" ca="1" si="4">$F$11*F3</f>
        <v>371.436489094107</v>
      </c>
      <c r="G13" s="114">
        <f t="shared" ref="G13:G18" ca="1" si="5">$G$11*G3</f>
        <v>653.338965857468</v>
      </c>
      <c r="H13" s="114">
        <f t="shared" ref="H13:H18" ca="1" si="6">$H$11*H3</f>
        <v>1178.529</v>
      </c>
      <c r="I13" s="114">
        <f t="shared" ref="I13:I18" ca="1" si="7">$I$11*I3</f>
        <v>3015.8435690268602</v>
      </c>
      <c r="J13" s="114">
        <f t="shared" ref="J13:J18" ca="1" si="8">$J$11*J3</f>
        <v>4650.2514407372482</v>
      </c>
      <c r="K13" s="114">
        <f t="shared" ref="K13:K18" ca="1" si="9">$K$11*K3</f>
        <v>7767.9034219955438</v>
      </c>
      <c r="L13" s="114">
        <f t="shared" ref="L13:L18" ca="1" si="10">$L$11*L3</f>
        <v>12666.583356199781</v>
      </c>
      <c r="M13" s="114">
        <f t="shared" ref="M13:M18" ca="1" si="11">$M$11*M3</f>
        <v>19312.998406909795</v>
      </c>
      <c r="N13" s="114">
        <f t="shared" ref="N13:N18" ca="1" si="12">$N$11*N3</f>
        <v>29363.401573038849</v>
      </c>
      <c r="O13" s="114">
        <f t="shared" ref="O13:O18" ca="1" si="13">$O$11*O3</f>
        <v>40083.304313233413</v>
      </c>
      <c r="P13" s="114">
        <f t="shared" ref="P13:P18" ca="1" si="14">$P$11*P3</f>
        <v>50155.363481420325</v>
      </c>
      <c r="Q13" s="114">
        <f t="shared" ref="Q13:Q18" ca="1" si="15">$Q$11*Q3</f>
        <v>63841.929932589541</v>
      </c>
      <c r="R13" s="114">
        <f t="shared" ref="R13:R18" ca="1" si="16">$R$11*R3</f>
        <v>75106.319501422389</v>
      </c>
      <c r="S13" s="114">
        <f t="shared" ref="S13:S18" ca="1" si="17">$S$11*S3</f>
        <v>85731.49924528836</v>
      </c>
      <c r="T13" s="114">
        <f t="shared" ref="T13:T18" ca="1" si="18">$T$11*T3</f>
        <v>94891.939051915309</v>
      </c>
      <c r="U13" s="114">
        <f t="shared" ref="U13:U18" ca="1" si="19">$U$11*U3</f>
        <v>102233.83740929679</v>
      </c>
      <c r="V13" s="114">
        <f t="shared" ref="V13:V18" ca="1" si="20">$V$11*V3</f>
        <v>107592.39360950093</v>
      </c>
      <c r="W13" s="114">
        <f t="shared" ref="W13:W18" ca="1" si="21">$W$11*W3</f>
        <v>113724.91494768218</v>
      </c>
      <c r="X13" s="114">
        <f t="shared" ref="X13:X18" ca="1" si="22">$X$11*X3</f>
        <v>120269.42063950874</v>
      </c>
      <c r="Y13" s="114">
        <f t="shared" ref="Y13:Y18" ca="1" si="23">$Y$11*Y3</f>
        <v>124546.09265393759</v>
      </c>
      <c r="Z13" s="114">
        <f t="shared" ref="Z13:Z18" ca="1" si="24">$Z$11*Z3</f>
        <v>130620.68103800925</v>
      </c>
      <c r="AA13" s="114">
        <f t="shared" ref="AA13:AA18" ca="1" si="25">$AA$11*AA3</f>
        <v>141801.66139425893</v>
      </c>
      <c r="AB13" s="114">
        <f t="shared" ref="AB13:AB18" ca="1" si="26">$AB$11*AB3</f>
        <v>148997.73187663252</v>
      </c>
      <c r="AC13" s="114">
        <f t="shared" ref="AC13:AC18" ca="1" si="27">$AC$11*AC3</f>
        <v>156425.68459446871</v>
      </c>
      <c r="AD13" s="114">
        <f t="shared" ref="AD13:AD18" ca="1" si="28">$AD$11*AD3</f>
        <v>164022.22961176664</v>
      </c>
      <c r="AE13" s="114">
        <f t="shared" ref="AE13:AE18" ca="1" si="29">$AE$11*AE3</f>
        <v>171785.41485209716</v>
      </c>
      <c r="AF13" s="114">
        <f t="shared" ref="AF13:AF18" ca="1" si="30">$AF$11*AF3</f>
        <v>179702.68466543654</v>
      </c>
    </row>
    <row r="14" spans="1:32">
      <c r="A14" t="s">
        <v>46</v>
      </c>
      <c r="B14" s="114">
        <f t="shared" ca="1" si="0"/>
        <v>38.104574478829619</v>
      </c>
      <c r="C14" s="114">
        <f t="shared" ca="1" si="1"/>
        <v>102.03551281342722</v>
      </c>
      <c r="D14" s="114">
        <f t="shared" ca="1" si="2"/>
        <v>227.51333968383705</v>
      </c>
      <c r="E14" s="114">
        <f t="shared" ca="1" si="3"/>
        <v>461.56240870024345</v>
      </c>
      <c r="F14" s="114">
        <f t="shared" ca="1" si="4"/>
        <v>928.59122273526737</v>
      </c>
      <c r="G14" s="114">
        <f t="shared" ca="1" si="5"/>
        <v>1633.3474146436702</v>
      </c>
      <c r="H14" s="114">
        <f t="shared" ca="1" si="6"/>
        <v>2571.3360000000007</v>
      </c>
      <c r="I14" s="114">
        <f t="shared" ca="1" si="7"/>
        <v>5335.7232375090607</v>
      </c>
      <c r="J14" s="114">
        <f t="shared" ca="1" si="8"/>
        <v>7869.6562843245738</v>
      </c>
      <c r="K14" s="114">
        <f t="shared" ca="1" si="9"/>
        <v>11651.855132993314</v>
      </c>
      <c r="L14" s="114">
        <f t="shared" ca="1" si="10"/>
        <v>16888.777808266375</v>
      </c>
      <c r="M14" s="114">
        <f t="shared" ca="1" si="11"/>
        <v>22934.185608205382</v>
      </c>
      <c r="N14" s="114">
        <f t="shared" ca="1" si="12"/>
        <v>29363.401573038849</v>
      </c>
      <c r="O14" s="114">
        <f t="shared" ca="1" si="13"/>
        <v>35864.00912236674</v>
      </c>
      <c r="P14" s="114">
        <f t="shared" ca="1" si="14"/>
        <v>42236.095563301322</v>
      </c>
      <c r="Q14" s="114">
        <f t="shared" ca="1" si="15"/>
        <v>47881.447449442152</v>
      </c>
      <c r="R14" s="114">
        <f t="shared" ca="1" si="16"/>
        <v>56329.739626066781</v>
      </c>
      <c r="S14" s="114">
        <f t="shared" ca="1" si="17"/>
        <v>64298.624433966259</v>
      </c>
      <c r="T14" s="114">
        <f t="shared" ca="1" si="18"/>
        <v>71168.954288936482</v>
      </c>
      <c r="U14" s="114">
        <f t="shared" ca="1" si="19"/>
        <v>76675.378056972579</v>
      </c>
      <c r="V14" s="114">
        <f t="shared" ca="1" si="20"/>
        <v>80694.295207125702</v>
      </c>
      <c r="W14" s="114">
        <f t="shared" ca="1" si="21"/>
        <v>85293.686210761633</v>
      </c>
      <c r="X14" s="114">
        <f t="shared" ca="1" si="22"/>
        <v>90202.065479631565</v>
      </c>
      <c r="Y14" s="114">
        <f t="shared" ca="1" si="23"/>
        <v>93409.569490453185</v>
      </c>
      <c r="Z14" s="114">
        <f t="shared" ca="1" si="24"/>
        <v>97965.510778506927</v>
      </c>
      <c r="AA14" s="114">
        <f t="shared" ca="1" si="25"/>
        <v>106351.24604569418</v>
      </c>
      <c r="AB14" s="114">
        <f t="shared" ca="1" si="26"/>
        <v>111748.29890747435</v>
      </c>
      <c r="AC14" s="114">
        <f t="shared" ca="1" si="27"/>
        <v>117319.26344585152</v>
      </c>
      <c r="AD14" s="114">
        <f t="shared" ca="1" si="28"/>
        <v>123016.67220882494</v>
      </c>
      <c r="AE14" s="114">
        <f t="shared" ca="1" si="29"/>
        <v>128839.06113907289</v>
      </c>
      <c r="AF14" s="114">
        <f t="shared" ca="1" si="30"/>
        <v>134777.01349907738</v>
      </c>
    </row>
    <row r="15" spans="1:32">
      <c r="A15" t="s">
        <v>47</v>
      </c>
      <c r="B15" s="114">
        <f t="shared" ca="1" si="0"/>
        <v>22.626089005764388</v>
      </c>
      <c r="C15" s="114">
        <f t="shared" ca="1" si="1"/>
        <v>61.221307688056328</v>
      </c>
      <c r="D15" s="114">
        <f t="shared" ca="1" si="2"/>
        <v>136.50800381030223</v>
      </c>
      <c r="E15" s="114">
        <f t="shared" ca="1" si="3"/>
        <v>276.93744522014606</v>
      </c>
      <c r="F15" s="114">
        <f t="shared" ca="1" si="4"/>
        <v>557.15473364116042</v>
      </c>
      <c r="G15" s="114">
        <f t="shared" ca="1" si="5"/>
        <v>980.00844878620205</v>
      </c>
      <c r="H15" s="114">
        <f t="shared" ca="1" si="6"/>
        <v>1499.9460000000004</v>
      </c>
      <c r="I15" s="114">
        <f t="shared" ca="1" si="7"/>
        <v>3015.8435690268602</v>
      </c>
      <c r="J15" s="114">
        <f t="shared" ca="1" si="8"/>
        <v>4292.5397914497671</v>
      </c>
      <c r="K15" s="114">
        <f t="shared" ca="1" si="9"/>
        <v>6103.3526887107837</v>
      </c>
      <c r="L15" s="114">
        <f t="shared" ca="1" si="10"/>
        <v>8444.3889041331877</v>
      </c>
      <c r="M15" s="114">
        <f t="shared" ca="1" si="11"/>
        <v>10863.561603886759</v>
      </c>
      <c r="N15" s="114">
        <f t="shared" ca="1" si="12"/>
        <v>9787.8005243462831</v>
      </c>
      <c r="O15" s="114">
        <f t="shared" ca="1" si="13"/>
        <v>10548.237977166689</v>
      </c>
      <c r="P15" s="114">
        <f t="shared" ca="1" si="14"/>
        <v>10559.02389082533</v>
      </c>
      <c r="Q15" s="114">
        <f t="shared" ca="1" si="15"/>
        <v>9576.2894898884297</v>
      </c>
      <c r="R15" s="114">
        <f t="shared" ca="1" si="16"/>
        <v>11265.947925213357</v>
      </c>
      <c r="S15" s="114">
        <f t="shared" ca="1" si="17"/>
        <v>12859.72488679325</v>
      </c>
      <c r="T15" s="114">
        <f t="shared" ca="1" si="18"/>
        <v>14233.790857787295</v>
      </c>
      <c r="U15" s="114">
        <f t="shared" ca="1" si="19"/>
        <v>15335.075611394519</v>
      </c>
      <c r="V15" s="114">
        <f t="shared" ca="1" si="20"/>
        <v>16138.859041425138</v>
      </c>
      <c r="W15" s="114">
        <f t="shared" ca="1" si="21"/>
        <v>17058.737242152325</v>
      </c>
      <c r="X15" s="114">
        <f t="shared" ca="1" si="22"/>
        <v>18040.413095926313</v>
      </c>
      <c r="Y15" s="114">
        <f t="shared" ca="1" si="23"/>
        <v>18681.913898090639</v>
      </c>
      <c r="Z15" s="114">
        <f t="shared" ca="1" si="24"/>
        <v>19593.102155701385</v>
      </c>
      <c r="AA15" s="114">
        <f t="shared" ca="1" si="25"/>
        <v>21270.249209138834</v>
      </c>
      <c r="AB15" s="114">
        <f t="shared" ca="1" si="26"/>
        <v>22349.659781494873</v>
      </c>
      <c r="AC15" s="114">
        <f t="shared" ca="1" si="27"/>
        <v>23463.852689170304</v>
      </c>
      <c r="AD15" s="114">
        <f t="shared" ca="1" si="28"/>
        <v>24603.33444176499</v>
      </c>
      <c r="AE15" s="114">
        <f t="shared" ca="1" si="29"/>
        <v>25767.812227814575</v>
      </c>
      <c r="AF15" s="114">
        <f t="shared" ca="1" si="30"/>
        <v>26955.402699815477</v>
      </c>
    </row>
    <row r="16" spans="1:32">
      <c r="A16" t="s">
        <v>48</v>
      </c>
      <c r="B16" s="114">
        <f t="shared" ca="1" si="0"/>
        <v>5.1450037593844336</v>
      </c>
      <c r="C16" s="114">
        <f t="shared" ca="1" si="1"/>
        <v>12.244261537611266</v>
      </c>
      <c r="D16" s="114">
        <f t="shared" ca="1" si="2"/>
        <v>27.301600762060446</v>
      </c>
      <c r="E16" s="114">
        <f t="shared" ca="1" si="3"/>
        <v>55.387489044029209</v>
      </c>
      <c r="F16" s="114">
        <f t="shared" ca="1" si="4"/>
        <v>111.43094672823207</v>
      </c>
      <c r="G16" s="114">
        <f t="shared" ca="1" si="5"/>
        <v>196.00168975724043</v>
      </c>
      <c r="H16" s="114">
        <f t="shared" ca="1" si="6"/>
        <v>321.41700000000009</v>
      </c>
      <c r="I16" s="114">
        <f t="shared" ca="1" si="7"/>
        <v>695.96390054465996</v>
      </c>
      <c r="J16" s="114">
        <f t="shared" ca="1" si="8"/>
        <v>1073.1349478624418</v>
      </c>
      <c r="K16" s="114">
        <f t="shared" ca="1" si="9"/>
        <v>1664.5507332847592</v>
      </c>
      <c r="L16" s="114">
        <f t="shared" ca="1" si="10"/>
        <v>2533.3166712399561</v>
      </c>
      <c r="M16" s="114">
        <f t="shared" ca="1" si="11"/>
        <v>3621.1872012955864</v>
      </c>
      <c r="N16" s="114">
        <f t="shared" ca="1" si="12"/>
        <v>3262.6001747820947</v>
      </c>
      <c r="O16" s="114">
        <f t="shared" ca="1" si="13"/>
        <v>4219.2951908666755</v>
      </c>
      <c r="P16" s="114">
        <f t="shared" ca="1" si="14"/>
        <v>5279.5119454126652</v>
      </c>
      <c r="Q16" s="114">
        <f t="shared" ca="1" si="15"/>
        <v>6384.1929932589537</v>
      </c>
      <c r="R16" s="114">
        <f t="shared" ca="1" si="16"/>
        <v>7510.6319501422386</v>
      </c>
      <c r="S16" s="114">
        <f t="shared" ca="1" si="17"/>
        <v>8573.149924528836</v>
      </c>
      <c r="T16" s="114">
        <f t="shared" ca="1" si="18"/>
        <v>9489.1939051915306</v>
      </c>
      <c r="U16" s="114">
        <f t="shared" ca="1" si="19"/>
        <v>10223.383740929679</v>
      </c>
      <c r="V16" s="114">
        <f t="shared" ca="1" si="20"/>
        <v>10759.239360950094</v>
      </c>
      <c r="W16" s="114">
        <f t="shared" ca="1" si="21"/>
        <v>11372.491494768217</v>
      </c>
      <c r="X16" s="114">
        <f t="shared" ca="1" si="22"/>
        <v>12026.942063950875</v>
      </c>
      <c r="Y16" s="114">
        <f t="shared" ca="1" si="23"/>
        <v>12454.609265393759</v>
      </c>
      <c r="Z16" s="114">
        <f t="shared" ca="1" si="24"/>
        <v>13062.068103800924</v>
      </c>
      <c r="AA16" s="114">
        <f t="shared" ca="1" si="25"/>
        <v>14180.166139425892</v>
      </c>
      <c r="AB16" s="114">
        <f t="shared" ca="1" si="26"/>
        <v>14899.773187663248</v>
      </c>
      <c r="AC16" s="114">
        <f t="shared" ca="1" si="27"/>
        <v>15642.568459446873</v>
      </c>
      <c r="AD16" s="114">
        <f t="shared" ca="1" si="28"/>
        <v>16402.222961176663</v>
      </c>
      <c r="AE16" s="114">
        <f t="shared" ca="1" si="29"/>
        <v>17178.541485209716</v>
      </c>
      <c r="AF16" s="114">
        <f t="shared" ca="1" si="30"/>
        <v>17970.268466543654</v>
      </c>
    </row>
    <row r="17" spans="1:32">
      <c r="A17" t="s">
        <v>49</v>
      </c>
      <c r="B17" s="114">
        <f t="shared" ca="1" si="0"/>
        <v>1.1297717062368375</v>
      </c>
      <c r="C17" s="114">
        <f t="shared" ca="1" si="1"/>
        <v>4.0814205125370888</v>
      </c>
      <c r="D17" s="114">
        <f t="shared" ca="1" si="2"/>
        <v>9.1005335873534818</v>
      </c>
      <c r="E17" s="114">
        <f t="shared" ca="1" si="3"/>
        <v>18.46249634800974</v>
      </c>
      <c r="F17" s="114">
        <f t="shared" ca="1" si="4"/>
        <v>37.143648909410693</v>
      </c>
      <c r="G17" s="114">
        <f t="shared" ca="1" si="5"/>
        <v>65.333896585746814</v>
      </c>
      <c r="H17" s="114">
        <f t="shared" ca="1" si="6"/>
        <v>214.27800000000002</v>
      </c>
      <c r="I17" s="114">
        <f t="shared" ca="1" si="7"/>
        <v>695.96390054465996</v>
      </c>
      <c r="J17" s="114">
        <f t="shared" ca="1" si="8"/>
        <v>1430.8465971499227</v>
      </c>
      <c r="K17" s="114">
        <f t="shared" ca="1" si="9"/>
        <v>2774.2512221412653</v>
      </c>
      <c r="L17" s="114">
        <f t="shared" ca="1" si="10"/>
        <v>4222.1944520665938</v>
      </c>
      <c r="M17" s="114">
        <f t="shared" ca="1" si="11"/>
        <v>7242.3744025911728</v>
      </c>
      <c r="N17" s="114">
        <f t="shared" ca="1" si="12"/>
        <v>13050.400699128379</v>
      </c>
      <c r="O17" s="114">
        <f t="shared" ca="1" si="13"/>
        <v>16877.180763466702</v>
      </c>
      <c r="P17" s="114">
        <f t="shared" ca="1" si="14"/>
        <v>23757.803754356992</v>
      </c>
      <c r="Q17" s="114">
        <f t="shared" ca="1" si="15"/>
        <v>31920.96496629477</v>
      </c>
      <c r="R17" s="114">
        <f t="shared" ca="1" si="16"/>
        <v>37553.159750711195</v>
      </c>
      <c r="S17" s="114">
        <f t="shared" ca="1" si="17"/>
        <v>42865.74962264418</v>
      </c>
      <c r="T17" s="114">
        <f t="shared" ca="1" si="18"/>
        <v>47445.969525957655</v>
      </c>
      <c r="U17" s="114">
        <f t="shared" ca="1" si="19"/>
        <v>51116.918704648393</v>
      </c>
      <c r="V17" s="114">
        <f t="shared" ca="1" si="20"/>
        <v>53796.196804750463</v>
      </c>
      <c r="W17" s="114">
        <f t="shared" ca="1" si="21"/>
        <v>56862.457473841088</v>
      </c>
      <c r="X17" s="114">
        <f t="shared" ca="1" si="22"/>
        <v>60134.710319754369</v>
      </c>
      <c r="Y17" s="114">
        <f t="shared" ca="1" si="23"/>
        <v>62273.046326968797</v>
      </c>
      <c r="Z17" s="114">
        <f t="shared" ca="1" si="24"/>
        <v>65310.340519004625</v>
      </c>
      <c r="AA17" s="114">
        <f t="shared" ca="1" si="25"/>
        <v>70900.830697129466</v>
      </c>
      <c r="AB17" s="114">
        <f t="shared" ca="1" si="26"/>
        <v>74498.865938316259</v>
      </c>
      <c r="AC17" s="114">
        <f t="shared" ca="1" si="27"/>
        <v>78212.842297234354</v>
      </c>
      <c r="AD17" s="114">
        <f t="shared" ca="1" si="28"/>
        <v>82011.114805883321</v>
      </c>
      <c r="AE17" s="114">
        <f t="shared" ca="1" si="29"/>
        <v>85892.707426048582</v>
      </c>
      <c r="AF17" s="114">
        <f t="shared" ca="1" si="30"/>
        <v>89851.342332718268</v>
      </c>
    </row>
    <row r="18" spans="1:32">
      <c r="A18" t="s">
        <v>50</v>
      </c>
      <c r="B18" s="114">
        <f t="shared" ca="1" si="0"/>
        <v>31.388926087883561</v>
      </c>
      <c r="C18" s="114">
        <f t="shared" ca="1" si="1"/>
        <v>85.709830763278859</v>
      </c>
      <c r="D18" s="114">
        <f t="shared" ca="1" si="2"/>
        <v>191.11120533442312</v>
      </c>
      <c r="E18" s="114">
        <f t="shared" ca="1" si="3"/>
        <v>387.71242330820451</v>
      </c>
      <c r="F18" s="114">
        <f t="shared" ca="1" si="4"/>
        <v>780.01662709762445</v>
      </c>
      <c r="G18" s="114">
        <f t="shared" ca="1" si="5"/>
        <v>1372.011828300683</v>
      </c>
      <c r="H18" s="114">
        <f t="shared" ca="1" si="6"/>
        <v>2142.7800000000002</v>
      </c>
      <c r="I18" s="114">
        <f t="shared" ca="1" si="7"/>
        <v>4407.7713701161802</v>
      </c>
      <c r="J18" s="114">
        <f t="shared" ca="1" si="8"/>
        <v>6796.5213364621313</v>
      </c>
      <c r="K18" s="114">
        <f t="shared" ca="1" si="9"/>
        <v>9987.3043997085551</v>
      </c>
      <c r="L18" s="114">
        <f t="shared" ca="1" si="10"/>
        <v>15199.900027439739</v>
      </c>
      <c r="M18" s="114">
        <f t="shared" ca="1" si="11"/>
        <v>21727.123207773519</v>
      </c>
      <c r="N18" s="114">
        <f t="shared" ca="1" si="12"/>
        <v>29363.401573038849</v>
      </c>
      <c r="O18" s="114">
        <f t="shared" ca="1" si="13"/>
        <v>40083.304313233413</v>
      </c>
      <c r="P18" s="114">
        <f t="shared" ca="1" si="14"/>
        <v>52795.11945412666</v>
      </c>
      <c r="Q18" s="114">
        <f t="shared" ca="1" si="15"/>
        <v>63841.929932589541</v>
      </c>
      <c r="R18" s="114">
        <f t="shared" ca="1" si="16"/>
        <v>75106.319501422389</v>
      </c>
      <c r="S18" s="114">
        <f t="shared" ca="1" si="17"/>
        <v>85731.49924528836</v>
      </c>
      <c r="T18" s="114">
        <f t="shared" ca="1" si="18"/>
        <v>94891.939051915309</v>
      </c>
      <c r="U18" s="114">
        <f t="shared" ca="1" si="19"/>
        <v>102233.83740929679</v>
      </c>
      <c r="V18" s="114">
        <f t="shared" ca="1" si="20"/>
        <v>107592.39360950093</v>
      </c>
      <c r="W18" s="114">
        <f t="shared" ca="1" si="21"/>
        <v>113724.91494768218</v>
      </c>
      <c r="X18" s="114">
        <f t="shared" ca="1" si="22"/>
        <v>120269.42063950874</v>
      </c>
      <c r="Y18" s="114">
        <f t="shared" ca="1" si="23"/>
        <v>124546.09265393759</v>
      </c>
      <c r="Z18" s="114">
        <f t="shared" ca="1" si="24"/>
        <v>130620.68103800925</v>
      </c>
      <c r="AA18" s="114">
        <f t="shared" ca="1" si="25"/>
        <v>141801.66139425893</v>
      </c>
      <c r="AB18" s="114">
        <f t="shared" ca="1" si="26"/>
        <v>148997.73187663252</v>
      </c>
      <c r="AC18" s="114">
        <f t="shared" ca="1" si="27"/>
        <v>156425.68459446871</v>
      </c>
      <c r="AD18" s="114">
        <f t="shared" ca="1" si="28"/>
        <v>164022.22961176664</v>
      </c>
      <c r="AE18" s="114">
        <f t="shared" ca="1" si="29"/>
        <v>171785.41485209716</v>
      </c>
      <c r="AF18" s="114">
        <f t="shared" ca="1" si="30"/>
        <v>179702.68466543654</v>
      </c>
    </row>
    <row r="19" spans="1:32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</row>
    <row r="20" spans="1:32">
      <c r="A20" s="116" t="str" cm="1">
        <f t="array" ref="A20:AF20">TRANSPOSE(Table1[[#All],[H2 ICE Units]])</f>
        <v>H2 ICE Units</v>
      </c>
      <c r="B20" s="121">
        <v>0</v>
      </c>
      <c r="C20" s="121">
        <v>0</v>
      </c>
      <c r="D20" s="121">
        <v>0</v>
      </c>
      <c r="E20" s="121">
        <v>31.155000000000008</v>
      </c>
      <c r="F20" s="121">
        <v>60.165251595160974</v>
      </c>
      <c r="G20" s="121">
        <v>103.8564062908798</v>
      </c>
      <c r="H20" s="121">
        <v>170.17395775208524</v>
      </c>
      <c r="I20" s="121">
        <v>289.05014875549324</v>
      </c>
      <c r="J20" s="121">
        <v>457.11094801035966</v>
      </c>
      <c r="K20" s="121">
        <v>678.64608072933686</v>
      </c>
      <c r="L20" s="121">
        <v>994.95656405211207</v>
      </c>
      <c r="M20" s="121">
        <v>1403.903123123192</v>
      </c>
      <c r="N20" s="121">
        <v>1919.2768008992973</v>
      </c>
      <c r="O20" s="121">
        <v>2563.2557365888842</v>
      </c>
      <c r="P20" s="121">
        <v>3368.9115448661978</v>
      </c>
      <c r="Q20" s="121">
        <v>4339.986773426459</v>
      </c>
      <c r="R20" s="121">
        <v>5506.4433901977236</v>
      </c>
      <c r="S20" s="121">
        <v>6854.825044815685</v>
      </c>
      <c r="T20" s="121">
        <v>8363.567574579256</v>
      </c>
      <c r="U20" s="121">
        <v>10039.813326939546</v>
      </c>
      <c r="V20" s="121">
        <v>11905.528320341517</v>
      </c>
      <c r="W20" s="121">
        <v>13926.994462713301</v>
      </c>
      <c r="X20" s="121">
        <v>16135.42707107211</v>
      </c>
      <c r="Y20" s="121">
        <v>18136.838861057146</v>
      </c>
      <c r="Z20" s="121">
        <v>20473.483382251045</v>
      </c>
      <c r="AA20" s="121">
        <v>23739.913097510482</v>
      </c>
      <c r="AB20" s="121">
        <v>26636.700000000004</v>
      </c>
      <c r="AC20" s="121">
        <v>41668.308493558536</v>
      </c>
      <c r="AD20" s="121">
        <v>49908.008295828316</v>
      </c>
      <c r="AE20" s="121">
        <v>58654.580491494009</v>
      </c>
      <c r="AF20" s="121">
        <v>67908.572399728073</v>
      </c>
    </row>
    <row r="21" spans="1:32">
      <c r="A21" t="s">
        <v>44</v>
      </c>
      <c r="B21" s="114">
        <f>$B$20*B2</f>
        <v>0</v>
      </c>
      <c r="C21" s="114">
        <f>$C$20*C2</f>
        <v>0</v>
      </c>
      <c r="D21" s="114">
        <f>$D$20*D2</f>
        <v>0</v>
      </c>
      <c r="E21" s="114">
        <f>$E$20*E2</f>
        <v>7.7887500000000021</v>
      </c>
      <c r="F21" s="114">
        <f>$F$20*F2</f>
        <v>15.041312898790247</v>
      </c>
      <c r="G21" s="114">
        <f>$G$20*G2</f>
        <v>25.964101572719951</v>
      </c>
      <c r="H21" s="114">
        <f>$H$20*H2</f>
        <v>44.245229015542165</v>
      </c>
      <c r="I21" s="114">
        <f>$I$20*I2</f>
        <v>75.153038676428238</v>
      </c>
      <c r="J21" s="114">
        <f>$J$20*J2</f>
        <v>123.41995596279712</v>
      </c>
      <c r="K21" s="114">
        <f>$K$20*K2</f>
        <v>190.02090260421437</v>
      </c>
      <c r="L21" s="114">
        <f>$L$20*L2</f>
        <v>288.53740357511248</v>
      </c>
      <c r="M21" s="114">
        <f>$M$20*M2</f>
        <v>407.13190570572567</v>
      </c>
      <c r="N21" s="114">
        <f>$N$20*N2</f>
        <v>575.78304026978913</v>
      </c>
      <c r="O21" s="114">
        <f>$O$20*O2</f>
        <v>768.97672097666521</v>
      </c>
      <c r="P21" s="114">
        <f>$P$20*P2</f>
        <v>1010.6734634598592</v>
      </c>
      <c r="Q21" s="114">
        <f>$Q$20*Q2</f>
        <v>1301.9960320279376</v>
      </c>
      <c r="R21" s="114">
        <f>$R$20*R2</f>
        <v>1651.9330170593171</v>
      </c>
      <c r="S21" s="114">
        <f>$S$20*S2</f>
        <v>2056.4475134447052</v>
      </c>
      <c r="T21" s="114">
        <f>$T$20*T2</f>
        <v>2509.0702723737768</v>
      </c>
      <c r="U21" s="114">
        <f>$U$20*U2</f>
        <v>3011.9439980818638</v>
      </c>
      <c r="V21" s="114">
        <f>$V$20*V2</f>
        <v>3571.658496102455</v>
      </c>
      <c r="W21" s="114">
        <f>$W$20*W2</f>
        <v>4178.0983388139903</v>
      </c>
      <c r="X21" s="114">
        <f>$X$20*X2</f>
        <v>4840.6281213216325</v>
      </c>
      <c r="Y21" s="114">
        <f>$Y$20*Y2</f>
        <v>5441.0516583171438</v>
      </c>
      <c r="Z21" s="114">
        <f>$Z$20*Z2</f>
        <v>6142.0450146753119</v>
      </c>
      <c r="AA21" s="114">
        <f>$AA$20*AA2</f>
        <v>7121.9739292531431</v>
      </c>
      <c r="AB21" s="114">
        <f>$AB$20*AB2</f>
        <v>7991.0099999999993</v>
      </c>
      <c r="AC21" s="114">
        <f>$AC$20*AC2</f>
        <v>12500.492548067561</v>
      </c>
      <c r="AD21" s="114">
        <f>$AD$20*AD2</f>
        <v>14972.402488748492</v>
      </c>
      <c r="AE21" s="114">
        <f>$AE$20*AE2</f>
        <v>17596.374147448201</v>
      </c>
      <c r="AF21" s="114">
        <f>$AF$20*AF2</f>
        <v>20372.571719918418</v>
      </c>
    </row>
    <row r="22" spans="1:32">
      <c r="A22" t="s">
        <v>45</v>
      </c>
      <c r="B22" s="114">
        <f t="shared" ref="B22:B27" si="31">$B$20*B3</f>
        <v>0</v>
      </c>
      <c r="C22" s="114">
        <f t="shared" ref="C22:C27" si="32">$C$20*C3</f>
        <v>0</v>
      </c>
      <c r="D22" s="114">
        <f t="shared" ref="D22:D27" si="33">$D$20*D3</f>
        <v>0</v>
      </c>
      <c r="E22" s="114">
        <f t="shared" ref="E22:E27" si="34">$E$20*E3</f>
        <v>3.1155000000000008</v>
      </c>
      <c r="F22" s="114">
        <f t="shared" ref="F22:F27" si="35">$F$20*F3</f>
        <v>6.0165251595160996</v>
      </c>
      <c r="G22" s="114">
        <f t="shared" ref="G22:G27" si="36">$G$20*G3</f>
        <v>10.38564062908798</v>
      </c>
      <c r="H22" s="114">
        <f t="shared" ref="H22:H27" si="37">$H$20*H3</f>
        <v>18.719135352729374</v>
      </c>
      <c r="I22" s="114">
        <f t="shared" ref="I22:I27" si="38">$I$20*I3</f>
        <v>37.576519338214119</v>
      </c>
      <c r="J22" s="114">
        <f t="shared" ref="J22:J27" si="39">$J$20*J3</f>
        <v>59.424423241346759</v>
      </c>
      <c r="K22" s="114">
        <f t="shared" ref="K22:K27" si="40">$K$20*K3</f>
        <v>95.010451302107185</v>
      </c>
      <c r="L22" s="114">
        <f t="shared" ref="L22:L27" si="41">$L$20*L3</f>
        <v>149.24348460781681</v>
      </c>
      <c r="M22" s="114">
        <f t="shared" ref="M22:M27" si="42">$M$20*M3</f>
        <v>224.62449969971073</v>
      </c>
      <c r="N22" s="114">
        <f t="shared" ref="N22:N27" si="43">$N$20*N3</f>
        <v>345.46982416187348</v>
      </c>
      <c r="O22" s="114">
        <f t="shared" ref="O22:O27" si="44">$O$20*O3</f>
        <v>487.01858995188803</v>
      </c>
      <c r="P22" s="114">
        <f t="shared" ref="P22:P27" si="45">$P$20*P3</f>
        <v>640.0931935245776</v>
      </c>
      <c r="Q22" s="114">
        <f t="shared" ref="Q22:Q27" si="46">$Q$20*Q3</f>
        <v>867.99735468529184</v>
      </c>
      <c r="R22" s="114">
        <f t="shared" ref="R22:R27" si="47">$R$20*R3</f>
        <v>1101.2886780395447</v>
      </c>
      <c r="S22" s="114">
        <f t="shared" ref="S22:S27" si="48">$S$20*S3</f>
        <v>1370.9650089631371</v>
      </c>
      <c r="T22" s="114">
        <f t="shared" ref="T22:T27" si="49">$T$20*T3</f>
        <v>1672.7135149158512</v>
      </c>
      <c r="U22" s="114">
        <f t="shared" ref="U22:U27" si="50">$U$20*U3</f>
        <v>2007.9626653879093</v>
      </c>
      <c r="V22" s="114">
        <f t="shared" ref="V22:V27" si="51">$V$20*V3</f>
        <v>2381.1056640683032</v>
      </c>
      <c r="W22" s="114">
        <f t="shared" ref="W22:W27" si="52">$W$20*W3</f>
        <v>2785.3988925426602</v>
      </c>
      <c r="X22" s="114">
        <f t="shared" ref="X22:X27" si="53">$X$20*X3</f>
        <v>3227.0854142144217</v>
      </c>
      <c r="Y22" s="114">
        <f t="shared" ref="Y22:Y27" si="54">$Y$20*Y3</f>
        <v>3627.3677722114294</v>
      </c>
      <c r="Z22" s="114">
        <f t="shared" ref="Z22:Z27" si="55">$Z$20*Z3</f>
        <v>4094.6966764502085</v>
      </c>
      <c r="AA22" s="114">
        <f t="shared" ref="AA22:AA27" si="56">$AA$20*AA3</f>
        <v>4747.9826195020969</v>
      </c>
      <c r="AB22" s="114">
        <f t="shared" ref="AB22:AB27" si="57">$AB$20*AB3</f>
        <v>5327.3400000000011</v>
      </c>
      <c r="AC22" s="114">
        <f t="shared" ref="AC22:AC27" si="58">$AC$20*AC3</f>
        <v>8333.6616987117068</v>
      </c>
      <c r="AD22" s="114">
        <f t="shared" ref="AD22:AD27" si="59">$AD$20*AD3</f>
        <v>9981.6016591656644</v>
      </c>
      <c r="AE22" s="114">
        <f t="shared" ref="AE22:AE27" si="60">$AE$20*AE3</f>
        <v>11730.916098298801</v>
      </c>
      <c r="AF22" s="114">
        <f t="shared" ref="AF22:AF27" si="61">$AF$20*AF3</f>
        <v>13581.714479945615</v>
      </c>
    </row>
    <row r="23" spans="1:32">
      <c r="A23" t="s">
        <v>46</v>
      </c>
      <c r="B23" s="114">
        <f t="shared" si="31"/>
        <v>0</v>
      </c>
      <c r="C23" s="114">
        <f t="shared" si="32"/>
        <v>0</v>
      </c>
      <c r="D23" s="114">
        <f t="shared" si="33"/>
        <v>0</v>
      </c>
      <c r="E23" s="114">
        <f t="shared" si="34"/>
        <v>7.7887500000000021</v>
      </c>
      <c r="F23" s="114">
        <f t="shared" si="35"/>
        <v>15.041312898790247</v>
      </c>
      <c r="G23" s="114">
        <f t="shared" si="36"/>
        <v>25.964101572719951</v>
      </c>
      <c r="H23" s="114">
        <f t="shared" si="37"/>
        <v>40.841749860500464</v>
      </c>
      <c r="I23" s="114">
        <f t="shared" si="38"/>
        <v>66.481534213763453</v>
      </c>
      <c r="J23" s="114">
        <f t="shared" si="39"/>
        <v>100.56440856227913</v>
      </c>
      <c r="K23" s="114">
        <f t="shared" si="40"/>
        <v>142.51567695316075</v>
      </c>
      <c r="L23" s="114">
        <f t="shared" si="41"/>
        <v>198.99131281042241</v>
      </c>
      <c r="M23" s="114">
        <f t="shared" si="42"/>
        <v>266.7415933934065</v>
      </c>
      <c r="N23" s="114">
        <f t="shared" si="43"/>
        <v>345.46982416187348</v>
      </c>
      <c r="O23" s="114">
        <f t="shared" si="44"/>
        <v>435.75347522011037</v>
      </c>
      <c r="P23" s="114">
        <f t="shared" si="45"/>
        <v>539.02584717859168</v>
      </c>
      <c r="Q23" s="114">
        <f t="shared" si="46"/>
        <v>650.99801601396882</v>
      </c>
      <c r="R23" s="114">
        <f t="shared" si="47"/>
        <v>825.96650852965854</v>
      </c>
      <c r="S23" s="114">
        <f t="shared" si="48"/>
        <v>1028.2237567223526</v>
      </c>
      <c r="T23" s="114">
        <f t="shared" si="49"/>
        <v>1254.5351361868884</v>
      </c>
      <c r="U23" s="114">
        <f t="shared" si="50"/>
        <v>1505.9719990409319</v>
      </c>
      <c r="V23" s="114">
        <f t="shared" si="51"/>
        <v>1785.8292480512275</v>
      </c>
      <c r="W23" s="114">
        <f t="shared" si="52"/>
        <v>2089.0491694069951</v>
      </c>
      <c r="X23" s="114">
        <f t="shared" si="53"/>
        <v>2420.3140606608163</v>
      </c>
      <c r="Y23" s="114">
        <f t="shared" si="54"/>
        <v>2720.5258291585719</v>
      </c>
      <c r="Z23" s="114">
        <f t="shared" si="55"/>
        <v>3071.022507337656</v>
      </c>
      <c r="AA23" s="114">
        <f t="shared" si="56"/>
        <v>3560.9869646265715</v>
      </c>
      <c r="AB23" s="114">
        <f t="shared" si="57"/>
        <v>3995.5049999999997</v>
      </c>
      <c r="AC23" s="114">
        <f t="shared" si="58"/>
        <v>6250.2462740337805</v>
      </c>
      <c r="AD23" s="114">
        <f t="shared" si="59"/>
        <v>7486.201244374246</v>
      </c>
      <c r="AE23" s="114">
        <f t="shared" si="60"/>
        <v>8798.1870737241006</v>
      </c>
      <c r="AF23" s="114">
        <f t="shared" si="61"/>
        <v>10186.285859959209</v>
      </c>
    </row>
    <row r="24" spans="1:32">
      <c r="A24" t="s">
        <v>47</v>
      </c>
      <c r="B24" s="114">
        <f t="shared" si="31"/>
        <v>0</v>
      </c>
      <c r="C24" s="114">
        <f t="shared" si="32"/>
        <v>0</v>
      </c>
      <c r="D24" s="114">
        <f t="shared" si="33"/>
        <v>0</v>
      </c>
      <c r="E24" s="114">
        <f t="shared" si="34"/>
        <v>4.6732500000000012</v>
      </c>
      <c r="F24" s="114">
        <f t="shared" si="35"/>
        <v>9.0247877392741476</v>
      </c>
      <c r="G24" s="114">
        <f t="shared" si="36"/>
        <v>15.578460943631971</v>
      </c>
      <c r="H24" s="114">
        <f t="shared" si="37"/>
        <v>23.824354085291937</v>
      </c>
      <c r="I24" s="114">
        <f t="shared" si="38"/>
        <v>37.576519338214119</v>
      </c>
      <c r="J24" s="114">
        <f t="shared" si="39"/>
        <v>54.85331376124315</v>
      </c>
      <c r="K24" s="114">
        <f t="shared" si="40"/>
        <v>74.651068880227058</v>
      </c>
      <c r="L24" s="114">
        <f t="shared" si="41"/>
        <v>99.495656405211207</v>
      </c>
      <c r="M24" s="114">
        <f t="shared" si="42"/>
        <v>126.35128108108728</v>
      </c>
      <c r="N24" s="114">
        <f t="shared" si="43"/>
        <v>115.15660805395784</v>
      </c>
      <c r="O24" s="114">
        <f t="shared" si="44"/>
        <v>128.16278682944423</v>
      </c>
      <c r="P24" s="114">
        <f t="shared" si="45"/>
        <v>134.75646179464792</v>
      </c>
      <c r="Q24" s="114">
        <f t="shared" si="46"/>
        <v>130.19960320279375</v>
      </c>
      <c r="R24" s="114">
        <f t="shared" si="47"/>
        <v>165.1933017059317</v>
      </c>
      <c r="S24" s="114">
        <f t="shared" si="48"/>
        <v>205.64475134447051</v>
      </c>
      <c r="T24" s="114">
        <f t="shared" si="49"/>
        <v>250.90702723737763</v>
      </c>
      <c r="U24" s="114">
        <f t="shared" si="50"/>
        <v>301.1943998081864</v>
      </c>
      <c r="V24" s="114">
        <f t="shared" si="51"/>
        <v>357.16584961024546</v>
      </c>
      <c r="W24" s="114">
        <f t="shared" si="52"/>
        <v>417.80983388139902</v>
      </c>
      <c r="X24" s="114">
        <f t="shared" si="53"/>
        <v>484.06281213216334</v>
      </c>
      <c r="Y24" s="114">
        <f t="shared" si="54"/>
        <v>544.10516583171432</v>
      </c>
      <c r="Z24" s="114">
        <f t="shared" si="55"/>
        <v>614.20450146753126</v>
      </c>
      <c r="AA24" s="114">
        <f t="shared" si="56"/>
        <v>712.19739292531426</v>
      </c>
      <c r="AB24" s="114">
        <f t="shared" si="57"/>
        <v>799.101</v>
      </c>
      <c r="AC24" s="114">
        <f t="shared" si="58"/>
        <v>1250.0492548067559</v>
      </c>
      <c r="AD24" s="114">
        <f t="shared" si="59"/>
        <v>1497.2402488748492</v>
      </c>
      <c r="AE24" s="114">
        <f t="shared" si="60"/>
        <v>1759.63741474482</v>
      </c>
      <c r="AF24" s="114">
        <f t="shared" si="61"/>
        <v>2037.2571719918421</v>
      </c>
    </row>
    <row r="25" spans="1:32">
      <c r="A25" t="s">
        <v>48</v>
      </c>
      <c r="B25" s="114">
        <f t="shared" si="31"/>
        <v>0</v>
      </c>
      <c r="C25" s="114">
        <f t="shared" si="32"/>
        <v>0</v>
      </c>
      <c r="D25" s="114">
        <f t="shared" si="33"/>
        <v>0</v>
      </c>
      <c r="E25" s="114">
        <f t="shared" si="34"/>
        <v>0.93465000000000009</v>
      </c>
      <c r="F25" s="114">
        <f t="shared" si="35"/>
        <v>1.8049575478548296</v>
      </c>
      <c r="G25" s="114">
        <f t="shared" si="36"/>
        <v>3.1156921887263942</v>
      </c>
      <c r="H25" s="114">
        <f t="shared" si="37"/>
        <v>5.105218732562558</v>
      </c>
      <c r="I25" s="114">
        <f t="shared" si="38"/>
        <v>8.6715044626647959</v>
      </c>
      <c r="J25" s="114">
        <f t="shared" si="39"/>
        <v>13.713328440310788</v>
      </c>
      <c r="K25" s="114">
        <f t="shared" si="40"/>
        <v>20.359382421880106</v>
      </c>
      <c r="L25" s="114">
        <f t="shared" si="41"/>
        <v>29.848696921563359</v>
      </c>
      <c r="M25" s="114">
        <f t="shared" si="42"/>
        <v>42.117093693695757</v>
      </c>
      <c r="N25" s="114">
        <f t="shared" si="43"/>
        <v>38.385536017985949</v>
      </c>
      <c r="O25" s="114">
        <f t="shared" si="44"/>
        <v>51.265114731777686</v>
      </c>
      <c r="P25" s="114">
        <f t="shared" si="45"/>
        <v>67.378230897323959</v>
      </c>
      <c r="Q25" s="114">
        <f t="shared" si="46"/>
        <v>86.799735468529178</v>
      </c>
      <c r="R25" s="114">
        <f t="shared" si="47"/>
        <v>110.12886780395448</v>
      </c>
      <c r="S25" s="114">
        <f t="shared" si="48"/>
        <v>137.0965008963137</v>
      </c>
      <c r="T25" s="114">
        <f t="shared" si="49"/>
        <v>167.27135149158514</v>
      </c>
      <c r="U25" s="114">
        <f t="shared" si="50"/>
        <v>200.79626653879092</v>
      </c>
      <c r="V25" s="114">
        <f t="shared" si="51"/>
        <v>238.11056640683034</v>
      </c>
      <c r="W25" s="114">
        <f t="shared" si="52"/>
        <v>278.53988925426603</v>
      </c>
      <c r="X25" s="114">
        <f t="shared" si="53"/>
        <v>322.70854142144219</v>
      </c>
      <c r="Y25" s="114">
        <f t="shared" si="54"/>
        <v>362.73677722114292</v>
      </c>
      <c r="Z25" s="114">
        <f t="shared" si="55"/>
        <v>409.46966764502082</v>
      </c>
      <c r="AA25" s="114">
        <f t="shared" si="56"/>
        <v>474.79826195020956</v>
      </c>
      <c r="AB25" s="114">
        <f t="shared" si="57"/>
        <v>532.73400000000004</v>
      </c>
      <c r="AC25" s="114">
        <f t="shared" si="58"/>
        <v>833.36616987117088</v>
      </c>
      <c r="AD25" s="114">
        <f t="shared" si="59"/>
        <v>998.16016591656637</v>
      </c>
      <c r="AE25" s="114">
        <f t="shared" si="60"/>
        <v>1173.0916098298801</v>
      </c>
      <c r="AF25" s="114">
        <f t="shared" si="61"/>
        <v>1358.1714479945615</v>
      </c>
    </row>
    <row r="26" spans="1:32">
      <c r="A26" t="s">
        <v>49</v>
      </c>
      <c r="B26" s="114">
        <f t="shared" si="31"/>
        <v>0</v>
      </c>
      <c r="C26" s="114">
        <f t="shared" si="32"/>
        <v>0</v>
      </c>
      <c r="D26" s="114">
        <f t="shared" si="33"/>
        <v>0</v>
      </c>
      <c r="E26" s="114">
        <f t="shared" si="34"/>
        <v>0.3115500000000001</v>
      </c>
      <c r="F26" s="114">
        <f t="shared" si="35"/>
        <v>0.60165251595160985</v>
      </c>
      <c r="G26" s="114">
        <f t="shared" si="36"/>
        <v>1.038564062908798</v>
      </c>
      <c r="H26" s="114">
        <f t="shared" si="37"/>
        <v>3.4034791550417047</v>
      </c>
      <c r="I26" s="114">
        <f t="shared" si="38"/>
        <v>8.6715044626647959</v>
      </c>
      <c r="J26" s="114">
        <f t="shared" si="39"/>
        <v>18.284437920414391</v>
      </c>
      <c r="K26" s="114">
        <f t="shared" si="40"/>
        <v>33.932304036466853</v>
      </c>
      <c r="L26" s="114">
        <f t="shared" si="41"/>
        <v>49.747828202605604</v>
      </c>
      <c r="M26" s="114">
        <f t="shared" si="42"/>
        <v>84.234187387391515</v>
      </c>
      <c r="N26" s="114">
        <f t="shared" si="43"/>
        <v>153.5421440719438</v>
      </c>
      <c r="O26" s="114">
        <f t="shared" si="44"/>
        <v>205.06045892711074</v>
      </c>
      <c r="P26" s="114">
        <f t="shared" si="45"/>
        <v>303.20203903795777</v>
      </c>
      <c r="Q26" s="114">
        <f t="shared" si="46"/>
        <v>433.99867734264592</v>
      </c>
      <c r="R26" s="114">
        <f t="shared" si="47"/>
        <v>550.64433901977236</v>
      </c>
      <c r="S26" s="114">
        <f t="shared" si="48"/>
        <v>685.48250448156853</v>
      </c>
      <c r="T26" s="114">
        <f t="shared" si="49"/>
        <v>836.3567574579256</v>
      </c>
      <c r="U26" s="114">
        <f t="shared" si="50"/>
        <v>1003.9813326939546</v>
      </c>
      <c r="V26" s="114">
        <f t="shared" si="51"/>
        <v>1190.5528320341516</v>
      </c>
      <c r="W26" s="114">
        <f t="shared" si="52"/>
        <v>1392.6994462713301</v>
      </c>
      <c r="X26" s="114">
        <f t="shared" si="53"/>
        <v>1613.5427071072108</v>
      </c>
      <c r="Y26" s="114">
        <f t="shared" si="54"/>
        <v>1813.6838861057147</v>
      </c>
      <c r="Z26" s="114">
        <f t="shared" si="55"/>
        <v>2047.3483382251043</v>
      </c>
      <c r="AA26" s="114">
        <f t="shared" si="56"/>
        <v>2373.9913097510484</v>
      </c>
      <c r="AB26" s="114">
        <f t="shared" si="57"/>
        <v>2663.6700000000005</v>
      </c>
      <c r="AC26" s="114">
        <f t="shared" si="58"/>
        <v>4166.8308493558534</v>
      </c>
      <c r="AD26" s="114">
        <f t="shared" si="59"/>
        <v>4990.8008295828322</v>
      </c>
      <c r="AE26" s="114">
        <f t="shared" si="60"/>
        <v>5865.4580491494007</v>
      </c>
      <c r="AF26" s="114">
        <f t="shared" si="61"/>
        <v>6790.8572399728073</v>
      </c>
    </row>
    <row r="27" spans="1:32">
      <c r="A27" t="s">
        <v>50</v>
      </c>
      <c r="B27" s="114">
        <f t="shared" si="31"/>
        <v>0</v>
      </c>
      <c r="C27" s="114">
        <f t="shared" si="32"/>
        <v>0</v>
      </c>
      <c r="D27" s="114">
        <f t="shared" si="33"/>
        <v>0</v>
      </c>
      <c r="E27" s="114">
        <f t="shared" si="34"/>
        <v>6.5425500000000012</v>
      </c>
      <c r="F27" s="114">
        <f t="shared" si="35"/>
        <v>12.634702834983806</v>
      </c>
      <c r="G27" s="114">
        <f t="shared" si="36"/>
        <v>21.809845321084758</v>
      </c>
      <c r="H27" s="114">
        <f t="shared" si="37"/>
        <v>34.034791550417047</v>
      </c>
      <c r="I27" s="114">
        <f t="shared" si="38"/>
        <v>54.919528263543718</v>
      </c>
      <c r="J27" s="114">
        <f t="shared" si="39"/>
        <v>86.851080121968337</v>
      </c>
      <c r="K27" s="114">
        <f t="shared" si="40"/>
        <v>122.15629453128065</v>
      </c>
      <c r="L27" s="114">
        <f t="shared" si="41"/>
        <v>179.09218152938018</v>
      </c>
      <c r="M27" s="114">
        <f t="shared" si="42"/>
        <v>252.70256216217456</v>
      </c>
      <c r="N27" s="114">
        <f t="shared" si="43"/>
        <v>345.46982416187348</v>
      </c>
      <c r="O27" s="114">
        <f t="shared" si="44"/>
        <v>487.01858995188803</v>
      </c>
      <c r="P27" s="114">
        <f t="shared" si="45"/>
        <v>673.78230897323965</v>
      </c>
      <c r="Q27" s="114">
        <f t="shared" si="46"/>
        <v>867.99735468529184</v>
      </c>
      <c r="R27" s="114">
        <f t="shared" si="47"/>
        <v>1101.2886780395447</v>
      </c>
      <c r="S27" s="114">
        <f t="shared" si="48"/>
        <v>1370.9650089631371</v>
      </c>
      <c r="T27" s="114">
        <f t="shared" si="49"/>
        <v>1672.7135149158512</v>
      </c>
      <c r="U27" s="114">
        <f t="shared" si="50"/>
        <v>2007.9626653879093</v>
      </c>
      <c r="V27" s="114">
        <f t="shared" si="51"/>
        <v>2381.1056640683032</v>
      </c>
      <c r="W27" s="114">
        <f t="shared" si="52"/>
        <v>2785.3988925426602</v>
      </c>
      <c r="X27" s="114">
        <f t="shared" si="53"/>
        <v>3227.0854142144217</v>
      </c>
      <c r="Y27" s="114">
        <f t="shared" si="54"/>
        <v>3627.3677722114294</v>
      </c>
      <c r="Z27" s="114">
        <f t="shared" si="55"/>
        <v>4094.6966764502085</v>
      </c>
      <c r="AA27" s="114">
        <f t="shared" si="56"/>
        <v>4747.9826195020969</v>
      </c>
      <c r="AB27" s="114">
        <f t="shared" si="57"/>
        <v>5327.3400000000011</v>
      </c>
      <c r="AC27" s="114">
        <f t="shared" si="58"/>
        <v>8333.6616987117068</v>
      </c>
      <c r="AD27" s="114">
        <f t="shared" si="59"/>
        <v>9981.6016591656644</v>
      </c>
      <c r="AE27" s="114">
        <f t="shared" si="60"/>
        <v>11730.916098298801</v>
      </c>
      <c r="AF27" s="114">
        <f t="shared" si="61"/>
        <v>13581.714479945615</v>
      </c>
    </row>
    <row r="28" spans="1:32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</row>
    <row r="29" spans="1:32">
      <c r="A29" s="116" t="str" cm="1">
        <f t="array" ref="A29:AF29">TRANSPOSE(Table1[[#All],[H2 FCET Units]])</f>
        <v>H2 FCET Units</v>
      </c>
      <c r="B29" s="121">
        <v>0</v>
      </c>
      <c r="C29" s="121">
        <v>0</v>
      </c>
      <c r="D29" s="121">
        <v>0</v>
      </c>
      <c r="E29" s="121">
        <v>0</v>
      </c>
      <c r="F29" s="121">
        <v>0</v>
      </c>
      <c r="G29" s="121">
        <v>34.995000000000005</v>
      </c>
      <c r="H29" s="121">
        <v>67.458112974663635</v>
      </c>
      <c r="I29" s="121">
        <v>131.93256070106435</v>
      </c>
      <c r="J29" s="121">
        <v>235.74184956656484</v>
      </c>
      <c r="K29" s="121">
        <v>388.94901126299607</v>
      </c>
      <c r="L29" s="121">
        <v>624.55365816275889</v>
      </c>
      <c r="M29" s="121">
        <v>952.97754001239377</v>
      </c>
      <c r="N29" s="121">
        <v>1393.211641671091</v>
      </c>
      <c r="O29" s="121">
        <v>1970.4666371189423</v>
      </c>
      <c r="P29" s="121">
        <v>2719.3558254801883</v>
      </c>
      <c r="Q29" s="121">
        <v>3651.2367705709662</v>
      </c>
      <c r="R29" s="121">
        <v>4797.2421475223946</v>
      </c>
      <c r="S29" s="121">
        <v>6149.6052665740663</v>
      </c>
      <c r="T29" s="121">
        <v>7688.7880289966124</v>
      </c>
      <c r="U29" s="121">
        <v>9418.3917311327987</v>
      </c>
      <c r="V29" s="121">
        <v>11355.427789265219</v>
      </c>
      <c r="W29" s="121">
        <v>13463.368998761969</v>
      </c>
      <c r="X29" s="121">
        <v>15766.956827215763</v>
      </c>
      <c r="Y29" s="121">
        <v>17872.997792618466</v>
      </c>
      <c r="Z29" s="121">
        <v>20306.724855547549</v>
      </c>
      <c r="AA29" s="121">
        <v>23659.823508657439</v>
      </c>
      <c r="AB29" s="121">
        <v>26636.699999999997</v>
      </c>
      <c r="AC29" s="121">
        <v>30776.636548157676</v>
      </c>
      <c r="AD29" s="121">
        <v>40972.597833973632</v>
      </c>
      <c r="AE29" s="121">
        <v>51848.727907656939</v>
      </c>
      <c r="AF29" s="121">
        <v>63408.004273089253</v>
      </c>
    </row>
    <row r="30" spans="1:32">
      <c r="A30" t="s">
        <v>44</v>
      </c>
      <c r="B30" s="114">
        <f>$B$29*B2</f>
        <v>0</v>
      </c>
      <c r="C30" s="114">
        <f>$C$29*C2</f>
        <v>0</v>
      </c>
      <c r="D30" s="114">
        <f>$D$29*D2</f>
        <v>0</v>
      </c>
      <c r="E30" s="114">
        <f>$E$29*E2</f>
        <v>0</v>
      </c>
      <c r="F30" s="114">
        <f>$F$29*F2</f>
        <v>0</v>
      </c>
      <c r="G30" s="114">
        <f>$G$29*G2</f>
        <v>8.7487500000000011</v>
      </c>
      <c r="H30" s="114">
        <f>$H$29*H2</f>
        <v>17.539109373412547</v>
      </c>
      <c r="I30" s="114">
        <f>$I$29*I2</f>
        <v>34.302465782276734</v>
      </c>
      <c r="J30" s="114">
        <f>$J$29*J2</f>
        <v>63.650299382972513</v>
      </c>
      <c r="K30" s="114">
        <f>$K$29*K2</f>
        <v>108.90572315363893</v>
      </c>
      <c r="L30" s="114">
        <f>$L$29*L2</f>
        <v>181.12056086720006</v>
      </c>
      <c r="M30" s="114">
        <f>$M$29*M2</f>
        <v>276.3634866035942</v>
      </c>
      <c r="N30" s="114">
        <f>$N$29*N2</f>
        <v>417.96349250132727</v>
      </c>
      <c r="O30" s="114">
        <f>$O$29*O2</f>
        <v>591.13999113568264</v>
      </c>
      <c r="P30" s="114">
        <f>$P$29*P2</f>
        <v>815.80674764405649</v>
      </c>
      <c r="Q30" s="114">
        <f>$Q$29*Q2</f>
        <v>1095.3710311712898</v>
      </c>
      <c r="R30" s="114">
        <f>$R$29*R2</f>
        <v>1439.1726442567183</v>
      </c>
      <c r="S30" s="114">
        <f>$S$29*S2</f>
        <v>1844.8815799722197</v>
      </c>
      <c r="T30" s="114">
        <f>$T$29*T2</f>
        <v>2306.6364086989838</v>
      </c>
      <c r="U30" s="114">
        <f>$U$29*U2</f>
        <v>2825.5175193398395</v>
      </c>
      <c r="V30" s="114">
        <f>$V$29*V2</f>
        <v>3406.6283367795654</v>
      </c>
      <c r="W30" s="114">
        <f>$W$29*W2</f>
        <v>4039.0106996285904</v>
      </c>
      <c r="X30" s="114">
        <f>$X$29*X2</f>
        <v>4730.0870481647289</v>
      </c>
      <c r="Y30" s="114">
        <f>$Y$29*Y2</f>
        <v>5361.8993377855395</v>
      </c>
      <c r="Z30" s="114">
        <f>$Z$29*Z2</f>
        <v>6092.0174566642636</v>
      </c>
      <c r="AA30" s="114">
        <f>$AA$29*AA2</f>
        <v>7097.9470525972301</v>
      </c>
      <c r="AB30" s="114">
        <f>$AB$29*AB2</f>
        <v>7991.0099999999975</v>
      </c>
      <c r="AC30" s="114">
        <f>$AC$29*AC2</f>
        <v>9232.9909644473028</v>
      </c>
      <c r="AD30" s="114">
        <f>$AD$29*AD2</f>
        <v>12291.779350192086</v>
      </c>
      <c r="AE30" s="114">
        <f>$AE$29*AE2</f>
        <v>15554.618372297082</v>
      </c>
      <c r="AF30" s="114">
        <f>$AF$29*AF2</f>
        <v>19022.40128192677</v>
      </c>
    </row>
    <row r="31" spans="1:32">
      <c r="A31" t="s">
        <v>45</v>
      </c>
      <c r="B31" s="114">
        <f t="shared" ref="B31:B36" si="62">$B$29*B3</f>
        <v>0</v>
      </c>
      <c r="C31" s="114">
        <f t="shared" ref="C31:C36" si="63">$C$29*C3</f>
        <v>0</v>
      </c>
      <c r="D31" s="114">
        <f t="shared" ref="D31:D36" si="64">$D$29*D3</f>
        <v>0</v>
      </c>
      <c r="E31" s="114">
        <f t="shared" ref="E31:E36" si="65">$E$29*E3</f>
        <v>0</v>
      </c>
      <c r="F31" s="114">
        <f t="shared" ref="F31:F36" si="66">$F$29*F3</f>
        <v>0</v>
      </c>
      <c r="G31" s="114">
        <f t="shared" ref="G31:G36" si="67">$G$29*G3</f>
        <v>3.4995000000000003</v>
      </c>
      <c r="H31" s="114">
        <f t="shared" ref="H31:H36" si="68">$H$29*H3</f>
        <v>7.4203924272129989</v>
      </c>
      <c r="I31" s="114">
        <f t="shared" ref="I31:I36" si="69">$I$29*I3</f>
        <v>17.151232891138367</v>
      </c>
      <c r="J31" s="114">
        <f t="shared" ref="J31:J36" si="70">$J$29*J3</f>
        <v>30.646440443653429</v>
      </c>
      <c r="K31" s="114">
        <f t="shared" ref="K31:K36" si="71">$K$29*K3</f>
        <v>54.452861576819465</v>
      </c>
      <c r="L31" s="114">
        <f t="shared" ref="L31:L36" si="72">$L$29*L3</f>
        <v>93.683048724413837</v>
      </c>
      <c r="M31" s="114">
        <f t="shared" ref="M31:M36" si="73">$M$29*M3</f>
        <v>152.47640640198301</v>
      </c>
      <c r="N31" s="114">
        <f t="shared" ref="N31:N36" si="74">$N$29*N3</f>
        <v>250.77809550079638</v>
      </c>
      <c r="O31" s="114">
        <f t="shared" ref="O31:O36" si="75">$O$29*O3</f>
        <v>374.38866105259905</v>
      </c>
      <c r="P31" s="114">
        <f t="shared" ref="P31:P36" si="76">$P$29*P3</f>
        <v>516.67760684123573</v>
      </c>
      <c r="Q31" s="114">
        <f t="shared" ref="Q31:Q36" si="77">$Q$29*Q3</f>
        <v>730.24735411419329</v>
      </c>
      <c r="R31" s="114">
        <f t="shared" ref="R31:R36" si="78">$R$29*R3</f>
        <v>959.44842950447901</v>
      </c>
      <c r="S31" s="114">
        <f t="shared" ref="S31:S36" si="79">$S$29*S3</f>
        <v>1229.9210533148134</v>
      </c>
      <c r="T31" s="114">
        <f t="shared" ref="T31:T36" si="80">$T$29*T3</f>
        <v>1537.7576057993226</v>
      </c>
      <c r="U31" s="114">
        <f t="shared" ref="U31:U36" si="81">$U$29*U3</f>
        <v>1883.6783462265598</v>
      </c>
      <c r="V31" s="114">
        <f t="shared" ref="V31:V36" si="82">$V$29*V3</f>
        <v>2271.0855578530436</v>
      </c>
      <c r="W31" s="114">
        <f t="shared" ref="W31:W36" si="83">$W$29*W3</f>
        <v>2692.6737997523942</v>
      </c>
      <c r="X31" s="114">
        <f t="shared" ref="X31:X36" si="84">$X$29*X3</f>
        <v>3153.3913654431522</v>
      </c>
      <c r="Y31" s="114">
        <f t="shared" ref="Y31:Y36" si="85">$Y$29*Y3</f>
        <v>3574.5995585236933</v>
      </c>
      <c r="Z31" s="114">
        <f t="shared" ref="Z31:Z36" si="86">$Z$29*Z3</f>
        <v>4061.3449711095095</v>
      </c>
      <c r="AA31" s="114">
        <f t="shared" ref="AA31:AA36" si="87">$AA$29*AA3</f>
        <v>4731.9647017314883</v>
      </c>
      <c r="AB31" s="114">
        <f t="shared" ref="AB31:AB36" si="88">$AB$29*AB3</f>
        <v>5327.34</v>
      </c>
      <c r="AC31" s="114">
        <f t="shared" ref="AC31:AC36" si="89">$AC$29*AC3</f>
        <v>6155.3273096315352</v>
      </c>
      <c r="AD31" s="114">
        <f t="shared" ref="AD31:AD36" si="90">$AD$29*AD3</f>
        <v>8194.5195667947264</v>
      </c>
      <c r="AE31" s="114">
        <f t="shared" ref="AE31:AE36" si="91">$AE$29*AE3</f>
        <v>10369.745581531388</v>
      </c>
      <c r="AF31" s="114">
        <f t="shared" ref="AF31:AF36" si="92">$AF$29*AF3</f>
        <v>12681.600854617851</v>
      </c>
    </row>
    <row r="32" spans="1:32">
      <c r="A32" t="s">
        <v>46</v>
      </c>
      <c r="B32" s="114">
        <f t="shared" si="62"/>
        <v>0</v>
      </c>
      <c r="C32" s="114">
        <f t="shared" si="63"/>
        <v>0</v>
      </c>
      <c r="D32" s="114">
        <f t="shared" si="64"/>
        <v>0</v>
      </c>
      <c r="E32" s="114">
        <f t="shared" si="65"/>
        <v>0</v>
      </c>
      <c r="F32" s="114">
        <f t="shared" si="66"/>
        <v>0</v>
      </c>
      <c r="G32" s="114">
        <f t="shared" si="67"/>
        <v>8.7487500000000011</v>
      </c>
      <c r="H32" s="114">
        <f t="shared" si="68"/>
        <v>16.189947113919274</v>
      </c>
      <c r="I32" s="114">
        <f t="shared" si="69"/>
        <v>30.344488961244799</v>
      </c>
      <c r="J32" s="114">
        <f t="shared" si="70"/>
        <v>51.863206904644265</v>
      </c>
      <c r="K32" s="114">
        <f t="shared" si="71"/>
        <v>81.679292365229188</v>
      </c>
      <c r="L32" s="114">
        <f t="shared" si="72"/>
        <v>124.91073163255179</v>
      </c>
      <c r="M32" s="114">
        <f t="shared" si="73"/>
        <v>181.06573260235481</v>
      </c>
      <c r="N32" s="114">
        <f t="shared" si="74"/>
        <v>250.77809550079638</v>
      </c>
      <c r="O32" s="114">
        <f t="shared" si="75"/>
        <v>334.97932831022024</v>
      </c>
      <c r="P32" s="114">
        <f t="shared" si="76"/>
        <v>435.09693207683011</v>
      </c>
      <c r="Q32" s="114">
        <f t="shared" si="77"/>
        <v>547.68551558564491</v>
      </c>
      <c r="R32" s="114">
        <f t="shared" si="78"/>
        <v>719.58632212835914</v>
      </c>
      <c r="S32" s="114">
        <f t="shared" si="79"/>
        <v>922.44078998610985</v>
      </c>
      <c r="T32" s="114">
        <f t="shared" si="80"/>
        <v>1153.3182043494919</v>
      </c>
      <c r="U32" s="114">
        <f t="shared" si="81"/>
        <v>1412.7587596699198</v>
      </c>
      <c r="V32" s="114">
        <f t="shared" si="82"/>
        <v>1703.3141683897827</v>
      </c>
      <c r="W32" s="114">
        <f t="shared" si="83"/>
        <v>2019.5053498142952</v>
      </c>
      <c r="X32" s="114">
        <f t="shared" si="84"/>
        <v>2365.0435240823645</v>
      </c>
      <c r="Y32" s="114">
        <f t="shared" si="85"/>
        <v>2680.9496688927698</v>
      </c>
      <c r="Z32" s="114">
        <f t="shared" si="86"/>
        <v>3046.0087283321318</v>
      </c>
      <c r="AA32" s="114">
        <f t="shared" si="87"/>
        <v>3548.9735262986151</v>
      </c>
      <c r="AB32" s="114">
        <f t="shared" si="88"/>
        <v>3995.5049999999987</v>
      </c>
      <c r="AC32" s="114">
        <f t="shared" si="89"/>
        <v>4616.4954822236514</v>
      </c>
      <c r="AD32" s="114">
        <f t="shared" si="90"/>
        <v>6145.889675096043</v>
      </c>
      <c r="AE32" s="114">
        <f t="shared" si="91"/>
        <v>7777.3091861485409</v>
      </c>
      <c r="AF32" s="114">
        <f t="shared" si="92"/>
        <v>9511.200640963385</v>
      </c>
    </row>
    <row r="33" spans="1:32">
      <c r="A33" t="s">
        <v>47</v>
      </c>
      <c r="B33" s="114">
        <f t="shared" si="62"/>
        <v>0</v>
      </c>
      <c r="C33" s="114">
        <f t="shared" si="63"/>
        <v>0</v>
      </c>
      <c r="D33" s="114">
        <f t="shared" si="64"/>
        <v>0</v>
      </c>
      <c r="E33" s="114">
        <f t="shared" si="65"/>
        <v>0</v>
      </c>
      <c r="F33" s="114">
        <f t="shared" si="66"/>
        <v>0</v>
      </c>
      <c r="G33" s="114">
        <f t="shared" si="67"/>
        <v>5.2492500000000009</v>
      </c>
      <c r="H33" s="114">
        <f t="shared" si="68"/>
        <v>9.4441358164529099</v>
      </c>
      <c r="I33" s="114">
        <f t="shared" si="69"/>
        <v>17.151232891138367</v>
      </c>
      <c r="J33" s="114">
        <f t="shared" si="70"/>
        <v>28.289021947987777</v>
      </c>
      <c r="K33" s="114">
        <f t="shared" si="71"/>
        <v>42.784391238929572</v>
      </c>
      <c r="L33" s="114">
        <f t="shared" si="72"/>
        <v>62.455365816275894</v>
      </c>
      <c r="M33" s="114">
        <f t="shared" si="73"/>
        <v>85.767978601115431</v>
      </c>
      <c r="N33" s="114">
        <f t="shared" si="74"/>
        <v>83.592698500265456</v>
      </c>
      <c r="O33" s="114">
        <f t="shared" si="75"/>
        <v>98.52333185594712</v>
      </c>
      <c r="P33" s="114">
        <f t="shared" si="76"/>
        <v>108.77423301920753</v>
      </c>
      <c r="Q33" s="114">
        <f t="shared" si="77"/>
        <v>109.53710311712898</v>
      </c>
      <c r="R33" s="114">
        <f t="shared" si="78"/>
        <v>143.91726442567185</v>
      </c>
      <c r="S33" s="114">
        <f t="shared" si="79"/>
        <v>184.48815799722195</v>
      </c>
      <c r="T33" s="114">
        <f t="shared" si="80"/>
        <v>230.66364086989833</v>
      </c>
      <c r="U33" s="114">
        <f t="shared" si="81"/>
        <v>282.55175193398401</v>
      </c>
      <c r="V33" s="114">
        <f t="shared" si="82"/>
        <v>340.66283367795654</v>
      </c>
      <c r="W33" s="114">
        <f t="shared" si="83"/>
        <v>403.90106996285908</v>
      </c>
      <c r="X33" s="114">
        <f t="shared" si="84"/>
        <v>473.00870481647291</v>
      </c>
      <c r="Y33" s="114">
        <f t="shared" si="85"/>
        <v>536.18993377855395</v>
      </c>
      <c r="Z33" s="114">
        <f t="shared" si="86"/>
        <v>609.2017456664264</v>
      </c>
      <c r="AA33" s="114">
        <f t="shared" si="87"/>
        <v>709.79470525972295</v>
      </c>
      <c r="AB33" s="114">
        <f t="shared" si="88"/>
        <v>799.10099999999977</v>
      </c>
      <c r="AC33" s="114">
        <f t="shared" si="89"/>
        <v>923.29909644473025</v>
      </c>
      <c r="AD33" s="114">
        <f t="shared" si="90"/>
        <v>1229.1779350192087</v>
      </c>
      <c r="AE33" s="114">
        <f t="shared" si="91"/>
        <v>1555.461837229708</v>
      </c>
      <c r="AF33" s="114">
        <f t="shared" si="92"/>
        <v>1902.2401281926775</v>
      </c>
    </row>
    <row r="34" spans="1:32">
      <c r="A34" t="s">
        <v>48</v>
      </c>
      <c r="B34" s="114">
        <f t="shared" si="62"/>
        <v>0</v>
      </c>
      <c r="C34" s="114">
        <f t="shared" si="63"/>
        <v>0</v>
      </c>
      <c r="D34" s="114">
        <f t="shared" si="64"/>
        <v>0</v>
      </c>
      <c r="E34" s="114">
        <f t="shared" si="65"/>
        <v>0</v>
      </c>
      <c r="F34" s="114">
        <f t="shared" si="66"/>
        <v>0</v>
      </c>
      <c r="G34" s="114">
        <f t="shared" si="67"/>
        <v>1.0498500000000002</v>
      </c>
      <c r="H34" s="114">
        <f t="shared" si="68"/>
        <v>2.0237433892399093</v>
      </c>
      <c r="I34" s="114">
        <f t="shared" si="69"/>
        <v>3.9579768210319299</v>
      </c>
      <c r="J34" s="114">
        <f t="shared" si="70"/>
        <v>7.0722554869969443</v>
      </c>
      <c r="K34" s="114">
        <f t="shared" si="71"/>
        <v>11.668470337889882</v>
      </c>
      <c r="L34" s="114">
        <f t="shared" si="72"/>
        <v>18.736609744882767</v>
      </c>
      <c r="M34" s="114">
        <f t="shared" si="73"/>
        <v>28.589326200371811</v>
      </c>
      <c r="N34" s="114">
        <f t="shared" si="74"/>
        <v>27.86423283342182</v>
      </c>
      <c r="O34" s="114">
        <f t="shared" si="75"/>
        <v>39.409332742378851</v>
      </c>
      <c r="P34" s="114">
        <f t="shared" si="76"/>
        <v>54.387116509603764</v>
      </c>
      <c r="Q34" s="114">
        <f t="shared" si="77"/>
        <v>73.024735411419329</v>
      </c>
      <c r="R34" s="114">
        <f t="shared" si="78"/>
        <v>95.944842950447892</v>
      </c>
      <c r="S34" s="114">
        <f t="shared" si="79"/>
        <v>122.99210533148133</v>
      </c>
      <c r="T34" s="114">
        <f t="shared" si="80"/>
        <v>153.77576057993224</v>
      </c>
      <c r="U34" s="114">
        <f t="shared" si="81"/>
        <v>188.36783462265598</v>
      </c>
      <c r="V34" s="114">
        <f t="shared" si="82"/>
        <v>227.10855578530439</v>
      </c>
      <c r="W34" s="114">
        <f t="shared" si="83"/>
        <v>269.26737997523941</v>
      </c>
      <c r="X34" s="114">
        <f t="shared" si="84"/>
        <v>315.33913654431529</v>
      </c>
      <c r="Y34" s="114">
        <f t="shared" si="85"/>
        <v>357.45995585236932</v>
      </c>
      <c r="Z34" s="114">
        <f t="shared" si="86"/>
        <v>406.13449711095092</v>
      </c>
      <c r="AA34" s="114">
        <f t="shared" si="87"/>
        <v>473.19647017314873</v>
      </c>
      <c r="AB34" s="114">
        <f t="shared" si="88"/>
        <v>532.73399999999981</v>
      </c>
      <c r="AC34" s="114">
        <f t="shared" si="89"/>
        <v>615.53273096315365</v>
      </c>
      <c r="AD34" s="114">
        <f t="shared" si="90"/>
        <v>819.45195667947269</v>
      </c>
      <c r="AE34" s="114">
        <f t="shared" si="91"/>
        <v>1036.9745581531386</v>
      </c>
      <c r="AF34" s="114">
        <f t="shared" si="92"/>
        <v>1268.160085461785</v>
      </c>
    </row>
    <row r="35" spans="1:32">
      <c r="A35" t="s">
        <v>49</v>
      </c>
      <c r="B35" s="114">
        <f t="shared" si="62"/>
        <v>0</v>
      </c>
      <c r="C35" s="114">
        <f t="shared" si="63"/>
        <v>0</v>
      </c>
      <c r="D35" s="114">
        <f t="shared" si="64"/>
        <v>0</v>
      </c>
      <c r="E35" s="114">
        <f t="shared" si="65"/>
        <v>0</v>
      </c>
      <c r="F35" s="114">
        <f t="shared" si="66"/>
        <v>0</v>
      </c>
      <c r="G35" s="114">
        <f t="shared" si="67"/>
        <v>0.34995000000000004</v>
      </c>
      <c r="H35" s="114">
        <f t="shared" si="68"/>
        <v>1.3491622594932726</v>
      </c>
      <c r="I35" s="114">
        <f t="shared" si="69"/>
        <v>3.9579768210319299</v>
      </c>
      <c r="J35" s="114">
        <f t="shared" si="70"/>
        <v>9.4296739826625959</v>
      </c>
      <c r="K35" s="114">
        <f t="shared" si="71"/>
        <v>19.447450563149808</v>
      </c>
      <c r="L35" s="114">
        <f t="shared" si="72"/>
        <v>31.227682908137947</v>
      </c>
      <c r="M35" s="114">
        <f t="shared" si="73"/>
        <v>57.178652400743623</v>
      </c>
      <c r="N35" s="114">
        <f t="shared" si="74"/>
        <v>111.45693133368728</v>
      </c>
      <c r="O35" s="114">
        <f t="shared" si="75"/>
        <v>157.6373309695154</v>
      </c>
      <c r="P35" s="114">
        <f t="shared" si="76"/>
        <v>244.74202429321693</v>
      </c>
      <c r="Q35" s="114">
        <f t="shared" si="77"/>
        <v>365.12367705709664</v>
      </c>
      <c r="R35" s="114">
        <f t="shared" si="78"/>
        <v>479.7242147522395</v>
      </c>
      <c r="S35" s="114">
        <f t="shared" si="79"/>
        <v>614.96052665740672</v>
      </c>
      <c r="T35" s="114">
        <f t="shared" si="80"/>
        <v>768.87880289966131</v>
      </c>
      <c r="U35" s="114">
        <f t="shared" si="81"/>
        <v>941.83917311327991</v>
      </c>
      <c r="V35" s="114">
        <f t="shared" si="82"/>
        <v>1135.5427789265218</v>
      </c>
      <c r="W35" s="114">
        <f t="shared" si="83"/>
        <v>1346.3368998761971</v>
      </c>
      <c r="X35" s="114">
        <f t="shared" si="84"/>
        <v>1576.6956827215761</v>
      </c>
      <c r="Y35" s="114">
        <f t="shared" si="85"/>
        <v>1787.2997792618467</v>
      </c>
      <c r="Z35" s="114">
        <f t="shared" si="86"/>
        <v>2030.6724855547548</v>
      </c>
      <c r="AA35" s="114">
        <f t="shared" si="87"/>
        <v>2365.9823508657441</v>
      </c>
      <c r="AB35" s="114">
        <f t="shared" si="88"/>
        <v>2663.67</v>
      </c>
      <c r="AC35" s="114">
        <f t="shared" si="89"/>
        <v>3077.6636548157676</v>
      </c>
      <c r="AD35" s="114">
        <f t="shared" si="90"/>
        <v>4097.2597833973632</v>
      </c>
      <c r="AE35" s="114">
        <f t="shared" si="91"/>
        <v>5184.8727907656939</v>
      </c>
      <c r="AF35" s="114">
        <f t="shared" si="92"/>
        <v>6340.8004273089255</v>
      </c>
    </row>
    <row r="36" spans="1:32">
      <c r="A36" t="s">
        <v>50</v>
      </c>
      <c r="B36" s="114">
        <f t="shared" si="62"/>
        <v>0</v>
      </c>
      <c r="C36" s="114">
        <f t="shared" si="63"/>
        <v>0</v>
      </c>
      <c r="D36" s="114">
        <f t="shared" si="64"/>
        <v>0</v>
      </c>
      <c r="E36" s="114">
        <f t="shared" si="65"/>
        <v>0</v>
      </c>
      <c r="F36" s="114">
        <f t="shared" si="66"/>
        <v>0</v>
      </c>
      <c r="G36" s="114">
        <f t="shared" si="67"/>
        <v>7.3489500000000003</v>
      </c>
      <c r="H36" s="114">
        <f t="shared" si="68"/>
        <v>13.491622594932728</v>
      </c>
      <c r="I36" s="114">
        <f t="shared" si="69"/>
        <v>25.067186533202225</v>
      </c>
      <c r="J36" s="114">
        <f t="shared" si="70"/>
        <v>44.790951417647321</v>
      </c>
      <c r="K36" s="114">
        <f t="shared" si="71"/>
        <v>70.010822027339302</v>
      </c>
      <c r="L36" s="114">
        <f t="shared" si="72"/>
        <v>112.41965846929661</v>
      </c>
      <c r="M36" s="114">
        <f t="shared" si="73"/>
        <v>171.53595720223086</v>
      </c>
      <c r="N36" s="114">
        <f t="shared" si="74"/>
        <v>250.77809550079638</v>
      </c>
      <c r="O36" s="114">
        <f t="shared" si="75"/>
        <v>374.38866105259905</v>
      </c>
      <c r="P36" s="114">
        <f t="shared" si="76"/>
        <v>543.87116509603766</v>
      </c>
      <c r="Q36" s="114">
        <f t="shared" si="77"/>
        <v>730.24735411419329</v>
      </c>
      <c r="R36" s="114">
        <f t="shared" si="78"/>
        <v>959.44842950447901</v>
      </c>
      <c r="S36" s="114">
        <f t="shared" si="79"/>
        <v>1229.9210533148134</v>
      </c>
      <c r="T36" s="114">
        <f t="shared" si="80"/>
        <v>1537.7576057993226</v>
      </c>
      <c r="U36" s="114">
        <f t="shared" si="81"/>
        <v>1883.6783462265598</v>
      </c>
      <c r="V36" s="114">
        <f t="shared" si="82"/>
        <v>2271.0855578530436</v>
      </c>
      <c r="W36" s="114">
        <f t="shared" si="83"/>
        <v>2692.6737997523942</v>
      </c>
      <c r="X36" s="114">
        <f t="shared" si="84"/>
        <v>3153.3913654431522</v>
      </c>
      <c r="Y36" s="114">
        <f t="shared" si="85"/>
        <v>3574.5995585236933</v>
      </c>
      <c r="Z36" s="114">
        <f t="shared" si="86"/>
        <v>4061.3449711095095</v>
      </c>
      <c r="AA36" s="114">
        <f t="shared" si="87"/>
        <v>4731.9647017314883</v>
      </c>
      <c r="AB36" s="114">
        <f t="shared" si="88"/>
        <v>5327.34</v>
      </c>
      <c r="AC36" s="114">
        <f t="shared" si="89"/>
        <v>6155.3273096315352</v>
      </c>
      <c r="AD36" s="114">
        <f t="shared" si="90"/>
        <v>8194.5195667947264</v>
      </c>
      <c r="AE36" s="114">
        <f t="shared" si="91"/>
        <v>10369.745581531388</v>
      </c>
      <c r="AF36" s="114">
        <f t="shared" si="92"/>
        <v>12681.600854617851</v>
      </c>
    </row>
    <row r="37" spans="1:32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</row>
    <row r="38" spans="1:32">
      <c r="A38" s="116" t="str" cm="1">
        <f t="array" ref="A38:AF45">'Segmentwise Stock'!A82:AF89</f>
        <v>LNG Normalised Values</v>
      </c>
      <c r="B38" s="116">
        <v>2025</v>
      </c>
      <c r="C38" s="116">
        <v>2026</v>
      </c>
      <c r="D38" s="116">
        <v>2027</v>
      </c>
      <c r="E38" s="116">
        <v>2028</v>
      </c>
      <c r="F38" s="116">
        <v>2029</v>
      </c>
      <c r="G38" s="116">
        <v>2030</v>
      </c>
      <c r="H38" s="116">
        <v>2031</v>
      </c>
      <c r="I38" s="116">
        <v>2032</v>
      </c>
      <c r="J38" s="116">
        <v>2033</v>
      </c>
      <c r="K38" s="116">
        <v>2034</v>
      </c>
      <c r="L38" s="116">
        <v>2035</v>
      </c>
      <c r="M38" s="116">
        <v>2036</v>
      </c>
      <c r="N38" s="116">
        <v>2037</v>
      </c>
      <c r="O38" s="116">
        <v>2038</v>
      </c>
      <c r="P38" s="116">
        <v>2039</v>
      </c>
      <c r="Q38" s="116">
        <v>2040</v>
      </c>
      <c r="R38" s="116">
        <v>2041</v>
      </c>
      <c r="S38" s="116">
        <v>2042</v>
      </c>
      <c r="T38" s="116">
        <v>2043</v>
      </c>
      <c r="U38" s="116">
        <v>2044</v>
      </c>
      <c r="V38" s="116">
        <v>2045</v>
      </c>
      <c r="W38" s="116">
        <v>2046</v>
      </c>
      <c r="X38" s="116">
        <v>2047</v>
      </c>
      <c r="Y38" s="116">
        <v>2048</v>
      </c>
      <c r="Z38" s="116">
        <v>2049</v>
      </c>
      <c r="AA38" s="116">
        <v>2050</v>
      </c>
      <c r="AB38" s="116">
        <v>2051</v>
      </c>
      <c r="AC38" s="116">
        <v>2052</v>
      </c>
      <c r="AD38" s="116">
        <v>2053</v>
      </c>
      <c r="AE38" s="116">
        <v>2054</v>
      </c>
      <c r="AF38" s="116">
        <v>2055</v>
      </c>
    </row>
    <row r="39" spans="1:32" s="185" customFormat="1">
      <c r="A39" s="185" t="str">
        <v>Rigid|12T - 19T</v>
      </c>
      <c r="B39" s="185">
        <v>0</v>
      </c>
      <c r="C39" s="185">
        <v>0</v>
      </c>
      <c r="D39" s="185">
        <v>0</v>
      </c>
      <c r="E39" s="185">
        <v>0</v>
      </c>
      <c r="F39" s="185">
        <v>0</v>
      </c>
      <c r="G39" s="185">
        <v>0</v>
      </c>
      <c r="H39" s="185">
        <v>0</v>
      </c>
      <c r="I39" s="185">
        <v>0</v>
      </c>
      <c r="J39" s="185">
        <v>0</v>
      </c>
      <c r="K39" s="185">
        <v>0</v>
      </c>
      <c r="L39" s="185">
        <v>0</v>
      </c>
      <c r="M39" s="185">
        <v>0</v>
      </c>
      <c r="N39" s="185">
        <v>0</v>
      </c>
      <c r="O39" s="185">
        <v>0</v>
      </c>
      <c r="P39" s="185">
        <v>0</v>
      </c>
      <c r="Q39" s="185">
        <v>0</v>
      </c>
      <c r="R39" s="185">
        <v>0</v>
      </c>
      <c r="S39" s="185">
        <v>0</v>
      </c>
      <c r="T39" s="185">
        <v>0</v>
      </c>
      <c r="U39" s="185">
        <v>0</v>
      </c>
      <c r="V39" s="185">
        <v>0</v>
      </c>
      <c r="W39" s="185">
        <v>0</v>
      </c>
      <c r="X39" s="185">
        <v>0</v>
      </c>
      <c r="Y39" s="185">
        <v>0</v>
      </c>
      <c r="Z39" s="185">
        <v>0</v>
      </c>
      <c r="AA39" s="185">
        <v>0</v>
      </c>
      <c r="AB39" s="185">
        <v>0</v>
      </c>
      <c r="AC39" s="185">
        <v>0</v>
      </c>
      <c r="AD39" s="185">
        <v>0</v>
      </c>
      <c r="AE39" s="185">
        <v>0</v>
      </c>
      <c r="AF39" s="185">
        <v>0</v>
      </c>
    </row>
    <row r="40" spans="1:32" s="185" customFormat="1">
      <c r="A40" s="185" t="str">
        <v>Rigid|19T - 28.5T</v>
      </c>
      <c r="B40" s="185">
        <v>0</v>
      </c>
      <c r="C40" s="185">
        <v>0</v>
      </c>
      <c r="D40" s="185">
        <v>0</v>
      </c>
      <c r="E40" s="185">
        <v>0</v>
      </c>
      <c r="F40" s="185">
        <v>0</v>
      </c>
      <c r="G40" s="185">
        <v>0</v>
      </c>
      <c r="H40" s="185">
        <v>0</v>
      </c>
      <c r="I40" s="185">
        <v>0</v>
      </c>
      <c r="J40" s="185">
        <v>0</v>
      </c>
      <c r="K40" s="185">
        <v>0</v>
      </c>
      <c r="L40" s="185">
        <v>0</v>
      </c>
      <c r="M40" s="185">
        <v>0</v>
      </c>
      <c r="N40" s="185">
        <v>0</v>
      </c>
      <c r="O40" s="185">
        <v>0</v>
      </c>
      <c r="P40" s="185">
        <v>0</v>
      </c>
      <c r="Q40" s="185">
        <v>0</v>
      </c>
      <c r="R40" s="185">
        <v>0</v>
      </c>
      <c r="S40" s="185">
        <v>0</v>
      </c>
      <c r="T40" s="185">
        <v>0</v>
      </c>
      <c r="U40" s="185">
        <v>0</v>
      </c>
      <c r="V40" s="185">
        <v>0</v>
      </c>
      <c r="W40" s="185">
        <v>0</v>
      </c>
      <c r="X40" s="185">
        <v>0</v>
      </c>
      <c r="Y40" s="185">
        <v>0</v>
      </c>
      <c r="Z40" s="185">
        <v>0</v>
      </c>
      <c r="AA40" s="185">
        <v>0</v>
      </c>
      <c r="AB40" s="185">
        <v>0</v>
      </c>
      <c r="AC40" s="185">
        <v>0</v>
      </c>
      <c r="AD40" s="185">
        <v>0</v>
      </c>
      <c r="AE40" s="185">
        <v>0</v>
      </c>
      <c r="AF40" s="185">
        <v>0</v>
      </c>
    </row>
    <row r="41" spans="1:32" s="185" customFormat="1">
      <c r="A41" s="185" t="str">
        <v>Rigid|28.5T - 40T</v>
      </c>
      <c r="B41" s="185">
        <v>0</v>
      </c>
      <c r="C41" s="185">
        <v>0</v>
      </c>
      <c r="D41" s="185">
        <v>0</v>
      </c>
      <c r="E41" s="185">
        <v>0</v>
      </c>
      <c r="F41" s="185">
        <v>0</v>
      </c>
      <c r="G41" s="185">
        <v>0</v>
      </c>
      <c r="H41" s="185">
        <v>0</v>
      </c>
      <c r="I41" s="185">
        <v>0</v>
      </c>
      <c r="J41" s="185">
        <v>0</v>
      </c>
      <c r="K41" s="185">
        <v>0</v>
      </c>
      <c r="L41" s="185">
        <v>0</v>
      </c>
      <c r="M41" s="185">
        <v>0</v>
      </c>
      <c r="N41" s="185">
        <v>0</v>
      </c>
      <c r="O41" s="185">
        <v>0</v>
      </c>
      <c r="P41" s="185">
        <v>0</v>
      </c>
      <c r="Q41" s="185">
        <v>0</v>
      </c>
      <c r="R41" s="185">
        <v>0</v>
      </c>
      <c r="S41" s="185">
        <v>0</v>
      </c>
      <c r="T41" s="185">
        <v>0</v>
      </c>
      <c r="U41" s="185">
        <v>0</v>
      </c>
      <c r="V41" s="185">
        <v>0</v>
      </c>
      <c r="W41" s="185">
        <v>0</v>
      </c>
      <c r="X41" s="185">
        <v>0</v>
      </c>
      <c r="Y41" s="185">
        <v>0</v>
      </c>
      <c r="Z41" s="185">
        <v>0</v>
      </c>
      <c r="AA41" s="185">
        <v>0</v>
      </c>
      <c r="AB41" s="185">
        <v>0</v>
      </c>
      <c r="AC41" s="185">
        <v>0</v>
      </c>
      <c r="AD41" s="185">
        <v>0</v>
      </c>
      <c r="AE41" s="185">
        <v>0</v>
      </c>
      <c r="AF41" s="185">
        <v>0</v>
      </c>
    </row>
    <row r="42" spans="1:32" s="185" customFormat="1">
      <c r="A42" s="185" t="str">
        <v>Rigid|&gt;40T</v>
      </c>
      <c r="B42" s="185">
        <v>0</v>
      </c>
      <c r="C42" s="185">
        <v>0</v>
      </c>
      <c r="D42" s="185">
        <v>0</v>
      </c>
      <c r="E42" s="185">
        <v>0</v>
      </c>
      <c r="F42" s="185">
        <v>0</v>
      </c>
      <c r="G42" s="185">
        <v>0</v>
      </c>
      <c r="H42" s="185">
        <v>0</v>
      </c>
      <c r="I42" s="185">
        <v>0</v>
      </c>
      <c r="J42" s="185">
        <v>0</v>
      </c>
      <c r="K42" s="185">
        <v>0</v>
      </c>
      <c r="L42" s="185">
        <v>0</v>
      </c>
      <c r="M42" s="185">
        <v>0</v>
      </c>
      <c r="N42" s="185">
        <v>0</v>
      </c>
      <c r="O42" s="185">
        <v>0</v>
      </c>
      <c r="P42" s="185">
        <v>0</v>
      </c>
      <c r="Q42" s="185">
        <v>0</v>
      </c>
      <c r="R42" s="185">
        <v>0</v>
      </c>
      <c r="S42" s="185">
        <v>0</v>
      </c>
      <c r="T42" s="185">
        <v>0</v>
      </c>
      <c r="U42" s="185">
        <v>0</v>
      </c>
      <c r="V42" s="185">
        <v>0</v>
      </c>
      <c r="W42" s="185">
        <v>0</v>
      </c>
      <c r="X42" s="185">
        <v>0</v>
      </c>
      <c r="Y42" s="185">
        <v>0</v>
      </c>
      <c r="Z42" s="185">
        <v>0</v>
      </c>
      <c r="AA42" s="185">
        <v>0</v>
      </c>
      <c r="AB42" s="185">
        <v>0</v>
      </c>
      <c r="AC42" s="185">
        <v>0</v>
      </c>
      <c r="AD42" s="185">
        <v>0</v>
      </c>
      <c r="AE42" s="185">
        <v>0</v>
      </c>
      <c r="AF42" s="185">
        <v>0</v>
      </c>
    </row>
    <row r="43" spans="1:32" s="185" customFormat="1">
      <c r="A43" s="185" t="str">
        <v>TT | 31T - 40T</v>
      </c>
      <c r="B43" s="185">
        <v>0.13660377358490566</v>
      </c>
      <c r="C43" s="185">
        <v>0.12</v>
      </c>
      <c r="D43" s="185">
        <v>0.12</v>
      </c>
      <c r="E43" s="185">
        <v>0.11999999999999998</v>
      </c>
      <c r="F43" s="185">
        <v>0.12000000000000002</v>
      </c>
      <c r="G43" s="185">
        <v>0.12000000000000001</v>
      </c>
      <c r="H43" s="185">
        <v>0.12000000000000001</v>
      </c>
      <c r="I43" s="185">
        <v>0.11999999999999998</v>
      </c>
      <c r="J43" s="185">
        <v>0.11538461538461536</v>
      </c>
      <c r="K43" s="185">
        <v>0.11538461538461539</v>
      </c>
      <c r="L43" s="185">
        <v>0.11538461538461538</v>
      </c>
      <c r="M43" s="185">
        <v>0.1111111111111111</v>
      </c>
      <c r="N43" s="185">
        <v>7.1428571428571425E-2</v>
      </c>
      <c r="O43" s="185">
        <v>6.8965517241379309E-2</v>
      </c>
      <c r="P43" s="185">
        <v>6.4516129032258063E-2</v>
      </c>
      <c r="Q43" s="185">
        <v>6.25E-2</v>
      </c>
      <c r="R43" s="185">
        <v>6.25E-2</v>
      </c>
      <c r="S43" s="185">
        <v>6.25E-2</v>
      </c>
      <c r="T43" s="185">
        <v>6.25E-2</v>
      </c>
      <c r="U43" s="185">
        <v>6.25E-2</v>
      </c>
      <c r="V43" s="185">
        <v>6.2500000000000014E-2</v>
      </c>
      <c r="W43" s="185">
        <v>6.25E-2</v>
      </c>
      <c r="X43" s="185">
        <v>6.2500000000000014E-2</v>
      </c>
      <c r="Y43" s="185">
        <v>6.25E-2</v>
      </c>
      <c r="Z43" s="185">
        <v>6.25E-2</v>
      </c>
      <c r="AA43" s="185">
        <v>6.2499999999999986E-2</v>
      </c>
      <c r="AB43" s="185">
        <v>6.2499999999999986E-2</v>
      </c>
      <c r="AC43" s="185">
        <v>6.2500000000000014E-2</v>
      </c>
      <c r="AD43" s="185">
        <v>6.25E-2</v>
      </c>
      <c r="AE43" s="185">
        <v>6.25E-2</v>
      </c>
      <c r="AF43" s="185">
        <v>6.25E-2</v>
      </c>
    </row>
    <row r="44" spans="1:32" s="185" customFormat="1">
      <c r="A44" s="185" t="str">
        <v>TT | 40 T - 46T</v>
      </c>
      <c r="B44" s="185">
        <v>2.9996300406955237E-2</v>
      </c>
      <c r="C44" s="185">
        <v>0.04</v>
      </c>
      <c r="D44" s="185">
        <v>0.04</v>
      </c>
      <c r="E44" s="185">
        <v>0.04</v>
      </c>
      <c r="F44" s="185">
        <v>4.0000000000000008E-2</v>
      </c>
      <c r="G44" s="185">
        <v>0.04</v>
      </c>
      <c r="H44" s="185">
        <v>0.08</v>
      </c>
      <c r="I44" s="185">
        <v>0.11999999999999998</v>
      </c>
      <c r="J44" s="185">
        <v>0.15384615384615388</v>
      </c>
      <c r="K44" s="185">
        <v>0.19230769230769235</v>
      </c>
      <c r="L44" s="185">
        <v>0.19230769230769232</v>
      </c>
      <c r="M44" s="185">
        <v>0.22222222222222221</v>
      </c>
      <c r="N44" s="185">
        <v>0.2857142857142857</v>
      </c>
      <c r="O44" s="185">
        <v>0.27586206896551724</v>
      </c>
      <c r="P44" s="185">
        <v>0.29032258064516125</v>
      </c>
      <c r="Q44" s="185">
        <v>0.3125</v>
      </c>
      <c r="R44" s="185">
        <v>0.3125</v>
      </c>
      <c r="S44" s="185">
        <v>0.3125</v>
      </c>
      <c r="T44" s="185">
        <v>0.3125</v>
      </c>
      <c r="U44" s="185">
        <v>0.3125</v>
      </c>
      <c r="V44" s="185">
        <v>0.3125</v>
      </c>
      <c r="W44" s="185">
        <v>0.3125</v>
      </c>
      <c r="X44" s="185">
        <v>0.3125</v>
      </c>
      <c r="Y44" s="185">
        <v>0.3125</v>
      </c>
      <c r="Z44" s="185">
        <v>0.3125</v>
      </c>
      <c r="AA44" s="185">
        <v>0.3125</v>
      </c>
      <c r="AB44" s="185">
        <v>0.3125</v>
      </c>
      <c r="AC44" s="185">
        <v>0.3125</v>
      </c>
      <c r="AD44" s="185">
        <v>0.3125</v>
      </c>
      <c r="AE44" s="185">
        <v>0.3125</v>
      </c>
      <c r="AF44" s="185">
        <v>0.3125</v>
      </c>
    </row>
    <row r="45" spans="1:32" s="185" customFormat="1">
      <c r="A45" s="185" t="str">
        <v xml:space="preserve">TT | 46T - 55T </v>
      </c>
      <c r="B45" s="185">
        <v>0.83339992600813917</v>
      </c>
      <c r="C45" s="185">
        <v>0.84</v>
      </c>
      <c r="D45" s="185">
        <v>0.84</v>
      </c>
      <c r="E45" s="185">
        <v>0.84</v>
      </c>
      <c r="F45" s="185">
        <v>0.84000000000000008</v>
      </c>
      <c r="G45" s="185">
        <v>0.84</v>
      </c>
      <c r="H45" s="185">
        <v>0.8</v>
      </c>
      <c r="I45" s="185">
        <v>0.76</v>
      </c>
      <c r="J45" s="185">
        <v>0.73076923076923073</v>
      </c>
      <c r="K45" s="185">
        <v>0.6923076923076924</v>
      </c>
      <c r="L45" s="185">
        <v>0.6923076923076924</v>
      </c>
      <c r="M45" s="185">
        <v>0.66666666666666663</v>
      </c>
      <c r="N45" s="185">
        <v>0.64285714285714279</v>
      </c>
      <c r="O45" s="185">
        <v>0.65517241379310343</v>
      </c>
      <c r="P45" s="185">
        <v>0.64516129032258074</v>
      </c>
      <c r="Q45" s="185">
        <v>0.625</v>
      </c>
      <c r="R45" s="185">
        <v>0.625</v>
      </c>
      <c r="S45" s="185">
        <v>0.625</v>
      </c>
      <c r="T45" s="185">
        <v>0.625</v>
      </c>
      <c r="U45" s="185">
        <v>0.625</v>
      </c>
      <c r="V45" s="185">
        <v>0.625</v>
      </c>
      <c r="W45" s="185">
        <v>0.625</v>
      </c>
      <c r="X45" s="185">
        <v>0.625</v>
      </c>
      <c r="Y45" s="185">
        <v>0.625</v>
      </c>
      <c r="Z45" s="185">
        <v>0.625</v>
      </c>
      <c r="AA45" s="185">
        <v>0.625</v>
      </c>
      <c r="AB45" s="185">
        <v>0.625</v>
      </c>
      <c r="AC45" s="185">
        <v>0.625</v>
      </c>
      <c r="AD45" s="185">
        <v>0.625</v>
      </c>
      <c r="AE45" s="185">
        <v>0.625</v>
      </c>
      <c r="AF45" s="185">
        <v>0.625</v>
      </c>
    </row>
    <row r="46" spans="1:32"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</row>
    <row r="47" spans="1:32">
      <c r="A47" s="116" t="str" cm="1">
        <f t="array" ref="A47:AF47">TRANSPOSE(Table1[[#All],[LNG Units]])</f>
        <v>LNG Units</v>
      </c>
      <c r="B47" s="121">
        <v>368</v>
      </c>
      <c r="C47" s="121">
        <v>414.46682101680636</v>
      </c>
      <c r="D47" s="121">
        <v>422.21530521241357</v>
      </c>
      <c r="E47" s="121">
        <v>430.01216025553077</v>
      </c>
      <c r="F47" s="121">
        <v>473.02071551434142</v>
      </c>
      <c r="G47" s="121">
        <v>492.08950375123715</v>
      </c>
      <c r="H47" s="121">
        <v>513.58633436503203</v>
      </c>
      <c r="I47" s="121">
        <v>586.95910934693575</v>
      </c>
      <c r="J47" s="121">
        <v>659.35616126186483</v>
      </c>
      <c r="K47" s="121">
        <v>733.10210364627039</v>
      </c>
      <c r="L47" s="121">
        <v>846.26002207956196</v>
      </c>
      <c r="M47" s="121">
        <v>984.02608832528972</v>
      </c>
      <c r="N47" s="121">
        <v>1153.1186258485841</v>
      </c>
      <c r="O47" s="121">
        <v>1362.8803941730075</v>
      </c>
      <c r="P47" s="121">
        <v>1623.418225490632</v>
      </c>
      <c r="Q47" s="121">
        <v>1925.2459235025458</v>
      </c>
      <c r="R47" s="121">
        <v>2265.9962727856296</v>
      </c>
      <c r="S47" s="121">
        <v>2617.3163316550517</v>
      </c>
      <c r="T47" s="121">
        <v>2942.9219380279092</v>
      </c>
      <c r="U47" s="121">
        <v>3212.9489925802427</v>
      </c>
      <c r="V47" s="121">
        <v>3399.7596493708465</v>
      </c>
      <c r="W47" s="121">
        <v>3407.6555147585923</v>
      </c>
      <c r="X47" s="121">
        <v>3414.1605511723046</v>
      </c>
      <c r="Y47" s="121">
        <v>3346.0831140575924</v>
      </c>
      <c r="Z47" s="121">
        <v>3317.3795796468844</v>
      </c>
      <c r="AA47" s="121">
        <v>3400.0398359695378</v>
      </c>
      <c r="AB47" s="121">
        <v>3199.2428453784096</v>
      </c>
      <c r="AC47" s="121">
        <v>2406.431813377988</v>
      </c>
      <c r="AD47" s="121">
        <v>1318.9485230546181</v>
      </c>
      <c r="AE47" s="121">
        <v>378.10965375866755</v>
      </c>
      <c r="AF47" s="121">
        <v>0</v>
      </c>
    </row>
    <row r="48" spans="1:32">
      <c r="A48" t="s">
        <v>44</v>
      </c>
      <c r="B48" s="114">
        <f>$B$47*B39</f>
        <v>0</v>
      </c>
      <c r="C48" s="114">
        <f t="shared" ref="C48:AE51" si="93">$B$47*C39</f>
        <v>0</v>
      </c>
      <c r="D48" s="114">
        <f t="shared" si="93"/>
        <v>0</v>
      </c>
      <c r="E48" s="114">
        <f t="shared" si="93"/>
        <v>0</v>
      </c>
      <c r="F48" s="114">
        <f t="shared" si="93"/>
        <v>0</v>
      </c>
      <c r="G48" s="114">
        <f t="shared" si="93"/>
        <v>0</v>
      </c>
      <c r="H48" s="114">
        <f t="shared" si="93"/>
        <v>0</v>
      </c>
      <c r="I48" s="114">
        <f t="shared" si="93"/>
        <v>0</v>
      </c>
      <c r="J48" s="114">
        <f t="shared" si="93"/>
        <v>0</v>
      </c>
      <c r="K48" s="114">
        <f t="shared" si="93"/>
        <v>0</v>
      </c>
      <c r="L48" s="114">
        <f t="shared" si="93"/>
        <v>0</v>
      </c>
      <c r="M48" s="114">
        <f t="shared" si="93"/>
        <v>0</v>
      </c>
      <c r="N48" s="114">
        <f t="shared" si="93"/>
        <v>0</v>
      </c>
      <c r="O48" s="114">
        <f t="shared" si="93"/>
        <v>0</v>
      </c>
      <c r="P48" s="114">
        <f t="shared" si="93"/>
        <v>0</v>
      </c>
      <c r="Q48" s="114">
        <f t="shared" si="93"/>
        <v>0</v>
      </c>
      <c r="R48" s="114">
        <f t="shared" si="93"/>
        <v>0</v>
      </c>
      <c r="S48" s="114">
        <f t="shared" si="93"/>
        <v>0</v>
      </c>
      <c r="T48" s="114">
        <f t="shared" si="93"/>
        <v>0</v>
      </c>
      <c r="U48" s="114">
        <f t="shared" si="93"/>
        <v>0</v>
      </c>
      <c r="V48" s="114">
        <f t="shared" si="93"/>
        <v>0</v>
      </c>
      <c r="W48" s="114">
        <f t="shared" si="93"/>
        <v>0</v>
      </c>
      <c r="X48" s="114">
        <f t="shared" si="93"/>
        <v>0</v>
      </c>
      <c r="Y48" s="114">
        <f t="shared" si="93"/>
        <v>0</v>
      </c>
      <c r="Z48" s="114">
        <f t="shared" si="93"/>
        <v>0</v>
      </c>
      <c r="AA48" s="114">
        <f t="shared" si="93"/>
        <v>0</v>
      </c>
      <c r="AB48" s="114">
        <f t="shared" si="93"/>
        <v>0</v>
      </c>
      <c r="AC48" s="114">
        <f t="shared" si="93"/>
        <v>0</v>
      </c>
      <c r="AD48" s="114">
        <f t="shared" si="93"/>
        <v>0</v>
      </c>
      <c r="AE48" s="114">
        <f t="shared" si="93"/>
        <v>0</v>
      </c>
      <c r="AF48" s="114"/>
    </row>
    <row r="49" spans="1:32">
      <c r="A49" t="s">
        <v>45</v>
      </c>
      <c r="B49" s="114">
        <f t="shared" ref="B49:Q51" si="94">$B$47*B40</f>
        <v>0</v>
      </c>
      <c r="C49" s="114">
        <f t="shared" si="94"/>
        <v>0</v>
      </c>
      <c r="D49" s="114">
        <f t="shared" si="94"/>
        <v>0</v>
      </c>
      <c r="E49" s="114">
        <f t="shared" si="94"/>
        <v>0</v>
      </c>
      <c r="F49" s="114">
        <f t="shared" si="94"/>
        <v>0</v>
      </c>
      <c r="G49" s="114">
        <f t="shared" si="94"/>
        <v>0</v>
      </c>
      <c r="H49" s="114">
        <f t="shared" si="94"/>
        <v>0</v>
      </c>
      <c r="I49" s="114">
        <f t="shared" si="94"/>
        <v>0</v>
      </c>
      <c r="J49" s="114">
        <f t="shared" si="94"/>
        <v>0</v>
      </c>
      <c r="K49" s="114">
        <f t="shared" si="94"/>
        <v>0</v>
      </c>
      <c r="L49" s="114">
        <f t="shared" si="94"/>
        <v>0</v>
      </c>
      <c r="M49" s="114">
        <f t="shared" si="94"/>
        <v>0</v>
      </c>
      <c r="N49" s="114">
        <f t="shared" si="94"/>
        <v>0</v>
      </c>
      <c r="O49" s="114">
        <f t="shared" si="94"/>
        <v>0</v>
      </c>
      <c r="P49" s="114">
        <f t="shared" si="94"/>
        <v>0</v>
      </c>
      <c r="Q49" s="114">
        <f t="shared" si="94"/>
        <v>0</v>
      </c>
      <c r="R49" s="114">
        <f t="shared" si="93"/>
        <v>0</v>
      </c>
      <c r="S49" s="114">
        <f t="shared" si="93"/>
        <v>0</v>
      </c>
      <c r="T49" s="114">
        <f t="shared" si="93"/>
        <v>0</v>
      </c>
      <c r="U49" s="114">
        <f t="shared" si="93"/>
        <v>0</v>
      </c>
      <c r="V49" s="114">
        <f t="shared" si="93"/>
        <v>0</v>
      </c>
      <c r="W49" s="114">
        <f t="shared" si="93"/>
        <v>0</v>
      </c>
      <c r="X49" s="114">
        <f t="shared" si="93"/>
        <v>0</v>
      </c>
      <c r="Y49" s="114">
        <f t="shared" si="93"/>
        <v>0</v>
      </c>
      <c r="Z49" s="114">
        <f t="shared" si="93"/>
        <v>0</v>
      </c>
      <c r="AA49" s="114">
        <f t="shared" si="93"/>
        <v>0</v>
      </c>
      <c r="AB49" s="114">
        <f t="shared" si="93"/>
        <v>0</v>
      </c>
      <c r="AC49" s="114">
        <f t="shared" si="93"/>
        <v>0</v>
      </c>
      <c r="AD49" s="114">
        <f t="shared" si="93"/>
        <v>0</v>
      </c>
      <c r="AE49" s="114">
        <f t="shared" si="93"/>
        <v>0</v>
      </c>
      <c r="AF49" s="114"/>
    </row>
    <row r="50" spans="1:32">
      <c r="A50" t="s">
        <v>46</v>
      </c>
      <c r="B50" s="114">
        <f t="shared" si="94"/>
        <v>0</v>
      </c>
      <c r="C50" s="114">
        <f t="shared" si="93"/>
        <v>0</v>
      </c>
      <c r="D50" s="114">
        <f t="shared" si="93"/>
        <v>0</v>
      </c>
      <c r="E50" s="114">
        <f t="shared" si="93"/>
        <v>0</v>
      </c>
      <c r="F50" s="114">
        <f t="shared" si="93"/>
        <v>0</v>
      </c>
      <c r="G50" s="114">
        <f t="shared" si="93"/>
        <v>0</v>
      </c>
      <c r="H50" s="114">
        <f t="shared" si="93"/>
        <v>0</v>
      </c>
      <c r="I50" s="114">
        <f t="shared" si="93"/>
        <v>0</v>
      </c>
      <c r="J50" s="114">
        <f t="shared" si="93"/>
        <v>0</v>
      </c>
      <c r="K50" s="114">
        <f t="shared" si="93"/>
        <v>0</v>
      </c>
      <c r="L50" s="114">
        <f t="shared" si="93"/>
        <v>0</v>
      </c>
      <c r="M50" s="114">
        <f t="shared" si="93"/>
        <v>0</v>
      </c>
      <c r="N50" s="114">
        <f t="shared" si="93"/>
        <v>0</v>
      </c>
      <c r="O50" s="114">
        <f t="shared" si="93"/>
        <v>0</v>
      </c>
      <c r="P50" s="114">
        <f t="shared" si="93"/>
        <v>0</v>
      </c>
      <c r="Q50" s="114">
        <f t="shared" si="93"/>
        <v>0</v>
      </c>
      <c r="R50" s="114">
        <f t="shared" si="93"/>
        <v>0</v>
      </c>
      <c r="S50" s="114">
        <f t="shared" si="93"/>
        <v>0</v>
      </c>
      <c r="T50" s="114">
        <f t="shared" si="93"/>
        <v>0</v>
      </c>
      <c r="U50" s="114">
        <f t="shared" si="93"/>
        <v>0</v>
      </c>
      <c r="V50" s="114">
        <f t="shared" si="93"/>
        <v>0</v>
      </c>
      <c r="W50" s="114">
        <f t="shared" si="93"/>
        <v>0</v>
      </c>
      <c r="X50" s="114">
        <f t="shared" si="93"/>
        <v>0</v>
      </c>
      <c r="Y50" s="114">
        <f t="shared" si="93"/>
        <v>0</v>
      </c>
      <c r="Z50" s="114">
        <f t="shared" si="93"/>
        <v>0</v>
      </c>
      <c r="AA50" s="114">
        <f t="shared" si="93"/>
        <v>0</v>
      </c>
      <c r="AB50" s="114">
        <f t="shared" si="93"/>
        <v>0</v>
      </c>
      <c r="AC50" s="114">
        <f t="shared" si="93"/>
        <v>0</v>
      </c>
      <c r="AD50" s="114">
        <f t="shared" si="93"/>
        <v>0</v>
      </c>
      <c r="AE50" s="114">
        <f t="shared" si="93"/>
        <v>0</v>
      </c>
      <c r="AF50" s="114"/>
    </row>
    <row r="51" spans="1:32">
      <c r="A51" t="s">
        <v>47</v>
      </c>
      <c r="B51" s="114">
        <f t="shared" si="94"/>
        <v>0</v>
      </c>
      <c r="C51" s="114">
        <f t="shared" si="93"/>
        <v>0</v>
      </c>
      <c r="D51" s="114">
        <f t="shared" si="93"/>
        <v>0</v>
      </c>
      <c r="E51" s="114">
        <f t="shared" si="93"/>
        <v>0</v>
      </c>
      <c r="F51" s="114">
        <f t="shared" si="93"/>
        <v>0</v>
      </c>
      <c r="G51" s="114">
        <f t="shared" si="93"/>
        <v>0</v>
      </c>
      <c r="H51" s="114">
        <f t="shared" si="93"/>
        <v>0</v>
      </c>
      <c r="I51" s="114">
        <f t="shared" si="93"/>
        <v>0</v>
      </c>
      <c r="J51" s="114">
        <f t="shared" si="93"/>
        <v>0</v>
      </c>
      <c r="K51" s="114">
        <f t="shared" si="93"/>
        <v>0</v>
      </c>
      <c r="L51" s="114">
        <f t="shared" si="93"/>
        <v>0</v>
      </c>
      <c r="M51" s="114">
        <f t="shared" si="93"/>
        <v>0</v>
      </c>
      <c r="N51" s="114">
        <f t="shared" si="93"/>
        <v>0</v>
      </c>
      <c r="O51" s="114">
        <f t="shared" si="93"/>
        <v>0</v>
      </c>
      <c r="P51" s="114">
        <f t="shared" si="93"/>
        <v>0</v>
      </c>
      <c r="Q51" s="114">
        <f t="shared" si="93"/>
        <v>0</v>
      </c>
      <c r="R51" s="114">
        <f t="shared" si="93"/>
        <v>0</v>
      </c>
      <c r="S51" s="114">
        <f t="shared" si="93"/>
        <v>0</v>
      </c>
      <c r="T51" s="114">
        <f t="shared" si="93"/>
        <v>0</v>
      </c>
      <c r="U51" s="114">
        <f t="shared" si="93"/>
        <v>0</v>
      </c>
      <c r="V51" s="114">
        <f t="shared" si="93"/>
        <v>0</v>
      </c>
      <c r="W51" s="114">
        <f t="shared" si="93"/>
        <v>0</v>
      </c>
      <c r="X51" s="114">
        <f t="shared" si="93"/>
        <v>0</v>
      </c>
      <c r="Y51" s="114">
        <f t="shared" si="93"/>
        <v>0</v>
      </c>
      <c r="Z51" s="114">
        <f t="shared" si="93"/>
        <v>0</v>
      </c>
      <c r="AA51" s="114">
        <f t="shared" si="93"/>
        <v>0</v>
      </c>
      <c r="AB51" s="114">
        <f t="shared" si="93"/>
        <v>0</v>
      </c>
      <c r="AC51" s="114">
        <f t="shared" si="93"/>
        <v>0</v>
      </c>
      <c r="AD51" s="114">
        <f t="shared" si="93"/>
        <v>0</v>
      </c>
      <c r="AE51" s="114">
        <f t="shared" si="93"/>
        <v>0</v>
      </c>
      <c r="AF51" s="114"/>
    </row>
    <row r="52" spans="1:32">
      <c r="A52" t="s">
        <v>48</v>
      </c>
      <c r="B52" s="114">
        <f>B$47*B43</f>
        <v>50.270188679245287</v>
      </c>
      <c r="C52" s="114">
        <f t="shared" ref="C52:AE54" si="95">C$47*C43</f>
        <v>49.736018522016764</v>
      </c>
      <c r="D52" s="114">
        <f t="shared" si="95"/>
        <v>50.665836625489625</v>
      </c>
      <c r="E52" s="114">
        <f t="shared" si="95"/>
        <v>51.601459230663686</v>
      </c>
      <c r="F52" s="114">
        <f t="shared" si="95"/>
        <v>56.762485861720982</v>
      </c>
      <c r="G52" s="114">
        <f t="shared" si="95"/>
        <v>59.05074045014846</v>
      </c>
      <c r="H52" s="114">
        <f t="shared" si="95"/>
        <v>61.630360123803847</v>
      </c>
      <c r="I52" s="114">
        <f t="shared" si="95"/>
        <v>70.435093121632278</v>
      </c>
      <c r="J52" s="114">
        <f t="shared" si="95"/>
        <v>76.079557068676692</v>
      </c>
      <c r="K52" s="114">
        <f t="shared" si="95"/>
        <v>84.588704266877357</v>
      </c>
      <c r="L52" s="114">
        <f t="shared" si="95"/>
        <v>97.645387163026371</v>
      </c>
      <c r="M52" s="114">
        <f t="shared" si="95"/>
        <v>109.3362320361433</v>
      </c>
      <c r="N52" s="114">
        <f t="shared" si="95"/>
        <v>82.365616132041723</v>
      </c>
      <c r="O52" s="114">
        <f t="shared" si="95"/>
        <v>93.991751322276386</v>
      </c>
      <c r="P52" s="114">
        <f t="shared" si="95"/>
        <v>104.73665970907304</v>
      </c>
      <c r="Q52" s="114">
        <f t="shared" si="95"/>
        <v>120.32787021890911</v>
      </c>
      <c r="R52" s="114">
        <f t="shared" si="95"/>
        <v>141.62476704910185</v>
      </c>
      <c r="S52" s="114">
        <f t="shared" si="95"/>
        <v>163.58227072844073</v>
      </c>
      <c r="T52" s="114">
        <f t="shared" si="95"/>
        <v>183.93262112674432</v>
      </c>
      <c r="U52" s="114">
        <f t="shared" si="95"/>
        <v>200.80931203626517</v>
      </c>
      <c r="V52" s="114">
        <f t="shared" si="95"/>
        <v>212.48497808567797</v>
      </c>
      <c r="W52" s="114">
        <f t="shared" si="95"/>
        <v>212.97846967241202</v>
      </c>
      <c r="X52" s="114">
        <f t="shared" si="95"/>
        <v>213.3850344482691</v>
      </c>
      <c r="Y52" s="114">
        <f t="shared" si="95"/>
        <v>209.13019462859953</v>
      </c>
      <c r="Z52" s="114">
        <f t="shared" si="95"/>
        <v>207.33622372793027</v>
      </c>
      <c r="AA52" s="114">
        <f t="shared" si="95"/>
        <v>212.50248974809605</v>
      </c>
      <c r="AB52" s="114">
        <f t="shared" si="95"/>
        <v>199.95267783615054</v>
      </c>
      <c r="AC52" s="114">
        <f t="shared" si="95"/>
        <v>150.40198833612428</v>
      </c>
      <c r="AD52" s="114">
        <f t="shared" si="95"/>
        <v>82.434282690913633</v>
      </c>
      <c r="AE52" s="114">
        <f t="shared" si="95"/>
        <v>23.631853359916722</v>
      </c>
      <c r="AF52" s="114">
        <f>AF$47*AF43</f>
        <v>0</v>
      </c>
    </row>
    <row r="53" spans="1:32">
      <c r="A53" t="s">
        <v>49</v>
      </c>
      <c r="B53" s="114">
        <f t="shared" ref="B53:Q54" si="96">B$47*B44</f>
        <v>11.038638549759527</v>
      </c>
      <c r="C53" s="114">
        <f t="shared" si="96"/>
        <v>16.578672840672255</v>
      </c>
      <c r="D53" s="114">
        <f t="shared" si="96"/>
        <v>16.888612208496543</v>
      </c>
      <c r="E53" s="114">
        <f t="shared" si="96"/>
        <v>17.200486410221231</v>
      </c>
      <c r="F53" s="114">
        <f t="shared" si="96"/>
        <v>18.920828620573662</v>
      </c>
      <c r="G53" s="114">
        <f t="shared" si="96"/>
        <v>19.683580150049487</v>
      </c>
      <c r="H53" s="114">
        <f t="shared" si="96"/>
        <v>41.086906749202562</v>
      </c>
      <c r="I53" s="114">
        <f t="shared" si="96"/>
        <v>70.435093121632278</v>
      </c>
      <c r="J53" s="114">
        <f t="shared" si="96"/>
        <v>101.43940942490231</v>
      </c>
      <c r="K53" s="114">
        <f t="shared" si="96"/>
        <v>140.98117377812895</v>
      </c>
      <c r="L53" s="114">
        <f t="shared" si="96"/>
        <v>162.7423119383773</v>
      </c>
      <c r="M53" s="114">
        <f t="shared" si="96"/>
        <v>218.6724640722866</v>
      </c>
      <c r="N53" s="114">
        <f t="shared" si="96"/>
        <v>329.46246452816689</v>
      </c>
      <c r="O53" s="114">
        <f t="shared" si="96"/>
        <v>375.96700528910554</v>
      </c>
      <c r="P53" s="114">
        <f t="shared" si="96"/>
        <v>471.31496869082861</v>
      </c>
      <c r="Q53" s="114">
        <f t="shared" si="96"/>
        <v>601.63935109454553</v>
      </c>
      <c r="R53" s="114">
        <f t="shared" si="95"/>
        <v>708.12383524550921</v>
      </c>
      <c r="S53" s="114">
        <f t="shared" si="95"/>
        <v>817.91135364220372</v>
      </c>
      <c r="T53" s="114">
        <f t="shared" si="95"/>
        <v>919.66310563372167</v>
      </c>
      <c r="U53" s="114">
        <f t="shared" si="95"/>
        <v>1004.0465601813258</v>
      </c>
      <c r="V53" s="114">
        <f t="shared" si="95"/>
        <v>1062.4248904283895</v>
      </c>
      <c r="W53" s="114">
        <f t="shared" si="95"/>
        <v>1064.8923483620601</v>
      </c>
      <c r="X53" s="114">
        <f t="shared" si="95"/>
        <v>1066.9251722413451</v>
      </c>
      <c r="Y53" s="114">
        <f t="shared" si="95"/>
        <v>1045.6509731429976</v>
      </c>
      <c r="Z53" s="114">
        <f t="shared" si="95"/>
        <v>1036.6811186396515</v>
      </c>
      <c r="AA53" s="114">
        <f t="shared" si="95"/>
        <v>1062.5124487404805</v>
      </c>
      <c r="AB53" s="114">
        <f t="shared" si="95"/>
        <v>999.76338918075294</v>
      </c>
      <c r="AC53" s="114">
        <f t="shared" si="95"/>
        <v>752.0099416806213</v>
      </c>
      <c r="AD53" s="114">
        <f t="shared" si="95"/>
        <v>412.17141345456815</v>
      </c>
      <c r="AE53" s="114">
        <f t="shared" si="95"/>
        <v>118.15926679958361</v>
      </c>
      <c r="AF53" s="114">
        <f t="shared" ref="AF53" si="97">AF$47*AF44</f>
        <v>0</v>
      </c>
    </row>
    <row r="54" spans="1:32">
      <c r="A54" t="s">
        <v>50</v>
      </c>
      <c r="B54" s="114">
        <f t="shared" si="96"/>
        <v>306.69117277099519</v>
      </c>
      <c r="C54" s="114">
        <f t="shared" si="95"/>
        <v>348.15212965411735</v>
      </c>
      <c r="D54" s="114">
        <f t="shared" si="95"/>
        <v>354.66085637842741</v>
      </c>
      <c r="E54" s="114">
        <f t="shared" si="95"/>
        <v>361.21021461464585</v>
      </c>
      <c r="F54" s="114">
        <f t="shared" si="95"/>
        <v>397.33740103204684</v>
      </c>
      <c r="G54" s="114">
        <f t="shared" si="95"/>
        <v>413.35518315103917</v>
      </c>
      <c r="H54" s="114">
        <f t="shared" si="95"/>
        <v>410.86906749202564</v>
      </c>
      <c r="I54" s="114">
        <f t="shared" si="95"/>
        <v>446.08892310367116</v>
      </c>
      <c r="J54" s="114">
        <f t="shared" si="95"/>
        <v>481.83719476828583</v>
      </c>
      <c r="K54" s="114">
        <f t="shared" si="95"/>
        <v>507.5322256012642</v>
      </c>
      <c r="L54" s="114">
        <f t="shared" si="95"/>
        <v>585.87232297815831</v>
      </c>
      <c r="M54" s="114">
        <f t="shared" si="95"/>
        <v>656.01739221685978</v>
      </c>
      <c r="N54" s="114">
        <f t="shared" si="95"/>
        <v>741.2905451883754</v>
      </c>
      <c r="O54" s="114">
        <f t="shared" si="95"/>
        <v>892.92163756162563</v>
      </c>
      <c r="P54" s="114">
        <f t="shared" si="95"/>
        <v>1047.3665970907305</v>
      </c>
      <c r="Q54" s="114">
        <f t="shared" si="95"/>
        <v>1203.2787021890911</v>
      </c>
      <c r="R54" s="114">
        <f t="shared" si="95"/>
        <v>1416.2476704910184</v>
      </c>
      <c r="S54" s="114">
        <f t="shared" si="95"/>
        <v>1635.8227072844074</v>
      </c>
      <c r="T54" s="114">
        <f t="shared" si="95"/>
        <v>1839.3262112674433</v>
      </c>
      <c r="U54" s="114">
        <f t="shared" si="95"/>
        <v>2008.0931203626517</v>
      </c>
      <c r="V54" s="114">
        <f t="shared" si="95"/>
        <v>2124.849780856779</v>
      </c>
      <c r="W54" s="114">
        <f t="shared" si="95"/>
        <v>2129.7846967241203</v>
      </c>
      <c r="X54" s="114">
        <f t="shared" si="95"/>
        <v>2133.8503444826902</v>
      </c>
      <c r="Y54" s="114">
        <f t="shared" si="95"/>
        <v>2091.3019462859952</v>
      </c>
      <c r="Z54" s="114">
        <f t="shared" si="95"/>
        <v>2073.3622372793029</v>
      </c>
      <c r="AA54" s="114">
        <f t="shared" si="95"/>
        <v>2125.024897480961</v>
      </c>
      <c r="AB54" s="114">
        <f t="shared" si="95"/>
        <v>1999.5267783615059</v>
      </c>
      <c r="AC54" s="114">
        <f t="shared" si="95"/>
        <v>1504.0198833612426</v>
      </c>
      <c r="AD54" s="114">
        <f t="shared" si="95"/>
        <v>824.34282690913631</v>
      </c>
      <c r="AE54" s="114">
        <f t="shared" si="95"/>
        <v>236.31853359916721</v>
      </c>
      <c r="AF54" s="114">
        <f t="shared" ref="AF54" si="98">AF$47*AF45</f>
        <v>0</v>
      </c>
    </row>
    <row r="55" spans="1:32"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</row>
    <row r="56" spans="1:32" s="184" customFormat="1">
      <c r="A56" s="116" t="str" cm="1">
        <f t="array" ref="A56:AF63">'Segmentwise Stock'!A91:AF98</f>
        <v>CNG Normalised Values</v>
      </c>
      <c r="B56" s="116">
        <v>2025</v>
      </c>
      <c r="C56" s="116">
        <v>2026</v>
      </c>
      <c r="D56" s="116">
        <v>2027</v>
      </c>
      <c r="E56" s="116">
        <v>2028</v>
      </c>
      <c r="F56" s="116">
        <v>2029</v>
      </c>
      <c r="G56" s="116">
        <v>2030</v>
      </c>
      <c r="H56" s="116">
        <v>2031</v>
      </c>
      <c r="I56" s="116">
        <v>2032</v>
      </c>
      <c r="J56" s="116">
        <v>2033</v>
      </c>
      <c r="K56" s="116">
        <v>2034</v>
      </c>
      <c r="L56" s="116">
        <v>2035</v>
      </c>
      <c r="M56" s="116">
        <v>2036</v>
      </c>
      <c r="N56" s="116">
        <v>2037</v>
      </c>
      <c r="O56" s="116">
        <v>2038</v>
      </c>
      <c r="P56" s="116">
        <v>2039</v>
      </c>
      <c r="Q56" s="116">
        <v>2040</v>
      </c>
      <c r="R56" s="116">
        <v>2041</v>
      </c>
      <c r="S56" s="116">
        <v>2042</v>
      </c>
      <c r="T56" s="116">
        <v>2043</v>
      </c>
      <c r="U56" s="116">
        <v>2044</v>
      </c>
      <c r="V56" s="116">
        <v>2045</v>
      </c>
      <c r="W56" s="116">
        <v>2046</v>
      </c>
      <c r="X56" s="116">
        <v>2047</v>
      </c>
      <c r="Y56" s="116">
        <v>2048</v>
      </c>
      <c r="Z56" s="116">
        <v>2049</v>
      </c>
      <c r="AA56" s="116">
        <v>2050</v>
      </c>
      <c r="AB56" s="116">
        <v>2051</v>
      </c>
      <c r="AC56" s="116">
        <v>2052</v>
      </c>
      <c r="AD56" s="116">
        <v>2053</v>
      </c>
      <c r="AE56" s="116">
        <v>2054</v>
      </c>
      <c r="AF56" s="116">
        <v>2055</v>
      </c>
    </row>
    <row r="57" spans="1:32" s="186" customFormat="1">
      <c r="A57" s="186" t="str">
        <v>Rigid|12T - 19T</v>
      </c>
      <c r="B57" s="186">
        <v>0.73940194944655546</v>
      </c>
      <c r="C57" s="186">
        <v>0.7142857142857143</v>
      </c>
      <c r="D57" s="186">
        <v>0.7142857142857143</v>
      </c>
      <c r="E57" s="186">
        <v>0.7142857142857143</v>
      </c>
      <c r="F57" s="186">
        <v>0.7142857142857143</v>
      </c>
      <c r="G57" s="186">
        <v>0.7142857142857143</v>
      </c>
      <c r="H57" s="186">
        <v>0.70270270270270274</v>
      </c>
      <c r="I57" s="186">
        <v>0.66666666666666663</v>
      </c>
      <c r="J57" s="186">
        <v>0.67500000000000004</v>
      </c>
      <c r="K57" s="186">
        <v>0.66666666666666663</v>
      </c>
      <c r="L57" s="186">
        <v>0.65909090909090917</v>
      </c>
      <c r="M57" s="186">
        <v>0.64444444444444449</v>
      </c>
      <c r="N57" s="186">
        <v>0.625</v>
      </c>
      <c r="O57" s="186">
        <v>0.61224489795918369</v>
      </c>
      <c r="P57" s="186">
        <v>0.61224489795918369</v>
      </c>
      <c r="Q57" s="186">
        <v>0.6</v>
      </c>
      <c r="R57" s="186">
        <v>0.6</v>
      </c>
      <c r="S57" s="186">
        <v>0.6</v>
      </c>
      <c r="T57" s="186">
        <v>0.6</v>
      </c>
      <c r="U57" s="186">
        <v>0.6</v>
      </c>
      <c r="V57" s="186">
        <v>0.6</v>
      </c>
      <c r="W57" s="186">
        <v>0.6</v>
      </c>
      <c r="X57" s="186">
        <v>0.6</v>
      </c>
      <c r="Y57" s="186">
        <v>0.6</v>
      </c>
      <c r="Z57" s="186">
        <v>0.6</v>
      </c>
      <c r="AA57" s="186">
        <v>0.6</v>
      </c>
      <c r="AB57" s="186">
        <v>0.6</v>
      </c>
      <c r="AC57" s="186">
        <v>0.6</v>
      </c>
      <c r="AD57" s="186">
        <v>0.6</v>
      </c>
      <c r="AE57" s="186">
        <v>0.6</v>
      </c>
      <c r="AF57" s="186">
        <v>0.6</v>
      </c>
    </row>
    <row r="58" spans="1:32" s="186" customFormat="1">
      <c r="A58" s="186" t="str">
        <v>Rigid|19T - 28.5T</v>
      </c>
      <c r="B58" s="186">
        <v>0.26059805055344459</v>
      </c>
      <c r="C58" s="186">
        <v>0.28571428571428575</v>
      </c>
      <c r="D58" s="186">
        <v>0.28571428571428575</v>
      </c>
      <c r="E58" s="186">
        <v>0.28571428571428575</v>
      </c>
      <c r="F58" s="186">
        <v>0.28571428571428575</v>
      </c>
      <c r="G58" s="186">
        <v>0.2857142857142857</v>
      </c>
      <c r="H58" s="186">
        <v>0.29729729729729726</v>
      </c>
      <c r="I58" s="186">
        <v>0.33333333333333331</v>
      </c>
      <c r="J58" s="186">
        <v>0.32500000000000001</v>
      </c>
      <c r="K58" s="186">
        <v>0.33333333333333331</v>
      </c>
      <c r="L58" s="186">
        <v>0.34090909090909094</v>
      </c>
      <c r="M58" s="186">
        <v>0.35555555555555562</v>
      </c>
      <c r="N58" s="186">
        <v>0.375</v>
      </c>
      <c r="O58" s="186">
        <v>0.38775510204081631</v>
      </c>
      <c r="P58" s="186">
        <v>0.38775510204081631</v>
      </c>
      <c r="Q58" s="186">
        <v>0.4</v>
      </c>
      <c r="R58" s="186">
        <v>0.4</v>
      </c>
      <c r="S58" s="186">
        <v>0.4</v>
      </c>
      <c r="T58" s="186">
        <v>0.4</v>
      </c>
      <c r="U58" s="186">
        <v>0.4</v>
      </c>
      <c r="V58" s="186">
        <v>0.39999999999999997</v>
      </c>
      <c r="W58" s="186">
        <v>0.4</v>
      </c>
      <c r="X58" s="186">
        <v>0.39999999999999997</v>
      </c>
      <c r="Y58" s="186">
        <v>0.4</v>
      </c>
      <c r="Z58" s="186">
        <v>0.40000000000000008</v>
      </c>
      <c r="AA58" s="186">
        <v>0.40000000000000008</v>
      </c>
      <c r="AB58" s="186">
        <v>0.40000000000000008</v>
      </c>
      <c r="AC58" s="186">
        <v>0.4</v>
      </c>
      <c r="AD58" s="186">
        <v>0.40000000000000008</v>
      </c>
      <c r="AE58" s="186">
        <v>0.39999999999999997</v>
      </c>
      <c r="AF58" s="186">
        <v>0.40000000000000008</v>
      </c>
    </row>
    <row r="59" spans="1:32" s="186" customFormat="1">
      <c r="A59" s="186" t="str">
        <v>Rigid|28.5T - 40T</v>
      </c>
      <c r="B59" s="186">
        <v>0</v>
      </c>
      <c r="C59" s="186">
        <v>0</v>
      </c>
      <c r="D59" s="186">
        <v>0</v>
      </c>
      <c r="E59" s="186">
        <v>0</v>
      </c>
      <c r="F59" s="186">
        <v>0</v>
      </c>
      <c r="G59" s="186">
        <v>0</v>
      </c>
      <c r="H59" s="186">
        <v>0</v>
      </c>
      <c r="I59" s="186">
        <v>0</v>
      </c>
      <c r="J59" s="186">
        <v>0</v>
      </c>
      <c r="K59" s="186">
        <v>0</v>
      </c>
      <c r="L59" s="186">
        <v>0</v>
      </c>
      <c r="M59" s="186">
        <v>0</v>
      </c>
      <c r="N59" s="186">
        <v>0</v>
      </c>
      <c r="O59" s="186">
        <v>0</v>
      </c>
      <c r="P59" s="186">
        <v>0</v>
      </c>
      <c r="Q59" s="186">
        <v>0</v>
      </c>
      <c r="R59" s="186">
        <v>0</v>
      </c>
      <c r="S59" s="186">
        <v>0</v>
      </c>
      <c r="T59" s="186">
        <v>0</v>
      </c>
      <c r="U59" s="186">
        <v>0</v>
      </c>
      <c r="V59" s="186">
        <v>0</v>
      </c>
      <c r="W59" s="186">
        <v>0</v>
      </c>
      <c r="X59" s="186">
        <v>0</v>
      </c>
      <c r="Y59" s="186">
        <v>0</v>
      </c>
      <c r="Z59" s="186">
        <v>0</v>
      </c>
      <c r="AA59" s="186">
        <v>0</v>
      </c>
      <c r="AB59" s="186">
        <v>0</v>
      </c>
      <c r="AC59" s="186">
        <v>0</v>
      </c>
      <c r="AD59" s="186">
        <v>0</v>
      </c>
      <c r="AE59" s="186">
        <v>0</v>
      </c>
      <c r="AF59" s="186">
        <v>0</v>
      </c>
    </row>
    <row r="60" spans="1:32" s="186" customFormat="1">
      <c r="A60" s="186" t="str">
        <v>Rigid|&gt;40T</v>
      </c>
      <c r="B60" s="186">
        <v>0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86">
        <v>0</v>
      </c>
      <c r="J60" s="186">
        <v>0</v>
      </c>
      <c r="K60" s="186">
        <v>0</v>
      </c>
      <c r="L60" s="186">
        <v>0</v>
      </c>
      <c r="M60" s="186">
        <v>0</v>
      </c>
      <c r="N60" s="186">
        <v>0</v>
      </c>
      <c r="O60" s="186">
        <v>0</v>
      </c>
      <c r="P60" s="186">
        <v>0</v>
      </c>
      <c r="Q60" s="186">
        <v>0</v>
      </c>
      <c r="R60" s="186">
        <v>0</v>
      </c>
      <c r="S60" s="186">
        <v>0</v>
      </c>
      <c r="T60" s="186">
        <v>0</v>
      </c>
      <c r="U60" s="186">
        <v>0</v>
      </c>
      <c r="V60" s="186">
        <v>0</v>
      </c>
      <c r="W60" s="186">
        <v>0</v>
      </c>
      <c r="X60" s="186">
        <v>0</v>
      </c>
      <c r="Y60" s="186">
        <v>0</v>
      </c>
      <c r="Z60" s="186">
        <v>0</v>
      </c>
      <c r="AA60" s="186">
        <v>0</v>
      </c>
      <c r="AB60" s="186">
        <v>0</v>
      </c>
      <c r="AC60" s="186">
        <v>0</v>
      </c>
      <c r="AD60" s="186">
        <v>0</v>
      </c>
      <c r="AE60" s="186">
        <v>0</v>
      </c>
      <c r="AF60" s="186">
        <v>0</v>
      </c>
    </row>
    <row r="61" spans="1:32" s="186" customFormat="1">
      <c r="A61" s="186" t="str">
        <v>TT | 31T - 40T</v>
      </c>
      <c r="B61" s="186">
        <v>0</v>
      </c>
      <c r="C61" s="186">
        <v>0</v>
      </c>
      <c r="D61" s="186">
        <v>0</v>
      </c>
      <c r="E61" s="186">
        <v>0</v>
      </c>
      <c r="F61" s="186">
        <v>0</v>
      </c>
      <c r="G61" s="186">
        <v>0</v>
      </c>
      <c r="H61" s="186">
        <v>0</v>
      </c>
      <c r="I61" s="186">
        <v>0</v>
      </c>
      <c r="J61" s="186">
        <v>0</v>
      </c>
      <c r="K61" s="186">
        <v>0</v>
      </c>
      <c r="L61" s="186">
        <v>0</v>
      </c>
      <c r="M61" s="186">
        <v>0</v>
      </c>
      <c r="N61" s="186">
        <v>0</v>
      </c>
      <c r="O61" s="186">
        <v>0</v>
      </c>
      <c r="P61" s="186">
        <v>0</v>
      </c>
      <c r="Q61" s="186">
        <v>0</v>
      </c>
      <c r="R61" s="186">
        <v>0</v>
      </c>
      <c r="S61" s="186">
        <v>0</v>
      </c>
      <c r="T61" s="186">
        <v>0</v>
      </c>
      <c r="U61" s="186">
        <v>0</v>
      </c>
      <c r="V61" s="186">
        <v>0</v>
      </c>
      <c r="W61" s="186">
        <v>0</v>
      </c>
      <c r="X61" s="186">
        <v>0</v>
      </c>
      <c r="Y61" s="186">
        <v>0</v>
      </c>
      <c r="Z61" s="186">
        <v>0</v>
      </c>
      <c r="AA61" s="186">
        <v>0</v>
      </c>
      <c r="AB61" s="186">
        <v>0</v>
      </c>
      <c r="AC61" s="186">
        <v>0</v>
      </c>
      <c r="AD61" s="186">
        <v>0</v>
      </c>
      <c r="AE61" s="186">
        <v>0</v>
      </c>
      <c r="AF61" s="186">
        <v>0</v>
      </c>
    </row>
    <row r="62" spans="1:32" s="186" customFormat="1">
      <c r="A62" s="186" t="str">
        <v>TT | 40 T - 46T</v>
      </c>
      <c r="B62" s="186">
        <v>0</v>
      </c>
      <c r="C62" s="186">
        <v>0</v>
      </c>
      <c r="D62" s="186">
        <v>0</v>
      </c>
      <c r="E62" s="186">
        <v>0</v>
      </c>
      <c r="F62" s="186">
        <v>0</v>
      </c>
      <c r="G62" s="186">
        <v>0</v>
      </c>
      <c r="H62" s="186">
        <v>0</v>
      </c>
      <c r="I62" s="186">
        <v>0</v>
      </c>
      <c r="J62" s="186">
        <v>0</v>
      </c>
      <c r="K62" s="186">
        <v>0</v>
      </c>
      <c r="L62" s="186">
        <v>0</v>
      </c>
      <c r="M62" s="186">
        <v>0</v>
      </c>
      <c r="N62" s="186">
        <v>0</v>
      </c>
      <c r="O62" s="186">
        <v>0</v>
      </c>
      <c r="P62" s="186">
        <v>0</v>
      </c>
      <c r="Q62" s="186">
        <v>0</v>
      </c>
      <c r="R62" s="186">
        <v>0</v>
      </c>
      <c r="S62" s="186">
        <v>0</v>
      </c>
      <c r="T62" s="186">
        <v>0</v>
      </c>
      <c r="U62" s="186">
        <v>0</v>
      </c>
      <c r="V62" s="186">
        <v>0</v>
      </c>
      <c r="W62" s="186">
        <v>0</v>
      </c>
      <c r="X62" s="186">
        <v>0</v>
      </c>
      <c r="Y62" s="186">
        <v>0</v>
      </c>
      <c r="Z62" s="186">
        <v>0</v>
      </c>
      <c r="AA62" s="186">
        <v>0</v>
      </c>
      <c r="AB62" s="186">
        <v>0</v>
      </c>
      <c r="AC62" s="186">
        <v>0</v>
      </c>
      <c r="AD62" s="186">
        <v>0</v>
      </c>
      <c r="AE62" s="186">
        <v>0</v>
      </c>
      <c r="AF62" s="186">
        <v>0</v>
      </c>
    </row>
    <row r="63" spans="1:32" s="186" customFormat="1">
      <c r="A63" s="186" t="str">
        <v xml:space="preserve">TT | 46T - 55T </v>
      </c>
      <c r="B63" s="186">
        <v>0</v>
      </c>
      <c r="C63" s="186">
        <v>0</v>
      </c>
      <c r="D63" s="186">
        <v>0</v>
      </c>
      <c r="E63" s="186">
        <v>0</v>
      </c>
      <c r="F63" s="186">
        <v>0</v>
      </c>
      <c r="G63" s="186">
        <v>0</v>
      </c>
      <c r="H63" s="186">
        <v>0</v>
      </c>
      <c r="I63" s="186">
        <v>0</v>
      </c>
      <c r="J63" s="186">
        <v>0</v>
      </c>
      <c r="K63" s="186">
        <v>0</v>
      </c>
      <c r="L63" s="186">
        <v>0</v>
      </c>
      <c r="M63" s="186">
        <v>0</v>
      </c>
      <c r="N63" s="186">
        <v>0</v>
      </c>
      <c r="O63" s="186">
        <v>0</v>
      </c>
      <c r="P63" s="186">
        <v>0</v>
      </c>
      <c r="Q63" s="186">
        <v>0</v>
      </c>
      <c r="R63" s="186">
        <v>0</v>
      </c>
      <c r="S63" s="186">
        <v>0</v>
      </c>
      <c r="T63" s="186">
        <v>0</v>
      </c>
      <c r="U63" s="186">
        <v>0</v>
      </c>
      <c r="V63" s="186">
        <v>0</v>
      </c>
      <c r="W63" s="186">
        <v>0</v>
      </c>
      <c r="X63" s="186">
        <v>0</v>
      </c>
      <c r="Y63" s="186">
        <v>0</v>
      </c>
      <c r="Z63" s="186">
        <v>0</v>
      </c>
      <c r="AA63" s="186">
        <v>0</v>
      </c>
      <c r="AB63" s="186">
        <v>0</v>
      </c>
      <c r="AC63" s="186">
        <v>0</v>
      </c>
      <c r="AD63" s="186">
        <v>0</v>
      </c>
      <c r="AE63" s="186">
        <v>0</v>
      </c>
      <c r="AF63" s="186">
        <v>0</v>
      </c>
    </row>
    <row r="64" spans="1:32" s="183" customFormat="1"/>
    <row r="65" spans="1:32">
      <c r="A65" s="116" t="str" cm="1">
        <f t="array" ref="A65:AF65">TRANSPOSE(Table1[[#All],[CNG Units]])</f>
        <v>CNG Units</v>
      </c>
      <c r="B65" s="121">
        <v>11875</v>
      </c>
      <c r="C65" s="121">
        <v>13373.994638025666</v>
      </c>
      <c r="D65" s="121">
        <v>13617.238294212208</v>
      </c>
      <c r="E65" s="121">
        <v>13838.845902642373</v>
      </c>
      <c r="F65" s="121">
        <v>15135.2996480521</v>
      </c>
      <c r="G65" s="121">
        <v>15556.839574443309</v>
      </c>
      <c r="H65" s="121">
        <v>15891.460949332401</v>
      </c>
      <c r="I65" s="121">
        <v>17551.564186772997</v>
      </c>
      <c r="J65" s="121">
        <v>18760.164376046756</v>
      </c>
      <c r="K65" s="121">
        <v>19506.793371984204</v>
      </c>
      <c r="L65" s="121">
        <v>20696.979035130444</v>
      </c>
      <c r="M65" s="121">
        <v>21782.625641962928</v>
      </c>
      <c r="N65" s="121">
        <v>22837.081882772323</v>
      </c>
      <c r="O65" s="121">
        <v>23992.565735955901</v>
      </c>
      <c r="P65" s="121">
        <v>25387.010398007762</v>
      </c>
      <c r="Q65" s="121">
        <v>26883.748625806136</v>
      </c>
      <c r="R65" s="121">
        <v>28559.143776407946</v>
      </c>
      <c r="S65" s="121">
        <v>30244.597157381802</v>
      </c>
      <c r="T65" s="121">
        <v>31813.957625514628</v>
      </c>
      <c r="U65" s="121">
        <v>33284.652261065159</v>
      </c>
      <c r="V65" s="121">
        <v>34697.547009755406</v>
      </c>
      <c r="W65" s="121">
        <v>33866.494024629414</v>
      </c>
      <c r="X65" s="121">
        <v>32950.579735954721</v>
      </c>
      <c r="Y65" s="121">
        <v>31259.153452335016</v>
      </c>
      <c r="Z65" s="121">
        <v>29884.052259427608</v>
      </c>
      <c r="AA65" s="121">
        <v>29400.344463971884</v>
      </c>
      <c r="AB65" s="121">
        <v>27664.041074742723</v>
      </c>
      <c r="AC65" s="121">
        <v>20808.557445092014</v>
      </c>
      <c r="AD65" s="121">
        <v>11405.02546406052</v>
      </c>
      <c r="AE65" s="121">
        <v>3269.5364177955371</v>
      </c>
      <c r="AF65" s="121">
        <v>0</v>
      </c>
    </row>
    <row r="66" spans="1:32">
      <c r="A66" t="s">
        <v>44</v>
      </c>
      <c r="B66" s="114">
        <f>B$65*B57</f>
        <v>8780.398149677847</v>
      </c>
      <c r="C66" s="114">
        <f t="shared" ref="C66:AF66" si="99">C$65*C57</f>
        <v>9552.8533128754752</v>
      </c>
      <c r="D66" s="114">
        <f t="shared" si="99"/>
        <v>9726.5987815801491</v>
      </c>
      <c r="E66" s="114">
        <f t="shared" si="99"/>
        <v>9884.8899304588376</v>
      </c>
      <c r="F66" s="114">
        <f t="shared" si="99"/>
        <v>10810.928320037214</v>
      </c>
      <c r="G66" s="114">
        <f t="shared" si="99"/>
        <v>11112.028267459507</v>
      </c>
      <c r="H66" s="114">
        <f t="shared" si="99"/>
        <v>11166.972558990336</v>
      </c>
      <c r="I66" s="114">
        <f t="shared" si="99"/>
        <v>11701.042791181997</v>
      </c>
      <c r="J66" s="114">
        <f t="shared" si="99"/>
        <v>12663.110953831561</v>
      </c>
      <c r="K66" s="114">
        <f t="shared" si="99"/>
        <v>13004.528914656135</v>
      </c>
      <c r="L66" s="114">
        <f t="shared" si="99"/>
        <v>13641.190727699612</v>
      </c>
      <c r="M66" s="114">
        <f t="shared" si="99"/>
        <v>14037.69208037611</v>
      </c>
      <c r="N66" s="114">
        <f t="shared" si="99"/>
        <v>14273.176176732703</v>
      </c>
      <c r="O66" s="114">
        <f t="shared" si="99"/>
        <v>14689.325960789327</v>
      </c>
      <c r="P66" s="114">
        <f t="shared" si="99"/>
        <v>15543.067590616998</v>
      </c>
      <c r="Q66" s="114">
        <f t="shared" si="99"/>
        <v>16130.249175483681</v>
      </c>
      <c r="R66" s="114">
        <f t="shared" si="99"/>
        <v>17135.486265844767</v>
      </c>
      <c r="S66" s="114">
        <f t="shared" si="99"/>
        <v>18146.758294429081</v>
      </c>
      <c r="T66" s="114">
        <f t="shared" si="99"/>
        <v>19088.374575308775</v>
      </c>
      <c r="U66" s="114">
        <f t="shared" si="99"/>
        <v>19970.791356639096</v>
      </c>
      <c r="V66" s="114">
        <f t="shared" si="99"/>
        <v>20818.528205853243</v>
      </c>
      <c r="W66" s="114">
        <f t="shared" si="99"/>
        <v>20319.896414777646</v>
      </c>
      <c r="X66" s="114">
        <f t="shared" si="99"/>
        <v>19770.347841572831</v>
      </c>
      <c r="Y66" s="114">
        <f t="shared" si="99"/>
        <v>18755.492071401008</v>
      </c>
      <c r="Z66" s="114">
        <f t="shared" si="99"/>
        <v>17930.431355656565</v>
      </c>
      <c r="AA66" s="114">
        <f t="shared" si="99"/>
        <v>17640.206678383129</v>
      </c>
      <c r="AB66" s="114">
        <f t="shared" si="99"/>
        <v>16598.424644845632</v>
      </c>
      <c r="AC66" s="114">
        <f t="shared" si="99"/>
        <v>12485.134467055208</v>
      </c>
      <c r="AD66" s="114">
        <f t="shared" si="99"/>
        <v>6843.0152784363117</v>
      </c>
      <c r="AE66" s="114">
        <f t="shared" si="99"/>
        <v>1961.7218506773222</v>
      </c>
      <c r="AF66" s="114">
        <f t="shared" si="99"/>
        <v>0</v>
      </c>
    </row>
    <row r="67" spans="1:32">
      <c r="A67" t="s">
        <v>45</v>
      </c>
      <c r="B67" s="114">
        <f>B$65*B58</f>
        <v>3094.6018503221544</v>
      </c>
      <c r="C67" s="114">
        <f t="shared" ref="C67:AF72" si="100">C$65*C58</f>
        <v>3821.1413251501908</v>
      </c>
      <c r="D67" s="114">
        <f t="shared" si="100"/>
        <v>3890.6395126320599</v>
      </c>
      <c r="E67" s="114">
        <f t="shared" si="100"/>
        <v>3953.9559721835358</v>
      </c>
      <c r="F67" s="114">
        <f t="shared" si="100"/>
        <v>4324.3713280148859</v>
      </c>
      <c r="G67" s="114">
        <f t="shared" si="100"/>
        <v>4444.8113069838028</v>
      </c>
      <c r="H67" s="114">
        <f t="shared" si="100"/>
        <v>4724.4883903420641</v>
      </c>
      <c r="I67" s="114">
        <f t="shared" si="100"/>
        <v>5850.5213955909985</v>
      </c>
      <c r="J67" s="114">
        <f t="shared" si="100"/>
        <v>6097.0534222151955</v>
      </c>
      <c r="K67" s="114">
        <f t="shared" si="100"/>
        <v>6502.2644573280677</v>
      </c>
      <c r="L67" s="114">
        <f t="shared" si="100"/>
        <v>7055.7883074308338</v>
      </c>
      <c r="M67" s="114">
        <f t="shared" si="100"/>
        <v>7744.9335615868204</v>
      </c>
      <c r="N67" s="114">
        <f t="shared" si="100"/>
        <v>8563.9057060396208</v>
      </c>
      <c r="O67" s="114">
        <f t="shared" si="100"/>
        <v>9303.239775166574</v>
      </c>
      <c r="P67" s="114">
        <f t="shared" si="100"/>
        <v>9843.9428073907638</v>
      </c>
      <c r="Q67" s="114">
        <f t="shared" si="100"/>
        <v>10753.499450322455</v>
      </c>
      <c r="R67" s="114">
        <f t="shared" si="100"/>
        <v>11423.657510563178</v>
      </c>
      <c r="S67" s="114">
        <f t="shared" si="100"/>
        <v>12097.838862952722</v>
      </c>
      <c r="T67" s="114">
        <f t="shared" si="100"/>
        <v>12725.583050205852</v>
      </c>
      <c r="U67" s="114">
        <f t="shared" si="100"/>
        <v>13313.860904426065</v>
      </c>
      <c r="V67" s="114">
        <f t="shared" si="100"/>
        <v>13879.018803902161</v>
      </c>
      <c r="W67" s="114">
        <f t="shared" si="100"/>
        <v>13546.597609851766</v>
      </c>
      <c r="X67" s="114">
        <f t="shared" si="100"/>
        <v>13180.231894381888</v>
      </c>
      <c r="Y67" s="114">
        <f t="shared" si="100"/>
        <v>12503.661380934007</v>
      </c>
      <c r="Z67" s="114">
        <f t="shared" si="100"/>
        <v>11953.620903771045</v>
      </c>
      <c r="AA67" s="114">
        <f t="shared" si="100"/>
        <v>11760.137785588755</v>
      </c>
      <c r="AB67" s="114">
        <f t="shared" si="100"/>
        <v>11065.616429897091</v>
      </c>
      <c r="AC67" s="114">
        <f t="shared" si="100"/>
        <v>8323.4229780368059</v>
      </c>
      <c r="AD67" s="114">
        <f t="shared" si="100"/>
        <v>4562.010185624209</v>
      </c>
      <c r="AE67" s="114">
        <f t="shared" si="100"/>
        <v>1307.8145671182147</v>
      </c>
      <c r="AF67" s="114">
        <f t="shared" si="100"/>
        <v>0</v>
      </c>
    </row>
    <row r="68" spans="1:32">
      <c r="A68" t="s">
        <v>46</v>
      </c>
      <c r="B68" s="114">
        <f t="shared" ref="B68:Q72" si="101">B$65*B59</f>
        <v>0</v>
      </c>
      <c r="C68" s="114">
        <f t="shared" si="101"/>
        <v>0</v>
      </c>
      <c r="D68" s="114">
        <f t="shared" si="101"/>
        <v>0</v>
      </c>
      <c r="E68" s="114">
        <f t="shared" si="101"/>
        <v>0</v>
      </c>
      <c r="F68" s="114">
        <f t="shared" si="101"/>
        <v>0</v>
      </c>
      <c r="G68" s="114">
        <f t="shared" si="101"/>
        <v>0</v>
      </c>
      <c r="H68" s="114">
        <f t="shared" si="101"/>
        <v>0</v>
      </c>
      <c r="I68" s="114">
        <f t="shared" si="101"/>
        <v>0</v>
      </c>
      <c r="J68" s="114">
        <f t="shared" si="101"/>
        <v>0</v>
      </c>
      <c r="K68" s="114">
        <f t="shared" si="101"/>
        <v>0</v>
      </c>
      <c r="L68" s="114">
        <f t="shared" si="101"/>
        <v>0</v>
      </c>
      <c r="M68" s="114">
        <f t="shared" si="101"/>
        <v>0</v>
      </c>
      <c r="N68" s="114">
        <f t="shared" si="101"/>
        <v>0</v>
      </c>
      <c r="O68" s="114">
        <f t="shared" si="101"/>
        <v>0</v>
      </c>
      <c r="P68" s="114">
        <f t="shared" si="101"/>
        <v>0</v>
      </c>
      <c r="Q68" s="114">
        <f t="shared" si="101"/>
        <v>0</v>
      </c>
      <c r="R68" s="114">
        <f t="shared" si="100"/>
        <v>0</v>
      </c>
      <c r="S68" s="114">
        <f t="shared" si="100"/>
        <v>0</v>
      </c>
      <c r="T68" s="114">
        <f t="shared" si="100"/>
        <v>0</v>
      </c>
      <c r="U68" s="114">
        <f t="shared" si="100"/>
        <v>0</v>
      </c>
      <c r="V68" s="114">
        <f t="shared" si="100"/>
        <v>0</v>
      </c>
      <c r="W68" s="114">
        <f t="shared" si="100"/>
        <v>0</v>
      </c>
      <c r="X68" s="114">
        <f t="shared" si="100"/>
        <v>0</v>
      </c>
      <c r="Y68" s="114">
        <f t="shared" si="100"/>
        <v>0</v>
      </c>
      <c r="Z68" s="114">
        <f t="shared" si="100"/>
        <v>0</v>
      </c>
      <c r="AA68" s="114">
        <f t="shared" si="100"/>
        <v>0</v>
      </c>
      <c r="AB68" s="114">
        <f t="shared" si="100"/>
        <v>0</v>
      </c>
      <c r="AC68" s="114">
        <f t="shared" si="100"/>
        <v>0</v>
      </c>
      <c r="AD68" s="114">
        <f t="shared" si="100"/>
        <v>0</v>
      </c>
      <c r="AE68" s="114">
        <f t="shared" si="100"/>
        <v>0</v>
      </c>
      <c r="AF68" s="114">
        <f t="shared" si="100"/>
        <v>0</v>
      </c>
    </row>
    <row r="69" spans="1:32">
      <c r="A69" t="s">
        <v>47</v>
      </c>
      <c r="B69" s="114">
        <f t="shared" si="101"/>
        <v>0</v>
      </c>
      <c r="C69" s="114">
        <f t="shared" si="100"/>
        <v>0</v>
      </c>
      <c r="D69" s="114">
        <f t="shared" si="100"/>
        <v>0</v>
      </c>
      <c r="E69" s="114">
        <f t="shared" si="100"/>
        <v>0</v>
      </c>
      <c r="F69" s="114">
        <f t="shared" si="100"/>
        <v>0</v>
      </c>
      <c r="G69" s="114">
        <f t="shared" si="100"/>
        <v>0</v>
      </c>
      <c r="H69" s="114">
        <f t="shared" si="100"/>
        <v>0</v>
      </c>
      <c r="I69" s="114">
        <f t="shared" si="100"/>
        <v>0</v>
      </c>
      <c r="J69" s="114">
        <f t="shared" si="100"/>
        <v>0</v>
      </c>
      <c r="K69" s="114">
        <f t="shared" si="100"/>
        <v>0</v>
      </c>
      <c r="L69" s="114">
        <f t="shared" si="100"/>
        <v>0</v>
      </c>
      <c r="M69" s="114">
        <f t="shared" si="100"/>
        <v>0</v>
      </c>
      <c r="N69" s="114">
        <f t="shared" si="100"/>
        <v>0</v>
      </c>
      <c r="O69" s="114">
        <f t="shared" si="100"/>
        <v>0</v>
      </c>
      <c r="P69" s="114">
        <f t="shared" si="100"/>
        <v>0</v>
      </c>
      <c r="Q69" s="114">
        <f t="shared" si="100"/>
        <v>0</v>
      </c>
      <c r="R69" s="114">
        <f t="shared" si="100"/>
        <v>0</v>
      </c>
      <c r="S69" s="114">
        <f t="shared" si="100"/>
        <v>0</v>
      </c>
      <c r="T69" s="114">
        <f t="shared" si="100"/>
        <v>0</v>
      </c>
      <c r="U69" s="114">
        <f t="shared" si="100"/>
        <v>0</v>
      </c>
      <c r="V69" s="114">
        <f t="shared" si="100"/>
        <v>0</v>
      </c>
      <c r="W69" s="114">
        <f t="shared" si="100"/>
        <v>0</v>
      </c>
      <c r="X69" s="114">
        <f t="shared" si="100"/>
        <v>0</v>
      </c>
      <c r="Y69" s="114">
        <f t="shared" si="100"/>
        <v>0</v>
      </c>
      <c r="Z69" s="114">
        <f t="shared" si="100"/>
        <v>0</v>
      </c>
      <c r="AA69" s="114">
        <f t="shared" si="100"/>
        <v>0</v>
      </c>
      <c r="AB69" s="114">
        <f t="shared" si="100"/>
        <v>0</v>
      </c>
      <c r="AC69" s="114">
        <f t="shared" si="100"/>
        <v>0</v>
      </c>
      <c r="AD69" s="114">
        <f t="shared" si="100"/>
        <v>0</v>
      </c>
      <c r="AE69" s="114">
        <f t="shared" si="100"/>
        <v>0</v>
      </c>
      <c r="AF69" s="114">
        <f t="shared" si="100"/>
        <v>0</v>
      </c>
    </row>
    <row r="70" spans="1:32">
      <c r="A70" t="s">
        <v>48</v>
      </c>
      <c r="B70" s="114">
        <f t="shared" si="101"/>
        <v>0</v>
      </c>
      <c r="C70" s="114">
        <f t="shared" si="100"/>
        <v>0</v>
      </c>
      <c r="D70" s="114">
        <f t="shared" si="100"/>
        <v>0</v>
      </c>
      <c r="E70" s="114">
        <f t="shared" si="100"/>
        <v>0</v>
      </c>
      <c r="F70" s="114">
        <f t="shared" si="100"/>
        <v>0</v>
      </c>
      <c r="G70" s="114">
        <f t="shared" si="100"/>
        <v>0</v>
      </c>
      <c r="H70" s="114">
        <f t="shared" si="100"/>
        <v>0</v>
      </c>
      <c r="I70" s="114">
        <f t="shared" si="100"/>
        <v>0</v>
      </c>
      <c r="J70" s="114">
        <f t="shared" si="100"/>
        <v>0</v>
      </c>
      <c r="K70" s="114">
        <f t="shared" si="100"/>
        <v>0</v>
      </c>
      <c r="L70" s="114">
        <f t="shared" si="100"/>
        <v>0</v>
      </c>
      <c r="M70" s="114">
        <f t="shared" si="100"/>
        <v>0</v>
      </c>
      <c r="N70" s="114">
        <f t="shared" si="100"/>
        <v>0</v>
      </c>
      <c r="O70" s="114">
        <f t="shared" si="100"/>
        <v>0</v>
      </c>
      <c r="P70" s="114">
        <f t="shared" si="100"/>
        <v>0</v>
      </c>
      <c r="Q70" s="114">
        <f t="shared" si="100"/>
        <v>0</v>
      </c>
      <c r="R70" s="114">
        <f t="shared" si="100"/>
        <v>0</v>
      </c>
      <c r="S70" s="114">
        <f t="shared" si="100"/>
        <v>0</v>
      </c>
      <c r="T70" s="114">
        <f t="shared" si="100"/>
        <v>0</v>
      </c>
      <c r="U70" s="114">
        <f t="shared" si="100"/>
        <v>0</v>
      </c>
      <c r="V70" s="114">
        <f t="shared" si="100"/>
        <v>0</v>
      </c>
      <c r="W70" s="114">
        <f t="shared" si="100"/>
        <v>0</v>
      </c>
      <c r="X70" s="114">
        <f t="shared" si="100"/>
        <v>0</v>
      </c>
      <c r="Y70" s="114">
        <f t="shared" si="100"/>
        <v>0</v>
      </c>
      <c r="Z70" s="114">
        <f t="shared" si="100"/>
        <v>0</v>
      </c>
      <c r="AA70" s="114">
        <f t="shared" si="100"/>
        <v>0</v>
      </c>
      <c r="AB70" s="114">
        <f t="shared" si="100"/>
        <v>0</v>
      </c>
      <c r="AC70" s="114">
        <f t="shared" si="100"/>
        <v>0</v>
      </c>
      <c r="AD70" s="114">
        <f t="shared" si="100"/>
        <v>0</v>
      </c>
      <c r="AE70" s="114">
        <f t="shared" si="100"/>
        <v>0</v>
      </c>
      <c r="AF70" s="114">
        <f t="shared" si="100"/>
        <v>0</v>
      </c>
    </row>
    <row r="71" spans="1:32">
      <c r="A71" t="s">
        <v>49</v>
      </c>
      <c r="B71" s="114">
        <f t="shared" si="101"/>
        <v>0</v>
      </c>
      <c r="C71" s="114">
        <f t="shared" si="100"/>
        <v>0</v>
      </c>
      <c r="D71" s="114">
        <f t="shared" si="100"/>
        <v>0</v>
      </c>
      <c r="E71" s="114">
        <f t="shared" si="100"/>
        <v>0</v>
      </c>
      <c r="F71" s="114">
        <f t="shared" si="100"/>
        <v>0</v>
      </c>
      <c r="G71" s="114">
        <f t="shared" si="100"/>
        <v>0</v>
      </c>
      <c r="H71" s="114">
        <f t="shared" si="100"/>
        <v>0</v>
      </c>
      <c r="I71" s="114">
        <f t="shared" si="100"/>
        <v>0</v>
      </c>
      <c r="J71" s="114">
        <f t="shared" si="100"/>
        <v>0</v>
      </c>
      <c r="K71" s="114">
        <f t="shared" si="100"/>
        <v>0</v>
      </c>
      <c r="L71" s="114">
        <f t="shared" si="100"/>
        <v>0</v>
      </c>
      <c r="M71" s="114">
        <f t="shared" si="100"/>
        <v>0</v>
      </c>
      <c r="N71" s="114">
        <f t="shared" si="100"/>
        <v>0</v>
      </c>
      <c r="O71" s="114">
        <f t="shared" si="100"/>
        <v>0</v>
      </c>
      <c r="P71" s="114">
        <f t="shared" si="100"/>
        <v>0</v>
      </c>
      <c r="Q71" s="114">
        <f t="shared" si="100"/>
        <v>0</v>
      </c>
      <c r="R71" s="114">
        <f t="shared" si="100"/>
        <v>0</v>
      </c>
      <c r="S71" s="114">
        <f t="shared" si="100"/>
        <v>0</v>
      </c>
      <c r="T71" s="114">
        <f t="shared" si="100"/>
        <v>0</v>
      </c>
      <c r="U71" s="114">
        <f t="shared" si="100"/>
        <v>0</v>
      </c>
      <c r="V71" s="114">
        <f t="shared" si="100"/>
        <v>0</v>
      </c>
      <c r="W71" s="114">
        <f t="shared" si="100"/>
        <v>0</v>
      </c>
      <c r="X71" s="114">
        <f t="shared" si="100"/>
        <v>0</v>
      </c>
      <c r="Y71" s="114">
        <f t="shared" si="100"/>
        <v>0</v>
      </c>
      <c r="Z71" s="114">
        <f t="shared" si="100"/>
        <v>0</v>
      </c>
      <c r="AA71" s="114">
        <f t="shared" si="100"/>
        <v>0</v>
      </c>
      <c r="AB71" s="114">
        <f t="shared" si="100"/>
        <v>0</v>
      </c>
      <c r="AC71" s="114">
        <f t="shared" si="100"/>
        <v>0</v>
      </c>
      <c r="AD71" s="114">
        <f t="shared" si="100"/>
        <v>0</v>
      </c>
      <c r="AE71" s="114">
        <f t="shared" si="100"/>
        <v>0</v>
      </c>
      <c r="AF71" s="114">
        <f t="shared" si="100"/>
        <v>0</v>
      </c>
    </row>
    <row r="72" spans="1:32">
      <c r="A72" t="s">
        <v>50</v>
      </c>
      <c r="B72" s="114">
        <f t="shared" si="101"/>
        <v>0</v>
      </c>
      <c r="C72" s="114">
        <f t="shared" si="100"/>
        <v>0</v>
      </c>
      <c r="D72" s="114">
        <f t="shared" si="100"/>
        <v>0</v>
      </c>
      <c r="E72" s="114">
        <f t="shared" si="100"/>
        <v>0</v>
      </c>
      <c r="F72" s="114">
        <f t="shared" si="100"/>
        <v>0</v>
      </c>
      <c r="G72" s="114">
        <f t="shared" si="100"/>
        <v>0</v>
      </c>
      <c r="H72" s="114">
        <f t="shared" si="100"/>
        <v>0</v>
      </c>
      <c r="I72" s="114">
        <f t="shared" si="100"/>
        <v>0</v>
      </c>
      <c r="J72" s="114">
        <f t="shared" si="100"/>
        <v>0</v>
      </c>
      <c r="K72" s="114">
        <f t="shared" si="100"/>
        <v>0</v>
      </c>
      <c r="L72" s="114">
        <f t="shared" si="100"/>
        <v>0</v>
      </c>
      <c r="M72" s="114">
        <f t="shared" si="100"/>
        <v>0</v>
      </c>
      <c r="N72" s="114">
        <f t="shared" si="100"/>
        <v>0</v>
      </c>
      <c r="O72" s="114">
        <f t="shared" si="100"/>
        <v>0</v>
      </c>
      <c r="P72" s="114">
        <f t="shared" si="100"/>
        <v>0</v>
      </c>
      <c r="Q72" s="114">
        <f t="shared" si="100"/>
        <v>0</v>
      </c>
      <c r="R72" s="114">
        <f t="shared" si="100"/>
        <v>0</v>
      </c>
      <c r="S72" s="114">
        <f t="shared" si="100"/>
        <v>0</v>
      </c>
      <c r="T72" s="114">
        <f t="shared" si="100"/>
        <v>0</v>
      </c>
      <c r="U72" s="114">
        <f t="shared" si="100"/>
        <v>0</v>
      </c>
      <c r="V72" s="114">
        <f t="shared" si="100"/>
        <v>0</v>
      </c>
      <c r="W72" s="114">
        <f t="shared" si="100"/>
        <v>0</v>
      </c>
      <c r="X72" s="114">
        <f t="shared" si="100"/>
        <v>0</v>
      </c>
      <c r="Y72" s="114">
        <f t="shared" si="100"/>
        <v>0</v>
      </c>
      <c r="Z72" s="114">
        <f t="shared" si="100"/>
        <v>0</v>
      </c>
      <c r="AA72" s="114">
        <f t="shared" si="100"/>
        <v>0</v>
      </c>
      <c r="AB72" s="114">
        <f t="shared" si="100"/>
        <v>0</v>
      </c>
      <c r="AC72" s="114">
        <f t="shared" si="100"/>
        <v>0</v>
      </c>
      <c r="AD72" s="114">
        <f t="shared" si="100"/>
        <v>0</v>
      </c>
      <c r="AE72" s="114">
        <f t="shared" si="100"/>
        <v>0</v>
      </c>
      <c r="AF72" s="114">
        <f t="shared" si="100"/>
        <v>0</v>
      </c>
    </row>
    <row r="74" spans="1:32">
      <c r="A74" s="116" t="str" cm="1">
        <f t="array" aca="1" ref="A74:AF74" ca="1">TRANSPOSE(Table1[[#All],[Diesel]])</f>
        <v>Diesel</v>
      </c>
      <c r="B74" s="121">
        <f ca="1"/>
        <v>254978</v>
      </c>
      <c r="C74" s="121">
        <f ca="1"/>
        <v>286923.37491417094</v>
      </c>
      <c r="D74" s="121">
        <f ca="1"/>
        <v>291640.49304184003</v>
      </c>
      <c r="E74" s="121">
        <f ca="1"/>
        <v>295403.7373023011</v>
      </c>
      <c r="F74" s="121">
        <f ca="1"/>
        <v>321267.14949389733</v>
      </c>
      <c r="G74" s="121">
        <f ca="1"/>
        <v>327228.8298569399</v>
      </c>
      <c r="H74" s="121">
        <f ca="1"/>
        <v>329773.4206455758</v>
      </c>
      <c r="I74" s="121">
        <f ca="1"/>
        <v>352051.69730960153</v>
      </c>
      <c r="J74" s="121">
        <f ca="1"/>
        <v>364026.46173636639</v>
      </c>
      <c r="K74" s="121">
        <f ca="1"/>
        <v>358317.48498955189</v>
      </c>
      <c r="L74" s="121">
        <f ca="1"/>
        <v>351873.36167924327</v>
      </c>
      <c r="M74" s="121">
        <f ca="1"/>
        <v>334780.22756338998</v>
      </c>
      <c r="N74" s="121">
        <f ca="1"/>
        <v>309577.30230970401</v>
      </c>
      <c r="O74" s="121">
        <f ca="1"/>
        <v>279636.07195282949</v>
      </c>
      <c r="P74" s="121">
        <f ca="1"/>
        <v>247895.70673552196</v>
      </c>
      <c r="Q74" s="121">
        <f ca="1"/>
        <v>214530.13224374619</v>
      </c>
      <c r="R74" s="121">
        <f ca="1"/>
        <v>182409.57690597442</v>
      </c>
      <c r="S74" s="121">
        <f ca="1"/>
        <v>152976.15997313161</v>
      </c>
      <c r="T74" s="121">
        <f ca="1"/>
        <v>128751.06957330508</v>
      </c>
      <c r="U74" s="121">
        <f ca="1"/>
        <v>112865.0066417983</v>
      </c>
      <c r="V74" s="121">
        <f ca="1"/>
        <v>107929.76918376249</v>
      </c>
      <c r="W74" s="121">
        <f ca="1"/>
        <v>100750.91226072586</v>
      </c>
      <c r="X74" s="121">
        <f ca="1"/>
        <v>92875.77261704125</v>
      </c>
      <c r="Y74" s="121">
        <f ca="1"/>
        <v>82474.463510243804</v>
      </c>
      <c r="Z74" s="121">
        <f ca="1"/>
        <v>72614.954733080696</v>
      </c>
      <c r="AA74" s="121">
        <f ca="1"/>
        <v>64301.572122595971</v>
      </c>
      <c r="AB74" s="121">
        <f ca="1"/>
        <v>58764.65669671644</v>
      </c>
      <c r="AC74" s="121">
        <f ca="1"/>
        <v>45171.642727470258</v>
      </c>
      <c r="AD74" s="121">
        <f ca="1"/>
        <v>34614.271824249881</v>
      </c>
      <c r="AE74" s="121">
        <f ca="1"/>
        <v>20901.971268808818</v>
      </c>
      <c r="AF74" s="121">
        <f ca="1"/>
        <v>0</v>
      </c>
    </row>
    <row r="75" spans="1:32">
      <c r="A75" t="s">
        <v>44</v>
      </c>
      <c r="B75" s="114">
        <f t="shared" ref="B75:B81" ca="1" si="102">$B$74*B2</f>
        <v>64031.829649385967</v>
      </c>
      <c r="C75" s="114">
        <f t="shared" ref="C75:C81" ca="1" si="103">$C$74*C2</f>
        <v>71730.843728542735</v>
      </c>
      <c r="D75" s="114">
        <f t="shared" ref="D75:D81" ca="1" si="104">$D$74*D2</f>
        <v>72910.123260460008</v>
      </c>
      <c r="E75" s="114">
        <f t="shared" ref="E75:E81" ca="1" si="105">$E$74*E2</f>
        <v>73850.934325575276</v>
      </c>
      <c r="F75" s="114">
        <f t="shared" ref="F75:F81" ca="1" si="106">$F$74*F2</f>
        <v>80316.787373474348</v>
      </c>
      <c r="G75" s="114">
        <f t="shared" ref="G75:G81" ca="1" si="107">$G$74*G2</f>
        <v>81807.207464234976</v>
      </c>
      <c r="H75" s="114">
        <f t="shared" ref="H75:H81" ca="1" si="108">$H$74*H2</f>
        <v>85741.089367849709</v>
      </c>
      <c r="I75" s="114">
        <f t="shared" ref="I75:I81" ca="1" si="109">$I$74*I2</f>
        <v>91533.441300496401</v>
      </c>
      <c r="J75" s="114">
        <f t="shared" ref="J75:J81" ca="1" si="110">$J$74*J2</f>
        <v>98287.144668818932</v>
      </c>
      <c r="K75" s="114">
        <f t="shared" ref="K75:K81" ca="1" si="111">$K$74*K2</f>
        <v>100328.89579707455</v>
      </c>
      <c r="L75" s="114">
        <f t="shared" ref="L75:L81" ca="1" si="112">$L$74*L2</f>
        <v>102043.27488698054</v>
      </c>
      <c r="M75" s="114">
        <f t="shared" ref="M75:M81" ca="1" si="113">$M$74*M2</f>
        <v>97086.265993383087</v>
      </c>
      <c r="N75" s="114">
        <f t="shared" ref="N75:N81" ca="1" si="114">$N$74*N2</f>
        <v>92873.190692911201</v>
      </c>
      <c r="O75" s="114">
        <f t="shared" ref="O75:O81" ca="1" si="115">$O$74*O2</f>
        <v>83890.82158584884</v>
      </c>
      <c r="P75" s="114">
        <f t="shared" ref="P75:P81" ca="1" si="116">$P$74*P2</f>
        <v>74368.712020656589</v>
      </c>
      <c r="Q75" s="114">
        <f t="shared" ref="Q75:Q81" ca="1" si="117">$Q$74*Q2</f>
        <v>64359.039673123858</v>
      </c>
      <c r="R75" s="114">
        <f t="shared" ref="R75:R81" ca="1" si="118">$R$74*R2</f>
        <v>54722.873071792324</v>
      </c>
      <c r="S75" s="114">
        <f t="shared" ref="S75:S81" ca="1" si="119">$S$74*S2</f>
        <v>45892.847991939481</v>
      </c>
      <c r="T75" s="114">
        <f t="shared" ref="T75:T81" ca="1" si="120">$T$74*T2</f>
        <v>38625.32087199152</v>
      </c>
      <c r="U75" s="114">
        <f t="shared" ref="U75:U81" ca="1" si="121">$U$74*U2</f>
        <v>33859.501992539488</v>
      </c>
      <c r="V75" s="114">
        <f t="shared" ref="V75:V81" ca="1" si="122">$V$74*V2</f>
        <v>32378.930755128746</v>
      </c>
      <c r="W75" s="114">
        <f t="shared" ref="W75:W81" ca="1" si="123">$W$74*W2</f>
        <v>30225.273678217756</v>
      </c>
      <c r="X75" s="114">
        <f t="shared" ref="X75:X81" ca="1" si="124">$X$74*X2</f>
        <v>27862.731785112373</v>
      </c>
      <c r="Y75" s="114">
        <f t="shared" ref="Y75:Y81" ca="1" si="125">$Y$74*Y2</f>
        <v>24742.339053073141</v>
      </c>
      <c r="Z75" s="114">
        <f t="shared" ref="Z75:Z81" ca="1" si="126">$Z$74*Z2</f>
        <v>21784.486419924204</v>
      </c>
      <c r="AA75" s="114">
        <f t="shared" ref="AA75:AA81" ca="1" si="127">$AA$74*AA2</f>
        <v>19290.471636778788</v>
      </c>
      <c r="AB75" s="114">
        <f t="shared" ref="AB75:AB81" ca="1" si="128">$AB$74*AB2</f>
        <v>17629.397009014927</v>
      </c>
      <c r="AC75" s="114">
        <f t="shared" ref="AC75:AC81" ca="1" si="129">$AC$74*AC2</f>
        <v>13551.492818241077</v>
      </c>
      <c r="AD75" s="114">
        <f t="shared" ref="AD75:AD81" ca="1" si="130">$AD$74*AD2</f>
        <v>10384.281547274963</v>
      </c>
      <c r="AE75" s="114">
        <f t="shared" ref="AE75:AE81" ca="1" si="131">$AE$74*AE2</f>
        <v>6270.5913806426452</v>
      </c>
      <c r="AF75" s="114">
        <f t="shared" ref="AF75:AF81" ca="1" si="132">$AF$74*AF2</f>
        <v>0</v>
      </c>
    </row>
    <row r="76" spans="1:32">
      <c r="A76" t="s">
        <v>45</v>
      </c>
      <c r="B76" s="114">
        <f t="shared" ca="1" si="102"/>
        <v>22567.65754065185</v>
      </c>
      <c r="C76" s="114">
        <f t="shared" ca="1" si="103"/>
        <v>28692.337491417096</v>
      </c>
      <c r="D76" s="114">
        <f t="shared" ca="1" si="104"/>
        <v>29164.049304184005</v>
      </c>
      <c r="E76" s="114">
        <f t="shared" ca="1" si="105"/>
        <v>29540.373730230112</v>
      </c>
      <c r="F76" s="114">
        <f t="shared" ca="1" si="106"/>
        <v>32126.714949389745</v>
      </c>
      <c r="G76" s="114">
        <f t="shared" ca="1" si="107"/>
        <v>32722.882985693988</v>
      </c>
      <c r="H76" s="114">
        <f t="shared" ca="1" si="108"/>
        <v>36275.076271013335</v>
      </c>
      <c r="I76" s="114">
        <f t="shared" ca="1" si="109"/>
        <v>45766.7206502482</v>
      </c>
      <c r="J76" s="114">
        <f t="shared" ca="1" si="110"/>
        <v>47323.440025727628</v>
      </c>
      <c r="K76" s="114">
        <f t="shared" ca="1" si="111"/>
        <v>50164.447898537277</v>
      </c>
      <c r="L76" s="114">
        <f t="shared" ca="1" si="112"/>
        <v>52781.004251886487</v>
      </c>
      <c r="M76" s="114">
        <f t="shared" ca="1" si="113"/>
        <v>53564.836410142401</v>
      </c>
      <c r="N76" s="114">
        <f t="shared" ca="1" si="114"/>
        <v>55723.914415746724</v>
      </c>
      <c r="O76" s="114">
        <f t="shared" ca="1" si="115"/>
        <v>53130.853671037607</v>
      </c>
      <c r="P76" s="114">
        <f t="shared" ca="1" si="116"/>
        <v>47100.18427974917</v>
      </c>
      <c r="Q76" s="114">
        <f t="shared" ca="1" si="117"/>
        <v>42906.026448749239</v>
      </c>
      <c r="R76" s="114">
        <f t="shared" ca="1" si="118"/>
        <v>36481.915381194885</v>
      </c>
      <c r="S76" s="114">
        <f t="shared" ca="1" si="119"/>
        <v>30595.231994626323</v>
      </c>
      <c r="T76" s="114">
        <f t="shared" ca="1" si="120"/>
        <v>25750.213914661017</v>
      </c>
      <c r="U76" s="114">
        <f t="shared" ca="1" si="121"/>
        <v>22573.001328359664</v>
      </c>
      <c r="V76" s="114">
        <f t="shared" ca="1" si="122"/>
        <v>21585.953836752495</v>
      </c>
      <c r="W76" s="114">
        <f t="shared" ca="1" si="123"/>
        <v>20150.182452145174</v>
      </c>
      <c r="X76" s="114">
        <f t="shared" ca="1" si="124"/>
        <v>18575.154523408248</v>
      </c>
      <c r="Y76" s="114">
        <f t="shared" ca="1" si="125"/>
        <v>16494.892702048761</v>
      </c>
      <c r="Z76" s="114">
        <f t="shared" ca="1" si="126"/>
        <v>14522.990946616139</v>
      </c>
      <c r="AA76" s="114">
        <f t="shared" ca="1" si="127"/>
        <v>12860.314424519194</v>
      </c>
      <c r="AB76" s="114">
        <f t="shared" ca="1" si="128"/>
        <v>11752.931339343289</v>
      </c>
      <c r="AC76" s="114">
        <f t="shared" ca="1" si="129"/>
        <v>9034.3285454940524</v>
      </c>
      <c r="AD76" s="114">
        <f t="shared" ca="1" si="130"/>
        <v>6922.8543648499763</v>
      </c>
      <c r="AE76" s="114">
        <f t="shared" ca="1" si="131"/>
        <v>4180.3942537617631</v>
      </c>
      <c r="AF76" s="114">
        <f t="shared" ca="1" si="132"/>
        <v>0</v>
      </c>
    </row>
    <row r="77" spans="1:32">
      <c r="A77" t="s">
        <v>46</v>
      </c>
      <c r="B77" s="114">
        <f t="shared" ca="1" si="102"/>
        <v>65206.900613845763</v>
      </c>
      <c r="C77" s="114">
        <f t="shared" ca="1" si="103"/>
        <v>71730.843728542735</v>
      </c>
      <c r="D77" s="114">
        <f t="shared" ca="1" si="104"/>
        <v>72910.123260460008</v>
      </c>
      <c r="E77" s="114">
        <f t="shared" ca="1" si="105"/>
        <v>73850.934325575276</v>
      </c>
      <c r="F77" s="114">
        <f t="shared" ca="1" si="106"/>
        <v>80316.787373474348</v>
      </c>
      <c r="G77" s="114">
        <f t="shared" ca="1" si="107"/>
        <v>81807.207464234976</v>
      </c>
      <c r="H77" s="114">
        <f t="shared" ca="1" si="108"/>
        <v>79145.620954938204</v>
      </c>
      <c r="I77" s="114">
        <f t="shared" ca="1" si="109"/>
        <v>80971.890381208359</v>
      </c>
      <c r="J77" s="114">
        <f t="shared" ca="1" si="110"/>
        <v>80085.821582000601</v>
      </c>
      <c r="K77" s="114">
        <f t="shared" ca="1" si="111"/>
        <v>75246.671847805905</v>
      </c>
      <c r="L77" s="114">
        <f t="shared" ca="1" si="112"/>
        <v>70374.672335848663</v>
      </c>
      <c r="M77" s="114">
        <f t="shared" ca="1" si="113"/>
        <v>63608.243237044095</v>
      </c>
      <c r="N77" s="114">
        <f t="shared" ca="1" si="114"/>
        <v>55723.914415746724</v>
      </c>
      <c r="O77" s="114">
        <f t="shared" ca="1" si="115"/>
        <v>47538.132231981013</v>
      </c>
      <c r="P77" s="114">
        <f t="shared" ca="1" si="116"/>
        <v>39663.313077683517</v>
      </c>
      <c r="Q77" s="114">
        <f t="shared" ca="1" si="117"/>
        <v>32179.519836561929</v>
      </c>
      <c r="R77" s="114">
        <f t="shared" ca="1" si="118"/>
        <v>27361.436535896162</v>
      </c>
      <c r="S77" s="114">
        <f t="shared" ca="1" si="119"/>
        <v>22946.423995969741</v>
      </c>
      <c r="T77" s="114">
        <f t="shared" ca="1" si="120"/>
        <v>19312.66043599576</v>
      </c>
      <c r="U77" s="114">
        <f t="shared" ca="1" si="121"/>
        <v>16929.750996269744</v>
      </c>
      <c r="V77" s="114">
        <f t="shared" ca="1" si="122"/>
        <v>16189.465377564373</v>
      </c>
      <c r="W77" s="114">
        <f t="shared" ca="1" si="123"/>
        <v>15112.636839108878</v>
      </c>
      <c r="X77" s="114">
        <f t="shared" ca="1" si="124"/>
        <v>13931.365892556187</v>
      </c>
      <c r="Y77" s="114">
        <f t="shared" ca="1" si="125"/>
        <v>12371.169526536571</v>
      </c>
      <c r="Z77" s="114">
        <f t="shared" ca="1" si="126"/>
        <v>10892.243209962102</v>
      </c>
      <c r="AA77" s="114">
        <f t="shared" ca="1" si="127"/>
        <v>9645.2358183893939</v>
      </c>
      <c r="AB77" s="114">
        <f t="shared" ca="1" si="128"/>
        <v>8814.6985045074634</v>
      </c>
      <c r="AC77" s="114">
        <f t="shared" ca="1" si="129"/>
        <v>6775.7464091205384</v>
      </c>
      <c r="AD77" s="114">
        <f t="shared" ca="1" si="130"/>
        <v>5192.1407736374813</v>
      </c>
      <c r="AE77" s="114">
        <f t="shared" ca="1" si="131"/>
        <v>3135.2956903213226</v>
      </c>
      <c r="AF77" s="114">
        <f t="shared" ca="1" si="132"/>
        <v>0</v>
      </c>
    </row>
    <row r="78" spans="1:32">
      <c r="A78" t="s">
        <v>47</v>
      </c>
      <c r="B78" s="114">
        <f t="shared" ca="1" si="102"/>
        <v>38719.160553770416</v>
      </c>
      <c r="C78" s="114">
        <f t="shared" ca="1" si="103"/>
        <v>43038.506237125643</v>
      </c>
      <c r="D78" s="114">
        <f t="shared" ca="1" si="104"/>
        <v>43746.073956276006</v>
      </c>
      <c r="E78" s="114">
        <f t="shared" ca="1" si="105"/>
        <v>44310.560595345167</v>
      </c>
      <c r="F78" s="114">
        <f t="shared" ca="1" si="106"/>
        <v>48190.07242408461</v>
      </c>
      <c r="G78" s="114">
        <f t="shared" ca="1" si="107"/>
        <v>49084.324478540984</v>
      </c>
      <c r="H78" s="114">
        <f t="shared" ca="1" si="108"/>
        <v>46168.278890380614</v>
      </c>
      <c r="I78" s="114">
        <f t="shared" ca="1" si="109"/>
        <v>45766.7206502482</v>
      </c>
      <c r="J78" s="114">
        <f t="shared" ca="1" si="110"/>
        <v>43683.175408363961</v>
      </c>
      <c r="K78" s="114">
        <f t="shared" ca="1" si="111"/>
        <v>39414.923348850716</v>
      </c>
      <c r="L78" s="114">
        <f t="shared" ca="1" si="112"/>
        <v>35187.336167924332</v>
      </c>
      <c r="M78" s="114">
        <f t="shared" ca="1" si="113"/>
        <v>30130.220480705098</v>
      </c>
      <c r="N78" s="114">
        <f t="shared" ca="1" si="114"/>
        <v>18574.638138582239</v>
      </c>
      <c r="O78" s="114">
        <f t="shared" ca="1" si="115"/>
        <v>13981.803597641476</v>
      </c>
      <c r="P78" s="114">
        <f t="shared" ca="1" si="116"/>
        <v>9915.8282694208792</v>
      </c>
      <c r="Q78" s="114">
        <f t="shared" ca="1" si="117"/>
        <v>6435.9039673123852</v>
      </c>
      <c r="R78" s="114">
        <f t="shared" ca="1" si="118"/>
        <v>5472.2873071792328</v>
      </c>
      <c r="S78" s="114">
        <f t="shared" ca="1" si="119"/>
        <v>4589.2847991939479</v>
      </c>
      <c r="T78" s="114">
        <f t="shared" ca="1" si="120"/>
        <v>3862.5320871991516</v>
      </c>
      <c r="U78" s="114">
        <f t="shared" ca="1" si="121"/>
        <v>3385.9501992539494</v>
      </c>
      <c r="V78" s="114">
        <f t="shared" ca="1" si="122"/>
        <v>3237.893075512874</v>
      </c>
      <c r="W78" s="114">
        <f t="shared" ca="1" si="123"/>
        <v>3022.5273678217759</v>
      </c>
      <c r="X78" s="114">
        <f t="shared" ca="1" si="124"/>
        <v>2786.2731785112378</v>
      </c>
      <c r="Y78" s="114">
        <f t="shared" ca="1" si="125"/>
        <v>2474.2339053073142</v>
      </c>
      <c r="Z78" s="114">
        <f t="shared" ca="1" si="126"/>
        <v>2178.4486419924206</v>
      </c>
      <c r="AA78" s="114">
        <f t="shared" ca="1" si="127"/>
        <v>1929.0471636778786</v>
      </c>
      <c r="AB78" s="114">
        <f t="shared" ca="1" si="128"/>
        <v>1762.9397009014929</v>
      </c>
      <c r="AC78" s="114">
        <f t="shared" ca="1" si="129"/>
        <v>1355.1492818241077</v>
      </c>
      <c r="AD78" s="114">
        <f t="shared" ca="1" si="130"/>
        <v>1038.4281547274963</v>
      </c>
      <c r="AE78" s="114">
        <f t="shared" ca="1" si="131"/>
        <v>627.0591380642644</v>
      </c>
      <c r="AF78" s="114">
        <f t="shared" ca="1" si="132"/>
        <v>0</v>
      </c>
    </row>
    <row r="79" spans="1:32">
      <c r="A79" t="s">
        <v>48</v>
      </c>
      <c r="B79" s="114">
        <f t="shared" ca="1" si="102"/>
        <v>8804.4481111431141</v>
      </c>
      <c r="C79" s="114">
        <f t="shared" ca="1" si="103"/>
        <v>8607.7012474251278</v>
      </c>
      <c r="D79" s="114">
        <f t="shared" ca="1" si="104"/>
        <v>8749.2147912552009</v>
      </c>
      <c r="E79" s="114">
        <f t="shared" ca="1" si="105"/>
        <v>8862.1121190690319</v>
      </c>
      <c r="F79" s="114">
        <f t="shared" ca="1" si="106"/>
        <v>9638.014484816922</v>
      </c>
      <c r="G79" s="114">
        <f t="shared" ca="1" si="107"/>
        <v>9816.8648957081987</v>
      </c>
      <c r="H79" s="114">
        <f t="shared" ca="1" si="108"/>
        <v>9893.2026193672755</v>
      </c>
      <c r="I79" s="114">
        <f t="shared" ca="1" si="109"/>
        <v>10561.550919288044</v>
      </c>
      <c r="J79" s="114">
        <f t="shared" ca="1" si="110"/>
        <v>10920.79385209099</v>
      </c>
      <c r="K79" s="114">
        <f t="shared" ca="1" si="111"/>
        <v>10749.524549686557</v>
      </c>
      <c r="L79" s="114">
        <f t="shared" ca="1" si="112"/>
        <v>10556.200850377298</v>
      </c>
      <c r="M79" s="114">
        <f t="shared" ca="1" si="113"/>
        <v>10043.406826901699</v>
      </c>
      <c r="N79" s="114">
        <f t="shared" ca="1" si="114"/>
        <v>6191.5460461940802</v>
      </c>
      <c r="O79" s="114">
        <f t="shared" ca="1" si="115"/>
        <v>5592.7214390565896</v>
      </c>
      <c r="P79" s="114">
        <f t="shared" ca="1" si="116"/>
        <v>4957.9141347104396</v>
      </c>
      <c r="Q79" s="114">
        <f t="shared" ca="1" si="117"/>
        <v>4290.6026448749235</v>
      </c>
      <c r="R79" s="114">
        <f t="shared" ca="1" si="118"/>
        <v>3648.1915381194885</v>
      </c>
      <c r="S79" s="114">
        <f t="shared" ca="1" si="119"/>
        <v>3059.5231994626324</v>
      </c>
      <c r="T79" s="114">
        <f t="shared" ca="1" si="120"/>
        <v>2575.0213914661017</v>
      </c>
      <c r="U79" s="114">
        <f t="shared" ca="1" si="121"/>
        <v>2257.300132835966</v>
      </c>
      <c r="V79" s="114">
        <f t="shared" ca="1" si="122"/>
        <v>2158.5953836752496</v>
      </c>
      <c r="W79" s="114">
        <f t="shared" ca="1" si="123"/>
        <v>2015.0182452145173</v>
      </c>
      <c r="X79" s="114">
        <f t="shared" ca="1" si="124"/>
        <v>1857.515452340825</v>
      </c>
      <c r="Y79" s="114">
        <f t="shared" ca="1" si="125"/>
        <v>1649.4892702048762</v>
      </c>
      <c r="Z79" s="114">
        <f t="shared" ca="1" si="126"/>
        <v>1452.2990946616137</v>
      </c>
      <c r="AA79" s="114">
        <f t="shared" ca="1" si="127"/>
        <v>1286.0314424519192</v>
      </c>
      <c r="AB79" s="114">
        <f t="shared" ca="1" si="128"/>
        <v>1175.2931339343286</v>
      </c>
      <c r="AC79" s="114">
        <f t="shared" ca="1" si="129"/>
        <v>903.43285454940531</v>
      </c>
      <c r="AD79" s="114">
        <f t="shared" ca="1" si="130"/>
        <v>692.2854364849976</v>
      </c>
      <c r="AE79" s="114">
        <f t="shared" ca="1" si="131"/>
        <v>418.03942537617633</v>
      </c>
      <c r="AF79" s="114">
        <f t="shared" ca="1" si="132"/>
        <v>0</v>
      </c>
    </row>
    <row r="80" spans="1:32">
      <c r="A80" t="s">
        <v>49</v>
      </c>
      <c r="B80" s="114">
        <f t="shared" ca="1" si="102"/>
        <v>1933.3351014285661</v>
      </c>
      <c r="C80" s="114">
        <f t="shared" ca="1" si="103"/>
        <v>2869.2337491417093</v>
      </c>
      <c r="D80" s="114">
        <f t="shared" ca="1" si="104"/>
        <v>2916.4049304184005</v>
      </c>
      <c r="E80" s="114">
        <f t="shared" ca="1" si="105"/>
        <v>2954.0373730230112</v>
      </c>
      <c r="F80" s="114">
        <f t="shared" ca="1" si="106"/>
        <v>3212.6714949389739</v>
      </c>
      <c r="G80" s="114">
        <f t="shared" ca="1" si="107"/>
        <v>3272.2882985693991</v>
      </c>
      <c r="H80" s="114">
        <f t="shared" ca="1" si="108"/>
        <v>6595.4684129115158</v>
      </c>
      <c r="I80" s="114">
        <f t="shared" ca="1" si="109"/>
        <v>10561.550919288044</v>
      </c>
      <c r="J80" s="114">
        <f t="shared" ca="1" si="110"/>
        <v>14561.058469454658</v>
      </c>
      <c r="K80" s="114">
        <f t="shared" ca="1" si="111"/>
        <v>17915.874249477598</v>
      </c>
      <c r="L80" s="114">
        <f t="shared" ca="1" si="112"/>
        <v>17593.668083962166</v>
      </c>
      <c r="M80" s="114">
        <f t="shared" ca="1" si="113"/>
        <v>20086.813653803398</v>
      </c>
      <c r="N80" s="114">
        <f t="shared" ca="1" si="114"/>
        <v>24766.184184776321</v>
      </c>
      <c r="O80" s="114">
        <f t="shared" ca="1" si="115"/>
        <v>22370.885756226358</v>
      </c>
      <c r="P80" s="114">
        <f t="shared" ca="1" si="116"/>
        <v>22310.613606196977</v>
      </c>
      <c r="Q80" s="114">
        <f t="shared" ca="1" si="117"/>
        <v>21453.013224374619</v>
      </c>
      <c r="R80" s="114">
        <f t="shared" ca="1" si="118"/>
        <v>18240.957690597443</v>
      </c>
      <c r="S80" s="114">
        <f t="shared" ca="1" si="119"/>
        <v>15297.615997313162</v>
      </c>
      <c r="T80" s="114">
        <f t="shared" ca="1" si="120"/>
        <v>12875.106957330509</v>
      </c>
      <c r="U80" s="114">
        <f t="shared" ca="1" si="121"/>
        <v>11286.500664179832</v>
      </c>
      <c r="V80" s="114">
        <f t="shared" ca="1" si="122"/>
        <v>10792.976918376247</v>
      </c>
      <c r="W80" s="114">
        <f t="shared" ca="1" si="123"/>
        <v>10075.091226072587</v>
      </c>
      <c r="X80" s="114">
        <f t="shared" ca="1" si="124"/>
        <v>9287.5772617041239</v>
      </c>
      <c r="Y80" s="114">
        <f t="shared" ca="1" si="125"/>
        <v>8247.4463510243804</v>
      </c>
      <c r="Z80" s="114">
        <f t="shared" ca="1" si="126"/>
        <v>7261.4954733080694</v>
      </c>
      <c r="AA80" s="114">
        <f t="shared" ca="1" si="127"/>
        <v>6430.1572122595971</v>
      </c>
      <c r="AB80" s="114">
        <f t="shared" ca="1" si="128"/>
        <v>5876.4656696716447</v>
      </c>
      <c r="AC80" s="114">
        <f t="shared" ca="1" si="129"/>
        <v>4517.1642727470262</v>
      </c>
      <c r="AD80" s="114">
        <f t="shared" ca="1" si="130"/>
        <v>3461.4271824249881</v>
      </c>
      <c r="AE80" s="114">
        <f t="shared" ca="1" si="131"/>
        <v>2090.1971268808816</v>
      </c>
      <c r="AF80" s="114">
        <f t="shared" ca="1" si="132"/>
        <v>0</v>
      </c>
    </row>
    <row r="81" spans="1:32">
      <c r="A81" t="s">
        <v>50</v>
      </c>
      <c r="B81" s="114">
        <f t="shared" ca="1" si="102"/>
        <v>53714.668429774327</v>
      </c>
      <c r="C81" s="114">
        <f t="shared" ca="1" si="103"/>
        <v>60253.908731975898</v>
      </c>
      <c r="D81" s="114">
        <f t="shared" ca="1" si="104"/>
        <v>61244.503538786405</v>
      </c>
      <c r="E81" s="114">
        <f t="shared" ca="1" si="105"/>
        <v>62034.784833483231</v>
      </c>
      <c r="F81" s="114">
        <f t="shared" ca="1" si="106"/>
        <v>67466.101393718447</v>
      </c>
      <c r="G81" s="114">
        <f t="shared" ca="1" si="107"/>
        <v>68718.054269957371</v>
      </c>
      <c r="H81" s="114">
        <f t="shared" ca="1" si="108"/>
        <v>65954.684129115165</v>
      </c>
      <c r="I81" s="114">
        <f t="shared" ca="1" si="109"/>
        <v>66889.822488824284</v>
      </c>
      <c r="J81" s="114">
        <f t="shared" ca="1" si="110"/>
        <v>69165.02772990962</v>
      </c>
      <c r="K81" s="114">
        <f t="shared" ca="1" si="111"/>
        <v>64497.147298119344</v>
      </c>
      <c r="L81" s="114">
        <f t="shared" ca="1" si="112"/>
        <v>63337.205102263797</v>
      </c>
      <c r="M81" s="114">
        <f t="shared" ca="1" si="113"/>
        <v>60260.440961410197</v>
      </c>
      <c r="N81" s="114">
        <f t="shared" ca="1" si="114"/>
        <v>55723.914415746724</v>
      </c>
      <c r="O81" s="114">
        <f t="shared" ca="1" si="115"/>
        <v>53130.853671037607</v>
      </c>
      <c r="P81" s="114">
        <f t="shared" ca="1" si="116"/>
        <v>49579.141347104392</v>
      </c>
      <c r="Q81" s="114">
        <f t="shared" ca="1" si="117"/>
        <v>42906.026448749239</v>
      </c>
      <c r="R81" s="114">
        <f t="shared" ca="1" si="118"/>
        <v>36481.915381194885</v>
      </c>
      <c r="S81" s="114">
        <f t="shared" ca="1" si="119"/>
        <v>30595.231994626323</v>
      </c>
      <c r="T81" s="114">
        <f t="shared" ca="1" si="120"/>
        <v>25750.213914661017</v>
      </c>
      <c r="U81" s="114">
        <f t="shared" ca="1" si="121"/>
        <v>22573.001328359664</v>
      </c>
      <c r="V81" s="114">
        <f t="shared" ca="1" si="122"/>
        <v>21585.953836752495</v>
      </c>
      <c r="W81" s="114">
        <f t="shared" ca="1" si="123"/>
        <v>20150.182452145174</v>
      </c>
      <c r="X81" s="114">
        <f t="shared" ca="1" si="124"/>
        <v>18575.154523408248</v>
      </c>
      <c r="Y81" s="114">
        <f t="shared" ca="1" si="125"/>
        <v>16494.892702048761</v>
      </c>
      <c r="Z81" s="114">
        <f t="shared" ca="1" si="126"/>
        <v>14522.990946616139</v>
      </c>
      <c r="AA81" s="114">
        <f t="shared" ca="1" si="127"/>
        <v>12860.314424519194</v>
      </c>
      <c r="AB81" s="114">
        <f t="shared" ca="1" si="128"/>
        <v>11752.931339343289</v>
      </c>
      <c r="AC81" s="114">
        <f t="shared" ca="1" si="129"/>
        <v>9034.3285454940524</v>
      </c>
      <c r="AD81" s="114">
        <f t="shared" ca="1" si="130"/>
        <v>6922.8543648499763</v>
      </c>
      <c r="AE81" s="114">
        <f t="shared" ca="1" si="131"/>
        <v>4180.3942537617631</v>
      </c>
      <c r="AF81" s="114">
        <f t="shared" ca="1" si="132"/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76"/>
  <sheetViews>
    <sheetView topLeftCell="A87" zoomScale="115" zoomScaleNormal="115" workbookViewId="0">
      <selection activeCell="C97" sqref="C97:AG97"/>
    </sheetView>
  </sheetViews>
  <sheetFormatPr defaultColWidth="12" defaultRowHeight="14.4"/>
  <cols>
    <col min="1" max="1" width="35.6640625" bestFit="1" customWidth="1"/>
    <col min="2" max="5" width="12.109375" bestFit="1" customWidth="1"/>
    <col min="6" max="16" width="12.44140625" bestFit="1" customWidth="1"/>
    <col min="17" max="32" width="13.6640625" bestFit="1" customWidth="1"/>
    <col min="33" max="34" width="6.109375" bestFit="1" customWidth="1"/>
  </cols>
  <sheetData>
    <row r="1" spans="1:32">
      <c r="A1" s="2" t="s">
        <v>41</v>
      </c>
      <c r="B1" s="3">
        <v>2025</v>
      </c>
      <c r="C1" s="3">
        <v>2026</v>
      </c>
      <c r="D1" s="3">
        <v>2027</v>
      </c>
      <c r="E1" s="3">
        <v>2028</v>
      </c>
      <c r="F1" s="3">
        <v>2029</v>
      </c>
      <c r="G1" s="3">
        <v>2030</v>
      </c>
      <c r="H1" s="3">
        <v>2031</v>
      </c>
      <c r="I1" s="3">
        <v>2032</v>
      </c>
      <c r="J1" s="3">
        <v>2033</v>
      </c>
      <c r="K1" s="3">
        <v>2034</v>
      </c>
      <c r="L1" s="3">
        <v>2035</v>
      </c>
      <c r="M1" s="3">
        <v>2036</v>
      </c>
      <c r="N1" s="3">
        <v>2037</v>
      </c>
      <c r="O1" s="3">
        <v>2038</v>
      </c>
      <c r="P1" s="3">
        <v>2039</v>
      </c>
      <c r="Q1" s="3">
        <v>2040</v>
      </c>
      <c r="R1" s="3">
        <v>2041</v>
      </c>
      <c r="S1" s="3">
        <v>2042</v>
      </c>
      <c r="T1" s="3">
        <v>2043</v>
      </c>
      <c r="U1" s="3">
        <v>2044</v>
      </c>
      <c r="V1" s="3">
        <v>2045</v>
      </c>
      <c r="W1" s="3">
        <v>2046</v>
      </c>
      <c r="X1" s="3">
        <v>2047</v>
      </c>
      <c r="Y1" s="3">
        <v>2048</v>
      </c>
      <c r="Z1" s="3">
        <v>2049</v>
      </c>
      <c r="AA1" s="3">
        <v>2050</v>
      </c>
      <c r="AB1" s="3">
        <v>2051</v>
      </c>
      <c r="AC1" s="3">
        <v>2052</v>
      </c>
      <c r="AD1" s="3">
        <v>2053</v>
      </c>
      <c r="AE1" s="3">
        <v>2054</v>
      </c>
      <c r="AF1" s="3">
        <v>2055</v>
      </c>
    </row>
    <row r="2" spans="1:32">
      <c r="A2" t="s">
        <v>43</v>
      </c>
      <c r="B2" s="111">
        <v>0.28877539687635795</v>
      </c>
      <c r="C2" s="111">
        <v>0.29004894446202911</v>
      </c>
      <c r="D2" s="111">
        <v>0.29218616140018577</v>
      </c>
      <c r="E2" s="111">
        <v>0.29150651931331034</v>
      </c>
      <c r="F2" s="111">
        <v>0.29303025384730635</v>
      </c>
      <c r="G2" s="111">
        <v>0.28794240859333153</v>
      </c>
      <c r="H2" s="111">
        <v>0.28248888466896716</v>
      </c>
      <c r="I2" s="111">
        <v>0.28215894050586904</v>
      </c>
      <c r="J2" s="111">
        <v>0.28149817202635424</v>
      </c>
      <c r="K2" s="111">
        <v>0.27730154562912634</v>
      </c>
      <c r="L2" s="111">
        <v>0.27542654132701017</v>
      </c>
      <c r="M2" s="111">
        <v>0.27511137192677609</v>
      </c>
      <c r="N2" s="111">
        <v>0.28442504891066667</v>
      </c>
      <c r="O2" s="111">
        <v>0.28713239657849882</v>
      </c>
      <c r="P2" s="111">
        <v>0.2913821088029469</v>
      </c>
      <c r="Q2" s="111">
        <v>0.2914610879429349</v>
      </c>
      <c r="R2" s="111">
        <v>0.29115710597103578</v>
      </c>
      <c r="S2" s="111">
        <v>0.28967638992246886</v>
      </c>
      <c r="T2" s="111">
        <v>0.292097221151431</v>
      </c>
      <c r="U2" s="111">
        <v>0.29359046154924945</v>
      </c>
      <c r="V2" s="111">
        <v>0.29537365463009285</v>
      </c>
      <c r="W2" s="111">
        <v>0.29747725564789912</v>
      </c>
      <c r="X2" s="111">
        <v>0.29850661202677903</v>
      </c>
      <c r="Y2" s="111">
        <v>0.29755080182668203</v>
      </c>
      <c r="Z2" s="111">
        <v>0.29692280636518781</v>
      </c>
      <c r="AA2" s="111">
        <v>0.29905162101736044</v>
      </c>
      <c r="AB2" s="111">
        <v>0.29908728240996629</v>
      </c>
      <c r="AC2" s="111">
        <v>0.29918541588688613</v>
      </c>
      <c r="AD2" s="111">
        <v>0.29939790522048071</v>
      </c>
      <c r="AE2" s="111">
        <v>0.29985216775349605</v>
      </c>
      <c r="AF2" s="111">
        <v>0.30016534454702137</v>
      </c>
    </row>
    <row r="3" spans="1:32">
      <c r="A3" t="s">
        <v>51</v>
      </c>
      <c r="B3" s="111">
        <v>0.40516316199100255</v>
      </c>
      <c r="C3" s="111">
        <v>0.4036855345801475</v>
      </c>
      <c r="D3" s="111">
        <v>0.40870211484705821</v>
      </c>
      <c r="E3" s="111">
        <v>0.40670403631944968</v>
      </c>
      <c r="F3" s="111">
        <v>0.41032769112729295</v>
      </c>
      <c r="G3" s="111">
        <v>0.40547825755327316</v>
      </c>
      <c r="H3" s="111">
        <v>0.39868129622190018</v>
      </c>
      <c r="I3" s="111">
        <v>0.40591698649867192</v>
      </c>
      <c r="J3" s="111">
        <v>0.39884186422775397</v>
      </c>
      <c r="K3" s="111">
        <v>0.39754228841228217</v>
      </c>
      <c r="L3" s="111">
        <v>0.40478495854118218</v>
      </c>
      <c r="M3" s="111">
        <v>0.4042777626684238</v>
      </c>
      <c r="N3" s="111">
        <v>0.39364094826711793</v>
      </c>
      <c r="O3" s="111">
        <v>0.39399231735218276</v>
      </c>
      <c r="P3" s="111">
        <v>0.39557780214713628</v>
      </c>
      <c r="Q3" s="111">
        <v>0.39827487009742518</v>
      </c>
      <c r="R3" s="111">
        <v>0.39882800511918809</v>
      </c>
      <c r="S3" s="111">
        <v>0.39891495461397891</v>
      </c>
      <c r="T3" s="111">
        <v>0.40179569358843031</v>
      </c>
      <c r="U3" s="111">
        <v>0.40485321784207773</v>
      </c>
      <c r="V3" s="111">
        <v>0.40705144127695442</v>
      </c>
      <c r="W3" s="111">
        <v>0.40997827402136061</v>
      </c>
      <c r="X3" s="111">
        <v>0.41161645947736974</v>
      </c>
      <c r="Y3" s="111">
        <v>0.40936000483056956</v>
      </c>
      <c r="Z3" s="111">
        <v>0.40797155991662565</v>
      </c>
      <c r="AA3" s="111">
        <v>0.41056422478328525</v>
      </c>
      <c r="AB3" s="111">
        <v>0.41098939918580601</v>
      </c>
      <c r="AC3" s="111">
        <v>0.41130588984269906</v>
      </c>
      <c r="AD3" s="111">
        <v>0.41172590926907177</v>
      </c>
      <c r="AE3" s="111">
        <v>0.41230464001695333</v>
      </c>
      <c r="AF3" s="111">
        <v>0.41272341571519322</v>
      </c>
    </row>
    <row r="4" spans="1:32">
      <c r="A4" t="s">
        <v>58</v>
      </c>
      <c r="B4" s="111">
        <v>8.1893322028461099E-2</v>
      </c>
      <c r="C4" s="111">
        <v>8.3516183571202537E-2</v>
      </c>
      <c r="D4" s="111">
        <v>8.2330706700022627E-2</v>
      </c>
      <c r="E4" s="111">
        <v>8.3457583655774464E-2</v>
      </c>
      <c r="F4" s="111">
        <v>8.1820908719781898E-2</v>
      </c>
      <c r="G4" s="111">
        <v>7.9777239768015054E-2</v>
      </c>
      <c r="H4" s="111">
        <v>7.8931060114695625E-2</v>
      </c>
      <c r="I4" s="111">
        <v>7.4331657916355945E-2</v>
      </c>
      <c r="J4" s="111">
        <v>7.2902346724995071E-2</v>
      </c>
      <c r="K4" s="111">
        <v>7.3785753699799186E-2</v>
      </c>
      <c r="L4" s="111">
        <v>7.0221956332936084E-2</v>
      </c>
      <c r="M4" s="111">
        <v>7.0906036081156129E-2</v>
      </c>
      <c r="N4" s="111">
        <v>7.01338386262918E-2</v>
      </c>
      <c r="O4" s="111">
        <v>6.9703707020440778E-2</v>
      </c>
      <c r="P4" s="111">
        <v>6.9887909974585494E-2</v>
      </c>
      <c r="Q4" s="111">
        <v>7.0544218890827862E-2</v>
      </c>
      <c r="R4" s="111">
        <v>6.9625543258288389E-2</v>
      </c>
      <c r="S4" s="111">
        <v>7.7861145746480787E-2</v>
      </c>
      <c r="T4" s="111">
        <v>7.7839060960832734E-2</v>
      </c>
      <c r="U4" s="111">
        <v>7.7861471423230563E-2</v>
      </c>
      <c r="V4" s="111">
        <v>7.7849091035225193E-2</v>
      </c>
      <c r="W4" s="111">
        <v>7.7936615748870758E-2</v>
      </c>
      <c r="X4" s="111">
        <v>7.7946239491001712E-2</v>
      </c>
      <c r="Y4" s="111">
        <v>7.7982810170343919E-2</v>
      </c>
      <c r="Z4" s="111">
        <v>7.7998511540446555E-2</v>
      </c>
      <c r="AA4" s="111">
        <v>7.7972864406211873E-2</v>
      </c>
      <c r="AB4" s="111">
        <v>7.8661859301264056E-2</v>
      </c>
      <c r="AC4" s="111">
        <v>7.9396785152100802E-2</v>
      </c>
      <c r="AD4" s="111">
        <v>8.0332645211944248E-2</v>
      </c>
      <c r="AE4" s="111">
        <v>8.045329163061761E-2</v>
      </c>
      <c r="AF4" s="111">
        <v>8.0595950308773701E-2</v>
      </c>
    </row>
    <row r="5" spans="1:32">
      <c r="A5" t="s">
        <v>54</v>
      </c>
      <c r="B5" s="111">
        <v>9.354346884481933E-2</v>
      </c>
      <c r="C5" s="111">
        <v>9.2440432279327966E-2</v>
      </c>
      <c r="D5" s="111">
        <v>8.8519607761901348E-2</v>
      </c>
      <c r="E5" s="111">
        <v>8.7493069735948031E-2</v>
      </c>
      <c r="F5" s="111">
        <v>8.6055698377782847E-2</v>
      </c>
      <c r="G5" s="111">
        <v>8.8974627106166354E-2</v>
      </c>
      <c r="H5" s="111">
        <v>9.2904770999921851E-2</v>
      </c>
      <c r="I5" s="111">
        <v>9.2410996977494456E-2</v>
      </c>
      <c r="J5" s="111">
        <v>9.3565192259366298E-2</v>
      </c>
      <c r="K5" s="111">
        <v>9.4325153574806059E-2</v>
      </c>
      <c r="L5" s="111">
        <v>9.5684400360585689E-2</v>
      </c>
      <c r="M5" s="111">
        <v>9.4940187796829625E-2</v>
      </c>
      <c r="N5" s="111">
        <v>9.6333613049048555E-2</v>
      </c>
      <c r="O5" s="111">
        <v>9.3955513539468322E-2</v>
      </c>
      <c r="P5" s="111">
        <v>9.2150705365158958E-2</v>
      </c>
      <c r="Q5" s="111">
        <v>9.1472700909397325E-2</v>
      </c>
      <c r="R5" s="111">
        <v>9.1548784076119938E-2</v>
      </c>
      <c r="S5" s="111">
        <v>8.9469532756975584E-2</v>
      </c>
      <c r="T5" s="111">
        <v>8.8182524910587853E-2</v>
      </c>
      <c r="U5" s="111">
        <v>8.7133231353872964E-2</v>
      </c>
      <c r="V5" s="111">
        <v>8.6108928584933769E-2</v>
      </c>
      <c r="W5" s="111">
        <v>8.4185098764417793E-2</v>
      </c>
      <c r="X5" s="111">
        <v>8.3189926161966632E-2</v>
      </c>
      <c r="Y5" s="111">
        <v>8.4737282894144533E-2</v>
      </c>
      <c r="Z5" s="111">
        <v>8.5091794585675215E-2</v>
      </c>
      <c r="AA5" s="111">
        <v>8.1852108629875547E-2</v>
      </c>
      <c r="AB5" s="111">
        <v>8.1321097556618566E-2</v>
      </c>
      <c r="AC5" s="111">
        <v>8.0686429817286132E-2</v>
      </c>
      <c r="AD5" s="111">
        <v>7.9912386161195517E-2</v>
      </c>
      <c r="AE5" s="111">
        <v>7.9289164298849232E-2</v>
      </c>
      <c r="AF5" s="111">
        <v>7.8731325798038182E-2</v>
      </c>
    </row>
    <row r="6" spans="1:32">
      <c r="A6" t="s">
        <v>55</v>
      </c>
      <c r="B6" s="111">
        <v>4.002523943696603E-2</v>
      </c>
      <c r="C6" s="111">
        <v>4.0029379049916609E-2</v>
      </c>
      <c r="D6" s="111">
        <v>4.0343639376776243E-2</v>
      </c>
      <c r="E6" s="111">
        <v>4.2464512611502796E-2</v>
      </c>
      <c r="F6" s="111">
        <v>4.1718335647742882E-2</v>
      </c>
      <c r="G6" s="111">
        <v>4.5973877376202073E-2</v>
      </c>
      <c r="H6" s="111">
        <v>5.0932606573001853E-2</v>
      </c>
      <c r="I6" s="111">
        <v>4.9741471117012756E-2</v>
      </c>
      <c r="J6" s="111">
        <v>5.0988021278225278E-2</v>
      </c>
      <c r="K6" s="111">
        <v>4.9095586230500962E-2</v>
      </c>
      <c r="L6" s="111">
        <v>4.5981643523554966E-2</v>
      </c>
      <c r="M6" s="111">
        <v>4.2257883224250649E-2</v>
      </c>
      <c r="N6" s="111">
        <v>3.9463630723479158E-2</v>
      </c>
      <c r="O6" s="111">
        <v>3.6367953282148584E-2</v>
      </c>
      <c r="P6" s="111">
        <v>3.2950645528923107E-2</v>
      </c>
      <c r="Q6" s="111">
        <v>3.0587486616558166E-2</v>
      </c>
      <c r="R6" s="111">
        <v>3.1999170980315184E-2</v>
      </c>
      <c r="S6" s="111">
        <v>2.8744204983629305E-2</v>
      </c>
      <c r="T6" s="111">
        <v>2.5917021286775335E-2</v>
      </c>
      <c r="U6" s="111">
        <v>2.3186173387317367E-2</v>
      </c>
      <c r="V6" s="111">
        <v>2.0573380287325107E-2</v>
      </c>
      <c r="W6" s="111">
        <v>1.8058069162413589E-2</v>
      </c>
      <c r="X6" s="111">
        <v>1.6191085389857862E-2</v>
      </c>
      <c r="Y6" s="111">
        <v>1.4606560118016755E-2</v>
      </c>
      <c r="Z6" s="111">
        <v>1.3200498530855411E-2</v>
      </c>
      <c r="AA6" s="111">
        <v>1.157702898380035E-2</v>
      </c>
      <c r="AB6" s="111">
        <v>1.0977476505699385E-2</v>
      </c>
      <c r="AC6" s="111">
        <v>1.0471939708050248E-2</v>
      </c>
      <c r="AD6" s="111">
        <v>9.5825131946235837E-3</v>
      </c>
      <c r="AE6" s="111">
        <v>8.7883998843451029E-3</v>
      </c>
      <c r="AF6" s="111">
        <v>8.0759074778816164E-3</v>
      </c>
    </row>
    <row r="7" spans="1:32">
      <c r="A7" t="s">
        <v>56</v>
      </c>
      <c r="B7" s="111">
        <v>1.6358597127187451E-2</v>
      </c>
      <c r="C7" s="111">
        <v>1.6344728087285505E-2</v>
      </c>
      <c r="D7" s="111">
        <v>1.6129144437505145E-2</v>
      </c>
      <c r="E7" s="111">
        <v>1.6801103323427186E-2</v>
      </c>
      <c r="F7" s="111">
        <v>1.6792797948796141E-2</v>
      </c>
      <c r="G7" s="111">
        <v>1.8715282586334592E-2</v>
      </c>
      <c r="H7" s="111">
        <v>2.2336836672886568E-2</v>
      </c>
      <c r="I7" s="111">
        <v>2.1748604187067169E-2</v>
      </c>
      <c r="J7" s="111">
        <v>2.3676610871576863E-2</v>
      </c>
      <c r="K7" s="111">
        <v>2.525753347185733E-2</v>
      </c>
      <c r="L7" s="111">
        <v>2.4408655747385589E-2</v>
      </c>
      <c r="M7" s="111">
        <v>2.5398841312994816E-2</v>
      </c>
      <c r="N7" s="111">
        <v>2.7095918656999226E-2</v>
      </c>
      <c r="O7" s="111">
        <v>3.0669360411040104E-2</v>
      </c>
      <c r="P7" s="111">
        <v>3.0856864114247942E-2</v>
      </c>
      <c r="Q7" s="111">
        <v>3.0258231364355584E-2</v>
      </c>
      <c r="R7" s="111">
        <v>3.0183832794870968E-2</v>
      </c>
      <c r="S7" s="111">
        <v>2.9088387676406615E-2</v>
      </c>
      <c r="T7" s="111">
        <v>2.8339579800456816E-2</v>
      </c>
      <c r="U7" s="111">
        <v>2.7187997378595879E-2</v>
      </c>
      <c r="V7" s="111">
        <v>2.660524445836631E-2</v>
      </c>
      <c r="W7" s="111">
        <v>2.5919731188009509E-2</v>
      </c>
      <c r="X7" s="111">
        <v>2.5743986929928606E-2</v>
      </c>
      <c r="Y7" s="111">
        <v>2.596651771787439E-2</v>
      </c>
      <c r="Z7" s="111">
        <v>2.6459348042169373E-2</v>
      </c>
      <c r="AA7" s="111">
        <v>2.645064779343901E-2</v>
      </c>
      <c r="AB7" s="111">
        <v>2.6126204629657951E-2</v>
      </c>
      <c r="AC7" s="111">
        <v>2.578947812157853E-2</v>
      </c>
      <c r="AD7" s="111">
        <v>2.5439541592463168E-2</v>
      </c>
      <c r="AE7" s="111">
        <v>2.5154654453991305E-2</v>
      </c>
      <c r="AF7" s="111">
        <v>2.490749036326825E-2</v>
      </c>
    </row>
    <row r="8" spans="1:32">
      <c r="A8" t="s">
        <v>549</v>
      </c>
      <c r="B8" s="111">
        <v>2.7005629389186298E-2</v>
      </c>
      <c r="C8" s="111">
        <v>2.7012778779119978E-2</v>
      </c>
      <c r="D8" s="111">
        <v>2.6112663672120708E-2</v>
      </c>
      <c r="E8" s="111">
        <v>2.5778074264344492E-2</v>
      </c>
      <c r="F8" s="111">
        <v>2.572329925017338E-2</v>
      </c>
      <c r="G8" s="111">
        <v>2.7131841823842491E-2</v>
      </c>
      <c r="H8" s="111">
        <v>2.7576610603966198E-2</v>
      </c>
      <c r="I8" s="111">
        <v>2.8005121970527923E-2</v>
      </c>
      <c r="J8" s="111">
        <v>2.8959431993213488E-2</v>
      </c>
      <c r="K8" s="111">
        <v>3.0599687028322064E-2</v>
      </c>
      <c r="L8" s="111">
        <v>3.0900615699662546E-2</v>
      </c>
      <c r="M8" s="111">
        <v>3.0764650431119873E-2</v>
      </c>
      <c r="N8" s="111">
        <v>3.1419675004506889E-2</v>
      </c>
      <c r="O8" s="111">
        <v>3.2016216304132747E-2</v>
      </c>
      <c r="P8" s="111">
        <v>3.2439881730508532E-2</v>
      </c>
      <c r="Q8" s="111">
        <v>3.2959479339783181E-2</v>
      </c>
      <c r="R8" s="111">
        <v>3.3547619228181662E-2</v>
      </c>
      <c r="S8" s="111">
        <v>3.3693500335664504E-2</v>
      </c>
      <c r="T8" s="111">
        <v>3.3706142191682206E-2</v>
      </c>
      <c r="U8" s="111">
        <v>3.3746781815480707E-2</v>
      </c>
      <c r="V8" s="111">
        <v>3.3765695102442705E-2</v>
      </c>
      <c r="W8" s="111">
        <v>3.3961690274482148E-2</v>
      </c>
      <c r="X8" s="111">
        <v>3.4110910013843337E-2</v>
      </c>
      <c r="Y8" s="111">
        <v>3.4212399083840592E-2</v>
      </c>
      <c r="Z8" s="111">
        <v>3.654213729139999E-2</v>
      </c>
      <c r="AA8" s="111">
        <v>3.6518097425105991E-2</v>
      </c>
      <c r="AB8" s="111">
        <v>3.682380053634194E-2</v>
      </c>
      <c r="AC8" s="111">
        <v>3.7109865647969871E-2</v>
      </c>
      <c r="AD8" s="111">
        <v>3.7378676664764951E-2</v>
      </c>
      <c r="AE8" s="111">
        <v>3.7670390187235739E-2</v>
      </c>
      <c r="AF8" s="111">
        <v>3.7992968106583293E-2</v>
      </c>
    </row>
    <row r="9" spans="1:32">
      <c r="A9" t="s">
        <v>52</v>
      </c>
      <c r="B9" s="111">
        <v>3.3454536923732812E-2</v>
      </c>
      <c r="C9" s="111">
        <v>3.3115249926852143E-2</v>
      </c>
      <c r="D9" s="111">
        <v>3.1830012737249051E-2</v>
      </c>
      <c r="E9" s="111">
        <v>3.1128235028762108E-2</v>
      </c>
      <c r="F9" s="111">
        <v>2.9734563741624642E-2</v>
      </c>
      <c r="G9" s="111">
        <v>2.9777029301173485E-2</v>
      </c>
      <c r="H9" s="111">
        <v>2.944709280847628E-2</v>
      </c>
      <c r="I9" s="111">
        <v>2.9664691801909629E-2</v>
      </c>
      <c r="J9" s="111">
        <v>3.1801230382328002E-2</v>
      </c>
      <c r="K9" s="111">
        <v>3.2750049667879796E-2</v>
      </c>
      <c r="L9" s="111">
        <v>3.33656574810655E-2</v>
      </c>
      <c r="M9" s="111">
        <v>3.3894199442319611E-2</v>
      </c>
      <c r="N9" s="111">
        <v>3.5532250583462661E-2</v>
      </c>
      <c r="O9" s="111">
        <v>3.5556974510165373E-2</v>
      </c>
      <c r="P9" s="111">
        <v>3.5049585651961118E-2</v>
      </c>
      <c r="Q9" s="111">
        <v>3.4767481181227473E-2</v>
      </c>
      <c r="R9" s="111">
        <v>3.4425161629625001E-2</v>
      </c>
      <c r="S9" s="111">
        <v>3.4223128293791594E-2</v>
      </c>
      <c r="T9" s="111">
        <v>3.4154828020636678E-2</v>
      </c>
      <c r="U9" s="111">
        <v>3.4443946461892132E-2</v>
      </c>
      <c r="V9" s="111">
        <v>3.456958459526837E-2</v>
      </c>
      <c r="W9" s="111">
        <v>3.4351495227971984E-2</v>
      </c>
      <c r="X9" s="111">
        <v>3.4449679991835458E-2</v>
      </c>
      <c r="Y9" s="111">
        <v>3.688046496391318E-2</v>
      </c>
      <c r="Z9" s="111">
        <v>3.7106419564499754E-2</v>
      </c>
      <c r="AA9" s="111">
        <v>3.7261160488490715E-2</v>
      </c>
      <c r="AB9" s="111">
        <v>3.7374234272404806E-2</v>
      </c>
      <c r="AC9" s="111">
        <v>3.7531520370760442E-2</v>
      </c>
      <c r="AD9" s="111">
        <v>3.7745603066555111E-2</v>
      </c>
      <c r="AE9" s="111">
        <v>3.8009404495825891E-2</v>
      </c>
      <c r="AF9" s="111">
        <v>3.8306876413726876E-2</v>
      </c>
    </row>
    <row r="10" spans="1:32">
      <c r="A10" t="s">
        <v>57</v>
      </c>
      <c r="B10" s="111">
        <v>1.3780647382286605E-2</v>
      </c>
      <c r="C10" s="111">
        <v>1.3806769264118708E-2</v>
      </c>
      <c r="D10" s="111">
        <v>1.3845949067180856E-2</v>
      </c>
      <c r="E10" s="111">
        <v>1.4666865747480847E-2</v>
      </c>
      <c r="F10" s="111">
        <v>1.4796451339498699E-2</v>
      </c>
      <c r="G10" s="111">
        <v>1.6229435891661141E-2</v>
      </c>
      <c r="H10" s="111">
        <v>1.6700841336184331E-2</v>
      </c>
      <c r="I10" s="111">
        <v>1.6021529025091102E-2</v>
      </c>
      <c r="J10" s="111">
        <v>1.7767130236186781E-2</v>
      </c>
      <c r="K10" s="111">
        <v>1.9342402285425952E-2</v>
      </c>
      <c r="L10" s="111">
        <v>1.9225570986617143E-2</v>
      </c>
      <c r="M10" s="111">
        <v>2.244906711612938E-2</v>
      </c>
      <c r="N10" s="111">
        <v>2.1955076178427065E-2</v>
      </c>
      <c r="O10" s="111">
        <v>2.0605561001922394E-2</v>
      </c>
      <c r="P10" s="111">
        <v>1.9704496684531655E-2</v>
      </c>
      <c r="Q10" s="111">
        <v>1.9674443657490322E-2</v>
      </c>
      <c r="R10" s="111">
        <v>1.8684776942375095E-2</v>
      </c>
      <c r="S10" s="111">
        <v>1.8328755670603925E-2</v>
      </c>
      <c r="T10" s="111">
        <v>1.7967928089167234E-2</v>
      </c>
      <c r="U10" s="111">
        <v>1.7996718788283204E-2</v>
      </c>
      <c r="V10" s="111">
        <v>1.8102980029391327E-2</v>
      </c>
      <c r="W10" s="111">
        <v>1.8131769964574388E-2</v>
      </c>
      <c r="X10" s="111">
        <v>1.8245100517417609E-2</v>
      </c>
      <c r="Y10" s="111">
        <v>1.8703158394615071E-2</v>
      </c>
      <c r="Z10" s="111">
        <v>1.8706924163140223E-2</v>
      </c>
      <c r="AA10" s="111">
        <v>1.8752246472430831E-2</v>
      </c>
      <c r="AB10" s="111">
        <v>1.8638645602240992E-2</v>
      </c>
      <c r="AC10" s="111">
        <v>1.8522675452668884E-2</v>
      </c>
      <c r="AD10" s="111">
        <v>1.8484819618901034E-2</v>
      </c>
      <c r="AE10" s="111">
        <v>1.8477887278685753E-2</v>
      </c>
      <c r="AF10" s="111">
        <v>1.8500721269513378E-2</v>
      </c>
    </row>
    <row r="12" spans="1:32">
      <c r="A12" s="123" t="str" cm="1">
        <f t="array" aca="1" ref="A12:AF12" ca="1">TRANSPOSE(Table1[[#All],[BET Units ]])</f>
        <v xml:space="preserve">BET Units </v>
      </c>
      <c r="B12" s="124">
        <f ca="1"/>
        <v>149.00000000000006</v>
      </c>
      <c r="C12" s="124">
        <f ca="1"/>
        <v>408.14205125370876</v>
      </c>
      <c r="D12" s="124">
        <f ca="1"/>
        <v>910.05335873534762</v>
      </c>
      <c r="E12" s="124">
        <f ca="1"/>
        <v>1846.2496348009729</v>
      </c>
      <c r="F12" s="124">
        <f ca="1"/>
        <v>3714.3648909410667</v>
      </c>
      <c r="G12" s="124">
        <f ca="1"/>
        <v>6533.3896585746834</v>
      </c>
      <c r="H12" s="124">
        <f ca="1"/>
        <v>10713.900000000001</v>
      </c>
      <c r="I12" s="124">
        <f ca="1"/>
        <v>23198.796684822002</v>
      </c>
      <c r="J12" s="124">
        <f ca="1"/>
        <v>35771.164928748061</v>
      </c>
      <c r="K12" s="124">
        <f ca="1"/>
        <v>55485.024442825299</v>
      </c>
      <c r="L12" s="124">
        <f ca="1"/>
        <v>84443.889041331873</v>
      </c>
      <c r="M12" s="124">
        <f ca="1"/>
        <v>120706.24004318622</v>
      </c>
      <c r="N12" s="124">
        <f ca="1"/>
        <v>163130.00873910473</v>
      </c>
      <c r="O12" s="124">
        <f ca="1"/>
        <v>210964.75954333376</v>
      </c>
      <c r="P12" s="124">
        <f ca="1"/>
        <v>263975.59727063327</v>
      </c>
      <c r="Q12" s="124">
        <f ca="1"/>
        <v>319209.64966294769</v>
      </c>
      <c r="R12" s="124">
        <f ca="1"/>
        <v>375531.5975071119</v>
      </c>
      <c r="S12" s="124">
        <f ca="1"/>
        <v>428657.49622644176</v>
      </c>
      <c r="T12" s="124">
        <f ca="1"/>
        <v>474459.69525957655</v>
      </c>
      <c r="U12" s="124">
        <f ca="1"/>
        <v>511169.18704648392</v>
      </c>
      <c r="V12" s="124">
        <f ca="1"/>
        <v>537961.96804750466</v>
      </c>
      <c r="W12" s="124">
        <f ca="1"/>
        <v>568624.57473841088</v>
      </c>
      <c r="X12" s="124">
        <f ca="1"/>
        <v>601347.10319754377</v>
      </c>
      <c r="Y12" s="124">
        <f ca="1"/>
        <v>622730.46326968796</v>
      </c>
      <c r="Z12" s="124">
        <f ca="1"/>
        <v>653103.40519004629</v>
      </c>
      <c r="AA12" s="124">
        <f ca="1"/>
        <v>709008.30697129469</v>
      </c>
      <c r="AB12" s="124">
        <f ca="1"/>
        <v>744988.65938316251</v>
      </c>
      <c r="AC12" s="124">
        <f ca="1"/>
        <v>782128.42297234351</v>
      </c>
      <c r="AD12" s="124">
        <f ca="1"/>
        <v>820111.14805883309</v>
      </c>
      <c r="AE12" s="124">
        <f ca="1"/>
        <v>858927.07426048594</v>
      </c>
      <c r="AF12" s="124">
        <f ca="1"/>
        <v>898513.42332718265</v>
      </c>
    </row>
    <row r="13" spans="1:32">
      <c r="A13" t="s">
        <v>43</v>
      </c>
      <c r="B13" s="114">
        <f ca="1">B2*$B$12</f>
        <v>43.027534134577351</v>
      </c>
      <c r="C13" s="114">
        <f ca="1">C2*$C$12</f>
        <v>118.38117115670561</v>
      </c>
      <c r="D13" s="114">
        <f ca="1">D2*$D$12</f>
        <v>265.90499755822742</v>
      </c>
      <c r="E13" s="114">
        <f ca="1">E2*$E$12</f>
        <v>538.19380482430199</v>
      </c>
      <c r="F13" s="114">
        <f ca="1">F2*$F$12</f>
        <v>1088.4212868739833</v>
      </c>
      <c r="G13" s="114">
        <f ca="1">G2*$G$12</f>
        <v>1881.2399545687583</v>
      </c>
      <c r="H13" s="114">
        <f ca="1">H2*$H$12</f>
        <v>3026.5576614548477</v>
      </c>
      <c r="I13" s="114">
        <f ca="1">I2*$I$12</f>
        <v>6545.7478936004436</v>
      </c>
      <c r="J13" s="114">
        <f ca="1">J2*$J$12</f>
        <v>10069.517538695811</v>
      </c>
      <c r="K13" s="114">
        <f ca="1">K2*$K$12</f>
        <v>15386.083037265311</v>
      </c>
      <c r="L13" s="114">
        <f ca="1">L2*$L$12</f>
        <v>23258.088294855854</v>
      </c>
      <c r="M13" s="114">
        <f ca="1">M2*$M$12</f>
        <v>33207.65929840372</v>
      </c>
      <c r="N13" s="114">
        <f ca="1">N2*$N$12</f>
        <v>46398.260714417345</v>
      </c>
      <c r="O13" s="114">
        <f ca="1">O2*$O$12</f>
        <v>60574.817001284151</v>
      </c>
      <c r="P13" s="114">
        <f ca="1">P2*$P$12</f>
        <v>76917.766205234555</v>
      </c>
      <c r="Q13" s="114">
        <f ca="1">Q2*$Q$12</f>
        <v>93037.191772645834</v>
      </c>
      <c r="R13" s="114">
        <f ca="1">R2*$R$12</f>
        <v>109338.69313085053</v>
      </c>
      <c r="S13" s="114">
        <f ca="1">S2*$S$12</f>
        <v>124171.95602007996</v>
      </c>
      <c r="T13" s="114">
        <f ca="1">T2*$T$12</f>
        <v>138588.35853367709</v>
      </c>
      <c r="U13" s="114">
        <f ca="1">U2*$U$12</f>
        <v>150074.39755473184</v>
      </c>
      <c r="V13" s="114">
        <f ca="1">V2*$V$12</f>
        <v>158899.79255418869</v>
      </c>
      <c r="W13" s="114">
        <f ca="1">W2*$W$12</f>
        <v>169152.87798713616</v>
      </c>
      <c r="X13" s="114">
        <f ca="1">X2*$X$12</f>
        <v>179506.08642761665</v>
      </c>
      <c r="Y13" s="114">
        <f ca="1">Y2*$Y$12</f>
        <v>185293.94866779682</v>
      </c>
      <c r="Z13" s="114">
        <f ca="1">Z2*$Z$12</f>
        <v>193921.29591568891</v>
      </c>
      <c r="AA13" s="114">
        <f ca="1">AA2*$AA$12</f>
        <v>212030.08351453996</v>
      </c>
      <c r="AB13" s="114">
        <f ca="1">AB2*$AB$12</f>
        <v>222816.6335611541</v>
      </c>
      <c r="AC13" s="114">
        <f ca="1">AC2*$AC$12</f>
        <v>234001.41750393496</v>
      </c>
      <c r="AD13" s="114">
        <f ca="1">AD2*$AD$12</f>
        <v>245539.55977677813</v>
      </c>
      <c r="AE13" s="114">
        <f ca="1">AE2*$AE$12</f>
        <v>257551.14515917478</v>
      </c>
      <c r="AF13" s="114">
        <f ca="1">AF2*$AF$12</f>
        <v>269702.59129312745</v>
      </c>
    </row>
    <row r="14" spans="1:32">
      <c r="A14" t="s">
        <v>51</v>
      </c>
      <c r="B14" s="114">
        <f t="shared" ref="B14:B21" ca="1" si="0">B3*$B$12</f>
        <v>60.369311136659405</v>
      </c>
      <c r="C14" s="114">
        <f t="shared" ref="C14:C21" ca="1" si="1">C3*$C$12</f>
        <v>164.76104214499139</v>
      </c>
      <c r="D14" s="114">
        <f t="shared" ref="D14:D21" ca="1" si="2">D3*$D$12</f>
        <v>371.94073233880511</v>
      </c>
      <c r="E14" s="114">
        <f t="shared" ref="E14:E21" ca="1" si="3">E3*$E$12</f>
        <v>750.87717852686558</v>
      </c>
      <c r="F14" s="114">
        <f t="shared" ref="F14:F21" ca="1" si="4">F3*$F$12</f>
        <v>1524.1067697041271</v>
      </c>
      <c r="G14" s="114">
        <f t="shared" ref="G14:G21" ca="1" si="5">G3*$G$12</f>
        <v>2649.1474546754371</v>
      </c>
      <c r="H14" s="114">
        <f t="shared" ref="H14:H21" ca="1" si="6">H3*$H$12</f>
        <v>4271.4315395918165</v>
      </c>
      <c r="I14" s="114">
        <f t="shared" ref="I14:I21" ca="1" si="7">I3*$I$12</f>
        <v>9416.7856406983283</v>
      </c>
      <c r="J14" s="114">
        <f t="shared" ref="J14:J21" ca="1" si="8">J3*$J$12</f>
        <v>14267.03810578033</v>
      </c>
      <c r="K14" s="114">
        <f t="shared" ref="K14:K21" ca="1" si="9">K3*$K$12</f>
        <v>22057.64358961218</v>
      </c>
      <c r="L14" s="114">
        <f t="shared" ref="L14:L21" ca="1" si="10">L3*$L$12</f>
        <v>34181.616124651708</v>
      </c>
      <c r="M14" s="114">
        <f t="shared" ref="M14:M21" ca="1" si="11">M3*$M$12</f>
        <v>48798.848664777033</v>
      </c>
      <c r="N14" s="114">
        <f t="shared" ref="N14:N21" ca="1" si="12">N3*$N$12</f>
        <v>64214.651330884422</v>
      </c>
      <c r="O14" s="114">
        <f t="shared" ref="O14:O21" ca="1" si="13">O3*$O$12</f>
        <v>83118.494492124082</v>
      </c>
      <c r="P14" s="114">
        <f t="shared" ref="P14:P21" ca="1" si="14">P3*$P$12</f>
        <v>104422.88658879469</v>
      </c>
      <c r="Q14" s="114">
        <f t="shared" ref="Q14:Q21" ca="1" si="15">Q3*$Q$12</f>
        <v>127133.18175335509</v>
      </c>
      <c r="R14" s="114">
        <f t="shared" ref="R14:R21" ca="1" si="16">R3*$R$12</f>
        <v>149772.51789298331</v>
      </c>
      <c r="S14" s="114">
        <f t="shared" ref="S14:S21" ca="1" si="17">S3*$S$12</f>
        <v>170997.88565211286</v>
      </c>
      <c r="T14" s="114">
        <f t="shared" ref="T14:T21" ca="1" si="18">T3*$T$12</f>
        <v>190635.86233657683</v>
      </c>
      <c r="U14" s="114">
        <f t="shared" ref="U14:U21" ca="1" si="19">U3*$U$12</f>
        <v>206948.49023748792</v>
      </c>
      <c r="V14" s="114">
        <f t="shared" ref="V14:V21" ca="1" si="20">V3*$V$12</f>
        <v>218978.19444592367</v>
      </c>
      <c r="W14" s="114">
        <f t="shared" ref="W14:W21" ca="1" si="21">W3*$W$12</f>
        <v>233123.72171738386</v>
      </c>
      <c r="X14" s="114">
        <f t="shared" ref="X14:X21" ca="1" si="22">X3*$X$12</f>
        <v>247524.36553514545</v>
      </c>
      <c r="Y14" s="114">
        <f t="shared" ref="Y14:Y21" ca="1" si="23">Y3*$Y$12</f>
        <v>254920.94545222228</v>
      </c>
      <c r="Z14" s="114">
        <f t="shared" ref="Z14:Z21" ca="1" si="24">Z3*$Z$12</f>
        <v>266447.6150022432</v>
      </c>
      <c r="AA14" s="114">
        <f t="shared" ref="AA14:AA21" ca="1" si="25">AA3*$AA$12</f>
        <v>291093.44591657916</v>
      </c>
      <c r="AB14" s="114">
        <f t="shared" ref="AB14:AB21" ca="1" si="26">AB3*$AB$12</f>
        <v>306182.44152012502</v>
      </c>
      <c r="AC14" s="114">
        <f t="shared" ref="AC14:AC21" ca="1" si="27">AC3*$AC$12</f>
        <v>321694.02698190667</v>
      </c>
      <c r="AD14" s="114">
        <f t="shared" ref="AD14:AD21" ca="1" si="28">AD3*$AD$12</f>
        <v>337661.0081362254</v>
      </c>
      <c r="AE14" s="114">
        <f t="shared" ref="AE14:AE21" ca="1" si="29">AE3*$AE$12</f>
        <v>354139.6181537846</v>
      </c>
      <c r="AF14" s="114">
        <f t="shared" ref="AF14:AF21" ca="1" si="30">AF3*$AF$12</f>
        <v>370837.52914154617</v>
      </c>
    </row>
    <row r="15" spans="1:32">
      <c r="A15" t="s">
        <v>58</v>
      </c>
      <c r="B15" s="114">
        <f t="shared" ca="1" si="0"/>
        <v>12.202104982240709</v>
      </c>
      <c r="C15" s="114">
        <f t="shared" ca="1" si="1"/>
        <v>34.086466475631894</v>
      </c>
      <c r="D15" s="114">
        <f t="shared" ca="1" si="2"/>
        <v>74.925336159410378</v>
      </c>
      <c r="E15" s="114">
        <f t="shared" ca="1" si="3"/>
        <v>154.08353334584524</v>
      </c>
      <c r="F15" s="114">
        <f t="shared" ca="1" si="4"/>
        <v>303.91271069365166</v>
      </c>
      <c r="G15" s="114">
        <f t="shared" ca="1" si="5"/>
        <v>521.21579328998257</v>
      </c>
      <c r="H15" s="114">
        <f t="shared" ca="1" si="6"/>
        <v>845.65948496283761</v>
      </c>
      <c r="I15" s="114">
        <f t="shared" ca="1" si="7"/>
        <v>1724.4050192472814</v>
      </c>
      <c r="J15" s="114">
        <f t="shared" ca="1" si="8"/>
        <v>2607.8018683925748</v>
      </c>
      <c r="K15" s="114">
        <f t="shared" ca="1" si="9"/>
        <v>4094.0043475656453</v>
      </c>
      <c r="L15" s="114">
        <f t="shared" ca="1" si="10"/>
        <v>5929.8150888437067</v>
      </c>
      <c r="M15" s="114">
        <f t="shared" ca="1" si="11"/>
        <v>8558.801011722855</v>
      </c>
      <c r="N15" s="114">
        <f t="shared" ca="1" si="12"/>
        <v>11440.933708013941</v>
      </c>
      <c r="O15" s="114">
        <f t="shared" ca="1" si="13"/>
        <v>14705.025790846274</v>
      </c>
      <c r="P15" s="114">
        <f t="shared" ca="1" si="14"/>
        <v>18448.702777537455</v>
      </c>
      <c r="Q15" s="114">
        <f t="shared" ca="1" si="15"/>
        <v>22518.39539788746</v>
      </c>
      <c r="R15" s="114">
        <f t="shared" ca="1" si="16"/>
        <v>26146.591487085563</v>
      </c>
      <c r="S15" s="114">
        <f t="shared" ca="1" si="17"/>
        <v>33375.763789008517</v>
      </c>
      <c r="T15" s="114">
        <f t="shared" ca="1" si="18"/>
        <v>36931.497142768298</v>
      </c>
      <c r="U15" s="114">
        <f t="shared" ca="1" si="19"/>
        <v>39800.385049655808</v>
      </c>
      <c r="V15" s="114">
        <f t="shared" ca="1" si="20"/>
        <v>41879.850224019094</v>
      </c>
      <c r="W15" s="114">
        <f t="shared" ca="1" si="21"/>
        <v>44316.674986752572</v>
      </c>
      <c r="X15" s="114">
        <f t="shared" ca="1" si="22"/>
        <v>46872.745323055868</v>
      </c>
      <c r="Y15" s="114">
        <f t="shared" ca="1" si="23"/>
        <v>48562.2715044504</v>
      </c>
      <c r="Z15" s="114">
        <f t="shared" ca="1" si="24"/>
        <v>50941.09348682077</v>
      </c>
      <c r="AA15" s="114">
        <f t="shared" ca="1" si="25"/>
        <v>55283.408582350603</v>
      </c>
      <c r="AB15" s="114">
        <f t="shared" ca="1" si="26"/>
        <v>58602.193105435661</v>
      </c>
      <c r="AC15" s="114">
        <f t="shared" ca="1" si="27"/>
        <v>62098.482360086578</v>
      </c>
      <c r="AD15" s="114">
        <f t="shared" ca="1" si="28"/>
        <v>65881.697891370524</v>
      </c>
      <c r="AE15" s="114">
        <f t="shared" ca="1" si="29"/>
        <v>69103.510394912024</v>
      </c>
      <c r="AF15" s="114">
        <f t="shared" ca="1" si="30"/>
        <v>72416.543218243765</v>
      </c>
    </row>
    <row r="16" spans="1:32">
      <c r="A16" t="s">
        <v>54</v>
      </c>
      <c r="B16" s="114">
        <f t="shared" ca="1" si="0"/>
        <v>13.937976857878086</v>
      </c>
      <c r="C16" s="114">
        <f t="shared" ca="1" si="1"/>
        <v>37.728827649264467</v>
      </c>
      <c r="D16" s="114">
        <f t="shared" ca="1" si="2"/>
        <v>80.557566357653869</v>
      </c>
      <c r="E16" s="114">
        <f t="shared" ca="1" si="3"/>
        <v>161.5340480476101</v>
      </c>
      <c r="F16" s="114">
        <f t="shared" ca="1" si="4"/>
        <v>319.64226471985074</v>
      </c>
      <c r="G16" s="114">
        <f t="shared" ca="1" si="5"/>
        <v>581.30590861096596</v>
      </c>
      <c r="H16" s="114">
        <f t="shared" ca="1" si="6"/>
        <v>995.37242601606283</v>
      </c>
      <c r="I16" s="114">
        <f t="shared" ca="1" si="7"/>
        <v>2143.8239303225946</v>
      </c>
      <c r="J16" s="114">
        <f t="shared" ca="1" si="8"/>
        <v>3346.9359238998131</v>
      </c>
      <c r="K16" s="114">
        <f t="shared" ca="1" si="9"/>
        <v>5233.6334516713641</v>
      </c>
      <c r="L16" s="114">
        <f t="shared" ca="1" si="10"/>
        <v>8079.9628870356737</v>
      </c>
      <c r="M16" s="114">
        <f t="shared" ca="1" si="11"/>
        <v>11459.873097949296</v>
      </c>
      <c r="N16" s="114">
        <f t="shared" ca="1" si="12"/>
        <v>15714.903138560823</v>
      </c>
      <c r="O16" s="114">
        <f t="shared" ca="1" si="13"/>
        <v>19821.302321624375</v>
      </c>
      <c r="P16" s="114">
        <f t="shared" ca="1" si="14"/>
        <v>24325.537487677986</v>
      </c>
      <c r="Q16" s="114">
        <f t="shared" ca="1" si="15"/>
        <v>29198.968811012317</v>
      </c>
      <c r="R16" s="114">
        <f t="shared" ca="1" si="16"/>
        <v>34379.461133938967</v>
      </c>
      <c r="S16" s="114">
        <f t="shared" ca="1" si="17"/>
        <v>38351.785900154769</v>
      </c>
      <c r="T16" s="114">
        <f t="shared" ca="1" si="18"/>
        <v>41839.053896297533</v>
      </c>
      <c r="U16" s="114">
        <f t="shared" ca="1" si="19"/>
        <v>44539.823035892448</v>
      </c>
      <c r="V16" s="114">
        <f t="shared" ca="1" si="20"/>
        <v>46323.328688013004</v>
      </c>
      <c r="W16" s="114">
        <f t="shared" ca="1" si="21"/>
        <v>47869.715984228184</v>
      </c>
      <c r="X16" s="114">
        <f t="shared" ca="1" si="22"/>
        <v>50026.021112716197</v>
      </c>
      <c r="Y16" s="114">
        <f t="shared" ca="1" si="23"/>
        <v>52768.487432885231</v>
      </c>
      <c r="Z16" s="114">
        <f t="shared" ca="1" si="24"/>
        <v>55573.740797636427</v>
      </c>
      <c r="AA16" s="114">
        <f t="shared" ca="1" si="25"/>
        <v>58033.824961698563</v>
      </c>
      <c r="AB16" s="114">
        <f t="shared" ca="1" si="26"/>
        <v>60583.295448272635</v>
      </c>
      <c r="AC16" s="114">
        <f t="shared" ca="1" si="27"/>
        <v>63107.150108262678</v>
      </c>
      <c r="AD16" s="114">
        <f t="shared" ca="1" si="28"/>
        <v>65537.038758778857</v>
      </c>
      <c r="AE16" s="114">
        <f t="shared" ca="1" si="29"/>
        <v>68103.609911769541</v>
      </c>
      <c r="AF16" s="114">
        <f t="shared" ca="1" si="30"/>
        <v>70741.153065883016</v>
      </c>
    </row>
    <row r="17" spans="1:32">
      <c r="A17" t="s">
        <v>55</v>
      </c>
      <c r="B17" s="114">
        <f t="shared" ca="1" si="0"/>
        <v>5.9637606761079409</v>
      </c>
      <c r="C17" s="114">
        <f t="shared" ca="1" si="1"/>
        <v>16.3376728758452</v>
      </c>
      <c r="D17" s="114">
        <f t="shared" ca="1" si="2"/>
        <v>36.714864518442845</v>
      </c>
      <c r="E17" s="114">
        <f t="shared" ca="1" si="3"/>
        <v>78.400090900988346</v>
      </c>
      <c r="F17" s="114">
        <f t="shared" ca="1" si="4"/>
        <v>154.9571212384713</v>
      </c>
      <c r="G17" s="114">
        <f t="shared" ca="1" si="5"/>
        <v>300.36525501425922</v>
      </c>
      <c r="H17" s="114">
        <f t="shared" ca="1" si="6"/>
        <v>545.68685356248466</v>
      </c>
      <c r="I17" s="114">
        <f t="shared" ca="1" si="7"/>
        <v>1153.942275247525</v>
      </c>
      <c r="J17" s="114">
        <f t="shared" ca="1" si="8"/>
        <v>1823.9009185339119</v>
      </c>
      <c r="K17" s="114">
        <f t="shared" ca="1" si="9"/>
        <v>2724.0698020341829</v>
      </c>
      <c r="L17" s="114">
        <f t="shared" ca="1" si="10"/>
        <v>3882.8688036411518</v>
      </c>
      <c r="M17" s="114">
        <f t="shared" ca="1" si="11"/>
        <v>5100.7901961833304</v>
      </c>
      <c r="N17" s="114">
        <f t="shared" ca="1" si="12"/>
        <v>6437.7024247979571</v>
      </c>
      <c r="O17" s="114">
        <f t="shared" ca="1" si="13"/>
        <v>7672.3565192516717</v>
      </c>
      <c r="P17" s="114">
        <f t="shared" ca="1" si="14"/>
        <v>8698.1663339503993</v>
      </c>
      <c r="Q17" s="114">
        <f t="shared" ca="1" si="15"/>
        <v>9763.8208869416339</v>
      </c>
      <c r="R17" s="114">
        <f t="shared" ca="1" si="16"/>
        <v>12016.699797140976</v>
      </c>
      <c r="S17" s="114">
        <f t="shared" ca="1" si="17"/>
        <v>12321.418939302148</v>
      </c>
      <c r="T17" s="114">
        <f t="shared" ca="1" si="18"/>
        <v>12296.582021759383</v>
      </c>
      <c r="U17" s="114">
        <f t="shared" ca="1" si="19"/>
        <v>11852.057401113838</v>
      </c>
      <c r="V17" s="114">
        <f t="shared" ca="1" si="20"/>
        <v>11067.696148759151</v>
      </c>
      <c r="W17" s="114">
        <f t="shared" ca="1" si="21"/>
        <v>10268.261898074239</v>
      </c>
      <c r="X17" s="114">
        <f t="shared" ca="1" si="22"/>
        <v>9736.4622968150998</v>
      </c>
      <c r="Y17" s="114">
        <f t="shared" ca="1" si="23"/>
        <v>9095.9499490691214</v>
      </c>
      <c r="Z17" s="114">
        <f t="shared" ca="1" si="24"/>
        <v>8621.2905407078724</v>
      </c>
      <c r="AA17" s="114">
        <f t="shared" ca="1" si="25"/>
        <v>8208.2097195618935</v>
      </c>
      <c r="AB17" s="114">
        <f t="shared" ca="1" si="26"/>
        <v>8178.0955053911484</v>
      </c>
      <c r="AC17" s="114">
        <f t="shared" ca="1" si="27"/>
        <v>8190.4016893188036</v>
      </c>
      <c r="AD17" s="114">
        <f t="shared" ca="1" si="28"/>
        <v>7858.7258973316639</v>
      </c>
      <c r="AE17" s="114">
        <f t="shared" ca="1" si="29"/>
        <v>7548.594600091732</v>
      </c>
      <c r="AF17" s="114">
        <f t="shared" ca="1" si="30"/>
        <v>7256.3112744250047</v>
      </c>
    </row>
    <row r="18" spans="1:32">
      <c r="A18" t="s">
        <v>56</v>
      </c>
      <c r="B18" s="114">
        <f t="shared" ca="1" si="0"/>
        <v>2.4374309719509313</v>
      </c>
      <c r="C18" s="114">
        <f t="shared" ca="1" si="1"/>
        <v>6.6709708487288131</v>
      </c>
      <c r="D18" s="114">
        <f t="shared" ca="1" si="2"/>
        <v>14.678382068879106</v>
      </c>
      <c r="E18" s="114">
        <f t="shared" ca="1" si="3"/>
        <v>31.019030875130852</v>
      </c>
      <c r="F18" s="114">
        <f t="shared" ca="1" si="4"/>
        <v>62.374579121675545</v>
      </c>
      <c r="G18" s="114">
        <f t="shared" ca="1" si="5"/>
        <v>122.27423370686128</v>
      </c>
      <c r="H18" s="114">
        <f t="shared" ca="1" si="6"/>
        <v>239.31463442963943</v>
      </c>
      <c r="I18" s="114">
        <f t="shared" ca="1" si="7"/>
        <v>504.54144671443976</v>
      </c>
      <c r="J18" s="114">
        <f t="shared" ca="1" si="8"/>
        <v>846.93995244096538</v>
      </c>
      <c r="K18" s="114">
        <f t="shared" ca="1" si="9"/>
        <v>1401.414862051482</v>
      </c>
      <c r="L18" s="114">
        <f t="shared" ca="1" si="10"/>
        <v>2061.161817580296</v>
      </c>
      <c r="M18" s="114">
        <f t="shared" ca="1" si="11"/>
        <v>3065.7986363451473</v>
      </c>
      <c r="N18" s="114">
        <f t="shared" ca="1" si="12"/>
        <v>4420.1574473103547</v>
      </c>
      <c r="O18" s="114">
        <f t="shared" ca="1" si="13"/>
        <v>6470.1542444629149</v>
      </c>
      <c r="P18" s="114">
        <f t="shared" ca="1" si="14"/>
        <v>8145.459134457371</v>
      </c>
      <c r="Q18" s="114">
        <f t="shared" ca="1" si="15"/>
        <v>9658.7194332363615</v>
      </c>
      <c r="R18" s="114">
        <f t="shared" ca="1" si="16"/>
        <v>11334.982948345449</v>
      </c>
      <c r="S18" s="114">
        <f t="shared" ca="1" si="17"/>
        <v>12468.955430632543</v>
      </c>
      <c r="T18" s="114">
        <f t="shared" ca="1" si="18"/>
        <v>13445.988395909191</v>
      </c>
      <c r="U18" s="114">
        <f t="shared" ca="1" si="19"/>
        <v>13897.666517438791</v>
      </c>
      <c r="V18" s="114">
        <f t="shared" ca="1" si="20"/>
        <v>14312.609669207708</v>
      </c>
      <c r="W18" s="114">
        <f t="shared" ca="1" si="21"/>
        <v>14738.596124115833</v>
      </c>
      <c r="X18" s="114">
        <f t="shared" ca="1" si="22"/>
        <v>15481.071965067995</v>
      </c>
      <c r="Y18" s="114">
        <f t="shared" ca="1" si="23"/>
        <v>16170.141607952479</v>
      </c>
      <c r="Z18" s="114">
        <f t="shared" ca="1" si="24"/>
        <v>17280.690305449403</v>
      </c>
      <c r="AA18" s="114">
        <f t="shared" ca="1" si="25"/>
        <v>18753.729010320203</v>
      </c>
      <c r="AB18" s="114">
        <f t="shared" ca="1" si="26"/>
        <v>19463.72616181905</v>
      </c>
      <c r="AC18" s="114">
        <f t="shared" ca="1" si="27"/>
        <v>20170.68385250997</v>
      </c>
      <c r="AD18" s="114">
        <f t="shared" ca="1" si="28"/>
        <v>20863.251661485403</v>
      </c>
      <c r="AE18" s="114">
        <f t="shared" ca="1" si="29"/>
        <v>21606.013754200252</v>
      </c>
      <c r="AF18" s="114">
        <f t="shared" ca="1" si="30"/>
        <v>22379.714432788965</v>
      </c>
    </row>
    <row r="19" spans="1:32">
      <c r="A19" t="s">
        <v>549</v>
      </c>
      <c r="B19" s="114">
        <f t="shared" ca="1" si="0"/>
        <v>4.0238387789887602</v>
      </c>
      <c r="C19" s="114">
        <f t="shared" ca="1" si="1"/>
        <v>11.025050940972683</v>
      </c>
      <c r="D19" s="114">
        <f t="shared" ca="1" si="2"/>
        <v>23.763917280339946</v>
      </c>
      <c r="E19" s="114">
        <f t="shared" ca="1" si="3"/>
        <v>47.592760196418375</v>
      </c>
      <c r="F19" s="114">
        <f t="shared" ca="1" si="4"/>
        <v>95.545719614014672</v>
      </c>
      <c r="G19" s="114">
        <f t="shared" ca="1" si="5"/>
        <v>177.2628947899766</v>
      </c>
      <c r="H19" s="114">
        <f t="shared" ca="1" si="6"/>
        <v>295.45304834983347</v>
      </c>
      <c r="I19" s="114">
        <f t="shared" ca="1" si="7"/>
        <v>649.68513072791905</v>
      </c>
      <c r="J19" s="114">
        <f t="shared" ca="1" si="8"/>
        <v>1035.912618072103</v>
      </c>
      <c r="K19" s="114">
        <f t="shared" ca="1" si="9"/>
        <v>1697.824382709254</v>
      </c>
      <c r="L19" s="114">
        <f t="shared" ca="1" si="10"/>
        <v>2609.3681634511418</v>
      </c>
      <c r="M19" s="114">
        <f t="shared" ca="1" si="11"/>
        <v>3713.4852797834678</v>
      </c>
      <c r="N19" s="114">
        <f t="shared" ca="1" si="12"/>
        <v>5125.4918580650392</v>
      </c>
      <c r="O19" s="114">
        <f t="shared" ca="1" si="13"/>
        <v>6754.2933740887265</v>
      </c>
      <c r="P19" s="114">
        <f t="shared" ca="1" si="14"/>
        <v>8563.3371551996934</v>
      </c>
      <c r="Q19" s="114">
        <f t="shared" ca="1" si="15"/>
        <v>10520.983853125352</v>
      </c>
      <c r="R19" s="114">
        <f t="shared" ca="1" si="16"/>
        <v>12598.191041319364</v>
      </c>
      <c r="S19" s="114">
        <f t="shared" ca="1" si="17"/>
        <v>14442.97149299072</v>
      </c>
      <c r="T19" s="114">
        <f t="shared" ca="1" si="18"/>
        <v>15992.205952641496</v>
      </c>
      <c r="U19" s="114">
        <f t="shared" ca="1" si="19"/>
        <v>17250.315026054341</v>
      </c>
      <c r="V19" s="114">
        <f t="shared" ca="1" si="20"/>
        <v>18164.659789802066</v>
      </c>
      <c r="W19" s="114">
        <f t="shared" ca="1" si="21"/>
        <v>19311.451689725036</v>
      </c>
      <c r="X19" s="114">
        <f t="shared" ca="1" si="22"/>
        <v>20512.496924256779</v>
      </c>
      <c r="Y19" s="114">
        <f t="shared" ca="1" si="23"/>
        <v>21305.103131047501</v>
      </c>
      <c r="Z19" s="114">
        <f t="shared" ca="1" si="24"/>
        <v>23865.794297935507</v>
      </c>
      <c r="AA19" s="114">
        <f t="shared" ca="1" si="25"/>
        <v>25891.634429187194</v>
      </c>
      <c r="AB19" s="114">
        <f t="shared" ca="1" si="26"/>
        <v>27433.313794962363</v>
      </c>
      <c r="AC19" s="114">
        <f t="shared" ca="1" si="27"/>
        <v>29024.680695962219</v>
      </c>
      <c r="AD19" s="114">
        <f t="shared" ca="1" si="28"/>
        <v>30654.669432460298</v>
      </c>
      <c r="AE19" s="114">
        <f t="shared" ca="1" si="29"/>
        <v>32356.118029773312</v>
      </c>
      <c r="AF19" s="114">
        <f t="shared" ca="1" si="30"/>
        <v>34137.191835806625</v>
      </c>
    </row>
    <row r="20" spans="1:32">
      <c r="A20" t="s">
        <v>52</v>
      </c>
      <c r="B20" s="114">
        <f t="shared" ca="1" si="0"/>
        <v>4.984726001636191</v>
      </c>
      <c r="C20" s="114">
        <f t="shared" ca="1" si="1"/>
        <v>13.515726032924663</v>
      </c>
      <c r="D20" s="114">
        <f t="shared" ca="1" si="2"/>
        <v>28.967010000122396</v>
      </c>
      <c r="E20" s="114">
        <f t="shared" ca="1" si="3"/>
        <v>57.470492553850896</v>
      </c>
      <c r="F20" s="114">
        <f t="shared" ca="1" si="4"/>
        <v>110.44501960933981</v>
      </c>
      <c r="G20" s="114">
        <f t="shared" ca="1" si="5"/>
        <v>194.54493529936218</v>
      </c>
      <c r="H20" s="114">
        <f t="shared" ca="1" si="6"/>
        <v>315.49320764073406</v>
      </c>
      <c r="I20" s="114">
        <f t="shared" ca="1" si="7"/>
        <v>688.18515383040756</v>
      </c>
      <c r="J20" s="114">
        <f t="shared" ca="1" si="8"/>
        <v>1137.5670569433687</v>
      </c>
      <c r="K20" s="114">
        <f t="shared" ca="1" si="9"/>
        <v>1817.137306326053</v>
      </c>
      <c r="L20" s="114">
        <f t="shared" ca="1" si="10"/>
        <v>2817.5258781221796</v>
      </c>
      <c r="M20" s="114">
        <f t="shared" ca="1" si="11"/>
        <v>4091.2413739562594</v>
      </c>
      <c r="N20" s="114">
        <f t="shared" ca="1" si="12"/>
        <v>5796.3763482003233</v>
      </c>
      <c r="O20" s="114">
        <f t="shared" ca="1" si="13"/>
        <v>7501.2685776254857</v>
      </c>
      <c r="P20" s="114">
        <f t="shared" ca="1" si="14"/>
        <v>9252.2353065646548</v>
      </c>
      <c r="Q20" s="114">
        <f t="shared" ca="1" si="15"/>
        <v>11098.115487522749</v>
      </c>
      <c r="R20" s="114">
        <f t="shared" ca="1" si="16"/>
        <v>12927.735941213608</v>
      </c>
      <c r="S20" s="114">
        <f t="shared" ca="1" si="17"/>
        <v>14670.000487453002</v>
      </c>
      <c r="T20" s="114">
        <f t="shared" ca="1" si="18"/>
        <v>16205.089294314525</v>
      </c>
      <c r="U20" s="114">
        <f t="shared" ca="1" si="19"/>
        <v>17606.684111598017</v>
      </c>
      <c r="V20" s="114">
        <f t="shared" ca="1" si="20"/>
        <v>18597.12176345527</v>
      </c>
      <c r="W20" s="114">
        <f t="shared" ca="1" si="21"/>
        <v>19533.104365634121</v>
      </c>
      <c r="X20" s="114">
        <f t="shared" ca="1" si="22"/>
        <v>20716.215269172637</v>
      </c>
      <c r="Y20" s="114">
        <f t="shared" ca="1" si="23"/>
        <v>22966.589032579152</v>
      </c>
      <c r="Z20" s="114">
        <f t="shared" ca="1" si="24"/>
        <v>24234.328971985346</v>
      </c>
      <c r="AA20" s="114">
        <f t="shared" ca="1" si="25"/>
        <v>26418.472313730501</v>
      </c>
      <c r="AB20" s="114">
        <f t="shared" ca="1" si="26"/>
        <v>27843.380686071101</v>
      </c>
      <c r="AC20" s="114">
        <f t="shared" ca="1" si="27"/>
        <v>29354.468839337249</v>
      </c>
      <c r="AD20" s="114">
        <f t="shared" ca="1" si="28"/>
        <v>30955.589865085523</v>
      </c>
      <c r="AE20" s="114">
        <f t="shared" ca="1" si="29"/>
        <v>32647.306597983094</v>
      </c>
      <c r="AF20" s="114">
        <f t="shared" ca="1" si="30"/>
        <v>34419.242663469042</v>
      </c>
    </row>
    <row r="21" spans="1:32">
      <c r="A21" t="s">
        <v>57</v>
      </c>
      <c r="B21" s="114">
        <f t="shared" ca="1" si="0"/>
        <v>2.0533164599607048</v>
      </c>
      <c r="C21" s="114">
        <f t="shared" ca="1" si="1"/>
        <v>5.6351231286440679</v>
      </c>
      <c r="D21" s="114">
        <f t="shared" ca="1" si="2"/>
        <v>12.600552453466491</v>
      </c>
      <c r="E21" s="114">
        <f t="shared" ca="1" si="3"/>
        <v>27.078695529961411</v>
      </c>
      <c r="F21" s="114">
        <f t="shared" ca="1" si="4"/>
        <v>54.959419365951888</v>
      </c>
      <c r="G21" s="114">
        <f t="shared" ca="1" si="5"/>
        <v>106.03322861907969</v>
      </c>
      <c r="H21" s="114">
        <f t="shared" ca="1" si="6"/>
        <v>178.93114399174533</v>
      </c>
      <c r="I21" s="114">
        <f t="shared" ca="1" si="7"/>
        <v>371.68019443306298</v>
      </c>
      <c r="J21" s="114">
        <f t="shared" ca="1" si="8"/>
        <v>635.55094598918379</v>
      </c>
      <c r="K21" s="114">
        <f t="shared" ca="1" si="9"/>
        <v>1073.2136635898189</v>
      </c>
      <c r="L21" s="114">
        <f t="shared" ca="1" si="10"/>
        <v>1623.4819831501475</v>
      </c>
      <c r="M21" s="114">
        <f t="shared" ca="1" si="11"/>
        <v>2709.7424840651111</v>
      </c>
      <c r="N21" s="114">
        <f t="shared" ca="1" si="12"/>
        <v>3581.5317688545174</v>
      </c>
      <c r="O21" s="114">
        <f t="shared" ca="1" si="13"/>
        <v>4347.0472220260535</v>
      </c>
      <c r="P21" s="114">
        <f t="shared" ca="1" si="14"/>
        <v>5201.506281216457</v>
      </c>
      <c r="Q21" s="114">
        <f t="shared" ca="1" si="15"/>
        <v>6280.2722672208893</v>
      </c>
      <c r="R21" s="114">
        <f t="shared" ca="1" si="16"/>
        <v>7016.7241342341695</v>
      </c>
      <c r="S21" s="114">
        <f t="shared" ca="1" si="17"/>
        <v>7856.758514707275</v>
      </c>
      <c r="T21" s="114">
        <f t="shared" ca="1" si="18"/>
        <v>8525.0576856322714</v>
      </c>
      <c r="U21" s="114">
        <f t="shared" ca="1" si="19"/>
        <v>9199.3681125109088</v>
      </c>
      <c r="V21" s="114">
        <f t="shared" ca="1" si="20"/>
        <v>9738.7147641360316</v>
      </c>
      <c r="W21" s="114">
        <f t="shared" ca="1" si="21"/>
        <v>10310.169985360802</v>
      </c>
      <c r="X21" s="114">
        <f t="shared" ca="1" si="22"/>
        <v>10971.638343697086</v>
      </c>
      <c r="Y21" s="114">
        <f t="shared" ca="1" si="23"/>
        <v>11647.026491684996</v>
      </c>
      <c r="Z21" s="114">
        <f t="shared" ca="1" si="24"/>
        <v>12217.555871578837</v>
      </c>
      <c r="AA21" s="114">
        <f t="shared" ca="1" si="25"/>
        <v>13295.498523326616</v>
      </c>
      <c r="AB21" s="114">
        <f t="shared" ca="1" si="26"/>
        <v>13885.579599931394</v>
      </c>
      <c r="AC21" s="114">
        <f t="shared" ca="1" si="27"/>
        <v>14487.110941024453</v>
      </c>
      <c r="AD21" s="114">
        <f t="shared" ca="1" si="28"/>
        <v>15159.606639317368</v>
      </c>
      <c r="AE21" s="114">
        <f t="shared" ca="1" si="29"/>
        <v>15871.157658796606</v>
      </c>
      <c r="AF21" s="114">
        <f t="shared" ca="1" si="30"/>
        <v>16623.146401892485</v>
      </c>
    </row>
    <row r="22" spans="1:32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</row>
    <row r="23" spans="1:32">
      <c r="A23" s="123" t="str" cm="1">
        <f t="array" ref="A23:AF23">TRANSPOSE(Table1[[#All],[H2 ICE Units]])</f>
        <v>H2 ICE Units</v>
      </c>
      <c r="B23" s="124">
        <v>0</v>
      </c>
      <c r="C23" s="124">
        <v>0</v>
      </c>
      <c r="D23" s="124">
        <v>0</v>
      </c>
      <c r="E23" s="124">
        <v>31.155000000000008</v>
      </c>
      <c r="F23" s="124">
        <v>60.165251595160974</v>
      </c>
      <c r="G23" s="124">
        <v>103.8564062908798</v>
      </c>
      <c r="H23" s="124">
        <v>170.17395775208524</v>
      </c>
      <c r="I23" s="124">
        <v>289.05014875549324</v>
      </c>
      <c r="J23" s="124">
        <v>457.11094801035966</v>
      </c>
      <c r="K23" s="124">
        <v>678.64608072933686</v>
      </c>
      <c r="L23" s="124">
        <v>994.95656405211207</v>
      </c>
      <c r="M23" s="124">
        <v>1403.903123123192</v>
      </c>
      <c r="N23" s="124">
        <v>1919.2768008992973</v>
      </c>
      <c r="O23" s="124">
        <v>2563.2557365888842</v>
      </c>
      <c r="P23" s="124">
        <v>3368.9115448661978</v>
      </c>
      <c r="Q23" s="124">
        <v>4339.986773426459</v>
      </c>
      <c r="R23" s="124">
        <v>5506.4433901977236</v>
      </c>
      <c r="S23" s="124">
        <v>6854.825044815685</v>
      </c>
      <c r="T23" s="124">
        <v>8363.567574579256</v>
      </c>
      <c r="U23" s="124">
        <v>10039.813326939546</v>
      </c>
      <c r="V23" s="124">
        <v>11905.528320341517</v>
      </c>
      <c r="W23" s="124">
        <v>13926.994462713301</v>
      </c>
      <c r="X23" s="124">
        <v>16135.42707107211</v>
      </c>
      <c r="Y23" s="124">
        <v>18136.838861057146</v>
      </c>
      <c r="Z23" s="124">
        <v>20473.483382251045</v>
      </c>
      <c r="AA23" s="124">
        <v>23739.913097510482</v>
      </c>
      <c r="AB23" s="124">
        <v>26636.700000000004</v>
      </c>
      <c r="AC23" s="124">
        <v>41668.308493558536</v>
      </c>
      <c r="AD23" s="124">
        <v>49908.008295828316</v>
      </c>
      <c r="AE23" s="124">
        <v>58654.580491494009</v>
      </c>
      <c r="AF23" s="124">
        <v>67908.572399728073</v>
      </c>
    </row>
    <row r="24" spans="1:32">
      <c r="A24" t="s">
        <v>43</v>
      </c>
      <c r="B24" s="114">
        <f>B2*$B$23</f>
        <v>0</v>
      </c>
      <c r="C24" s="114">
        <f>C2*$C$23</f>
        <v>0</v>
      </c>
      <c r="D24" s="114">
        <f>D2*$D$23</f>
        <v>0</v>
      </c>
      <c r="E24" s="114">
        <f>E2*$E$23</f>
        <v>9.0818856092061857</v>
      </c>
      <c r="F24" s="114">
        <f>F2*$F$23</f>
        <v>17.630238947717075</v>
      </c>
      <c r="G24" s="114">
        <f>G2*$G$23</f>
        <v>29.904663775243559</v>
      </c>
      <c r="H24" s="114">
        <f>H2*$H$23</f>
        <v>48.0722515250905</v>
      </c>
      <c r="I24" s="114">
        <f>I2*$I$23</f>
        <v>81.558083725913818</v>
      </c>
      <c r="J24" s="114">
        <f>J2*$J$23</f>
        <v>128.67589627815011</v>
      </c>
      <c r="K24" s="114">
        <f>K2*$K$23</f>
        <v>188.18960712139398</v>
      </c>
      <c r="L24" s="114">
        <f>L2*$L$23</f>
        <v>274.0374452074791</v>
      </c>
      <c r="M24" s="114">
        <f>M2*$M$23</f>
        <v>386.22971425470701</v>
      </c>
      <c r="N24" s="114">
        <f>N2*$N$23</f>
        <v>545.89039796889051</v>
      </c>
      <c r="O24" s="114">
        <f>O2*$O$23</f>
        <v>735.99376269035156</v>
      </c>
      <c r="P24" s="114">
        <f>P2*$P$23</f>
        <v>981.6405503137064</v>
      </c>
      <c r="Q24" s="114">
        <f>Q2*$Q$23</f>
        <v>1264.9372666408235</v>
      </c>
      <c r="R24" s="114">
        <f>R2*$R$23</f>
        <v>1603.2401216833082</v>
      </c>
      <c r="S24" s="114">
        <f>S2*$S$23</f>
        <v>1985.6809725323335</v>
      </c>
      <c r="T24" s="114">
        <f>T2*$T$23</f>
        <v>2442.9748474468142</v>
      </c>
      <c r="U24" s="114">
        <f>U2*$U$23</f>
        <v>2947.5934285244871</v>
      </c>
      <c r="V24" s="114">
        <f>V2*$V$23</f>
        <v>3516.5794102813447</v>
      </c>
      <c r="W24" s="114">
        <f>W2*$W$23</f>
        <v>4142.9640921914397</v>
      </c>
      <c r="X24" s="114">
        <f>X2*$X$23</f>
        <v>4816.5316685909102</v>
      </c>
      <c r="Y24" s="114">
        <f>Y2*$Y$23</f>
        <v>5396.6309457088801</v>
      </c>
      <c r="Z24" s="114">
        <f>Z2*$Z$23</f>
        <v>6079.0441419290173</v>
      </c>
      <c r="AA24" s="114">
        <f>AA2*$AA$23</f>
        <v>7099.4594946217758</v>
      </c>
      <c r="AB24" s="114">
        <f>AB2*$AB$23</f>
        <v>7966.6982153695508</v>
      </c>
      <c r="AC24" s="114">
        <f>AC2*$AC$23</f>
        <v>12466.550205948381</v>
      </c>
      <c r="AD24" s="114">
        <f>AD2*$AD$23</f>
        <v>14942.353137497372</v>
      </c>
      <c r="AE24" s="114">
        <f>AE2*$AE$23</f>
        <v>17587.703109046397</v>
      </c>
      <c r="AF24" s="114">
        <f>AF2*$AF$23</f>
        <v>20383.800032060724</v>
      </c>
    </row>
    <row r="25" spans="1:32">
      <c r="A25" t="s">
        <v>51</v>
      </c>
      <c r="B25" s="114">
        <f t="shared" ref="B25:B32" si="31">B3*$B$23</f>
        <v>0</v>
      </c>
      <c r="C25" s="114">
        <f t="shared" ref="C25:C32" si="32">C3*$C$23</f>
        <v>0</v>
      </c>
      <c r="D25" s="114">
        <f t="shared" ref="D25:D32" si="33">D3*$D$23</f>
        <v>0</v>
      </c>
      <c r="E25" s="114">
        <f t="shared" ref="E25:E32" si="34">E3*$E$23</f>
        <v>12.670864251532459</v>
      </c>
      <c r="F25" s="114">
        <f t="shared" ref="F25:F32" si="35">F3*$F$23</f>
        <v>24.68746877313508</v>
      </c>
      <c r="G25" s="114">
        <f t="shared" ref="G25:G32" si="36">G3*$G$23</f>
        <v>42.111514658570741</v>
      </c>
      <c r="H25" s="114">
        <f t="shared" ref="H25:H32" si="37">H3*$H$23</f>
        <v>67.845174059812223</v>
      </c>
      <c r="I25" s="114">
        <f t="shared" ref="I25:I32" si="38">I3*$I$23</f>
        <v>117.33036532982265</v>
      </c>
      <c r="J25" s="114">
        <f t="shared" ref="J25:J32" si="39">J3*$J$23</f>
        <v>182.31498266336777</v>
      </c>
      <c r="K25" s="114">
        <f t="shared" ref="K25:K32" si="40">K3*$K$23</f>
        <v>269.79051595516694</v>
      </c>
      <c r="L25" s="114">
        <f t="shared" ref="L25:L32" si="41">L3*$L$23</f>
        <v>402.74345153011126</v>
      </c>
      <c r="M25" s="114">
        <f t="shared" ref="M25:M32" si="42">M3*$M$23</f>
        <v>567.56681361945675</v>
      </c>
      <c r="N25" s="114">
        <f t="shared" ref="N25:N32" si="43">N3*$N$23</f>
        <v>755.50593989307993</v>
      </c>
      <c r="O25" s="114">
        <f t="shared" ref="O25:O32" si="44">O3*$O$23</f>
        <v>1009.9030676249307</v>
      </c>
      <c r="P25" s="114">
        <f t="shared" ref="P25:P32" si="45">P3*$P$23</f>
        <v>1332.6666245462841</v>
      </c>
      <c r="Q25" s="114">
        <f t="shared" ref="Q25:Q32" si="46">Q3*$Q$23</f>
        <v>1728.5076684109663</v>
      </c>
      <c r="R25" s="114">
        <f t="shared" ref="R25:R32" si="47">R3*$R$23</f>
        <v>2196.123832614297</v>
      </c>
      <c r="S25" s="114">
        <f t="shared" ref="S25:S32" si="48">S3*$S$23</f>
        <v>2734.4922216394148</v>
      </c>
      <c r="T25" s="114">
        <f t="shared" ref="T25:T32" si="49">T3*$T$23</f>
        <v>3360.445434501778</v>
      </c>
      <c r="U25" s="114">
        <f t="shared" ref="U25:U32" si="50">U3*$U$23</f>
        <v>4064.6507319452512</v>
      </c>
      <c r="V25" s="114">
        <f t="shared" ref="V25:V32" si="51">V3*$V$23</f>
        <v>4846.1624619586128</v>
      </c>
      <c r="W25" s="114">
        <f t="shared" ref="W25:W32" si="52">W3*$W$23</f>
        <v>5709.765152128246</v>
      </c>
      <c r="X25" s="114">
        <f t="shared" ref="X25:X32" si="53">X3*$X$23</f>
        <v>6641.6073631500085</v>
      </c>
      <c r="Y25" s="114">
        <f t="shared" ref="Y25:Y32" si="54">Y3*$Y$23</f>
        <v>7424.4964437736144</v>
      </c>
      <c r="Z25" s="114">
        <f t="shared" ref="Z25:Z32" si="55">Z3*$Z$23</f>
        <v>8352.5989523840708</v>
      </c>
      <c r="AA25" s="114">
        <f t="shared" ref="AA25:AA32" si="56">AA3*$AA$23</f>
        <v>9746.7590173019507</v>
      </c>
      <c r="AB25" s="114">
        <f t="shared" ref="AB25:AB32" si="57">AB3*$AB$23</f>
        <v>10947.401329292561</v>
      </c>
      <c r="AC25" s="114">
        <f t="shared" ref="AC25:AC32" si="58">AC3*$AC$23</f>
        <v>17138.42070318319</v>
      </c>
      <c r="AD25" s="114">
        <f t="shared" ref="AD25:AD32" si="59">AD3*$AD$23</f>
        <v>20548.420095408292</v>
      </c>
      <c r="AE25" s="114">
        <f t="shared" ref="AE25:AE32" si="60">AE3*$AE$23</f>
        <v>24183.555694890852</v>
      </c>
      <c r="AF25" s="114">
        <f t="shared" ref="AF25:AF32" si="61">AF3*$AF$23</f>
        <v>28027.457957158265</v>
      </c>
    </row>
    <row r="26" spans="1:32">
      <c r="A26" t="s">
        <v>58</v>
      </c>
      <c r="B26" s="114">
        <f t="shared" si="31"/>
        <v>0</v>
      </c>
      <c r="C26" s="114">
        <f t="shared" si="32"/>
        <v>0</v>
      </c>
      <c r="D26" s="114">
        <f t="shared" si="33"/>
        <v>0</v>
      </c>
      <c r="E26" s="114">
        <f t="shared" si="34"/>
        <v>2.600121018795654</v>
      </c>
      <c r="F26" s="114">
        <f t="shared" si="35"/>
        <v>4.9227755588703781</v>
      </c>
      <c r="G26" s="114">
        <f t="shared" si="36"/>
        <v>8.2853774261119053</v>
      </c>
      <c r="H26" s="114">
        <f t="shared" si="37"/>
        <v>13.432010889285515</v>
      </c>
      <c r="I26" s="114">
        <f t="shared" si="38"/>
        <v>21.485576777965122</v>
      </c>
      <c r="J26" s="114">
        <f t="shared" si="39"/>
        <v>33.324460823642433</v>
      </c>
      <c r="K26" s="114">
        <f t="shared" si="40"/>
        <v>50.074412562028883</v>
      </c>
      <c r="L26" s="114">
        <f t="shared" si="41"/>
        <v>69.867796394035537</v>
      </c>
      <c r="M26" s="114">
        <f t="shared" si="42"/>
        <v>99.545205502620831</v>
      </c>
      <c r="N26" s="114">
        <f t="shared" si="43"/>
        <v>134.6062494334569</v>
      </c>
      <c r="O26" s="114">
        <f t="shared" si="44"/>
        <v>178.66842688165571</v>
      </c>
      <c r="P26" s="114">
        <f t="shared" si="45"/>
        <v>235.44618675995056</v>
      </c>
      <c r="Q26" s="114">
        <f t="shared" si="46"/>
        <v>306.16097692789384</v>
      </c>
      <c r="R26" s="114">
        <f t="shared" si="47"/>
        <v>383.38911246352779</v>
      </c>
      <c r="S26" s="114">
        <f t="shared" si="48"/>
        <v>533.72453188102077</v>
      </c>
      <c r="T26" s="114">
        <f t="shared" si="49"/>
        <v>651.01224628771865</v>
      </c>
      <c r="U26" s="114">
        <f t="shared" si="50"/>
        <v>781.71463845007281</v>
      </c>
      <c r="V26" s="114">
        <f t="shared" si="51"/>
        <v>926.83455803271841</v>
      </c>
      <c r="W26" s="114">
        <f t="shared" si="52"/>
        <v>1085.4228159771374</v>
      </c>
      <c r="X26" s="114">
        <f t="shared" si="53"/>
        <v>1257.6958627713791</v>
      </c>
      <c r="Y26" s="114">
        <f t="shared" si="54"/>
        <v>1414.361661991936</v>
      </c>
      <c r="Z26" s="114">
        <f t="shared" si="55"/>
        <v>1596.901229863649</v>
      </c>
      <c r="AA26" s="114">
        <f t="shared" si="56"/>
        <v>1851.0690249674381</v>
      </c>
      <c r="AB26" s="114">
        <f t="shared" si="57"/>
        <v>2095.2923476499805</v>
      </c>
      <c r="AC26" s="114">
        <f t="shared" si="58"/>
        <v>3308.3297371145241</v>
      </c>
      <c r="AD26" s="114">
        <f t="shared" si="59"/>
        <v>4009.2423236635464</v>
      </c>
      <c r="AE26" s="114">
        <f t="shared" si="60"/>
        <v>4718.9540697537022</v>
      </c>
      <c r="AF26" s="114">
        <f t="shared" si="61"/>
        <v>5473.1559266682452</v>
      </c>
    </row>
    <row r="27" spans="1:32">
      <c r="A27" t="s">
        <v>54</v>
      </c>
      <c r="B27" s="114">
        <f t="shared" si="31"/>
        <v>0</v>
      </c>
      <c r="C27" s="114">
        <f t="shared" si="32"/>
        <v>0</v>
      </c>
      <c r="D27" s="114">
        <f t="shared" si="33"/>
        <v>0</v>
      </c>
      <c r="E27" s="114">
        <f t="shared" si="34"/>
        <v>2.7258465876234617</v>
      </c>
      <c r="F27" s="114">
        <f t="shared" si="35"/>
        <v>5.1775627440965915</v>
      </c>
      <c r="G27" s="114">
        <f t="shared" si="36"/>
        <v>9.2405850223175392</v>
      </c>
      <c r="H27" s="114">
        <f t="shared" si="37"/>
        <v>15.809972575107855</v>
      </c>
      <c r="I27" s="114">
        <f t="shared" si="38"/>
        <v>26.711412422988207</v>
      </c>
      <c r="J27" s="114">
        <f t="shared" si="39"/>
        <v>42.769673734450492</v>
      </c>
      <c r="K27" s="114">
        <f t="shared" si="40"/>
        <v>64.013395787734936</v>
      </c>
      <c r="L27" s="114">
        <f t="shared" si="41"/>
        <v>95.201822216155009</v>
      </c>
      <c r="M27" s="114">
        <f t="shared" si="42"/>
        <v>133.28682615787147</v>
      </c>
      <c r="N27" s="114">
        <f t="shared" si="43"/>
        <v>184.89086867184872</v>
      </c>
      <c r="O27" s="114">
        <f t="shared" si="44"/>
        <v>240.83200906419677</v>
      </c>
      <c r="P27" s="114">
        <f t="shared" si="45"/>
        <v>310.44757517224747</v>
      </c>
      <c r="Q27" s="114">
        <f t="shared" si="46"/>
        <v>396.99031207637881</v>
      </c>
      <c r="R27" s="114">
        <f t="shared" si="47"/>
        <v>504.10819695658927</v>
      </c>
      <c r="S27" s="114">
        <f t="shared" si="48"/>
        <v>613.29799389047355</v>
      </c>
      <c r="T27" s="114">
        <f t="shared" si="49"/>
        <v>737.52050598672008</v>
      </c>
      <c r="U27" s="114">
        <f t="shared" si="50"/>
        <v>874.80137736592042</v>
      </c>
      <c r="V27" s="114">
        <f t="shared" si="51"/>
        <v>1025.1722879021941</v>
      </c>
      <c r="W27" s="114">
        <f t="shared" si="52"/>
        <v>1172.445404335019</v>
      </c>
      <c r="X27" s="114">
        <f t="shared" si="53"/>
        <v>1342.3049866342865</v>
      </c>
      <c r="Y27" s="114">
        <f t="shared" si="54"/>
        <v>1536.8664453749134</v>
      </c>
      <c r="Z27" s="114">
        <f t="shared" si="55"/>
        <v>1742.125442415741</v>
      </c>
      <c r="AA27" s="114">
        <f t="shared" si="56"/>
        <v>1943.1619457212332</v>
      </c>
      <c r="AB27" s="114">
        <f t="shared" si="57"/>
        <v>2166.1256792863819</v>
      </c>
      <c r="AC27" s="114">
        <f t="shared" si="58"/>
        <v>3362.0670488705382</v>
      </c>
      <c r="AD27" s="114">
        <f t="shared" si="59"/>
        <v>3988.2680314723816</v>
      </c>
      <c r="AE27" s="114">
        <f t="shared" si="60"/>
        <v>4650.6726694701456</v>
      </c>
      <c r="AF27" s="114">
        <f t="shared" si="61"/>
        <v>5346.5319380826541</v>
      </c>
    </row>
    <row r="28" spans="1:32">
      <c r="A28" t="s">
        <v>55</v>
      </c>
      <c r="B28" s="114">
        <f t="shared" si="31"/>
        <v>0</v>
      </c>
      <c r="C28" s="114">
        <f t="shared" si="32"/>
        <v>0</v>
      </c>
      <c r="D28" s="114">
        <f t="shared" si="33"/>
        <v>0</v>
      </c>
      <c r="E28" s="114">
        <f t="shared" si="34"/>
        <v>1.3229818904113699</v>
      </c>
      <c r="F28" s="114">
        <f t="shared" si="35"/>
        <v>2.5099941603778233</v>
      </c>
      <c r="G28" s="114">
        <f t="shared" si="36"/>
        <v>4.7746816875499301</v>
      </c>
      <c r="H28" s="114">
        <f t="shared" si="37"/>
        <v>8.667403239157597</v>
      </c>
      <c r="I28" s="114">
        <f t="shared" si="38"/>
        <v>14.377779625689607</v>
      </c>
      <c r="J28" s="114">
        <f t="shared" si="39"/>
        <v>23.307182743661947</v>
      </c>
      <c r="K28" s="114">
        <f t="shared" si="40"/>
        <v>33.318527176438678</v>
      </c>
      <c r="L28" s="114">
        <f t="shared" si="41"/>
        <v>45.749738049665304</v>
      </c>
      <c r="M28" s="114">
        <f t="shared" si="42"/>
        <v>59.325974235100631</v>
      </c>
      <c r="N28" s="114">
        <f t="shared" si="43"/>
        <v>75.741630926830297</v>
      </c>
      <c r="O28" s="114">
        <f t="shared" si="44"/>
        <v>93.220364878463897</v>
      </c>
      <c r="P28" s="114">
        <f t="shared" si="45"/>
        <v>111.00781013318282</v>
      </c>
      <c r="Q28" s="114">
        <f t="shared" si="46"/>
        <v>132.74928734822126</v>
      </c>
      <c r="R28" s="114">
        <f t="shared" si="47"/>
        <v>176.20162353636334</v>
      </c>
      <c r="S28" s="114">
        <f t="shared" si="48"/>
        <v>197.036496215098</v>
      </c>
      <c r="T28" s="114">
        <f t="shared" si="49"/>
        <v>216.75875886375454</v>
      </c>
      <c r="U28" s="114">
        <f t="shared" si="50"/>
        <v>232.78485257471993</v>
      </c>
      <c r="V28" s="114">
        <f t="shared" si="51"/>
        <v>244.93696165590495</v>
      </c>
      <c r="W28" s="114">
        <f t="shared" si="52"/>
        <v>251.49462923222788</v>
      </c>
      <c r="X28" s="114">
        <f t="shared" si="53"/>
        <v>261.25007750955268</v>
      </c>
      <c r="Y28" s="114">
        <f t="shared" si="54"/>
        <v>264.91682717481376</v>
      </c>
      <c r="Z28" s="114">
        <f t="shared" si="55"/>
        <v>270.26018730889757</v>
      </c>
      <c r="AA28" s="114">
        <f t="shared" si="56"/>
        <v>274.83766200278041</v>
      </c>
      <c r="AB28" s="114">
        <f t="shared" si="57"/>
        <v>292.40374843936286</v>
      </c>
      <c r="AC28" s="114">
        <f t="shared" si="58"/>
        <v>436.34801428098302</v>
      </c>
      <c r="AD28" s="114">
        <f t="shared" si="59"/>
        <v>478.24414801215812</v>
      </c>
      <c r="AE28" s="114">
        <f t="shared" si="60"/>
        <v>515.47990840775651</v>
      </c>
      <c r="AF28" s="114">
        <f t="shared" si="61"/>
        <v>548.42334765522912</v>
      </c>
    </row>
    <row r="29" spans="1:32">
      <c r="A29" t="s">
        <v>56</v>
      </c>
      <c r="B29" s="114">
        <f t="shared" si="31"/>
        <v>0</v>
      </c>
      <c r="C29" s="114">
        <f t="shared" si="32"/>
        <v>0</v>
      </c>
      <c r="D29" s="114">
        <f t="shared" si="33"/>
        <v>0</v>
      </c>
      <c r="E29" s="114">
        <f t="shared" si="34"/>
        <v>0.52343837404137405</v>
      </c>
      <c r="F29" s="114">
        <f t="shared" si="35"/>
        <v>1.0103429135760229</v>
      </c>
      <c r="G29" s="114">
        <f t="shared" si="36"/>
        <v>1.9437019921349932</v>
      </c>
      <c r="H29" s="114">
        <f t="shared" si="37"/>
        <v>3.801147900287027</v>
      </c>
      <c r="I29" s="114">
        <f t="shared" si="38"/>
        <v>6.286437275496108</v>
      </c>
      <c r="J29" s="114">
        <f t="shared" si="39"/>
        <v>10.822838041178889</v>
      </c>
      <c r="K29" s="114">
        <f t="shared" si="40"/>
        <v>17.140926099566016</v>
      </c>
      <c r="L29" s="114">
        <f t="shared" si="41"/>
        <v>24.285552255549604</v>
      </c>
      <c r="M29" s="114">
        <f t="shared" si="42"/>
        <v>35.657512643023779</v>
      </c>
      <c r="N29" s="114">
        <f t="shared" si="43"/>
        <v>52.004568077433056</v>
      </c>
      <c r="O29" s="114">
        <f t="shared" si="44"/>
        <v>78.613414011110564</v>
      </c>
      <c r="P29" s="114">
        <f t="shared" si="45"/>
        <v>103.95404575285737</v>
      </c>
      <c r="Q29" s="114">
        <f t="shared" si="46"/>
        <v>131.32032390858086</v>
      </c>
      <c r="R29" s="114">
        <f t="shared" si="47"/>
        <v>166.20556658415052</v>
      </c>
      <c r="S29" s="114">
        <f t="shared" si="48"/>
        <v>199.39580835754001</v>
      </c>
      <c r="T29" s="114">
        <f t="shared" si="49"/>
        <v>237.01999069630187</v>
      </c>
      <c r="U29" s="114">
        <f t="shared" si="50"/>
        <v>272.96241841442435</v>
      </c>
      <c r="V29" s="114">
        <f t="shared" si="51"/>
        <v>316.74949136868929</v>
      </c>
      <c r="W29" s="114">
        <f t="shared" si="52"/>
        <v>360.9839527304257</v>
      </c>
      <c r="X29" s="114">
        <f t="shared" si="53"/>
        <v>415.39022362649661</v>
      </c>
      <c r="Y29" s="114">
        <f t="shared" si="54"/>
        <v>470.95054763187312</v>
      </c>
      <c r="Z29" s="114">
        <f t="shared" si="55"/>
        <v>541.71502244655142</v>
      </c>
      <c r="AA29" s="114">
        <f t="shared" si="56"/>
        <v>627.93607998909943</v>
      </c>
      <c r="AB29" s="114">
        <f t="shared" si="57"/>
        <v>695.91587485881007</v>
      </c>
      <c r="AC29" s="114">
        <f t="shared" si="58"/>
        <v>1074.6039302578126</v>
      </c>
      <c r="AD29" s="114">
        <f t="shared" si="59"/>
        <v>1269.6368528387213</v>
      </c>
      <c r="AE29" s="114">
        <f t="shared" si="60"/>
        <v>1475.4357044073513</v>
      </c>
      <c r="AF29" s="114">
        <f t="shared" si="61"/>
        <v>1691.4321126295313</v>
      </c>
    </row>
    <row r="30" spans="1:32">
      <c r="A30" t="s">
        <v>549</v>
      </c>
      <c r="B30" s="114">
        <f t="shared" si="31"/>
        <v>0</v>
      </c>
      <c r="C30" s="114">
        <f t="shared" si="32"/>
        <v>0</v>
      </c>
      <c r="D30" s="114">
        <f t="shared" si="33"/>
        <v>0</v>
      </c>
      <c r="E30" s="114">
        <f t="shared" si="34"/>
        <v>0.80311590370565289</v>
      </c>
      <c r="F30" s="114">
        <f t="shared" si="35"/>
        <v>1.547648771244297</v>
      </c>
      <c r="G30" s="114">
        <f t="shared" si="36"/>
        <v>2.8178155878768711</v>
      </c>
      <c r="H30" s="114">
        <f t="shared" si="37"/>
        <v>4.6928209678650497</v>
      </c>
      <c r="I30" s="114">
        <f t="shared" si="38"/>
        <v>8.0948846714968283</v>
      </c>
      <c r="J30" s="114">
        <f t="shared" si="39"/>
        <v>13.237673412259356</v>
      </c>
      <c r="K30" s="114">
        <f t="shared" si="40"/>
        <v>20.766357673315099</v>
      </c>
      <c r="L30" s="114">
        <f t="shared" si="41"/>
        <v>30.744770423631</v>
      </c>
      <c r="M30" s="114">
        <f t="shared" si="42"/>
        <v>43.190588822042443</v>
      </c>
      <c r="N30" s="114">
        <f t="shared" si="43"/>
        <v>60.303053327945598</v>
      </c>
      <c r="O30" s="114">
        <f t="shared" si="44"/>
        <v>82.065750105438823</v>
      </c>
      <c r="P30" s="114">
        <f t="shared" si="45"/>
        <v>109.28709207600424</v>
      </c>
      <c r="Q30" s="114">
        <f t="shared" si="46"/>
        <v>143.04370439368165</v>
      </c>
      <c r="R30" s="114">
        <f t="shared" si="47"/>
        <v>184.72806615589096</v>
      </c>
      <c r="S30" s="114">
        <f t="shared" si="48"/>
        <v>230.96304994841873</v>
      </c>
      <c r="T30" s="114">
        <f t="shared" si="49"/>
        <v>281.90359789851107</v>
      </c>
      <c r="U30" s="114">
        <f t="shared" si="50"/>
        <v>338.81138981238433</v>
      </c>
      <c r="V30" s="114">
        <f t="shared" si="51"/>
        <v>401.99843929814847</v>
      </c>
      <c r="W30" s="114">
        <f t="shared" si="52"/>
        <v>472.98427239709702</v>
      </c>
      <c r="X30" s="114">
        <f t="shared" si="53"/>
        <v>550.39410085627253</v>
      </c>
      <c r="Y30" s="114">
        <f t="shared" si="54"/>
        <v>620.50476923379597</v>
      </c>
      <c r="Z30" s="114">
        <f t="shared" si="55"/>
        <v>748.14484058741391</v>
      </c>
      <c r="AA30" s="114">
        <f t="shared" si="56"/>
        <v>866.93645935843756</v>
      </c>
      <c r="AB30" s="114">
        <f t="shared" si="57"/>
        <v>980.86452774637951</v>
      </c>
      <c r="AC30" s="114">
        <f t="shared" si="58"/>
        <v>1546.3053299741191</v>
      </c>
      <c r="AD30" s="114">
        <f t="shared" si="59"/>
        <v>1865.4953050721736</v>
      </c>
      <c r="AE30" s="114">
        <f t="shared" si="60"/>
        <v>2209.5409333832049</v>
      </c>
      <c r="AF30" s="114">
        <f t="shared" si="61"/>
        <v>2580.0482253464711</v>
      </c>
    </row>
    <row r="31" spans="1:32">
      <c r="A31" t="s">
        <v>52</v>
      </c>
      <c r="B31" s="114">
        <f t="shared" si="31"/>
        <v>0</v>
      </c>
      <c r="C31" s="114">
        <f t="shared" si="32"/>
        <v>0</v>
      </c>
      <c r="D31" s="114">
        <f t="shared" si="33"/>
        <v>0</v>
      </c>
      <c r="E31" s="114">
        <f t="shared" si="34"/>
        <v>0.96980016232108368</v>
      </c>
      <c r="F31" s="114">
        <f t="shared" si="35"/>
        <v>1.7889875085871976</v>
      </c>
      <c r="G31" s="114">
        <f t="shared" si="36"/>
        <v>3.0925352532381063</v>
      </c>
      <c r="H31" s="114">
        <f t="shared" si="37"/>
        <v>5.0111283275113756</v>
      </c>
      <c r="I31" s="114">
        <f t="shared" si="38"/>
        <v>8.5745835781278394</v>
      </c>
      <c r="J31" s="114">
        <f t="shared" si="39"/>
        <v>14.536690567961806</v>
      </c>
      <c r="K31" s="114">
        <f t="shared" si="40"/>
        <v>22.225692850797746</v>
      </c>
      <c r="L31" s="114">
        <f t="shared" si="41"/>
        <v>33.197379924700577</v>
      </c>
      <c r="M31" s="114">
        <f t="shared" si="42"/>
        <v>47.584172452832853</v>
      </c>
      <c r="N31" s="114">
        <f t="shared" si="43"/>
        <v>68.196224228580405</v>
      </c>
      <c r="O31" s="114">
        <f t="shared" si="44"/>
        <v>91.141618888926132</v>
      </c>
      <c r="P31" s="114">
        <f t="shared" si="45"/>
        <v>118.07895374566846</v>
      </c>
      <c r="Q31" s="114">
        <f t="shared" si="46"/>
        <v>150.89040847188056</v>
      </c>
      <c r="R31" s="114">
        <f t="shared" si="47"/>
        <v>189.56020371193688</v>
      </c>
      <c r="S31" s="114">
        <f t="shared" si="48"/>
        <v>234.5935569402229</v>
      </c>
      <c r="T31" s="114">
        <f t="shared" si="49"/>
        <v>285.65621214872789</v>
      </c>
      <c r="U31" s="114">
        <f t="shared" si="50"/>
        <v>345.81079272049686</v>
      </c>
      <c r="V31" s="114">
        <f t="shared" si="51"/>
        <v>411.56916842140942</v>
      </c>
      <c r="W31" s="114">
        <f t="shared" si="52"/>
        <v>478.41308382588818</v>
      </c>
      <c r="X31" s="114">
        <f t="shared" si="53"/>
        <v>555.86029913003313</v>
      </c>
      <c r="Y31" s="114">
        <f t="shared" si="54"/>
        <v>668.89505017135707</v>
      </c>
      <c r="Z31" s="114">
        <f t="shared" si="55"/>
        <v>759.6976643286207</v>
      </c>
      <c r="AA31" s="114">
        <f t="shared" si="56"/>
        <v>884.57671190916074</v>
      </c>
      <c r="AB31" s="114">
        <f t="shared" si="57"/>
        <v>995.5262660437653</v>
      </c>
      <c r="AC31" s="114">
        <f t="shared" si="58"/>
        <v>1563.8749690411225</v>
      </c>
      <c r="AD31" s="114">
        <f t="shared" si="59"/>
        <v>1883.8078709766753</v>
      </c>
      <c r="AE31" s="114">
        <f t="shared" si="60"/>
        <v>2229.4256754341741</v>
      </c>
      <c r="AF31" s="114">
        <f t="shared" si="61"/>
        <v>2601.3652903490074</v>
      </c>
    </row>
    <row r="32" spans="1:32">
      <c r="A32" t="s">
        <v>57</v>
      </c>
      <c r="B32" s="114">
        <f t="shared" si="31"/>
        <v>0</v>
      </c>
      <c r="C32" s="114">
        <f t="shared" si="32"/>
        <v>0</v>
      </c>
      <c r="D32" s="114">
        <f t="shared" si="33"/>
        <v>0</v>
      </c>
      <c r="E32" s="114">
        <f t="shared" si="34"/>
        <v>0.4569462023627659</v>
      </c>
      <c r="F32" s="114">
        <f t="shared" si="35"/>
        <v>0.89023221755649584</v>
      </c>
      <c r="G32" s="114">
        <f t="shared" si="36"/>
        <v>1.6855308878361466</v>
      </c>
      <c r="H32" s="114">
        <f t="shared" si="37"/>
        <v>2.8420482679681114</v>
      </c>
      <c r="I32" s="114">
        <f t="shared" si="38"/>
        <v>4.6310253479930354</v>
      </c>
      <c r="J32" s="114">
        <f t="shared" si="39"/>
        <v>8.1215497456868651</v>
      </c>
      <c r="K32" s="114">
        <f t="shared" si="40"/>
        <v>13.12664550289449</v>
      </c>
      <c r="L32" s="114">
        <f t="shared" si="41"/>
        <v>19.128608050784567</v>
      </c>
      <c r="M32" s="114">
        <f t="shared" si="42"/>
        <v>31.516315435536185</v>
      </c>
      <c r="N32" s="114">
        <f t="shared" si="43"/>
        <v>42.137868371231868</v>
      </c>
      <c r="O32" s="114">
        <f t="shared" si="44"/>
        <v>52.817322443809772</v>
      </c>
      <c r="P32" s="114">
        <f t="shared" si="45"/>
        <v>66.382706366296418</v>
      </c>
      <c r="Q32" s="114">
        <f t="shared" si="46"/>
        <v>85.386825248032082</v>
      </c>
      <c r="R32" s="114">
        <f t="shared" si="47"/>
        <v>102.88666649166018</v>
      </c>
      <c r="S32" s="114">
        <f t="shared" si="48"/>
        <v>125.64041341116329</v>
      </c>
      <c r="T32" s="114">
        <f t="shared" si="49"/>
        <v>150.27598074893089</v>
      </c>
      <c r="U32" s="114">
        <f t="shared" si="50"/>
        <v>180.68369713178902</v>
      </c>
      <c r="V32" s="114">
        <f t="shared" si="51"/>
        <v>215.52554142249534</v>
      </c>
      <c r="W32" s="114">
        <f t="shared" si="52"/>
        <v>252.52105989581884</v>
      </c>
      <c r="X32" s="114">
        <f t="shared" si="53"/>
        <v>294.39248880317183</v>
      </c>
      <c r="Y32" s="114">
        <f t="shared" si="54"/>
        <v>339.21616999596176</v>
      </c>
      <c r="Z32" s="114">
        <f t="shared" si="55"/>
        <v>382.99590098708188</v>
      </c>
      <c r="AA32" s="114">
        <f t="shared" si="56"/>
        <v>445.17670163860544</v>
      </c>
      <c r="AB32" s="114">
        <f t="shared" si="57"/>
        <v>496.4720113132127</v>
      </c>
      <c r="AC32" s="114">
        <f t="shared" si="58"/>
        <v>771.80855488787108</v>
      </c>
      <c r="AD32" s="114">
        <f t="shared" si="59"/>
        <v>922.54053088700289</v>
      </c>
      <c r="AE32" s="114">
        <f t="shared" si="60"/>
        <v>1083.8127267004268</v>
      </c>
      <c r="AF32" s="114">
        <f t="shared" si="61"/>
        <v>1256.3575697779384</v>
      </c>
    </row>
    <row r="33" spans="1:32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</row>
    <row r="34" spans="1:32">
      <c r="A34" s="123" t="str" cm="1">
        <f t="array" ref="A34:AF34">TRANSPOSE(Table1[[#All],[H2 FCET Units]])</f>
        <v>H2 FCET Units</v>
      </c>
      <c r="B34" s="124">
        <v>0</v>
      </c>
      <c r="C34" s="124">
        <v>0</v>
      </c>
      <c r="D34" s="124">
        <v>0</v>
      </c>
      <c r="E34" s="124">
        <v>0</v>
      </c>
      <c r="F34" s="124">
        <v>0</v>
      </c>
      <c r="G34" s="124">
        <v>34.995000000000005</v>
      </c>
      <c r="H34" s="124">
        <v>67.458112974663635</v>
      </c>
      <c r="I34" s="124">
        <v>131.93256070106435</v>
      </c>
      <c r="J34" s="124">
        <v>235.74184956656484</v>
      </c>
      <c r="K34" s="124">
        <v>388.94901126299607</v>
      </c>
      <c r="L34" s="124">
        <v>624.55365816275889</v>
      </c>
      <c r="M34" s="124">
        <v>952.97754001239377</v>
      </c>
      <c r="N34" s="124">
        <v>1393.211641671091</v>
      </c>
      <c r="O34" s="124">
        <v>1970.4666371189423</v>
      </c>
      <c r="P34" s="124">
        <v>2719.3558254801883</v>
      </c>
      <c r="Q34" s="124">
        <v>3651.2367705709662</v>
      </c>
      <c r="R34" s="124">
        <v>4797.2421475223946</v>
      </c>
      <c r="S34" s="124">
        <v>6149.6052665740663</v>
      </c>
      <c r="T34" s="124">
        <v>7688.7880289966124</v>
      </c>
      <c r="U34" s="124">
        <v>9418.3917311327987</v>
      </c>
      <c r="V34" s="124">
        <v>11355.427789265219</v>
      </c>
      <c r="W34" s="124">
        <v>13463.368998761969</v>
      </c>
      <c r="X34" s="124">
        <v>15766.956827215763</v>
      </c>
      <c r="Y34" s="124">
        <v>17872.997792618466</v>
      </c>
      <c r="Z34" s="124">
        <v>20306.724855547549</v>
      </c>
      <c r="AA34" s="124">
        <v>23659.823508657439</v>
      </c>
      <c r="AB34" s="124">
        <v>26636.699999999997</v>
      </c>
      <c r="AC34" s="124">
        <v>30776.636548157676</v>
      </c>
      <c r="AD34" s="124">
        <v>40972.597833973632</v>
      </c>
      <c r="AE34" s="124">
        <v>51848.727907656939</v>
      </c>
      <c r="AF34" s="124">
        <v>63408.004273089253</v>
      </c>
    </row>
    <row r="35" spans="1:32">
      <c r="A35" t="s">
        <v>43</v>
      </c>
      <c r="B35" s="114">
        <f>B2*$B$34</f>
        <v>0</v>
      </c>
      <c r="C35" s="114">
        <f>C2*$C$34</f>
        <v>0</v>
      </c>
      <c r="D35" s="114">
        <f>D2*$D$34</f>
        <v>0</v>
      </c>
      <c r="E35" s="114">
        <f>E2*$E$34</f>
        <v>0</v>
      </c>
      <c r="F35" s="114">
        <f>F2*$F$34</f>
        <v>0</v>
      </c>
      <c r="G35" s="114">
        <f>G2*$G$34</f>
        <v>10.076544588723639</v>
      </c>
      <c r="H35" s="114">
        <f>H2*$H$34</f>
        <v>19.056167096085911</v>
      </c>
      <c r="I35" s="114">
        <f>I2*$I$34</f>
        <v>37.225951545638573</v>
      </c>
      <c r="J35" s="114">
        <f>J2*$J$34</f>
        <v>66.360899723099791</v>
      </c>
      <c r="K35" s="114">
        <f>K2*$K$34</f>
        <v>107.85616199414928</v>
      </c>
      <c r="L35" s="114">
        <f>L2*$L$34</f>
        <v>172.01865394090049</v>
      </c>
      <c r="M35" s="114">
        <f>M2*$M$34</f>
        <v>262.17495844821383</v>
      </c>
      <c r="N35" s="114">
        <f>N2*$N$34</f>
        <v>396.26428932521026</v>
      </c>
      <c r="O35" s="114">
        <f>O2*$O$34</f>
        <v>565.78480789393711</v>
      </c>
      <c r="P35" s="114">
        <f>P2*$P$34</f>
        <v>792.37163501399573</v>
      </c>
      <c r="Q35" s="114">
        <f>Q2*$Q$34</f>
        <v>1064.1934414878619</v>
      </c>
      <c r="R35" s="114">
        <f>R2*$R$34</f>
        <v>1396.7511403148972</v>
      </c>
      <c r="S35" s="114">
        <f>S2*$S$34</f>
        <v>1781.3954530693773</v>
      </c>
      <c r="T35" s="114">
        <f>T2*$T$34</f>
        <v>2245.8736172922986</v>
      </c>
      <c r="U35" s="114">
        <f>U2*$U$34</f>
        <v>2765.1499753949129</v>
      </c>
      <c r="V35" s="114">
        <f>V2*$V$34</f>
        <v>3354.0942060033835</v>
      </c>
      <c r="W35" s="114">
        <f>W2*$W$34</f>
        <v>4005.0460615267139</v>
      </c>
      <c r="X35" s="114">
        <f>X2*$X$34</f>
        <v>4706.5408644646704</v>
      </c>
      <c r="Y35" s="114">
        <f>Y2*$Y$34</f>
        <v>5318.1248242401425</v>
      </c>
      <c r="Z35" s="114">
        <f>Z2*$Z$34</f>
        <v>6029.529732194891</v>
      </c>
      <c r="AA35" s="114">
        <f>AA2*$AA$34</f>
        <v>7075.5085732486596</v>
      </c>
      <c r="AB35" s="114">
        <f>AB2*$AB$34</f>
        <v>7966.6982153695481</v>
      </c>
      <c r="AC35" s="114">
        <f>AC2*$AC$34</f>
        <v>9207.9208052600934</v>
      </c>
      <c r="AD35" s="114">
        <f>AD2*$AD$34</f>
        <v>12267.109962932911</v>
      </c>
      <c r="AE35" s="114">
        <f>AE2*$AE$34</f>
        <v>15546.953458372122</v>
      </c>
      <c r="AF35" s="114">
        <f>AF2*$AF$34</f>
        <v>19032.885449670841</v>
      </c>
    </row>
    <row r="36" spans="1:32">
      <c r="A36" t="s">
        <v>51</v>
      </c>
      <c r="B36" s="114">
        <f t="shared" ref="B36:B43" si="62">B3*$B$34</f>
        <v>0</v>
      </c>
      <c r="C36" s="114">
        <f t="shared" ref="C36:C43" si="63">C3*$C$34</f>
        <v>0</v>
      </c>
      <c r="D36" s="114">
        <f t="shared" ref="D36:D43" si="64">D3*$D$34</f>
        <v>0</v>
      </c>
      <c r="E36" s="114">
        <f t="shared" ref="E36:E43" si="65">E3*$E$34</f>
        <v>0</v>
      </c>
      <c r="F36" s="114">
        <f t="shared" ref="F36:F43" si="66">F3*$F$34</f>
        <v>0</v>
      </c>
      <c r="G36" s="114">
        <f t="shared" ref="G36:G43" si="67">G3*$G$34</f>
        <v>14.189711623076796</v>
      </c>
      <c r="H36" s="114">
        <f t="shared" ref="H36:H43" si="68">H3*$H$34</f>
        <v>26.894287921422279</v>
      </c>
      <c r="I36" s="114">
        <f t="shared" ref="I36:I43" si="69">I3*$I$34</f>
        <v>53.553667460829146</v>
      </c>
      <c r="J36" s="114">
        <f t="shared" ref="J36:J43" si="70">J3*$J$34</f>
        <v>94.023718757627449</v>
      </c>
      <c r="K36" s="114">
        <f t="shared" ref="K36:K43" si="71">K3*$K$34</f>
        <v>154.62368001318598</v>
      </c>
      <c r="L36" s="114">
        <f t="shared" ref="L36:L43" si="72">L3*$L$34</f>
        <v>252.80992662615603</v>
      </c>
      <c r="M36" s="114">
        <f t="shared" ref="M36:M43" si="73">M3*$M$34</f>
        <v>385.26762774946889</v>
      </c>
      <c r="N36" s="114">
        <f t="shared" ref="N36:N43" si="74">N3*$N$34</f>
        <v>548.42515176419636</v>
      </c>
      <c r="O36" s="114">
        <f t="shared" ref="O36:O43" si="75">O3*$O$34</f>
        <v>776.3487166236547</v>
      </c>
      <c r="P36" s="114">
        <f t="shared" ref="P36:P43" si="76">P3*$P$34</f>
        <v>1075.7168006994643</v>
      </c>
      <c r="Q36" s="114">
        <f t="shared" ref="Q36:Q43" si="77">Q3*$Q$34</f>
        <v>1454.1958504940937</v>
      </c>
      <c r="R36" s="114">
        <f t="shared" ref="R36:R43" si="78">R3*$R$34</f>
        <v>1913.2745157700465</v>
      </c>
      <c r="S36" s="114">
        <f t="shared" ref="S36:S43" si="79">S3*$S$34</f>
        <v>2453.1695058092791</v>
      </c>
      <c r="T36" s="114">
        <f t="shared" ref="T36:T43" si="80">T3*$T$34</f>
        <v>3089.321918965114</v>
      </c>
      <c r="U36" s="114">
        <f t="shared" ref="U36:U43" si="81">U3*$U$34</f>
        <v>3813.0661992463306</v>
      </c>
      <c r="V36" s="114">
        <f t="shared" ref="V36:V43" si="82">V3*$V$34</f>
        <v>4622.2432479367872</v>
      </c>
      <c r="W36" s="114">
        <f t="shared" ref="W36:W43" si="83">W3*$W$34</f>
        <v>5519.6887846251257</v>
      </c>
      <c r="X36" s="114">
        <f t="shared" ref="X36:X43" si="84">X3*$X$34</f>
        <v>6489.9389459510958</v>
      </c>
      <c r="Y36" s="114">
        <f t="shared" ref="Y36:Y43" si="85">Y3*$Y$34</f>
        <v>7316.4904627230544</v>
      </c>
      <c r="Z36" s="114">
        <f t="shared" ref="Z36:Z43" si="86">Z3*$Z$34</f>
        <v>8284.5662161154487</v>
      </c>
      <c r="AA36" s="114">
        <f t="shared" ref="AA36:AA43" si="87">AA3*$AA$34</f>
        <v>9713.8770973412884</v>
      </c>
      <c r="AB36" s="114">
        <f t="shared" ref="AB36:AB43" si="88">AB3*$AB$34</f>
        <v>10947.401329292557</v>
      </c>
      <c r="AC36" s="114">
        <f t="shared" ref="AC36:AC43" si="89">AC3*$AC$34</f>
        <v>12658.611881805327</v>
      </c>
      <c r="AD36" s="114">
        <f t="shared" ref="AD36:AD43" si="90">AD3*$AD$34</f>
        <v>16869.480098308795</v>
      </c>
      <c r="AE36" s="114">
        <f t="shared" ref="AE36:AE43" si="91">AE3*$AE$34</f>
        <v>21377.471095303456</v>
      </c>
      <c r="AF36" s="114">
        <f t="shared" ref="AF36:AF43" si="92">AF3*$AF$34</f>
        <v>26169.968107272965</v>
      </c>
    </row>
    <row r="37" spans="1:32">
      <c r="A37" t="s">
        <v>58</v>
      </c>
      <c r="B37" s="114">
        <f t="shared" si="62"/>
        <v>0</v>
      </c>
      <c r="C37" s="114">
        <f t="shared" si="63"/>
        <v>0</v>
      </c>
      <c r="D37" s="114">
        <f t="shared" si="64"/>
        <v>0</v>
      </c>
      <c r="E37" s="114">
        <f t="shared" si="65"/>
        <v>0</v>
      </c>
      <c r="F37" s="114">
        <f t="shared" si="66"/>
        <v>0</v>
      </c>
      <c r="G37" s="114">
        <f t="shared" si="67"/>
        <v>2.7918045056816871</v>
      </c>
      <c r="H37" s="114">
        <f t="shared" si="68"/>
        <v>5.3245403704271039</v>
      </c>
      <c r="I37" s="114">
        <f t="shared" si="69"/>
        <v>9.8067659700603809</v>
      </c>
      <c r="J37" s="114">
        <f t="shared" si="70"/>
        <v>17.186134054693337</v>
      </c>
      <c r="K37" s="114">
        <f t="shared" si="71"/>
        <v>28.698895946831847</v>
      </c>
      <c r="L37" s="114">
        <f t="shared" si="72"/>
        <v>43.857379711080746</v>
      </c>
      <c r="M37" s="114">
        <f t="shared" si="73"/>
        <v>67.571859836650205</v>
      </c>
      <c r="N37" s="114">
        <f t="shared" si="74"/>
        <v>97.711280449231367</v>
      </c>
      <c r="O37" s="114">
        <f t="shared" si="75"/>
        <v>137.34882916729194</v>
      </c>
      <c r="P37" s="114">
        <f t="shared" si="76"/>
        <v>190.05009512002403</v>
      </c>
      <c r="Q37" s="114">
        <f t="shared" si="77"/>
        <v>257.57364596539765</v>
      </c>
      <c r="R37" s="114">
        <f t="shared" si="78"/>
        <v>334.01059066280476</v>
      </c>
      <c r="S37" s="114">
        <f t="shared" si="79"/>
        <v>478.8153119440492</v>
      </c>
      <c r="T37" s="114">
        <f t="shared" si="80"/>
        <v>598.48804010398828</v>
      </c>
      <c r="U37" s="114">
        <f t="shared" si="81"/>
        <v>733.32983862638741</v>
      </c>
      <c r="V37" s="114">
        <f t="shared" si="82"/>
        <v>884.00973171043404</v>
      </c>
      <c r="W37" s="114">
        <f t="shared" si="83"/>
        <v>1049.2894163417704</v>
      </c>
      <c r="X37" s="114">
        <f t="shared" si="84"/>
        <v>1228.9749928984443</v>
      </c>
      <c r="Y37" s="114">
        <f t="shared" si="85"/>
        <v>1393.7865940367417</v>
      </c>
      <c r="Z37" s="114">
        <f t="shared" si="86"/>
        <v>1583.8943129940983</v>
      </c>
      <c r="AA37" s="114">
        <f t="shared" si="87"/>
        <v>1844.8242103154505</v>
      </c>
      <c r="AB37" s="114">
        <f t="shared" si="88"/>
        <v>2095.29234764998</v>
      </c>
      <c r="AC37" s="114">
        <f t="shared" si="89"/>
        <v>2443.5659997183684</v>
      </c>
      <c r="AD37" s="114">
        <f t="shared" si="90"/>
        <v>3291.4371652082791</v>
      </c>
      <c r="AE37" s="114">
        <f t="shared" si="91"/>
        <v>4171.4008270312661</v>
      </c>
      <c r="AF37" s="114">
        <f t="shared" si="92"/>
        <v>5110.4283615724116</v>
      </c>
    </row>
    <row r="38" spans="1:32">
      <c r="A38" t="s">
        <v>54</v>
      </c>
      <c r="B38" s="114">
        <f t="shared" si="62"/>
        <v>0</v>
      </c>
      <c r="C38" s="114">
        <f t="shared" si="63"/>
        <v>0</v>
      </c>
      <c r="D38" s="114">
        <f t="shared" si="64"/>
        <v>0</v>
      </c>
      <c r="E38" s="114">
        <f t="shared" si="65"/>
        <v>0</v>
      </c>
      <c r="F38" s="114">
        <f t="shared" si="66"/>
        <v>0</v>
      </c>
      <c r="G38" s="114">
        <f t="shared" si="67"/>
        <v>3.1136670755802918</v>
      </c>
      <c r="H38" s="114">
        <f t="shared" si="68"/>
        <v>6.2671805379979819</v>
      </c>
      <c r="I38" s="114">
        <f t="shared" si="69"/>
        <v>12.192019468179161</v>
      </c>
      <c r="J38" s="114">
        <f t="shared" si="70"/>
        <v>22.057231478274247</v>
      </c>
      <c r="K38" s="114">
        <f t="shared" si="71"/>
        <v>36.687675220151078</v>
      </c>
      <c r="L38" s="114">
        <f t="shared" si="72"/>
        <v>59.760042274313797</v>
      </c>
      <c r="M38" s="114">
        <f t="shared" si="73"/>
        <v>90.475866614937388</v>
      </c>
      <c r="N38" s="114">
        <f t="shared" si="74"/>
        <v>134.21311118417256</v>
      </c>
      <c r="O38" s="114">
        <f t="shared" si="75"/>
        <v>185.13620480289939</v>
      </c>
      <c r="P38" s="114">
        <f t="shared" si="76"/>
        <v>250.59055745685345</v>
      </c>
      <c r="Q38" s="114">
        <f t="shared" si="77"/>
        <v>333.98848906383176</v>
      </c>
      <c r="R38" s="114">
        <f t="shared" si="78"/>
        <v>439.18168552438959</v>
      </c>
      <c r="S38" s="114">
        <f t="shared" si="79"/>
        <v>550.20230984021794</v>
      </c>
      <c r="T38" s="114">
        <f t="shared" si="80"/>
        <v>678.01674189922346</v>
      </c>
      <c r="U38" s="114">
        <f t="shared" si="81"/>
        <v>820.65490569019823</v>
      </c>
      <c r="V38" s="114">
        <f t="shared" si="82"/>
        <v>977.80372055721114</v>
      </c>
      <c r="W38" s="114">
        <f t="shared" si="83"/>
        <v>1133.4150488625771</v>
      </c>
      <c r="X38" s="114">
        <f t="shared" si="84"/>
        <v>1311.6519742549949</v>
      </c>
      <c r="Y38" s="114">
        <f t="shared" si="85"/>
        <v>1514.5092701195317</v>
      </c>
      <c r="Z38" s="114">
        <f t="shared" si="86"/>
        <v>1727.9356601160773</v>
      </c>
      <c r="AA38" s="114">
        <f t="shared" si="87"/>
        <v>1936.6064439943118</v>
      </c>
      <c r="AB38" s="114">
        <f t="shared" si="88"/>
        <v>2166.1256792863815</v>
      </c>
      <c r="AC38" s="114">
        <f t="shared" si="89"/>
        <v>2483.2569248550476</v>
      </c>
      <c r="AD38" s="114">
        <f t="shared" si="90"/>
        <v>3274.2180601358641</v>
      </c>
      <c r="AE38" s="114">
        <f t="shared" si="91"/>
        <v>4111.0423057565404</v>
      </c>
      <c r="AF38" s="114">
        <f t="shared" si="92"/>
        <v>4992.196242627987</v>
      </c>
    </row>
    <row r="39" spans="1:32">
      <c r="A39" t="s">
        <v>55</v>
      </c>
      <c r="B39" s="114">
        <f t="shared" si="62"/>
        <v>0</v>
      </c>
      <c r="C39" s="114">
        <f t="shared" si="63"/>
        <v>0</v>
      </c>
      <c r="D39" s="114">
        <f t="shared" si="64"/>
        <v>0</v>
      </c>
      <c r="E39" s="114">
        <f t="shared" si="65"/>
        <v>0</v>
      </c>
      <c r="F39" s="114">
        <f t="shared" si="66"/>
        <v>0</v>
      </c>
      <c r="G39" s="114">
        <f t="shared" si="67"/>
        <v>1.6088558387801917</v>
      </c>
      <c r="H39" s="114">
        <f t="shared" si="68"/>
        <v>3.4358175282956545</v>
      </c>
      <c r="I39" s="114">
        <f t="shared" si="69"/>
        <v>6.5625196575055247</v>
      </c>
      <c r="J39" s="114">
        <f t="shared" si="70"/>
        <v>12.020010441868191</v>
      </c>
      <c r="K39" s="114">
        <f t="shared" si="71"/>
        <v>19.095679721730512</v>
      </c>
      <c r="L39" s="114">
        <f t="shared" si="72"/>
        <v>28.718003670972184</v>
      </c>
      <c r="M39" s="114">
        <f t="shared" si="73"/>
        <v>40.270813601177387</v>
      </c>
      <c r="N39" s="114">
        <f t="shared" si="74"/>
        <v>54.981189746560105</v>
      </c>
      <c r="O39" s="114">
        <f t="shared" si="75"/>
        <v>71.661838602774125</v>
      </c>
      <c r="P39" s="114">
        <f t="shared" si="76"/>
        <v>89.604529872409771</v>
      </c>
      <c r="Q39" s="114">
        <f t="shared" si="77"/>
        <v>111.68215585372448</v>
      </c>
      <c r="R39" s="114">
        <f t="shared" si="78"/>
        <v>153.5077717125435</v>
      </c>
      <c r="S39" s="114">
        <f t="shared" si="79"/>
        <v>176.76551435081129</v>
      </c>
      <c r="T39" s="114">
        <f t="shared" si="80"/>
        <v>199.27048301700856</v>
      </c>
      <c r="U39" s="114">
        <f t="shared" si="81"/>
        <v>218.37646370772123</v>
      </c>
      <c r="V39" s="114">
        <f t="shared" si="82"/>
        <v>233.61953423381277</v>
      </c>
      <c r="W39" s="114">
        <f t="shared" si="83"/>
        <v>243.12244853873864</v>
      </c>
      <c r="X39" s="114">
        <f t="shared" si="84"/>
        <v>255.28414432765283</v>
      </c>
      <c r="Y39" s="114">
        <f t="shared" si="85"/>
        <v>261.06301674706236</v>
      </c>
      <c r="Z39" s="114">
        <f t="shared" si="86"/>
        <v>268.05889162214049</v>
      </c>
      <c r="AA39" s="114">
        <f t="shared" si="87"/>
        <v>273.91046251132803</v>
      </c>
      <c r="AB39" s="114">
        <f t="shared" si="88"/>
        <v>292.4037484393628</v>
      </c>
      <c r="AC39" s="114">
        <f t="shared" si="89"/>
        <v>322.29108234888287</v>
      </c>
      <c r="AD39" s="114">
        <f t="shared" si="90"/>
        <v>392.620459362058</v>
      </c>
      <c r="AE39" s="114">
        <f t="shared" si="91"/>
        <v>455.66735434709295</v>
      </c>
      <c r="AF39" s="114">
        <f t="shared" si="92"/>
        <v>512.07717586659101</v>
      </c>
    </row>
    <row r="40" spans="1:32">
      <c r="A40" t="s">
        <v>56</v>
      </c>
      <c r="B40" s="114">
        <f t="shared" si="62"/>
        <v>0</v>
      </c>
      <c r="C40" s="114">
        <f t="shared" si="63"/>
        <v>0</v>
      </c>
      <c r="D40" s="114">
        <f t="shared" si="64"/>
        <v>0</v>
      </c>
      <c r="E40" s="114">
        <f t="shared" si="65"/>
        <v>0</v>
      </c>
      <c r="F40" s="114">
        <f t="shared" si="66"/>
        <v>0</v>
      </c>
      <c r="G40" s="114">
        <f t="shared" si="67"/>
        <v>0.65494131410877909</v>
      </c>
      <c r="H40" s="114">
        <f t="shared" si="68"/>
        <v>1.5068008517761919</v>
      </c>
      <c r="I40" s="114">
        <f t="shared" si="69"/>
        <v>2.8693490420736616</v>
      </c>
      <c r="J40" s="114">
        <f t="shared" si="70"/>
        <v>5.5815680383333666</v>
      </c>
      <c r="K40" s="114">
        <f t="shared" si="71"/>
        <v>9.8238926708209373</v>
      </c>
      <c r="L40" s="114">
        <f t="shared" si="72"/>
        <v>15.244515237865119</v>
      </c>
      <c r="M40" s="114">
        <f t="shared" si="73"/>
        <v>24.204525313622959</v>
      </c>
      <c r="N40" s="114">
        <f t="shared" si="74"/>
        <v>37.750349314704238</v>
      </c>
      <c r="O40" s="114">
        <f t="shared" si="75"/>
        <v>60.432951471731016</v>
      </c>
      <c r="P40" s="114">
        <f t="shared" si="76"/>
        <v>83.910793185130714</v>
      </c>
      <c r="Q40" s="114">
        <f t="shared" si="77"/>
        <v>110.4799669699788</v>
      </c>
      <c r="R40" s="114">
        <f t="shared" si="78"/>
        <v>144.79915485732369</v>
      </c>
      <c r="S40" s="114">
        <f t="shared" si="79"/>
        <v>178.88210205097829</v>
      </c>
      <c r="T40" s="114">
        <f t="shared" si="80"/>
        <v>217.89702191654658</v>
      </c>
      <c r="U40" s="114">
        <f t="shared" si="81"/>
        <v>256.06720969662763</v>
      </c>
      <c r="V40" s="114">
        <f t="shared" si="82"/>
        <v>302.11393226272725</v>
      </c>
      <c r="W40" s="114">
        <f t="shared" si="83"/>
        <v>348.96690533289097</v>
      </c>
      <c r="X40" s="114">
        <f t="shared" si="84"/>
        <v>405.90433048459118</v>
      </c>
      <c r="Y40" s="114">
        <f t="shared" si="85"/>
        <v>464.09951385355726</v>
      </c>
      <c r="Z40" s="114">
        <f t="shared" si="86"/>
        <v>537.30270054950415</v>
      </c>
      <c r="AA40" s="114">
        <f t="shared" si="87"/>
        <v>625.81765848242628</v>
      </c>
      <c r="AB40" s="114">
        <f t="shared" si="88"/>
        <v>695.91587485880984</v>
      </c>
      <c r="AC40" s="114">
        <f t="shared" si="89"/>
        <v>793.71339491448657</v>
      </c>
      <c r="AD40" s="114">
        <f t="shared" si="90"/>
        <v>1042.3241067486385</v>
      </c>
      <c r="AE40" s="114">
        <f t="shared" si="91"/>
        <v>1304.2368343961259</v>
      </c>
      <c r="AF40" s="114">
        <f t="shared" si="92"/>
        <v>1579.3342553860425</v>
      </c>
    </row>
    <row r="41" spans="1:32">
      <c r="A41" t="s">
        <v>549</v>
      </c>
      <c r="B41" s="114">
        <f t="shared" si="62"/>
        <v>0</v>
      </c>
      <c r="C41" s="114">
        <f t="shared" si="63"/>
        <v>0</v>
      </c>
      <c r="D41" s="114">
        <f t="shared" si="64"/>
        <v>0</v>
      </c>
      <c r="E41" s="114">
        <f t="shared" si="65"/>
        <v>0</v>
      </c>
      <c r="F41" s="114">
        <f t="shared" si="66"/>
        <v>0</v>
      </c>
      <c r="G41" s="114">
        <f t="shared" si="67"/>
        <v>0.94947880462536804</v>
      </c>
      <c r="H41" s="114">
        <f t="shared" si="68"/>
        <v>1.8602661135806589</v>
      </c>
      <c r="I41" s="114">
        <f t="shared" si="69"/>
        <v>3.6947874543173858</v>
      </c>
      <c r="J41" s="114">
        <f t="shared" si="70"/>
        <v>6.8269500604772988</v>
      </c>
      <c r="K41" s="114">
        <f t="shared" si="71"/>
        <v>11.901718014622993</v>
      </c>
      <c r="L41" s="114">
        <f t="shared" si="72"/>
        <v>19.299092574705824</v>
      </c>
      <c r="M41" s="114">
        <f t="shared" si="73"/>
        <v>29.318020887189846</v>
      </c>
      <c r="N41" s="114">
        <f t="shared" si="74"/>
        <v>43.774256993801188</v>
      </c>
      <c r="O41" s="114">
        <f t="shared" si="75"/>
        <v>63.086886074077107</v>
      </c>
      <c r="P41" s="114">
        <f t="shared" si="76"/>
        <v>88.215581361746715</v>
      </c>
      <c r="Q41" s="114">
        <f t="shared" si="77"/>
        <v>120.34286290429043</v>
      </c>
      <c r="R41" s="114">
        <f t="shared" si="78"/>
        <v>160.93605291046578</v>
      </c>
      <c r="S41" s="114">
        <f t="shared" si="79"/>
        <v>207.20172711351751</v>
      </c>
      <c r="T41" s="114">
        <f t="shared" si="80"/>
        <v>259.15938258706376</v>
      </c>
      <c r="U41" s="114">
        <f t="shared" si="81"/>
        <v>317.8404108032662</v>
      </c>
      <c r="V41" s="114">
        <f t="shared" si="82"/>
        <v>383.4239124901344</v>
      </c>
      <c r="W41" s="114">
        <f t="shared" si="83"/>
        <v>457.23876798701883</v>
      </c>
      <c r="X41" s="114">
        <f t="shared" si="84"/>
        <v>537.8252455253097</v>
      </c>
      <c r="Y41" s="114">
        <f t="shared" si="85"/>
        <v>611.47813330566487</v>
      </c>
      <c r="Z41" s="114">
        <f t="shared" si="86"/>
        <v>742.05112761010321</v>
      </c>
      <c r="AA41" s="114">
        <f t="shared" si="87"/>
        <v>864.01173994996543</v>
      </c>
      <c r="AB41" s="114">
        <f t="shared" si="88"/>
        <v>980.86452774637928</v>
      </c>
      <c r="AC41" s="114">
        <f t="shared" si="89"/>
        <v>1142.1168473985306</v>
      </c>
      <c r="AD41" s="114">
        <f t="shared" si="90"/>
        <v>1531.5014865515491</v>
      </c>
      <c r="AE41" s="114">
        <f t="shared" si="91"/>
        <v>1953.1618109932558</v>
      </c>
      <c r="AF41" s="114">
        <f t="shared" si="92"/>
        <v>2409.0582840495772</v>
      </c>
    </row>
    <row r="42" spans="1:32">
      <c r="A42" t="s">
        <v>52</v>
      </c>
      <c r="B42" s="114">
        <f t="shared" si="62"/>
        <v>0</v>
      </c>
      <c r="C42" s="114">
        <f t="shared" si="63"/>
        <v>0</v>
      </c>
      <c r="D42" s="114">
        <f t="shared" si="64"/>
        <v>0</v>
      </c>
      <c r="E42" s="114">
        <f t="shared" si="65"/>
        <v>0</v>
      </c>
      <c r="F42" s="114">
        <f t="shared" si="66"/>
        <v>0</v>
      </c>
      <c r="G42" s="114">
        <f t="shared" si="67"/>
        <v>1.0420471403945664</v>
      </c>
      <c r="H42" s="114">
        <f t="shared" si="68"/>
        <v>1.9864453134495981</v>
      </c>
      <c r="I42" s="114">
        <f t="shared" si="69"/>
        <v>3.913738751833808</v>
      </c>
      <c r="J42" s="114">
        <f t="shared" si="70"/>
        <v>7.4968808688224389</v>
      </c>
      <c r="K42" s="114">
        <f t="shared" si="71"/>
        <v>12.73809943713586</v>
      </c>
      <c r="L42" s="114">
        <f t="shared" si="72"/>
        <v>20.838643436805082</v>
      </c>
      <c r="M42" s="114">
        <f t="shared" si="73"/>
        <v>32.300410805231195</v>
      </c>
      <c r="N42" s="114">
        <f t="shared" si="74"/>
        <v>49.503945167654592</v>
      </c>
      <c r="O42" s="114">
        <f t="shared" si="75"/>
        <v>70.063831989169515</v>
      </c>
      <c r="P42" s="114">
        <f t="shared" si="76"/>
        <v>95.312294923327286</v>
      </c>
      <c r="Q42" s="114">
        <f t="shared" si="77"/>
        <v>126.94430570903184</v>
      </c>
      <c r="R42" s="114">
        <f t="shared" si="78"/>
        <v>165.14583630490779</v>
      </c>
      <c r="S42" s="114">
        <f t="shared" si="79"/>
        <v>210.45872999414073</v>
      </c>
      <c r="T42" s="114">
        <f t="shared" si="80"/>
        <v>262.60923281750934</v>
      </c>
      <c r="U42" s="114">
        <f t="shared" si="81"/>
        <v>324.40658054426569</v>
      </c>
      <c r="V42" s="114">
        <f t="shared" si="82"/>
        <v>392.55242157646529</v>
      </c>
      <c r="W42" s="114">
        <f t="shared" si="83"/>
        <v>462.48685591339773</v>
      </c>
      <c r="X42" s="114">
        <f t="shared" si="84"/>
        <v>543.16661714266831</v>
      </c>
      <c r="Y42" s="114">
        <f t="shared" si="85"/>
        <v>659.16446889076292</v>
      </c>
      <c r="Z42" s="114">
        <f t="shared" si="86"/>
        <v>753.50985247080303</v>
      </c>
      <c r="AA42" s="114">
        <f t="shared" si="87"/>
        <v>881.5924808854503</v>
      </c>
      <c r="AB42" s="114">
        <f t="shared" si="88"/>
        <v>995.52626604376496</v>
      </c>
      <c r="AC42" s="114">
        <f t="shared" si="89"/>
        <v>1155.0939615506702</v>
      </c>
      <c r="AD42" s="114">
        <f t="shared" si="90"/>
        <v>1546.5354144467644</v>
      </c>
      <c r="AE42" s="114">
        <f t="shared" si="91"/>
        <v>1970.7392716361489</v>
      </c>
      <c r="AF42" s="114">
        <f t="shared" si="92"/>
        <v>2428.9625833302957</v>
      </c>
    </row>
    <row r="43" spans="1:32">
      <c r="A43" t="s">
        <v>57</v>
      </c>
      <c r="B43" s="114">
        <f t="shared" si="62"/>
        <v>0</v>
      </c>
      <c r="C43" s="114">
        <f t="shared" si="63"/>
        <v>0</v>
      </c>
      <c r="D43" s="114">
        <f t="shared" si="64"/>
        <v>0</v>
      </c>
      <c r="E43" s="114">
        <f t="shared" si="65"/>
        <v>0</v>
      </c>
      <c r="F43" s="114">
        <f t="shared" si="66"/>
        <v>0</v>
      </c>
      <c r="G43" s="114">
        <f t="shared" si="67"/>
        <v>0.56794910902868168</v>
      </c>
      <c r="H43" s="114">
        <f t="shared" si="68"/>
        <v>1.1266072416282551</v>
      </c>
      <c r="I43" s="114">
        <f t="shared" si="69"/>
        <v>2.1137613506266963</v>
      </c>
      <c r="J43" s="114">
        <f t="shared" si="70"/>
        <v>4.1884561433687093</v>
      </c>
      <c r="K43" s="114">
        <f t="shared" si="71"/>
        <v>7.523208244367539</v>
      </c>
      <c r="L43" s="114">
        <f t="shared" si="72"/>
        <v>12.007400689959539</v>
      </c>
      <c r="M43" s="114">
        <f t="shared" si="73"/>
        <v>21.3934567559021</v>
      </c>
      <c r="N43" s="114">
        <f t="shared" si="74"/>
        <v>30.588067725560233</v>
      </c>
      <c r="O43" s="114">
        <f t="shared" si="75"/>
        <v>40.602570493407242</v>
      </c>
      <c r="P43" s="114">
        <f t="shared" si="76"/>
        <v>53.583537847236215</v>
      </c>
      <c r="Q43" s="114">
        <f t="shared" si="77"/>
        <v>71.83605212275539</v>
      </c>
      <c r="R43" s="114">
        <f t="shared" si="78"/>
        <v>89.63539946501642</v>
      </c>
      <c r="S43" s="114">
        <f t="shared" si="79"/>
        <v>112.71461240169518</v>
      </c>
      <c r="T43" s="114">
        <f t="shared" si="80"/>
        <v>138.15159039786101</v>
      </c>
      <c r="U43" s="114">
        <f t="shared" si="81"/>
        <v>169.5001474230888</v>
      </c>
      <c r="V43" s="114">
        <f t="shared" si="82"/>
        <v>205.56708249426356</v>
      </c>
      <c r="W43" s="114">
        <f t="shared" si="83"/>
        <v>244.11470963373424</v>
      </c>
      <c r="X43" s="114">
        <f t="shared" si="84"/>
        <v>287.66971216633544</v>
      </c>
      <c r="Y43" s="114">
        <f t="shared" si="85"/>
        <v>334.28150870194867</v>
      </c>
      <c r="Z43" s="114">
        <f t="shared" si="86"/>
        <v>379.8763618744826</v>
      </c>
      <c r="AA43" s="114">
        <f t="shared" si="87"/>
        <v>443.6748419285575</v>
      </c>
      <c r="AB43" s="114">
        <f t="shared" si="88"/>
        <v>496.47201131321259</v>
      </c>
      <c r="AC43" s="114">
        <f t="shared" si="89"/>
        <v>570.06565030627223</v>
      </c>
      <c r="AD43" s="114">
        <f t="shared" si="90"/>
        <v>757.37108027877787</v>
      </c>
      <c r="AE43" s="114">
        <f t="shared" si="91"/>
        <v>958.05494982093319</v>
      </c>
      <c r="AF43" s="114">
        <f t="shared" si="92"/>
        <v>1173.0938133125376</v>
      </c>
    </row>
    <row r="44" spans="1:32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</row>
    <row r="45" spans="1:32">
      <c r="A45" s="123" t="str" cm="1">
        <f t="array" ref="A45:AF45">TRANSPOSE(Table1[[#All],[LNG Units]])</f>
        <v>LNG Units</v>
      </c>
      <c r="B45" s="124">
        <v>368</v>
      </c>
      <c r="C45" s="124">
        <v>414.46682101680636</v>
      </c>
      <c r="D45" s="124">
        <v>422.21530521241357</v>
      </c>
      <c r="E45" s="124">
        <v>430.01216025553077</v>
      </c>
      <c r="F45" s="124">
        <v>473.02071551434142</v>
      </c>
      <c r="G45" s="124">
        <v>492.08950375123715</v>
      </c>
      <c r="H45" s="124">
        <v>513.58633436503203</v>
      </c>
      <c r="I45" s="124">
        <v>586.95910934693575</v>
      </c>
      <c r="J45" s="124">
        <v>659.35616126186483</v>
      </c>
      <c r="K45" s="124">
        <v>733.10210364627039</v>
      </c>
      <c r="L45" s="124">
        <v>846.26002207956196</v>
      </c>
      <c r="M45" s="124">
        <v>984.02608832528972</v>
      </c>
      <c r="N45" s="124">
        <v>1153.1186258485841</v>
      </c>
      <c r="O45" s="124">
        <v>1362.8803941730075</v>
      </c>
      <c r="P45" s="124">
        <v>1623.418225490632</v>
      </c>
      <c r="Q45" s="124">
        <v>1925.2459235025458</v>
      </c>
      <c r="R45" s="124">
        <v>2265.9962727856296</v>
      </c>
      <c r="S45" s="124">
        <v>2617.3163316550517</v>
      </c>
      <c r="T45" s="124">
        <v>2942.9219380279092</v>
      </c>
      <c r="U45" s="124">
        <v>3212.9489925802427</v>
      </c>
      <c r="V45" s="124">
        <v>3399.7596493708465</v>
      </c>
      <c r="W45" s="124">
        <v>3407.6555147585923</v>
      </c>
      <c r="X45" s="124">
        <v>3414.1605511723046</v>
      </c>
      <c r="Y45" s="124">
        <v>3346.0831140575924</v>
      </c>
      <c r="Z45" s="124">
        <v>3317.3795796468844</v>
      </c>
      <c r="AA45" s="124">
        <v>3400.0398359695378</v>
      </c>
      <c r="AB45" s="124">
        <v>3199.2428453784096</v>
      </c>
      <c r="AC45" s="124">
        <v>2406.431813377988</v>
      </c>
      <c r="AD45" s="124">
        <v>1318.9485230546181</v>
      </c>
      <c r="AE45" s="124">
        <v>378.10965375866755</v>
      </c>
      <c r="AF45" s="124">
        <v>0</v>
      </c>
    </row>
    <row r="46" spans="1:32">
      <c r="A46" t="s">
        <v>43</v>
      </c>
      <c r="B46" s="114">
        <f>$B$45*B2</f>
        <v>106.26934605049972</v>
      </c>
      <c r="C46" s="114">
        <f>$C$45*C2</f>
        <v>120.21566395045743</v>
      </c>
      <c r="D46" s="114">
        <f>$D$45*D2</f>
        <v>123.36546931442297</v>
      </c>
      <c r="E46" s="114">
        <f>$E$45*E2</f>
        <v>125.35134809848718</v>
      </c>
      <c r="F46" s="114">
        <f>$F$45*F2</f>
        <v>138.60938034220194</v>
      </c>
      <c r="G46" s="114">
        <f>$G$45*G2</f>
        <v>141.69343695362846</v>
      </c>
      <c r="H46" s="114">
        <f>$H$45*H2</f>
        <v>145.08243077600113</v>
      </c>
      <c r="I46" s="114">
        <f>$I$45*I2</f>
        <v>165.61576041359993</v>
      </c>
      <c r="J46" s="114">
        <f>$J$45*J2</f>
        <v>185.60755410952899</v>
      </c>
      <c r="K46" s="114">
        <f>$K$45*K2</f>
        <v>203.29034644507476</v>
      </c>
      <c r="L46" s="114">
        <f>$L$45*L2</f>
        <v>233.082470944693</v>
      </c>
      <c r="M46" s="114">
        <f>$M$45*M2</f>
        <v>270.71676717090941</v>
      </c>
      <c r="N46" s="114">
        <f>$N$45*N2</f>
        <v>327.97582155678424</v>
      </c>
      <c r="O46" s="114">
        <f>$O$45*O2</f>
        <v>391.32711382874476</v>
      </c>
      <c r="P46" s="114">
        <f>$P$45*P2</f>
        <v>473.03502601259834</v>
      </c>
      <c r="Q46" s="114">
        <f>$Q$45*Q2</f>
        <v>561.13427142175237</v>
      </c>
      <c r="R46" s="114">
        <f>$R$45*R2</f>
        <v>659.76091692541763</v>
      </c>
      <c r="S46" s="114">
        <f>$S$45*S2</f>
        <v>758.17474623895464</v>
      </c>
      <c r="T46" s="114">
        <f>$T$45*T2</f>
        <v>859.61932016353614</v>
      </c>
      <c r="U46" s="114">
        <f>$U$45*U2</f>
        <v>943.29117766582954</v>
      </c>
      <c r="V46" s="114">
        <f>$V$45*V2</f>
        <v>1004.19943249859</v>
      </c>
      <c r="W46" s="114">
        <f>$W$45*W2</f>
        <v>1013.700010723815</v>
      </c>
      <c r="X46" s="114">
        <f>$X$45*X2</f>
        <v>1019.1494990459252</v>
      </c>
      <c r="Y46" s="114">
        <f>$Y$45*Y2</f>
        <v>995.62971356655783</v>
      </c>
      <c r="Z46" s="114">
        <f>$Z$45*Z2</f>
        <v>985.00565456731999</v>
      </c>
      <c r="AA46" s="114">
        <f>$AA$45*AA2</f>
        <v>1016.7874244702906</v>
      </c>
      <c r="AB46" s="114">
        <f>$AB$45*AB2</f>
        <v>956.85284839375652</v>
      </c>
      <c r="AC46" s="114">
        <f>$AC$45*AC2</f>
        <v>719.9693028889269</v>
      </c>
      <c r="AD46" s="114">
        <f>$AD$45*AD2</f>
        <v>394.89042489619959</v>
      </c>
      <c r="AE46" s="114">
        <f>$AE$45*AE2</f>
        <v>113.37699932806029</v>
      </c>
      <c r="AF46" s="114">
        <f>$AF$45*AF2</f>
        <v>0</v>
      </c>
    </row>
    <row r="47" spans="1:32">
      <c r="A47" t="s">
        <v>51</v>
      </c>
      <c r="B47" s="114">
        <f t="shared" ref="B47:B54" si="93">$B$45*B3</f>
        <v>149.10004361268895</v>
      </c>
      <c r="C47" s="114">
        <f t="shared" ref="C47:C54" si="94">$C$45*C3</f>
        <v>167.3142602079038</v>
      </c>
      <c r="D47" s="114">
        <f t="shared" ref="D47:D54" si="95">$D$45*D3</f>
        <v>172.56028816110958</v>
      </c>
      <c r="E47" s="114">
        <f t="shared" ref="E47:E54" si="96">$E$45*E3</f>
        <v>174.88768124237041</v>
      </c>
      <c r="F47" s="114">
        <f t="shared" ref="F47:F54" si="97">$F$45*F3</f>
        <v>194.0934980523798</v>
      </c>
      <c r="G47" s="114">
        <f t="shared" ref="G47:G54" si="98">$G$45*G3</f>
        <v>199.5315945413065</v>
      </c>
      <c r="H47" s="114">
        <f t="shared" ref="H47:H54" si="99">$H$45*H3</f>
        <v>204.75726550650521</v>
      </c>
      <c r="I47" s="114">
        <f t="shared" ref="I47:I54" si="100">$I$45*I3</f>
        <v>238.2566728640526</v>
      </c>
      <c r="J47" s="114">
        <f t="shared" ref="J47:J54" si="101">$J$45*J3</f>
        <v>262.97884054773772</v>
      </c>
      <c r="K47" s="114">
        <f t="shared" ref="K47:K54" si="102">$K$45*K3</f>
        <v>291.43908792339641</v>
      </c>
      <c r="L47" s="114">
        <f t="shared" ref="L47:L54" si="103">$L$45*L3</f>
        <v>342.55332795253543</v>
      </c>
      <c r="M47" s="114">
        <f t="shared" ref="M47:M54" si="104">$M$45*M3</f>
        <v>397.81986539550894</v>
      </c>
      <c r="N47" s="114">
        <f t="shared" ref="N47:N54" si="105">$N$45*N3</f>
        <v>453.91470934351258</v>
      </c>
      <c r="O47" s="114">
        <f t="shared" ref="O47:O54" si="106">$O$45*O3</f>
        <v>536.96440477407953</v>
      </c>
      <c r="P47" s="114">
        <f t="shared" ref="P47:P54" si="107">$P$45*P3</f>
        <v>642.18821360518837</v>
      </c>
      <c r="Q47" s="114">
        <f t="shared" ref="Q47:Q54" si="108">$Q$45*Q3</f>
        <v>766.77707008857385</v>
      </c>
      <c r="R47" s="114">
        <f t="shared" ref="R47:R54" si="109">$R$45*R3</f>
        <v>903.74277308260821</v>
      </c>
      <c r="S47" s="114">
        <f t="shared" ref="S47:S54" si="110">$S$45*S3</f>
        <v>1044.0866256526008</v>
      </c>
      <c r="T47" s="114">
        <f t="shared" ref="T47:T54" si="111">$T$45*T3</f>
        <v>1182.4533612665314</v>
      </c>
      <c r="U47" s="114">
        <f t="shared" ref="U47:U54" si="112">$U$45*U3</f>
        <v>1300.7727384085731</v>
      </c>
      <c r="V47" s="114">
        <f t="shared" ref="V47:V54" si="113">$V$45*V3</f>
        <v>1383.8770652716362</v>
      </c>
      <c r="W47" s="114">
        <f t="shared" ref="W47:W54" si="114">$W$45*W3</f>
        <v>1397.0647264000988</v>
      </c>
      <c r="X47" s="114">
        <f t="shared" ref="X47:X54" si="115">$X$45*X3</f>
        <v>1405.3246781608493</v>
      </c>
      <c r="Y47" s="114">
        <f t="shared" ref="Y47:Y54" si="116">$Y$45*Y3</f>
        <v>1369.7525997341033</v>
      </c>
      <c r="Z47" s="114">
        <f t="shared" ref="Z47:Z54" si="117">$Z$45*Z3</f>
        <v>1353.3965219440993</v>
      </c>
      <c r="AA47" s="114">
        <f t="shared" ref="AA47:AA54" si="118">$AA$45*AA3</f>
        <v>1395.9347194871216</v>
      </c>
      <c r="AB47" s="114">
        <f t="shared" ref="AB47:AB54" si="119">$AB$45*AB3</f>
        <v>1314.8548948715611</v>
      </c>
      <c r="AC47" s="114">
        <f t="shared" ref="AC47:AC54" si="120">$AC$45*AC3</f>
        <v>989.77957834721326</v>
      </c>
      <c r="AD47" s="114">
        <f t="shared" ref="AD47:AD54" si="121">$AD$45*AD3</f>
        <v>543.04527993376189</v>
      </c>
      <c r="AE47" s="114">
        <f t="shared" ref="AE47:AE54" si="122">$AE$45*AE3</f>
        <v>155.89636467990229</v>
      </c>
      <c r="AF47" s="114">
        <f t="shared" ref="AF47:AF54" si="123">$AF$45*AF3</f>
        <v>0</v>
      </c>
    </row>
    <row r="48" spans="1:32">
      <c r="A48" t="s">
        <v>58</v>
      </c>
      <c r="B48" s="114">
        <f t="shared" si="93"/>
        <v>30.136742506473684</v>
      </c>
      <c r="C48" s="114">
        <f t="shared" si="94"/>
        <v>34.614687108212344</v>
      </c>
      <c r="D48" s="114">
        <f t="shared" si="95"/>
        <v>34.761284457703759</v>
      </c>
      <c r="E48" s="114">
        <f t="shared" si="96"/>
        <v>35.887775837526256</v>
      </c>
      <c r="F48" s="114">
        <f t="shared" si="97"/>
        <v>38.70298478666485</v>
      </c>
      <c r="G48" s="114">
        <f t="shared" si="98"/>
        <v>39.257542328085989</v>
      </c>
      <c r="H48" s="114">
        <f t="shared" si="99"/>
        <v>40.537913831852514</v>
      </c>
      <c r="I48" s="114">
        <f t="shared" si="100"/>
        <v>43.629643726865389</v>
      </c>
      <c r="J48" s="114">
        <f t="shared" si="101"/>
        <v>48.06861148357423</v>
      </c>
      <c r="K48" s="114">
        <f t="shared" si="102"/>
        <v>54.092491256448362</v>
      </c>
      <c r="L48" s="114">
        <f t="shared" si="103"/>
        <v>59.426034316780523</v>
      </c>
      <c r="M48" s="114">
        <f t="shared" si="104"/>
        <v>69.773389323591914</v>
      </c>
      <c r="N48" s="114">
        <f t="shared" si="105"/>
        <v>80.872635622235947</v>
      </c>
      <c r="O48" s="114">
        <f t="shared" si="106"/>
        <v>94.997815699338162</v>
      </c>
      <c r="P48" s="114">
        <f t="shared" si="107"/>
        <v>113.45730679419063</v>
      </c>
      <c r="Q48" s="114">
        <f t="shared" si="108"/>
        <v>135.81496984623763</v>
      </c>
      <c r="R48" s="114">
        <f t="shared" si="109"/>
        <v>157.77122151395611</v>
      </c>
      <c r="S48" s="114">
        <f t="shared" si="110"/>
        <v>203.78724836363844</v>
      </c>
      <c r="T48" s="114">
        <f t="shared" si="111"/>
        <v>229.07428013712644</v>
      </c>
      <c r="U48" s="114">
        <f t="shared" si="112"/>
        <v>250.16493617008399</v>
      </c>
      <c r="V48" s="114">
        <f t="shared" si="113"/>
        <v>264.66819844175632</v>
      </c>
      <c r="W48" s="114">
        <f t="shared" si="114"/>
        <v>265.5811384582608</v>
      </c>
      <c r="X48" s="114">
        <f t="shared" si="115"/>
        <v>266.12097598240689</v>
      </c>
      <c r="Y48" s="114">
        <f t="shared" si="116"/>
        <v>260.93696429774644</v>
      </c>
      <c r="Z48" s="114">
        <f t="shared" si="117"/>
        <v>258.75066942712925</v>
      </c>
      <c r="AA48" s="114">
        <f t="shared" si="118"/>
        <v>265.1108451057716</v>
      </c>
      <c r="AB48" s="114">
        <f t="shared" si="119"/>
        <v>251.65839057373213</v>
      </c>
      <c r="AC48" s="114">
        <f t="shared" si="120"/>
        <v>191.06294966995245</v>
      </c>
      <c r="AD48" s="114">
        <f t="shared" si="121"/>
        <v>105.95462375536451</v>
      </c>
      <c r="AE48" s="114">
        <f t="shared" si="122"/>
        <v>30.420166242197929</v>
      </c>
      <c r="AF48" s="114">
        <f t="shared" si="123"/>
        <v>0</v>
      </c>
    </row>
    <row r="49" spans="1:32">
      <c r="A49" t="s">
        <v>54</v>
      </c>
      <c r="B49" s="114">
        <f t="shared" si="93"/>
        <v>34.423996534893512</v>
      </c>
      <c r="C49" s="114">
        <f t="shared" si="94"/>
        <v>38.31349210023243</v>
      </c>
      <c r="D49" s="114">
        <f t="shared" si="95"/>
        <v>37.374333208474312</v>
      </c>
      <c r="E49" s="114">
        <f t="shared" si="96"/>
        <v>37.623083924542811</v>
      </c>
      <c r="F49" s="114">
        <f t="shared" si="97"/>
        <v>40.70612802074519</v>
      </c>
      <c r="G49" s="114">
        <f t="shared" si="98"/>
        <v>43.783480099124773</v>
      </c>
      <c r="H49" s="114">
        <f t="shared" si="99"/>
        <v>47.714620782872593</v>
      </c>
      <c r="I49" s="114">
        <f t="shared" si="100"/>
        <v>54.241476479772516</v>
      </c>
      <c r="J49" s="114">
        <f t="shared" si="101"/>
        <v>61.692785995864114</v>
      </c>
      <c r="K49" s="114">
        <f t="shared" si="102"/>
        <v>69.149968512447842</v>
      </c>
      <c r="L49" s="114">
        <f t="shared" si="103"/>
        <v>80.973882761818885</v>
      </c>
      <c r="M49" s="114">
        <f t="shared" si="104"/>
        <v>93.423621622582658</v>
      </c>
      <c r="N49" s="114">
        <f t="shared" si="105"/>
        <v>111.0840835021481</v>
      </c>
      <c r="O49" s="114">
        <f t="shared" si="106"/>
        <v>128.05012732739795</v>
      </c>
      <c r="P49" s="114">
        <f t="shared" si="107"/>
        <v>149.59913458161643</v>
      </c>
      <c r="Q49" s="114">
        <f t="shared" si="108"/>
        <v>176.10744453758483</v>
      </c>
      <c r="R49" s="114">
        <f t="shared" si="109"/>
        <v>207.44920349454418</v>
      </c>
      <c r="S49" s="114">
        <f t="shared" si="110"/>
        <v>234.17006927037883</v>
      </c>
      <c r="T49" s="114">
        <f t="shared" si="111"/>
        <v>259.51428711006156</v>
      </c>
      <c r="U49" s="114">
        <f t="shared" si="112"/>
        <v>279.95462789868736</v>
      </c>
      <c r="V49" s="114">
        <f t="shared" si="113"/>
        <v>292.7496608536137</v>
      </c>
      <c r="W49" s="114">
        <f t="shared" si="114"/>
        <v>286.87381606506506</v>
      </c>
      <c r="X49" s="114">
        <f t="shared" si="115"/>
        <v>284.02376415712331</v>
      </c>
      <c r="Y49" s="114">
        <f t="shared" si="116"/>
        <v>283.53799142321827</v>
      </c>
      <c r="Z49" s="114">
        <f t="shared" si="117"/>
        <v>282.28178175402627</v>
      </c>
      <c r="AA49" s="114">
        <f t="shared" si="118"/>
        <v>278.30042999968282</v>
      </c>
      <c r="AB49" s="114">
        <f t="shared" si="119"/>
        <v>260.16593953633162</v>
      </c>
      <c r="AC49" s="114">
        <f t="shared" si="120"/>
        <v>194.16639162020763</v>
      </c>
      <c r="AD49" s="114">
        <f t="shared" si="121"/>
        <v>105.40032370107913</v>
      </c>
      <c r="AE49" s="114">
        <f t="shared" si="122"/>
        <v>29.979998459851988</v>
      </c>
      <c r="AF49" s="114">
        <f t="shared" si="123"/>
        <v>0</v>
      </c>
    </row>
    <row r="50" spans="1:32">
      <c r="A50" t="s">
        <v>55</v>
      </c>
      <c r="B50" s="114">
        <f t="shared" si="93"/>
        <v>14.729288112803498</v>
      </c>
      <c r="C50" s="114">
        <f t="shared" si="94"/>
        <v>16.590849482095685</v>
      </c>
      <c r="D50" s="114">
        <f t="shared" si="95"/>
        <v>17.033702012845129</v>
      </c>
      <c r="E50" s="114">
        <f t="shared" si="96"/>
        <v>18.260256802270547</v>
      </c>
      <c r="F50" s="114">
        <f t="shared" si="97"/>
        <v>19.733636978162796</v>
      </c>
      <c r="G50" s="114">
        <f t="shared" si="98"/>
        <v>22.623262503575507</v>
      </c>
      <c r="H50" s="114">
        <f t="shared" si="99"/>
        <v>26.158290709484358</v>
      </c>
      <c r="I50" s="114">
        <f t="shared" si="100"/>
        <v>29.196209584448138</v>
      </c>
      <c r="J50" s="114">
        <f t="shared" si="101"/>
        <v>33.619265980348899</v>
      </c>
      <c r="K50" s="114">
        <f t="shared" si="102"/>
        <v>35.99207754532712</v>
      </c>
      <c r="L50" s="114">
        <f t="shared" si="103"/>
        <v>38.912426663498174</v>
      </c>
      <c r="M50" s="114">
        <f t="shared" si="104"/>
        <v>41.582859530066244</v>
      </c>
      <c r="N50" s="114">
        <f t="shared" si="105"/>
        <v>45.506247630854254</v>
      </c>
      <c r="O50" s="114">
        <f t="shared" si="106"/>
        <v>49.565170504440182</v>
      </c>
      <c r="P50" s="114">
        <f t="shared" si="107"/>
        <v>53.492678493335177</v>
      </c>
      <c r="Q50" s="114">
        <f t="shared" si="108"/>
        <v>58.88843391871729</v>
      </c>
      <c r="R50" s="114">
        <f t="shared" si="109"/>
        <v>72.510002173624287</v>
      </c>
      <c r="S50" s="114">
        <f t="shared" si="110"/>
        <v>75.232677144093515</v>
      </c>
      <c r="T50" s="114">
        <f t="shared" si="111"/>
        <v>76.271770513187448</v>
      </c>
      <c r="U50" s="114">
        <f t="shared" si="112"/>
        <v>74.495992426572172</v>
      </c>
      <c r="V50" s="114">
        <f t="shared" si="113"/>
        <v>69.944548152009489</v>
      </c>
      <c r="W50" s="114">
        <f t="shared" si="114"/>
        <v>61.535678967190741</v>
      </c>
      <c r="X50" s="114">
        <f t="shared" si="115"/>
        <v>55.27896501871497</v>
      </c>
      <c r="Y50" s="114">
        <f t="shared" si="116"/>
        <v>48.87476416536294</v>
      </c>
      <c r="Z50" s="114">
        <f t="shared" si="117"/>
        <v>43.791064267418442</v>
      </c>
      <c r="AA50" s="114">
        <f t="shared" si="118"/>
        <v>39.362359727095125</v>
      </c>
      <c r="AB50" s="114">
        <f t="shared" si="119"/>
        <v>35.119613171168339</v>
      </c>
      <c r="AC50" s="114">
        <f t="shared" si="120"/>
        <v>25.200008861228316</v>
      </c>
      <c r="AD50" s="114">
        <f t="shared" si="121"/>
        <v>12.638841625200167</v>
      </c>
      <c r="AE50" s="114">
        <f t="shared" si="122"/>
        <v>3.3229788373624407</v>
      </c>
      <c r="AF50" s="114">
        <f t="shared" si="123"/>
        <v>0</v>
      </c>
    </row>
    <row r="51" spans="1:32">
      <c r="A51" t="s">
        <v>56</v>
      </c>
      <c r="B51" s="114">
        <f t="shared" si="93"/>
        <v>6.0199637428049817</v>
      </c>
      <c r="C51" s="114">
        <f t="shared" si="94"/>
        <v>6.774347490721329</v>
      </c>
      <c r="D51" s="114">
        <f t="shared" si="95"/>
        <v>6.8099716414963369</v>
      </c>
      <c r="E51" s="114">
        <f t="shared" si="96"/>
        <v>7.2246787347833017</v>
      </c>
      <c r="F51" s="114">
        <f t="shared" si="97"/>
        <v>7.9433413012273153</v>
      </c>
      <c r="G51" s="114">
        <f t="shared" si="98"/>
        <v>9.2095941204735592</v>
      </c>
      <c r="H51" s="114">
        <f t="shared" si="99"/>
        <v>11.47189406813823</v>
      </c>
      <c r="I51" s="114">
        <f t="shared" si="100"/>
        <v>12.765541343179983</v>
      </c>
      <c r="J51" s="114">
        <f t="shared" si="101"/>
        <v>15.611319255973857</v>
      </c>
      <c r="K51" s="114">
        <f t="shared" si="102"/>
        <v>18.516350921134695</v>
      </c>
      <c r="L51" s="114">
        <f t="shared" si="103"/>
        <v>20.656069551714957</v>
      </c>
      <c r="M51" s="114">
        <f t="shared" si="104"/>
        <v>24.993122465221056</v>
      </c>
      <c r="N51" s="114">
        <f t="shared" si="105"/>
        <v>31.24480848786396</v>
      </c>
      <c r="O51" s="114">
        <f t="shared" si="106"/>
        <v>41.798670006032367</v>
      </c>
      <c r="P51" s="114">
        <f t="shared" si="107"/>
        <v>50.09359558455796</v>
      </c>
      <c r="Q51" s="114">
        <f t="shared" si="108"/>
        <v>58.254536586622464</v>
      </c>
      <c r="R51" s="114">
        <f t="shared" si="109"/>
        <v>68.396452611562268</v>
      </c>
      <c r="S51" s="114">
        <f t="shared" si="110"/>
        <v>76.133512126972576</v>
      </c>
      <c r="T51" s="114">
        <f t="shared" si="111"/>
        <v>83.401171109256964</v>
      </c>
      <c r="U51" s="114">
        <f t="shared" si="112"/>
        <v>87.353648787833905</v>
      </c>
      <c r="V51" s="114">
        <f t="shared" si="113"/>
        <v>90.4514365712011</v>
      </c>
      <c r="W51" s="114">
        <f t="shared" si="114"/>
        <v>88.325514923880874</v>
      </c>
      <c r="X51" s="114">
        <f t="shared" si="115"/>
        <v>87.894104606057653</v>
      </c>
      <c r="Y51" s="114">
        <f t="shared" si="116"/>
        <v>86.886126466656791</v>
      </c>
      <c r="Z51" s="114">
        <f t="shared" si="117"/>
        <v>87.775700885862449</v>
      </c>
      <c r="AA51" s="114">
        <f t="shared" si="118"/>
        <v>89.933256184892386</v>
      </c>
      <c r="AB51" s="114">
        <f t="shared" si="119"/>
        <v>83.584073238325487</v>
      </c>
      <c r="AC51" s="114">
        <f t="shared" si="120"/>
        <v>62.060620602182169</v>
      </c>
      <c r="AD51" s="114">
        <f t="shared" si="121"/>
        <v>33.553445810565826</v>
      </c>
      <c r="AE51" s="114">
        <f t="shared" si="122"/>
        <v>9.5112176860175772</v>
      </c>
      <c r="AF51" s="114">
        <f t="shared" si="123"/>
        <v>0</v>
      </c>
    </row>
    <row r="52" spans="1:32">
      <c r="A52" t="s">
        <v>549</v>
      </c>
      <c r="B52" s="114">
        <f t="shared" si="93"/>
        <v>9.9380716152205579</v>
      </c>
      <c r="C52" s="114">
        <f t="shared" si="94"/>
        <v>11.195900547412105</v>
      </c>
      <c r="D52" s="114">
        <f t="shared" si="95"/>
        <v>11.025166262233549</v>
      </c>
      <c r="E52" s="114">
        <f t="shared" si="96"/>
        <v>11.084885401638278</v>
      </c>
      <c r="F52" s="114">
        <f t="shared" si="97"/>
        <v>12.167653416706534</v>
      </c>
      <c r="G52" s="114">
        <f t="shared" si="98"/>
        <v>13.351294578951713</v>
      </c>
      <c r="H52" s="114">
        <f t="shared" si="99"/>
        <v>14.162970354302871</v>
      </c>
      <c r="I52" s="114">
        <f t="shared" si="100"/>
        <v>16.437861448973372</v>
      </c>
      <c r="J52" s="114">
        <f t="shared" si="101"/>
        <v>19.09457991136928</v>
      </c>
      <c r="K52" s="114">
        <f t="shared" si="102"/>
        <v>22.432694931380396</v>
      </c>
      <c r="L52" s="114">
        <f t="shared" si="103"/>
        <v>26.149955724268484</v>
      </c>
      <c r="M52" s="114">
        <f t="shared" si="104"/>
        <v>30.273218622429827</v>
      </c>
      <c r="N52" s="114">
        <f t="shared" si="105"/>
        <v>36.23061246580609</v>
      </c>
      <c r="O52" s="114">
        <f t="shared" si="106"/>
        <v>43.634273496504711</v>
      </c>
      <c r="P52" s="114">
        <f t="shared" si="107"/>
        <v>52.663495234068137</v>
      </c>
      <c r="Q52" s="114">
        <f t="shared" si="108"/>
        <v>63.45510323968395</v>
      </c>
      <c r="R52" s="114">
        <f t="shared" si="109"/>
        <v>76.018780131891162</v>
      </c>
      <c r="S52" s="114">
        <f t="shared" si="110"/>
        <v>88.186548699159673</v>
      </c>
      <c r="T52" s="114">
        <f t="shared" si="111"/>
        <v>99.194545302189681</v>
      </c>
      <c r="U52" s="114">
        <f t="shared" si="112"/>
        <v>108.42668863687399</v>
      </c>
      <c r="V52" s="114">
        <f t="shared" si="113"/>
        <v>114.79524774224352</v>
      </c>
      <c r="W52" s="114">
        <f t="shared" si="114"/>
        <v>115.72974115436234</v>
      </c>
      <c r="X52" s="114">
        <f t="shared" si="115"/>
        <v>116.46012333385225</v>
      </c>
      <c r="Y52" s="114">
        <f t="shared" si="116"/>
        <v>114.47753086583845</v>
      </c>
      <c r="Z52" s="114">
        <f t="shared" si="117"/>
        <v>121.22414004714324</v>
      </c>
      <c r="AA52" s="114">
        <f t="shared" si="118"/>
        <v>124.16298597917698</v>
      </c>
      <c r="AB52" s="114">
        <f t="shared" si="119"/>
        <v>117.80828040553359</v>
      </c>
      <c r="AC52" s="114">
        <f t="shared" si="120"/>
        <v>89.302361285457636</v>
      </c>
      <c r="AD52" s="114">
        <f t="shared" si="121"/>
        <v>49.300550380727849</v>
      </c>
      <c r="AE52" s="114">
        <f t="shared" si="122"/>
        <v>14.243538190649613</v>
      </c>
      <c r="AF52" s="114">
        <f t="shared" si="123"/>
        <v>0</v>
      </c>
    </row>
    <row r="53" spans="1:32">
      <c r="A53" t="s">
        <v>52</v>
      </c>
      <c r="B53" s="114">
        <f t="shared" si="93"/>
        <v>12.311269587933674</v>
      </c>
      <c r="C53" s="114">
        <f t="shared" si="94"/>
        <v>13.725172364359437</v>
      </c>
      <c r="D53" s="114">
        <f t="shared" si="95"/>
        <v>13.43911854277262</v>
      </c>
      <c r="E53" s="114">
        <f t="shared" si="96"/>
        <v>13.385519589659879</v>
      </c>
      <c r="F53" s="114">
        <f t="shared" si="97"/>
        <v>14.065064616570082</v>
      </c>
      <c r="G53" s="114">
        <f t="shared" si="98"/>
        <v>14.652963572000509</v>
      </c>
      <c r="H53" s="114">
        <f t="shared" si="99"/>
        <v>15.123624453212228</v>
      </c>
      <c r="I53" s="114">
        <f t="shared" si="100"/>
        <v>17.411961079100223</v>
      </c>
      <c r="J53" s="114">
        <f t="shared" si="101"/>
        <v>20.968337188295976</v>
      </c>
      <c r="K53" s="114">
        <f t="shared" si="102"/>
        <v>24.009130306042518</v>
      </c>
      <c r="L53" s="114">
        <f t="shared" si="103"/>
        <v>28.236022036625592</v>
      </c>
      <c r="M53" s="114">
        <f t="shared" si="104"/>
        <v>33.352776494142987</v>
      </c>
      <c r="N53" s="114">
        <f t="shared" si="105"/>
        <v>40.972899966110013</v>
      </c>
      <c r="O53" s="114">
        <f t="shared" si="106"/>
        <v>48.459903436013768</v>
      </c>
      <c r="P53" s="114">
        <f t="shared" si="107"/>
        <v>56.900136143288634</v>
      </c>
      <c r="Q53" s="114">
        <f t="shared" si="108"/>
        <v>66.935951414609676</v>
      </c>
      <c r="R53" s="114">
        <f t="shared" si="109"/>
        <v>78.007287942773118</v>
      </c>
      <c r="S53" s="114">
        <f t="shared" si="110"/>
        <v>89.572752603666828</v>
      </c>
      <c r="T53" s="114">
        <f t="shared" si="111"/>
        <v>100.51499267150203</v>
      </c>
      <c r="U53" s="114">
        <f t="shared" si="112"/>
        <v>110.66664308522414</v>
      </c>
      <c r="V53" s="114">
        <f t="shared" si="113"/>
        <v>117.52827880250541</v>
      </c>
      <c r="W53" s="114">
        <f t="shared" si="114"/>
        <v>117.0580621538022</v>
      </c>
      <c r="X53" s="114">
        <f t="shared" si="115"/>
        <v>117.61673842863446</v>
      </c>
      <c r="Y53" s="114">
        <f t="shared" si="116"/>
        <v>123.40510105434255</v>
      </c>
      <c r="Z53" s="114">
        <f t="shared" si="117"/>
        <v>123.09607853708113</v>
      </c>
      <c r="AA53" s="114">
        <f t="shared" si="118"/>
        <v>126.68942999532258</v>
      </c>
      <c r="AB53" s="114">
        <f t="shared" si="119"/>
        <v>119.56925159748762</v>
      </c>
      <c r="AC53" s="114">
        <f t="shared" si="120"/>
        <v>90.317044624641952</v>
      </c>
      <c r="AD53" s="114">
        <f t="shared" si="121"/>
        <v>49.784507416438728</v>
      </c>
      <c r="AE53" s="114">
        <f t="shared" si="122"/>
        <v>14.37172277348987</v>
      </c>
      <c r="AF53" s="114">
        <f t="shared" si="123"/>
        <v>0</v>
      </c>
    </row>
    <row r="54" spans="1:32">
      <c r="A54" t="s">
        <v>57</v>
      </c>
      <c r="B54" s="114">
        <f t="shared" si="93"/>
        <v>5.0712782366814704</v>
      </c>
      <c r="C54" s="114">
        <f t="shared" si="94"/>
        <v>5.7224477654118315</v>
      </c>
      <c r="D54" s="114">
        <f t="shared" si="95"/>
        <v>5.8459716113552984</v>
      </c>
      <c r="E54" s="114">
        <f t="shared" si="96"/>
        <v>6.3069306242520895</v>
      </c>
      <c r="F54" s="114">
        <f t="shared" si="97"/>
        <v>6.9990279996828102</v>
      </c>
      <c r="G54" s="114">
        <f t="shared" si="98"/>
        <v>7.9863350540900475</v>
      </c>
      <c r="H54" s="114">
        <f t="shared" si="99"/>
        <v>8.577323882662915</v>
      </c>
      <c r="I54" s="114">
        <f t="shared" si="100"/>
        <v>9.4039824069435536</v>
      </c>
      <c r="J54" s="114">
        <f t="shared" si="101"/>
        <v>11.714866789171726</v>
      </c>
      <c r="K54" s="114">
        <f t="shared" si="102"/>
        <v>14.179955805018194</v>
      </c>
      <c r="L54" s="114">
        <f t="shared" si="103"/>
        <v>16.26983212762681</v>
      </c>
      <c r="M54" s="114">
        <f t="shared" si="104"/>
        <v>22.090467700836687</v>
      </c>
      <c r="N54" s="114">
        <f t="shared" si="105"/>
        <v>25.3168072732688</v>
      </c>
      <c r="O54" s="114">
        <f t="shared" si="106"/>
        <v>28.082915100455946</v>
      </c>
      <c r="P54" s="114">
        <f t="shared" si="107"/>
        <v>31.988639041788421</v>
      </c>
      <c r="Q54" s="114">
        <f t="shared" si="108"/>
        <v>37.878142448763761</v>
      </c>
      <c r="R54" s="114">
        <f t="shared" si="109"/>
        <v>42.339634909252837</v>
      </c>
      <c r="S54" s="114">
        <f t="shared" si="110"/>
        <v>47.972151555586791</v>
      </c>
      <c r="T54" s="114">
        <f t="shared" si="111"/>
        <v>52.878209754518139</v>
      </c>
      <c r="U54" s="114">
        <f t="shared" si="112"/>
        <v>57.822539500564446</v>
      </c>
      <c r="V54" s="114">
        <f t="shared" si="113"/>
        <v>61.545781037290894</v>
      </c>
      <c r="W54" s="114">
        <f t="shared" si="114"/>
        <v>61.786825912116122</v>
      </c>
      <c r="X54" s="114">
        <f t="shared" si="115"/>
        <v>62.291702438740607</v>
      </c>
      <c r="Y54" s="114">
        <f t="shared" si="116"/>
        <v>62.582322483765999</v>
      </c>
      <c r="Z54" s="114">
        <f t="shared" si="117"/>
        <v>62.057968216804255</v>
      </c>
      <c r="AA54" s="114">
        <f t="shared" si="118"/>
        <v>63.758385020184065</v>
      </c>
      <c r="AB54" s="114">
        <f t="shared" si="119"/>
        <v>59.629553590513254</v>
      </c>
      <c r="AC54" s="114">
        <f t="shared" si="120"/>
        <v>44.573555478177923</v>
      </c>
      <c r="AD54" s="114">
        <f t="shared" si="121"/>
        <v>24.380525535280547</v>
      </c>
      <c r="AE54" s="114">
        <f t="shared" si="122"/>
        <v>6.9866675611355582</v>
      </c>
      <c r="AF54" s="114">
        <f t="shared" si="123"/>
        <v>0</v>
      </c>
    </row>
    <row r="55" spans="1:32"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</row>
    <row r="56" spans="1:32">
      <c r="A56" s="123" t="str" cm="1">
        <f t="array" ref="A56:AF56">TRANSPOSE(Table1[[#All],[CNG Units]])</f>
        <v>CNG Units</v>
      </c>
      <c r="B56" s="124">
        <v>11875</v>
      </c>
      <c r="C56" s="124">
        <v>13373.994638025666</v>
      </c>
      <c r="D56" s="124">
        <v>13617.238294212208</v>
      </c>
      <c r="E56" s="124">
        <v>13838.845902642373</v>
      </c>
      <c r="F56" s="124">
        <v>15135.2996480521</v>
      </c>
      <c r="G56" s="124">
        <v>15556.839574443309</v>
      </c>
      <c r="H56" s="124">
        <v>15891.460949332401</v>
      </c>
      <c r="I56" s="124">
        <v>17551.564186772997</v>
      </c>
      <c r="J56" s="124">
        <v>18760.164376046756</v>
      </c>
      <c r="K56" s="124">
        <v>19506.793371984204</v>
      </c>
      <c r="L56" s="124">
        <v>20696.979035130444</v>
      </c>
      <c r="M56" s="124">
        <v>21782.625641962928</v>
      </c>
      <c r="N56" s="124">
        <v>22837.081882772323</v>
      </c>
      <c r="O56" s="124">
        <v>23992.565735955901</v>
      </c>
      <c r="P56" s="124">
        <v>25387.010398007762</v>
      </c>
      <c r="Q56" s="124">
        <v>26883.748625806136</v>
      </c>
      <c r="R56" s="124">
        <v>28559.143776407946</v>
      </c>
      <c r="S56" s="124">
        <v>30244.597157381802</v>
      </c>
      <c r="T56" s="124">
        <v>31813.957625514628</v>
      </c>
      <c r="U56" s="124">
        <v>33284.652261065159</v>
      </c>
      <c r="V56" s="124">
        <v>34697.547009755406</v>
      </c>
      <c r="W56" s="124">
        <v>33866.494024629414</v>
      </c>
      <c r="X56" s="124">
        <v>32950.579735954721</v>
      </c>
      <c r="Y56" s="124">
        <v>31259.153452335016</v>
      </c>
      <c r="Z56" s="124">
        <v>29884.052259427608</v>
      </c>
      <c r="AA56" s="124">
        <v>29400.344463971884</v>
      </c>
      <c r="AB56" s="124">
        <v>27664.041074742723</v>
      </c>
      <c r="AC56" s="124">
        <v>20808.557445092014</v>
      </c>
      <c r="AD56" s="124">
        <v>11405.02546406052</v>
      </c>
      <c r="AE56" s="124">
        <v>3269.5364177955371</v>
      </c>
      <c r="AF56" s="124">
        <v>0</v>
      </c>
    </row>
    <row r="57" spans="1:32">
      <c r="A57" t="s">
        <v>43</v>
      </c>
      <c r="B57" s="114">
        <f>$B$56*B2</f>
        <v>3429.2078379067507</v>
      </c>
      <c r="C57" s="114">
        <f>$C$56*C2</f>
        <v>3879.1130280001817</v>
      </c>
      <c r="D57" s="114">
        <f>$D$56*D2</f>
        <v>3978.7685860574784</v>
      </c>
      <c r="E57" s="114">
        <f>$E$56*E2</f>
        <v>4034.1138003925448</v>
      </c>
      <c r="F57" s="114">
        <f>$F$56*F2</f>
        <v>4435.1006979237536</v>
      </c>
      <c r="G57" s="114">
        <f>$G$56*G2</f>
        <v>4479.4738571652651</v>
      </c>
      <c r="H57" s="114">
        <f>$H$56*H2</f>
        <v>4489.1610793373557</v>
      </c>
      <c r="I57" s="114">
        <f>$I$56*I2</f>
        <v>4952.330755160624</v>
      </c>
      <c r="J57" s="114">
        <f>$J$56*J2</f>
        <v>5280.9519787710924</v>
      </c>
      <c r="K57" s="114">
        <f>$K$56*K2</f>
        <v>5409.2639523192174</v>
      </c>
      <c r="L57" s="114">
        <f>$L$56*L2</f>
        <v>5700.4973515636184</v>
      </c>
      <c r="M57" s="114">
        <f>$M$56*M2</f>
        <v>5992.6480245277926</v>
      </c>
      <c r="N57" s="114">
        <f>$N$56*N2</f>
        <v>6495.4381314844177</v>
      </c>
      <c r="O57" s="114">
        <f>$O$56*O2</f>
        <v>6889.0428998321922</v>
      </c>
      <c r="P57" s="114">
        <f>$P$56*P2</f>
        <v>7397.3206259738417</v>
      </c>
      <c r="Q57" s="114">
        <f>$Q$56*Q2</f>
        <v>7835.5666224618381</v>
      </c>
      <c r="R57" s="114">
        <f>$R$56*R2</f>
        <v>8315.1976509496544</v>
      </c>
      <c r="S57" s="114">
        <f>$S$56*S2</f>
        <v>8761.1457192097241</v>
      </c>
      <c r="T57" s="114">
        <f>$T$56*T2</f>
        <v>9292.7686162422015</v>
      </c>
      <c r="U57" s="114">
        <f>$U$56*U2</f>
        <v>9772.05641983239</v>
      </c>
      <c r="V57" s="114">
        <f>$V$56*V2</f>
        <v>10248.741266970905</v>
      </c>
      <c r="W57" s="114">
        <f>$W$56*W2</f>
        <v>10074.511700862731</v>
      </c>
      <c r="X57" s="114">
        <f>$X$56*X2</f>
        <v>9835.9659212980823</v>
      </c>
      <c r="Y57" s="114">
        <f>$Y$56*Y2</f>
        <v>9301.1861741655794</v>
      </c>
      <c r="Z57" s="114">
        <f>$Z$56*Z2</f>
        <v>8873.2566624331776</v>
      </c>
      <c r="AA57" s="114">
        <f>$AA$56*AA2</f>
        <v>8792.2206704195705</v>
      </c>
      <c r="AB57" s="114">
        <f>$AB$56*AB2</f>
        <v>8273.9628655224842</v>
      </c>
      <c r="AC57" s="114">
        <f>$AC$56*AC2</f>
        <v>6225.6169132160148</v>
      </c>
      <c r="AD57" s="114">
        <f>$AD$56*AD2</f>
        <v>3414.6407329259605</v>
      </c>
      <c r="AE57" s="114">
        <f>$AE$56*AE2</f>
        <v>980.37758242499194</v>
      </c>
      <c r="AF57" s="114">
        <f>$AF$56*AF2</f>
        <v>0</v>
      </c>
    </row>
    <row r="58" spans="1:32">
      <c r="A58" t="s">
        <v>51</v>
      </c>
      <c r="B58" s="114">
        <f t="shared" ref="B58:B65" si="124">$B$56*B3</f>
        <v>4811.3125486431554</v>
      </c>
      <c r="C58" s="114">
        <f t="shared" ref="C58:C65" si="125">$C$56*C3</f>
        <v>5398.888174923417</v>
      </c>
      <c r="D58" s="114">
        <f t="shared" ref="D58:D65" si="126">$D$56*D3</f>
        <v>5565.3940892208766</v>
      </c>
      <c r="E58" s="114">
        <f t="shared" ref="E58:E65" si="127">$E$56*E3</f>
        <v>5628.3144866075309</v>
      </c>
      <c r="F58" s="114">
        <f t="shared" ref="F58:F65" si="128">$F$56*F3</f>
        <v>6210.4325591049474</v>
      </c>
      <c r="G58" s="114">
        <f t="shared" ref="G58:G65" si="129">$G$56*G3</f>
        <v>6307.9602036810766</v>
      </c>
      <c r="H58" s="114">
        <f t="shared" ref="H58:H65" si="130">$H$56*H3</f>
        <v>6335.6282501395499</v>
      </c>
      <c r="I58" s="114">
        <f t="shared" ref="I58:I65" si="131">$I$56*I3</f>
        <v>7124.4780430329083</v>
      </c>
      <c r="J58" s="114">
        <f t="shared" ref="J58:J65" si="132">$J$56*J3</f>
        <v>7482.3389329615875</v>
      </c>
      <c r="K58" s="114">
        <f t="shared" ref="K58:K65" si="133">$K$56*K3</f>
        <v>7754.7752766841386</v>
      </c>
      <c r="L58" s="114">
        <f t="shared" ref="L58:L65" si="134">$L$56*L3</f>
        <v>8377.8258006629931</v>
      </c>
      <c r="M58" s="114">
        <f t="shared" ref="M58:M65" si="135">$M$56*M3</f>
        <v>8806.2311595766114</v>
      </c>
      <c r="N58" s="114">
        <f t="shared" ref="N58:N65" si="136">$N$56*N3</f>
        <v>8989.6105679883167</v>
      </c>
      <c r="O58" s="114">
        <f t="shared" ref="O58:O65" si="137">$O$56*O3</f>
        <v>9452.8865735338441</v>
      </c>
      <c r="P58" s="114">
        <f t="shared" ref="P58:P65" si="138">$P$56*P3</f>
        <v>10042.537776330406</v>
      </c>
      <c r="Q58" s="114">
        <f t="shared" ref="Q58:Q65" si="139">$Q$56*Q3</f>
        <v>10707.121491674772</v>
      </c>
      <c r="R58" s="114">
        <f t="shared" ref="R58:R65" si="140">$R$56*R3</f>
        <v>11390.186340256856</v>
      </c>
      <c r="S58" s="114">
        <f t="shared" ref="S58:S65" si="141">$S$56*S3</f>
        <v>12065.022102355037</v>
      </c>
      <c r="T58" s="114">
        <f t="shared" ref="T58:T65" si="142">$T$56*T3</f>
        <v>12782.711169936581</v>
      </c>
      <c r="U58" s="114">
        <f t="shared" ref="U58:U65" si="143">$U$56*U3</f>
        <v>13475.398572646818</v>
      </c>
      <c r="V58" s="114">
        <f t="shared" ref="V58:V65" si="144">$V$56*V3</f>
        <v>14123.686519095818</v>
      </c>
      <c r="W58" s="114">
        <f t="shared" ref="W58:W65" si="145">$W$56*W3</f>
        <v>13884.52676737229</v>
      </c>
      <c r="X58" s="114">
        <f t="shared" ref="X58:X65" si="146">$X$56*X3</f>
        <v>13563.000968640446</v>
      </c>
      <c r="Y58" s="114">
        <f t="shared" ref="Y58:Y65" si="147">$Y$56*Y3</f>
        <v>12796.247208247378</v>
      </c>
      <c r="Z58" s="114">
        <f t="shared" ref="Z58:Z65" si="148">$Z$56*Z3</f>
        <v>12191.843416908643</v>
      </c>
      <c r="AA58" s="114">
        <f t="shared" ref="AA58:AA65" si="149">$AA$56*AA3</f>
        <v>12070.729633212168</v>
      </c>
      <c r="AB58" s="114">
        <f t="shared" ref="AB58:AB65" si="150">$AB$56*AB3</f>
        <v>11369.627620359972</v>
      </c>
      <c r="AC58" s="114">
        <f t="shared" ref="AC58:AC65" si="151">$AC$56*AC3</f>
        <v>8558.6822362964904</v>
      </c>
      <c r="AD58" s="114">
        <f t="shared" ref="AD58:AD65" si="152">$AD$56*AD3</f>
        <v>4695.7444794272351</v>
      </c>
      <c r="AE58" s="114">
        <f t="shared" ref="AE58:AE65" si="153">$AE$56*AE3</f>
        <v>1348.045035761508</v>
      </c>
      <c r="AF58" s="114">
        <f t="shared" ref="AF58:AF65" si="154">$AF$56*AF3</f>
        <v>0</v>
      </c>
    </row>
    <row r="59" spans="1:32">
      <c r="A59" t="s">
        <v>58</v>
      </c>
      <c r="B59" s="114">
        <f t="shared" si="124"/>
        <v>972.48319908797555</v>
      </c>
      <c r="C59" s="114">
        <f t="shared" si="125"/>
        <v>1116.94499126963</v>
      </c>
      <c r="D59" s="114">
        <f t="shared" si="126"/>
        <v>1121.1168520651017</v>
      </c>
      <c r="E59" s="114">
        <f t="shared" si="127"/>
        <v>1154.9566396191476</v>
      </c>
      <c r="F59" s="114">
        <f t="shared" si="128"/>
        <v>1238.3839709498179</v>
      </c>
      <c r="G59" s="114">
        <f t="shared" si="129"/>
        <v>1241.0817207629091</v>
      </c>
      <c r="H59" s="114">
        <f t="shared" si="130"/>
        <v>1254.3298595020938</v>
      </c>
      <c r="I59" s="114">
        <f t="shared" si="131"/>
        <v>1304.6368650281745</v>
      </c>
      <c r="J59" s="114">
        <f t="shared" si="132"/>
        <v>1367.6600079604614</v>
      </c>
      <c r="K59" s="114">
        <f t="shared" si="133"/>
        <v>1439.3234512181018</v>
      </c>
      <c r="L59" s="114">
        <f t="shared" si="134"/>
        <v>1453.3823580286237</v>
      </c>
      <c r="M59" s="114">
        <f t="shared" si="135"/>
        <v>1544.51963971134</v>
      </c>
      <c r="N59" s="114">
        <f t="shared" si="136"/>
        <v>1601.6522154617662</v>
      </c>
      <c r="O59" s="114">
        <f t="shared" si="137"/>
        <v>1672.3707727277363</v>
      </c>
      <c r="P59" s="114">
        <f t="shared" si="138"/>
        <v>1774.2450972198324</v>
      </c>
      <c r="Q59" s="114">
        <f t="shared" si="139"/>
        <v>1896.4930476648608</v>
      </c>
      <c r="R59" s="114">
        <f t="shared" si="140"/>
        <v>1988.4459004239691</v>
      </c>
      <c r="S59" s="114">
        <f t="shared" si="141"/>
        <v>2354.8789873145029</v>
      </c>
      <c r="T59" s="114">
        <f t="shared" si="142"/>
        <v>2476.3685870177824</v>
      </c>
      <c r="U59" s="114">
        <f t="shared" si="143"/>
        <v>2591.5920008570915</v>
      </c>
      <c r="V59" s="114">
        <f t="shared" si="144"/>
        <v>2701.1724958614541</v>
      </c>
      <c r="W59" s="114">
        <f t="shared" si="145"/>
        <v>2639.4399315589703</v>
      </c>
      <c r="X59" s="114">
        <f t="shared" si="146"/>
        <v>2568.3737794660747</v>
      </c>
      <c r="Y59" s="114">
        <f t="shared" si="147"/>
        <v>2437.6766297590925</v>
      </c>
      <c r="Z59" s="114">
        <f t="shared" si="148"/>
        <v>2330.9115950322721</v>
      </c>
      <c r="AA59" s="114">
        <f t="shared" si="149"/>
        <v>2292.4290723852014</v>
      </c>
      <c r="AB59" s="114">
        <f t="shared" si="150"/>
        <v>2176.1049067258018</v>
      </c>
      <c r="AC59" s="114">
        <f t="shared" si="151"/>
        <v>1652.1325647931183</v>
      </c>
      <c r="AD59" s="114">
        <f t="shared" si="152"/>
        <v>916.19586423756357</v>
      </c>
      <c r="AE59" s="114">
        <f t="shared" si="153"/>
        <v>263.04496691782919</v>
      </c>
      <c r="AF59" s="114">
        <f t="shared" si="154"/>
        <v>0</v>
      </c>
    </row>
    <row r="60" spans="1:32">
      <c r="A60" t="s">
        <v>54</v>
      </c>
      <c r="B60" s="114">
        <f t="shared" si="124"/>
        <v>1110.8286925322295</v>
      </c>
      <c r="C60" s="114">
        <f t="shared" si="125"/>
        <v>1236.2978456405069</v>
      </c>
      <c r="D60" s="114">
        <f t="shared" si="126"/>
        <v>1205.3925926040072</v>
      </c>
      <c r="E60" s="114">
        <f t="shared" si="127"/>
        <v>1210.8031096249279</v>
      </c>
      <c r="F60" s="114">
        <f t="shared" si="128"/>
        <v>1302.4787813701344</v>
      </c>
      <c r="G60" s="114">
        <f t="shared" si="129"/>
        <v>1384.164000086545</v>
      </c>
      <c r="H60" s="114">
        <f t="shared" si="130"/>
        <v>1476.3925403519274</v>
      </c>
      <c r="I60" s="114">
        <f t="shared" si="131"/>
        <v>1621.9575450141795</v>
      </c>
      <c r="J60" s="114">
        <f t="shared" si="132"/>
        <v>1755.2983866621294</v>
      </c>
      <c r="K60" s="114">
        <f t="shared" si="133"/>
        <v>1839.981280564419</v>
      </c>
      <c r="L60" s="114">
        <f t="shared" si="134"/>
        <v>1980.37802825207</v>
      </c>
      <c r="M60" s="114">
        <f t="shared" si="135"/>
        <v>2068.0465691559971</v>
      </c>
      <c r="N60" s="114">
        <f t="shared" si="136"/>
        <v>2199.9786092644263</v>
      </c>
      <c r="O60" s="114">
        <f t="shared" si="137"/>
        <v>2254.2338348511885</v>
      </c>
      <c r="P60" s="114">
        <f t="shared" si="138"/>
        <v>2339.4309152890401</v>
      </c>
      <c r="Q60" s="114">
        <f t="shared" si="139"/>
        <v>2459.129097371786</v>
      </c>
      <c r="R60" s="114">
        <f t="shared" si="140"/>
        <v>2614.5548869852355</v>
      </c>
      <c r="S60" s="114">
        <f t="shared" si="141"/>
        <v>2705.969976093902</v>
      </c>
      <c r="T60" s="114">
        <f t="shared" si="142"/>
        <v>2805.4351108163301</v>
      </c>
      <c r="U60" s="114">
        <f t="shared" si="143"/>
        <v>2900.1993059966012</v>
      </c>
      <c r="V60" s="114">
        <f t="shared" si="144"/>
        <v>2987.7685975354107</v>
      </c>
      <c r="W60" s="114">
        <f t="shared" si="145"/>
        <v>2851.0541442679923</v>
      </c>
      <c r="X60" s="114">
        <f t="shared" si="146"/>
        <v>2741.1562952280674</v>
      </c>
      <c r="Y60" s="114">
        <f t="shared" si="147"/>
        <v>2648.8157291219868</v>
      </c>
      <c r="Z60" s="114">
        <f t="shared" si="148"/>
        <v>2542.8876362467972</v>
      </c>
      <c r="AA60" s="114">
        <f t="shared" si="149"/>
        <v>2406.4801888207867</v>
      </c>
      <c r="AB60" s="114">
        <f t="shared" si="150"/>
        <v>2249.6701830494562</v>
      </c>
      <c r="AC60" s="114">
        <f t="shared" si="151"/>
        <v>1678.9682098923836</v>
      </c>
      <c r="AD60" s="114">
        <f t="shared" si="152"/>
        <v>911.40279906227238</v>
      </c>
      <c r="AE60" s="114">
        <f t="shared" si="153"/>
        <v>259.2388102116613</v>
      </c>
      <c r="AF60" s="114">
        <f t="shared" si="154"/>
        <v>0</v>
      </c>
    </row>
    <row r="61" spans="1:32">
      <c r="A61" t="s">
        <v>55</v>
      </c>
      <c r="B61" s="114">
        <f t="shared" si="124"/>
        <v>475.2997183139716</v>
      </c>
      <c r="C61" s="114">
        <f t="shared" si="125"/>
        <v>535.35270077708162</v>
      </c>
      <c r="D61" s="114">
        <f t="shared" si="126"/>
        <v>549.36895104932501</v>
      </c>
      <c r="E61" s="114">
        <f t="shared" si="127"/>
        <v>587.65984636140081</v>
      </c>
      <c r="F61" s="114">
        <f t="shared" si="128"/>
        <v>631.41951084660218</v>
      </c>
      <c r="G61" s="114">
        <f t="shared" si="129"/>
        <v>715.20823495670436</v>
      </c>
      <c r="H61" s="114">
        <f t="shared" si="130"/>
        <v>809.3935284025697</v>
      </c>
      <c r="I61" s="114">
        <f t="shared" si="131"/>
        <v>873.04062305476452</v>
      </c>
      <c r="J61" s="114">
        <f t="shared" si="132"/>
        <v>956.54366038887588</v>
      </c>
      <c r="K61" s="114">
        <f t="shared" si="133"/>
        <v>957.69745607481514</v>
      </c>
      <c r="L61" s="114">
        <f t="shared" si="134"/>
        <v>951.6811120078587</v>
      </c>
      <c r="M61" s="114">
        <f t="shared" si="135"/>
        <v>920.48765069563729</v>
      </c>
      <c r="N61" s="114">
        <f t="shared" si="136"/>
        <v>901.23416622358309</v>
      </c>
      <c r="O61" s="114">
        <f t="shared" si="137"/>
        <v>872.56050980412306</v>
      </c>
      <c r="P61" s="114">
        <f t="shared" si="138"/>
        <v>836.51838066383891</v>
      </c>
      <c r="Q61" s="114">
        <f t="shared" si="139"/>
        <v>822.30630129475924</v>
      </c>
      <c r="R61" s="114">
        <f t="shared" si="140"/>
        <v>913.86892475268212</v>
      </c>
      <c r="S61" s="114">
        <f t="shared" si="141"/>
        <v>869.35690033907474</v>
      </c>
      <c r="T61" s="114">
        <f t="shared" si="142"/>
        <v>824.52301699703105</v>
      </c>
      <c r="U61" s="114">
        <f t="shared" si="143"/>
        <v>771.74371846162182</v>
      </c>
      <c r="V61" s="114">
        <f t="shared" si="144"/>
        <v>713.84582966903804</v>
      </c>
      <c r="W61" s="114">
        <f t="shared" si="145"/>
        <v>611.56349138522444</v>
      </c>
      <c r="X61" s="114">
        <f t="shared" si="146"/>
        <v>533.50565015016298</v>
      </c>
      <c r="Y61" s="114">
        <f t="shared" si="147"/>
        <v>456.58870413984243</v>
      </c>
      <c r="Z61" s="114">
        <f t="shared" si="148"/>
        <v>394.48438794658045</v>
      </c>
      <c r="AA61" s="114">
        <f t="shared" si="149"/>
        <v>340.36863999311663</v>
      </c>
      <c r="AB61" s="114">
        <f t="shared" si="150"/>
        <v>303.68136095069099</v>
      </c>
      <c r="AC61" s="114">
        <f t="shared" si="151"/>
        <v>217.90595897650368</v>
      </c>
      <c r="AD61" s="114">
        <f t="shared" si="152"/>
        <v>109.28880699437789</v>
      </c>
      <c r="AE61" s="114">
        <f t="shared" si="153"/>
        <v>28.733993476016401</v>
      </c>
      <c r="AF61" s="114">
        <f t="shared" si="154"/>
        <v>0</v>
      </c>
    </row>
    <row r="62" spans="1:32">
      <c r="A62" t="s">
        <v>56</v>
      </c>
      <c r="B62" s="114">
        <f t="shared" si="124"/>
        <v>194.25834088535098</v>
      </c>
      <c r="C62" s="114">
        <f t="shared" si="125"/>
        <v>218.59430579934383</v>
      </c>
      <c r="D62" s="114">
        <f t="shared" si="126"/>
        <v>219.63440328727486</v>
      </c>
      <c r="E62" s="114">
        <f t="shared" si="127"/>
        <v>232.50787988728146</v>
      </c>
      <c r="F62" s="114">
        <f t="shared" si="128"/>
        <v>254.16402888422425</v>
      </c>
      <c r="G62" s="114">
        <f t="shared" si="129"/>
        <v>291.15064878597968</v>
      </c>
      <c r="H62" s="114">
        <f t="shared" si="130"/>
        <v>354.96496771879276</v>
      </c>
      <c r="I62" s="114">
        <f t="shared" si="131"/>
        <v>381.72202236202935</v>
      </c>
      <c r="J62" s="114">
        <f t="shared" si="132"/>
        <v>444.17711181847761</v>
      </c>
      <c r="K62" s="114">
        <f t="shared" si="133"/>
        <v>492.69348652149574</v>
      </c>
      <c r="L62" s="114">
        <f t="shared" si="134"/>
        <v>505.18543627935571</v>
      </c>
      <c r="M62" s="114">
        <f t="shared" si="135"/>
        <v>553.25345206058819</v>
      </c>
      <c r="N62" s="114">
        <f t="shared" si="136"/>
        <v>618.7917130588296</v>
      </c>
      <c r="O62" s="114">
        <f t="shared" si="137"/>
        <v>735.83664574160321</v>
      </c>
      <c r="P62" s="114">
        <f t="shared" si="138"/>
        <v>783.36353011832512</v>
      </c>
      <c r="Q62" s="114">
        <f t="shared" si="139"/>
        <v>813.45468586081859</v>
      </c>
      <c r="R62" s="114">
        <f t="shared" si="140"/>
        <v>862.02442051177729</v>
      </c>
      <c r="S62" s="114">
        <f t="shared" si="141"/>
        <v>879.76656723066731</v>
      </c>
      <c r="T62" s="114">
        <f t="shared" si="142"/>
        <v>901.59419089662345</v>
      </c>
      <c r="U62" s="114">
        <f t="shared" si="143"/>
        <v>904.9430384213149</v>
      </c>
      <c r="V62" s="114">
        <f t="shared" si="144"/>
        <v>923.13672030019961</v>
      </c>
      <c r="W62" s="114">
        <f t="shared" si="145"/>
        <v>877.81042139872466</v>
      </c>
      <c r="X62" s="114">
        <f t="shared" si="146"/>
        <v>848.27929405598877</v>
      </c>
      <c r="Y62" s="114">
        <f t="shared" si="147"/>
        <v>811.69136196581155</v>
      </c>
      <c r="Z62" s="114">
        <f t="shared" si="148"/>
        <v>790.71253964257312</v>
      </c>
      <c r="AA62" s="114">
        <f t="shared" si="149"/>
        <v>777.65815642230473</v>
      </c>
      <c r="AB62" s="114">
        <f t="shared" si="150"/>
        <v>722.7563980019911</v>
      </c>
      <c r="AC62" s="114">
        <f t="shared" si="151"/>
        <v>536.64183697181056</v>
      </c>
      <c r="AD62" s="114">
        <f t="shared" si="152"/>
        <v>290.13861965606912</v>
      </c>
      <c r="AE62" s="114">
        <f t="shared" si="153"/>
        <v>82.244058814387287</v>
      </c>
      <c r="AF62" s="114">
        <f t="shared" si="154"/>
        <v>0</v>
      </c>
    </row>
    <row r="63" spans="1:32">
      <c r="A63" t="s">
        <v>549</v>
      </c>
      <c r="B63" s="114">
        <f t="shared" si="124"/>
        <v>320.69184899658728</v>
      </c>
      <c r="C63" s="114">
        <f t="shared" si="125"/>
        <v>361.26875855012406</v>
      </c>
      <c r="D63" s="114">
        <f t="shared" si="126"/>
        <v>355.58236371988608</v>
      </c>
      <c r="E63" s="114">
        <f t="shared" si="127"/>
        <v>356.73879741113461</v>
      </c>
      <c r="F63" s="114">
        <f t="shared" si="128"/>
        <v>389.32984208788798</v>
      </c>
      <c r="G63" s="114">
        <f t="shared" si="129"/>
        <v>422.08571061268901</v>
      </c>
      <c r="H63" s="114">
        <f t="shared" si="130"/>
        <v>438.23263052787462</v>
      </c>
      <c r="I63" s="114">
        <f t="shared" si="131"/>
        <v>491.53369582412751</v>
      </c>
      <c r="J63" s="114">
        <f t="shared" si="132"/>
        <v>543.28370442963239</v>
      </c>
      <c r="K63" s="114">
        <f t="shared" si="133"/>
        <v>596.90177210886384</v>
      </c>
      <c r="L63" s="114">
        <f t="shared" si="134"/>
        <v>639.54939530853835</v>
      </c>
      <c r="M63" s="114">
        <f t="shared" si="135"/>
        <v>670.13486334693755</v>
      </c>
      <c r="N63" s="114">
        <f t="shared" si="136"/>
        <v>717.53369080801872</v>
      </c>
      <c r="O63" s="114">
        <f t="shared" si="137"/>
        <v>768.151174293488</v>
      </c>
      <c r="P63" s="114">
        <f t="shared" si="138"/>
        <v>823.5516148025622</v>
      </c>
      <c r="Q63" s="114">
        <f t="shared" si="139"/>
        <v>886.07435740818187</v>
      </c>
      <c r="R63" s="114">
        <f t="shared" si="140"/>
        <v>958.09128089382784</v>
      </c>
      <c r="S63" s="114">
        <f t="shared" si="141"/>
        <v>1019.0463444742815</v>
      </c>
      <c r="T63" s="114">
        <f t="shared" si="142"/>
        <v>1072.3257794057483</v>
      </c>
      <c r="U63" s="114">
        <f t="shared" si="143"/>
        <v>1123.2498976583124</v>
      </c>
      <c r="V63" s="114">
        <f t="shared" si="144"/>
        <v>1171.5867931340736</v>
      </c>
      <c r="W63" s="114">
        <f t="shared" si="145"/>
        <v>1150.1633807470646</v>
      </c>
      <c r="X63" s="114">
        <f t="shared" si="146"/>
        <v>1123.9742602771212</v>
      </c>
      <c r="Y63" s="114">
        <f t="shared" si="147"/>
        <v>1069.4506329342989</v>
      </c>
      <c r="Z63" s="114">
        <f t="shared" si="148"/>
        <v>1092.0271404873756</v>
      </c>
      <c r="AA63" s="114">
        <f t="shared" si="149"/>
        <v>1073.6446434670008</v>
      </c>
      <c r="AB63" s="114">
        <f t="shared" si="150"/>
        <v>1018.6951305654966</v>
      </c>
      <c r="AC63" s="114">
        <f t="shared" si="151"/>
        <v>772.20277111542782</v>
      </c>
      <c r="AD63" s="114">
        <f t="shared" si="152"/>
        <v>426.30475917452901</v>
      </c>
      <c r="AE63" s="114">
        <f t="shared" si="153"/>
        <v>123.16471258973489</v>
      </c>
      <c r="AF63" s="114">
        <f t="shared" si="154"/>
        <v>0</v>
      </c>
    </row>
    <row r="64" spans="1:32">
      <c r="A64" t="s">
        <v>52</v>
      </c>
      <c r="B64" s="114">
        <f t="shared" si="124"/>
        <v>397.27262596932712</v>
      </c>
      <c r="C64" s="114">
        <f t="shared" si="125"/>
        <v>442.88317495860036</v>
      </c>
      <c r="D64" s="114">
        <f t="shared" si="126"/>
        <v>433.43686835093013</v>
      </c>
      <c r="E64" s="114">
        <f t="shared" si="127"/>
        <v>430.7788477842733</v>
      </c>
      <c r="F64" s="114">
        <f t="shared" si="128"/>
        <v>450.04153213359416</v>
      </c>
      <c r="G64" s="114">
        <f t="shared" si="129"/>
        <v>463.23646784185365</v>
      </c>
      <c r="H64" s="114">
        <f t="shared" si="130"/>
        <v>467.9573254372678</v>
      </c>
      <c r="I64" s="114">
        <f t="shared" si="131"/>
        <v>520.66174224205554</v>
      </c>
      <c r="J64" s="114">
        <f t="shared" si="132"/>
        <v>596.59630933300559</v>
      </c>
      <c r="K64" s="114">
        <f t="shared" si="133"/>
        <v>638.84845179355113</v>
      </c>
      <c r="L64" s="114">
        <f t="shared" si="134"/>
        <v>690.56831337895585</v>
      </c>
      <c r="M64" s="114">
        <f t="shared" si="135"/>
        <v>738.30465788607671</v>
      </c>
      <c r="N64" s="114">
        <f t="shared" si="136"/>
        <v>811.45291605372142</v>
      </c>
      <c r="O64" s="114">
        <f t="shared" si="137"/>
        <v>853.10304830685106</v>
      </c>
      <c r="P64" s="114">
        <f t="shared" si="138"/>
        <v>889.80419539220054</v>
      </c>
      <c r="Q64" s="114">
        <f t="shared" si="139"/>
        <v>934.68022442856477</v>
      </c>
      <c r="R64" s="114">
        <f t="shared" si="140"/>
        <v>983.1531405065424</v>
      </c>
      <c r="S64" s="114">
        <f t="shared" si="141"/>
        <v>1035.0647287111219</v>
      </c>
      <c r="T64" s="114">
        <f t="shared" si="142"/>
        <v>1086.6002513552748</v>
      </c>
      <c r="U64" s="114">
        <f t="shared" si="143"/>
        <v>1146.4547804828253</v>
      </c>
      <c r="V64" s="114">
        <f t="shared" si="144"/>
        <v>1199.4797866020406</v>
      </c>
      <c r="W64" s="114">
        <f t="shared" si="145"/>
        <v>1163.364707875199</v>
      </c>
      <c r="X64" s="114">
        <f t="shared" si="146"/>
        <v>1135.1369274490983</v>
      </c>
      <c r="Y64" s="114">
        <f t="shared" si="147"/>
        <v>1152.8521137004273</v>
      </c>
      <c r="Z64" s="114">
        <f t="shared" si="148"/>
        <v>1108.8901814257576</v>
      </c>
      <c r="AA64" s="114">
        <f t="shared" si="149"/>
        <v>1095.4909534889659</v>
      </c>
      <c r="AB64" s="114">
        <f t="shared" si="150"/>
        <v>1033.9223520488638</v>
      </c>
      <c r="AC64" s="114">
        <f t="shared" si="151"/>
        <v>780.97679763660983</v>
      </c>
      <c r="AD64" s="114">
        <f t="shared" si="152"/>
        <v>430.48956413038189</v>
      </c>
      <c r="AE64" s="114">
        <f t="shared" si="153"/>
        <v>124.27313221782417</v>
      </c>
      <c r="AF64" s="114">
        <f t="shared" si="154"/>
        <v>0</v>
      </c>
    </row>
    <row r="65" spans="1:32">
      <c r="A65" t="s">
        <v>57</v>
      </c>
      <c r="B65" s="114">
        <f t="shared" si="124"/>
        <v>163.64518766465343</v>
      </c>
      <c r="C65" s="114">
        <f t="shared" si="125"/>
        <v>184.65165810678116</v>
      </c>
      <c r="D65" s="114">
        <f t="shared" si="126"/>
        <v>188.54358785732694</v>
      </c>
      <c r="E65" s="114">
        <f t="shared" si="127"/>
        <v>202.97249495413109</v>
      </c>
      <c r="F65" s="114">
        <f t="shared" si="128"/>
        <v>223.94872475113468</v>
      </c>
      <c r="G65" s="114">
        <f t="shared" si="129"/>
        <v>252.47873055028467</v>
      </c>
      <c r="H65" s="114">
        <f t="shared" si="130"/>
        <v>265.40076791496966</v>
      </c>
      <c r="I65" s="114">
        <f t="shared" si="131"/>
        <v>281.20289505413308</v>
      </c>
      <c r="J65" s="114">
        <f t="shared" si="132"/>
        <v>333.31428372149441</v>
      </c>
      <c r="K65" s="114">
        <f t="shared" si="133"/>
        <v>377.30824469959907</v>
      </c>
      <c r="L65" s="114">
        <f t="shared" si="134"/>
        <v>397.91123964842711</v>
      </c>
      <c r="M65" s="114">
        <f t="shared" si="135"/>
        <v>488.99962500194658</v>
      </c>
      <c r="N65" s="114">
        <f t="shared" si="136"/>
        <v>501.38987242924293</v>
      </c>
      <c r="O65" s="114">
        <f t="shared" si="137"/>
        <v>494.38027686487237</v>
      </c>
      <c r="P65" s="114">
        <f t="shared" si="138"/>
        <v>500.23826221771463</v>
      </c>
      <c r="Q65" s="114">
        <f t="shared" si="139"/>
        <v>528.9227976405557</v>
      </c>
      <c r="R65" s="114">
        <f t="shared" si="140"/>
        <v>533.62123112740233</v>
      </c>
      <c r="S65" s="114">
        <f t="shared" si="141"/>
        <v>554.34583165349306</v>
      </c>
      <c r="T65" s="114">
        <f t="shared" si="142"/>
        <v>571.63090284706038</v>
      </c>
      <c r="U65" s="114">
        <f t="shared" si="143"/>
        <v>599.01452670818435</v>
      </c>
      <c r="V65" s="114">
        <f t="shared" si="144"/>
        <v>628.12900058646892</v>
      </c>
      <c r="W65" s="114">
        <f t="shared" si="145"/>
        <v>614.05947916121363</v>
      </c>
      <c r="X65" s="114">
        <f t="shared" si="146"/>
        <v>601.18663938967768</v>
      </c>
      <c r="Y65" s="114">
        <f t="shared" si="147"/>
        <v>584.64489830060029</v>
      </c>
      <c r="Z65" s="114">
        <f t="shared" si="148"/>
        <v>559.03869930443147</v>
      </c>
      <c r="AA65" s="114">
        <f t="shared" si="149"/>
        <v>551.32250576276806</v>
      </c>
      <c r="AB65" s="114">
        <f t="shared" si="150"/>
        <v>515.62025751796762</v>
      </c>
      <c r="AC65" s="114">
        <f t="shared" si="151"/>
        <v>385.43015619365622</v>
      </c>
      <c r="AD65" s="114">
        <f t="shared" si="152"/>
        <v>210.81983845213176</v>
      </c>
      <c r="AE65" s="114">
        <f t="shared" si="153"/>
        <v>60.414125381583943</v>
      </c>
      <c r="AF65" s="114">
        <f t="shared" si="154"/>
        <v>0</v>
      </c>
    </row>
    <row r="66" spans="1:32"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</row>
    <row r="67" spans="1:32">
      <c r="A67" s="123" t="str" cm="1">
        <f t="array" aca="1" ref="A67:AF67" ca="1">TRANSPOSE(Table1[[#All],[Diesel]])</f>
        <v>Diesel</v>
      </c>
      <c r="B67" s="124">
        <f ca="1"/>
        <v>254978</v>
      </c>
      <c r="C67" s="124">
        <f ca="1"/>
        <v>286923.37491417094</v>
      </c>
      <c r="D67" s="124">
        <f ca="1"/>
        <v>291640.49304184003</v>
      </c>
      <c r="E67" s="124">
        <f ca="1"/>
        <v>295403.7373023011</v>
      </c>
      <c r="F67" s="124">
        <f ca="1"/>
        <v>321267.14949389733</v>
      </c>
      <c r="G67" s="124">
        <f ca="1"/>
        <v>327228.8298569399</v>
      </c>
      <c r="H67" s="124">
        <f ca="1"/>
        <v>329773.4206455758</v>
      </c>
      <c r="I67" s="124">
        <f ca="1"/>
        <v>352051.69730960153</v>
      </c>
      <c r="J67" s="124">
        <f ca="1"/>
        <v>364026.46173636639</v>
      </c>
      <c r="K67" s="124">
        <f ca="1"/>
        <v>358317.48498955189</v>
      </c>
      <c r="L67" s="124">
        <f ca="1"/>
        <v>351873.36167924327</v>
      </c>
      <c r="M67" s="124">
        <f ca="1"/>
        <v>334780.22756338998</v>
      </c>
      <c r="N67" s="124">
        <f ca="1"/>
        <v>309577.30230970401</v>
      </c>
      <c r="O67" s="124">
        <f ca="1"/>
        <v>279636.07195282949</v>
      </c>
      <c r="P67" s="124">
        <f ca="1"/>
        <v>247895.70673552196</v>
      </c>
      <c r="Q67" s="124">
        <f ca="1"/>
        <v>214530.13224374619</v>
      </c>
      <c r="R67" s="124">
        <f ca="1"/>
        <v>182409.57690597442</v>
      </c>
      <c r="S67" s="124">
        <f ca="1"/>
        <v>152976.15997313161</v>
      </c>
      <c r="T67" s="124">
        <f ca="1"/>
        <v>128751.06957330508</v>
      </c>
      <c r="U67" s="124">
        <f ca="1"/>
        <v>112865.0066417983</v>
      </c>
      <c r="V67" s="124">
        <f ca="1"/>
        <v>107929.76918376249</v>
      </c>
      <c r="W67" s="124">
        <f ca="1"/>
        <v>100750.91226072586</v>
      </c>
      <c r="X67" s="124">
        <f ca="1"/>
        <v>92875.77261704125</v>
      </c>
      <c r="Y67" s="124">
        <f ca="1"/>
        <v>82474.463510243804</v>
      </c>
      <c r="Z67" s="124">
        <f ca="1"/>
        <v>72614.954733080696</v>
      </c>
      <c r="AA67" s="124">
        <f ca="1"/>
        <v>64301.572122595971</v>
      </c>
      <c r="AB67" s="124">
        <f ca="1"/>
        <v>58764.65669671644</v>
      </c>
      <c r="AC67" s="124">
        <f ca="1"/>
        <v>45171.642727470258</v>
      </c>
      <c r="AD67" s="124">
        <f ca="1"/>
        <v>34614.271824249881</v>
      </c>
      <c r="AE67" s="124">
        <f ca="1"/>
        <v>20901.971268808818</v>
      </c>
      <c r="AF67" s="124">
        <f ca="1"/>
        <v>0</v>
      </c>
    </row>
    <row r="68" spans="1:32">
      <c r="A68" t="s">
        <v>43</v>
      </c>
      <c r="B68" s="114">
        <f ca="1">B2*$B$67</f>
        <v>73631.373144739991</v>
      </c>
      <c r="C68" s="114">
        <f ca="1">C2*$C$67</f>
        <v>83221.822035338322</v>
      </c>
      <c r="D68" s="114">
        <f ca="1">D2*$D$67</f>
        <v>85213.316170752834</v>
      </c>
      <c r="E68" s="114">
        <f ca="1">E2*$E$67</f>
        <v>86112.115253137294</v>
      </c>
      <c r="F68" s="114">
        <f ca="1">F2*$F$67</f>
        <v>94140.994368997257</v>
      </c>
      <c r="G68" s="114">
        <f ca="1">G2*$G$67</f>
        <v>94223.057430184752</v>
      </c>
      <c r="H68" s="114">
        <f ca="1">H2*$H$67</f>
        <v>93157.325791638854</v>
      </c>
      <c r="I68" s="114">
        <f ca="1">I2*$I$67</f>
        <v>99334.533916170069</v>
      </c>
      <c r="J68" s="114">
        <f ca="1">J2*$J$67</f>
        <v>102472.78354800872</v>
      </c>
      <c r="K68" s="114">
        <f ca="1">K2*$K$67</f>
        <v>99361.992413544023</v>
      </c>
      <c r="L68" s="114">
        <f ca="1">L2*$L$67</f>
        <v>96915.262992422096</v>
      </c>
      <c r="M68" s="114">
        <f ca="1">M2*$M$67</f>
        <v>92101.847698922516</v>
      </c>
      <c r="N68" s="114">
        <f ca="1">N2*$N$67</f>
        <v>88051.539351069805</v>
      </c>
      <c r="O68" s="114">
        <f ca="1">O2*$O$67</f>
        <v>80292.575509613467</v>
      </c>
      <c r="P68" s="114">
        <f ca="1">P2*$P$67</f>
        <v>72232.373791793274</v>
      </c>
      <c r="Q68" s="114">
        <f ca="1">Q2*$Q$67</f>
        <v>62527.185740303961</v>
      </c>
      <c r="R68" s="114">
        <f ca="1">R2*$R$67</f>
        <v>53109.844513344593</v>
      </c>
      <c r="S68" s="114">
        <f ca="1">S2*$S$67</f>
        <v>44313.581765218842</v>
      </c>
      <c r="T68" s="114">
        <f ca="1">T2*$T$67</f>
        <v>37607.829642636971</v>
      </c>
      <c r="U68" s="114">
        <f ca="1">U2*$U$67</f>
        <v>33136.089392724665</v>
      </c>
      <c r="V68" s="114">
        <f ca="1">V2*$V$67</f>
        <v>31879.6103671903</v>
      </c>
      <c r="W68" s="114">
        <f ca="1">W2*$W$67</f>
        <v>29971.104883343</v>
      </c>
      <c r="X68" s="114">
        <f ca="1">X2*$X$67</f>
        <v>27724.03222328248</v>
      </c>
      <c r="Y68" s="114">
        <f ca="1">Y2*$Y$67</f>
        <v>24540.342747698473</v>
      </c>
      <c r="Z68" s="114">
        <f ca="1">Z2*$Z$67</f>
        <v>21561.036143427398</v>
      </c>
      <c r="AA68" s="114">
        <f ca="1">AA2*$AA$67</f>
        <v>19229.489377227041</v>
      </c>
      <c r="AB68" s="114">
        <f ca="1">AB2*$AB$67</f>
        <v>17575.761473175546</v>
      </c>
      <c r="AC68" s="114">
        <f ca="1">AC2*$AC$67</f>
        <v>13514.696715712025</v>
      </c>
      <c r="AD68" s="114">
        <f ca="1">AD2*$AD$67</f>
        <v>10363.440474912722</v>
      </c>
      <c r="AE68" s="114">
        <f ca="1">AE2*$AE$67</f>
        <v>6267.5013952736163</v>
      </c>
      <c r="AF68" s="114">
        <f ca="1">AF2*$AF$67</f>
        <v>0</v>
      </c>
    </row>
    <row r="69" spans="1:32">
      <c r="A69" t="s">
        <v>51</v>
      </c>
      <c r="B69" s="114">
        <f t="shared" ref="B69:B76" ca="1" si="155">B3*$B$67</f>
        <v>103307.69271814184</v>
      </c>
      <c r="C69" s="114">
        <f t="shared" ref="C69:C76" ca="1" si="156">C3*$C$67</f>
        <v>115826.81598576719</v>
      </c>
      <c r="D69" s="114">
        <f t="shared" ref="D69:D76" ca="1" si="157">D3*$D$67</f>
        <v>119194.08628123878</v>
      </c>
      <c r="E69" s="114">
        <f t="shared" ref="E69:E76" ca="1" si="158">E3*$E$67</f>
        <v>120141.89230469624</v>
      </c>
      <c r="F69" s="114">
        <f t="shared" ref="F69:F76" ca="1" si="159">F3*$F$67</f>
        <v>131824.80768687776</v>
      </c>
      <c r="G69" s="114">
        <f t="shared" ref="G69:G76" ca="1" si="160">G3*$G$67</f>
        <v>132684.17575158848</v>
      </c>
      <c r="H69" s="114">
        <f t="shared" ref="H69:H76" ca="1" si="161">H3*$H$67</f>
        <v>131474.4948025081</v>
      </c>
      <c r="I69" s="114">
        <f t="shared" ref="I69:I76" ca="1" si="162">I3*$I$67</f>
        <v>142903.76406365607</v>
      </c>
      <c r="J69" s="114">
        <f t="shared" ref="J69:J76" ca="1" si="163">J3*$J$67</f>
        <v>145188.99262716551</v>
      </c>
      <c r="K69" s="114">
        <f t="shared" ref="K69:K76" ca="1" si="164">K3*$K$67</f>
        <v>142446.35296088003</v>
      </c>
      <c r="L69" s="114">
        <f t="shared" ref="L69:L76" ca="1" si="165">L3*$L$67</f>
        <v>142433.0441190789</v>
      </c>
      <c r="M69" s="114">
        <f t="shared" ref="M69:M76" ca="1" si="166">M3*$M$67</f>
        <v>135344.20138495308</v>
      </c>
      <c r="N69" s="114">
        <f t="shared" ref="N69:N76" ca="1" si="167">N3*$N$67</f>
        <v>121862.30284316813</v>
      </c>
      <c r="O69" s="114">
        <f t="shared" ref="O69:O76" ca="1" si="168">O3*$O$67</f>
        <v>110174.46400395701</v>
      </c>
      <c r="P69" s="114">
        <f t="shared" ref="P69:P76" ca="1" si="169">P3*$P$67</f>
        <v>98062.038832148828</v>
      </c>
      <c r="Q69" s="114">
        <f t="shared" ref="Q69:Q76" ca="1" si="170">Q3*$Q$67</f>
        <v>85441.960551361466</v>
      </c>
      <c r="R69" s="114">
        <f t="shared" ref="R69:R76" ca="1" si="171">R3*$R$67</f>
        <v>72750.047672044893</v>
      </c>
      <c r="S69" s="114">
        <f t="shared" ref="S69:S76" ca="1" si="172">S3*$S$67</f>
        <v>61024.477912702576</v>
      </c>
      <c r="T69" s="114">
        <f t="shared" ref="T69:T76" ca="1" si="173">T3*$T$67</f>
        <v>51731.625299458363</v>
      </c>
      <c r="U69" s="114">
        <f t="shared" ref="U69:U76" ca="1" si="174">U3*$U$67</f>
        <v>45693.761120699521</v>
      </c>
      <c r="V69" s="114">
        <f t="shared" ref="V69:V76" ca="1" si="175">V3*$V$67</f>
        <v>43932.968102939543</v>
      </c>
      <c r="W69" s="114">
        <f t="shared" ref="W69:W76" ca="1" si="176">W3*$W$67</f>
        <v>41305.685114729931</v>
      </c>
      <c r="X69" s="114">
        <f t="shared" ref="X69:X76" ca="1" si="177">X3*$X$67</f>
        <v>38229.196695851766</v>
      </c>
      <c r="Y69" s="114">
        <f t="shared" ref="Y69:Y76" ca="1" si="178">Y3*$Y$67</f>
        <v>33761.746780952039</v>
      </c>
      <c r="Z69" s="114">
        <f t="shared" ref="Z69:Z76" ca="1" si="179">Z3*$Z$67</f>
        <v>29624.836355730091</v>
      </c>
      <c r="AA69" s="114">
        <f t="shared" ref="AA69:AA76" ca="1" si="180">AA3*$AA$67</f>
        <v>26399.92511086012</v>
      </c>
      <c r="AB69" s="114">
        <f t="shared" ref="AB69:AB76" ca="1" si="181">AB3*$AB$67</f>
        <v>24151.650949143641</v>
      </c>
      <c r="AC69" s="114">
        <f t="shared" ref="AC69:AC76" ca="1" si="182">AC3*$AC$67</f>
        <v>18579.36270767864</v>
      </c>
      <c r="AD69" s="114">
        <f t="shared" ref="AD69:AD76" ca="1" si="183">AD3*$AD$67</f>
        <v>14251.592540526093</v>
      </c>
      <c r="AE69" s="114">
        <f t="shared" ref="AE69:AE76" ca="1" si="184">AE3*$AE$67</f>
        <v>8617.9797396309204</v>
      </c>
      <c r="AF69" s="114">
        <f t="shared" ref="AF69:AF76" ca="1" si="185">AF3*$AF$67</f>
        <v>0</v>
      </c>
    </row>
    <row r="70" spans="1:32">
      <c r="A70" t="s">
        <v>58</v>
      </c>
      <c r="B70" s="114">
        <f t="shared" ca="1" si="155"/>
        <v>20880.995464172953</v>
      </c>
      <c r="C70" s="114">
        <f t="shared" ca="1" si="156"/>
        <v>23962.745250200871</v>
      </c>
      <c r="D70" s="114">
        <f t="shared" ca="1" si="157"/>
        <v>24010.967894477722</v>
      </c>
      <c r="E70" s="114">
        <f t="shared" ca="1" si="158"/>
        <v>24653.682118135217</v>
      </c>
      <c r="F70" s="114">
        <f t="shared" ca="1" si="159"/>
        <v>26286.370113404701</v>
      </c>
      <c r="G70" s="114">
        <f t="shared" ca="1" si="160"/>
        <v>26105.412818504097</v>
      </c>
      <c r="H70" s="114">
        <f t="shared" ca="1" si="161"/>
        <v>26029.365689204751</v>
      </c>
      <c r="I70" s="114">
        <f t="shared" ca="1" si="162"/>
        <v>26168.58633328979</v>
      </c>
      <c r="J70" s="114">
        <f t="shared" ca="1" si="163"/>
        <v>26538.383330577733</v>
      </c>
      <c r="K70" s="114">
        <f t="shared" ca="1" si="164"/>
        <v>26438.725693770568</v>
      </c>
      <c r="L70" s="114">
        <f t="shared" ca="1" si="165"/>
        <v>24709.235838563247</v>
      </c>
      <c r="M70" s="114">
        <f t="shared" ca="1" si="166"/>
        <v>23737.938894867391</v>
      </c>
      <c r="N70" s="114">
        <f t="shared" ca="1" si="167"/>
        <v>21711.844562551534</v>
      </c>
      <c r="O70" s="114">
        <f t="shared" ca="1" si="168"/>
        <v>19491.670831746924</v>
      </c>
      <c r="P70" s="114">
        <f t="shared" ca="1" si="169"/>
        <v>17324.912835418407</v>
      </c>
      <c r="Q70" s="114">
        <f t="shared" ca="1" si="170"/>
        <v>15133.860607681079</v>
      </c>
      <c r="R70" s="114">
        <f t="shared" ca="1" si="171"/>
        <v>12700.365887593005</v>
      </c>
      <c r="S70" s="114">
        <f t="shared" ca="1" si="172"/>
        <v>11910.899087404961</v>
      </c>
      <c r="T70" s="114">
        <f t="shared" ca="1" si="173"/>
        <v>10021.862353288911</v>
      </c>
      <c r="U70" s="114">
        <f t="shared" ca="1" si="174"/>
        <v>8787.8354893231062</v>
      </c>
      <c r="V70" s="114">
        <f t="shared" ca="1" si="175"/>
        <v>8402.234426597568</v>
      </c>
      <c r="W70" s="114">
        <f t="shared" ca="1" si="176"/>
        <v>7852.1851352123831</v>
      </c>
      <c r="X70" s="114">
        <f t="shared" ca="1" si="177"/>
        <v>7239.3172153197165</v>
      </c>
      <c r="Y70" s="114">
        <f t="shared" ca="1" si="178"/>
        <v>6431.5904318202993</v>
      </c>
      <c r="Z70" s="114">
        <f t="shared" ca="1" si="179"/>
        <v>5663.858384757199</v>
      </c>
      <c r="AA70" s="114">
        <f t="shared" ca="1" si="180"/>
        <v>5013.7777642214287</v>
      </c>
      <c r="AB70" s="114">
        <f t="shared" ca="1" si="181"/>
        <v>4622.5371569641929</v>
      </c>
      <c r="AC70" s="114">
        <f t="shared" ca="1" si="182"/>
        <v>3586.4832126004126</v>
      </c>
      <c r="AD70" s="114">
        <f t="shared" ca="1" si="183"/>
        <v>2780.656017727264</v>
      </c>
      <c r="AE70" s="114">
        <f t="shared" ca="1" si="184"/>
        <v>1681.6323901442663</v>
      </c>
      <c r="AF70" s="114">
        <f t="shared" ca="1" si="185"/>
        <v>0</v>
      </c>
    </row>
    <row r="71" spans="1:32">
      <c r="A71" t="s">
        <v>54</v>
      </c>
      <c r="B71" s="114">
        <f t="shared" ca="1" si="155"/>
        <v>23851.526599114342</v>
      </c>
      <c r="C71" s="114">
        <f t="shared" ca="1" si="156"/>
        <v>26523.320808109649</v>
      </c>
      <c r="D71" s="114">
        <f t="shared" ca="1" si="157"/>
        <v>25815.902051551198</v>
      </c>
      <c r="E71" s="114">
        <f t="shared" ca="1" si="158"/>
        <v>25845.779788049902</v>
      </c>
      <c r="F71" s="114">
        <f t="shared" ca="1" si="159"/>
        <v>27646.868915536899</v>
      </c>
      <c r="G71" s="114">
        <f t="shared" ca="1" si="160"/>
        <v>29115.063114908382</v>
      </c>
      <c r="H71" s="114">
        <f t="shared" ca="1" si="161"/>
        <v>30637.524126938119</v>
      </c>
      <c r="I71" s="114">
        <f t="shared" ca="1" si="162"/>
        <v>32533.448335999379</v>
      </c>
      <c r="J71" s="114">
        <f t="shared" ca="1" si="163"/>
        <v>34060.205879859968</v>
      </c>
      <c r="K71" s="114">
        <f t="shared" ca="1" si="164"/>
        <v>33798.351800177748</v>
      </c>
      <c r="L71" s="114">
        <f t="shared" ca="1" si="165"/>
        <v>33668.791615141883</v>
      </c>
      <c r="M71" s="114">
        <f t="shared" ca="1" si="166"/>
        <v>31784.097675533601</v>
      </c>
      <c r="N71" s="114">
        <f t="shared" ca="1" si="167"/>
        <v>29822.70004947135</v>
      </c>
      <c r="O71" s="114">
        <f t="shared" ca="1" si="168"/>
        <v>26273.350744487809</v>
      </c>
      <c r="P71" s="114">
        <f t="shared" ca="1" si="169"/>
        <v>22843.764232672936</v>
      </c>
      <c r="Q71" s="114">
        <f t="shared" ca="1" si="170"/>
        <v>19623.650622785652</v>
      </c>
      <c r="R71" s="114">
        <f t="shared" ca="1" si="171"/>
        <v>16699.374969581448</v>
      </c>
      <c r="S71" s="114">
        <f t="shared" ca="1" si="172"/>
        <v>13686.705555752436</v>
      </c>
      <c r="T71" s="114">
        <f t="shared" ca="1" si="173"/>
        <v>11353.594399912805</v>
      </c>
      <c r="U71" s="114">
        <f t="shared" ca="1" si="174"/>
        <v>9834.2927354762196</v>
      </c>
      <c r="V71" s="114">
        <f t="shared" ca="1" si="175"/>
        <v>9293.7167868329889</v>
      </c>
      <c r="W71" s="114">
        <f t="shared" ca="1" si="176"/>
        <v>8481.7254992743983</v>
      </c>
      <c r="X71" s="114">
        <f t="shared" ca="1" si="177"/>
        <v>7726.3286662472638</v>
      </c>
      <c r="Y71" s="114">
        <f t="shared" ca="1" si="178"/>
        <v>6988.6619460103302</v>
      </c>
      <c r="Z71" s="114">
        <f t="shared" ca="1" si="179"/>
        <v>6178.936811995407</v>
      </c>
      <c r="AA71" s="114">
        <f t="shared" ca="1" si="180"/>
        <v>5263.2192664505028</v>
      </c>
      <c r="AB71" s="114">
        <f t="shared" ca="1" si="181"/>
        <v>4778.8063801148764</v>
      </c>
      <c r="AC71" s="114">
        <f t="shared" ca="1" si="182"/>
        <v>3644.7385806615525</v>
      </c>
      <c r="AD71" s="114">
        <f t="shared" ca="1" si="183"/>
        <v>2766.109056708046</v>
      </c>
      <c r="AE71" s="114">
        <f t="shared" ca="1" si="184"/>
        <v>1657.2998341024086</v>
      </c>
      <c r="AF71" s="114">
        <f t="shared" ca="1" si="185"/>
        <v>0</v>
      </c>
    </row>
    <row r="72" spans="1:32">
      <c r="A72" t="s">
        <v>55</v>
      </c>
      <c r="B72" s="114">
        <f t="shared" ca="1" si="155"/>
        <v>10205.555501158724</v>
      </c>
      <c r="C72" s="114">
        <f t="shared" ca="1" si="156"/>
        <v>11485.364532720683</v>
      </c>
      <c r="D72" s="114">
        <f t="shared" ca="1" si="157"/>
        <v>11765.838878945215</v>
      </c>
      <c r="E72" s="114">
        <f t="shared" ca="1" si="158"/>
        <v>12544.175728158623</v>
      </c>
      <c r="F72" s="114">
        <f t="shared" ca="1" si="159"/>
        <v>13402.730775179998</v>
      </c>
      <c r="G72" s="114">
        <f t="shared" ca="1" si="160"/>
        <v>15043.978097801048</v>
      </c>
      <c r="H72" s="114">
        <f t="shared" ca="1" si="161"/>
        <v>16796.21989197416</v>
      </c>
      <c r="I72" s="114">
        <f t="shared" ca="1" si="162"/>
        <v>17511.569333420863</v>
      </c>
      <c r="J72" s="114">
        <f t="shared" ca="1" si="163"/>
        <v>18560.988976850909</v>
      </c>
      <c r="K72" s="114">
        <f t="shared" ca="1" si="164"/>
        <v>17591.806982200778</v>
      </c>
      <c r="L72" s="114">
        <f t="shared" ca="1" si="165"/>
        <v>16179.715482169891</v>
      </c>
      <c r="M72" s="114">
        <f t="shared" ca="1" si="166"/>
        <v>14147.103762161792</v>
      </c>
      <c r="N72" s="114">
        <f t="shared" ca="1" si="167"/>
        <v>12217.044338721031</v>
      </c>
      <c r="O72" s="114">
        <f t="shared" ca="1" si="168"/>
        <v>10169.791600784043</v>
      </c>
      <c r="P72" s="114">
        <f t="shared" ca="1" si="169"/>
        <v>8168.3235607840606</v>
      </c>
      <c r="Q72" s="114">
        <f t="shared" ca="1" si="170"/>
        <v>6561.93754885404</v>
      </c>
      <c r="R72" s="114">
        <f t="shared" ca="1" si="171"/>
        <v>5836.9552398612277</v>
      </c>
      <c r="S72" s="114">
        <f t="shared" ca="1" si="172"/>
        <v>4397.1780998761633</v>
      </c>
      <c r="T72" s="114">
        <f t="shared" ca="1" si="173"/>
        <v>3336.8442108264398</v>
      </c>
      <c r="U72" s="114">
        <f t="shared" ca="1" si="174"/>
        <v>2616.9076133574617</v>
      </c>
      <c r="V72" s="114">
        <f t="shared" ca="1" si="175"/>
        <v>2220.4801857407679</v>
      </c>
      <c r="W72" s="114">
        <f t="shared" ca="1" si="176"/>
        <v>1819.3669417804508</v>
      </c>
      <c r="X72" s="114">
        <f t="shared" ca="1" si="177"/>
        <v>1503.7595650915375</v>
      </c>
      <c r="Y72" s="114">
        <f t="shared" ca="1" si="178"/>
        <v>1204.6682094635553</v>
      </c>
      <c r="Z72" s="114">
        <f t="shared" ca="1" si="179"/>
        <v>958.55360327216397</v>
      </c>
      <c r="AA72" s="114">
        <f t="shared" ca="1" si="180"/>
        <v>744.42116416722217</v>
      </c>
      <c r="AB72" s="114">
        <f t="shared" ca="1" si="181"/>
        <v>645.08763825369476</v>
      </c>
      <c r="AC72" s="114">
        <f t="shared" ca="1" si="182"/>
        <v>473.03471915565501</v>
      </c>
      <c r="AD72" s="114">
        <f t="shared" ca="1" si="183"/>
        <v>331.69171647816182</v>
      </c>
      <c r="AE72" s="114">
        <f t="shared" ca="1" si="184"/>
        <v>183.69488188138408</v>
      </c>
      <c r="AF72" s="114">
        <f t="shared" ca="1" si="185"/>
        <v>0</v>
      </c>
    </row>
    <row r="73" spans="1:32">
      <c r="A73" t="s">
        <v>56</v>
      </c>
      <c r="B73" s="114">
        <f t="shared" ca="1" si="155"/>
        <v>4171.0823782960015</v>
      </c>
      <c r="C73" s="114">
        <f t="shared" ca="1" si="156"/>
        <v>4689.684544858399</v>
      </c>
      <c r="D73" s="114">
        <f t="shared" ca="1" si="157"/>
        <v>4703.911636097052</v>
      </c>
      <c r="E73" s="114">
        <f t="shared" ca="1" si="158"/>
        <v>4963.108712542502</v>
      </c>
      <c r="F73" s="114">
        <f t="shared" ca="1" si="159"/>
        <v>5394.9743290367023</v>
      </c>
      <c r="G73" s="114">
        <f t="shared" ca="1" si="160"/>
        <v>6124.1800211682321</v>
      </c>
      <c r="H73" s="114">
        <f t="shared" ca="1" si="161"/>
        <v>7366.0950360193456</v>
      </c>
      <c r="I73" s="114">
        <f t="shared" ca="1" si="162"/>
        <v>7656.633018171703</v>
      </c>
      <c r="J73" s="114">
        <f t="shared" ca="1" si="163"/>
        <v>8618.9128814889118</v>
      </c>
      <c r="K73" s="114">
        <f t="shared" ca="1" si="164"/>
        <v>9050.2158706753435</v>
      </c>
      <c r="L73" s="114">
        <f t="shared" ca="1" si="165"/>
        <v>8588.7557519039492</v>
      </c>
      <c r="M73" s="114">
        <f t="shared" ca="1" si="166"/>
        <v>8503.0298746108347</v>
      </c>
      <c r="N73" s="114">
        <f t="shared" ca="1" si="167"/>
        <v>8388.2814014369978</v>
      </c>
      <c r="O73" s="114">
        <f t="shared" ca="1" si="168"/>
        <v>8576.2594746488703</v>
      </c>
      <c r="P73" s="114">
        <f t="shared" ca="1" si="169"/>
        <v>7649.2841372434596</v>
      </c>
      <c r="Q73" s="114">
        <f t="shared" ca="1" si="170"/>
        <v>6491.3023760570723</v>
      </c>
      <c r="R73" s="114">
        <f t="shared" ca="1" si="171"/>
        <v>5505.8201695130883</v>
      </c>
      <c r="S73" s="114">
        <f t="shared" ca="1" si="172"/>
        <v>4449.8298465464486</v>
      </c>
      <c r="T73" s="114">
        <f t="shared" ca="1" si="173"/>
        <v>3648.751210566847</v>
      </c>
      <c r="U73" s="114">
        <f t="shared" ca="1" si="174"/>
        <v>3068.5735047124185</v>
      </c>
      <c r="V73" s="114">
        <f t="shared" ca="1" si="175"/>
        <v>2871.4978934690521</v>
      </c>
      <c r="W73" s="114">
        <f t="shared" ca="1" si="176"/>
        <v>2611.4365627447455</v>
      </c>
      <c r="X73" s="114">
        <f t="shared" ca="1" si="177"/>
        <v>2390.9926763601311</v>
      </c>
      <c r="Y73" s="114">
        <f t="shared" ca="1" si="178"/>
        <v>2141.5746180109304</v>
      </c>
      <c r="Z73" s="114">
        <f t="shared" ca="1" si="179"/>
        <v>1921.3443603489563</v>
      </c>
      <c r="AA73" s="114">
        <f t="shared" ca="1" si="180"/>
        <v>1700.8182367792024</v>
      </c>
      <c r="AB73" s="114">
        <f t="shared" ca="1" si="181"/>
        <v>1535.2974458500132</v>
      </c>
      <c r="AC73" s="114">
        <f t="shared" ca="1" si="182"/>
        <v>1164.9530918358562</v>
      </c>
      <c r="AD73" s="114">
        <f t="shared" ca="1" si="183"/>
        <v>880.57120776583076</v>
      </c>
      <c r="AE73" s="114">
        <f t="shared" ca="1" si="184"/>
        <v>525.78186467414002</v>
      </c>
      <c r="AF73" s="114">
        <f t="shared" ca="1" si="185"/>
        <v>0</v>
      </c>
    </row>
    <row r="74" spans="1:32">
      <c r="A74" t="s">
        <v>549</v>
      </c>
      <c r="B74" s="114">
        <f t="shared" ca="1" si="155"/>
        <v>6885.8413703959441</v>
      </c>
      <c r="C74" s="114">
        <f t="shared" ca="1" si="156"/>
        <v>7750.5976531150027</v>
      </c>
      <c r="D74" s="114">
        <f t="shared" ca="1" si="157"/>
        <v>7615.5101079730284</v>
      </c>
      <c r="E74" s="114">
        <f t="shared" ca="1" si="158"/>
        <v>7614.9394781436295</v>
      </c>
      <c r="F74" s="114">
        <f t="shared" ca="1" si="159"/>
        <v>8264.0510256817088</v>
      </c>
      <c r="G74" s="114">
        <f t="shared" ca="1" si="160"/>
        <v>8878.32085187956</v>
      </c>
      <c r="H74" s="114">
        <f t="shared" ca="1" si="161"/>
        <v>9094.0332086809904</v>
      </c>
      <c r="I74" s="114">
        <f t="shared" ca="1" si="162"/>
        <v>9859.2507230867686</v>
      </c>
      <c r="J74" s="114">
        <f t="shared" ca="1" si="163"/>
        <v>10541.999562384435</v>
      </c>
      <c r="K74" s="114">
        <f t="shared" ca="1" si="164"/>
        <v>10964.402897455777</v>
      </c>
      <c r="L74" s="114">
        <f t="shared" ca="1" si="165"/>
        <v>10873.103524198663</v>
      </c>
      <c r="M74" s="114">
        <f t="shared" ca="1" si="166"/>
        <v>10299.396672238456</v>
      </c>
      <c r="N74" s="114">
        <f t="shared" ca="1" si="167"/>
        <v>9726.8182273428793</v>
      </c>
      <c r="O74" s="114">
        <f t="shared" ca="1" si="168"/>
        <v>8952.8889660798177</v>
      </c>
      <c r="P74" s="114">
        <f t="shared" ca="1" si="169"/>
        <v>8041.7074080011598</v>
      </c>
      <c r="Q74" s="114">
        <f t="shared" ca="1" si="170"/>
        <v>7070.8014614487065</v>
      </c>
      <c r="R74" s="114">
        <f t="shared" ca="1" si="171"/>
        <v>6119.4070296153486</v>
      </c>
      <c r="S74" s="114">
        <f t="shared" ca="1" si="172"/>
        <v>5154.3022974033765</v>
      </c>
      <c r="T74" s="114">
        <f t="shared" ca="1" si="173"/>
        <v>4339.7018583689896</v>
      </c>
      <c r="U74" s="114">
        <f t="shared" ca="1" si="174"/>
        <v>3808.830753743548</v>
      </c>
      <c r="V74" s="114">
        <f t="shared" ca="1" si="175"/>
        <v>3644.3236787359406</v>
      </c>
      <c r="W74" s="114">
        <f t="shared" ca="1" si="176"/>
        <v>3421.6712770702975</v>
      </c>
      <c r="X74" s="114">
        <f t="shared" ca="1" si="177"/>
        <v>3168.0771222060694</v>
      </c>
      <c r="Y74" s="114">
        <f t="shared" ca="1" si="178"/>
        <v>2821.6492598381096</v>
      </c>
      <c r="Z74" s="114">
        <f t="shared" ca="1" si="179"/>
        <v>2653.5056452650301</v>
      </c>
      <c r="AA74" s="114">
        <f t="shared" ca="1" si="180"/>
        <v>2348.1710753604393</v>
      </c>
      <c r="AB74" s="114">
        <f t="shared" ca="1" si="181"/>
        <v>2163.937996786497</v>
      </c>
      <c r="AC74" s="114">
        <f t="shared" ca="1" si="182"/>
        <v>1676.3135927145165</v>
      </c>
      <c r="AD74" s="114">
        <f t="shared" ca="1" si="183"/>
        <v>1293.83567450492</v>
      </c>
      <c r="AE74" s="114">
        <f t="shared" ca="1" si="184"/>
        <v>787.385413378419</v>
      </c>
      <c r="AF74" s="114">
        <f t="shared" ca="1" si="185"/>
        <v>0</v>
      </c>
    </row>
    <row r="75" spans="1:32">
      <c r="A75" t="s">
        <v>52</v>
      </c>
      <c r="B75" s="114">
        <f t="shared" ca="1" si="155"/>
        <v>8530.1709157395453</v>
      </c>
      <c r="C75" s="114">
        <f t="shared" ca="1" si="156"/>
        <v>9501.53927013867</v>
      </c>
      <c r="D75" s="114">
        <f t="shared" ca="1" si="157"/>
        <v>9282.9206082193614</v>
      </c>
      <c r="E75" s="114">
        <f t="shared" ca="1" si="158"/>
        <v>9195.3969631207292</v>
      </c>
      <c r="F75" s="114">
        <f t="shared" ca="1" si="159"/>
        <v>9552.7385347163436</v>
      </c>
      <c r="G75" s="114">
        <f t="shared" ca="1" si="160"/>
        <v>9743.9024548388134</v>
      </c>
      <c r="H75" s="114">
        <f t="shared" ca="1" si="161"/>
        <v>9710.8685235189587</v>
      </c>
      <c r="I75" s="114">
        <f t="shared" ca="1" si="162"/>
        <v>10443.505099028507</v>
      </c>
      <c r="J75" s="114">
        <f t="shared" ca="1" si="163"/>
        <v>11576.489374941897</v>
      </c>
      <c r="K75" s="114">
        <f t="shared" ca="1" si="164"/>
        <v>11734.915430277597</v>
      </c>
      <c r="L75" s="114">
        <f t="shared" ca="1" si="165"/>
        <v>11740.48606250071</v>
      </c>
      <c r="M75" s="114">
        <f t="shared" ca="1" si="166"/>
        <v>11347.107802378685</v>
      </c>
      <c r="N75" s="114">
        <f t="shared" ca="1" si="167"/>
        <v>10999.978280620777</v>
      </c>
      <c r="O75" s="114">
        <f t="shared" ca="1" si="168"/>
        <v>9943.0126825495281</v>
      </c>
      <c r="P75" s="114">
        <f t="shared" ca="1" si="169"/>
        <v>8688.6418059801108</v>
      </c>
      <c r="Q75" s="114">
        <f t="shared" ca="1" si="170"/>
        <v>7458.672335590687</v>
      </c>
      <c r="R75" s="114">
        <f t="shared" ca="1" si="171"/>
        <v>6279.4791677796811</v>
      </c>
      <c r="S75" s="114">
        <f t="shared" ca="1" si="172"/>
        <v>5235.3227486520691</v>
      </c>
      <c r="T75" s="114">
        <f t="shared" ca="1" si="173"/>
        <v>4397.4706387492624</v>
      </c>
      <c r="U75" s="114">
        <f t="shared" ca="1" si="174"/>
        <v>3887.5162461912005</v>
      </c>
      <c r="V75" s="114">
        <f t="shared" ca="1" si="175"/>
        <v>3731.0872861458665</v>
      </c>
      <c r="W75" s="114">
        <f t="shared" ca="1" si="176"/>
        <v>3460.9444817381486</v>
      </c>
      <c r="X75" s="114">
        <f t="shared" ca="1" si="177"/>
        <v>3199.5406456515457</v>
      </c>
      <c r="Y75" s="114">
        <f t="shared" ca="1" si="178"/>
        <v>3041.6965619070825</v>
      </c>
      <c r="Z75" s="114">
        <f t="shared" ca="1" si="179"/>
        <v>2694.4809769828494</v>
      </c>
      <c r="AA75" s="114">
        <f t="shared" ca="1" si="180"/>
        <v>2395.9511985223089</v>
      </c>
      <c r="AB75" s="114">
        <f t="shared" ca="1" si="181"/>
        <v>2196.2840463205221</v>
      </c>
      <c r="AC75" s="114">
        <f t="shared" ca="1" si="182"/>
        <v>1695.3604292067628</v>
      </c>
      <c r="AD75" s="114">
        <f t="shared" ca="1" si="183"/>
        <v>1306.5365647159786</v>
      </c>
      <c r="AE75" s="114">
        <f t="shared" ca="1" si="184"/>
        <v>794.47148071628555</v>
      </c>
      <c r="AF75" s="114">
        <f t="shared" ca="1" si="185"/>
        <v>0</v>
      </c>
    </row>
    <row r="76" spans="1:32">
      <c r="A76" t="s">
        <v>57</v>
      </c>
      <c r="B76" s="114">
        <f t="shared" ca="1" si="155"/>
        <v>3513.7619082406741</v>
      </c>
      <c r="C76" s="114">
        <f t="shared" ca="1" si="156"/>
        <v>3961.484833922184</v>
      </c>
      <c r="D76" s="114">
        <f t="shared" ca="1" si="157"/>
        <v>4038.0394125848297</v>
      </c>
      <c r="E76" s="114">
        <f t="shared" ca="1" si="158"/>
        <v>4332.6469563169503</v>
      </c>
      <c r="F76" s="114">
        <f t="shared" ca="1" si="159"/>
        <v>4753.6137444659062</v>
      </c>
      <c r="G76" s="114">
        <f t="shared" ca="1" si="160"/>
        <v>5310.7393160664969</v>
      </c>
      <c r="H76" s="114">
        <f t="shared" ca="1" si="161"/>
        <v>5507.493575092536</v>
      </c>
      <c r="I76" s="114">
        <f t="shared" ca="1" si="162"/>
        <v>5640.4064867783682</v>
      </c>
      <c r="J76" s="114">
        <f t="shared" ca="1" si="163"/>
        <v>6467.7055550882851</v>
      </c>
      <c r="K76" s="114">
        <f t="shared" ca="1" si="164"/>
        <v>6930.7209405699878</v>
      </c>
      <c r="L76" s="114">
        <f t="shared" ca="1" si="165"/>
        <v>6764.9662932639003</v>
      </c>
      <c r="M76" s="114">
        <f t="shared" ca="1" si="166"/>
        <v>7515.5037977236088</v>
      </c>
      <c r="N76" s="114">
        <f t="shared" ca="1" si="167"/>
        <v>6796.7932553214969</v>
      </c>
      <c r="O76" s="114">
        <f t="shared" ca="1" si="168"/>
        <v>5762.0581389619874</v>
      </c>
      <c r="P76" s="114">
        <f t="shared" ca="1" si="169"/>
        <v>4884.6601314797244</v>
      </c>
      <c r="Q76" s="114">
        <f t="shared" ca="1" si="170"/>
        <v>4220.7609996635319</v>
      </c>
      <c r="R76" s="114">
        <f t="shared" ca="1" si="171"/>
        <v>3408.2822566411473</v>
      </c>
      <c r="S76" s="114">
        <f t="shared" ca="1" si="172"/>
        <v>2803.8626595747492</v>
      </c>
      <c r="T76" s="114">
        <f t="shared" ca="1" si="173"/>
        <v>2313.3899594965133</v>
      </c>
      <c r="U76" s="114">
        <f t="shared" ca="1" si="174"/>
        <v>2031.1997855701602</v>
      </c>
      <c r="V76" s="114">
        <f t="shared" ca="1" si="175"/>
        <v>1953.8504561104678</v>
      </c>
      <c r="W76" s="114">
        <f t="shared" ca="1" si="176"/>
        <v>1826.7923648324986</v>
      </c>
      <c r="X76" s="114">
        <f t="shared" ca="1" si="177"/>
        <v>1694.5278070307395</v>
      </c>
      <c r="Y76" s="114">
        <f t="shared" ca="1" si="178"/>
        <v>1542.5329545429906</v>
      </c>
      <c r="Z76" s="114">
        <f t="shared" ca="1" si="179"/>
        <v>1358.4024513016009</v>
      </c>
      <c r="AA76" s="114">
        <f t="shared" ca="1" si="180"/>
        <v>1205.7989290077069</v>
      </c>
      <c r="AB76" s="114">
        <f t="shared" ca="1" si="181"/>
        <v>1095.2936101074556</v>
      </c>
      <c r="AC76" s="114">
        <f t="shared" ca="1" si="182"/>
        <v>836.69967790484225</v>
      </c>
      <c r="AD76" s="114">
        <f t="shared" ca="1" si="183"/>
        <v>639.83857091086747</v>
      </c>
      <c r="AE76" s="114">
        <f t="shared" ca="1" si="184"/>
        <v>386.22426900737759</v>
      </c>
      <c r="AF76" s="114">
        <f t="shared" ca="1" si="185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99"/>
  <sheetViews>
    <sheetView zoomScale="70" zoomScaleNormal="70" workbookViewId="0">
      <pane ySplit="1" topLeftCell="A2" activePane="bottomLeft" state="frozen"/>
      <selection activeCell="C97" sqref="C97:AG97"/>
      <selection pane="bottomLeft" activeCell="B2" sqref="B2"/>
    </sheetView>
  </sheetViews>
  <sheetFormatPr defaultRowHeight="14.4"/>
  <cols>
    <col min="1" max="1" width="35.6640625" bestFit="1" customWidth="1"/>
    <col min="2" max="2" width="13.6640625" bestFit="1" customWidth="1"/>
    <col min="3" max="3" width="18.109375" bestFit="1" customWidth="1"/>
    <col min="4" max="4" width="23.109375" bestFit="1" customWidth="1"/>
    <col min="5" max="23" width="12.44140625" bestFit="1" customWidth="1"/>
    <col min="24" max="32" width="14.109375" bestFit="1" customWidth="1"/>
  </cols>
  <sheetData>
    <row r="1" spans="1:32" s="134" customFormat="1">
      <c r="A1" s="136" t="s">
        <v>41</v>
      </c>
      <c r="B1" s="136" cm="1">
        <f t="array" ref="B1:AF1">TRANSPOSE('Output Summary'!A29:A59)</f>
        <v>2025</v>
      </c>
      <c r="C1" s="136">
        <v>2026</v>
      </c>
      <c r="D1" s="136">
        <v>2027</v>
      </c>
      <c r="E1" s="136">
        <v>2028</v>
      </c>
      <c r="F1" s="136">
        <v>2029</v>
      </c>
      <c r="G1" s="136">
        <v>2030</v>
      </c>
      <c r="H1" s="136">
        <v>2031</v>
      </c>
      <c r="I1" s="136">
        <v>2032</v>
      </c>
      <c r="J1" s="136">
        <v>2033</v>
      </c>
      <c r="K1" s="136">
        <v>2034</v>
      </c>
      <c r="L1" s="136">
        <v>2035</v>
      </c>
      <c r="M1" s="136">
        <v>2036</v>
      </c>
      <c r="N1" s="136">
        <v>2037</v>
      </c>
      <c r="O1" s="136">
        <v>2038</v>
      </c>
      <c r="P1" s="136">
        <v>2039</v>
      </c>
      <c r="Q1" s="136">
        <v>2040</v>
      </c>
      <c r="R1" s="136">
        <v>2041</v>
      </c>
      <c r="S1" s="136">
        <v>2042</v>
      </c>
      <c r="T1" s="136">
        <v>2043</v>
      </c>
      <c r="U1" s="136">
        <v>2044</v>
      </c>
      <c r="V1" s="136">
        <v>2045</v>
      </c>
      <c r="W1" s="136">
        <v>2046</v>
      </c>
      <c r="X1" s="136">
        <v>2047</v>
      </c>
      <c r="Y1" s="136">
        <v>2048</v>
      </c>
      <c r="Z1" s="136">
        <v>2049</v>
      </c>
      <c r="AA1" s="136">
        <v>2050</v>
      </c>
      <c r="AB1" s="136">
        <v>2051</v>
      </c>
      <c r="AC1" s="136">
        <v>2052</v>
      </c>
      <c r="AD1" s="136">
        <v>2053</v>
      </c>
      <c r="AE1" s="136">
        <v>2054</v>
      </c>
      <c r="AF1" s="136">
        <v>2055</v>
      </c>
    </row>
    <row r="2" spans="1:32">
      <c r="A2" s="137" t="s">
        <v>540</v>
      </c>
      <c r="B2" s="138" cm="1">
        <f t="array" aca="1" ref="B2:AF2" ca="1">TRANSPOSE('Output Summary'!C29:C59)</f>
        <v>5302669.0284109609</v>
      </c>
      <c r="C2" s="138">
        <f ca="1"/>
        <v>5376100.706646435</v>
      </c>
      <c r="D2" s="138">
        <f ca="1"/>
        <v>5447400.4205710832</v>
      </c>
      <c r="E2" s="138">
        <f ca="1"/>
        <v>5515103.5396574968</v>
      </c>
      <c r="F2" s="138">
        <f ca="1"/>
        <v>5600826.7891513947</v>
      </c>
      <c r="G2" s="138">
        <f ca="1"/>
        <v>5664543.719008334</v>
      </c>
      <c r="H2" s="138">
        <f ca="1"/>
        <v>5723812.2896539103</v>
      </c>
      <c r="I2" s="138">
        <f ca="1"/>
        <v>5871247.2869635122</v>
      </c>
      <c r="J2" s="138">
        <f ca="1"/>
        <v>6043473.4986998783</v>
      </c>
      <c r="K2" s="138">
        <f ca="1"/>
        <v>6258731.4336894304</v>
      </c>
      <c r="L2" s="138">
        <f ca="1"/>
        <v>6455316.845368674</v>
      </c>
      <c r="M2" s="138">
        <f ca="1"/>
        <v>6613670.6729320632</v>
      </c>
      <c r="N2" s="138">
        <f ca="1"/>
        <v>6565013.4752417672</v>
      </c>
      <c r="O2" s="138">
        <f ca="1"/>
        <v>6468977.7971945973</v>
      </c>
      <c r="P2" s="138">
        <f ca="1"/>
        <v>6324526.4039301183</v>
      </c>
      <c r="Q2" s="138">
        <f ca="1"/>
        <v>6218446.7361738645</v>
      </c>
      <c r="R2" s="138">
        <f ca="1"/>
        <v>6182529.4130798392</v>
      </c>
      <c r="S2" s="138">
        <f ca="1"/>
        <v>6224298.1765632667</v>
      </c>
      <c r="T2" s="138">
        <f ca="1"/>
        <v>6174047.7530947328</v>
      </c>
      <c r="U2" s="138">
        <f ca="1"/>
        <v>6028865.6556020603</v>
      </c>
      <c r="V2" s="138">
        <f ca="1"/>
        <v>5889100.1080024894</v>
      </c>
      <c r="W2" s="138">
        <f ca="1"/>
        <v>5745202.1904062759</v>
      </c>
      <c r="X2" s="138">
        <f ca="1"/>
        <v>5564314.5639532739</v>
      </c>
      <c r="Y2" s="138">
        <f ca="1"/>
        <v>5381957.330153916</v>
      </c>
      <c r="Z2" s="138">
        <f ca="1"/>
        <v>5198905.823150631</v>
      </c>
      <c r="AA2" s="138">
        <f ca="1"/>
        <v>4999349.9102836754</v>
      </c>
      <c r="AB2" s="138">
        <f ca="1"/>
        <v>4815771.205301147</v>
      </c>
      <c r="AC2" s="138">
        <f ca="1"/>
        <v>4649642.6204652293</v>
      </c>
      <c r="AD2" s="138">
        <f ca="1"/>
        <v>4480879.5899797734</v>
      </c>
      <c r="AE2" s="138">
        <f ca="1"/>
        <v>4322725.4892957518</v>
      </c>
      <c r="AF2" s="138">
        <f ca="1"/>
        <v>4184689.7825602307</v>
      </c>
    </row>
    <row r="3" spans="1:32">
      <c r="A3" s="137" t="s">
        <v>550</v>
      </c>
      <c r="B3" s="138" cm="1">
        <f t="array" aca="1" ref="B3:AF3" ca="1">TRANSPOSE('Output Summary'!E29:E59)</f>
        <v>149.00000000000006</v>
      </c>
      <c r="C3" s="138">
        <f ca="1"/>
        <v>557.14205125370881</v>
      </c>
      <c r="D3" s="138">
        <f ca="1"/>
        <v>1467.1954099890563</v>
      </c>
      <c r="E3" s="138">
        <f ca="1"/>
        <v>3313.445044790029</v>
      </c>
      <c r="F3" s="138">
        <f ca="1"/>
        <v>7027.8099357310957</v>
      </c>
      <c r="G3" s="138">
        <f ca="1"/>
        <v>13561.199594305779</v>
      </c>
      <c r="H3" s="138">
        <f ca="1"/>
        <v>24275.099594305779</v>
      </c>
      <c r="I3" s="138">
        <f ca="1"/>
        <v>47473.896279127781</v>
      </c>
      <c r="J3" s="138">
        <f ca="1"/>
        <v>83245.061207875842</v>
      </c>
      <c r="K3" s="138">
        <f ca="1"/>
        <v>138730.08565070113</v>
      </c>
      <c r="L3" s="138">
        <f ca="1"/>
        <v>223173.97469203302</v>
      </c>
      <c r="M3" s="138">
        <f ca="1"/>
        <v>343880.21473521926</v>
      </c>
      <c r="N3" s="138">
        <f ca="1"/>
        <v>507010.22347432398</v>
      </c>
      <c r="O3" s="138">
        <f ca="1"/>
        <v>717974.98301765777</v>
      </c>
      <c r="P3" s="138">
        <f ca="1"/>
        <v>981950.58028829098</v>
      </c>
      <c r="Q3" s="138">
        <f ca="1"/>
        <v>1301160.2299512387</v>
      </c>
      <c r="R3" s="138">
        <f ca="1"/>
        <v>1676542.8274583507</v>
      </c>
      <c r="S3" s="138">
        <f ca="1"/>
        <v>2104792.1816335386</v>
      </c>
      <c r="T3" s="138">
        <f ca="1"/>
        <v>2578341.8235343797</v>
      </c>
      <c r="U3" s="138">
        <f ca="1"/>
        <v>3087664.7609460629</v>
      </c>
      <c r="V3" s="138">
        <f ca="1"/>
        <v>3621912.3641026267</v>
      </c>
      <c r="W3" s="138">
        <f ca="1"/>
        <v>4184003.549182463</v>
      </c>
      <c r="X3" s="138">
        <f ca="1"/>
        <v>4774636.752380006</v>
      </c>
      <c r="Y3" s="138">
        <f ca="1"/>
        <v>5374168.4189648721</v>
      </c>
      <c r="Z3" s="138">
        <f ca="1"/>
        <v>5991500.6592261698</v>
      </c>
      <c r="AA3" s="138">
        <f ca="1"/>
        <v>6645023.9417546391</v>
      </c>
      <c r="AB3" s="138">
        <f ca="1"/>
        <v>7305568.7120964704</v>
      </c>
      <c r="AC3" s="138">
        <f ca="1"/>
        <v>7966990.8950256277</v>
      </c>
      <c r="AD3" s="138">
        <f ca="1"/>
        <v>8623972.0343453567</v>
      </c>
      <c r="AE3" s="138">
        <f ca="1"/>
        <v>9271934.3490625098</v>
      </c>
      <c r="AF3" s="138">
        <f ca="1"/>
        <v>9906472.1751190592</v>
      </c>
    </row>
    <row r="4" spans="1:32">
      <c r="A4" s="137" t="s">
        <v>551</v>
      </c>
      <c r="B4" s="138" cm="1">
        <f t="array" ref="B4:AF4">TRANSPOSE('Output Summary'!G29:G59)</f>
        <v>0</v>
      </c>
      <c r="C4" s="138">
        <v>0</v>
      </c>
      <c r="D4" s="138">
        <v>0</v>
      </c>
      <c r="E4" s="138">
        <v>31.155000000000008</v>
      </c>
      <c r="F4" s="138">
        <v>91.320251595160983</v>
      </c>
      <c r="G4" s="138">
        <v>195.1766578860408</v>
      </c>
      <c r="H4" s="138">
        <v>365.35061563812604</v>
      </c>
      <c r="I4" s="138">
        <v>654.40076439361928</v>
      </c>
      <c r="J4" s="138">
        <v>1111.5117124039789</v>
      </c>
      <c r="K4" s="138">
        <v>1790.1577931333159</v>
      </c>
      <c r="L4" s="138">
        <v>2785.1143571854282</v>
      </c>
      <c r="M4" s="138">
        <v>4189.0174803086202</v>
      </c>
      <c r="N4" s="138">
        <v>6108.2942812079173</v>
      </c>
      <c r="O4" s="138">
        <v>8671.5500177968024</v>
      </c>
      <c r="P4" s="138">
        <v>12040.461562663</v>
      </c>
      <c r="Q4" s="138">
        <v>16380.448336089459</v>
      </c>
      <c r="R4" s="138">
        <v>21886.891726287184</v>
      </c>
      <c r="S4" s="138">
        <v>28741.716771102867</v>
      </c>
      <c r="T4" s="138">
        <v>37105.284345682121</v>
      </c>
      <c r="U4" s="138">
        <v>47113.94267262167</v>
      </c>
      <c r="V4" s="138">
        <v>58959.305741368022</v>
      </c>
      <c r="W4" s="138">
        <v>72782.443797790431</v>
      </c>
      <c r="X4" s="138">
        <v>88747.69691111047</v>
      </c>
      <c r="Y4" s="138">
        <v>106595.48562341213</v>
      </c>
      <c r="Z4" s="138">
        <v>126611.8580576528</v>
      </c>
      <c r="AA4" s="138">
        <v>149673.12507443395</v>
      </c>
      <c r="AB4" s="138">
        <v>175314.86851038184</v>
      </c>
      <c r="AC4" s="138">
        <v>215579.2738808172</v>
      </c>
      <c r="AD4" s="138">
        <v>263568.00537574623</v>
      </c>
      <c r="AE4" s="138">
        <v>319659.3301306513</v>
      </c>
      <c r="AF4" s="138">
        <v>384198.99098551314</v>
      </c>
    </row>
    <row r="5" spans="1:32">
      <c r="A5" s="137" t="s">
        <v>552</v>
      </c>
      <c r="B5" s="138" cm="1">
        <f t="array" ref="B5:AF5">TRANSPOSE('Output Summary'!I29:I59)</f>
        <v>0</v>
      </c>
      <c r="C5" s="138">
        <v>0</v>
      </c>
      <c r="D5" s="138">
        <v>0</v>
      </c>
      <c r="E5" s="138">
        <v>0</v>
      </c>
      <c r="F5" s="138">
        <v>0</v>
      </c>
      <c r="G5" s="138">
        <v>34.995000000000005</v>
      </c>
      <c r="H5" s="138">
        <v>102.45311297466364</v>
      </c>
      <c r="I5" s="138">
        <v>234.38567367572799</v>
      </c>
      <c r="J5" s="138">
        <v>470.1275232422928</v>
      </c>
      <c r="K5" s="138">
        <v>859.07653450528892</v>
      </c>
      <c r="L5" s="138">
        <v>1483.6301926680478</v>
      </c>
      <c r="M5" s="138">
        <v>2436.6077326804416</v>
      </c>
      <c r="N5" s="138">
        <v>3829.8193743515326</v>
      </c>
      <c r="O5" s="138">
        <v>5800.2860114704745</v>
      </c>
      <c r="P5" s="138">
        <v>8519.6418369506628</v>
      </c>
      <c r="Q5" s="138">
        <v>12170.878607521629</v>
      </c>
      <c r="R5" s="138">
        <v>16968.120755044023</v>
      </c>
      <c r="S5" s="138">
        <v>23117.726021618088</v>
      </c>
      <c r="T5" s="138">
        <v>30806.5140506147</v>
      </c>
      <c r="U5" s="138">
        <v>40224.905781747497</v>
      </c>
      <c r="V5" s="138">
        <v>51580.333571012714</v>
      </c>
      <c r="W5" s="138">
        <v>65008.707569774684</v>
      </c>
      <c r="X5" s="138">
        <v>80708.206284015774</v>
      </c>
      <c r="Y5" s="138">
        <v>98449.271515933171</v>
      </c>
      <c r="Z5" s="138">
        <v>118520.25452191416</v>
      </c>
      <c r="AA5" s="138">
        <v>141791.1290193086</v>
      </c>
      <c r="AB5" s="138">
        <v>167803.27536114585</v>
      </c>
      <c r="AC5" s="138">
        <v>197626.93436929112</v>
      </c>
      <c r="AD5" s="138">
        <v>237206.32056159369</v>
      </c>
      <c r="AE5" s="138">
        <v>287084.58183213166</v>
      </c>
      <c r="AF5" s="138">
        <v>347773.2302797407</v>
      </c>
    </row>
    <row r="6" spans="1:32">
      <c r="A6" s="137" t="s">
        <v>553</v>
      </c>
      <c r="B6" s="138" cm="1">
        <f t="array" ref="B6:AF6">TRANSPOSE('Output Summary'!K29:K59)</f>
        <v>11875</v>
      </c>
      <c r="C6" s="138">
        <v>25248.994638025666</v>
      </c>
      <c r="D6" s="138">
        <v>38866.232932237872</v>
      </c>
      <c r="E6" s="138">
        <v>52705.078834880245</v>
      </c>
      <c r="F6" s="138">
        <v>67840.378482932341</v>
      </c>
      <c r="G6" s="138">
        <v>83397.218057375649</v>
      </c>
      <c r="H6" s="138">
        <v>99288.679006708044</v>
      </c>
      <c r="I6" s="138">
        <v>116840.24319348104</v>
      </c>
      <c r="J6" s="138">
        <v>135600.4075695278</v>
      </c>
      <c r="K6" s="138">
        <v>155107.20094151201</v>
      </c>
      <c r="L6" s="138">
        <v>175804.17997664245</v>
      </c>
      <c r="M6" s="138">
        <v>197586.80561860537</v>
      </c>
      <c r="N6" s="138">
        <v>220423.8875013777</v>
      </c>
      <c r="O6" s="138">
        <v>244416.4532373336</v>
      </c>
      <c r="P6" s="138">
        <v>269803.46363534138</v>
      </c>
      <c r="Q6" s="138">
        <v>296687.21226114751</v>
      </c>
      <c r="R6" s="138">
        <v>313371.35603755544</v>
      </c>
      <c r="S6" s="138">
        <v>330241.95855691162</v>
      </c>
      <c r="T6" s="138">
        <v>348438.67788821406</v>
      </c>
      <c r="U6" s="138">
        <v>367884.48424663686</v>
      </c>
      <c r="V6" s="138">
        <v>387446.73160834017</v>
      </c>
      <c r="W6" s="138">
        <v>405756.38605852629</v>
      </c>
      <c r="X6" s="138">
        <v>422815.50484514859</v>
      </c>
      <c r="Y6" s="138">
        <v>436523.09411071066</v>
      </c>
      <c r="Z6" s="138">
        <v>447646.98199409153</v>
      </c>
      <c r="AA6" s="138">
        <v>457540.53308607923</v>
      </c>
      <c r="AB6" s="138">
        <v>464507.5951256915</v>
      </c>
      <c r="AC6" s="138">
        <v>463533.52692882059</v>
      </c>
      <c r="AD6" s="138">
        <v>452101.4705101088</v>
      </c>
      <c r="AE6" s="138">
        <v>431378.44119194843</v>
      </c>
      <c r="AF6" s="138">
        <v>405991.43079394067</v>
      </c>
    </row>
    <row r="7" spans="1:32">
      <c r="A7" s="137" t="s">
        <v>554</v>
      </c>
      <c r="B7" s="138" cm="1">
        <f t="array" ref="B7:AF7">TRANSPOSE('Output Summary'!M29:M59)</f>
        <v>368</v>
      </c>
      <c r="C7" s="138">
        <v>782.46682101680631</v>
      </c>
      <c r="D7" s="138">
        <v>1204.6821262292199</v>
      </c>
      <c r="E7" s="138">
        <v>1634.6942864847506</v>
      </c>
      <c r="F7" s="138">
        <v>2107.7150019990922</v>
      </c>
      <c r="G7" s="138">
        <v>2599.8045057503296</v>
      </c>
      <c r="H7" s="138">
        <v>3113.3908401153617</v>
      </c>
      <c r="I7" s="138">
        <v>3700.3499494622974</v>
      </c>
      <c r="J7" s="138">
        <v>4359.7061107241625</v>
      </c>
      <c r="K7" s="138">
        <v>5092.8082143704332</v>
      </c>
      <c r="L7" s="138">
        <v>5939.0682364499953</v>
      </c>
      <c r="M7" s="138">
        <v>6923.0943247752848</v>
      </c>
      <c r="N7" s="138">
        <v>8076.2129506238689</v>
      </c>
      <c r="O7" s="138">
        <v>9439.0933447968764</v>
      </c>
      <c r="P7" s="138">
        <v>11062.511570287508</v>
      </c>
      <c r="Q7" s="138">
        <v>12987.757493790054</v>
      </c>
      <c r="R7" s="138">
        <v>14885.753766575683</v>
      </c>
      <c r="S7" s="138">
        <v>17088.60327721393</v>
      </c>
      <c r="T7" s="138">
        <v>19609.309910029428</v>
      </c>
      <c r="U7" s="138">
        <v>22392.246742354138</v>
      </c>
      <c r="V7" s="138">
        <v>25318.985676210646</v>
      </c>
      <c r="W7" s="138">
        <v>28234.551687218001</v>
      </c>
      <c r="X7" s="138">
        <v>31135.125904025273</v>
      </c>
      <c r="Y7" s="138">
        <v>33894.249908735932</v>
      </c>
      <c r="Z7" s="138">
        <v>36552.273327120951</v>
      </c>
      <c r="AA7" s="138">
        <v>39219.21105944422</v>
      </c>
      <c r="AB7" s="138">
        <v>41572.193882743064</v>
      </c>
      <c r="AC7" s="138">
        <v>42994.599607795761</v>
      </c>
      <c r="AD7" s="138">
        <v>43160.429505001797</v>
      </c>
      <c r="AE7" s="138">
        <v>42175.658764587461</v>
      </c>
      <c r="AF7" s="138">
        <v>40552.240539096827</v>
      </c>
    </row>
    <row r="8" spans="1:32">
      <c r="A8" s="139" t="s">
        <v>555</v>
      </c>
      <c r="B8" s="140" cm="1">
        <f t="array" ref="B8:AF8">TRANSPOSE('Output Summary'!O29:O59)</f>
        <v>5315061.0284109609</v>
      </c>
      <c r="C8" s="140">
        <v>5402689.3101567309</v>
      </c>
      <c r="D8" s="140">
        <v>5488938.5310395397</v>
      </c>
      <c r="E8" s="140">
        <v>5572787.9128236528</v>
      </c>
      <c r="F8" s="140">
        <v>5677894.0128236525</v>
      </c>
      <c r="G8" s="140">
        <v>5764332.1128236521</v>
      </c>
      <c r="H8" s="140">
        <v>5850957.2628236525</v>
      </c>
      <c r="I8" s="140">
        <v>6040150.5628236523</v>
      </c>
      <c r="J8" s="140">
        <v>6268260.3128236523</v>
      </c>
      <c r="K8" s="140">
        <v>6560310.7628236525</v>
      </c>
      <c r="L8" s="140">
        <v>6864502.8128236523</v>
      </c>
      <c r="M8" s="140">
        <v>7168686.4128236519</v>
      </c>
      <c r="N8" s="140">
        <v>7310461.9128236519</v>
      </c>
      <c r="O8" s="140">
        <v>7455280.1628236519</v>
      </c>
      <c r="P8" s="140">
        <v>7607903.0628236523</v>
      </c>
      <c r="Q8" s="140">
        <v>7857833.2628236525</v>
      </c>
      <c r="R8" s="140">
        <v>8226184.3628236521</v>
      </c>
      <c r="S8" s="140">
        <v>8728280.3628236521</v>
      </c>
      <c r="T8" s="140">
        <v>9188349.3628236521</v>
      </c>
      <c r="U8" s="140">
        <v>9594145.9959914833</v>
      </c>
      <c r="V8" s="140">
        <v>10034317.828702047</v>
      </c>
      <c r="W8" s="140">
        <v>10500987.828702047</v>
      </c>
      <c r="X8" s="140">
        <v>10962357.85027758</v>
      </c>
      <c r="Y8" s="140">
        <v>11431587.85027758</v>
      </c>
      <c r="Z8" s="140">
        <v>11919737.85027758</v>
      </c>
      <c r="AA8" s="140">
        <v>12432597.85027758</v>
      </c>
      <c r="AB8" s="140">
        <v>12970537.85027758</v>
      </c>
      <c r="AC8" s="140">
        <v>13536367.85027758</v>
      </c>
      <c r="AD8" s="140">
        <v>14100887.85027758</v>
      </c>
      <c r="AE8" s="140">
        <v>14674957.85027758</v>
      </c>
      <c r="AF8" s="140">
        <v>15269677.85027758</v>
      </c>
    </row>
    <row r="10" spans="1:32">
      <c r="A10" s="142" t="s">
        <v>556</v>
      </c>
      <c r="B10" s="142">
        <v>2025</v>
      </c>
      <c r="C10" s="142">
        <v>2026</v>
      </c>
      <c r="D10" s="142">
        <v>2027</v>
      </c>
      <c r="E10" s="142">
        <v>2028</v>
      </c>
      <c r="F10" s="142">
        <v>2029</v>
      </c>
      <c r="G10" s="142">
        <v>2030</v>
      </c>
      <c r="H10" s="142">
        <v>2031</v>
      </c>
      <c r="I10" s="142">
        <v>2032</v>
      </c>
      <c r="J10" s="142">
        <v>2033</v>
      </c>
      <c r="K10" s="142">
        <v>2034</v>
      </c>
      <c r="L10" s="142">
        <v>2035</v>
      </c>
      <c r="M10" s="142">
        <v>2036</v>
      </c>
      <c r="N10" s="142">
        <v>2037</v>
      </c>
      <c r="O10" s="142">
        <v>2038</v>
      </c>
      <c r="P10" s="142">
        <v>2039</v>
      </c>
      <c r="Q10" s="142">
        <v>2040</v>
      </c>
      <c r="R10" s="142">
        <v>2041</v>
      </c>
      <c r="S10" s="142">
        <v>2042</v>
      </c>
      <c r="T10" s="142">
        <v>2043</v>
      </c>
      <c r="U10" s="142">
        <v>2044</v>
      </c>
      <c r="V10" s="142">
        <v>2045</v>
      </c>
      <c r="W10" s="142">
        <v>2046</v>
      </c>
      <c r="X10" s="142">
        <v>2047</v>
      </c>
      <c r="Y10" s="142">
        <v>2048</v>
      </c>
      <c r="Z10" s="142">
        <v>2049</v>
      </c>
      <c r="AA10" s="142">
        <v>2050</v>
      </c>
      <c r="AB10" s="142">
        <v>2051</v>
      </c>
      <c r="AC10" s="142">
        <v>2052</v>
      </c>
      <c r="AD10" s="142">
        <v>2053</v>
      </c>
      <c r="AE10" s="142">
        <v>2054</v>
      </c>
      <c r="AF10" s="142">
        <v>2055</v>
      </c>
    </row>
    <row r="11" spans="1:32">
      <c r="A11" s="112" t="s">
        <v>44</v>
      </c>
      <c r="B11" s="111">
        <v>0.25112688015980189</v>
      </c>
      <c r="C11" s="111">
        <v>0.25</v>
      </c>
      <c r="D11" s="111">
        <v>0.25</v>
      </c>
      <c r="E11" s="111">
        <v>0.25</v>
      </c>
      <c r="F11" s="111">
        <v>0.25000000000000006</v>
      </c>
      <c r="G11" s="111">
        <v>0.25</v>
      </c>
      <c r="H11" s="111">
        <v>0.26</v>
      </c>
      <c r="I11" s="111">
        <v>0.26</v>
      </c>
      <c r="J11" s="111">
        <v>0.27</v>
      </c>
      <c r="K11" s="111">
        <v>0.28000000000000008</v>
      </c>
      <c r="L11" s="111">
        <v>0.28999999999999998</v>
      </c>
      <c r="M11" s="111">
        <v>0.28999999999999998</v>
      </c>
      <c r="N11" s="111">
        <v>0.3</v>
      </c>
      <c r="O11" s="111">
        <v>0.3</v>
      </c>
      <c r="P11" s="111">
        <v>0.3</v>
      </c>
      <c r="Q11" s="111">
        <v>0.3</v>
      </c>
      <c r="R11" s="111">
        <v>0.3</v>
      </c>
      <c r="S11" s="111">
        <v>0.3</v>
      </c>
      <c r="T11" s="111">
        <v>0.3</v>
      </c>
      <c r="U11" s="111">
        <v>0.3</v>
      </c>
      <c r="V11" s="111">
        <v>0.3</v>
      </c>
      <c r="W11" s="111">
        <v>0.3</v>
      </c>
      <c r="X11" s="111">
        <v>0.3</v>
      </c>
      <c r="Y11" s="111">
        <v>0.3</v>
      </c>
      <c r="Z11" s="111">
        <v>0.29999999999999993</v>
      </c>
      <c r="AA11" s="111">
        <v>0.29999999999999993</v>
      </c>
      <c r="AB11" s="111">
        <v>0.29999999999999993</v>
      </c>
      <c r="AC11" s="111">
        <v>0.3</v>
      </c>
      <c r="AD11" s="111">
        <v>0.29999999999999993</v>
      </c>
      <c r="AE11" s="111">
        <v>0.3</v>
      </c>
      <c r="AF11" s="111">
        <v>0.29999999999999993</v>
      </c>
    </row>
    <row r="12" spans="1:32">
      <c r="A12" s="112" t="s">
        <v>45</v>
      </c>
      <c r="B12" s="111">
        <v>8.8508253812689133E-2</v>
      </c>
      <c r="C12" s="111">
        <v>0.1</v>
      </c>
      <c r="D12" s="111">
        <v>0.1</v>
      </c>
      <c r="E12" s="111">
        <v>0.1</v>
      </c>
      <c r="F12" s="111">
        <v>0.10000000000000003</v>
      </c>
      <c r="G12" s="111">
        <v>9.9999999999999992E-2</v>
      </c>
      <c r="H12" s="111">
        <v>0.10999999999999999</v>
      </c>
      <c r="I12" s="111">
        <v>0.13</v>
      </c>
      <c r="J12" s="111">
        <v>0.13</v>
      </c>
      <c r="K12" s="111">
        <v>0.14000000000000004</v>
      </c>
      <c r="L12" s="111">
        <v>0.15</v>
      </c>
      <c r="M12" s="111">
        <v>0.16</v>
      </c>
      <c r="N12" s="111">
        <v>0.18</v>
      </c>
      <c r="O12" s="111">
        <v>0.19</v>
      </c>
      <c r="P12" s="111">
        <v>0.19</v>
      </c>
      <c r="Q12" s="111">
        <v>0.2</v>
      </c>
      <c r="R12" s="111">
        <v>0.2</v>
      </c>
      <c r="S12" s="111">
        <v>0.2</v>
      </c>
      <c r="T12" s="111">
        <v>0.2</v>
      </c>
      <c r="U12" s="111">
        <v>0.2</v>
      </c>
      <c r="V12" s="111">
        <v>0.19999999999999998</v>
      </c>
      <c r="W12" s="111">
        <v>0.2</v>
      </c>
      <c r="X12" s="111">
        <v>0.19999999999999998</v>
      </c>
      <c r="Y12" s="111">
        <v>0.2</v>
      </c>
      <c r="Z12" s="111">
        <v>0.19999999999999998</v>
      </c>
      <c r="AA12" s="111">
        <v>0.2</v>
      </c>
      <c r="AB12" s="111">
        <v>0.2</v>
      </c>
      <c r="AC12" s="111">
        <v>0.2</v>
      </c>
      <c r="AD12" s="111">
        <v>0.2</v>
      </c>
      <c r="AE12" s="111">
        <v>0.19999999999999998</v>
      </c>
      <c r="AF12" s="111">
        <v>0.2</v>
      </c>
    </row>
    <row r="13" spans="1:32">
      <c r="A13" s="112" t="s">
        <v>46</v>
      </c>
      <c r="B13" s="111">
        <v>0.25573539918677596</v>
      </c>
      <c r="C13" s="111">
        <v>0.25</v>
      </c>
      <c r="D13" s="111">
        <v>0.25</v>
      </c>
      <c r="E13" s="111">
        <v>0.25</v>
      </c>
      <c r="F13" s="111">
        <v>0.25000000000000006</v>
      </c>
      <c r="G13" s="111">
        <v>0.25</v>
      </c>
      <c r="H13" s="111">
        <v>0.24000000000000002</v>
      </c>
      <c r="I13" s="111">
        <v>0.23</v>
      </c>
      <c r="J13" s="111">
        <v>0.22</v>
      </c>
      <c r="K13" s="111">
        <v>0.21000000000000002</v>
      </c>
      <c r="L13" s="111">
        <v>0.2</v>
      </c>
      <c r="M13" s="111">
        <v>0.19</v>
      </c>
      <c r="N13" s="111">
        <v>0.18</v>
      </c>
      <c r="O13" s="111">
        <v>0.17</v>
      </c>
      <c r="P13" s="111">
        <v>0.16</v>
      </c>
      <c r="Q13" s="111">
        <v>0.15</v>
      </c>
      <c r="R13" s="111">
        <v>0.15</v>
      </c>
      <c r="S13" s="111">
        <v>0.15</v>
      </c>
      <c r="T13" s="111">
        <v>0.15</v>
      </c>
      <c r="U13" s="111">
        <v>0.15</v>
      </c>
      <c r="V13" s="111">
        <v>0.15</v>
      </c>
      <c r="W13" s="111">
        <v>0.15</v>
      </c>
      <c r="X13" s="111">
        <v>0.15</v>
      </c>
      <c r="Y13" s="111">
        <v>0.15</v>
      </c>
      <c r="Z13" s="111">
        <v>0.14999999999999997</v>
      </c>
      <c r="AA13" s="111">
        <v>0.14999999999999997</v>
      </c>
      <c r="AB13" s="111">
        <v>0.14999999999999997</v>
      </c>
      <c r="AC13" s="111">
        <v>0.15</v>
      </c>
      <c r="AD13" s="111">
        <v>0.14999999999999997</v>
      </c>
      <c r="AE13" s="111">
        <v>0.15</v>
      </c>
      <c r="AF13" s="111">
        <v>0.14999999999999997</v>
      </c>
    </row>
    <row r="14" spans="1:32">
      <c r="A14" s="112" t="s">
        <v>47</v>
      </c>
      <c r="B14" s="111">
        <v>0.151852946347412</v>
      </c>
      <c r="C14" s="111">
        <v>0.15</v>
      </c>
      <c r="D14" s="111">
        <v>0.15</v>
      </c>
      <c r="E14" s="111">
        <v>0.15</v>
      </c>
      <c r="F14" s="111">
        <v>0.15000000000000002</v>
      </c>
      <c r="G14" s="111">
        <v>0.15</v>
      </c>
      <c r="H14" s="111">
        <v>0.14000000000000001</v>
      </c>
      <c r="I14" s="111">
        <v>0.13</v>
      </c>
      <c r="J14" s="111">
        <v>0.11999999999999998</v>
      </c>
      <c r="K14" s="111">
        <v>0.11000000000000001</v>
      </c>
      <c r="L14" s="111">
        <v>0.1</v>
      </c>
      <c r="M14" s="111">
        <v>0.09</v>
      </c>
      <c r="N14" s="111">
        <v>0.06</v>
      </c>
      <c r="O14" s="111">
        <v>0.05</v>
      </c>
      <c r="P14" s="111">
        <v>0.04</v>
      </c>
      <c r="Q14" s="111">
        <v>0.03</v>
      </c>
      <c r="R14" s="111">
        <v>0.03</v>
      </c>
      <c r="S14" s="111">
        <v>2.9999999999999995E-2</v>
      </c>
      <c r="T14" s="111">
        <v>2.9999999999999995E-2</v>
      </c>
      <c r="U14" s="111">
        <v>3.0000000000000002E-2</v>
      </c>
      <c r="V14" s="111">
        <v>2.9999999999999995E-2</v>
      </c>
      <c r="W14" s="111">
        <v>0.03</v>
      </c>
      <c r="X14" s="111">
        <v>3.0000000000000002E-2</v>
      </c>
      <c r="Y14" s="111">
        <v>0.03</v>
      </c>
      <c r="Z14" s="111">
        <v>2.9999999999999995E-2</v>
      </c>
      <c r="AA14" s="111">
        <v>2.9999999999999992E-2</v>
      </c>
      <c r="AB14" s="111">
        <v>2.9999999999999995E-2</v>
      </c>
      <c r="AC14" s="111">
        <v>0.03</v>
      </c>
      <c r="AD14" s="111">
        <v>2.9999999999999995E-2</v>
      </c>
      <c r="AE14" s="111">
        <v>2.9999999999999995E-2</v>
      </c>
      <c r="AF14" s="111">
        <v>0.03</v>
      </c>
    </row>
    <row r="15" spans="1:32">
      <c r="A15" s="112" t="s">
        <v>48</v>
      </c>
      <c r="B15" s="111">
        <v>3.4530226573049889E-2</v>
      </c>
      <c r="C15" s="111">
        <v>0.03</v>
      </c>
      <c r="D15" s="111">
        <v>0.03</v>
      </c>
      <c r="E15" s="111">
        <v>2.9999999999999995E-2</v>
      </c>
      <c r="F15" s="111">
        <v>3.0000000000000006E-2</v>
      </c>
      <c r="G15" s="111">
        <v>3.0000000000000002E-2</v>
      </c>
      <c r="H15" s="111">
        <v>3.0000000000000002E-2</v>
      </c>
      <c r="I15" s="111">
        <v>2.9999999999999995E-2</v>
      </c>
      <c r="J15" s="111">
        <v>2.9999999999999995E-2</v>
      </c>
      <c r="K15" s="111">
        <v>3.0000000000000002E-2</v>
      </c>
      <c r="L15" s="111">
        <v>0.03</v>
      </c>
      <c r="M15" s="111">
        <v>0.03</v>
      </c>
      <c r="N15" s="111">
        <v>0.02</v>
      </c>
      <c r="O15" s="111">
        <v>0.02</v>
      </c>
      <c r="P15" s="111">
        <v>0.02</v>
      </c>
      <c r="Q15" s="111">
        <v>0.02</v>
      </c>
      <c r="R15" s="111">
        <v>0.02</v>
      </c>
      <c r="S15" s="111">
        <v>0.02</v>
      </c>
      <c r="T15" s="111">
        <v>0.02</v>
      </c>
      <c r="U15" s="111">
        <v>0.02</v>
      </c>
      <c r="V15" s="111">
        <v>0.02</v>
      </c>
      <c r="W15" s="111">
        <v>0.02</v>
      </c>
      <c r="X15" s="111">
        <v>0.02</v>
      </c>
      <c r="Y15" s="111">
        <v>0.02</v>
      </c>
      <c r="Z15" s="111">
        <v>1.9999999999999997E-2</v>
      </c>
      <c r="AA15" s="111">
        <v>1.9999999999999997E-2</v>
      </c>
      <c r="AB15" s="111">
        <v>1.9999999999999997E-2</v>
      </c>
      <c r="AC15" s="111">
        <v>2.0000000000000004E-2</v>
      </c>
      <c r="AD15" s="111">
        <v>0.02</v>
      </c>
      <c r="AE15" s="111">
        <v>1.9999999999999997E-2</v>
      </c>
      <c r="AF15" s="111">
        <v>0.02</v>
      </c>
    </row>
    <row r="16" spans="1:32">
      <c r="A16" s="112" t="s">
        <v>49</v>
      </c>
      <c r="B16" s="111">
        <v>7.5823604445425337E-3</v>
      </c>
      <c r="C16" s="111">
        <v>0.01</v>
      </c>
      <c r="D16" s="111">
        <v>0.01</v>
      </c>
      <c r="E16" s="111">
        <v>0.01</v>
      </c>
      <c r="F16" s="111">
        <v>1.0000000000000002E-2</v>
      </c>
      <c r="G16" s="111">
        <v>0.01</v>
      </c>
      <c r="H16" s="111">
        <v>0.02</v>
      </c>
      <c r="I16" s="111">
        <v>2.9999999999999995E-2</v>
      </c>
      <c r="J16" s="111">
        <v>4.0000000000000008E-2</v>
      </c>
      <c r="K16" s="111">
        <v>5.000000000000001E-2</v>
      </c>
      <c r="L16" s="111">
        <v>0.05</v>
      </c>
      <c r="M16" s="111">
        <v>0.06</v>
      </c>
      <c r="N16" s="111">
        <v>0.08</v>
      </c>
      <c r="O16" s="111">
        <v>0.08</v>
      </c>
      <c r="P16" s="111">
        <v>0.09</v>
      </c>
      <c r="Q16" s="111">
        <v>0.1</v>
      </c>
      <c r="R16" s="111">
        <v>0.1</v>
      </c>
      <c r="S16" s="111">
        <v>0.1</v>
      </c>
      <c r="T16" s="111">
        <v>0.1</v>
      </c>
      <c r="U16" s="111">
        <v>0.1</v>
      </c>
      <c r="V16" s="111">
        <v>9.9999999999999992E-2</v>
      </c>
      <c r="W16" s="111">
        <v>0.1</v>
      </c>
      <c r="X16" s="111">
        <v>9.9999999999999992E-2</v>
      </c>
      <c r="Y16" s="111">
        <v>0.1</v>
      </c>
      <c r="Z16" s="111">
        <v>9.9999999999999992E-2</v>
      </c>
      <c r="AA16" s="111">
        <v>0.1</v>
      </c>
      <c r="AB16" s="111">
        <v>0.1</v>
      </c>
      <c r="AC16" s="111">
        <v>0.1</v>
      </c>
      <c r="AD16" s="111">
        <v>0.1</v>
      </c>
      <c r="AE16" s="111">
        <v>9.9999999999999992E-2</v>
      </c>
      <c r="AF16" s="111">
        <v>0.1</v>
      </c>
    </row>
    <row r="17" spans="1:32">
      <c r="A17" s="112" t="s">
        <v>548</v>
      </c>
      <c r="B17" s="111">
        <v>0.21066393347572859</v>
      </c>
      <c r="C17" s="111">
        <v>0.21</v>
      </c>
      <c r="D17" s="111">
        <v>0.21</v>
      </c>
      <c r="E17" s="111">
        <v>0.21</v>
      </c>
      <c r="F17" s="111">
        <v>0.21000000000000002</v>
      </c>
      <c r="G17" s="111">
        <v>0.21</v>
      </c>
      <c r="H17" s="111">
        <v>0.2</v>
      </c>
      <c r="I17" s="111">
        <v>0.19</v>
      </c>
      <c r="J17" s="111">
        <v>0.19</v>
      </c>
      <c r="K17" s="111">
        <v>0.18000000000000002</v>
      </c>
      <c r="L17" s="111">
        <v>0.18000000000000002</v>
      </c>
      <c r="M17" s="111">
        <v>0.18</v>
      </c>
      <c r="N17" s="111">
        <v>0.18</v>
      </c>
      <c r="O17" s="111">
        <v>0.19</v>
      </c>
      <c r="P17" s="111">
        <v>0.2</v>
      </c>
      <c r="Q17" s="111">
        <v>0.2</v>
      </c>
      <c r="R17" s="111">
        <v>0.2</v>
      </c>
      <c r="S17" s="111">
        <v>0.2</v>
      </c>
      <c r="T17" s="111">
        <v>0.2</v>
      </c>
      <c r="U17" s="111">
        <v>0.2</v>
      </c>
      <c r="V17" s="111">
        <v>0.19999999999999998</v>
      </c>
      <c r="W17" s="111">
        <v>0.2</v>
      </c>
      <c r="X17" s="111">
        <v>0.19999999999999998</v>
      </c>
      <c r="Y17" s="111">
        <v>0.2</v>
      </c>
      <c r="Z17" s="111">
        <v>0.19999999999999998</v>
      </c>
      <c r="AA17" s="111">
        <v>0.2</v>
      </c>
      <c r="AB17" s="111">
        <v>0.2</v>
      </c>
      <c r="AC17" s="111">
        <v>0.2</v>
      </c>
      <c r="AD17" s="111">
        <v>0.2</v>
      </c>
      <c r="AE17" s="111">
        <v>0.19999999999999998</v>
      </c>
      <c r="AF17" s="111">
        <v>0.2</v>
      </c>
    </row>
    <row r="19" spans="1:32">
      <c r="A19" s="112" t="s">
        <v>557</v>
      </c>
      <c r="B19" s="142">
        <v>2025</v>
      </c>
      <c r="C19" s="142">
        <v>2026</v>
      </c>
      <c r="D19" s="142">
        <v>2027</v>
      </c>
      <c r="E19" s="142">
        <v>2028</v>
      </c>
      <c r="F19" s="142">
        <v>2029</v>
      </c>
      <c r="G19" s="142">
        <v>2030</v>
      </c>
      <c r="H19" s="142">
        <v>2031</v>
      </c>
      <c r="I19" s="142">
        <v>2032</v>
      </c>
      <c r="J19" s="142">
        <v>2033</v>
      </c>
      <c r="K19" s="142">
        <v>2034</v>
      </c>
      <c r="L19" s="142">
        <v>2035</v>
      </c>
      <c r="M19" s="142">
        <v>2036</v>
      </c>
      <c r="N19" s="142">
        <v>2037</v>
      </c>
      <c r="O19" s="142">
        <v>2038</v>
      </c>
      <c r="P19" s="142">
        <v>2039</v>
      </c>
      <c r="Q19" s="142">
        <v>2040</v>
      </c>
      <c r="R19" s="142">
        <v>2041</v>
      </c>
      <c r="S19" s="142">
        <v>2042</v>
      </c>
      <c r="T19" s="142">
        <v>2043</v>
      </c>
      <c r="U19" s="142">
        <v>2044</v>
      </c>
      <c r="V19" s="142">
        <v>2045</v>
      </c>
      <c r="W19" s="142">
        <v>2046</v>
      </c>
      <c r="X19" s="142">
        <v>2047</v>
      </c>
      <c r="Y19" s="142">
        <v>2048</v>
      </c>
      <c r="Z19" s="142">
        <v>2049</v>
      </c>
      <c r="AA19" s="142">
        <v>2050</v>
      </c>
      <c r="AB19" s="142">
        <v>2051</v>
      </c>
      <c r="AC19" s="142">
        <v>2052</v>
      </c>
      <c r="AD19" s="142">
        <v>2053</v>
      </c>
      <c r="AE19" s="142">
        <v>2054</v>
      </c>
      <c r="AF19" s="142">
        <v>2055</v>
      </c>
    </row>
    <row r="20" spans="1:32">
      <c r="A20" s="112" t="s">
        <v>44</v>
      </c>
      <c r="B20" s="143">
        <f t="shared" ref="B20:B26" ca="1" si="0">B11*$B$2</f>
        <v>1331642.7296248525</v>
      </c>
      <c r="C20" s="143">
        <f t="shared" ref="C20:C26" ca="1" si="1">C11*$C$2</f>
        <v>1344025.1766616087</v>
      </c>
      <c r="D20" s="143">
        <f t="shared" ref="D20:D26" ca="1" si="2">D11*$D$2</f>
        <v>1361850.1051427708</v>
      </c>
      <c r="E20" s="143">
        <f t="shared" ref="E20:E26" ca="1" si="3">E11*$E$2</f>
        <v>1378775.8849143742</v>
      </c>
      <c r="F20" s="143">
        <f t="shared" ref="F20:F26" ca="1" si="4">F11*$F$2</f>
        <v>1400206.6972878489</v>
      </c>
      <c r="G20" s="143">
        <f t="shared" ref="G20:G26" ca="1" si="5">G11*$G$2</f>
        <v>1416135.9297520835</v>
      </c>
      <c r="H20" s="143">
        <f t="shared" ref="H20:H26" ca="1" si="6">H11*$H$2</f>
        <v>1488191.1953100166</v>
      </c>
      <c r="I20" s="143">
        <f t="shared" ref="I20:I26" ca="1" si="7">I11*$I$2</f>
        <v>1526524.2946105131</v>
      </c>
      <c r="J20" s="143">
        <f t="shared" ref="J20:J26" ca="1" si="8">J11*$J$2</f>
        <v>1631737.8446489673</v>
      </c>
      <c r="K20" s="143">
        <f t="shared" ref="K20:K26" ca="1" si="9">K11*$K$2</f>
        <v>1752444.801433041</v>
      </c>
      <c r="L20" s="143">
        <f t="shared" ref="L20:L26" ca="1" si="10">L11*$L$2</f>
        <v>1872041.8851569153</v>
      </c>
      <c r="M20" s="143">
        <f t="shared" ref="M20:M26" ca="1" si="11">M11*$M$2</f>
        <v>1917964.4951502981</v>
      </c>
      <c r="N20" s="143">
        <f t="shared" ref="N20:N26" ca="1" si="12">N11*$N$2</f>
        <v>1969504.04257253</v>
      </c>
      <c r="O20" s="143">
        <f t="shared" ref="O20:O26" ca="1" si="13">O11*$O$2</f>
        <v>1940693.339158379</v>
      </c>
      <c r="P20" s="143">
        <f t="shared" ref="P20:P26" ca="1" si="14">P11*$P$2</f>
        <v>1897357.9211790354</v>
      </c>
      <c r="Q20" s="143">
        <f t="shared" ref="Q20:Q26" ca="1" si="15">Q11*$Q$2</f>
        <v>1865534.0208521592</v>
      </c>
      <c r="R20" s="143">
        <f t="shared" ref="R20:R26" ca="1" si="16">R11*$R$2</f>
        <v>1854758.8239239517</v>
      </c>
      <c r="S20" s="143">
        <f t="shared" ref="S20:S26" ca="1" si="17">S11*$S$2</f>
        <v>1867289.45296898</v>
      </c>
      <c r="T20" s="143">
        <f t="shared" ref="T20:T26" ca="1" si="18">T11*$T$2</f>
        <v>1852214.3259284198</v>
      </c>
      <c r="U20" s="143">
        <f t="shared" ref="U20:U26" ca="1" si="19">U11*$U$2</f>
        <v>1808659.696680618</v>
      </c>
      <c r="V20" s="143">
        <f t="shared" ref="V20:V26" ca="1" si="20">V11*$V$2</f>
        <v>1766730.0324007468</v>
      </c>
      <c r="W20" s="143">
        <f t="shared" ref="W20:W26" ca="1" si="21">W11*$W$2</f>
        <v>1723560.6571218828</v>
      </c>
      <c r="X20" s="143">
        <f t="shared" ref="X20:X26" ca="1" si="22">X11*$X$2</f>
        <v>1669294.369185982</v>
      </c>
      <c r="Y20" s="143">
        <f t="shared" ref="Y20:Y26" ca="1" si="23">Y11*$Y$2</f>
        <v>1614587.1990461748</v>
      </c>
      <c r="Z20" s="143">
        <f t="shared" ref="Z20:Z26" ca="1" si="24">Z11*$Z$2</f>
        <v>1559671.7469451891</v>
      </c>
      <c r="AA20" s="143">
        <f t="shared" ref="AA20:AA26" ca="1" si="25">AA11*$AA$2</f>
        <v>1499804.9730851024</v>
      </c>
      <c r="AB20" s="143">
        <f t="shared" ref="AB20:AB26" ca="1" si="26">AB11*$AB$2</f>
        <v>1444731.3615903438</v>
      </c>
      <c r="AC20" s="143">
        <f t="shared" ref="AC20:AC26" ca="1" si="27">AC11*$AC$2</f>
        <v>1394892.7861395688</v>
      </c>
      <c r="AD20" s="143">
        <f t="shared" ref="AD20:AD26" ca="1" si="28">AD11*$AD$2</f>
        <v>1344263.8769939318</v>
      </c>
      <c r="AE20" s="143">
        <f t="shared" ref="AE20:AE26" ca="1" si="29">AE11*$AE$2</f>
        <v>1296817.6467887254</v>
      </c>
      <c r="AF20" s="143">
        <f t="shared" ref="AF20:AF26" ca="1" si="30">AF11*$AF$2</f>
        <v>1255406.9347680688</v>
      </c>
    </row>
    <row r="21" spans="1:32">
      <c r="A21" s="112" t="s">
        <v>45</v>
      </c>
      <c r="B21" s="143">
        <f t="shared" ca="1" si="0"/>
        <v>469329.97625128302</v>
      </c>
      <c r="C21" s="143">
        <f t="shared" ca="1" si="1"/>
        <v>537610.07066464354</v>
      </c>
      <c r="D21" s="143">
        <f t="shared" ca="1" si="2"/>
        <v>544740.04205710837</v>
      </c>
      <c r="E21" s="143">
        <f t="shared" ca="1" si="3"/>
        <v>551510.35396574973</v>
      </c>
      <c r="F21" s="143">
        <f t="shared" ca="1" si="4"/>
        <v>560082.67891513964</v>
      </c>
      <c r="G21" s="143">
        <f t="shared" ca="1" si="5"/>
        <v>566454.37190083333</v>
      </c>
      <c r="H21" s="143">
        <f t="shared" ca="1" si="6"/>
        <v>629619.3518619301</v>
      </c>
      <c r="I21" s="143">
        <f t="shared" ca="1" si="7"/>
        <v>763262.14730525657</v>
      </c>
      <c r="J21" s="143">
        <f t="shared" ca="1" si="8"/>
        <v>785651.55483098421</v>
      </c>
      <c r="K21" s="143">
        <f t="shared" ca="1" si="9"/>
        <v>876222.4007165205</v>
      </c>
      <c r="L21" s="143">
        <f t="shared" ca="1" si="10"/>
        <v>968297.52680530108</v>
      </c>
      <c r="M21" s="143">
        <f t="shared" ca="1" si="11"/>
        <v>1058187.3076691302</v>
      </c>
      <c r="N21" s="143">
        <f t="shared" ca="1" si="12"/>
        <v>1181702.425543518</v>
      </c>
      <c r="O21" s="143">
        <f t="shared" ca="1" si="13"/>
        <v>1229105.7814669735</v>
      </c>
      <c r="P21" s="143">
        <f t="shared" ca="1" si="14"/>
        <v>1201660.0167467224</v>
      </c>
      <c r="Q21" s="143">
        <f t="shared" ca="1" si="15"/>
        <v>1243689.347234773</v>
      </c>
      <c r="R21" s="143">
        <f t="shared" ca="1" si="16"/>
        <v>1236505.8826159679</v>
      </c>
      <c r="S21" s="143">
        <f t="shared" ca="1" si="17"/>
        <v>1244859.6353126534</v>
      </c>
      <c r="T21" s="143">
        <f t="shared" ca="1" si="18"/>
        <v>1234809.5506189466</v>
      </c>
      <c r="U21" s="143">
        <f t="shared" ca="1" si="19"/>
        <v>1205773.1311204121</v>
      </c>
      <c r="V21" s="143">
        <f t="shared" ca="1" si="20"/>
        <v>1177820.0216004979</v>
      </c>
      <c r="W21" s="143">
        <f t="shared" ca="1" si="21"/>
        <v>1149040.4380812552</v>
      </c>
      <c r="X21" s="143">
        <f t="shared" ca="1" si="22"/>
        <v>1112862.9127906547</v>
      </c>
      <c r="Y21" s="143">
        <f t="shared" ca="1" si="23"/>
        <v>1076391.4660307833</v>
      </c>
      <c r="Z21" s="143">
        <f t="shared" ca="1" si="24"/>
        <v>1039781.1646301261</v>
      </c>
      <c r="AA21" s="143">
        <f t="shared" ca="1" si="25"/>
        <v>999869.98205673508</v>
      </c>
      <c r="AB21" s="143">
        <f t="shared" ca="1" si="26"/>
        <v>963154.24106022948</v>
      </c>
      <c r="AC21" s="143">
        <f t="shared" ca="1" si="27"/>
        <v>929928.52409304585</v>
      </c>
      <c r="AD21" s="143">
        <f t="shared" ca="1" si="28"/>
        <v>896175.91799595475</v>
      </c>
      <c r="AE21" s="143">
        <f t="shared" ca="1" si="29"/>
        <v>864545.09785915026</v>
      </c>
      <c r="AF21" s="143">
        <f t="shared" ca="1" si="30"/>
        <v>836937.95651204616</v>
      </c>
    </row>
    <row r="22" spans="1:32">
      <c r="A22" s="112" t="s">
        <v>46</v>
      </c>
      <c r="B22" s="143">
        <f t="shared" ca="1" si="0"/>
        <v>1356080.1807360305</v>
      </c>
      <c r="C22" s="143">
        <f t="shared" ca="1" si="1"/>
        <v>1344025.1766616087</v>
      </c>
      <c r="D22" s="143">
        <f t="shared" ca="1" si="2"/>
        <v>1361850.1051427708</v>
      </c>
      <c r="E22" s="143">
        <f t="shared" ca="1" si="3"/>
        <v>1378775.8849143742</v>
      </c>
      <c r="F22" s="143">
        <f t="shared" ca="1" si="4"/>
        <v>1400206.6972878489</v>
      </c>
      <c r="G22" s="143">
        <f t="shared" ca="1" si="5"/>
        <v>1416135.9297520835</v>
      </c>
      <c r="H22" s="143">
        <f t="shared" ca="1" si="6"/>
        <v>1373714.9495169385</v>
      </c>
      <c r="I22" s="143">
        <f t="shared" ca="1" si="7"/>
        <v>1350386.8760016079</v>
      </c>
      <c r="J22" s="143">
        <f t="shared" ca="1" si="8"/>
        <v>1329564.1697139733</v>
      </c>
      <c r="K22" s="143">
        <f t="shared" ca="1" si="9"/>
        <v>1314333.6010747806</v>
      </c>
      <c r="L22" s="143">
        <f t="shared" ca="1" si="10"/>
        <v>1291063.3690737349</v>
      </c>
      <c r="M22" s="143">
        <f t="shared" ca="1" si="11"/>
        <v>1256597.4278570921</v>
      </c>
      <c r="N22" s="143">
        <f t="shared" ca="1" si="12"/>
        <v>1181702.425543518</v>
      </c>
      <c r="O22" s="143">
        <f t="shared" ca="1" si="13"/>
        <v>1099726.2255230816</v>
      </c>
      <c r="P22" s="143">
        <f t="shared" ca="1" si="14"/>
        <v>1011924.2246288189</v>
      </c>
      <c r="Q22" s="143">
        <f t="shared" ca="1" si="15"/>
        <v>932767.01042607962</v>
      </c>
      <c r="R22" s="143">
        <f t="shared" ca="1" si="16"/>
        <v>927379.41196197586</v>
      </c>
      <c r="S22" s="143">
        <f t="shared" ca="1" si="17"/>
        <v>933644.72648448998</v>
      </c>
      <c r="T22" s="143">
        <f t="shared" ca="1" si="18"/>
        <v>926107.16296420991</v>
      </c>
      <c r="U22" s="143">
        <f t="shared" ca="1" si="19"/>
        <v>904329.84834030899</v>
      </c>
      <c r="V22" s="143">
        <f t="shared" ca="1" si="20"/>
        <v>883365.01620037341</v>
      </c>
      <c r="W22" s="143">
        <f t="shared" ca="1" si="21"/>
        <v>861780.32856094139</v>
      </c>
      <c r="X22" s="143">
        <f t="shared" ca="1" si="22"/>
        <v>834647.18459299102</v>
      </c>
      <c r="Y22" s="143">
        <f t="shared" ca="1" si="23"/>
        <v>807293.59952308738</v>
      </c>
      <c r="Z22" s="143">
        <f t="shared" ca="1" si="24"/>
        <v>779835.87347259454</v>
      </c>
      <c r="AA22" s="143">
        <f t="shared" ca="1" si="25"/>
        <v>749902.4865425512</v>
      </c>
      <c r="AB22" s="143">
        <f t="shared" ca="1" si="26"/>
        <v>722365.68079517188</v>
      </c>
      <c r="AC22" s="143">
        <f t="shared" ca="1" si="27"/>
        <v>697446.39306978439</v>
      </c>
      <c r="AD22" s="143">
        <f t="shared" ca="1" si="28"/>
        <v>672131.93849696591</v>
      </c>
      <c r="AE22" s="143">
        <f t="shared" ca="1" si="29"/>
        <v>648408.8233943627</v>
      </c>
      <c r="AF22" s="143">
        <f t="shared" ca="1" si="30"/>
        <v>627703.46738403442</v>
      </c>
    </row>
    <row r="23" spans="1:32">
      <c r="A23" s="112" t="s">
        <v>47</v>
      </c>
      <c r="B23" s="143">
        <f t="shared" ca="1" si="0"/>
        <v>805225.91546937299</v>
      </c>
      <c r="C23" s="143">
        <f t="shared" ca="1" si="1"/>
        <v>806415.1059969652</v>
      </c>
      <c r="D23" s="143">
        <f t="shared" ca="1" si="2"/>
        <v>817110.06308566243</v>
      </c>
      <c r="E23" s="143">
        <f t="shared" ca="1" si="3"/>
        <v>827265.53094862448</v>
      </c>
      <c r="F23" s="143">
        <f t="shared" ca="1" si="4"/>
        <v>840124.01837270928</v>
      </c>
      <c r="G23" s="143">
        <f t="shared" ca="1" si="5"/>
        <v>849681.55785125005</v>
      </c>
      <c r="H23" s="143">
        <f t="shared" ca="1" si="6"/>
        <v>801333.72055154748</v>
      </c>
      <c r="I23" s="143">
        <f t="shared" ca="1" si="7"/>
        <v>763262.14730525657</v>
      </c>
      <c r="J23" s="143">
        <f t="shared" ca="1" si="8"/>
        <v>725216.81984398526</v>
      </c>
      <c r="K23" s="143">
        <f t="shared" ca="1" si="9"/>
        <v>688460.45770583744</v>
      </c>
      <c r="L23" s="143">
        <f t="shared" ca="1" si="10"/>
        <v>645531.68453686743</v>
      </c>
      <c r="M23" s="143">
        <f t="shared" ca="1" si="11"/>
        <v>595230.36056388565</v>
      </c>
      <c r="N23" s="143">
        <f t="shared" ca="1" si="12"/>
        <v>393900.80851450603</v>
      </c>
      <c r="O23" s="143">
        <f t="shared" ca="1" si="13"/>
        <v>323448.88985972991</v>
      </c>
      <c r="P23" s="143">
        <f t="shared" ca="1" si="14"/>
        <v>252981.05615720473</v>
      </c>
      <c r="Q23" s="143">
        <f t="shared" ca="1" si="15"/>
        <v>186553.40208521593</v>
      </c>
      <c r="R23" s="143">
        <f t="shared" ca="1" si="16"/>
        <v>185475.88239239517</v>
      </c>
      <c r="S23" s="143">
        <f t="shared" ca="1" si="17"/>
        <v>186728.94529689796</v>
      </c>
      <c r="T23" s="143">
        <f t="shared" ca="1" si="18"/>
        <v>185221.43259284194</v>
      </c>
      <c r="U23" s="143">
        <f t="shared" ca="1" si="19"/>
        <v>180865.96966806182</v>
      </c>
      <c r="V23" s="143">
        <f t="shared" ca="1" si="20"/>
        <v>176673.00324007464</v>
      </c>
      <c r="W23" s="143">
        <f t="shared" ca="1" si="21"/>
        <v>172356.06571218828</v>
      </c>
      <c r="X23" s="143">
        <f t="shared" ca="1" si="22"/>
        <v>166929.43691859822</v>
      </c>
      <c r="Y23" s="143">
        <f t="shared" ca="1" si="23"/>
        <v>161458.71990461746</v>
      </c>
      <c r="Z23" s="143">
        <f t="shared" ca="1" si="24"/>
        <v>155967.17469451891</v>
      </c>
      <c r="AA23" s="143">
        <f t="shared" ca="1" si="25"/>
        <v>149980.49730851021</v>
      </c>
      <c r="AB23" s="143">
        <f t="shared" ca="1" si="26"/>
        <v>144473.13615903439</v>
      </c>
      <c r="AC23" s="143">
        <f t="shared" ca="1" si="27"/>
        <v>139489.27861395688</v>
      </c>
      <c r="AD23" s="143">
        <f t="shared" ca="1" si="28"/>
        <v>134426.38769939318</v>
      </c>
      <c r="AE23" s="143">
        <f t="shared" ca="1" si="29"/>
        <v>129681.76467887254</v>
      </c>
      <c r="AF23" s="143">
        <f t="shared" ca="1" si="30"/>
        <v>125540.69347680692</v>
      </c>
    </row>
    <row r="24" spans="1:32">
      <c r="A24" s="112" t="s">
        <v>48</v>
      </c>
      <c r="B24" s="143">
        <f t="shared" ca="1" si="0"/>
        <v>183102.36299292481</v>
      </c>
      <c r="C24" s="143">
        <f t="shared" ca="1" si="1"/>
        <v>161283.02119939306</v>
      </c>
      <c r="D24" s="143">
        <f t="shared" ca="1" si="2"/>
        <v>163422.01261713248</v>
      </c>
      <c r="E24" s="143">
        <f t="shared" ca="1" si="3"/>
        <v>165453.10618972487</v>
      </c>
      <c r="F24" s="143">
        <f t="shared" ca="1" si="4"/>
        <v>168024.80367454188</v>
      </c>
      <c r="G24" s="143">
        <f t="shared" ca="1" si="5"/>
        <v>169936.31157025002</v>
      </c>
      <c r="H24" s="143">
        <f t="shared" ca="1" si="6"/>
        <v>171714.36868961732</v>
      </c>
      <c r="I24" s="143">
        <f t="shared" ca="1" si="7"/>
        <v>176137.41860890534</v>
      </c>
      <c r="J24" s="143">
        <f t="shared" ca="1" si="8"/>
        <v>181304.20496099631</v>
      </c>
      <c r="K24" s="143">
        <f t="shared" ca="1" si="9"/>
        <v>187761.94301068294</v>
      </c>
      <c r="L24" s="143">
        <f t="shared" ca="1" si="10"/>
        <v>193659.5053610602</v>
      </c>
      <c r="M24" s="143">
        <f t="shared" ca="1" si="11"/>
        <v>198410.1201879619</v>
      </c>
      <c r="N24" s="143">
        <f t="shared" ca="1" si="12"/>
        <v>131300.26950483533</v>
      </c>
      <c r="O24" s="143">
        <f t="shared" ca="1" si="13"/>
        <v>129379.55594389194</v>
      </c>
      <c r="P24" s="143">
        <f t="shared" ca="1" si="14"/>
        <v>126490.52807860236</v>
      </c>
      <c r="Q24" s="143">
        <f t="shared" ca="1" si="15"/>
        <v>124368.93472347729</v>
      </c>
      <c r="R24" s="143">
        <f t="shared" ca="1" si="16"/>
        <v>123650.58826159679</v>
      </c>
      <c r="S24" s="143">
        <f t="shared" ca="1" si="17"/>
        <v>124485.96353126534</v>
      </c>
      <c r="T24" s="143">
        <f t="shared" ca="1" si="18"/>
        <v>123480.95506189465</v>
      </c>
      <c r="U24" s="143">
        <f t="shared" ca="1" si="19"/>
        <v>120577.31311204121</v>
      </c>
      <c r="V24" s="143">
        <f t="shared" ca="1" si="20"/>
        <v>117782.00216004979</v>
      </c>
      <c r="W24" s="143">
        <f t="shared" ca="1" si="21"/>
        <v>114904.04380812553</v>
      </c>
      <c r="X24" s="143">
        <f t="shared" ca="1" si="22"/>
        <v>111286.29127906548</v>
      </c>
      <c r="Y24" s="143">
        <f t="shared" ca="1" si="23"/>
        <v>107639.14660307832</v>
      </c>
      <c r="Z24" s="143">
        <f t="shared" ca="1" si="24"/>
        <v>103978.1164630126</v>
      </c>
      <c r="AA24" s="143">
        <f t="shared" ca="1" si="25"/>
        <v>99986.998205673488</v>
      </c>
      <c r="AB24" s="143">
        <f t="shared" ca="1" si="26"/>
        <v>96315.424106022925</v>
      </c>
      <c r="AC24" s="143">
        <f t="shared" ca="1" si="27"/>
        <v>92992.8524093046</v>
      </c>
      <c r="AD24" s="143">
        <f t="shared" ca="1" si="28"/>
        <v>89617.591799595466</v>
      </c>
      <c r="AE24" s="143">
        <f t="shared" ca="1" si="29"/>
        <v>86454.509785915026</v>
      </c>
      <c r="AF24" s="143">
        <f t="shared" ca="1" si="30"/>
        <v>83693.795651204622</v>
      </c>
    </row>
    <row r="25" spans="1:32">
      <c r="A25" s="112" t="s">
        <v>49</v>
      </c>
      <c r="B25" s="143">
        <f t="shared" ca="1" si="0"/>
        <v>40206.747891524057</v>
      </c>
      <c r="C25" s="143">
        <f t="shared" ca="1" si="1"/>
        <v>53761.00706646435</v>
      </c>
      <c r="D25" s="143">
        <f t="shared" ca="1" si="2"/>
        <v>54474.004205710837</v>
      </c>
      <c r="E25" s="143">
        <f t="shared" ca="1" si="3"/>
        <v>55151.035396574967</v>
      </c>
      <c r="F25" s="143">
        <f t="shared" ca="1" si="4"/>
        <v>56008.267891513955</v>
      </c>
      <c r="G25" s="143">
        <f t="shared" ca="1" si="5"/>
        <v>56645.437190083343</v>
      </c>
      <c r="H25" s="143">
        <f t="shared" ca="1" si="6"/>
        <v>114476.24579307821</v>
      </c>
      <c r="I25" s="143">
        <f t="shared" ca="1" si="7"/>
        <v>176137.41860890534</v>
      </c>
      <c r="J25" s="143">
        <f t="shared" ca="1" si="8"/>
        <v>241738.93994799518</v>
      </c>
      <c r="K25" s="143">
        <f t="shared" ca="1" si="9"/>
        <v>312936.57168447156</v>
      </c>
      <c r="L25" s="143">
        <f t="shared" ca="1" si="10"/>
        <v>322765.84226843371</v>
      </c>
      <c r="M25" s="143">
        <f t="shared" ca="1" si="11"/>
        <v>396820.24037592381</v>
      </c>
      <c r="N25" s="143">
        <f t="shared" ca="1" si="12"/>
        <v>525201.07801934134</v>
      </c>
      <c r="O25" s="143">
        <f t="shared" ca="1" si="13"/>
        <v>517518.22377556778</v>
      </c>
      <c r="P25" s="143">
        <f t="shared" ca="1" si="14"/>
        <v>569207.37635371066</v>
      </c>
      <c r="Q25" s="143">
        <f t="shared" ca="1" si="15"/>
        <v>621844.67361738649</v>
      </c>
      <c r="R25" s="143">
        <f t="shared" ca="1" si="16"/>
        <v>618252.94130798394</v>
      </c>
      <c r="S25" s="143">
        <f t="shared" ca="1" si="17"/>
        <v>622429.81765632669</v>
      </c>
      <c r="T25" s="143">
        <f t="shared" ca="1" si="18"/>
        <v>617404.77530947328</v>
      </c>
      <c r="U25" s="143">
        <f t="shared" ca="1" si="19"/>
        <v>602886.56556020607</v>
      </c>
      <c r="V25" s="143">
        <f t="shared" ca="1" si="20"/>
        <v>588910.01080024894</v>
      </c>
      <c r="W25" s="143">
        <f t="shared" ca="1" si="21"/>
        <v>574520.21904062759</v>
      </c>
      <c r="X25" s="143">
        <f t="shared" ca="1" si="22"/>
        <v>556431.45639532735</v>
      </c>
      <c r="Y25" s="143">
        <f t="shared" ca="1" si="23"/>
        <v>538195.73301539163</v>
      </c>
      <c r="Z25" s="143">
        <f t="shared" ca="1" si="24"/>
        <v>519890.58231506305</v>
      </c>
      <c r="AA25" s="143">
        <f t="shared" ca="1" si="25"/>
        <v>499934.99102836754</v>
      </c>
      <c r="AB25" s="143">
        <f t="shared" ca="1" si="26"/>
        <v>481577.12053011474</v>
      </c>
      <c r="AC25" s="143">
        <f t="shared" ca="1" si="27"/>
        <v>464964.26204652293</v>
      </c>
      <c r="AD25" s="143">
        <f t="shared" ca="1" si="28"/>
        <v>448087.95899797737</v>
      </c>
      <c r="AE25" s="143">
        <f t="shared" ca="1" si="29"/>
        <v>432272.54892957513</v>
      </c>
      <c r="AF25" s="143">
        <f t="shared" ca="1" si="30"/>
        <v>418468.97825602308</v>
      </c>
    </row>
    <row r="26" spans="1:32">
      <c r="A26" s="112" t="s">
        <v>50</v>
      </c>
      <c r="B26" s="143">
        <f t="shared" ca="1" si="0"/>
        <v>1117081.1154449731</v>
      </c>
      <c r="C26" s="143">
        <f t="shared" ca="1" si="1"/>
        <v>1128981.1483957514</v>
      </c>
      <c r="D26" s="143">
        <f t="shared" ca="1" si="2"/>
        <v>1143954.0883199275</v>
      </c>
      <c r="E26" s="143">
        <f t="shared" ca="1" si="3"/>
        <v>1158171.7433280742</v>
      </c>
      <c r="F26" s="143">
        <f t="shared" ca="1" si="4"/>
        <v>1176173.6257217929</v>
      </c>
      <c r="G26" s="143">
        <f t="shared" ca="1" si="5"/>
        <v>1189554.18099175</v>
      </c>
      <c r="H26" s="143">
        <f t="shared" ca="1" si="6"/>
        <v>1144762.4579307821</v>
      </c>
      <c r="I26" s="143">
        <f t="shared" ca="1" si="7"/>
        <v>1115536.9845230673</v>
      </c>
      <c r="J26" s="143">
        <f t="shared" ca="1" si="8"/>
        <v>1148259.9647529768</v>
      </c>
      <c r="K26" s="143">
        <f t="shared" ca="1" si="9"/>
        <v>1126571.6580640976</v>
      </c>
      <c r="L26" s="143">
        <f t="shared" ca="1" si="10"/>
        <v>1161957.0321663616</v>
      </c>
      <c r="M26" s="143">
        <f t="shared" ca="1" si="11"/>
        <v>1190460.7211277713</v>
      </c>
      <c r="N26" s="143">
        <f t="shared" ca="1" si="12"/>
        <v>1181702.425543518</v>
      </c>
      <c r="O26" s="143">
        <f t="shared" ca="1" si="13"/>
        <v>1229105.7814669735</v>
      </c>
      <c r="P26" s="143">
        <f t="shared" ca="1" si="14"/>
        <v>1264905.2807860237</v>
      </c>
      <c r="Q26" s="143">
        <f t="shared" ca="1" si="15"/>
        <v>1243689.347234773</v>
      </c>
      <c r="R26" s="143">
        <f t="shared" ca="1" si="16"/>
        <v>1236505.8826159679</v>
      </c>
      <c r="S26" s="143">
        <f t="shared" ca="1" si="17"/>
        <v>1244859.6353126534</v>
      </c>
      <c r="T26" s="143">
        <f t="shared" ca="1" si="18"/>
        <v>1234809.5506189466</v>
      </c>
      <c r="U26" s="143">
        <f t="shared" ca="1" si="19"/>
        <v>1205773.1311204121</v>
      </c>
      <c r="V26" s="143">
        <f t="shared" ca="1" si="20"/>
        <v>1177820.0216004979</v>
      </c>
      <c r="W26" s="143">
        <f t="shared" ca="1" si="21"/>
        <v>1149040.4380812552</v>
      </c>
      <c r="X26" s="143">
        <f t="shared" ca="1" si="22"/>
        <v>1112862.9127906547</v>
      </c>
      <c r="Y26" s="143">
        <f t="shared" ca="1" si="23"/>
        <v>1076391.4660307833</v>
      </c>
      <c r="Z26" s="143">
        <f t="shared" ca="1" si="24"/>
        <v>1039781.1646301261</v>
      </c>
      <c r="AA26" s="143">
        <f t="shared" ca="1" si="25"/>
        <v>999869.98205673508</v>
      </c>
      <c r="AB26" s="143">
        <f t="shared" ca="1" si="26"/>
        <v>963154.24106022948</v>
      </c>
      <c r="AC26" s="143">
        <f t="shared" ca="1" si="27"/>
        <v>929928.52409304585</v>
      </c>
      <c r="AD26" s="143">
        <f t="shared" ca="1" si="28"/>
        <v>896175.91799595475</v>
      </c>
      <c r="AE26" s="143">
        <f t="shared" ca="1" si="29"/>
        <v>864545.09785915026</v>
      </c>
      <c r="AF26" s="143">
        <f t="shared" ca="1" si="30"/>
        <v>836937.95651204616</v>
      </c>
    </row>
    <row r="28" spans="1:32">
      <c r="A28" s="112" t="s">
        <v>558</v>
      </c>
      <c r="B28" s="142">
        <v>2025</v>
      </c>
      <c r="C28" s="142">
        <v>2026</v>
      </c>
      <c r="D28" s="142">
        <v>2027</v>
      </c>
      <c r="E28" s="142">
        <v>2028</v>
      </c>
      <c r="F28" s="142">
        <v>2029</v>
      </c>
      <c r="G28" s="142">
        <v>2030</v>
      </c>
      <c r="H28" s="142">
        <v>2031</v>
      </c>
      <c r="I28" s="142">
        <v>2032</v>
      </c>
      <c r="J28" s="142">
        <v>2033</v>
      </c>
      <c r="K28" s="142">
        <v>2034</v>
      </c>
      <c r="L28" s="142">
        <v>2035</v>
      </c>
      <c r="M28" s="142">
        <v>2036</v>
      </c>
      <c r="N28" s="142">
        <v>2037</v>
      </c>
      <c r="O28" s="142">
        <v>2038</v>
      </c>
      <c r="P28" s="142">
        <v>2039</v>
      </c>
      <c r="Q28" s="142">
        <v>2040</v>
      </c>
      <c r="R28" s="142">
        <v>2041</v>
      </c>
      <c r="S28" s="142">
        <v>2042</v>
      </c>
      <c r="T28" s="142">
        <v>2043</v>
      </c>
      <c r="U28" s="142">
        <v>2044</v>
      </c>
      <c r="V28" s="142">
        <v>2045</v>
      </c>
      <c r="W28" s="142">
        <v>2046</v>
      </c>
      <c r="X28" s="142">
        <v>2047</v>
      </c>
      <c r="Y28" s="142">
        <v>2048</v>
      </c>
      <c r="Z28" s="142">
        <v>2049</v>
      </c>
      <c r="AA28" s="142">
        <v>2050</v>
      </c>
      <c r="AB28" s="142">
        <v>2051</v>
      </c>
      <c r="AC28" s="142">
        <v>2052</v>
      </c>
      <c r="AD28" s="142">
        <v>2053</v>
      </c>
      <c r="AE28" s="142">
        <v>2054</v>
      </c>
      <c r="AF28" s="142">
        <v>2055</v>
      </c>
    </row>
    <row r="29" spans="1:32">
      <c r="A29" s="112" t="s">
        <v>44</v>
      </c>
      <c r="B29" s="143">
        <f t="shared" ref="B29:AF29" ca="1" si="31">B11*B$3</f>
        <v>37.417905143810493</v>
      </c>
      <c r="C29" s="143">
        <f t="shared" ca="1" si="31"/>
        <v>139.2855128134272</v>
      </c>
      <c r="D29" s="143">
        <f t="shared" ca="1" si="31"/>
        <v>366.79885249726408</v>
      </c>
      <c r="E29" s="143">
        <f t="shared" ca="1" si="31"/>
        <v>828.36126119750725</v>
      </c>
      <c r="F29" s="143">
        <f t="shared" ca="1" si="31"/>
        <v>1756.9524839327744</v>
      </c>
      <c r="G29" s="143">
        <f t="shared" ca="1" si="31"/>
        <v>3390.2998985764448</v>
      </c>
      <c r="H29" s="143">
        <f t="shared" ca="1" si="31"/>
        <v>6311.5258945195028</v>
      </c>
      <c r="I29" s="143">
        <f t="shared" ca="1" si="31"/>
        <v>12343.213032573223</v>
      </c>
      <c r="J29" s="143">
        <f t="shared" ca="1" si="31"/>
        <v>22476.166526126479</v>
      </c>
      <c r="K29" s="143">
        <f t="shared" ca="1" si="31"/>
        <v>38844.423982196327</v>
      </c>
      <c r="L29" s="143">
        <f t="shared" ca="1" si="31"/>
        <v>64720.452660689574</v>
      </c>
      <c r="M29" s="143">
        <f t="shared" ca="1" si="31"/>
        <v>99725.262273213579</v>
      </c>
      <c r="N29" s="143">
        <f t="shared" ca="1" si="31"/>
        <v>152103.06704229719</v>
      </c>
      <c r="O29" s="143">
        <f t="shared" ca="1" si="31"/>
        <v>215392.49490529732</v>
      </c>
      <c r="P29" s="143">
        <f t="shared" ca="1" si="31"/>
        <v>294585.17408648727</v>
      </c>
      <c r="Q29" s="143">
        <f t="shared" ca="1" si="31"/>
        <v>390348.06898537162</v>
      </c>
      <c r="R29" s="143">
        <f t="shared" ca="1" si="31"/>
        <v>502962.84823750518</v>
      </c>
      <c r="S29" s="143">
        <f t="shared" ca="1" si="31"/>
        <v>631437.65449006157</v>
      </c>
      <c r="T29" s="143">
        <f t="shared" ca="1" si="31"/>
        <v>773502.54706031387</v>
      </c>
      <c r="U29" s="143">
        <f t="shared" ca="1" si="31"/>
        <v>926299.42828381888</v>
      </c>
      <c r="V29" s="143">
        <f t="shared" ca="1" si="31"/>
        <v>1086573.7092307881</v>
      </c>
      <c r="W29" s="143">
        <f t="shared" ca="1" si="31"/>
        <v>1255201.0647547389</v>
      </c>
      <c r="X29" s="143">
        <f t="shared" ca="1" si="31"/>
        <v>1432391.0257140019</v>
      </c>
      <c r="Y29" s="143">
        <f t="shared" ca="1" si="31"/>
        <v>1612250.5256894615</v>
      </c>
      <c r="Z29" s="143">
        <f t="shared" ca="1" si="31"/>
        <v>1797450.1977678505</v>
      </c>
      <c r="AA29" s="143">
        <f t="shared" ca="1" si="31"/>
        <v>1993507.1825263912</v>
      </c>
      <c r="AB29" s="143">
        <f t="shared" ca="1" si="31"/>
        <v>2191670.6136289407</v>
      </c>
      <c r="AC29" s="143">
        <f t="shared" ca="1" si="31"/>
        <v>2390097.2685076883</v>
      </c>
      <c r="AD29" s="143">
        <f t="shared" ca="1" si="31"/>
        <v>2587191.6103036064</v>
      </c>
      <c r="AE29" s="143">
        <f t="shared" ca="1" si="31"/>
        <v>2781580.3047187529</v>
      </c>
      <c r="AF29" s="143">
        <f t="shared" ca="1" si="31"/>
        <v>2971941.652535717</v>
      </c>
    </row>
    <row r="30" spans="1:32">
      <c r="A30" s="112" t="s">
        <v>45</v>
      </c>
      <c r="B30" s="143">
        <f t="shared" ref="B30:AF30" ca="1" si="32">B12*B$3</f>
        <v>13.187729818090686</v>
      </c>
      <c r="C30" s="143">
        <f t="shared" ca="1" si="32"/>
        <v>55.714205125370881</v>
      </c>
      <c r="D30" s="143">
        <f t="shared" ca="1" si="32"/>
        <v>146.71954099890564</v>
      </c>
      <c r="E30" s="143">
        <f t="shared" ca="1" si="32"/>
        <v>331.34450447900292</v>
      </c>
      <c r="F30" s="143">
        <f t="shared" ca="1" si="32"/>
        <v>702.78099357310975</v>
      </c>
      <c r="G30" s="143">
        <f t="shared" ca="1" si="32"/>
        <v>1356.1199594305779</v>
      </c>
      <c r="H30" s="143">
        <f t="shared" ca="1" si="32"/>
        <v>2670.2609553736352</v>
      </c>
      <c r="I30" s="143">
        <f t="shared" ca="1" si="32"/>
        <v>6171.6065162866116</v>
      </c>
      <c r="J30" s="143">
        <f t="shared" ca="1" si="32"/>
        <v>10821.85795702386</v>
      </c>
      <c r="K30" s="143">
        <f t="shared" ca="1" si="32"/>
        <v>19422.211991098164</v>
      </c>
      <c r="L30" s="143">
        <f t="shared" ca="1" si="32"/>
        <v>33476.096203804955</v>
      </c>
      <c r="M30" s="143">
        <f t="shared" ca="1" si="32"/>
        <v>55020.834357635082</v>
      </c>
      <c r="N30" s="143">
        <f t="shared" ca="1" si="32"/>
        <v>91261.840225378313</v>
      </c>
      <c r="O30" s="143">
        <f t="shared" ca="1" si="32"/>
        <v>136415.24677335497</v>
      </c>
      <c r="P30" s="143">
        <f t="shared" ca="1" si="32"/>
        <v>186570.6102547753</v>
      </c>
      <c r="Q30" s="143">
        <f t="shared" ca="1" si="32"/>
        <v>260232.04599024775</v>
      </c>
      <c r="R30" s="143">
        <f t="shared" ca="1" si="32"/>
        <v>335308.56549167016</v>
      </c>
      <c r="S30" s="143">
        <f t="shared" ca="1" si="32"/>
        <v>420958.43632670771</v>
      </c>
      <c r="T30" s="143">
        <f t="shared" ca="1" si="32"/>
        <v>515668.36470687599</v>
      </c>
      <c r="U30" s="143">
        <f t="shared" ca="1" si="32"/>
        <v>617532.95218921255</v>
      </c>
      <c r="V30" s="143">
        <f t="shared" ca="1" si="32"/>
        <v>724382.47282052529</v>
      </c>
      <c r="W30" s="143">
        <f t="shared" ca="1" si="32"/>
        <v>836800.70983649266</v>
      </c>
      <c r="X30" s="143">
        <f t="shared" ca="1" si="32"/>
        <v>954927.35047600116</v>
      </c>
      <c r="Y30" s="143">
        <f t="shared" ca="1" si="32"/>
        <v>1074833.6837929746</v>
      </c>
      <c r="Z30" s="143">
        <f t="shared" ca="1" si="32"/>
        <v>1198300.131845234</v>
      </c>
      <c r="AA30" s="143">
        <f t="shared" ca="1" si="32"/>
        <v>1329004.7883509279</v>
      </c>
      <c r="AB30" s="143">
        <f t="shared" ca="1" si="32"/>
        <v>1461113.7424192941</v>
      </c>
      <c r="AC30" s="143">
        <f t="shared" ca="1" si="32"/>
        <v>1593398.1790051255</v>
      </c>
      <c r="AD30" s="143">
        <f t="shared" ca="1" si="32"/>
        <v>1724794.4068690715</v>
      </c>
      <c r="AE30" s="143">
        <f t="shared" ca="1" si="32"/>
        <v>1854386.8698125018</v>
      </c>
      <c r="AF30" s="143">
        <f t="shared" ca="1" si="32"/>
        <v>1981294.4350238119</v>
      </c>
    </row>
    <row r="31" spans="1:32">
      <c r="A31" s="112" t="s">
        <v>46</v>
      </c>
      <c r="B31" s="143">
        <f t="shared" ref="B31:AF31" ca="1" si="33">B13*B$3</f>
        <v>38.104574478829633</v>
      </c>
      <c r="C31" s="143">
        <f t="shared" ca="1" si="33"/>
        <v>139.2855128134272</v>
      </c>
      <c r="D31" s="143">
        <f t="shared" ca="1" si="33"/>
        <v>366.79885249726408</v>
      </c>
      <c r="E31" s="143">
        <f t="shared" ca="1" si="33"/>
        <v>828.36126119750725</v>
      </c>
      <c r="F31" s="143">
        <f t="shared" ca="1" si="33"/>
        <v>1756.9524839327744</v>
      </c>
      <c r="G31" s="143">
        <f t="shared" ca="1" si="33"/>
        <v>3390.2998985764448</v>
      </c>
      <c r="H31" s="143">
        <f t="shared" ca="1" si="33"/>
        <v>5826.0239026333875</v>
      </c>
      <c r="I31" s="143">
        <f t="shared" ca="1" si="33"/>
        <v>10918.996144199391</v>
      </c>
      <c r="J31" s="143">
        <f t="shared" ca="1" si="33"/>
        <v>18313.913465732687</v>
      </c>
      <c r="K31" s="143">
        <f t="shared" ca="1" si="33"/>
        <v>29133.317986647242</v>
      </c>
      <c r="L31" s="143">
        <f t="shared" ca="1" si="33"/>
        <v>44634.794938406609</v>
      </c>
      <c r="M31" s="143">
        <f t="shared" ca="1" si="33"/>
        <v>65337.240799691659</v>
      </c>
      <c r="N31" s="143">
        <f t="shared" ca="1" si="33"/>
        <v>91261.840225378313</v>
      </c>
      <c r="O31" s="143">
        <f t="shared" ca="1" si="33"/>
        <v>122055.74711300182</v>
      </c>
      <c r="P31" s="143">
        <f t="shared" ca="1" si="33"/>
        <v>157112.09284612656</v>
      </c>
      <c r="Q31" s="143">
        <f t="shared" ca="1" si="33"/>
        <v>195174.03449268581</v>
      </c>
      <c r="R31" s="143">
        <f t="shared" ca="1" si="33"/>
        <v>251481.42411875259</v>
      </c>
      <c r="S31" s="143">
        <f t="shared" ca="1" si="33"/>
        <v>315718.82724503078</v>
      </c>
      <c r="T31" s="143">
        <f t="shared" ca="1" si="33"/>
        <v>386751.27353015693</v>
      </c>
      <c r="U31" s="143">
        <f t="shared" ca="1" si="33"/>
        <v>463149.71414190944</v>
      </c>
      <c r="V31" s="143">
        <f t="shared" ca="1" si="33"/>
        <v>543286.85461539403</v>
      </c>
      <c r="W31" s="143">
        <f t="shared" ca="1" si="33"/>
        <v>627600.53237736947</v>
      </c>
      <c r="X31" s="143">
        <f t="shared" ca="1" si="33"/>
        <v>716195.51285700093</v>
      </c>
      <c r="Y31" s="143">
        <f t="shared" ca="1" si="33"/>
        <v>806125.26284473075</v>
      </c>
      <c r="Z31" s="143">
        <f t="shared" ca="1" si="33"/>
        <v>898725.09888392524</v>
      </c>
      <c r="AA31" s="143">
        <f t="shared" ca="1" si="33"/>
        <v>996753.59126319562</v>
      </c>
      <c r="AB31" s="143">
        <f t="shared" ca="1" si="33"/>
        <v>1095835.3068144703</v>
      </c>
      <c r="AC31" s="143">
        <f t="shared" ca="1" si="33"/>
        <v>1195048.6342538442</v>
      </c>
      <c r="AD31" s="143">
        <f t="shared" ca="1" si="33"/>
        <v>1293595.8051518032</v>
      </c>
      <c r="AE31" s="143">
        <f t="shared" ca="1" si="33"/>
        <v>1390790.1523593764</v>
      </c>
      <c r="AF31" s="143">
        <f t="shared" ca="1" si="33"/>
        <v>1485970.8262678585</v>
      </c>
    </row>
    <row r="32" spans="1:32">
      <c r="A32" s="112" t="s">
        <v>47</v>
      </c>
      <c r="B32" s="143">
        <f t="shared" ref="B32:AF32" ca="1" si="34">B14*B$3</f>
        <v>22.626089005764399</v>
      </c>
      <c r="C32" s="143">
        <f t="shared" ca="1" si="34"/>
        <v>83.571307688056322</v>
      </c>
      <c r="D32" s="143">
        <f t="shared" ca="1" si="34"/>
        <v>220.07931149835844</v>
      </c>
      <c r="E32" s="143">
        <f t="shared" ca="1" si="34"/>
        <v>497.01675671850433</v>
      </c>
      <c r="F32" s="143">
        <f t="shared" ca="1" si="34"/>
        <v>1054.1714903596644</v>
      </c>
      <c r="G32" s="143">
        <f t="shared" ca="1" si="34"/>
        <v>2034.1799391458667</v>
      </c>
      <c r="H32" s="143">
        <f t="shared" ca="1" si="34"/>
        <v>3398.5139432028095</v>
      </c>
      <c r="I32" s="143">
        <f t="shared" ca="1" si="34"/>
        <v>6171.6065162866116</v>
      </c>
      <c r="J32" s="143">
        <f t="shared" ca="1" si="34"/>
        <v>9989.4073449450989</v>
      </c>
      <c r="K32" s="143">
        <f t="shared" ca="1" si="34"/>
        <v>15260.309421577127</v>
      </c>
      <c r="L32" s="143">
        <f t="shared" ca="1" si="34"/>
        <v>22317.397469203304</v>
      </c>
      <c r="M32" s="143">
        <f t="shared" ca="1" si="34"/>
        <v>30949.219326169732</v>
      </c>
      <c r="N32" s="143">
        <f t="shared" ca="1" si="34"/>
        <v>30420.613408459438</v>
      </c>
      <c r="O32" s="143">
        <f t="shared" ca="1" si="34"/>
        <v>35898.74915088289</v>
      </c>
      <c r="P32" s="143">
        <f t="shared" ca="1" si="34"/>
        <v>39278.023211531639</v>
      </c>
      <c r="Q32" s="143">
        <f t="shared" ca="1" si="34"/>
        <v>39034.806898537157</v>
      </c>
      <c r="R32" s="143">
        <f t="shared" ca="1" si="34"/>
        <v>50296.284823750517</v>
      </c>
      <c r="S32" s="143">
        <f t="shared" ca="1" si="34"/>
        <v>63143.765449006147</v>
      </c>
      <c r="T32" s="143">
        <f t="shared" ca="1" si="34"/>
        <v>77350.254706031381</v>
      </c>
      <c r="U32" s="143">
        <f t="shared" ca="1" si="34"/>
        <v>92629.9428283819</v>
      </c>
      <c r="V32" s="143">
        <f t="shared" ca="1" si="34"/>
        <v>108657.37092307878</v>
      </c>
      <c r="W32" s="143">
        <f t="shared" ca="1" si="34"/>
        <v>125520.10647547389</v>
      </c>
      <c r="X32" s="143">
        <f t="shared" ca="1" si="34"/>
        <v>143239.1025714002</v>
      </c>
      <c r="Y32" s="143">
        <f t="shared" ca="1" si="34"/>
        <v>161225.05256894615</v>
      </c>
      <c r="Z32" s="143">
        <f t="shared" ca="1" si="34"/>
        <v>179745.01977678508</v>
      </c>
      <c r="AA32" s="143">
        <f t="shared" ca="1" si="34"/>
        <v>199350.71825263911</v>
      </c>
      <c r="AB32" s="143">
        <f t="shared" ca="1" si="34"/>
        <v>219167.06136289408</v>
      </c>
      <c r="AC32" s="143">
        <f t="shared" ca="1" si="34"/>
        <v>239009.72685076881</v>
      </c>
      <c r="AD32" s="143">
        <f t="shared" ca="1" si="34"/>
        <v>258719.16103036067</v>
      </c>
      <c r="AE32" s="143">
        <f t="shared" ca="1" si="34"/>
        <v>278158.03047187527</v>
      </c>
      <c r="AF32" s="143">
        <f t="shared" ca="1" si="34"/>
        <v>297194.16525357176</v>
      </c>
    </row>
    <row r="33" spans="1:32">
      <c r="A33" s="112" t="s">
        <v>48</v>
      </c>
      <c r="B33" s="143">
        <f t="shared" ref="B33:AF33" ca="1" si="35">B15*B$3</f>
        <v>5.1450037593844353</v>
      </c>
      <c r="C33" s="143">
        <f t="shared" ca="1" si="35"/>
        <v>16.714261537611264</v>
      </c>
      <c r="D33" s="143">
        <f t="shared" ca="1" si="35"/>
        <v>44.015862299671689</v>
      </c>
      <c r="E33" s="143">
        <f t="shared" ca="1" si="35"/>
        <v>99.403351343700848</v>
      </c>
      <c r="F33" s="143">
        <f t="shared" ca="1" si="35"/>
        <v>210.83429807193292</v>
      </c>
      <c r="G33" s="143">
        <f t="shared" ca="1" si="35"/>
        <v>406.8359878291734</v>
      </c>
      <c r="H33" s="143">
        <f t="shared" ca="1" si="35"/>
        <v>728.25298782917343</v>
      </c>
      <c r="I33" s="143">
        <f t="shared" ca="1" si="35"/>
        <v>1424.2168883738332</v>
      </c>
      <c r="J33" s="143">
        <f t="shared" ca="1" si="35"/>
        <v>2497.3518362362747</v>
      </c>
      <c r="K33" s="143">
        <f t="shared" ca="1" si="35"/>
        <v>4161.9025695210339</v>
      </c>
      <c r="L33" s="143">
        <f t="shared" ca="1" si="35"/>
        <v>6695.21924076099</v>
      </c>
      <c r="M33" s="143">
        <f t="shared" ca="1" si="35"/>
        <v>10316.406442056577</v>
      </c>
      <c r="N33" s="143">
        <f t="shared" ca="1" si="35"/>
        <v>10140.20446948648</v>
      </c>
      <c r="O33" s="143">
        <f t="shared" ca="1" si="35"/>
        <v>14359.499660353156</v>
      </c>
      <c r="P33" s="143">
        <f t="shared" ca="1" si="35"/>
        <v>19639.01160576582</v>
      </c>
      <c r="Q33" s="143">
        <f t="shared" ca="1" si="35"/>
        <v>26023.204599024775</v>
      </c>
      <c r="R33" s="143">
        <f t="shared" ca="1" si="35"/>
        <v>33530.856549167016</v>
      </c>
      <c r="S33" s="143">
        <f t="shared" ca="1" si="35"/>
        <v>42095.843632670774</v>
      </c>
      <c r="T33" s="143">
        <f t="shared" ca="1" si="35"/>
        <v>51566.836470687595</v>
      </c>
      <c r="U33" s="143">
        <f t="shared" ca="1" si="35"/>
        <v>61753.295218921259</v>
      </c>
      <c r="V33" s="143">
        <f t="shared" ca="1" si="35"/>
        <v>72438.247282052529</v>
      </c>
      <c r="W33" s="143">
        <f t="shared" ca="1" si="35"/>
        <v>83680.070983649261</v>
      </c>
      <c r="X33" s="143">
        <f t="shared" ca="1" si="35"/>
        <v>95492.735047600116</v>
      </c>
      <c r="Y33" s="143">
        <f t="shared" ca="1" si="35"/>
        <v>107483.36837929745</v>
      </c>
      <c r="Z33" s="143">
        <f t="shared" ca="1" si="35"/>
        <v>119830.01318452338</v>
      </c>
      <c r="AA33" s="143">
        <f t="shared" ca="1" si="35"/>
        <v>132900.47883509277</v>
      </c>
      <c r="AB33" s="143">
        <f t="shared" ca="1" si="35"/>
        <v>146111.37424192938</v>
      </c>
      <c r="AC33" s="143">
        <f t="shared" ca="1" si="35"/>
        <v>159339.81790051257</v>
      </c>
      <c r="AD33" s="143">
        <f t="shared" ca="1" si="35"/>
        <v>172479.44068690712</v>
      </c>
      <c r="AE33" s="143">
        <f t="shared" ca="1" si="35"/>
        <v>185438.68698125018</v>
      </c>
      <c r="AF33" s="143">
        <f t="shared" ca="1" si="35"/>
        <v>198129.44350238118</v>
      </c>
    </row>
    <row r="34" spans="1:32">
      <c r="A34" s="112" t="s">
        <v>49</v>
      </c>
      <c r="B34" s="143">
        <f t="shared" ref="B34:AF34" ca="1" si="36">B16*B$3</f>
        <v>1.129771706236838</v>
      </c>
      <c r="C34" s="143">
        <f t="shared" ca="1" si="36"/>
        <v>5.5714205125370881</v>
      </c>
      <c r="D34" s="143">
        <f t="shared" ca="1" si="36"/>
        <v>14.671954099890563</v>
      </c>
      <c r="E34" s="143">
        <f t="shared" ca="1" si="36"/>
        <v>33.134450447900292</v>
      </c>
      <c r="F34" s="143">
        <f t="shared" ca="1" si="36"/>
        <v>70.278099357310964</v>
      </c>
      <c r="G34" s="143">
        <f t="shared" ca="1" si="36"/>
        <v>135.61199594305779</v>
      </c>
      <c r="H34" s="143">
        <f t="shared" ca="1" si="36"/>
        <v>485.5019918861156</v>
      </c>
      <c r="I34" s="143">
        <f t="shared" ca="1" si="36"/>
        <v>1424.2168883738332</v>
      </c>
      <c r="J34" s="143">
        <f t="shared" ca="1" si="36"/>
        <v>3329.8024483150343</v>
      </c>
      <c r="K34" s="143">
        <f t="shared" ca="1" si="36"/>
        <v>6936.5042825350583</v>
      </c>
      <c r="L34" s="143">
        <f t="shared" ca="1" si="36"/>
        <v>11158.698734601652</v>
      </c>
      <c r="M34" s="143">
        <f t="shared" ca="1" si="36"/>
        <v>20632.812884113155</v>
      </c>
      <c r="N34" s="143">
        <f t="shared" ca="1" si="36"/>
        <v>40560.817877945919</v>
      </c>
      <c r="O34" s="143">
        <f t="shared" ca="1" si="36"/>
        <v>57437.998641412625</v>
      </c>
      <c r="P34" s="143">
        <f t="shared" ca="1" si="36"/>
        <v>88375.552225946187</v>
      </c>
      <c r="Q34" s="143">
        <f t="shared" ca="1" si="36"/>
        <v>130116.02299512387</v>
      </c>
      <c r="R34" s="143">
        <f t="shared" ca="1" si="36"/>
        <v>167654.28274583508</v>
      </c>
      <c r="S34" s="143">
        <f t="shared" ca="1" si="36"/>
        <v>210479.21816335386</v>
      </c>
      <c r="T34" s="143">
        <f t="shared" ca="1" si="36"/>
        <v>257834.18235343799</v>
      </c>
      <c r="U34" s="143">
        <f t="shared" ca="1" si="36"/>
        <v>308766.47609460627</v>
      </c>
      <c r="V34" s="143">
        <f t="shared" ca="1" si="36"/>
        <v>362191.23641026265</v>
      </c>
      <c r="W34" s="143">
        <f t="shared" ca="1" si="36"/>
        <v>418400.35491824633</v>
      </c>
      <c r="X34" s="143">
        <f t="shared" ca="1" si="36"/>
        <v>477463.67523800058</v>
      </c>
      <c r="Y34" s="143">
        <f t="shared" ca="1" si="36"/>
        <v>537416.84189648728</v>
      </c>
      <c r="Z34" s="143">
        <f t="shared" ca="1" si="36"/>
        <v>599150.06592261698</v>
      </c>
      <c r="AA34" s="143">
        <f t="shared" ca="1" si="36"/>
        <v>664502.39417546394</v>
      </c>
      <c r="AB34" s="143">
        <f t="shared" ca="1" si="36"/>
        <v>730556.87120964704</v>
      </c>
      <c r="AC34" s="143">
        <f t="shared" ca="1" si="36"/>
        <v>796699.08950256277</v>
      </c>
      <c r="AD34" s="143">
        <f t="shared" ca="1" si="36"/>
        <v>862397.20343453577</v>
      </c>
      <c r="AE34" s="143">
        <f t="shared" ca="1" si="36"/>
        <v>927193.43490625091</v>
      </c>
      <c r="AF34" s="143">
        <f t="shared" ca="1" si="36"/>
        <v>990647.21751190594</v>
      </c>
    </row>
    <row r="35" spans="1:32">
      <c r="A35" s="112" t="s">
        <v>50</v>
      </c>
      <c r="B35" s="143">
        <f t="shared" ref="B35:AF35" ca="1" si="37">B17*B$3</f>
        <v>31.388926087883572</v>
      </c>
      <c r="C35" s="143">
        <f t="shared" ca="1" si="37"/>
        <v>116.99983076327885</v>
      </c>
      <c r="D35" s="143">
        <f t="shared" ca="1" si="37"/>
        <v>308.1110360977018</v>
      </c>
      <c r="E35" s="143">
        <f t="shared" ca="1" si="37"/>
        <v>695.82345940590608</v>
      </c>
      <c r="F35" s="143">
        <f t="shared" ca="1" si="37"/>
        <v>1475.8400865035303</v>
      </c>
      <c r="G35" s="143">
        <f t="shared" ca="1" si="37"/>
        <v>2847.8519148042137</v>
      </c>
      <c r="H35" s="143">
        <f t="shared" ca="1" si="37"/>
        <v>4855.0199188611559</v>
      </c>
      <c r="I35" s="143">
        <f t="shared" ca="1" si="37"/>
        <v>9020.0402930342789</v>
      </c>
      <c r="J35" s="143">
        <f t="shared" ca="1" si="37"/>
        <v>15816.561629496411</v>
      </c>
      <c r="K35" s="143">
        <f t="shared" ca="1" si="37"/>
        <v>24971.415417126205</v>
      </c>
      <c r="L35" s="143">
        <f t="shared" ca="1" si="37"/>
        <v>40171.315444565946</v>
      </c>
      <c r="M35" s="143">
        <f t="shared" ca="1" si="37"/>
        <v>61898.438652339464</v>
      </c>
      <c r="N35" s="143">
        <f t="shared" ca="1" si="37"/>
        <v>91261.840225378313</v>
      </c>
      <c r="O35" s="143">
        <f t="shared" ca="1" si="37"/>
        <v>136415.24677335497</v>
      </c>
      <c r="P35" s="143">
        <f t="shared" ca="1" si="37"/>
        <v>196390.11605765822</v>
      </c>
      <c r="Q35" s="143">
        <f t="shared" ca="1" si="37"/>
        <v>260232.04599024775</v>
      </c>
      <c r="R35" s="143">
        <f t="shared" ca="1" si="37"/>
        <v>335308.56549167016</v>
      </c>
      <c r="S35" s="143">
        <f t="shared" ca="1" si="37"/>
        <v>420958.43632670771</v>
      </c>
      <c r="T35" s="143">
        <f t="shared" ca="1" si="37"/>
        <v>515668.36470687599</v>
      </c>
      <c r="U35" s="143">
        <f t="shared" ca="1" si="37"/>
        <v>617532.95218921255</v>
      </c>
      <c r="V35" s="143">
        <f t="shared" ca="1" si="37"/>
        <v>724382.47282052529</v>
      </c>
      <c r="W35" s="143">
        <f t="shared" ca="1" si="37"/>
        <v>836800.70983649266</v>
      </c>
      <c r="X35" s="143">
        <f t="shared" ca="1" si="37"/>
        <v>954927.35047600116</v>
      </c>
      <c r="Y35" s="143">
        <f t="shared" ca="1" si="37"/>
        <v>1074833.6837929746</v>
      </c>
      <c r="Z35" s="143">
        <f t="shared" ca="1" si="37"/>
        <v>1198300.131845234</v>
      </c>
      <c r="AA35" s="143">
        <f t="shared" ca="1" si="37"/>
        <v>1329004.7883509279</v>
      </c>
      <c r="AB35" s="143">
        <f t="shared" ca="1" si="37"/>
        <v>1461113.7424192941</v>
      </c>
      <c r="AC35" s="143">
        <f t="shared" ca="1" si="37"/>
        <v>1593398.1790051255</v>
      </c>
      <c r="AD35" s="143">
        <f t="shared" ca="1" si="37"/>
        <v>1724794.4068690715</v>
      </c>
      <c r="AE35" s="143">
        <f t="shared" ca="1" si="37"/>
        <v>1854386.8698125018</v>
      </c>
      <c r="AF35" s="143">
        <f t="shared" ca="1" si="37"/>
        <v>1981294.4350238119</v>
      </c>
    </row>
    <row r="37" spans="1:32">
      <c r="A37" s="112" t="s">
        <v>559</v>
      </c>
      <c r="B37" s="142">
        <v>2025</v>
      </c>
      <c r="C37" s="142">
        <v>2026</v>
      </c>
      <c r="D37" s="142">
        <v>2027</v>
      </c>
      <c r="E37" s="142">
        <v>2028</v>
      </c>
      <c r="F37" s="142">
        <v>2029</v>
      </c>
      <c r="G37" s="142">
        <v>2030</v>
      </c>
      <c r="H37" s="142">
        <v>2031</v>
      </c>
      <c r="I37" s="142">
        <v>2032</v>
      </c>
      <c r="J37" s="142">
        <v>2033</v>
      </c>
      <c r="K37" s="142">
        <v>2034</v>
      </c>
      <c r="L37" s="142">
        <v>2035</v>
      </c>
      <c r="M37" s="142">
        <v>2036</v>
      </c>
      <c r="N37" s="142">
        <v>2037</v>
      </c>
      <c r="O37" s="142">
        <v>2038</v>
      </c>
      <c r="P37" s="142">
        <v>2039</v>
      </c>
      <c r="Q37" s="142">
        <v>2040</v>
      </c>
      <c r="R37" s="142">
        <v>2041</v>
      </c>
      <c r="S37" s="142">
        <v>2042</v>
      </c>
      <c r="T37" s="142">
        <v>2043</v>
      </c>
      <c r="U37" s="142">
        <v>2044</v>
      </c>
      <c r="V37" s="142">
        <v>2045</v>
      </c>
      <c r="W37" s="142">
        <v>2046</v>
      </c>
      <c r="X37" s="142">
        <v>2047</v>
      </c>
      <c r="Y37" s="142">
        <v>2048</v>
      </c>
      <c r="Z37" s="142">
        <v>2049</v>
      </c>
      <c r="AA37" s="142">
        <v>2050</v>
      </c>
      <c r="AB37" s="142">
        <v>2051</v>
      </c>
      <c r="AC37" s="142">
        <v>2052</v>
      </c>
      <c r="AD37" s="142">
        <v>2053</v>
      </c>
      <c r="AE37" s="142">
        <v>2054</v>
      </c>
      <c r="AF37" s="142">
        <v>2055</v>
      </c>
    </row>
    <row r="38" spans="1:32">
      <c r="A38" s="112" t="s">
        <v>44</v>
      </c>
      <c r="B38" s="144">
        <f t="shared" ref="B38:B44" si="38">B$4*B11</f>
        <v>0</v>
      </c>
      <c r="C38" s="144">
        <f t="shared" ref="C38:AF38" si="39">C$4*C11</f>
        <v>0</v>
      </c>
      <c r="D38" s="144">
        <f t="shared" si="39"/>
        <v>0</v>
      </c>
      <c r="E38" s="144">
        <f t="shared" si="39"/>
        <v>7.7887500000000021</v>
      </c>
      <c r="F38" s="144">
        <f t="shared" si="39"/>
        <v>22.830062898790249</v>
      </c>
      <c r="G38" s="143">
        <f t="shared" si="39"/>
        <v>48.7941644715102</v>
      </c>
      <c r="H38" s="143">
        <f t="shared" si="39"/>
        <v>94.99116006591278</v>
      </c>
      <c r="I38" s="143">
        <f t="shared" si="39"/>
        <v>170.14419874234102</v>
      </c>
      <c r="J38" s="143">
        <f t="shared" si="39"/>
        <v>300.10816234907435</v>
      </c>
      <c r="K38" s="143">
        <f t="shared" si="39"/>
        <v>501.24418207732862</v>
      </c>
      <c r="L38" s="143">
        <f t="shared" si="39"/>
        <v>807.6831635837741</v>
      </c>
      <c r="M38" s="143">
        <f t="shared" si="39"/>
        <v>1214.8150692894997</v>
      </c>
      <c r="N38" s="143">
        <f t="shared" si="39"/>
        <v>1832.4882843623752</v>
      </c>
      <c r="O38" s="143">
        <f t="shared" si="39"/>
        <v>2601.4650053390405</v>
      </c>
      <c r="P38" s="143">
        <f t="shared" si="39"/>
        <v>3612.1384687988998</v>
      </c>
      <c r="Q38" s="143">
        <f t="shared" si="39"/>
        <v>4914.1345008268372</v>
      </c>
      <c r="R38" s="143">
        <f t="shared" si="39"/>
        <v>6566.0675178861547</v>
      </c>
      <c r="S38" s="143">
        <f t="shared" si="39"/>
        <v>8622.5150313308604</v>
      </c>
      <c r="T38" s="143">
        <f t="shared" si="39"/>
        <v>11131.585303704636</v>
      </c>
      <c r="U38" s="143">
        <f t="shared" si="39"/>
        <v>14134.182801786501</v>
      </c>
      <c r="V38" s="143">
        <f t="shared" si="39"/>
        <v>17687.791722410406</v>
      </c>
      <c r="W38" s="143">
        <f t="shared" si="39"/>
        <v>21834.733139337128</v>
      </c>
      <c r="X38" s="143">
        <f t="shared" si="39"/>
        <v>26624.309073333141</v>
      </c>
      <c r="Y38" s="143">
        <f t="shared" si="39"/>
        <v>31978.645687023636</v>
      </c>
      <c r="Z38" s="143">
        <f t="shared" si="39"/>
        <v>37983.55741729583</v>
      </c>
      <c r="AA38" s="143">
        <f t="shared" si="39"/>
        <v>44901.937522330176</v>
      </c>
      <c r="AB38" s="143">
        <f t="shared" si="39"/>
        <v>52594.460553114543</v>
      </c>
      <c r="AC38" s="143">
        <f t="shared" si="39"/>
        <v>64673.78216424516</v>
      </c>
      <c r="AD38" s="143">
        <f t="shared" si="39"/>
        <v>79070.401612723857</v>
      </c>
      <c r="AE38" s="143">
        <f t="shared" si="39"/>
        <v>95897.799039195394</v>
      </c>
      <c r="AF38" s="143">
        <f t="shared" si="39"/>
        <v>115259.69729565391</v>
      </c>
    </row>
    <row r="39" spans="1:32">
      <c r="A39" s="112" t="s">
        <v>45</v>
      </c>
      <c r="B39" s="144">
        <f t="shared" si="38"/>
        <v>0</v>
      </c>
      <c r="C39" s="144">
        <f t="shared" ref="C39:AF39" si="40">C$4*C12</f>
        <v>0</v>
      </c>
      <c r="D39" s="144">
        <f t="shared" si="40"/>
        <v>0</v>
      </c>
      <c r="E39" s="144">
        <f t="shared" si="40"/>
        <v>3.1155000000000008</v>
      </c>
      <c r="F39" s="144">
        <f t="shared" si="40"/>
        <v>9.1320251595161022</v>
      </c>
      <c r="G39" s="143">
        <f t="shared" si="40"/>
        <v>19.517665788604077</v>
      </c>
      <c r="H39" s="143">
        <f t="shared" si="40"/>
        <v>40.188567720193859</v>
      </c>
      <c r="I39" s="143">
        <f t="shared" si="40"/>
        <v>85.072099371170509</v>
      </c>
      <c r="J39" s="143">
        <f t="shared" si="40"/>
        <v>144.49652261251725</v>
      </c>
      <c r="K39" s="143">
        <f t="shared" si="40"/>
        <v>250.62209103866431</v>
      </c>
      <c r="L39" s="143">
        <f t="shared" si="40"/>
        <v>417.76715357781421</v>
      </c>
      <c r="M39" s="143">
        <f t="shared" si="40"/>
        <v>670.24279684937926</v>
      </c>
      <c r="N39" s="143">
        <f t="shared" si="40"/>
        <v>1099.492970617425</v>
      </c>
      <c r="O39" s="143">
        <f t="shared" si="40"/>
        <v>1647.5945033813925</v>
      </c>
      <c r="P39" s="143">
        <f t="shared" si="40"/>
        <v>2287.6876969059699</v>
      </c>
      <c r="Q39" s="143">
        <f t="shared" si="40"/>
        <v>3276.0896672178919</v>
      </c>
      <c r="R39" s="143">
        <f t="shared" si="40"/>
        <v>4377.3783452574371</v>
      </c>
      <c r="S39" s="143">
        <f t="shared" si="40"/>
        <v>5748.3433542205739</v>
      </c>
      <c r="T39" s="143">
        <f t="shared" si="40"/>
        <v>7421.0568691364242</v>
      </c>
      <c r="U39" s="143">
        <f t="shared" si="40"/>
        <v>9422.788534524334</v>
      </c>
      <c r="V39" s="143">
        <f t="shared" si="40"/>
        <v>11791.861148273603</v>
      </c>
      <c r="W39" s="143">
        <f t="shared" si="40"/>
        <v>14556.488759558088</v>
      </c>
      <c r="X39" s="143">
        <f t="shared" si="40"/>
        <v>17749.539382222094</v>
      </c>
      <c r="Y39" s="143">
        <f t="shared" si="40"/>
        <v>21319.097124682427</v>
      </c>
      <c r="Z39" s="143">
        <f t="shared" si="40"/>
        <v>25322.371611530558</v>
      </c>
      <c r="AA39" s="143">
        <f t="shared" si="40"/>
        <v>29934.625014886791</v>
      </c>
      <c r="AB39" s="143">
        <f t="shared" si="40"/>
        <v>35062.973702076371</v>
      </c>
      <c r="AC39" s="143">
        <f t="shared" si="40"/>
        <v>43115.85477616344</v>
      </c>
      <c r="AD39" s="143">
        <f t="shared" si="40"/>
        <v>52713.60107514925</v>
      </c>
      <c r="AE39" s="143">
        <f t="shared" si="40"/>
        <v>63931.866026130258</v>
      </c>
      <c r="AF39" s="143">
        <f t="shared" si="40"/>
        <v>76839.798197102631</v>
      </c>
    </row>
    <row r="40" spans="1:32">
      <c r="A40" s="112" t="s">
        <v>46</v>
      </c>
      <c r="B40" s="144">
        <f t="shared" si="38"/>
        <v>0</v>
      </c>
      <c r="C40" s="144">
        <f t="shared" ref="C40:AF40" si="41">C$4*C13</f>
        <v>0</v>
      </c>
      <c r="D40" s="144">
        <f t="shared" si="41"/>
        <v>0</v>
      </c>
      <c r="E40" s="144">
        <f t="shared" si="41"/>
        <v>7.7887500000000021</v>
      </c>
      <c r="F40" s="144">
        <f t="shared" si="41"/>
        <v>22.830062898790249</v>
      </c>
      <c r="G40" s="143">
        <f t="shared" si="41"/>
        <v>48.7941644715102</v>
      </c>
      <c r="H40" s="143">
        <f t="shared" si="41"/>
        <v>87.684147753150256</v>
      </c>
      <c r="I40" s="143">
        <f t="shared" si="41"/>
        <v>150.51217581053245</v>
      </c>
      <c r="J40" s="143">
        <f t="shared" si="41"/>
        <v>244.53257672887537</v>
      </c>
      <c r="K40" s="143">
        <f t="shared" si="41"/>
        <v>375.93313655799636</v>
      </c>
      <c r="L40" s="143">
        <f t="shared" si="41"/>
        <v>557.02287143708566</v>
      </c>
      <c r="M40" s="143">
        <f t="shared" si="41"/>
        <v>795.91332125863789</v>
      </c>
      <c r="N40" s="143">
        <f t="shared" si="41"/>
        <v>1099.492970617425</v>
      </c>
      <c r="O40" s="143">
        <f t="shared" si="41"/>
        <v>1474.1635030254565</v>
      </c>
      <c r="P40" s="143">
        <f t="shared" si="41"/>
        <v>1926.4738500260801</v>
      </c>
      <c r="Q40" s="143">
        <f t="shared" si="41"/>
        <v>2457.0672504134186</v>
      </c>
      <c r="R40" s="143">
        <f t="shared" si="41"/>
        <v>3283.0337589430774</v>
      </c>
      <c r="S40" s="143">
        <f t="shared" si="41"/>
        <v>4311.2575156654302</v>
      </c>
      <c r="T40" s="143">
        <f t="shared" si="41"/>
        <v>5565.7926518523182</v>
      </c>
      <c r="U40" s="143">
        <f t="shared" si="41"/>
        <v>7067.0914008932505</v>
      </c>
      <c r="V40" s="143">
        <f t="shared" si="41"/>
        <v>8843.8958612052029</v>
      </c>
      <c r="W40" s="143">
        <f t="shared" si="41"/>
        <v>10917.366569668564</v>
      </c>
      <c r="X40" s="143">
        <f t="shared" si="41"/>
        <v>13312.15453666657</v>
      </c>
      <c r="Y40" s="143">
        <f t="shared" si="41"/>
        <v>15989.322843511818</v>
      </c>
      <c r="Z40" s="143">
        <f t="shared" si="41"/>
        <v>18991.778708647915</v>
      </c>
      <c r="AA40" s="143">
        <f t="shared" si="41"/>
        <v>22450.968761165088</v>
      </c>
      <c r="AB40" s="143">
        <f t="shared" si="41"/>
        <v>26297.230276557271</v>
      </c>
      <c r="AC40" s="143">
        <f t="shared" si="41"/>
        <v>32336.89108212258</v>
      </c>
      <c r="AD40" s="143">
        <f t="shared" si="41"/>
        <v>39535.200806361929</v>
      </c>
      <c r="AE40" s="143">
        <f t="shared" si="41"/>
        <v>47948.899519597697</v>
      </c>
      <c r="AF40" s="143">
        <f t="shared" si="41"/>
        <v>57629.848647826955</v>
      </c>
    </row>
    <row r="41" spans="1:32">
      <c r="A41" s="112" t="s">
        <v>47</v>
      </c>
      <c r="B41" s="144">
        <f t="shared" si="38"/>
        <v>0</v>
      </c>
      <c r="C41" s="144">
        <f t="shared" ref="C41:AF41" si="42">C$4*C14</f>
        <v>0</v>
      </c>
      <c r="D41" s="144">
        <f t="shared" si="42"/>
        <v>0</v>
      </c>
      <c r="E41" s="144">
        <f t="shared" si="42"/>
        <v>4.6732500000000012</v>
      </c>
      <c r="F41" s="144">
        <f t="shared" si="42"/>
        <v>13.698037739274149</v>
      </c>
      <c r="G41" s="143">
        <f t="shared" si="42"/>
        <v>29.276498682906119</v>
      </c>
      <c r="H41" s="143">
        <f t="shared" si="42"/>
        <v>51.149086189337652</v>
      </c>
      <c r="I41" s="143">
        <f t="shared" si="42"/>
        <v>85.072099371170509</v>
      </c>
      <c r="J41" s="143">
        <f t="shared" si="42"/>
        <v>133.38140548847744</v>
      </c>
      <c r="K41" s="143">
        <f t="shared" si="42"/>
        <v>196.91735724466477</v>
      </c>
      <c r="L41" s="143">
        <f t="shared" si="42"/>
        <v>278.51143571854283</v>
      </c>
      <c r="M41" s="143">
        <f t="shared" si="42"/>
        <v>377.01157322777578</v>
      </c>
      <c r="N41" s="143">
        <f t="shared" si="42"/>
        <v>366.49765687247503</v>
      </c>
      <c r="O41" s="143">
        <f t="shared" si="42"/>
        <v>433.57750088984017</v>
      </c>
      <c r="P41" s="143">
        <f t="shared" si="42"/>
        <v>481.61846250652002</v>
      </c>
      <c r="Q41" s="143">
        <f t="shared" si="42"/>
        <v>491.41345008268377</v>
      </c>
      <c r="R41" s="143">
        <f t="shared" si="42"/>
        <v>656.6067517886155</v>
      </c>
      <c r="S41" s="143">
        <f t="shared" si="42"/>
        <v>862.25150313308586</v>
      </c>
      <c r="T41" s="143">
        <f t="shared" si="42"/>
        <v>1113.1585303704635</v>
      </c>
      <c r="U41" s="143">
        <f t="shared" si="42"/>
        <v>1413.4182801786501</v>
      </c>
      <c r="V41" s="143">
        <f t="shared" si="42"/>
        <v>1768.7791722410404</v>
      </c>
      <c r="W41" s="143">
        <f t="shared" si="42"/>
        <v>2183.4733139337127</v>
      </c>
      <c r="X41" s="143">
        <f t="shared" si="42"/>
        <v>2662.4309073333143</v>
      </c>
      <c r="Y41" s="143">
        <f t="shared" si="42"/>
        <v>3197.8645687023636</v>
      </c>
      <c r="Z41" s="143">
        <f t="shared" si="42"/>
        <v>3798.3557417295833</v>
      </c>
      <c r="AA41" s="143">
        <f t="shared" si="42"/>
        <v>4490.1937522330172</v>
      </c>
      <c r="AB41" s="143">
        <f t="shared" si="42"/>
        <v>5259.4460553114541</v>
      </c>
      <c r="AC41" s="143">
        <f t="shared" si="42"/>
        <v>6467.3782164245158</v>
      </c>
      <c r="AD41" s="143">
        <f t="shared" si="42"/>
        <v>7907.0401612723854</v>
      </c>
      <c r="AE41" s="143">
        <f t="shared" si="42"/>
        <v>9589.7799039195379</v>
      </c>
      <c r="AF41" s="143">
        <f t="shared" si="42"/>
        <v>11525.969729565393</v>
      </c>
    </row>
    <row r="42" spans="1:32">
      <c r="A42" s="112" t="s">
        <v>48</v>
      </c>
      <c r="B42" s="144">
        <f t="shared" si="38"/>
        <v>0</v>
      </c>
      <c r="C42" s="144">
        <f t="shared" ref="C42:AF42" si="43">C$4*C15</f>
        <v>0</v>
      </c>
      <c r="D42" s="144">
        <f t="shared" si="43"/>
        <v>0</v>
      </c>
      <c r="E42" s="144">
        <f t="shared" si="43"/>
        <v>0.93465000000000009</v>
      </c>
      <c r="F42" s="144">
        <f t="shared" si="43"/>
        <v>2.7396075478548298</v>
      </c>
      <c r="G42" s="143">
        <f t="shared" si="43"/>
        <v>5.855299736581224</v>
      </c>
      <c r="H42" s="143">
        <f t="shared" si="43"/>
        <v>10.960518469143782</v>
      </c>
      <c r="I42" s="143">
        <f t="shared" si="43"/>
        <v>19.632022931808574</v>
      </c>
      <c r="J42" s="143">
        <f t="shared" si="43"/>
        <v>33.34535137211936</v>
      </c>
      <c r="K42" s="143">
        <f t="shared" si="43"/>
        <v>53.70473379399948</v>
      </c>
      <c r="L42" s="143">
        <f t="shared" si="43"/>
        <v>83.55343071556284</v>
      </c>
      <c r="M42" s="143">
        <f t="shared" si="43"/>
        <v>125.6705244092586</v>
      </c>
      <c r="N42" s="143">
        <f t="shared" si="43"/>
        <v>122.16588562415835</v>
      </c>
      <c r="O42" s="143">
        <f t="shared" si="43"/>
        <v>173.43100035593605</v>
      </c>
      <c r="P42" s="143">
        <f t="shared" si="43"/>
        <v>240.80923125326001</v>
      </c>
      <c r="Q42" s="143">
        <f t="shared" si="43"/>
        <v>327.60896672178922</v>
      </c>
      <c r="R42" s="143">
        <f t="shared" si="43"/>
        <v>437.73783452574366</v>
      </c>
      <c r="S42" s="143">
        <f t="shared" si="43"/>
        <v>574.83433542205739</v>
      </c>
      <c r="T42" s="143">
        <f t="shared" si="43"/>
        <v>742.10568691364244</v>
      </c>
      <c r="U42" s="143">
        <f t="shared" si="43"/>
        <v>942.2788534524334</v>
      </c>
      <c r="V42" s="143">
        <f t="shared" si="43"/>
        <v>1179.1861148273604</v>
      </c>
      <c r="W42" s="143">
        <f t="shared" si="43"/>
        <v>1455.6488759558085</v>
      </c>
      <c r="X42" s="143">
        <f t="shared" si="43"/>
        <v>1774.9539382222094</v>
      </c>
      <c r="Y42" s="143">
        <f t="shared" si="43"/>
        <v>2131.9097124682426</v>
      </c>
      <c r="Z42" s="143">
        <f t="shared" si="43"/>
        <v>2532.2371611530557</v>
      </c>
      <c r="AA42" s="143">
        <f t="shared" si="43"/>
        <v>2993.4625014886783</v>
      </c>
      <c r="AB42" s="143">
        <f t="shared" si="43"/>
        <v>3506.2973702076365</v>
      </c>
      <c r="AC42" s="143">
        <f t="shared" si="43"/>
        <v>4311.5854776163451</v>
      </c>
      <c r="AD42" s="143">
        <f t="shared" si="43"/>
        <v>5271.3601075149245</v>
      </c>
      <c r="AE42" s="143">
        <f t="shared" si="43"/>
        <v>6393.1866026130247</v>
      </c>
      <c r="AF42" s="143">
        <f t="shared" si="43"/>
        <v>7683.9798197102627</v>
      </c>
    </row>
    <row r="43" spans="1:32">
      <c r="A43" s="112" t="s">
        <v>49</v>
      </c>
      <c r="B43" s="144">
        <f t="shared" si="38"/>
        <v>0</v>
      </c>
      <c r="C43" s="144">
        <f t="shared" ref="C43:AF43" si="44">C$4*C16</f>
        <v>0</v>
      </c>
      <c r="D43" s="144">
        <f t="shared" si="44"/>
        <v>0</v>
      </c>
      <c r="E43" s="144">
        <f t="shared" si="44"/>
        <v>0.3115500000000001</v>
      </c>
      <c r="F43" s="144">
        <f t="shared" si="44"/>
        <v>0.91320251595160995</v>
      </c>
      <c r="G43" s="143">
        <f t="shared" si="44"/>
        <v>1.9517665788604079</v>
      </c>
      <c r="H43" s="143">
        <f t="shared" si="44"/>
        <v>7.3070123127625211</v>
      </c>
      <c r="I43" s="143">
        <f t="shared" si="44"/>
        <v>19.632022931808574</v>
      </c>
      <c r="J43" s="143">
        <f t="shared" si="44"/>
        <v>44.460468496159166</v>
      </c>
      <c r="K43" s="143">
        <f t="shared" si="44"/>
        <v>89.50788965666581</v>
      </c>
      <c r="L43" s="143">
        <f t="shared" si="44"/>
        <v>139.25571785927141</v>
      </c>
      <c r="M43" s="143">
        <f t="shared" si="44"/>
        <v>251.34104881851721</v>
      </c>
      <c r="N43" s="143">
        <f t="shared" si="44"/>
        <v>488.6635424966334</v>
      </c>
      <c r="O43" s="143">
        <f t="shared" si="44"/>
        <v>693.7240014237442</v>
      </c>
      <c r="P43" s="143">
        <f t="shared" si="44"/>
        <v>1083.64154063967</v>
      </c>
      <c r="Q43" s="143">
        <f t="shared" si="44"/>
        <v>1638.044833608946</v>
      </c>
      <c r="R43" s="143">
        <f t="shared" si="44"/>
        <v>2188.6891726287186</v>
      </c>
      <c r="S43" s="143">
        <f t="shared" si="44"/>
        <v>2874.171677110287</v>
      </c>
      <c r="T43" s="143">
        <f t="shared" si="44"/>
        <v>3710.5284345682121</v>
      </c>
      <c r="U43" s="143">
        <f t="shared" si="44"/>
        <v>4711.394267262167</v>
      </c>
      <c r="V43" s="143">
        <f t="shared" si="44"/>
        <v>5895.9305741368016</v>
      </c>
      <c r="W43" s="143">
        <f t="shared" si="44"/>
        <v>7278.2443797790438</v>
      </c>
      <c r="X43" s="143">
        <f t="shared" si="44"/>
        <v>8874.769691111047</v>
      </c>
      <c r="Y43" s="143">
        <f t="shared" si="44"/>
        <v>10659.548562341213</v>
      </c>
      <c r="Z43" s="143">
        <f t="shared" si="44"/>
        <v>12661.185805765279</v>
      </c>
      <c r="AA43" s="143">
        <f t="shared" si="44"/>
        <v>14967.312507443396</v>
      </c>
      <c r="AB43" s="143">
        <f t="shared" si="44"/>
        <v>17531.486851038186</v>
      </c>
      <c r="AC43" s="143">
        <f t="shared" si="44"/>
        <v>21557.92738808172</v>
      </c>
      <c r="AD43" s="143">
        <f t="shared" si="44"/>
        <v>26356.800537574625</v>
      </c>
      <c r="AE43" s="143">
        <f t="shared" si="44"/>
        <v>31965.933013065129</v>
      </c>
      <c r="AF43" s="143">
        <f t="shared" si="44"/>
        <v>38419.899098551316</v>
      </c>
    </row>
    <row r="44" spans="1:32">
      <c r="A44" s="112" t="s">
        <v>50</v>
      </c>
      <c r="B44" s="144">
        <f t="shared" si="38"/>
        <v>0</v>
      </c>
      <c r="C44" s="144">
        <f t="shared" ref="C44:AF44" si="45">C$4*C17</f>
        <v>0</v>
      </c>
      <c r="D44" s="144">
        <f t="shared" si="45"/>
        <v>0</v>
      </c>
      <c r="E44" s="144">
        <f t="shared" si="45"/>
        <v>6.5425500000000012</v>
      </c>
      <c r="F44" s="144">
        <f t="shared" si="45"/>
        <v>19.177252834983808</v>
      </c>
      <c r="G44" s="143">
        <f t="shared" si="45"/>
        <v>40.987098156068569</v>
      </c>
      <c r="H44" s="143">
        <f t="shared" si="45"/>
        <v>73.070123127625209</v>
      </c>
      <c r="I44" s="143">
        <f t="shared" si="45"/>
        <v>124.33614523478767</v>
      </c>
      <c r="J44" s="143">
        <f t="shared" si="45"/>
        <v>211.18722535675599</v>
      </c>
      <c r="K44" s="143">
        <f t="shared" si="45"/>
        <v>322.22840276399688</v>
      </c>
      <c r="L44" s="143">
        <f t="shared" si="45"/>
        <v>501.32058429337712</v>
      </c>
      <c r="M44" s="143">
        <f t="shared" si="45"/>
        <v>754.02314645555157</v>
      </c>
      <c r="N44" s="143">
        <f t="shared" si="45"/>
        <v>1099.492970617425</v>
      </c>
      <c r="O44" s="143">
        <f t="shared" si="45"/>
        <v>1647.5945033813925</v>
      </c>
      <c r="P44" s="143">
        <f t="shared" si="45"/>
        <v>2408.0923125326003</v>
      </c>
      <c r="Q44" s="143">
        <f t="shared" si="45"/>
        <v>3276.0896672178919</v>
      </c>
      <c r="R44" s="143">
        <f t="shared" si="45"/>
        <v>4377.3783452574371</v>
      </c>
      <c r="S44" s="143">
        <f t="shared" si="45"/>
        <v>5748.3433542205739</v>
      </c>
      <c r="T44" s="143">
        <f t="shared" si="45"/>
        <v>7421.0568691364242</v>
      </c>
      <c r="U44" s="143">
        <f t="shared" si="45"/>
        <v>9422.788534524334</v>
      </c>
      <c r="V44" s="143">
        <f t="shared" si="45"/>
        <v>11791.861148273603</v>
      </c>
      <c r="W44" s="143">
        <f t="shared" si="45"/>
        <v>14556.488759558088</v>
      </c>
      <c r="X44" s="143">
        <f t="shared" si="45"/>
        <v>17749.539382222094</v>
      </c>
      <c r="Y44" s="143">
        <f t="shared" si="45"/>
        <v>21319.097124682427</v>
      </c>
      <c r="Z44" s="143">
        <f t="shared" si="45"/>
        <v>25322.371611530558</v>
      </c>
      <c r="AA44" s="143">
        <f t="shared" si="45"/>
        <v>29934.625014886791</v>
      </c>
      <c r="AB44" s="143">
        <f t="shared" si="45"/>
        <v>35062.973702076371</v>
      </c>
      <c r="AC44" s="143">
        <f t="shared" si="45"/>
        <v>43115.85477616344</v>
      </c>
      <c r="AD44" s="143">
        <f t="shared" si="45"/>
        <v>52713.60107514925</v>
      </c>
      <c r="AE44" s="143">
        <f t="shared" si="45"/>
        <v>63931.866026130258</v>
      </c>
      <c r="AF44" s="143">
        <f t="shared" si="45"/>
        <v>76839.798197102631</v>
      </c>
    </row>
    <row r="46" spans="1:32">
      <c r="A46" s="112" t="s">
        <v>560</v>
      </c>
      <c r="B46" s="142">
        <v>2025</v>
      </c>
      <c r="C46" s="142">
        <v>2026</v>
      </c>
      <c r="D46" s="142">
        <v>2027</v>
      </c>
      <c r="E46" s="142">
        <v>2028</v>
      </c>
      <c r="F46" s="142">
        <v>2029</v>
      </c>
      <c r="G46" s="142">
        <v>2030</v>
      </c>
      <c r="H46" s="142">
        <v>2031</v>
      </c>
      <c r="I46" s="142">
        <v>2032</v>
      </c>
      <c r="J46" s="142">
        <v>2033</v>
      </c>
      <c r="K46" s="142">
        <v>2034</v>
      </c>
      <c r="L46" s="142">
        <v>2035</v>
      </c>
      <c r="M46" s="142">
        <v>2036</v>
      </c>
      <c r="N46" s="142">
        <v>2037</v>
      </c>
      <c r="O46" s="142">
        <v>2038</v>
      </c>
      <c r="P46" s="142">
        <v>2039</v>
      </c>
      <c r="Q46" s="142">
        <v>2040</v>
      </c>
      <c r="R46" s="142">
        <v>2041</v>
      </c>
      <c r="S46" s="142">
        <v>2042</v>
      </c>
      <c r="T46" s="142">
        <v>2043</v>
      </c>
      <c r="U46" s="142">
        <v>2044</v>
      </c>
      <c r="V46" s="142">
        <v>2045</v>
      </c>
      <c r="W46" s="142">
        <v>2046</v>
      </c>
      <c r="X46" s="142">
        <v>2047</v>
      </c>
      <c r="Y46" s="142">
        <v>2048</v>
      </c>
      <c r="Z46" s="142">
        <v>2049</v>
      </c>
      <c r="AA46" s="142">
        <v>2050</v>
      </c>
      <c r="AB46" s="142">
        <v>2051</v>
      </c>
      <c r="AC46" s="142">
        <v>2052</v>
      </c>
      <c r="AD46" s="142">
        <v>2053</v>
      </c>
      <c r="AE46" s="142">
        <v>2054</v>
      </c>
      <c r="AF46" s="142">
        <v>2055</v>
      </c>
    </row>
    <row r="47" spans="1:32">
      <c r="A47" s="112" t="s">
        <v>44</v>
      </c>
      <c r="B47" s="143">
        <f t="shared" ref="B47:AF47" si="46">B$5*B11</f>
        <v>0</v>
      </c>
      <c r="C47" s="143">
        <f t="shared" si="46"/>
        <v>0</v>
      </c>
      <c r="D47" s="143">
        <f t="shared" si="46"/>
        <v>0</v>
      </c>
      <c r="E47" s="143">
        <f t="shared" si="46"/>
        <v>0</v>
      </c>
      <c r="F47" s="143">
        <f t="shared" si="46"/>
        <v>0</v>
      </c>
      <c r="G47" s="143">
        <f t="shared" si="46"/>
        <v>8.7487500000000011</v>
      </c>
      <c r="H47" s="143">
        <f t="shared" si="46"/>
        <v>26.637809373412548</v>
      </c>
      <c r="I47" s="143">
        <f t="shared" si="46"/>
        <v>60.940275155689278</v>
      </c>
      <c r="J47" s="143">
        <f t="shared" si="46"/>
        <v>126.93443127541906</v>
      </c>
      <c r="K47" s="143">
        <f t="shared" si="46"/>
        <v>240.54142966148098</v>
      </c>
      <c r="L47" s="143">
        <f t="shared" si="46"/>
        <v>430.25275587373386</v>
      </c>
      <c r="M47" s="143">
        <f t="shared" si="46"/>
        <v>706.616242477328</v>
      </c>
      <c r="N47" s="143">
        <f t="shared" si="46"/>
        <v>1148.9458123054596</v>
      </c>
      <c r="O47" s="143">
        <f t="shared" si="46"/>
        <v>1740.0858034411424</v>
      </c>
      <c r="P47" s="143">
        <f t="shared" si="46"/>
        <v>2555.8925510851986</v>
      </c>
      <c r="Q47" s="143">
        <f t="shared" si="46"/>
        <v>3651.2635822564885</v>
      </c>
      <c r="R47" s="143">
        <f t="shared" si="46"/>
        <v>5090.4362265132067</v>
      </c>
      <c r="S47" s="143">
        <f t="shared" si="46"/>
        <v>6935.3178064854264</v>
      </c>
      <c r="T47" s="143">
        <f t="shared" si="46"/>
        <v>9241.9542151844089</v>
      </c>
      <c r="U47" s="143">
        <f t="shared" si="46"/>
        <v>12067.471734524248</v>
      </c>
      <c r="V47" s="143">
        <f t="shared" si="46"/>
        <v>15474.100071303814</v>
      </c>
      <c r="W47" s="143">
        <f t="shared" si="46"/>
        <v>19502.612270932404</v>
      </c>
      <c r="X47" s="143">
        <f t="shared" si="46"/>
        <v>24212.461885204732</v>
      </c>
      <c r="Y47" s="143">
        <f t="shared" si="46"/>
        <v>29534.78145477995</v>
      </c>
      <c r="Z47" s="143">
        <f t="shared" si="46"/>
        <v>35556.076356574238</v>
      </c>
      <c r="AA47" s="143">
        <f t="shared" si="46"/>
        <v>42537.338705792572</v>
      </c>
      <c r="AB47" s="143">
        <f t="shared" si="46"/>
        <v>50340.982608343744</v>
      </c>
      <c r="AC47" s="143">
        <f t="shared" si="46"/>
        <v>59288.080310787336</v>
      </c>
      <c r="AD47" s="143">
        <f t="shared" si="46"/>
        <v>71161.896168478095</v>
      </c>
      <c r="AE47" s="143">
        <f t="shared" si="46"/>
        <v>86125.374549639499</v>
      </c>
      <c r="AF47" s="143">
        <f t="shared" si="46"/>
        <v>104331.96908392219</v>
      </c>
    </row>
    <row r="48" spans="1:32">
      <c r="A48" s="112" t="s">
        <v>45</v>
      </c>
      <c r="B48" s="143">
        <f t="shared" ref="B48:AF48" si="47">B$5*B12</f>
        <v>0</v>
      </c>
      <c r="C48" s="143">
        <f t="shared" si="47"/>
        <v>0</v>
      </c>
      <c r="D48" s="143">
        <f t="shared" si="47"/>
        <v>0</v>
      </c>
      <c r="E48" s="143">
        <f t="shared" si="47"/>
        <v>0</v>
      </c>
      <c r="F48" s="143">
        <f t="shared" si="47"/>
        <v>0</v>
      </c>
      <c r="G48" s="143">
        <f t="shared" si="47"/>
        <v>3.4995000000000003</v>
      </c>
      <c r="H48" s="143">
        <f t="shared" si="47"/>
        <v>11.269842427213</v>
      </c>
      <c r="I48" s="143">
        <f t="shared" si="47"/>
        <v>30.470137577844639</v>
      </c>
      <c r="J48" s="143">
        <f t="shared" si="47"/>
        <v>61.116578021498064</v>
      </c>
      <c r="K48" s="143">
        <f t="shared" si="47"/>
        <v>120.27071483074049</v>
      </c>
      <c r="L48" s="143">
        <f t="shared" si="47"/>
        <v>222.54452890020715</v>
      </c>
      <c r="M48" s="143">
        <f t="shared" si="47"/>
        <v>389.85723722887064</v>
      </c>
      <c r="N48" s="143">
        <f t="shared" si="47"/>
        <v>689.36748738327583</v>
      </c>
      <c r="O48" s="143">
        <f t="shared" si="47"/>
        <v>1102.0543421793902</v>
      </c>
      <c r="P48" s="143">
        <f t="shared" si="47"/>
        <v>1618.731949020626</v>
      </c>
      <c r="Q48" s="143">
        <f t="shared" si="47"/>
        <v>2434.1757215043258</v>
      </c>
      <c r="R48" s="143">
        <f t="shared" si="47"/>
        <v>3393.6241510088048</v>
      </c>
      <c r="S48" s="143">
        <f t="shared" si="47"/>
        <v>4623.5452043236173</v>
      </c>
      <c r="T48" s="143">
        <f t="shared" si="47"/>
        <v>6161.3028101229402</v>
      </c>
      <c r="U48" s="143">
        <f t="shared" si="47"/>
        <v>8044.9811563494995</v>
      </c>
      <c r="V48" s="143">
        <f t="shared" si="47"/>
        <v>10316.066714202541</v>
      </c>
      <c r="W48" s="143">
        <f t="shared" si="47"/>
        <v>13001.741513954938</v>
      </c>
      <c r="X48" s="143">
        <f t="shared" si="47"/>
        <v>16141.641256803154</v>
      </c>
      <c r="Y48" s="143">
        <f t="shared" si="47"/>
        <v>19689.854303186636</v>
      </c>
      <c r="Z48" s="143">
        <f t="shared" si="47"/>
        <v>23704.050904382832</v>
      </c>
      <c r="AA48" s="143">
        <f t="shared" si="47"/>
        <v>28358.225803861722</v>
      </c>
      <c r="AB48" s="143">
        <f t="shared" si="47"/>
        <v>33560.655072229172</v>
      </c>
      <c r="AC48" s="143">
        <f t="shared" si="47"/>
        <v>39525.386873858224</v>
      </c>
      <c r="AD48" s="143">
        <f t="shared" si="47"/>
        <v>47441.264112318742</v>
      </c>
      <c r="AE48" s="143">
        <f t="shared" si="47"/>
        <v>57416.916366426325</v>
      </c>
      <c r="AF48" s="143">
        <f t="shared" si="47"/>
        <v>69554.646055948149</v>
      </c>
    </row>
    <row r="49" spans="1:32">
      <c r="A49" s="112" t="s">
        <v>46</v>
      </c>
      <c r="B49" s="143">
        <f t="shared" ref="B49:AF49" si="48">B$5*B13</f>
        <v>0</v>
      </c>
      <c r="C49" s="143">
        <f t="shared" si="48"/>
        <v>0</v>
      </c>
      <c r="D49" s="143">
        <f t="shared" si="48"/>
        <v>0</v>
      </c>
      <c r="E49" s="143">
        <f t="shared" si="48"/>
        <v>0</v>
      </c>
      <c r="F49" s="143">
        <f t="shared" si="48"/>
        <v>0</v>
      </c>
      <c r="G49" s="143">
        <f t="shared" si="48"/>
        <v>8.7487500000000011</v>
      </c>
      <c r="H49" s="143">
        <f t="shared" si="48"/>
        <v>24.588747113919275</v>
      </c>
      <c r="I49" s="143">
        <f t="shared" si="48"/>
        <v>53.908704945417441</v>
      </c>
      <c r="J49" s="143">
        <f t="shared" si="48"/>
        <v>103.42805511330441</v>
      </c>
      <c r="K49" s="143">
        <f t="shared" si="48"/>
        <v>180.40607224611068</v>
      </c>
      <c r="L49" s="143">
        <f t="shared" si="48"/>
        <v>296.7260385336096</v>
      </c>
      <c r="M49" s="143">
        <f t="shared" si="48"/>
        <v>462.95546920928393</v>
      </c>
      <c r="N49" s="143">
        <f t="shared" si="48"/>
        <v>689.36748738327583</v>
      </c>
      <c r="O49" s="143">
        <f t="shared" si="48"/>
        <v>986.04862194998077</v>
      </c>
      <c r="P49" s="143">
        <f t="shared" si="48"/>
        <v>1363.1426939121061</v>
      </c>
      <c r="Q49" s="143">
        <f t="shared" si="48"/>
        <v>1825.6317911282442</v>
      </c>
      <c r="R49" s="143">
        <f t="shared" si="48"/>
        <v>2545.2181132566034</v>
      </c>
      <c r="S49" s="143">
        <f t="shared" si="48"/>
        <v>3467.6589032427132</v>
      </c>
      <c r="T49" s="143">
        <f t="shared" si="48"/>
        <v>4620.9771075922044</v>
      </c>
      <c r="U49" s="143">
        <f t="shared" si="48"/>
        <v>6033.735867262124</v>
      </c>
      <c r="V49" s="143">
        <f t="shared" si="48"/>
        <v>7737.0500356519069</v>
      </c>
      <c r="W49" s="143">
        <f t="shared" si="48"/>
        <v>9751.3061354662022</v>
      </c>
      <c r="X49" s="143">
        <f t="shared" si="48"/>
        <v>12106.230942602366</v>
      </c>
      <c r="Y49" s="143">
        <f t="shared" si="48"/>
        <v>14767.390727389975</v>
      </c>
      <c r="Z49" s="143">
        <f t="shared" si="48"/>
        <v>17778.038178287119</v>
      </c>
      <c r="AA49" s="143">
        <f t="shared" si="48"/>
        <v>21268.669352896286</v>
      </c>
      <c r="AB49" s="143">
        <f t="shared" si="48"/>
        <v>25170.491304171872</v>
      </c>
      <c r="AC49" s="143">
        <f t="shared" si="48"/>
        <v>29644.040155393668</v>
      </c>
      <c r="AD49" s="143">
        <f t="shared" si="48"/>
        <v>35580.948084239048</v>
      </c>
      <c r="AE49" s="143">
        <f t="shared" si="48"/>
        <v>43062.687274819749</v>
      </c>
      <c r="AF49" s="143">
        <f t="shared" si="48"/>
        <v>52165.984541961094</v>
      </c>
    </row>
    <row r="50" spans="1:32">
      <c r="A50" s="112" t="s">
        <v>47</v>
      </c>
      <c r="B50" s="143">
        <f t="shared" ref="B50:AF50" si="49">B$5*B14</f>
        <v>0</v>
      </c>
      <c r="C50" s="143">
        <f t="shared" si="49"/>
        <v>0</v>
      </c>
      <c r="D50" s="143">
        <f t="shared" si="49"/>
        <v>0</v>
      </c>
      <c r="E50" s="143">
        <f t="shared" si="49"/>
        <v>0</v>
      </c>
      <c r="F50" s="143">
        <f t="shared" si="49"/>
        <v>0</v>
      </c>
      <c r="G50" s="143">
        <f t="shared" si="49"/>
        <v>5.2492500000000009</v>
      </c>
      <c r="H50" s="143">
        <f t="shared" si="49"/>
        <v>14.34343581645291</v>
      </c>
      <c r="I50" s="143">
        <f t="shared" si="49"/>
        <v>30.470137577844639</v>
      </c>
      <c r="J50" s="143">
        <f t="shared" si="49"/>
        <v>56.415302789075128</v>
      </c>
      <c r="K50" s="143">
        <f t="shared" si="49"/>
        <v>94.498418795581799</v>
      </c>
      <c r="L50" s="143">
        <f t="shared" si="49"/>
        <v>148.3630192668048</v>
      </c>
      <c r="M50" s="143">
        <f t="shared" si="49"/>
        <v>219.29469594123972</v>
      </c>
      <c r="N50" s="143">
        <f t="shared" si="49"/>
        <v>229.78916246109193</v>
      </c>
      <c r="O50" s="143">
        <f t="shared" si="49"/>
        <v>290.01430057352371</v>
      </c>
      <c r="P50" s="143">
        <f t="shared" si="49"/>
        <v>340.78567347802652</v>
      </c>
      <c r="Q50" s="143">
        <f t="shared" si="49"/>
        <v>365.12635822564886</v>
      </c>
      <c r="R50" s="143">
        <f t="shared" si="49"/>
        <v>509.04362265132067</v>
      </c>
      <c r="S50" s="143">
        <f t="shared" si="49"/>
        <v>693.53178064854251</v>
      </c>
      <c r="T50" s="143">
        <f t="shared" si="49"/>
        <v>924.19542151844087</v>
      </c>
      <c r="U50" s="143">
        <f t="shared" si="49"/>
        <v>1206.7471734524249</v>
      </c>
      <c r="V50" s="143">
        <f t="shared" si="49"/>
        <v>1547.4100071303812</v>
      </c>
      <c r="W50" s="143">
        <f t="shared" si="49"/>
        <v>1950.2612270932404</v>
      </c>
      <c r="X50" s="143">
        <f t="shared" si="49"/>
        <v>2421.2461885204734</v>
      </c>
      <c r="Y50" s="143">
        <f t="shared" si="49"/>
        <v>2953.478145477995</v>
      </c>
      <c r="Z50" s="143">
        <f t="shared" si="49"/>
        <v>3555.6076356574245</v>
      </c>
      <c r="AA50" s="143">
        <f t="shared" si="49"/>
        <v>4253.7338705792572</v>
      </c>
      <c r="AB50" s="143">
        <f t="shared" si="49"/>
        <v>5034.0982608343747</v>
      </c>
      <c r="AC50" s="143">
        <f t="shared" si="49"/>
        <v>5928.8080310787336</v>
      </c>
      <c r="AD50" s="143">
        <f t="shared" si="49"/>
        <v>7116.1896168478097</v>
      </c>
      <c r="AE50" s="143">
        <f t="shared" si="49"/>
        <v>8612.5374549639491</v>
      </c>
      <c r="AF50" s="143">
        <f t="shared" si="49"/>
        <v>10433.196908392221</v>
      </c>
    </row>
    <row r="51" spans="1:32">
      <c r="A51" s="112" t="s">
        <v>48</v>
      </c>
      <c r="B51" s="143">
        <f t="shared" ref="B51:AF51" si="50">B$5*B15</f>
        <v>0</v>
      </c>
      <c r="C51" s="143">
        <f t="shared" si="50"/>
        <v>0</v>
      </c>
      <c r="D51" s="143">
        <f t="shared" si="50"/>
        <v>0</v>
      </c>
      <c r="E51" s="143">
        <f t="shared" si="50"/>
        <v>0</v>
      </c>
      <c r="F51" s="143">
        <f t="shared" si="50"/>
        <v>0</v>
      </c>
      <c r="G51" s="143">
        <f t="shared" si="50"/>
        <v>1.0498500000000002</v>
      </c>
      <c r="H51" s="143">
        <f t="shared" si="50"/>
        <v>3.0735933892399094</v>
      </c>
      <c r="I51" s="143">
        <f t="shared" si="50"/>
        <v>7.0315702102718385</v>
      </c>
      <c r="J51" s="143">
        <f t="shared" si="50"/>
        <v>14.103825697268782</v>
      </c>
      <c r="K51" s="143">
        <f t="shared" si="50"/>
        <v>25.772296035158668</v>
      </c>
      <c r="L51" s="143">
        <f t="shared" si="50"/>
        <v>44.508905780041431</v>
      </c>
      <c r="M51" s="143">
        <f t="shared" si="50"/>
        <v>73.098231980413246</v>
      </c>
      <c r="N51" s="143">
        <f t="shared" si="50"/>
        <v>76.596387487030654</v>
      </c>
      <c r="O51" s="143">
        <f t="shared" si="50"/>
        <v>116.00572022940949</v>
      </c>
      <c r="P51" s="143">
        <f t="shared" si="50"/>
        <v>170.39283673901326</v>
      </c>
      <c r="Q51" s="143">
        <f t="shared" si="50"/>
        <v>243.41757215043256</v>
      </c>
      <c r="R51" s="143">
        <f t="shared" si="50"/>
        <v>339.36241510088047</v>
      </c>
      <c r="S51" s="143">
        <f t="shared" si="50"/>
        <v>462.35452043236177</v>
      </c>
      <c r="T51" s="143">
        <f t="shared" si="50"/>
        <v>616.13028101229406</v>
      </c>
      <c r="U51" s="143">
        <f t="shared" si="50"/>
        <v>804.49811563494995</v>
      </c>
      <c r="V51" s="143">
        <f t="shared" si="50"/>
        <v>1031.6066714202543</v>
      </c>
      <c r="W51" s="143">
        <f t="shared" si="50"/>
        <v>1300.1741513954937</v>
      </c>
      <c r="X51" s="143">
        <f t="shared" si="50"/>
        <v>1614.1641256803155</v>
      </c>
      <c r="Y51" s="143">
        <f t="shared" si="50"/>
        <v>1968.9854303186635</v>
      </c>
      <c r="Z51" s="143">
        <f t="shared" si="50"/>
        <v>2370.405090438283</v>
      </c>
      <c r="AA51" s="143">
        <f t="shared" si="50"/>
        <v>2835.8225803861715</v>
      </c>
      <c r="AB51" s="143">
        <f t="shared" si="50"/>
        <v>3356.0655072229165</v>
      </c>
      <c r="AC51" s="143">
        <f t="shared" si="50"/>
        <v>3952.5386873858233</v>
      </c>
      <c r="AD51" s="143">
        <f t="shared" si="50"/>
        <v>4744.126411231874</v>
      </c>
      <c r="AE51" s="143">
        <f t="shared" si="50"/>
        <v>5741.6916366426321</v>
      </c>
      <c r="AF51" s="143">
        <f t="shared" si="50"/>
        <v>6955.4646055948142</v>
      </c>
    </row>
    <row r="52" spans="1:32">
      <c r="A52" s="112" t="s">
        <v>49</v>
      </c>
      <c r="B52" s="143">
        <f t="shared" ref="B52:AF52" si="51">B$5*B16</f>
        <v>0</v>
      </c>
      <c r="C52" s="143">
        <f t="shared" si="51"/>
        <v>0</v>
      </c>
      <c r="D52" s="143">
        <f t="shared" si="51"/>
        <v>0</v>
      </c>
      <c r="E52" s="143">
        <f t="shared" si="51"/>
        <v>0</v>
      </c>
      <c r="F52" s="143">
        <f t="shared" si="51"/>
        <v>0</v>
      </c>
      <c r="G52" s="143">
        <f t="shared" si="51"/>
        <v>0.34995000000000004</v>
      </c>
      <c r="H52" s="143">
        <f t="shared" si="51"/>
        <v>2.0490622594932728</v>
      </c>
      <c r="I52" s="143">
        <f t="shared" si="51"/>
        <v>7.0315702102718385</v>
      </c>
      <c r="J52" s="143">
        <f t="shared" si="51"/>
        <v>18.805100929691715</v>
      </c>
      <c r="K52" s="143">
        <f t="shared" si="51"/>
        <v>42.953826725264456</v>
      </c>
      <c r="L52" s="143">
        <f t="shared" si="51"/>
        <v>74.181509633402399</v>
      </c>
      <c r="M52" s="143">
        <f t="shared" si="51"/>
        <v>146.19646396082649</v>
      </c>
      <c r="N52" s="143">
        <f t="shared" si="51"/>
        <v>306.38554994812262</v>
      </c>
      <c r="O52" s="143">
        <f t="shared" si="51"/>
        <v>464.02288091763796</v>
      </c>
      <c r="P52" s="143">
        <f t="shared" si="51"/>
        <v>766.76776532555959</v>
      </c>
      <c r="Q52" s="143">
        <f t="shared" si="51"/>
        <v>1217.0878607521629</v>
      </c>
      <c r="R52" s="143">
        <f t="shared" si="51"/>
        <v>1696.8120755044024</v>
      </c>
      <c r="S52" s="143">
        <f t="shared" si="51"/>
        <v>2311.7726021618087</v>
      </c>
      <c r="T52" s="143">
        <f t="shared" si="51"/>
        <v>3080.6514050614701</v>
      </c>
      <c r="U52" s="143">
        <f t="shared" si="51"/>
        <v>4022.4905781747498</v>
      </c>
      <c r="V52" s="143">
        <f t="shared" si="51"/>
        <v>5158.0333571012707</v>
      </c>
      <c r="W52" s="143">
        <f t="shared" si="51"/>
        <v>6500.8707569774688</v>
      </c>
      <c r="X52" s="143">
        <f t="shared" si="51"/>
        <v>8070.8206284015769</v>
      </c>
      <c r="Y52" s="143">
        <f t="shared" si="51"/>
        <v>9844.9271515933178</v>
      </c>
      <c r="Z52" s="143">
        <f t="shared" si="51"/>
        <v>11852.025452191416</v>
      </c>
      <c r="AA52" s="143">
        <f t="shared" si="51"/>
        <v>14179.112901930861</v>
      </c>
      <c r="AB52" s="143">
        <f t="shared" si="51"/>
        <v>16780.327536114586</v>
      </c>
      <c r="AC52" s="143">
        <f t="shared" si="51"/>
        <v>19762.693436929112</v>
      </c>
      <c r="AD52" s="143">
        <f t="shared" si="51"/>
        <v>23720.632056159371</v>
      </c>
      <c r="AE52" s="143">
        <f t="shared" si="51"/>
        <v>28708.458183213163</v>
      </c>
      <c r="AF52" s="143">
        <f t="shared" si="51"/>
        <v>34777.323027974075</v>
      </c>
    </row>
    <row r="53" spans="1:32">
      <c r="A53" s="112" t="s">
        <v>50</v>
      </c>
      <c r="B53" s="143">
        <f t="shared" ref="B53:AF53" si="52">B$5*B17</f>
        <v>0</v>
      </c>
      <c r="C53" s="143">
        <f t="shared" si="52"/>
        <v>0</v>
      </c>
      <c r="D53" s="143">
        <f t="shared" si="52"/>
        <v>0</v>
      </c>
      <c r="E53" s="143">
        <f t="shared" si="52"/>
        <v>0</v>
      </c>
      <c r="F53" s="143">
        <f t="shared" si="52"/>
        <v>0</v>
      </c>
      <c r="G53" s="143">
        <f t="shared" si="52"/>
        <v>7.3489500000000003</v>
      </c>
      <c r="H53" s="143">
        <f t="shared" si="52"/>
        <v>20.490622594932731</v>
      </c>
      <c r="I53" s="143">
        <f t="shared" si="52"/>
        <v>44.533277998388321</v>
      </c>
      <c r="J53" s="143">
        <f t="shared" si="52"/>
        <v>89.324229416035635</v>
      </c>
      <c r="K53" s="143">
        <f t="shared" si="52"/>
        <v>154.63377621095202</v>
      </c>
      <c r="L53" s="143">
        <f t="shared" si="52"/>
        <v>267.05343468024864</v>
      </c>
      <c r="M53" s="143">
        <f t="shared" si="52"/>
        <v>438.58939188247945</v>
      </c>
      <c r="N53" s="143">
        <f t="shared" si="52"/>
        <v>689.36748738327583</v>
      </c>
      <c r="O53" s="143">
        <f t="shared" si="52"/>
        <v>1102.0543421793902</v>
      </c>
      <c r="P53" s="143">
        <f t="shared" si="52"/>
        <v>1703.9283673901327</v>
      </c>
      <c r="Q53" s="143">
        <f t="shared" si="52"/>
        <v>2434.1757215043258</v>
      </c>
      <c r="R53" s="143">
        <f t="shared" si="52"/>
        <v>3393.6241510088048</v>
      </c>
      <c r="S53" s="143">
        <f t="shared" si="52"/>
        <v>4623.5452043236173</v>
      </c>
      <c r="T53" s="143">
        <f t="shared" si="52"/>
        <v>6161.3028101229402</v>
      </c>
      <c r="U53" s="143">
        <f t="shared" si="52"/>
        <v>8044.9811563494995</v>
      </c>
      <c r="V53" s="143">
        <f t="shared" si="52"/>
        <v>10316.066714202541</v>
      </c>
      <c r="W53" s="143">
        <f t="shared" si="52"/>
        <v>13001.741513954938</v>
      </c>
      <c r="X53" s="143">
        <f t="shared" si="52"/>
        <v>16141.641256803154</v>
      </c>
      <c r="Y53" s="143">
        <f t="shared" si="52"/>
        <v>19689.854303186636</v>
      </c>
      <c r="Z53" s="143">
        <f t="shared" si="52"/>
        <v>23704.050904382832</v>
      </c>
      <c r="AA53" s="143">
        <f t="shared" si="52"/>
        <v>28358.225803861722</v>
      </c>
      <c r="AB53" s="143">
        <f t="shared" si="52"/>
        <v>33560.655072229172</v>
      </c>
      <c r="AC53" s="143">
        <f t="shared" si="52"/>
        <v>39525.386873858224</v>
      </c>
      <c r="AD53" s="143">
        <f t="shared" si="52"/>
        <v>47441.264112318742</v>
      </c>
      <c r="AE53" s="143">
        <f t="shared" si="52"/>
        <v>57416.916366426325</v>
      </c>
      <c r="AF53" s="143">
        <f t="shared" si="52"/>
        <v>69554.646055948149</v>
      </c>
    </row>
    <row r="55" spans="1:32">
      <c r="A55" s="112" t="s">
        <v>561</v>
      </c>
      <c r="B55" s="142">
        <v>2025</v>
      </c>
      <c r="C55" s="142">
        <v>2026</v>
      </c>
      <c r="D55" s="142">
        <v>2027</v>
      </c>
      <c r="E55" s="142">
        <v>2028</v>
      </c>
      <c r="F55" s="142">
        <v>2029</v>
      </c>
      <c r="G55" s="142">
        <v>2030</v>
      </c>
      <c r="H55" s="142">
        <v>2031</v>
      </c>
      <c r="I55" s="142">
        <v>2032</v>
      </c>
      <c r="J55" s="142">
        <v>2033</v>
      </c>
      <c r="K55" s="142">
        <v>2034</v>
      </c>
      <c r="L55" s="142">
        <v>2035</v>
      </c>
      <c r="M55" s="142">
        <v>2036</v>
      </c>
      <c r="N55" s="142">
        <v>2037</v>
      </c>
      <c r="O55" s="142">
        <v>2038</v>
      </c>
      <c r="P55" s="142">
        <v>2039</v>
      </c>
      <c r="Q55" s="142">
        <v>2040</v>
      </c>
      <c r="R55" s="142">
        <v>2041</v>
      </c>
      <c r="S55" s="142">
        <v>2042</v>
      </c>
      <c r="T55" s="142">
        <v>2043</v>
      </c>
      <c r="U55" s="142">
        <v>2044</v>
      </c>
      <c r="V55" s="142">
        <v>2045</v>
      </c>
      <c r="W55" s="142">
        <v>2046</v>
      </c>
      <c r="X55" s="142">
        <v>2047</v>
      </c>
      <c r="Y55" s="142">
        <v>2048</v>
      </c>
      <c r="Z55" s="142">
        <v>2049</v>
      </c>
      <c r="AA55" s="142">
        <v>2050</v>
      </c>
      <c r="AB55" s="142">
        <v>2051</v>
      </c>
      <c r="AC55" s="142">
        <v>2052</v>
      </c>
      <c r="AD55" s="142">
        <v>2053</v>
      </c>
      <c r="AE55" s="142">
        <v>2054</v>
      </c>
      <c r="AF55" s="142">
        <v>2055</v>
      </c>
    </row>
    <row r="56" spans="1:32">
      <c r="A56" s="112" t="s">
        <v>44</v>
      </c>
      <c r="B56" s="143">
        <f>B$6*B92</f>
        <v>8780.398149677847</v>
      </c>
      <c r="C56" s="143">
        <f t="shared" ref="C56:AF62" si="53">C$6*C92</f>
        <v>18034.996170018334</v>
      </c>
      <c r="D56" s="143">
        <f t="shared" si="53"/>
        <v>27761.594951598479</v>
      </c>
      <c r="E56" s="143">
        <f t="shared" si="53"/>
        <v>37646.484882057317</v>
      </c>
      <c r="F56" s="143">
        <f t="shared" si="53"/>
        <v>48457.413202094533</v>
      </c>
      <c r="G56" s="143">
        <f t="shared" si="53"/>
        <v>59569.441469554033</v>
      </c>
      <c r="H56" s="143">
        <f t="shared" si="53"/>
        <v>69770.423085794842</v>
      </c>
      <c r="I56" s="143">
        <f t="shared" si="53"/>
        <v>77893.495462320687</v>
      </c>
      <c r="J56" s="143">
        <f t="shared" si="53"/>
        <v>91530.27510943127</v>
      </c>
      <c r="K56" s="143">
        <f t="shared" si="53"/>
        <v>103404.80062767467</v>
      </c>
      <c r="L56" s="143">
        <f t="shared" si="53"/>
        <v>115870.93680278708</v>
      </c>
      <c r="M56" s="143">
        <f t="shared" si="53"/>
        <v>127333.71917643458</v>
      </c>
      <c r="N56" s="143">
        <f t="shared" si="53"/>
        <v>137764.92968836107</v>
      </c>
      <c r="O56" s="143">
        <f t="shared" si="53"/>
        <v>149642.72647183691</v>
      </c>
      <c r="P56" s="143">
        <f t="shared" si="53"/>
        <v>165185.7940624539</v>
      </c>
      <c r="Q56" s="143">
        <f t="shared" si="53"/>
        <v>178012.3273566885</v>
      </c>
      <c r="R56" s="143">
        <f t="shared" si="53"/>
        <v>188022.81362253326</v>
      </c>
      <c r="S56" s="143">
        <f t="shared" si="53"/>
        <v>198145.17513414696</v>
      </c>
      <c r="T56" s="143">
        <f t="shared" si="53"/>
        <v>209063.20673292843</v>
      </c>
      <c r="U56" s="143">
        <f t="shared" si="53"/>
        <v>220730.69054798211</v>
      </c>
      <c r="V56" s="143">
        <f t="shared" si="53"/>
        <v>232468.03896500409</v>
      </c>
      <c r="W56" s="143">
        <f t="shared" si="53"/>
        <v>243453.83163511576</v>
      </c>
      <c r="X56" s="143">
        <f t="shared" si="53"/>
        <v>253689.30290708915</v>
      </c>
      <c r="Y56" s="143">
        <f t="shared" si="53"/>
        <v>261913.8564664264</v>
      </c>
      <c r="Z56" s="143">
        <f t="shared" si="53"/>
        <v>268588.18919645488</v>
      </c>
      <c r="AA56" s="143">
        <f t="shared" si="53"/>
        <v>274524.31985164754</v>
      </c>
      <c r="AB56" s="143">
        <f t="shared" si="53"/>
        <v>278704.55707541486</v>
      </c>
      <c r="AC56" s="143">
        <f t="shared" si="53"/>
        <v>278120.11615729233</v>
      </c>
      <c r="AD56" s="143">
        <f t="shared" si="53"/>
        <v>271260.88230606529</v>
      </c>
      <c r="AE56" s="143">
        <f t="shared" si="53"/>
        <v>258827.06471516905</v>
      </c>
      <c r="AF56" s="143">
        <f t="shared" si="53"/>
        <v>243594.8584763644</v>
      </c>
    </row>
    <row r="57" spans="1:32">
      <c r="A57" s="112" t="s">
        <v>45</v>
      </c>
      <c r="B57" s="143">
        <f t="shared" ref="B57:Q62" si="54">B$6*B93</f>
        <v>3094.6018503221544</v>
      </c>
      <c r="C57" s="143">
        <f t="shared" si="54"/>
        <v>7213.9984680073339</v>
      </c>
      <c r="D57" s="143">
        <f t="shared" si="54"/>
        <v>11104.637980639394</v>
      </c>
      <c r="E57" s="143">
        <f t="shared" si="54"/>
        <v>15058.59395282293</v>
      </c>
      <c r="F57" s="143">
        <f t="shared" si="54"/>
        <v>19382.965280837816</v>
      </c>
      <c r="G57" s="143">
        <f t="shared" si="54"/>
        <v>23827.776587821612</v>
      </c>
      <c r="H57" s="143">
        <f t="shared" si="54"/>
        <v>29518.255920913198</v>
      </c>
      <c r="I57" s="143">
        <f t="shared" si="54"/>
        <v>38946.747731160343</v>
      </c>
      <c r="J57" s="143">
        <f t="shared" si="54"/>
        <v>44070.132460096538</v>
      </c>
      <c r="K57" s="143">
        <f t="shared" si="54"/>
        <v>51702.400313837337</v>
      </c>
      <c r="L57" s="143">
        <f t="shared" si="54"/>
        <v>59933.243173855386</v>
      </c>
      <c r="M57" s="143">
        <f t="shared" si="54"/>
        <v>70253.08644217081</v>
      </c>
      <c r="N57" s="143">
        <f t="shared" si="54"/>
        <v>82658.957813016634</v>
      </c>
      <c r="O57" s="143">
        <f t="shared" si="54"/>
        <v>94773.7267654967</v>
      </c>
      <c r="P57" s="143">
        <f t="shared" si="54"/>
        <v>104617.66957288748</v>
      </c>
      <c r="Q57" s="143">
        <f t="shared" si="54"/>
        <v>118674.884904459</v>
      </c>
      <c r="R57" s="143">
        <f t="shared" si="53"/>
        <v>125348.54241502218</v>
      </c>
      <c r="S57" s="143">
        <f t="shared" si="53"/>
        <v>132096.78342276465</v>
      </c>
      <c r="T57" s="143">
        <f t="shared" si="53"/>
        <v>139375.47115528563</v>
      </c>
      <c r="U57" s="143">
        <f t="shared" si="53"/>
        <v>147153.79369865474</v>
      </c>
      <c r="V57" s="143">
        <f t="shared" si="53"/>
        <v>154978.69264333605</v>
      </c>
      <c r="W57" s="143">
        <f t="shared" si="53"/>
        <v>162302.55442341053</v>
      </c>
      <c r="X57" s="143">
        <f t="shared" si="53"/>
        <v>169126.20193805941</v>
      </c>
      <c r="Y57" s="143">
        <f t="shared" si="53"/>
        <v>174609.23764428427</v>
      </c>
      <c r="Z57" s="143">
        <f t="shared" si="53"/>
        <v>179058.79279763665</v>
      </c>
      <c r="AA57" s="143">
        <f t="shared" si="53"/>
        <v>183016.21323443172</v>
      </c>
      <c r="AB57" s="143">
        <f t="shared" si="53"/>
        <v>185803.03805027663</v>
      </c>
      <c r="AC57" s="143">
        <f t="shared" si="53"/>
        <v>185413.41077152826</v>
      </c>
      <c r="AD57" s="143">
        <f t="shared" si="53"/>
        <v>180840.58820404357</v>
      </c>
      <c r="AE57" s="143">
        <f t="shared" si="53"/>
        <v>172551.37647677935</v>
      </c>
      <c r="AF57" s="143">
        <f t="shared" si="53"/>
        <v>162396.5723175763</v>
      </c>
    </row>
    <row r="58" spans="1:32">
      <c r="A58" s="112" t="s">
        <v>46</v>
      </c>
      <c r="B58" s="143">
        <f t="shared" si="54"/>
        <v>0</v>
      </c>
      <c r="C58" s="143">
        <f t="shared" si="53"/>
        <v>0</v>
      </c>
      <c r="D58" s="143">
        <f t="shared" si="53"/>
        <v>0</v>
      </c>
      <c r="E58" s="143">
        <f t="shared" si="53"/>
        <v>0</v>
      </c>
      <c r="F58" s="143">
        <f t="shared" si="53"/>
        <v>0</v>
      </c>
      <c r="G58" s="143">
        <f t="shared" si="53"/>
        <v>0</v>
      </c>
      <c r="H58" s="143">
        <f t="shared" si="53"/>
        <v>0</v>
      </c>
      <c r="I58" s="143">
        <f t="shared" si="53"/>
        <v>0</v>
      </c>
      <c r="J58" s="143">
        <f t="shared" si="53"/>
        <v>0</v>
      </c>
      <c r="K58" s="143">
        <f t="shared" si="53"/>
        <v>0</v>
      </c>
      <c r="L58" s="143">
        <f t="shared" si="53"/>
        <v>0</v>
      </c>
      <c r="M58" s="143">
        <f t="shared" si="53"/>
        <v>0</v>
      </c>
      <c r="N58" s="143">
        <f t="shared" si="53"/>
        <v>0</v>
      </c>
      <c r="O58" s="143">
        <f t="shared" si="53"/>
        <v>0</v>
      </c>
      <c r="P58" s="143">
        <f t="shared" si="53"/>
        <v>0</v>
      </c>
      <c r="Q58" s="143">
        <f t="shared" si="53"/>
        <v>0</v>
      </c>
      <c r="R58" s="143">
        <f t="shared" si="53"/>
        <v>0</v>
      </c>
      <c r="S58" s="143">
        <f t="shared" si="53"/>
        <v>0</v>
      </c>
      <c r="T58" s="143">
        <f t="shared" si="53"/>
        <v>0</v>
      </c>
      <c r="U58" s="143">
        <f t="shared" si="53"/>
        <v>0</v>
      </c>
      <c r="V58" s="143">
        <f t="shared" si="53"/>
        <v>0</v>
      </c>
      <c r="W58" s="143">
        <f t="shared" si="53"/>
        <v>0</v>
      </c>
      <c r="X58" s="143">
        <f t="shared" si="53"/>
        <v>0</v>
      </c>
      <c r="Y58" s="143">
        <f t="shared" si="53"/>
        <v>0</v>
      </c>
      <c r="Z58" s="143">
        <f t="shared" si="53"/>
        <v>0</v>
      </c>
      <c r="AA58" s="143">
        <f t="shared" si="53"/>
        <v>0</v>
      </c>
      <c r="AB58" s="143">
        <f t="shared" si="53"/>
        <v>0</v>
      </c>
      <c r="AC58" s="143">
        <f t="shared" si="53"/>
        <v>0</v>
      </c>
      <c r="AD58" s="143">
        <f t="shared" si="53"/>
        <v>0</v>
      </c>
      <c r="AE58" s="143">
        <f t="shared" si="53"/>
        <v>0</v>
      </c>
      <c r="AF58" s="143">
        <f t="shared" si="53"/>
        <v>0</v>
      </c>
    </row>
    <row r="59" spans="1:32">
      <c r="A59" s="112" t="s">
        <v>47</v>
      </c>
      <c r="B59" s="143">
        <f t="shared" si="54"/>
        <v>0</v>
      </c>
      <c r="C59" s="143">
        <f t="shared" si="53"/>
        <v>0</v>
      </c>
      <c r="D59" s="143">
        <f t="shared" si="53"/>
        <v>0</v>
      </c>
      <c r="E59" s="143">
        <f t="shared" si="53"/>
        <v>0</v>
      </c>
      <c r="F59" s="143">
        <f t="shared" si="53"/>
        <v>0</v>
      </c>
      <c r="G59" s="143">
        <f t="shared" si="53"/>
        <v>0</v>
      </c>
      <c r="H59" s="143">
        <f t="shared" si="53"/>
        <v>0</v>
      </c>
      <c r="I59" s="143">
        <f t="shared" si="53"/>
        <v>0</v>
      </c>
      <c r="J59" s="143">
        <f t="shared" si="53"/>
        <v>0</v>
      </c>
      <c r="K59" s="143">
        <f t="shared" si="53"/>
        <v>0</v>
      </c>
      <c r="L59" s="143">
        <f t="shared" si="53"/>
        <v>0</v>
      </c>
      <c r="M59" s="143">
        <f t="shared" si="53"/>
        <v>0</v>
      </c>
      <c r="N59" s="143">
        <f t="shared" si="53"/>
        <v>0</v>
      </c>
      <c r="O59" s="143">
        <f t="shared" si="53"/>
        <v>0</v>
      </c>
      <c r="P59" s="143">
        <f t="shared" si="53"/>
        <v>0</v>
      </c>
      <c r="Q59" s="143">
        <f t="shared" si="53"/>
        <v>0</v>
      </c>
      <c r="R59" s="143">
        <f t="shared" si="53"/>
        <v>0</v>
      </c>
      <c r="S59" s="143">
        <f t="shared" si="53"/>
        <v>0</v>
      </c>
      <c r="T59" s="143">
        <f t="shared" si="53"/>
        <v>0</v>
      </c>
      <c r="U59" s="143">
        <f t="shared" si="53"/>
        <v>0</v>
      </c>
      <c r="V59" s="143">
        <f t="shared" si="53"/>
        <v>0</v>
      </c>
      <c r="W59" s="143">
        <f t="shared" si="53"/>
        <v>0</v>
      </c>
      <c r="X59" s="143">
        <f t="shared" si="53"/>
        <v>0</v>
      </c>
      <c r="Y59" s="143">
        <f t="shared" si="53"/>
        <v>0</v>
      </c>
      <c r="Z59" s="143">
        <f t="shared" si="53"/>
        <v>0</v>
      </c>
      <c r="AA59" s="143">
        <f t="shared" si="53"/>
        <v>0</v>
      </c>
      <c r="AB59" s="143">
        <f t="shared" si="53"/>
        <v>0</v>
      </c>
      <c r="AC59" s="143">
        <f t="shared" si="53"/>
        <v>0</v>
      </c>
      <c r="AD59" s="143">
        <f t="shared" si="53"/>
        <v>0</v>
      </c>
      <c r="AE59" s="143">
        <f t="shared" si="53"/>
        <v>0</v>
      </c>
      <c r="AF59" s="143">
        <f t="shared" si="53"/>
        <v>0</v>
      </c>
    </row>
    <row r="60" spans="1:32">
      <c r="A60" s="112" t="s">
        <v>48</v>
      </c>
      <c r="B60" s="143">
        <f t="shared" si="54"/>
        <v>0</v>
      </c>
      <c r="C60" s="143">
        <f t="shared" si="53"/>
        <v>0</v>
      </c>
      <c r="D60" s="143">
        <f t="shared" si="53"/>
        <v>0</v>
      </c>
      <c r="E60" s="143">
        <f t="shared" si="53"/>
        <v>0</v>
      </c>
      <c r="F60" s="143">
        <f t="shared" si="53"/>
        <v>0</v>
      </c>
      <c r="G60" s="143">
        <f t="shared" si="53"/>
        <v>0</v>
      </c>
      <c r="H60" s="143">
        <f t="shared" si="53"/>
        <v>0</v>
      </c>
      <c r="I60" s="143">
        <f t="shared" si="53"/>
        <v>0</v>
      </c>
      <c r="J60" s="143">
        <f t="shared" si="53"/>
        <v>0</v>
      </c>
      <c r="K60" s="143">
        <f t="shared" si="53"/>
        <v>0</v>
      </c>
      <c r="L60" s="143">
        <f t="shared" si="53"/>
        <v>0</v>
      </c>
      <c r="M60" s="143">
        <f t="shared" si="53"/>
        <v>0</v>
      </c>
      <c r="N60" s="143">
        <f t="shared" si="53"/>
        <v>0</v>
      </c>
      <c r="O60" s="143">
        <f t="shared" si="53"/>
        <v>0</v>
      </c>
      <c r="P60" s="143">
        <f t="shared" si="53"/>
        <v>0</v>
      </c>
      <c r="Q60" s="143">
        <f t="shared" si="53"/>
        <v>0</v>
      </c>
      <c r="R60" s="143">
        <f t="shared" si="53"/>
        <v>0</v>
      </c>
      <c r="S60" s="143">
        <f t="shared" si="53"/>
        <v>0</v>
      </c>
      <c r="T60" s="143">
        <f t="shared" si="53"/>
        <v>0</v>
      </c>
      <c r="U60" s="143">
        <f t="shared" si="53"/>
        <v>0</v>
      </c>
      <c r="V60" s="143">
        <f t="shared" si="53"/>
        <v>0</v>
      </c>
      <c r="W60" s="143">
        <f t="shared" si="53"/>
        <v>0</v>
      </c>
      <c r="X60" s="143">
        <f t="shared" si="53"/>
        <v>0</v>
      </c>
      <c r="Y60" s="143">
        <f t="shared" si="53"/>
        <v>0</v>
      </c>
      <c r="Z60" s="143">
        <f t="shared" si="53"/>
        <v>0</v>
      </c>
      <c r="AA60" s="143">
        <f t="shared" si="53"/>
        <v>0</v>
      </c>
      <c r="AB60" s="143">
        <f t="shared" si="53"/>
        <v>0</v>
      </c>
      <c r="AC60" s="143">
        <f t="shared" si="53"/>
        <v>0</v>
      </c>
      <c r="AD60" s="143">
        <f t="shared" si="53"/>
        <v>0</v>
      </c>
      <c r="AE60" s="143">
        <f t="shared" si="53"/>
        <v>0</v>
      </c>
      <c r="AF60" s="143">
        <f t="shared" si="53"/>
        <v>0</v>
      </c>
    </row>
    <row r="61" spans="1:32">
      <c r="A61" s="112" t="s">
        <v>49</v>
      </c>
      <c r="B61" s="143">
        <f t="shared" si="54"/>
        <v>0</v>
      </c>
      <c r="C61" s="143">
        <f t="shared" si="53"/>
        <v>0</v>
      </c>
      <c r="D61" s="143">
        <f t="shared" si="53"/>
        <v>0</v>
      </c>
      <c r="E61" s="143">
        <f t="shared" si="53"/>
        <v>0</v>
      </c>
      <c r="F61" s="143">
        <f t="shared" si="53"/>
        <v>0</v>
      </c>
      <c r="G61" s="143">
        <f t="shared" si="53"/>
        <v>0</v>
      </c>
      <c r="H61" s="143">
        <f t="shared" si="53"/>
        <v>0</v>
      </c>
      <c r="I61" s="143">
        <f t="shared" si="53"/>
        <v>0</v>
      </c>
      <c r="J61" s="143">
        <f t="shared" si="53"/>
        <v>0</v>
      </c>
      <c r="K61" s="143">
        <f t="shared" si="53"/>
        <v>0</v>
      </c>
      <c r="L61" s="143">
        <f t="shared" si="53"/>
        <v>0</v>
      </c>
      <c r="M61" s="143">
        <f t="shared" si="53"/>
        <v>0</v>
      </c>
      <c r="N61" s="143">
        <f t="shared" si="53"/>
        <v>0</v>
      </c>
      <c r="O61" s="143">
        <f t="shared" si="53"/>
        <v>0</v>
      </c>
      <c r="P61" s="143">
        <f t="shared" si="53"/>
        <v>0</v>
      </c>
      <c r="Q61" s="143">
        <f t="shared" si="53"/>
        <v>0</v>
      </c>
      <c r="R61" s="143">
        <f t="shared" si="53"/>
        <v>0</v>
      </c>
      <c r="S61" s="143">
        <f t="shared" si="53"/>
        <v>0</v>
      </c>
      <c r="T61" s="143">
        <f t="shared" si="53"/>
        <v>0</v>
      </c>
      <c r="U61" s="143">
        <f t="shared" si="53"/>
        <v>0</v>
      </c>
      <c r="V61" s="143">
        <f t="shared" si="53"/>
        <v>0</v>
      </c>
      <c r="W61" s="143">
        <f t="shared" si="53"/>
        <v>0</v>
      </c>
      <c r="X61" s="143">
        <f t="shared" si="53"/>
        <v>0</v>
      </c>
      <c r="Y61" s="143">
        <f t="shared" si="53"/>
        <v>0</v>
      </c>
      <c r="Z61" s="143">
        <f t="shared" si="53"/>
        <v>0</v>
      </c>
      <c r="AA61" s="143">
        <f t="shared" si="53"/>
        <v>0</v>
      </c>
      <c r="AB61" s="143">
        <f t="shared" si="53"/>
        <v>0</v>
      </c>
      <c r="AC61" s="143">
        <f t="shared" si="53"/>
        <v>0</v>
      </c>
      <c r="AD61" s="143">
        <f t="shared" si="53"/>
        <v>0</v>
      </c>
      <c r="AE61" s="143">
        <f t="shared" si="53"/>
        <v>0</v>
      </c>
      <c r="AF61" s="143">
        <f t="shared" si="53"/>
        <v>0</v>
      </c>
    </row>
    <row r="62" spans="1:32">
      <c r="A62" s="112" t="s">
        <v>50</v>
      </c>
      <c r="B62" s="143">
        <f t="shared" si="54"/>
        <v>0</v>
      </c>
      <c r="C62" s="143">
        <f t="shared" si="53"/>
        <v>0</v>
      </c>
      <c r="D62" s="143">
        <f t="shared" si="53"/>
        <v>0</v>
      </c>
      <c r="E62" s="143">
        <f t="shared" si="53"/>
        <v>0</v>
      </c>
      <c r="F62" s="143">
        <f t="shared" si="53"/>
        <v>0</v>
      </c>
      <c r="G62" s="143">
        <f t="shared" si="53"/>
        <v>0</v>
      </c>
      <c r="H62" s="143">
        <f t="shared" si="53"/>
        <v>0</v>
      </c>
      <c r="I62" s="143">
        <f t="shared" si="53"/>
        <v>0</v>
      </c>
      <c r="J62" s="143">
        <f t="shared" si="53"/>
        <v>0</v>
      </c>
      <c r="K62" s="143">
        <f t="shared" si="53"/>
        <v>0</v>
      </c>
      <c r="L62" s="143">
        <f t="shared" si="53"/>
        <v>0</v>
      </c>
      <c r="M62" s="143">
        <f t="shared" si="53"/>
        <v>0</v>
      </c>
      <c r="N62" s="143">
        <f t="shared" si="53"/>
        <v>0</v>
      </c>
      <c r="O62" s="143">
        <f t="shared" si="53"/>
        <v>0</v>
      </c>
      <c r="P62" s="143">
        <f t="shared" si="53"/>
        <v>0</v>
      </c>
      <c r="Q62" s="143">
        <f t="shared" si="53"/>
        <v>0</v>
      </c>
      <c r="R62" s="143">
        <f t="shared" si="53"/>
        <v>0</v>
      </c>
      <c r="S62" s="143">
        <f t="shared" si="53"/>
        <v>0</v>
      </c>
      <c r="T62" s="143">
        <f t="shared" si="53"/>
        <v>0</v>
      </c>
      <c r="U62" s="143">
        <f t="shared" si="53"/>
        <v>0</v>
      </c>
      <c r="V62" s="143">
        <f t="shared" si="53"/>
        <v>0</v>
      </c>
      <c r="W62" s="143">
        <f t="shared" si="53"/>
        <v>0</v>
      </c>
      <c r="X62" s="143">
        <f t="shared" si="53"/>
        <v>0</v>
      </c>
      <c r="Y62" s="143">
        <f t="shared" si="53"/>
        <v>0</v>
      </c>
      <c r="Z62" s="143">
        <f t="shared" si="53"/>
        <v>0</v>
      </c>
      <c r="AA62" s="143">
        <f t="shared" si="53"/>
        <v>0</v>
      </c>
      <c r="AB62" s="143">
        <f t="shared" si="53"/>
        <v>0</v>
      </c>
      <c r="AC62" s="143">
        <f t="shared" si="53"/>
        <v>0</v>
      </c>
      <c r="AD62" s="143">
        <f t="shared" si="53"/>
        <v>0</v>
      </c>
      <c r="AE62" s="143">
        <f t="shared" si="53"/>
        <v>0</v>
      </c>
      <c r="AF62" s="143">
        <f t="shared" si="53"/>
        <v>0</v>
      </c>
    </row>
    <row r="64" spans="1:32">
      <c r="A64" s="112" t="s">
        <v>562</v>
      </c>
      <c r="B64" s="142">
        <v>2025</v>
      </c>
      <c r="C64" s="142">
        <v>2026</v>
      </c>
      <c r="D64" s="142">
        <v>2027</v>
      </c>
      <c r="E64" s="142">
        <v>2028</v>
      </c>
      <c r="F64" s="142">
        <v>2029</v>
      </c>
      <c r="G64" s="142">
        <v>2030</v>
      </c>
      <c r="H64" s="142">
        <v>2031</v>
      </c>
      <c r="I64" s="142">
        <v>2032</v>
      </c>
      <c r="J64" s="142">
        <v>2033</v>
      </c>
      <c r="K64" s="142">
        <v>2034</v>
      </c>
      <c r="L64" s="142">
        <v>2035</v>
      </c>
      <c r="M64" s="142">
        <v>2036</v>
      </c>
      <c r="N64" s="142">
        <v>2037</v>
      </c>
      <c r="O64" s="142">
        <v>2038</v>
      </c>
      <c r="P64" s="142">
        <v>2039</v>
      </c>
      <c r="Q64" s="142">
        <v>2040</v>
      </c>
      <c r="R64" s="142">
        <v>2041</v>
      </c>
      <c r="S64" s="142">
        <v>2042</v>
      </c>
      <c r="T64" s="142">
        <v>2043</v>
      </c>
      <c r="U64" s="142">
        <v>2044</v>
      </c>
      <c r="V64" s="142">
        <v>2045</v>
      </c>
      <c r="W64" s="142">
        <v>2046</v>
      </c>
      <c r="X64" s="142">
        <v>2047</v>
      </c>
      <c r="Y64" s="142">
        <v>2048</v>
      </c>
      <c r="Z64" s="142">
        <v>2049</v>
      </c>
      <c r="AA64" s="142">
        <v>2050</v>
      </c>
      <c r="AB64" s="142">
        <v>2051</v>
      </c>
      <c r="AC64" s="142">
        <v>2052</v>
      </c>
      <c r="AD64" s="142">
        <v>2053</v>
      </c>
      <c r="AE64" s="142">
        <v>2054</v>
      </c>
      <c r="AF64" s="142">
        <v>2055</v>
      </c>
    </row>
    <row r="65" spans="1:32">
      <c r="A65" s="112" t="s">
        <v>44</v>
      </c>
      <c r="B65" s="143">
        <f>B$7*B83</f>
        <v>0</v>
      </c>
      <c r="C65" s="143">
        <f t="shared" ref="C65:AF71" si="55">C$7*C83</f>
        <v>0</v>
      </c>
      <c r="D65" s="143">
        <f t="shared" si="55"/>
        <v>0</v>
      </c>
      <c r="E65" s="143">
        <f t="shared" si="55"/>
        <v>0</v>
      </c>
      <c r="F65" s="143">
        <f t="shared" si="55"/>
        <v>0</v>
      </c>
      <c r="G65" s="143">
        <f t="shared" si="55"/>
        <v>0</v>
      </c>
      <c r="H65" s="143">
        <f t="shared" si="55"/>
        <v>0</v>
      </c>
      <c r="I65" s="143">
        <f t="shared" si="55"/>
        <v>0</v>
      </c>
      <c r="J65" s="143">
        <f t="shared" si="55"/>
        <v>0</v>
      </c>
      <c r="K65" s="143">
        <f t="shared" si="55"/>
        <v>0</v>
      </c>
      <c r="L65" s="143">
        <f t="shared" si="55"/>
        <v>0</v>
      </c>
      <c r="M65" s="143">
        <f t="shared" si="55"/>
        <v>0</v>
      </c>
      <c r="N65" s="143">
        <f t="shared" si="55"/>
        <v>0</v>
      </c>
      <c r="O65" s="143">
        <f t="shared" si="55"/>
        <v>0</v>
      </c>
      <c r="P65" s="143">
        <f t="shared" si="55"/>
        <v>0</v>
      </c>
      <c r="Q65" s="143">
        <f t="shared" si="55"/>
        <v>0</v>
      </c>
      <c r="R65" s="143">
        <f t="shared" si="55"/>
        <v>0</v>
      </c>
      <c r="S65" s="143">
        <f t="shared" si="55"/>
        <v>0</v>
      </c>
      <c r="T65" s="143">
        <f t="shared" si="55"/>
        <v>0</v>
      </c>
      <c r="U65" s="143">
        <f t="shared" si="55"/>
        <v>0</v>
      </c>
      <c r="V65" s="143">
        <f t="shared" si="55"/>
        <v>0</v>
      </c>
      <c r="W65" s="143">
        <f t="shared" si="55"/>
        <v>0</v>
      </c>
      <c r="X65" s="143">
        <f t="shared" si="55"/>
        <v>0</v>
      </c>
      <c r="Y65" s="143">
        <f t="shared" si="55"/>
        <v>0</v>
      </c>
      <c r="Z65" s="143">
        <f t="shared" si="55"/>
        <v>0</v>
      </c>
      <c r="AA65" s="143">
        <f t="shared" si="55"/>
        <v>0</v>
      </c>
      <c r="AB65" s="143">
        <f t="shared" si="55"/>
        <v>0</v>
      </c>
      <c r="AC65" s="143">
        <f t="shared" si="55"/>
        <v>0</v>
      </c>
      <c r="AD65" s="143">
        <f t="shared" si="55"/>
        <v>0</v>
      </c>
      <c r="AE65" s="143">
        <f t="shared" si="55"/>
        <v>0</v>
      </c>
      <c r="AF65" s="143">
        <f t="shared" si="55"/>
        <v>0</v>
      </c>
    </row>
    <row r="66" spans="1:32">
      <c r="A66" s="112" t="s">
        <v>45</v>
      </c>
      <c r="B66" s="143">
        <f t="shared" ref="B66:Q71" si="56">B$7*B84</f>
        <v>0</v>
      </c>
      <c r="C66" s="143">
        <f t="shared" si="56"/>
        <v>0</v>
      </c>
      <c r="D66" s="143">
        <f t="shared" si="56"/>
        <v>0</v>
      </c>
      <c r="E66" s="143">
        <f t="shared" si="56"/>
        <v>0</v>
      </c>
      <c r="F66" s="143">
        <f t="shared" si="56"/>
        <v>0</v>
      </c>
      <c r="G66" s="143">
        <f t="shared" si="56"/>
        <v>0</v>
      </c>
      <c r="H66" s="143">
        <f t="shared" si="56"/>
        <v>0</v>
      </c>
      <c r="I66" s="143">
        <f t="shared" si="56"/>
        <v>0</v>
      </c>
      <c r="J66" s="143">
        <f t="shared" si="56"/>
        <v>0</v>
      </c>
      <c r="K66" s="143">
        <f t="shared" si="56"/>
        <v>0</v>
      </c>
      <c r="L66" s="143">
        <f t="shared" si="56"/>
        <v>0</v>
      </c>
      <c r="M66" s="143">
        <f t="shared" si="56"/>
        <v>0</v>
      </c>
      <c r="N66" s="143">
        <f t="shared" si="56"/>
        <v>0</v>
      </c>
      <c r="O66" s="143">
        <f t="shared" si="56"/>
        <v>0</v>
      </c>
      <c r="P66" s="143">
        <f t="shared" si="56"/>
        <v>0</v>
      </c>
      <c r="Q66" s="143">
        <f t="shared" si="56"/>
        <v>0</v>
      </c>
      <c r="R66" s="143">
        <f t="shared" si="55"/>
        <v>0</v>
      </c>
      <c r="S66" s="143">
        <f t="shared" si="55"/>
        <v>0</v>
      </c>
      <c r="T66" s="143">
        <f t="shared" si="55"/>
        <v>0</v>
      </c>
      <c r="U66" s="143">
        <f t="shared" si="55"/>
        <v>0</v>
      </c>
      <c r="V66" s="143">
        <f t="shared" si="55"/>
        <v>0</v>
      </c>
      <c r="W66" s="143">
        <f t="shared" si="55"/>
        <v>0</v>
      </c>
      <c r="X66" s="143">
        <f t="shared" si="55"/>
        <v>0</v>
      </c>
      <c r="Y66" s="143">
        <f t="shared" si="55"/>
        <v>0</v>
      </c>
      <c r="Z66" s="143">
        <f t="shared" si="55"/>
        <v>0</v>
      </c>
      <c r="AA66" s="143">
        <f t="shared" si="55"/>
        <v>0</v>
      </c>
      <c r="AB66" s="143">
        <f t="shared" si="55"/>
        <v>0</v>
      </c>
      <c r="AC66" s="143">
        <f t="shared" si="55"/>
        <v>0</v>
      </c>
      <c r="AD66" s="143">
        <f t="shared" si="55"/>
        <v>0</v>
      </c>
      <c r="AE66" s="143">
        <f t="shared" si="55"/>
        <v>0</v>
      </c>
      <c r="AF66" s="143">
        <f t="shared" si="55"/>
        <v>0</v>
      </c>
    </row>
    <row r="67" spans="1:32">
      <c r="A67" s="112" t="s">
        <v>46</v>
      </c>
      <c r="B67" s="143">
        <f t="shared" si="56"/>
        <v>0</v>
      </c>
      <c r="C67" s="143">
        <f t="shared" si="55"/>
        <v>0</v>
      </c>
      <c r="D67" s="143">
        <f t="shared" si="55"/>
        <v>0</v>
      </c>
      <c r="E67" s="143">
        <f t="shared" si="55"/>
        <v>0</v>
      </c>
      <c r="F67" s="143">
        <f t="shared" si="55"/>
        <v>0</v>
      </c>
      <c r="G67" s="143">
        <f t="shared" si="55"/>
        <v>0</v>
      </c>
      <c r="H67" s="143">
        <f t="shared" si="55"/>
        <v>0</v>
      </c>
      <c r="I67" s="143">
        <f t="shared" si="55"/>
        <v>0</v>
      </c>
      <c r="J67" s="143">
        <f t="shared" si="55"/>
        <v>0</v>
      </c>
      <c r="K67" s="143">
        <f t="shared" si="55"/>
        <v>0</v>
      </c>
      <c r="L67" s="143">
        <f t="shared" si="55"/>
        <v>0</v>
      </c>
      <c r="M67" s="143">
        <f t="shared" si="55"/>
        <v>0</v>
      </c>
      <c r="N67" s="143">
        <f t="shared" si="55"/>
        <v>0</v>
      </c>
      <c r="O67" s="143">
        <f t="shared" si="55"/>
        <v>0</v>
      </c>
      <c r="P67" s="143">
        <f t="shared" si="55"/>
        <v>0</v>
      </c>
      <c r="Q67" s="143">
        <f t="shared" si="55"/>
        <v>0</v>
      </c>
      <c r="R67" s="143">
        <f t="shared" si="55"/>
        <v>0</v>
      </c>
      <c r="S67" s="143">
        <f t="shared" si="55"/>
        <v>0</v>
      </c>
      <c r="T67" s="143">
        <f t="shared" si="55"/>
        <v>0</v>
      </c>
      <c r="U67" s="143">
        <f t="shared" si="55"/>
        <v>0</v>
      </c>
      <c r="V67" s="143">
        <f t="shared" si="55"/>
        <v>0</v>
      </c>
      <c r="W67" s="143">
        <f t="shared" si="55"/>
        <v>0</v>
      </c>
      <c r="X67" s="143">
        <f t="shared" si="55"/>
        <v>0</v>
      </c>
      <c r="Y67" s="143">
        <f t="shared" si="55"/>
        <v>0</v>
      </c>
      <c r="Z67" s="143">
        <f t="shared" si="55"/>
        <v>0</v>
      </c>
      <c r="AA67" s="143">
        <f t="shared" si="55"/>
        <v>0</v>
      </c>
      <c r="AB67" s="143">
        <f t="shared" si="55"/>
        <v>0</v>
      </c>
      <c r="AC67" s="143">
        <f t="shared" si="55"/>
        <v>0</v>
      </c>
      <c r="AD67" s="143">
        <f t="shared" si="55"/>
        <v>0</v>
      </c>
      <c r="AE67" s="143">
        <f t="shared" si="55"/>
        <v>0</v>
      </c>
      <c r="AF67" s="143">
        <f t="shared" si="55"/>
        <v>0</v>
      </c>
    </row>
    <row r="68" spans="1:32">
      <c r="A68" s="112" t="s">
        <v>47</v>
      </c>
      <c r="B68" s="143">
        <f t="shared" si="56"/>
        <v>0</v>
      </c>
      <c r="C68" s="143">
        <f t="shared" si="55"/>
        <v>0</v>
      </c>
      <c r="D68" s="143">
        <f t="shared" si="55"/>
        <v>0</v>
      </c>
      <c r="E68" s="143">
        <f t="shared" si="55"/>
        <v>0</v>
      </c>
      <c r="F68" s="143">
        <f t="shared" si="55"/>
        <v>0</v>
      </c>
      <c r="G68" s="143">
        <f t="shared" si="55"/>
        <v>0</v>
      </c>
      <c r="H68" s="143">
        <f t="shared" si="55"/>
        <v>0</v>
      </c>
      <c r="I68" s="143">
        <f t="shared" si="55"/>
        <v>0</v>
      </c>
      <c r="J68" s="143">
        <f t="shared" si="55"/>
        <v>0</v>
      </c>
      <c r="K68" s="143">
        <f t="shared" si="55"/>
        <v>0</v>
      </c>
      <c r="L68" s="143">
        <f t="shared" si="55"/>
        <v>0</v>
      </c>
      <c r="M68" s="143">
        <f t="shared" si="55"/>
        <v>0</v>
      </c>
      <c r="N68" s="143">
        <f t="shared" si="55"/>
        <v>0</v>
      </c>
      <c r="O68" s="143">
        <f t="shared" si="55"/>
        <v>0</v>
      </c>
      <c r="P68" s="143">
        <f t="shared" si="55"/>
        <v>0</v>
      </c>
      <c r="Q68" s="143">
        <f t="shared" si="55"/>
        <v>0</v>
      </c>
      <c r="R68" s="143">
        <f t="shared" si="55"/>
        <v>0</v>
      </c>
      <c r="S68" s="143">
        <f t="shared" si="55"/>
        <v>0</v>
      </c>
      <c r="T68" s="143">
        <f t="shared" si="55"/>
        <v>0</v>
      </c>
      <c r="U68" s="143">
        <f t="shared" si="55"/>
        <v>0</v>
      </c>
      <c r="V68" s="143">
        <f t="shared" si="55"/>
        <v>0</v>
      </c>
      <c r="W68" s="143">
        <f t="shared" si="55"/>
        <v>0</v>
      </c>
      <c r="X68" s="143">
        <f t="shared" si="55"/>
        <v>0</v>
      </c>
      <c r="Y68" s="143">
        <f t="shared" si="55"/>
        <v>0</v>
      </c>
      <c r="Z68" s="143">
        <f t="shared" si="55"/>
        <v>0</v>
      </c>
      <c r="AA68" s="143">
        <f t="shared" si="55"/>
        <v>0</v>
      </c>
      <c r="AB68" s="143">
        <f t="shared" si="55"/>
        <v>0</v>
      </c>
      <c r="AC68" s="143">
        <f t="shared" si="55"/>
        <v>0</v>
      </c>
      <c r="AD68" s="143">
        <f t="shared" si="55"/>
        <v>0</v>
      </c>
      <c r="AE68" s="143">
        <f t="shared" si="55"/>
        <v>0</v>
      </c>
      <c r="AF68" s="143">
        <f t="shared" si="55"/>
        <v>0</v>
      </c>
    </row>
    <row r="69" spans="1:32">
      <c r="A69" s="112" t="s">
        <v>48</v>
      </c>
      <c r="B69" s="143">
        <f t="shared" si="56"/>
        <v>50.270188679245287</v>
      </c>
      <c r="C69" s="143">
        <f t="shared" si="55"/>
        <v>93.89601852201676</v>
      </c>
      <c r="D69" s="143">
        <f t="shared" si="55"/>
        <v>144.56185514750638</v>
      </c>
      <c r="E69" s="143">
        <f t="shared" si="55"/>
        <v>196.16331437817004</v>
      </c>
      <c r="F69" s="143">
        <f t="shared" si="55"/>
        <v>252.92580023989112</v>
      </c>
      <c r="G69" s="143">
        <f t="shared" si="55"/>
        <v>311.9765406900396</v>
      </c>
      <c r="H69" s="143">
        <f t="shared" si="55"/>
        <v>373.60690081384342</v>
      </c>
      <c r="I69" s="143">
        <f t="shared" si="55"/>
        <v>444.0419939354756</v>
      </c>
      <c r="J69" s="143">
        <f t="shared" si="55"/>
        <v>503.04301277586484</v>
      </c>
      <c r="K69" s="143">
        <f t="shared" si="55"/>
        <v>587.63171704274237</v>
      </c>
      <c r="L69" s="143">
        <f t="shared" si="55"/>
        <v>685.27710420576864</v>
      </c>
      <c r="M69" s="143">
        <f t="shared" si="55"/>
        <v>769.23270275280936</v>
      </c>
      <c r="N69" s="143">
        <f t="shared" si="55"/>
        <v>576.87235361599062</v>
      </c>
      <c r="O69" s="143">
        <f t="shared" si="55"/>
        <v>650.97195481357767</v>
      </c>
      <c r="P69" s="143">
        <f t="shared" si="55"/>
        <v>713.71042388951662</v>
      </c>
      <c r="Q69" s="143">
        <f t="shared" si="55"/>
        <v>811.73484336187835</v>
      </c>
      <c r="R69" s="143">
        <f t="shared" si="55"/>
        <v>930.35961041098017</v>
      </c>
      <c r="S69" s="143">
        <f t="shared" si="55"/>
        <v>1068.0377048258706</v>
      </c>
      <c r="T69" s="143">
        <f t="shared" si="55"/>
        <v>1225.5818693768392</v>
      </c>
      <c r="U69" s="143">
        <f t="shared" si="55"/>
        <v>1399.5154213971337</v>
      </c>
      <c r="V69" s="143">
        <f t="shared" si="55"/>
        <v>1582.4366047631659</v>
      </c>
      <c r="W69" s="143">
        <f t="shared" si="55"/>
        <v>1764.6594804511251</v>
      </c>
      <c r="X69" s="143">
        <f t="shared" si="55"/>
        <v>1945.94536900158</v>
      </c>
      <c r="Y69" s="143">
        <f t="shared" si="55"/>
        <v>2118.3906192959957</v>
      </c>
      <c r="Z69" s="143">
        <f t="shared" si="55"/>
        <v>2284.5170829450594</v>
      </c>
      <c r="AA69" s="143">
        <f t="shared" si="55"/>
        <v>2451.2006912152633</v>
      </c>
      <c r="AB69" s="143">
        <f t="shared" si="55"/>
        <v>2598.262117671441</v>
      </c>
      <c r="AC69" s="143">
        <f t="shared" si="55"/>
        <v>2687.1624754872355</v>
      </c>
      <c r="AD69" s="143">
        <f t="shared" si="55"/>
        <v>2697.5268440626123</v>
      </c>
      <c r="AE69" s="143">
        <f t="shared" si="55"/>
        <v>2635.9786727867163</v>
      </c>
      <c r="AF69" s="143">
        <f t="shared" si="55"/>
        <v>2534.5150336935517</v>
      </c>
    </row>
    <row r="70" spans="1:32">
      <c r="A70" s="112" t="s">
        <v>49</v>
      </c>
      <c r="B70" s="143">
        <f t="shared" si="56"/>
        <v>11.038638549759527</v>
      </c>
      <c r="C70" s="143">
        <f t="shared" si="55"/>
        <v>31.298672840672253</v>
      </c>
      <c r="D70" s="143">
        <f t="shared" si="55"/>
        <v>48.187285049168793</v>
      </c>
      <c r="E70" s="143">
        <f t="shared" si="55"/>
        <v>65.387771459390024</v>
      </c>
      <c r="F70" s="143">
        <f t="shared" si="55"/>
        <v>84.308600079963711</v>
      </c>
      <c r="G70" s="143">
        <f t="shared" si="55"/>
        <v>103.99218023001319</v>
      </c>
      <c r="H70" s="143">
        <f t="shared" si="55"/>
        <v>249.07126720922895</v>
      </c>
      <c r="I70" s="143">
        <f t="shared" si="55"/>
        <v>444.0419939354756</v>
      </c>
      <c r="J70" s="143">
        <f t="shared" si="55"/>
        <v>670.72401703448668</v>
      </c>
      <c r="K70" s="143">
        <f t="shared" si="55"/>
        <v>979.38619507123735</v>
      </c>
      <c r="L70" s="143">
        <f t="shared" si="55"/>
        <v>1142.1285070096146</v>
      </c>
      <c r="M70" s="143">
        <f t="shared" si="55"/>
        <v>1538.4654055056187</v>
      </c>
      <c r="N70" s="143">
        <f t="shared" si="55"/>
        <v>2307.4894144639625</v>
      </c>
      <c r="O70" s="143">
        <f t="shared" si="55"/>
        <v>2603.8878192543107</v>
      </c>
      <c r="P70" s="143">
        <f t="shared" si="55"/>
        <v>3211.6969075028246</v>
      </c>
      <c r="Q70" s="143">
        <f t="shared" si="55"/>
        <v>4058.6742168093915</v>
      </c>
      <c r="R70" s="143">
        <f t="shared" si="55"/>
        <v>4651.7980520549008</v>
      </c>
      <c r="S70" s="143">
        <f t="shared" si="55"/>
        <v>5340.188524129353</v>
      </c>
      <c r="T70" s="143">
        <f t="shared" si="55"/>
        <v>6127.9093468841966</v>
      </c>
      <c r="U70" s="143">
        <f t="shared" si="55"/>
        <v>6997.5771069856683</v>
      </c>
      <c r="V70" s="143">
        <f t="shared" si="55"/>
        <v>7912.1830238158273</v>
      </c>
      <c r="W70" s="143">
        <f t="shared" si="55"/>
        <v>8823.2974022556264</v>
      </c>
      <c r="X70" s="143">
        <f t="shared" si="55"/>
        <v>9729.7268450078973</v>
      </c>
      <c r="Y70" s="143">
        <f t="shared" si="55"/>
        <v>10591.953096479978</v>
      </c>
      <c r="Z70" s="143">
        <f t="shared" si="55"/>
        <v>11422.585414725298</v>
      </c>
      <c r="AA70" s="143">
        <f t="shared" si="55"/>
        <v>12256.00345607632</v>
      </c>
      <c r="AB70" s="143">
        <f t="shared" si="55"/>
        <v>12991.310588357208</v>
      </c>
      <c r="AC70" s="143">
        <f t="shared" si="55"/>
        <v>13435.812377436176</v>
      </c>
      <c r="AD70" s="143">
        <f t="shared" si="55"/>
        <v>13487.634220313063</v>
      </c>
      <c r="AE70" s="143">
        <f t="shared" si="55"/>
        <v>13179.893363933581</v>
      </c>
      <c r="AF70" s="143">
        <f t="shared" si="55"/>
        <v>12672.575168467758</v>
      </c>
    </row>
    <row r="71" spans="1:32">
      <c r="A71" s="112" t="s">
        <v>50</v>
      </c>
      <c r="B71" s="143">
        <f t="shared" si="56"/>
        <v>306.69117277099519</v>
      </c>
      <c r="C71" s="143">
        <f t="shared" si="55"/>
        <v>657.27212965411729</v>
      </c>
      <c r="D71" s="143">
        <f t="shared" si="55"/>
        <v>1011.9329860325447</v>
      </c>
      <c r="E71" s="143">
        <f t="shared" si="55"/>
        <v>1373.1432006471905</v>
      </c>
      <c r="F71" s="143">
        <f t="shared" si="55"/>
        <v>1770.4806016792377</v>
      </c>
      <c r="G71" s="143">
        <f t="shared" si="55"/>
        <v>2183.8357848302767</v>
      </c>
      <c r="H71" s="143">
        <f t="shared" si="55"/>
        <v>2490.7126720922897</v>
      </c>
      <c r="I71" s="143">
        <f t="shared" si="55"/>
        <v>2812.2659615913462</v>
      </c>
      <c r="J71" s="143">
        <f t="shared" si="55"/>
        <v>3185.9390809138108</v>
      </c>
      <c r="K71" s="143">
        <f t="shared" si="55"/>
        <v>3525.7903022564542</v>
      </c>
      <c r="L71" s="143">
        <f t="shared" si="55"/>
        <v>4111.6626252346123</v>
      </c>
      <c r="M71" s="143">
        <f t="shared" si="55"/>
        <v>4615.3962165168559</v>
      </c>
      <c r="N71" s="143">
        <f t="shared" si="55"/>
        <v>5191.8511825439155</v>
      </c>
      <c r="O71" s="143">
        <f t="shared" si="55"/>
        <v>6184.2335707289876</v>
      </c>
      <c r="P71" s="143">
        <f t="shared" si="55"/>
        <v>7137.1042388951673</v>
      </c>
      <c r="Q71" s="143">
        <f t="shared" si="55"/>
        <v>8117.348433618783</v>
      </c>
      <c r="R71" s="143">
        <f t="shared" si="55"/>
        <v>9303.5961041098017</v>
      </c>
      <c r="S71" s="143">
        <f t="shared" si="55"/>
        <v>10680.377048258706</v>
      </c>
      <c r="T71" s="143">
        <f t="shared" si="55"/>
        <v>12255.818693768393</v>
      </c>
      <c r="U71" s="143">
        <f t="shared" si="55"/>
        <v>13995.154213971337</v>
      </c>
      <c r="V71" s="143">
        <f t="shared" si="55"/>
        <v>15824.366047631655</v>
      </c>
      <c r="W71" s="143">
        <f t="shared" si="55"/>
        <v>17646.594804511253</v>
      </c>
      <c r="X71" s="143">
        <f t="shared" si="55"/>
        <v>19459.453690015795</v>
      </c>
      <c r="Y71" s="143">
        <f t="shared" si="55"/>
        <v>21183.906192959956</v>
      </c>
      <c r="Z71" s="143">
        <f t="shared" si="55"/>
        <v>22845.170829450595</v>
      </c>
      <c r="AA71" s="143">
        <f t="shared" si="55"/>
        <v>24512.006912152639</v>
      </c>
      <c r="AB71" s="143">
        <f t="shared" si="55"/>
        <v>25982.621176714416</v>
      </c>
      <c r="AC71" s="143">
        <f t="shared" si="55"/>
        <v>26871.624754872351</v>
      </c>
      <c r="AD71" s="143">
        <f t="shared" si="55"/>
        <v>26975.268440626125</v>
      </c>
      <c r="AE71" s="143">
        <f t="shared" si="55"/>
        <v>26359.786727867162</v>
      </c>
      <c r="AF71" s="143">
        <f t="shared" si="55"/>
        <v>25345.150336935516</v>
      </c>
    </row>
    <row r="73" spans="1:32">
      <c r="A73" s="142" t="s">
        <v>563</v>
      </c>
      <c r="B73" s="142">
        <v>2025</v>
      </c>
      <c r="C73" s="142">
        <v>2026</v>
      </c>
      <c r="D73" s="142">
        <v>2027</v>
      </c>
      <c r="E73" s="142">
        <v>2028</v>
      </c>
      <c r="F73" s="142">
        <v>2029</v>
      </c>
      <c r="G73" s="142">
        <v>2030</v>
      </c>
      <c r="H73" s="142">
        <v>2031</v>
      </c>
      <c r="I73" s="142">
        <v>2032</v>
      </c>
      <c r="J73" s="142">
        <v>2033</v>
      </c>
      <c r="K73" s="142">
        <v>2034</v>
      </c>
      <c r="L73" s="142">
        <v>2035</v>
      </c>
      <c r="M73" s="142">
        <v>2036</v>
      </c>
      <c r="N73" s="142">
        <v>2037</v>
      </c>
      <c r="O73" s="142">
        <v>2038</v>
      </c>
      <c r="P73" s="142">
        <v>2039</v>
      </c>
      <c r="Q73" s="142">
        <v>2040</v>
      </c>
      <c r="R73" s="142">
        <v>2041</v>
      </c>
      <c r="S73" s="142">
        <v>2042</v>
      </c>
      <c r="T73" s="142">
        <v>2043</v>
      </c>
      <c r="U73" s="142">
        <v>2044</v>
      </c>
      <c r="V73" s="142">
        <v>2045</v>
      </c>
      <c r="W73" s="142">
        <v>2046</v>
      </c>
      <c r="X73" s="142">
        <v>2047</v>
      </c>
      <c r="Y73" s="142">
        <v>2048</v>
      </c>
      <c r="Z73" s="142">
        <v>2049</v>
      </c>
      <c r="AA73" s="142">
        <v>2050</v>
      </c>
      <c r="AB73" s="142">
        <v>2051</v>
      </c>
      <c r="AC73" s="142">
        <v>2052</v>
      </c>
      <c r="AD73" s="142">
        <v>2053</v>
      </c>
      <c r="AE73" s="142">
        <v>2054</v>
      </c>
      <c r="AF73" s="142">
        <v>2055</v>
      </c>
    </row>
    <row r="74" spans="1:32">
      <c r="A74" s="112" t="s">
        <v>44</v>
      </c>
      <c r="B74" s="111">
        <v>0.25112688015980189</v>
      </c>
      <c r="C74" s="111">
        <v>0.25</v>
      </c>
      <c r="D74" s="111">
        <v>0.25</v>
      </c>
      <c r="E74" s="111">
        <v>0.25</v>
      </c>
      <c r="F74" s="111">
        <v>0.25000000000000006</v>
      </c>
      <c r="G74" s="111">
        <v>0.25</v>
      </c>
      <c r="H74" s="111">
        <v>0.26</v>
      </c>
      <c r="I74" s="111">
        <v>0.26</v>
      </c>
      <c r="J74" s="111">
        <v>0.27</v>
      </c>
      <c r="K74" s="111">
        <v>0.28000000000000008</v>
      </c>
      <c r="L74" s="111">
        <v>0.28999999999999998</v>
      </c>
      <c r="M74" s="111">
        <v>0.28999999999999998</v>
      </c>
      <c r="N74" s="111">
        <v>0.3</v>
      </c>
      <c r="O74" s="111">
        <v>0.3</v>
      </c>
      <c r="P74" s="111">
        <v>0.3</v>
      </c>
      <c r="Q74" s="111">
        <v>0.3</v>
      </c>
      <c r="R74" s="111">
        <v>0.3</v>
      </c>
      <c r="S74" s="111">
        <v>0.3</v>
      </c>
      <c r="T74" s="111">
        <v>0.3</v>
      </c>
      <c r="U74" s="111">
        <v>0.3</v>
      </c>
      <c r="V74" s="111">
        <v>0.3</v>
      </c>
      <c r="W74" s="111">
        <v>0.3</v>
      </c>
      <c r="X74" s="111">
        <v>0.3</v>
      </c>
      <c r="Y74" s="111">
        <v>0.3</v>
      </c>
      <c r="Z74" s="111">
        <v>0.29999999999999993</v>
      </c>
      <c r="AA74" s="111">
        <v>0.29999999999999993</v>
      </c>
      <c r="AB74" s="111">
        <v>0.29999999999999993</v>
      </c>
      <c r="AC74" s="111">
        <v>0.3</v>
      </c>
      <c r="AD74" s="111">
        <v>0.29999999999999993</v>
      </c>
      <c r="AE74" s="111">
        <v>0.3</v>
      </c>
      <c r="AF74" s="111">
        <v>0.29999999999999993</v>
      </c>
    </row>
    <row r="75" spans="1:32">
      <c r="A75" s="112" t="s">
        <v>45</v>
      </c>
      <c r="B75" s="111">
        <v>8.8508253812689133E-2</v>
      </c>
      <c r="C75" s="111">
        <v>0.1</v>
      </c>
      <c r="D75" s="111">
        <v>0.1</v>
      </c>
      <c r="E75" s="111">
        <v>0.1</v>
      </c>
      <c r="F75" s="111">
        <v>0.10000000000000003</v>
      </c>
      <c r="G75" s="111">
        <v>9.9999999999999992E-2</v>
      </c>
      <c r="H75" s="111">
        <v>0.10999999999999999</v>
      </c>
      <c r="I75" s="111">
        <v>0.13</v>
      </c>
      <c r="J75" s="111">
        <v>0.13</v>
      </c>
      <c r="K75" s="111">
        <v>0.14000000000000004</v>
      </c>
      <c r="L75" s="111">
        <v>0.15</v>
      </c>
      <c r="M75" s="111">
        <v>0.16</v>
      </c>
      <c r="N75" s="111">
        <v>0.18</v>
      </c>
      <c r="O75" s="111">
        <v>0.19</v>
      </c>
      <c r="P75" s="111">
        <v>0.19</v>
      </c>
      <c r="Q75" s="111">
        <v>0.2</v>
      </c>
      <c r="R75" s="111">
        <v>0.2</v>
      </c>
      <c r="S75" s="111">
        <v>0.2</v>
      </c>
      <c r="T75" s="111">
        <v>0.2</v>
      </c>
      <c r="U75" s="111">
        <v>0.2</v>
      </c>
      <c r="V75" s="111">
        <v>0.19999999999999998</v>
      </c>
      <c r="W75" s="111">
        <v>0.2</v>
      </c>
      <c r="X75" s="111">
        <v>0.19999999999999998</v>
      </c>
      <c r="Y75" s="111">
        <v>0.2</v>
      </c>
      <c r="Z75" s="111">
        <v>0.19999999999999998</v>
      </c>
      <c r="AA75" s="111">
        <v>0.2</v>
      </c>
      <c r="AB75" s="111">
        <v>0.2</v>
      </c>
      <c r="AC75" s="111">
        <v>0.2</v>
      </c>
      <c r="AD75" s="111">
        <v>0.2</v>
      </c>
      <c r="AE75" s="111">
        <v>0.19999999999999998</v>
      </c>
      <c r="AF75" s="111">
        <v>0.2</v>
      </c>
    </row>
    <row r="76" spans="1:32">
      <c r="A76" s="112" t="s">
        <v>46</v>
      </c>
      <c r="B76" s="111">
        <v>0.25573539918677596</v>
      </c>
      <c r="C76" s="111">
        <v>0.25</v>
      </c>
      <c r="D76" s="111">
        <v>0.25</v>
      </c>
      <c r="E76" s="111">
        <v>0.25</v>
      </c>
      <c r="F76" s="111">
        <v>0.25000000000000006</v>
      </c>
      <c r="G76" s="111">
        <v>0.25</v>
      </c>
      <c r="H76" s="111">
        <v>0.24000000000000002</v>
      </c>
      <c r="I76" s="111">
        <v>0.23</v>
      </c>
      <c r="J76" s="111">
        <v>0.22</v>
      </c>
      <c r="K76" s="111">
        <v>0.21000000000000002</v>
      </c>
      <c r="L76" s="111">
        <v>0.2</v>
      </c>
      <c r="M76" s="111">
        <v>0.19</v>
      </c>
      <c r="N76" s="111">
        <v>0.18</v>
      </c>
      <c r="O76" s="111">
        <v>0.17</v>
      </c>
      <c r="P76" s="111">
        <v>0.16</v>
      </c>
      <c r="Q76" s="111">
        <v>0.15</v>
      </c>
      <c r="R76" s="111">
        <v>0.15</v>
      </c>
      <c r="S76" s="111">
        <v>0.15</v>
      </c>
      <c r="T76" s="111">
        <v>0.15</v>
      </c>
      <c r="U76" s="111">
        <v>0.15</v>
      </c>
      <c r="V76" s="111">
        <v>0.15</v>
      </c>
      <c r="W76" s="111">
        <v>0.15</v>
      </c>
      <c r="X76" s="111">
        <v>0.15</v>
      </c>
      <c r="Y76" s="111">
        <v>0.15</v>
      </c>
      <c r="Z76" s="111">
        <v>0.14999999999999997</v>
      </c>
      <c r="AA76" s="111">
        <v>0.14999999999999997</v>
      </c>
      <c r="AB76" s="111">
        <v>0.14999999999999997</v>
      </c>
      <c r="AC76" s="111">
        <v>0.15</v>
      </c>
      <c r="AD76" s="111">
        <v>0.14999999999999997</v>
      </c>
      <c r="AE76" s="111">
        <v>0.15</v>
      </c>
      <c r="AF76" s="111">
        <v>0.14999999999999997</v>
      </c>
    </row>
    <row r="77" spans="1:32">
      <c r="A77" s="112" t="s">
        <v>47</v>
      </c>
      <c r="B77" s="111">
        <v>0.151852946347412</v>
      </c>
      <c r="C77" s="111">
        <v>0.15</v>
      </c>
      <c r="D77" s="111">
        <v>0.15</v>
      </c>
      <c r="E77" s="111">
        <v>0.15</v>
      </c>
      <c r="F77" s="111">
        <v>0.15000000000000002</v>
      </c>
      <c r="G77" s="111">
        <v>0.15</v>
      </c>
      <c r="H77" s="111">
        <v>0.14000000000000001</v>
      </c>
      <c r="I77" s="111">
        <v>0.13</v>
      </c>
      <c r="J77" s="111">
        <v>0.11999999999999998</v>
      </c>
      <c r="K77" s="111">
        <v>0.11000000000000001</v>
      </c>
      <c r="L77" s="111">
        <v>0.1</v>
      </c>
      <c r="M77" s="111">
        <v>0.09</v>
      </c>
      <c r="N77" s="111">
        <v>0.06</v>
      </c>
      <c r="O77" s="111">
        <v>0.05</v>
      </c>
      <c r="P77" s="111">
        <v>0.04</v>
      </c>
      <c r="Q77" s="111">
        <v>0.03</v>
      </c>
      <c r="R77" s="111">
        <v>0.03</v>
      </c>
      <c r="S77" s="111">
        <v>2.9999999999999995E-2</v>
      </c>
      <c r="T77" s="111">
        <v>2.9999999999999995E-2</v>
      </c>
      <c r="U77" s="111">
        <v>3.0000000000000002E-2</v>
      </c>
      <c r="V77" s="111">
        <v>2.9999999999999995E-2</v>
      </c>
      <c r="W77" s="111">
        <v>0.03</v>
      </c>
      <c r="X77" s="111">
        <v>3.0000000000000002E-2</v>
      </c>
      <c r="Y77" s="111">
        <v>0.03</v>
      </c>
      <c r="Z77" s="111">
        <v>2.9999999999999995E-2</v>
      </c>
      <c r="AA77" s="111">
        <v>2.9999999999999992E-2</v>
      </c>
      <c r="AB77" s="111">
        <v>2.9999999999999995E-2</v>
      </c>
      <c r="AC77" s="111">
        <v>0.03</v>
      </c>
      <c r="AD77" s="111">
        <v>2.9999999999999995E-2</v>
      </c>
      <c r="AE77" s="111">
        <v>2.9999999999999995E-2</v>
      </c>
      <c r="AF77" s="111">
        <v>0.03</v>
      </c>
    </row>
    <row r="78" spans="1:32">
      <c r="A78" s="112" t="s">
        <v>48</v>
      </c>
      <c r="B78" s="111">
        <v>3.4530226573049889E-2</v>
      </c>
      <c r="C78" s="111">
        <v>0.03</v>
      </c>
      <c r="D78" s="111">
        <v>0.03</v>
      </c>
      <c r="E78" s="111">
        <v>2.9999999999999995E-2</v>
      </c>
      <c r="F78" s="111">
        <v>3.0000000000000006E-2</v>
      </c>
      <c r="G78" s="111">
        <v>3.0000000000000002E-2</v>
      </c>
      <c r="H78" s="111">
        <v>3.0000000000000002E-2</v>
      </c>
      <c r="I78" s="111">
        <v>2.9999999999999995E-2</v>
      </c>
      <c r="J78" s="111">
        <v>2.9999999999999995E-2</v>
      </c>
      <c r="K78" s="111">
        <v>3.0000000000000002E-2</v>
      </c>
      <c r="L78" s="111">
        <v>0.03</v>
      </c>
      <c r="M78" s="111">
        <v>0.03</v>
      </c>
      <c r="N78" s="111">
        <v>0.02</v>
      </c>
      <c r="O78" s="111">
        <v>0.02</v>
      </c>
      <c r="P78" s="111">
        <v>0.02</v>
      </c>
      <c r="Q78" s="111">
        <v>0.02</v>
      </c>
      <c r="R78" s="111">
        <v>0.02</v>
      </c>
      <c r="S78" s="111">
        <v>0.02</v>
      </c>
      <c r="T78" s="111">
        <v>0.02</v>
      </c>
      <c r="U78" s="111">
        <v>0.02</v>
      </c>
      <c r="V78" s="111">
        <v>0.02</v>
      </c>
      <c r="W78" s="111">
        <v>0.02</v>
      </c>
      <c r="X78" s="111">
        <v>0.02</v>
      </c>
      <c r="Y78" s="111">
        <v>0.02</v>
      </c>
      <c r="Z78" s="111">
        <v>1.9999999999999997E-2</v>
      </c>
      <c r="AA78" s="111">
        <v>1.9999999999999997E-2</v>
      </c>
      <c r="AB78" s="111">
        <v>1.9999999999999997E-2</v>
      </c>
      <c r="AC78" s="111">
        <v>2.0000000000000004E-2</v>
      </c>
      <c r="AD78" s="111">
        <v>0.02</v>
      </c>
      <c r="AE78" s="111">
        <v>1.9999999999999997E-2</v>
      </c>
      <c r="AF78" s="111">
        <v>0.02</v>
      </c>
    </row>
    <row r="79" spans="1:32">
      <c r="A79" s="112" t="s">
        <v>49</v>
      </c>
      <c r="B79" s="111">
        <v>7.5823604445425337E-3</v>
      </c>
      <c r="C79" s="111">
        <v>0.01</v>
      </c>
      <c r="D79" s="111">
        <v>0.01</v>
      </c>
      <c r="E79" s="111">
        <v>0.01</v>
      </c>
      <c r="F79" s="111">
        <v>1.0000000000000002E-2</v>
      </c>
      <c r="G79" s="111">
        <v>0.01</v>
      </c>
      <c r="H79" s="111">
        <v>0.02</v>
      </c>
      <c r="I79" s="111">
        <v>2.9999999999999995E-2</v>
      </c>
      <c r="J79" s="111">
        <v>4.0000000000000008E-2</v>
      </c>
      <c r="K79" s="111">
        <v>5.000000000000001E-2</v>
      </c>
      <c r="L79" s="111">
        <v>0.05</v>
      </c>
      <c r="M79" s="111">
        <v>0.06</v>
      </c>
      <c r="N79" s="111">
        <v>0.08</v>
      </c>
      <c r="O79" s="111">
        <v>0.08</v>
      </c>
      <c r="P79" s="111">
        <v>0.09</v>
      </c>
      <c r="Q79" s="111">
        <v>0.1</v>
      </c>
      <c r="R79" s="111">
        <v>0.1</v>
      </c>
      <c r="S79" s="111">
        <v>0.1</v>
      </c>
      <c r="T79" s="111">
        <v>0.1</v>
      </c>
      <c r="U79" s="111">
        <v>0.1</v>
      </c>
      <c r="V79" s="111">
        <v>9.9999999999999992E-2</v>
      </c>
      <c r="W79" s="111">
        <v>0.1</v>
      </c>
      <c r="X79" s="111">
        <v>9.9999999999999992E-2</v>
      </c>
      <c r="Y79" s="111">
        <v>0.1</v>
      </c>
      <c r="Z79" s="111">
        <v>9.9999999999999992E-2</v>
      </c>
      <c r="AA79" s="111">
        <v>0.1</v>
      </c>
      <c r="AB79" s="111">
        <v>0.1</v>
      </c>
      <c r="AC79" s="111">
        <v>0.1</v>
      </c>
      <c r="AD79" s="111">
        <v>0.1</v>
      </c>
      <c r="AE79" s="111">
        <v>9.9999999999999992E-2</v>
      </c>
      <c r="AF79" s="111">
        <v>0.1</v>
      </c>
    </row>
    <row r="80" spans="1:32">
      <c r="A80" s="112" t="s">
        <v>50</v>
      </c>
      <c r="B80" s="111">
        <v>0.21066393347572859</v>
      </c>
      <c r="C80" s="111">
        <v>0.21</v>
      </c>
      <c r="D80" s="111">
        <v>0.21</v>
      </c>
      <c r="E80" s="111">
        <v>0.21</v>
      </c>
      <c r="F80" s="111">
        <v>0.21000000000000002</v>
      </c>
      <c r="G80" s="111">
        <v>0.21</v>
      </c>
      <c r="H80" s="111">
        <v>0.2</v>
      </c>
      <c r="I80" s="111">
        <v>0.19</v>
      </c>
      <c r="J80" s="111">
        <v>0.19</v>
      </c>
      <c r="K80" s="111">
        <v>0.18000000000000002</v>
      </c>
      <c r="L80" s="111">
        <v>0.18000000000000002</v>
      </c>
      <c r="M80" s="111">
        <v>0.18</v>
      </c>
      <c r="N80" s="111">
        <v>0.18</v>
      </c>
      <c r="O80" s="111">
        <v>0.19</v>
      </c>
      <c r="P80" s="111">
        <v>0.2</v>
      </c>
      <c r="Q80" s="111">
        <v>0.2</v>
      </c>
      <c r="R80" s="111">
        <v>0.2</v>
      </c>
      <c r="S80" s="111">
        <v>0.2</v>
      </c>
      <c r="T80" s="111">
        <v>0.2</v>
      </c>
      <c r="U80" s="111">
        <v>0.2</v>
      </c>
      <c r="V80" s="111">
        <v>0.19999999999999998</v>
      </c>
      <c r="W80" s="111">
        <v>0.2</v>
      </c>
      <c r="X80" s="111">
        <v>0.19999999999999998</v>
      </c>
      <c r="Y80" s="111">
        <v>0.2</v>
      </c>
      <c r="Z80" s="111">
        <v>0.19999999999999998</v>
      </c>
      <c r="AA80" s="111">
        <v>0.2</v>
      </c>
      <c r="AB80" s="111">
        <v>0.2</v>
      </c>
      <c r="AC80" s="111">
        <v>0.2</v>
      </c>
      <c r="AD80" s="111">
        <v>0.2</v>
      </c>
      <c r="AE80" s="111">
        <v>0.19999999999999998</v>
      </c>
      <c r="AF80" s="111">
        <v>0.2</v>
      </c>
    </row>
    <row r="82" spans="1:32">
      <c r="A82" s="142" t="s">
        <v>564</v>
      </c>
      <c r="B82" s="142">
        <v>2025</v>
      </c>
      <c r="C82" s="142">
        <v>2026</v>
      </c>
      <c r="D82" s="142">
        <v>2027</v>
      </c>
      <c r="E82" s="142">
        <v>2028</v>
      </c>
      <c r="F82" s="142">
        <v>2029</v>
      </c>
      <c r="G82" s="142">
        <v>2030</v>
      </c>
      <c r="H82" s="142">
        <v>2031</v>
      </c>
      <c r="I82" s="142">
        <v>2032</v>
      </c>
      <c r="J82" s="142">
        <v>2033</v>
      </c>
      <c r="K82" s="142">
        <v>2034</v>
      </c>
      <c r="L82" s="142">
        <v>2035</v>
      </c>
      <c r="M82" s="142">
        <v>2036</v>
      </c>
      <c r="N82" s="142">
        <v>2037</v>
      </c>
      <c r="O82" s="142">
        <v>2038</v>
      </c>
      <c r="P82" s="142">
        <v>2039</v>
      </c>
      <c r="Q82" s="142">
        <v>2040</v>
      </c>
      <c r="R82" s="142">
        <v>2041</v>
      </c>
      <c r="S82" s="142">
        <v>2042</v>
      </c>
      <c r="T82" s="142">
        <v>2043</v>
      </c>
      <c r="U82" s="142">
        <v>2044</v>
      </c>
      <c r="V82" s="142">
        <v>2045</v>
      </c>
      <c r="W82" s="142">
        <v>2046</v>
      </c>
      <c r="X82" s="142">
        <v>2047</v>
      </c>
      <c r="Y82" s="142">
        <v>2048</v>
      </c>
      <c r="Z82" s="142">
        <v>2049</v>
      </c>
      <c r="AA82" s="142">
        <v>2050</v>
      </c>
      <c r="AB82" s="142">
        <v>2051</v>
      </c>
      <c r="AC82" s="142">
        <v>2052</v>
      </c>
      <c r="AD82" s="142">
        <v>2053</v>
      </c>
      <c r="AE82" s="142">
        <v>2054</v>
      </c>
      <c r="AF82" s="142">
        <v>2055</v>
      </c>
    </row>
    <row r="83" spans="1:32">
      <c r="A83" s="112" t="s">
        <v>44</v>
      </c>
      <c r="B83" s="182">
        <f t="shared" ref="B83:Q88" si="57">IF(ROW(B74)&lt;=77, 0, B74/SUM(B$78:B$80))</f>
        <v>0</v>
      </c>
      <c r="C83" s="182">
        <f t="shared" si="57"/>
        <v>0</v>
      </c>
      <c r="D83" s="182">
        <f t="shared" si="57"/>
        <v>0</v>
      </c>
      <c r="E83" s="182">
        <f t="shared" si="57"/>
        <v>0</v>
      </c>
      <c r="F83" s="182">
        <f t="shared" si="57"/>
        <v>0</v>
      </c>
      <c r="G83" s="182">
        <f t="shared" si="57"/>
        <v>0</v>
      </c>
      <c r="H83" s="182">
        <f t="shared" si="57"/>
        <v>0</v>
      </c>
      <c r="I83" s="182">
        <f t="shared" si="57"/>
        <v>0</v>
      </c>
      <c r="J83" s="182">
        <f t="shared" si="57"/>
        <v>0</v>
      </c>
      <c r="K83" s="182">
        <f t="shared" si="57"/>
        <v>0</v>
      </c>
      <c r="L83" s="182">
        <f t="shared" si="57"/>
        <v>0</v>
      </c>
      <c r="M83" s="182">
        <f t="shared" si="57"/>
        <v>0</v>
      </c>
      <c r="N83" s="182">
        <f t="shared" si="57"/>
        <v>0</v>
      </c>
      <c r="O83" s="182">
        <f t="shared" si="57"/>
        <v>0</v>
      </c>
      <c r="P83" s="182">
        <f t="shared" si="57"/>
        <v>0</v>
      </c>
      <c r="Q83" s="182">
        <f t="shared" si="57"/>
        <v>0</v>
      </c>
      <c r="R83" s="182">
        <f t="shared" ref="C83:AF88" si="58">IF(ROW(R74)&lt;=77, 0, R74/SUM(R$78:R$80))</f>
        <v>0</v>
      </c>
      <c r="S83" s="182">
        <f t="shared" si="58"/>
        <v>0</v>
      </c>
      <c r="T83" s="182">
        <f t="shared" si="58"/>
        <v>0</v>
      </c>
      <c r="U83" s="182">
        <f t="shared" si="58"/>
        <v>0</v>
      </c>
      <c r="V83" s="182">
        <f t="shared" si="58"/>
        <v>0</v>
      </c>
      <c r="W83" s="182">
        <f t="shared" si="58"/>
        <v>0</v>
      </c>
      <c r="X83" s="182">
        <f t="shared" si="58"/>
        <v>0</v>
      </c>
      <c r="Y83" s="182">
        <f t="shared" si="58"/>
        <v>0</v>
      </c>
      <c r="Z83" s="182">
        <f t="shared" si="58"/>
        <v>0</v>
      </c>
      <c r="AA83" s="182">
        <f t="shared" si="58"/>
        <v>0</v>
      </c>
      <c r="AB83" s="182">
        <f t="shared" si="58"/>
        <v>0</v>
      </c>
      <c r="AC83" s="182">
        <f t="shared" si="58"/>
        <v>0</v>
      </c>
      <c r="AD83" s="182">
        <f t="shared" si="58"/>
        <v>0</v>
      </c>
      <c r="AE83" s="182">
        <f t="shared" si="58"/>
        <v>0</v>
      </c>
      <c r="AF83" s="182">
        <f t="shared" si="58"/>
        <v>0</v>
      </c>
    </row>
    <row r="84" spans="1:32">
      <c r="A84" s="112" t="s">
        <v>45</v>
      </c>
      <c r="B84" s="182">
        <f t="shared" si="57"/>
        <v>0</v>
      </c>
      <c r="C84" s="182">
        <f t="shared" si="58"/>
        <v>0</v>
      </c>
      <c r="D84" s="182">
        <f t="shared" si="58"/>
        <v>0</v>
      </c>
      <c r="E84" s="182">
        <f t="shared" si="58"/>
        <v>0</v>
      </c>
      <c r="F84" s="182">
        <f t="shared" si="58"/>
        <v>0</v>
      </c>
      <c r="G84" s="182">
        <f t="shared" si="58"/>
        <v>0</v>
      </c>
      <c r="H84" s="182">
        <f t="shared" si="58"/>
        <v>0</v>
      </c>
      <c r="I84" s="182">
        <f t="shared" si="58"/>
        <v>0</v>
      </c>
      <c r="J84" s="182">
        <f t="shared" si="58"/>
        <v>0</v>
      </c>
      <c r="K84" s="182">
        <f t="shared" si="58"/>
        <v>0</v>
      </c>
      <c r="L84" s="182">
        <f t="shared" si="58"/>
        <v>0</v>
      </c>
      <c r="M84" s="182">
        <f t="shared" si="58"/>
        <v>0</v>
      </c>
      <c r="N84" s="182">
        <f t="shared" si="58"/>
        <v>0</v>
      </c>
      <c r="O84" s="182">
        <f t="shared" si="58"/>
        <v>0</v>
      </c>
      <c r="P84" s="182">
        <f t="shared" si="58"/>
        <v>0</v>
      </c>
      <c r="Q84" s="182">
        <f t="shared" si="58"/>
        <v>0</v>
      </c>
      <c r="R84" s="182">
        <f t="shared" si="58"/>
        <v>0</v>
      </c>
      <c r="S84" s="182">
        <f t="shared" si="58"/>
        <v>0</v>
      </c>
      <c r="T84" s="182">
        <f t="shared" si="58"/>
        <v>0</v>
      </c>
      <c r="U84" s="182">
        <f t="shared" si="58"/>
        <v>0</v>
      </c>
      <c r="V84" s="182">
        <f t="shared" si="58"/>
        <v>0</v>
      </c>
      <c r="W84" s="182">
        <f t="shared" si="58"/>
        <v>0</v>
      </c>
      <c r="X84" s="182">
        <f t="shared" si="58"/>
        <v>0</v>
      </c>
      <c r="Y84" s="182">
        <f t="shared" si="58"/>
        <v>0</v>
      </c>
      <c r="Z84" s="182">
        <f t="shared" si="58"/>
        <v>0</v>
      </c>
      <c r="AA84" s="182">
        <f t="shared" si="58"/>
        <v>0</v>
      </c>
      <c r="AB84" s="182">
        <f t="shared" si="58"/>
        <v>0</v>
      </c>
      <c r="AC84" s="182">
        <f t="shared" si="58"/>
        <v>0</v>
      </c>
      <c r="AD84" s="182">
        <f t="shared" si="58"/>
        <v>0</v>
      </c>
      <c r="AE84" s="182">
        <f t="shared" si="58"/>
        <v>0</v>
      </c>
      <c r="AF84" s="182">
        <f t="shared" si="58"/>
        <v>0</v>
      </c>
    </row>
    <row r="85" spans="1:32">
      <c r="A85" s="112" t="s">
        <v>46</v>
      </c>
      <c r="B85" s="182">
        <f t="shared" si="57"/>
        <v>0</v>
      </c>
      <c r="C85" s="182">
        <f t="shared" si="58"/>
        <v>0</v>
      </c>
      <c r="D85" s="182">
        <f t="shared" si="58"/>
        <v>0</v>
      </c>
      <c r="E85" s="182">
        <f t="shared" si="58"/>
        <v>0</v>
      </c>
      <c r="F85" s="182">
        <f t="shared" si="58"/>
        <v>0</v>
      </c>
      <c r="G85" s="182">
        <f t="shared" si="58"/>
        <v>0</v>
      </c>
      <c r="H85" s="182">
        <f t="shared" si="58"/>
        <v>0</v>
      </c>
      <c r="I85" s="182">
        <f t="shared" si="58"/>
        <v>0</v>
      </c>
      <c r="J85" s="182">
        <f t="shared" si="58"/>
        <v>0</v>
      </c>
      <c r="K85" s="182">
        <f t="shared" si="58"/>
        <v>0</v>
      </c>
      <c r="L85" s="182">
        <f t="shared" si="58"/>
        <v>0</v>
      </c>
      <c r="M85" s="182">
        <f t="shared" si="58"/>
        <v>0</v>
      </c>
      <c r="N85" s="182">
        <f t="shared" si="58"/>
        <v>0</v>
      </c>
      <c r="O85" s="182">
        <f t="shared" si="58"/>
        <v>0</v>
      </c>
      <c r="P85" s="182">
        <f t="shared" si="58"/>
        <v>0</v>
      </c>
      <c r="Q85" s="182">
        <f t="shared" si="58"/>
        <v>0</v>
      </c>
      <c r="R85" s="182">
        <f t="shared" si="58"/>
        <v>0</v>
      </c>
      <c r="S85" s="182">
        <f t="shared" si="58"/>
        <v>0</v>
      </c>
      <c r="T85" s="182">
        <f t="shared" si="58"/>
        <v>0</v>
      </c>
      <c r="U85" s="182">
        <f t="shared" si="58"/>
        <v>0</v>
      </c>
      <c r="V85" s="182">
        <f t="shared" si="58"/>
        <v>0</v>
      </c>
      <c r="W85" s="182">
        <f t="shared" si="58"/>
        <v>0</v>
      </c>
      <c r="X85" s="182">
        <f t="shared" si="58"/>
        <v>0</v>
      </c>
      <c r="Y85" s="182">
        <f t="shared" si="58"/>
        <v>0</v>
      </c>
      <c r="Z85" s="182">
        <f t="shared" si="58"/>
        <v>0</v>
      </c>
      <c r="AA85" s="182">
        <f t="shared" si="58"/>
        <v>0</v>
      </c>
      <c r="AB85" s="182">
        <f t="shared" si="58"/>
        <v>0</v>
      </c>
      <c r="AC85" s="182">
        <f t="shared" si="58"/>
        <v>0</v>
      </c>
      <c r="AD85" s="182">
        <f t="shared" si="58"/>
        <v>0</v>
      </c>
      <c r="AE85" s="182">
        <f t="shared" si="58"/>
        <v>0</v>
      </c>
      <c r="AF85" s="182">
        <f t="shared" si="58"/>
        <v>0</v>
      </c>
    </row>
    <row r="86" spans="1:32">
      <c r="A86" s="112" t="s">
        <v>47</v>
      </c>
      <c r="B86" s="182">
        <f t="shared" si="57"/>
        <v>0</v>
      </c>
      <c r="C86" s="182">
        <f t="shared" si="58"/>
        <v>0</v>
      </c>
      <c r="D86" s="182">
        <f t="shared" si="58"/>
        <v>0</v>
      </c>
      <c r="E86" s="182">
        <f t="shared" si="58"/>
        <v>0</v>
      </c>
      <c r="F86" s="182">
        <f t="shared" si="58"/>
        <v>0</v>
      </c>
      <c r="G86" s="182">
        <f t="shared" si="58"/>
        <v>0</v>
      </c>
      <c r="H86" s="182">
        <f t="shared" si="58"/>
        <v>0</v>
      </c>
      <c r="I86" s="182">
        <f t="shared" si="58"/>
        <v>0</v>
      </c>
      <c r="J86" s="182">
        <f t="shared" si="58"/>
        <v>0</v>
      </c>
      <c r="K86" s="182">
        <f t="shared" si="58"/>
        <v>0</v>
      </c>
      <c r="L86" s="182">
        <f t="shared" si="58"/>
        <v>0</v>
      </c>
      <c r="M86" s="182">
        <f t="shared" si="58"/>
        <v>0</v>
      </c>
      <c r="N86" s="182">
        <f t="shared" si="58"/>
        <v>0</v>
      </c>
      <c r="O86" s="182">
        <f t="shared" si="58"/>
        <v>0</v>
      </c>
      <c r="P86" s="182">
        <f t="shared" si="58"/>
        <v>0</v>
      </c>
      <c r="Q86" s="182">
        <f t="shared" si="58"/>
        <v>0</v>
      </c>
      <c r="R86" s="182">
        <f t="shared" si="58"/>
        <v>0</v>
      </c>
      <c r="S86" s="182">
        <f t="shared" si="58"/>
        <v>0</v>
      </c>
      <c r="T86" s="182">
        <f t="shared" si="58"/>
        <v>0</v>
      </c>
      <c r="U86" s="182">
        <f t="shared" si="58"/>
        <v>0</v>
      </c>
      <c r="V86" s="182">
        <f t="shared" si="58"/>
        <v>0</v>
      </c>
      <c r="W86" s="182">
        <f t="shared" si="58"/>
        <v>0</v>
      </c>
      <c r="X86" s="182">
        <f t="shared" si="58"/>
        <v>0</v>
      </c>
      <c r="Y86" s="182">
        <f t="shared" si="58"/>
        <v>0</v>
      </c>
      <c r="Z86" s="182">
        <f t="shared" si="58"/>
        <v>0</v>
      </c>
      <c r="AA86" s="182">
        <f t="shared" si="58"/>
        <v>0</v>
      </c>
      <c r="AB86" s="182">
        <f t="shared" si="58"/>
        <v>0</v>
      </c>
      <c r="AC86" s="182">
        <f t="shared" si="58"/>
        <v>0</v>
      </c>
      <c r="AD86" s="182">
        <f t="shared" si="58"/>
        <v>0</v>
      </c>
      <c r="AE86" s="182">
        <f t="shared" si="58"/>
        <v>0</v>
      </c>
      <c r="AF86" s="182">
        <f t="shared" si="58"/>
        <v>0</v>
      </c>
    </row>
    <row r="87" spans="1:32">
      <c r="A87" s="112" t="s">
        <v>48</v>
      </c>
      <c r="B87" s="182">
        <f t="shared" si="57"/>
        <v>0.13660377358490566</v>
      </c>
      <c r="C87" s="182">
        <f t="shared" si="58"/>
        <v>0.12</v>
      </c>
      <c r="D87" s="182">
        <f t="shared" si="58"/>
        <v>0.12</v>
      </c>
      <c r="E87" s="182">
        <f t="shared" si="58"/>
        <v>0.11999999999999998</v>
      </c>
      <c r="F87" s="182">
        <f t="shared" si="58"/>
        <v>0.12000000000000002</v>
      </c>
      <c r="G87" s="182">
        <f t="shared" si="58"/>
        <v>0.12000000000000001</v>
      </c>
      <c r="H87" s="182">
        <f t="shared" si="58"/>
        <v>0.12000000000000001</v>
      </c>
      <c r="I87" s="182">
        <f t="shared" si="58"/>
        <v>0.11999999999999998</v>
      </c>
      <c r="J87" s="182">
        <f t="shared" si="58"/>
        <v>0.11538461538461536</v>
      </c>
      <c r="K87" s="182">
        <f t="shared" si="58"/>
        <v>0.11538461538461539</v>
      </c>
      <c r="L87" s="182">
        <f t="shared" si="58"/>
        <v>0.11538461538461538</v>
      </c>
      <c r="M87" s="182">
        <f t="shared" si="58"/>
        <v>0.1111111111111111</v>
      </c>
      <c r="N87" s="182">
        <f t="shared" si="58"/>
        <v>7.1428571428571425E-2</v>
      </c>
      <c r="O87" s="182">
        <f t="shared" si="58"/>
        <v>6.8965517241379309E-2</v>
      </c>
      <c r="P87" s="182">
        <f t="shared" si="58"/>
        <v>6.4516129032258063E-2</v>
      </c>
      <c r="Q87" s="182">
        <f t="shared" si="58"/>
        <v>6.25E-2</v>
      </c>
      <c r="R87" s="182">
        <f t="shared" si="58"/>
        <v>6.25E-2</v>
      </c>
      <c r="S87" s="182">
        <f t="shared" si="58"/>
        <v>6.25E-2</v>
      </c>
      <c r="T87" s="182">
        <f t="shared" si="58"/>
        <v>6.25E-2</v>
      </c>
      <c r="U87" s="182">
        <f t="shared" si="58"/>
        <v>6.25E-2</v>
      </c>
      <c r="V87" s="182">
        <f t="shared" si="58"/>
        <v>6.2500000000000014E-2</v>
      </c>
      <c r="W87" s="182">
        <f t="shared" si="58"/>
        <v>6.25E-2</v>
      </c>
      <c r="X87" s="182">
        <f t="shared" si="58"/>
        <v>6.2500000000000014E-2</v>
      </c>
      <c r="Y87" s="182">
        <f t="shared" si="58"/>
        <v>6.25E-2</v>
      </c>
      <c r="Z87" s="182">
        <f t="shared" si="58"/>
        <v>6.25E-2</v>
      </c>
      <c r="AA87" s="182">
        <f t="shared" si="58"/>
        <v>6.2499999999999986E-2</v>
      </c>
      <c r="AB87" s="182">
        <f t="shared" si="58"/>
        <v>6.2499999999999986E-2</v>
      </c>
      <c r="AC87" s="182">
        <f t="shared" si="58"/>
        <v>6.2500000000000014E-2</v>
      </c>
      <c r="AD87" s="182">
        <f t="shared" si="58"/>
        <v>6.25E-2</v>
      </c>
      <c r="AE87" s="182">
        <f t="shared" si="58"/>
        <v>6.25E-2</v>
      </c>
      <c r="AF87" s="182">
        <f t="shared" si="58"/>
        <v>6.25E-2</v>
      </c>
    </row>
    <row r="88" spans="1:32">
      <c r="A88" s="112" t="s">
        <v>49</v>
      </c>
      <c r="B88" s="182">
        <f t="shared" si="57"/>
        <v>2.9996300406955237E-2</v>
      </c>
      <c r="C88" s="182">
        <f t="shared" si="58"/>
        <v>0.04</v>
      </c>
      <c r="D88" s="182">
        <f t="shared" si="58"/>
        <v>0.04</v>
      </c>
      <c r="E88" s="182">
        <f t="shared" si="58"/>
        <v>0.04</v>
      </c>
      <c r="F88" s="182">
        <f t="shared" si="58"/>
        <v>4.0000000000000008E-2</v>
      </c>
      <c r="G88" s="182">
        <f t="shared" si="58"/>
        <v>0.04</v>
      </c>
      <c r="H88" s="182">
        <f t="shared" si="58"/>
        <v>0.08</v>
      </c>
      <c r="I88" s="182">
        <f t="shared" si="58"/>
        <v>0.11999999999999998</v>
      </c>
      <c r="J88" s="182">
        <f t="shared" si="58"/>
        <v>0.15384615384615388</v>
      </c>
      <c r="K88" s="182">
        <f t="shared" si="58"/>
        <v>0.19230769230769235</v>
      </c>
      <c r="L88" s="182">
        <f t="shared" si="58"/>
        <v>0.19230769230769232</v>
      </c>
      <c r="M88" s="182">
        <f t="shared" si="58"/>
        <v>0.22222222222222221</v>
      </c>
      <c r="N88" s="182">
        <f t="shared" si="58"/>
        <v>0.2857142857142857</v>
      </c>
      <c r="O88" s="182">
        <f t="shared" si="58"/>
        <v>0.27586206896551724</v>
      </c>
      <c r="P88" s="182">
        <f t="shared" si="58"/>
        <v>0.29032258064516125</v>
      </c>
      <c r="Q88" s="182">
        <f t="shared" si="58"/>
        <v>0.3125</v>
      </c>
      <c r="R88" s="182">
        <f t="shared" si="58"/>
        <v>0.3125</v>
      </c>
      <c r="S88" s="182">
        <f t="shared" si="58"/>
        <v>0.3125</v>
      </c>
      <c r="T88" s="182">
        <f t="shared" si="58"/>
        <v>0.3125</v>
      </c>
      <c r="U88" s="182">
        <f t="shared" si="58"/>
        <v>0.3125</v>
      </c>
      <c r="V88" s="182">
        <f t="shared" si="58"/>
        <v>0.3125</v>
      </c>
      <c r="W88" s="182">
        <f t="shared" si="58"/>
        <v>0.3125</v>
      </c>
      <c r="X88" s="182">
        <f t="shared" si="58"/>
        <v>0.3125</v>
      </c>
      <c r="Y88" s="182">
        <f t="shared" si="58"/>
        <v>0.3125</v>
      </c>
      <c r="Z88" s="182">
        <f t="shared" si="58"/>
        <v>0.3125</v>
      </c>
      <c r="AA88" s="182">
        <f t="shared" si="58"/>
        <v>0.3125</v>
      </c>
      <c r="AB88" s="182">
        <f t="shared" si="58"/>
        <v>0.3125</v>
      </c>
      <c r="AC88" s="182">
        <f t="shared" si="58"/>
        <v>0.3125</v>
      </c>
      <c r="AD88" s="182">
        <f t="shared" si="58"/>
        <v>0.3125</v>
      </c>
      <c r="AE88" s="182">
        <f t="shared" si="58"/>
        <v>0.3125</v>
      </c>
      <c r="AF88" s="182">
        <f t="shared" si="58"/>
        <v>0.3125</v>
      </c>
    </row>
    <row r="89" spans="1:32">
      <c r="A89" s="112" t="s">
        <v>50</v>
      </c>
      <c r="B89" s="182">
        <f>IF(ROW(B80)&lt;=77, 0, B80/SUM(B$78:B$80))</f>
        <v>0.83339992600813917</v>
      </c>
      <c r="C89" s="182">
        <f t="shared" ref="C89:AF89" si="59">IF(ROW(C80)&lt;=77, 0, C80/SUM(C$78:C$80))</f>
        <v>0.84</v>
      </c>
      <c r="D89" s="182">
        <f t="shared" si="59"/>
        <v>0.84</v>
      </c>
      <c r="E89" s="182">
        <f t="shared" si="59"/>
        <v>0.84</v>
      </c>
      <c r="F89" s="182">
        <f t="shared" si="59"/>
        <v>0.84000000000000008</v>
      </c>
      <c r="G89" s="182">
        <f t="shared" si="59"/>
        <v>0.84</v>
      </c>
      <c r="H89" s="182">
        <f t="shared" si="59"/>
        <v>0.8</v>
      </c>
      <c r="I89" s="182">
        <f t="shared" si="59"/>
        <v>0.76</v>
      </c>
      <c r="J89" s="182">
        <f t="shared" si="59"/>
        <v>0.73076923076923073</v>
      </c>
      <c r="K89" s="182">
        <f t="shared" si="59"/>
        <v>0.6923076923076924</v>
      </c>
      <c r="L89" s="182">
        <f t="shared" si="59"/>
        <v>0.6923076923076924</v>
      </c>
      <c r="M89" s="182">
        <f t="shared" si="59"/>
        <v>0.66666666666666663</v>
      </c>
      <c r="N89" s="182">
        <f t="shared" si="59"/>
        <v>0.64285714285714279</v>
      </c>
      <c r="O89" s="182">
        <f t="shared" si="59"/>
        <v>0.65517241379310343</v>
      </c>
      <c r="P89" s="182">
        <f t="shared" si="59"/>
        <v>0.64516129032258074</v>
      </c>
      <c r="Q89" s="182">
        <f t="shared" si="59"/>
        <v>0.625</v>
      </c>
      <c r="R89" s="182">
        <f t="shared" si="59"/>
        <v>0.625</v>
      </c>
      <c r="S89" s="182">
        <f t="shared" si="59"/>
        <v>0.625</v>
      </c>
      <c r="T89" s="182">
        <f t="shared" si="59"/>
        <v>0.625</v>
      </c>
      <c r="U89" s="182">
        <f t="shared" si="59"/>
        <v>0.625</v>
      </c>
      <c r="V89" s="182">
        <f t="shared" si="59"/>
        <v>0.625</v>
      </c>
      <c r="W89" s="182">
        <f t="shared" si="59"/>
        <v>0.625</v>
      </c>
      <c r="X89" s="182">
        <f t="shared" si="59"/>
        <v>0.625</v>
      </c>
      <c r="Y89" s="182">
        <f t="shared" si="59"/>
        <v>0.625</v>
      </c>
      <c r="Z89" s="182">
        <f t="shared" si="59"/>
        <v>0.625</v>
      </c>
      <c r="AA89" s="182">
        <f t="shared" si="59"/>
        <v>0.625</v>
      </c>
      <c r="AB89" s="182">
        <f t="shared" si="59"/>
        <v>0.625</v>
      </c>
      <c r="AC89" s="182">
        <f t="shared" si="59"/>
        <v>0.625</v>
      </c>
      <c r="AD89" s="182">
        <f t="shared" si="59"/>
        <v>0.625</v>
      </c>
      <c r="AE89" s="182">
        <f t="shared" si="59"/>
        <v>0.625</v>
      </c>
      <c r="AF89" s="182">
        <f t="shared" si="59"/>
        <v>0.625</v>
      </c>
    </row>
    <row r="91" spans="1:32">
      <c r="A91" s="142" t="s">
        <v>565</v>
      </c>
      <c r="B91" s="142">
        <v>2025</v>
      </c>
      <c r="C91" s="142">
        <v>2026</v>
      </c>
      <c r="D91" s="142">
        <v>2027</v>
      </c>
      <c r="E91" s="142">
        <v>2028</v>
      </c>
      <c r="F91" s="142">
        <v>2029</v>
      </c>
      <c r="G91" s="142">
        <v>2030</v>
      </c>
      <c r="H91" s="142">
        <v>2031</v>
      </c>
      <c r="I91" s="142">
        <v>2032</v>
      </c>
      <c r="J91" s="142">
        <v>2033</v>
      </c>
      <c r="K91" s="142">
        <v>2034</v>
      </c>
      <c r="L91" s="142">
        <v>2035</v>
      </c>
      <c r="M91" s="142">
        <v>2036</v>
      </c>
      <c r="N91" s="142">
        <v>2037</v>
      </c>
      <c r="O91" s="142">
        <v>2038</v>
      </c>
      <c r="P91" s="142">
        <v>2039</v>
      </c>
      <c r="Q91" s="142">
        <v>2040</v>
      </c>
      <c r="R91" s="142">
        <v>2041</v>
      </c>
      <c r="S91" s="142">
        <v>2042</v>
      </c>
      <c r="T91" s="142">
        <v>2043</v>
      </c>
      <c r="U91" s="142">
        <v>2044</v>
      </c>
      <c r="V91" s="142">
        <v>2045</v>
      </c>
      <c r="W91" s="142">
        <v>2046</v>
      </c>
      <c r="X91" s="142">
        <v>2047</v>
      </c>
      <c r="Y91" s="142">
        <v>2048</v>
      </c>
      <c r="Z91" s="142">
        <v>2049</v>
      </c>
      <c r="AA91" s="142">
        <v>2050</v>
      </c>
      <c r="AB91" s="142">
        <v>2051</v>
      </c>
      <c r="AC91" s="142">
        <v>2052</v>
      </c>
      <c r="AD91" s="142">
        <v>2053</v>
      </c>
      <c r="AE91" s="142">
        <v>2054</v>
      </c>
      <c r="AF91" s="142">
        <v>2055</v>
      </c>
    </row>
    <row r="92" spans="1:32">
      <c r="A92" s="112" t="s">
        <v>44</v>
      </c>
      <c r="B92" s="182">
        <f>IF(ROW(B74)&lt;=75, B74/SUM(B$74:B$75), 0)</f>
        <v>0.73940194944655546</v>
      </c>
      <c r="C92" s="182">
        <f t="shared" ref="C92:AF98" si="60">IF(ROW(C74)&lt;=75, C74/SUM(C$74:C$75), 0)</f>
        <v>0.7142857142857143</v>
      </c>
      <c r="D92" s="182">
        <f t="shared" si="60"/>
        <v>0.7142857142857143</v>
      </c>
      <c r="E92" s="182">
        <f t="shared" si="60"/>
        <v>0.7142857142857143</v>
      </c>
      <c r="F92" s="182">
        <f t="shared" si="60"/>
        <v>0.7142857142857143</v>
      </c>
      <c r="G92" s="182">
        <f t="shared" si="60"/>
        <v>0.7142857142857143</v>
      </c>
      <c r="H92" s="182">
        <f t="shared" si="60"/>
        <v>0.70270270270270274</v>
      </c>
      <c r="I92" s="182">
        <f t="shared" si="60"/>
        <v>0.66666666666666663</v>
      </c>
      <c r="J92" s="182">
        <f t="shared" si="60"/>
        <v>0.67500000000000004</v>
      </c>
      <c r="K92" s="182">
        <f t="shared" si="60"/>
        <v>0.66666666666666663</v>
      </c>
      <c r="L92" s="182">
        <f t="shared" si="60"/>
        <v>0.65909090909090917</v>
      </c>
      <c r="M92" s="182">
        <f t="shared" si="60"/>
        <v>0.64444444444444449</v>
      </c>
      <c r="N92" s="182">
        <f t="shared" si="60"/>
        <v>0.625</v>
      </c>
      <c r="O92" s="182">
        <f t="shared" si="60"/>
        <v>0.61224489795918369</v>
      </c>
      <c r="P92" s="182">
        <f t="shared" si="60"/>
        <v>0.61224489795918369</v>
      </c>
      <c r="Q92" s="182">
        <f t="shared" si="60"/>
        <v>0.6</v>
      </c>
      <c r="R92" s="182">
        <f t="shared" si="60"/>
        <v>0.6</v>
      </c>
      <c r="S92" s="182">
        <f t="shared" si="60"/>
        <v>0.6</v>
      </c>
      <c r="T92" s="182">
        <f t="shared" si="60"/>
        <v>0.6</v>
      </c>
      <c r="U92" s="182">
        <f t="shared" si="60"/>
        <v>0.6</v>
      </c>
      <c r="V92" s="182">
        <f t="shared" si="60"/>
        <v>0.6</v>
      </c>
      <c r="W92" s="182">
        <f t="shared" si="60"/>
        <v>0.6</v>
      </c>
      <c r="X92" s="182">
        <f t="shared" si="60"/>
        <v>0.6</v>
      </c>
      <c r="Y92" s="182">
        <f t="shared" si="60"/>
        <v>0.6</v>
      </c>
      <c r="Z92" s="182">
        <f t="shared" si="60"/>
        <v>0.6</v>
      </c>
      <c r="AA92" s="182">
        <f t="shared" si="60"/>
        <v>0.6</v>
      </c>
      <c r="AB92" s="182">
        <f t="shared" si="60"/>
        <v>0.6</v>
      </c>
      <c r="AC92" s="182">
        <f t="shared" si="60"/>
        <v>0.6</v>
      </c>
      <c r="AD92" s="182">
        <f t="shared" si="60"/>
        <v>0.6</v>
      </c>
      <c r="AE92" s="182">
        <f t="shared" si="60"/>
        <v>0.6</v>
      </c>
      <c r="AF92" s="182">
        <f t="shared" si="60"/>
        <v>0.6</v>
      </c>
    </row>
    <row r="93" spans="1:32">
      <c r="A93" s="112" t="s">
        <v>45</v>
      </c>
      <c r="B93" s="182">
        <f t="shared" ref="B93:Q98" si="61">IF(ROW(B75)&lt;=75, B75/SUM(B$74:B$75), 0)</f>
        <v>0.26059805055344459</v>
      </c>
      <c r="C93" s="182">
        <f t="shared" si="61"/>
        <v>0.28571428571428575</v>
      </c>
      <c r="D93" s="182">
        <f t="shared" si="61"/>
        <v>0.28571428571428575</v>
      </c>
      <c r="E93" s="182">
        <f t="shared" si="61"/>
        <v>0.28571428571428575</v>
      </c>
      <c r="F93" s="182">
        <f t="shared" si="61"/>
        <v>0.28571428571428575</v>
      </c>
      <c r="G93" s="182">
        <f t="shared" si="61"/>
        <v>0.2857142857142857</v>
      </c>
      <c r="H93" s="182">
        <f t="shared" si="61"/>
        <v>0.29729729729729726</v>
      </c>
      <c r="I93" s="182">
        <f t="shared" si="61"/>
        <v>0.33333333333333331</v>
      </c>
      <c r="J93" s="182">
        <f t="shared" si="61"/>
        <v>0.32500000000000001</v>
      </c>
      <c r="K93" s="182">
        <f t="shared" si="61"/>
        <v>0.33333333333333331</v>
      </c>
      <c r="L93" s="182">
        <f t="shared" si="61"/>
        <v>0.34090909090909094</v>
      </c>
      <c r="M93" s="182">
        <f t="shared" si="61"/>
        <v>0.35555555555555562</v>
      </c>
      <c r="N93" s="182">
        <f t="shared" si="61"/>
        <v>0.375</v>
      </c>
      <c r="O93" s="182">
        <f t="shared" si="61"/>
        <v>0.38775510204081631</v>
      </c>
      <c r="P93" s="182">
        <f t="shared" si="61"/>
        <v>0.38775510204081631</v>
      </c>
      <c r="Q93" s="182">
        <f t="shared" si="61"/>
        <v>0.4</v>
      </c>
      <c r="R93" s="182">
        <f t="shared" si="60"/>
        <v>0.4</v>
      </c>
      <c r="S93" s="182">
        <f t="shared" si="60"/>
        <v>0.4</v>
      </c>
      <c r="T93" s="182">
        <f t="shared" si="60"/>
        <v>0.4</v>
      </c>
      <c r="U93" s="182">
        <f t="shared" si="60"/>
        <v>0.4</v>
      </c>
      <c r="V93" s="182">
        <f t="shared" si="60"/>
        <v>0.39999999999999997</v>
      </c>
      <c r="W93" s="182">
        <f t="shared" si="60"/>
        <v>0.4</v>
      </c>
      <c r="X93" s="182">
        <f t="shared" si="60"/>
        <v>0.39999999999999997</v>
      </c>
      <c r="Y93" s="182">
        <f t="shared" si="60"/>
        <v>0.4</v>
      </c>
      <c r="Z93" s="182">
        <f t="shared" si="60"/>
        <v>0.40000000000000008</v>
      </c>
      <c r="AA93" s="182">
        <f t="shared" si="60"/>
        <v>0.40000000000000008</v>
      </c>
      <c r="AB93" s="182">
        <f t="shared" si="60"/>
        <v>0.40000000000000008</v>
      </c>
      <c r="AC93" s="182">
        <f t="shared" si="60"/>
        <v>0.4</v>
      </c>
      <c r="AD93" s="182">
        <f t="shared" si="60"/>
        <v>0.40000000000000008</v>
      </c>
      <c r="AE93" s="182">
        <f t="shared" si="60"/>
        <v>0.39999999999999997</v>
      </c>
      <c r="AF93" s="182">
        <f t="shared" si="60"/>
        <v>0.40000000000000008</v>
      </c>
    </row>
    <row r="94" spans="1:32">
      <c r="A94" s="112" t="s">
        <v>46</v>
      </c>
      <c r="B94" s="182">
        <f t="shared" si="61"/>
        <v>0</v>
      </c>
      <c r="C94" s="182">
        <f t="shared" si="60"/>
        <v>0</v>
      </c>
      <c r="D94" s="182">
        <f t="shared" si="60"/>
        <v>0</v>
      </c>
      <c r="E94" s="182">
        <f t="shared" si="60"/>
        <v>0</v>
      </c>
      <c r="F94" s="182">
        <f t="shared" si="60"/>
        <v>0</v>
      </c>
      <c r="G94" s="182">
        <f t="shared" si="60"/>
        <v>0</v>
      </c>
      <c r="H94" s="182">
        <f t="shared" si="60"/>
        <v>0</v>
      </c>
      <c r="I94" s="182">
        <f t="shared" si="60"/>
        <v>0</v>
      </c>
      <c r="J94" s="182">
        <f t="shared" si="60"/>
        <v>0</v>
      </c>
      <c r="K94" s="182">
        <f t="shared" si="60"/>
        <v>0</v>
      </c>
      <c r="L94" s="182">
        <f t="shared" si="60"/>
        <v>0</v>
      </c>
      <c r="M94" s="182">
        <f t="shared" si="60"/>
        <v>0</v>
      </c>
      <c r="N94" s="182">
        <f t="shared" si="60"/>
        <v>0</v>
      </c>
      <c r="O94" s="182">
        <f t="shared" si="60"/>
        <v>0</v>
      </c>
      <c r="P94" s="182">
        <f t="shared" si="60"/>
        <v>0</v>
      </c>
      <c r="Q94" s="182">
        <f t="shared" si="60"/>
        <v>0</v>
      </c>
      <c r="R94" s="182">
        <f t="shared" si="60"/>
        <v>0</v>
      </c>
      <c r="S94" s="182">
        <f t="shared" si="60"/>
        <v>0</v>
      </c>
      <c r="T94" s="182">
        <f t="shared" si="60"/>
        <v>0</v>
      </c>
      <c r="U94" s="182">
        <f t="shared" si="60"/>
        <v>0</v>
      </c>
      <c r="V94" s="182">
        <f t="shared" si="60"/>
        <v>0</v>
      </c>
      <c r="W94" s="182">
        <f t="shared" si="60"/>
        <v>0</v>
      </c>
      <c r="X94" s="182">
        <f t="shared" si="60"/>
        <v>0</v>
      </c>
      <c r="Y94" s="182">
        <f t="shared" si="60"/>
        <v>0</v>
      </c>
      <c r="Z94" s="182">
        <f t="shared" si="60"/>
        <v>0</v>
      </c>
      <c r="AA94" s="182">
        <f t="shared" si="60"/>
        <v>0</v>
      </c>
      <c r="AB94" s="182">
        <f t="shared" si="60"/>
        <v>0</v>
      </c>
      <c r="AC94" s="182">
        <f t="shared" si="60"/>
        <v>0</v>
      </c>
      <c r="AD94" s="182">
        <f t="shared" si="60"/>
        <v>0</v>
      </c>
      <c r="AE94" s="182">
        <f t="shared" si="60"/>
        <v>0</v>
      </c>
      <c r="AF94" s="182">
        <f t="shared" si="60"/>
        <v>0</v>
      </c>
    </row>
    <row r="95" spans="1:32">
      <c r="A95" s="112" t="s">
        <v>47</v>
      </c>
      <c r="B95" s="182">
        <f t="shared" si="61"/>
        <v>0</v>
      </c>
      <c r="C95" s="182">
        <f t="shared" si="60"/>
        <v>0</v>
      </c>
      <c r="D95" s="182">
        <f t="shared" si="60"/>
        <v>0</v>
      </c>
      <c r="E95" s="182">
        <f t="shared" si="60"/>
        <v>0</v>
      </c>
      <c r="F95" s="182">
        <f t="shared" si="60"/>
        <v>0</v>
      </c>
      <c r="G95" s="182">
        <f t="shared" si="60"/>
        <v>0</v>
      </c>
      <c r="H95" s="182">
        <f t="shared" si="60"/>
        <v>0</v>
      </c>
      <c r="I95" s="182">
        <f t="shared" si="60"/>
        <v>0</v>
      </c>
      <c r="J95" s="182">
        <f t="shared" si="60"/>
        <v>0</v>
      </c>
      <c r="K95" s="182">
        <f t="shared" si="60"/>
        <v>0</v>
      </c>
      <c r="L95" s="182">
        <f t="shared" si="60"/>
        <v>0</v>
      </c>
      <c r="M95" s="182">
        <f t="shared" si="60"/>
        <v>0</v>
      </c>
      <c r="N95" s="182">
        <f t="shared" si="60"/>
        <v>0</v>
      </c>
      <c r="O95" s="182">
        <f t="shared" si="60"/>
        <v>0</v>
      </c>
      <c r="P95" s="182">
        <f t="shared" si="60"/>
        <v>0</v>
      </c>
      <c r="Q95" s="182">
        <f t="shared" si="60"/>
        <v>0</v>
      </c>
      <c r="R95" s="182">
        <f t="shared" si="60"/>
        <v>0</v>
      </c>
      <c r="S95" s="182">
        <f t="shared" si="60"/>
        <v>0</v>
      </c>
      <c r="T95" s="182">
        <f t="shared" si="60"/>
        <v>0</v>
      </c>
      <c r="U95" s="182">
        <f t="shared" si="60"/>
        <v>0</v>
      </c>
      <c r="V95" s="182">
        <f t="shared" si="60"/>
        <v>0</v>
      </c>
      <c r="W95" s="182">
        <f t="shared" si="60"/>
        <v>0</v>
      </c>
      <c r="X95" s="182">
        <f t="shared" si="60"/>
        <v>0</v>
      </c>
      <c r="Y95" s="182">
        <f t="shared" si="60"/>
        <v>0</v>
      </c>
      <c r="Z95" s="182">
        <f t="shared" si="60"/>
        <v>0</v>
      </c>
      <c r="AA95" s="182">
        <f t="shared" si="60"/>
        <v>0</v>
      </c>
      <c r="AB95" s="182">
        <f t="shared" si="60"/>
        <v>0</v>
      </c>
      <c r="AC95" s="182">
        <f t="shared" si="60"/>
        <v>0</v>
      </c>
      <c r="AD95" s="182">
        <f t="shared" si="60"/>
        <v>0</v>
      </c>
      <c r="AE95" s="182">
        <f t="shared" si="60"/>
        <v>0</v>
      </c>
      <c r="AF95" s="182">
        <f t="shared" si="60"/>
        <v>0</v>
      </c>
    </row>
    <row r="96" spans="1:32">
      <c r="A96" s="112" t="s">
        <v>48</v>
      </c>
      <c r="B96" s="182">
        <f t="shared" si="61"/>
        <v>0</v>
      </c>
      <c r="C96" s="182">
        <f t="shared" si="60"/>
        <v>0</v>
      </c>
      <c r="D96" s="182">
        <f t="shared" si="60"/>
        <v>0</v>
      </c>
      <c r="E96" s="182">
        <f t="shared" si="60"/>
        <v>0</v>
      </c>
      <c r="F96" s="182">
        <f t="shared" si="60"/>
        <v>0</v>
      </c>
      <c r="G96" s="182">
        <f t="shared" si="60"/>
        <v>0</v>
      </c>
      <c r="H96" s="182">
        <f t="shared" si="60"/>
        <v>0</v>
      </c>
      <c r="I96" s="182">
        <f t="shared" si="60"/>
        <v>0</v>
      </c>
      <c r="J96" s="182">
        <f t="shared" si="60"/>
        <v>0</v>
      </c>
      <c r="K96" s="182">
        <f t="shared" si="60"/>
        <v>0</v>
      </c>
      <c r="L96" s="182">
        <f t="shared" si="60"/>
        <v>0</v>
      </c>
      <c r="M96" s="182">
        <f t="shared" si="60"/>
        <v>0</v>
      </c>
      <c r="N96" s="182">
        <f t="shared" si="60"/>
        <v>0</v>
      </c>
      <c r="O96" s="182">
        <f t="shared" si="60"/>
        <v>0</v>
      </c>
      <c r="P96" s="182">
        <f t="shared" si="60"/>
        <v>0</v>
      </c>
      <c r="Q96" s="182">
        <f t="shared" si="60"/>
        <v>0</v>
      </c>
      <c r="R96" s="182">
        <f t="shared" si="60"/>
        <v>0</v>
      </c>
      <c r="S96" s="182">
        <f t="shared" si="60"/>
        <v>0</v>
      </c>
      <c r="T96" s="182">
        <f t="shared" si="60"/>
        <v>0</v>
      </c>
      <c r="U96" s="182">
        <f t="shared" si="60"/>
        <v>0</v>
      </c>
      <c r="V96" s="182">
        <f t="shared" si="60"/>
        <v>0</v>
      </c>
      <c r="W96" s="182">
        <f t="shared" si="60"/>
        <v>0</v>
      </c>
      <c r="X96" s="182">
        <f t="shared" si="60"/>
        <v>0</v>
      </c>
      <c r="Y96" s="182">
        <f t="shared" si="60"/>
        <v>0</v>
      </c>
      <c r="Z96" s="182">
        <f t="shared" si="60"/>
        <v>0</v>
      </c>
      <c r="AA96" s="182">
        <f t="shared" si="60"/>
        <v>0</v>
      </c>
      <c r="AB96" s="182">
        <f t="shared" si="60"/>
        <v>0</v>
      </c>
      <c r="AC96" s="182">
        <f t="shared" si="60"/>
        <v>0</v>
      </c>
      <c r="AD96" s="182">
        <f t="shared" si="60"/>
        <v>0</v>
      </c>
      <c r="AE96" s="182">
        <f t="shared" si="60"/>
        <v>0</v>
      </c>
      <c r="AF96" s="182">
        <f t="shared" si="60"/>
        <v>0</v>
      </c>
    </row>
    <row r="97" spans="1:32">
      <c r="A97" s="112" t="s">
        <v>49</v>
      </c>
      <c r="B97" s="182">
        <f t="shared" si="61"/>
        <v>0</v>
      </c>
      <c r="C97" s="182">
        <f t="shared" si="60"/>
        <v>0</v>
      </c>
      <c r="D97" s="182">
        <f t="shared" si="60"/>
        <v>0</v>
      </c>
      <c r="E97" s="182">
        <f t="shared" si="60"/>
        <v>0</v>
      </c>
      <c r="F97" s="182">
        <f t="shared" si="60"/>
        <v>0</v>
      </c>
      <c r="G97" s="182">
        <f t="shared" si="60"/>
        <v>0</v>
      </c>
      <c r="H97" s="182">
        <f t="shared" si="60"/>
        <v>0</v>
      </c>
      <c r="I97" s="182">
        <f t="shared" si="60"/>
        <v>0</v>
      </c>
      <c r="J97" s="182">
        <f t="shared" si="60"/>
        <v>0</v>
      </c>
      <c r="K97" s="182">
        <f t="shared" si="60"/>
        <v>0</v>
      </c>
      <c r="L97" s="182">
        <f t="shared" si="60"/>
        <v>0</v>
      </c>
      <c r="M97" s="182">
        <f t="shared" si="60"/>
        <v>0</v>
      </c>
      <c r="N97" s="182">
        <f t="shared" si="60"/>
        <v>0</v>
      </c>
      <c r="O97" s="182">
        <f t="shared" si="60"/>
        <v>0</v>
      </c>
      <c r="P97" s="182">
        <f t="shared" si="60"/>
        <v>0</v>
      </c>
      <c r="Q97" s="182">
        <f t="shared" si="60"/>
        <v>0</v>
      </c>
      <c r="R97" s="182">
        <f t="shared" si="60"/>
        <v>0</v>
      </c>
      <c r="S97" s="182">
        <f t="shared" si="60"/>
        <v>0</v>
      </c>
      <c r="T97" s="182">
        <f t="shared" si="60"/>
        <v>0</v>
      </c>
      <c r="U97" s="182">
        <f t="shared" si="60"/>
        <v>0</v>
      </c>
      <c r="V97" s="182">
        <f t="shared" si="60"/>
        <v>0</v>
      </c>
      <c r="W97" s="182">
        <f t="shared" si="60"/>
        <v>0</v>
      </c>
      <c r="X97" s="182">
        <f t="shared" si="60"/>
        <v>0</v>
      </c>
      <c r="Y97" s="182">
        <f t="shared" si="60"/>
        <v>0</v>
      </c>
      <c r="Z97" s="182">
        <f t="shared" si="60"/>
        <v>0</v>
      </c>
      <c r="AA97" s="182">
        <f t="shared" si="60"/>
        <v>0</v>
      </c>
      <c r="AB97" s="182">
        <f t="shared" si="60"/>
        <v>0</v>
      </c>
      <c r="AC97" s="182">
        <f t="shared" si="60"/>
        <v>0</v>
      </c>
      <c r="AD97" s="182">
        <f t="shared" si="60"/>
        <v>0</v>
      </c>
      <c r="AE97" s="182">
        <f t="shared" si="60"/>
        <v>0</v>
      </c>
      <c r="AF97" s="182">
        <f t="shared" si="60"/>
        <v>0</v>
      </c>
    </row>
    <row r="98" spans="1:32">
      <c r="A98" s="112" t="s">
        <v>50</v>
      </c>
      <c r="B98" s="182">
        <f t="shared" si="61"/>
        <v>0</v>
      </c>
      <c r="C98" s="182">
        <f t="shared" si="60"/>
        <v>0</v>
      </c>
      <c r="D98" s="182">
        <f t="shared" si="60"/>
        <v>0</v>
      </c>
      <c r="E98" s="182">
        <f t="shared" si="60"/>
        <v>0</v>
      </c>
      <c r="F98" s="182">
        <f t="shared" si="60"/>
        <v>0</v>
      </c>
      <c r="G98" s="182">
        <f t="shared" si="60"/>
        <v>0</v>
      </c>
      <c r="H98" s="182">
        <f t="shared" si="60"/>
        <v>0</v>
      </c>
      <c r="I98" s="182">
        <f t="shared" si="60"/>
        <v>0</v>
      </c>
      <c r="J98" s="182">
        <f t="shared" si="60"/>
        <v>0</v>
      </c>
      <c r="K98" s="182">
        <f t="shared" si="60"/>
        <v>0</v>
      </c>
      <c r="L98" s="182">
        <f t="shared" si="60"/>
        <v>0</v>
      </c>
      <c r="M98" s="182">
        <f t="shared" si="60"/>
        <v>0</v>
      </c>
      <c r="N98" s="182">
        <f t="shared" si="60"/>
        <v>0</v>
      </c>
      <c r="O98" s="182">
        <f t="shared" si="60"/>
        <v>0</v>
      </c>
      <c r="P98" s="182">
        <f t="shared" si="60"/>
        <v>0</v>
      </c>
      <c r="Q98" s="182">
        <f t="shared" si="60"/>
        <v>0</v>
      </c>
      <c r="R98" s="182">
        <f t="shared" si="60"/>
        <v>0</v>
      </c>
      <c r="S98" s="182">
        <f t="shared" si="60"/>
        <v>0</v>
      </c>
      <c r="T98" s="182">
        <f t="shared" si="60"/>
        <v>0</v>
      </c>
      <c r="U98" s="182">
        <f t="shared" si="60"/>
        <v>0</v>
      </c>
      <c r="V98" s="182">
        <f t="shared" si="60"/>
        <v>0</v>
      </c>
      <c r="W98" s="182">
        <f t="shared" si="60"/>
        <v>0</v>
      </c>
      <c r="X98" s="182">
        <f t="shared" si="60"/>
        <v>0</v>
      </c>
      <c r="Y98" s="182">
        <f t="shared" si="60"/>
        <v>0</v>
      </c>
      <c r="Z98" s="182">
        <f t="shared" si="60"/>
        <v>0</v>
      </c>
      <c r="AA98" s="182">
        <f t="shared" si="60"/>
        <v>0</v>
      </c>
      <c r="AB98" s="182">
        <f t="shared" si="60"/>
        <v>0</v>
      </c>
      <c r="AC98" s="182">
        <f t="shared" si="60"/>
        <v>0</v>
      </c>
      <c r="AD98" s="182">
        <f t="shared" si="60"/>
        <v>0</v>
      </c>
      <c r="AE98" s="182">
        <f t="shared" si="60"/>
        <v>0</v>
      </c>
      <c r="AF98" s="182">
        <f t="shared" si="60"/>
        <v>0</v>
      </c>
    </row>
    <row r="99" spans="1:32">
      <c r="B99" s="18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97"/>
  <sheetViews>
    <sheetView zoomScaleNormal="100" workbookViewId="0">
      <pane ySplit="1" topLeftCell="A2" activePane="bottomLeft" state="frozen"/>
      <selection activeCell="C97" sqref="C97:AG97"/>
      <selection pane="bottomLeft" activeCell="B2" sqref="B2"/>
    </sheetView>
  </sheetViews>
  <sheetFormatPr defaultRowHeight="14.4"/>
  <cols>
    <col min="1" max="1" width="35.6640625" bestFit="1" customWidth="1"/>
    <col min="2" max="2" width="14.109375" bestFit="1" customWidth="1"/>
    <col min="3" max="3" width="18.109375" bestFit="1" customWidth="1"/>
    <col min="4" max="4" width="23.109375" bestFit="1" customWidth="1"/>
    <col min="5" max="23" width="12.44140625" bestFit="1" customWidth="1"/>
    <col min="24" max="32" width="14.109375" bestFit="1" customWidth="1"/>
  </cols>
  <sheetData>
    <row r="1" spans="1:32" s="220" customFormat="1">
      <c r="A1" s="136" t="s">
        <v>41</v>
      </c>
      <c r="B1" s="136" cm="1">
        <f t="array" ref="B1:AF1">TRANSPOSE('Output Summary'!A29:A59)</f>
        <v>2025</v>
      </c>
      <c r="C1" s="136">
        <v>2026</v>
      </c>
      <c r="D1" s="136">
        <v>2027</v>
      </c>
      <c r="E1" s="136">
        <v>2028</v>
      </c>
      <c r="F1" s="136">
        <v>2029</v>
      </c>
      <c r="G1" s="136">
        <v>2030</v>
      </c>
      <c r="H1" s="136">
        <v>2031</v>
      </c>
      <c r="I1" s="136">
        <v>2032</v>
      </c>
      <c r="J1" s="136">
        <v>2033</v>
      </c>
      <c r="K1" s="136">
        <v>2034</v>
      </c>
      <c r="L1" s="136">
        <v>2035</v>
      </c>
      <c r="M1" s="136">
        <v>2036</v>
      </c>
      <c r="N1" s="136">
        <v>2037</v>
      </c>
      <c r="O1" s="136">
        <v>2038</v>
      </c>
      <c r="P1" s="136">
        <v>2039</v>
      </c>
      <c r="Q1" s="136">
        <v>2040</v>
      </c>
      <c r="R1" s="136">
        <v>2041</v>
      </c>
      <c r="S1" s="136">
        <v>2042</v>
      </c>
      <c r="T1" s="136">
        <v>2043</v>
      </c>
      <c r="U1" s="136">
        <v>2044</v>
      </c>
      <c r="V1" s="136">
        <v>2045</v>
      </c>
      <c r="W1" s="136">
        <v>2046</v>
      </c>
      <c r="X1" s="136">
        <v>2047</v>
      </c>
      <c r="Y1" s="136">
        <v>2048</v>
      </c>
      <c r="Z1" s="136">
        <v>2049</v>
      </c>
      <c r="AA1" s="136">
        <v>2050</v>
      </c>
      <c r="AB1" s="136">
        <v>2051</v>
      </c>
      <c r="AC1" s="136">
        <v>2052</v>
      </c>
      <c r="AD1" s="136">
        <v>2053</v>
      </c>
      <c r="AE1" s="136">
        <v>2054</v>
      </c>
      <c r="AF1" s="136">
        <v>2055</v>
      </c>
    </row>
    <row r="2" spans="1:32">
      <c r="A2" s="137" t="s">
        <v>540</v>
      </c>
      <c r="B2" s="138" cm="1">
        <f t="array" aca="1" ref="B2:AF2" ca="1">TRANSPOSE('Output Summary'!C29:C59)</f>
        <v>5302669.0284109609</v>
      </c>
      <c r="C2" s="138">
        <f ca="1"/>
        <v>5376100.706646435</v>
      </c>
      <c r="D2" s="138">
        <f ca="1"/>
        <v>5447400.4205710832</v>
      </c>
      <c r="E2" s="138">
        <f ca="1"/>
        <v>5515103.5396574968</v>
      </c>
      <c r="F2" s="138">
        <f ca="1"/>
        <v>5600826.7891513947</v>
      </c>
      <c r="G2" s="138">
        <f ca="1"/>
        <v>5664543.719008334</v>
      </c>
      <c r="H2" s="138">
        <f ca="1"/>
        <v>5723812.2896539103</v>
      </c>
      <c r="I2" s="138">
        <f ca="1"/>
        <v>5871247.2869635122</v>
      </c>
      <c r="J2" s="138">
        <f ca="1"/>
        <v>6043473.4986998783</v>
      </c>
      <c r="K2" s="138">
        <f ca="1"/>
        <v>6258731.4336894304</v>
      </c>
      <c r="L2" s="138">
        <f ca="1"/>
        <v>6455316.845368674</v>
      </c>
      <c r="M2" s="138">
        <f ca="1"/>
        <v>6613670.6729320632</v>
      </c>
      <c r="N2" s="138">
        <f ca="1"/>
        <v>6565013.4752417672</v>
      </c>
      <c r="O2" s="138">
        <f ca="1"/>
        <v>6468977.7971945973</v>
      </c>
      <c r="P2" s="138">
        <f ca="1"/>
        <v>6324526.4039301183</v>
      </c>
      <c r="Q2" s="138">
        <f ca="1"/>
        <v>6218446.7361738645</v>
      </c>
      <c r="R2" s="138">
        <f ca="1"/>
        <v>6182529.4130798392</v>
      </c>
      <c r="S2" s="138">
        <f ca="1"/>
        <v>6224298.1765632667</v>
      </c>
      <c r="T2" s="138">
        <f ca="1"/>
        <v>6174047.7530947328</v>
      </c>
      <c r="U2" s="138">
        <f ca="1"/>
        <v>6028865.6556020603</v>
      </c>
      <c r="V2" s="138">
        <f ca="1"/>
        <v>5889100.1080024894</v>
      </c>
      <c r="W2" s="138">
        <f ca="1"/>
        <v>5745202.1904062759</v>
      </c>
      <c r="X2" s="138">
        <f ca="1"/>
        <v>5564314.5639532739</v>
      </c>
      <c r="Y2" s="138">
        <f ca="1"/>
        <v>5381957.330153916</v>
      </c>
      <c r="Z2" s="138">
        <f ca="1"/>
        <v>5198905.823150631</v>
      </c>
      <c r="AA2" s="138">
        <f ca="1"/>
        <v>4999349.9102836754</v>
      </c>
      <c r="AB2" s="138">
        <f ca="1"/>
        <v>4815771.205301147</v>
      </c>
      <c r="AC2" s="138">
        <f ca="1"/>
        <v>4649642.6204652293</v>
      </c>
      <c r="AD2" s="138">
        <f ca="1"/>
        <v>4480879.5899797734</v>
      </c>
      <c r="AE2" s="138">
        <f ca="1"/>
        <v>4322725.4892957518</v>
      </c>
      <c r="AF2" s="138">
        <f ca="1"/>
        <v>4184689.7825602307</v>
      </c>
    </row>
    <row r="3" spans="1:32">
      <c r="A3" s="137" t="s">
        <v>550</v>
      </c>
      <c r="B3" s="138" cm="1">
        <f t="array" aca="1" ref="B3:AF3" ca="1">TRANSPOSE('Output Summary'!E29:E59)</f>
        <v>148.99999999999997</v>
      </c>
      <c r="C3" s="138">
        <f ca="1"/>
        <v>557.14205125370893</v>
      </c>
      <c r="D3" s="138">
        <f ca="1"/>
        <v>1467.1954099890563</v>
      </c>
      <c r="E3" s="138">
        <f ca="1"/>
        <v>3313.4450447900299</v>
      </c>
      <c r="F3" s="138">
        <f ca="1"/>
        <v>7027.8099357310975</v>
      </c>
      <c r="G3" s="138">
        <f ca="1"/>
        <v>13561.199594305777</v>
      </c>
      <c r="H3" s="138">
        <f ca="1"/>
        <v>24275.099594305771</v>
      </c>
      <c r="I3" s="138">
        <f ca="1"/>
        <v>47473.896279127774</v>
      </c>
      <c r="J3" s="138">
        <f ca="1"/>
        <v>83245.061207875842</v>
      </c>
      <c r="K3" s="138">
        <f ca="1"/>
        <v>138730.08565070113</v>
      </c>
      <c r="L3" s="138">
        <f ca="1"/>
        <v>223173.97469203302</v>
      </c>
      <c r="M3" s="138">
        <f ca="1"/>
        <v>343880.21473521926</v>
      </c>
      <c r="N3" s="138">
        <f ca="1"/>
        <v>507010.22347432398</v>
      </c>
      <c r="O3" s="138">
        <f ca="1"/>
        <v>717974.98301765777</v>
      </c>
      <c r="P3" s="138">
        <f ca="1"/>
        <v>981950.58028829098</v>
      </c>
      <c r="Q3" s="138">
        <f ca="1"/>
        <v>1301160.2299512387</v>
      </c>
      <c r="R3" s="138">
        <f ca="1"/>
        <v>1676542.8274583507</v>
      </c>
      <c r="S3" s="138">
        <f ca="1"/>
        <v>2104792.1816335386</v>
      </c>
      <c r="T3" s="138">
        <f ca="1"/>
        <v>2578341.8235343797</v>
      </c>
      <c r="U3" s="138">
        <f ca="1"/>
        <v>3087664.7609460629</v>
      </c>
      <c r="V3" s="138">
        <f ca="1"/>
        <v>3621912.3641026267</v>
      </c>
      <c r="W3" s="138">
        <f ca="1"/>
        <v>4184003.549182463</v>
      </c>
      <c r="X3" s="138">
        <f ca="1"/>
        <v>4774636.752380006</v>
      </c>
      <c r="Y3" s="138">
        <f ca="1"/>
        <v>5374168.4189648721</v>
      </c>
      <c r="Z3" s="138">
        <f ca="1"/>
        <v>5991500.6592261698</v>
      </c>
      <c r="AA3" s="138">
        <f ca="1"/>
        <v>6645023.9417546391</v>
      </c>
      <c r="AB3" s="138">
        <f ca="1"/>
        <v>7305568.7120964704</v>
      </c>
      <c r="AC3" s="138">
        <f ca="1"/>
        <v>7966990.8950256277</v>
      </c>
      <c r="AD3" s="138">
        <f ca="1"/>
        <v>8623972.0343453567</v>
      </c>
      <c r="AE3" s="138">
        <f ca="1"/>
        <v>9271934.3490625098</v>
      </c>
      <c r="AF3" s="138">
        <f ca="1"/>
        <v>9906472.1751190592</v>
      </c>
    </row>
    <row r="4" spans="1:32">
      <c r="A4" s="137" t="s">
        <v>551</v>
      </c>
      <c r="B4" s="138" cm="1">
        <f t="array" ref="B4:AF4">TRANSPOSE('Output Summary'!G29:G59)</f>
        <v>0</v>
      </c>
      <c r="C4" s="138">
        <v>0</v>
      </c>
      <c r="D4" s="138">
        <v>0</v>
      </c>
      <c r="E4" s="138">
        <v>31.155000000000008</v>
      </c>
      <c r="F4" s="138">
        <v>91.320251595160983</v>
      </c>
      <c r="G4" s="138">
        <v>195.1766578860408</v>
      </c>
      <c r="H4" s="138">
        <v>365.35061563812604</v>
      </c>
      <c r="I4" s="138">
        <v>654.40076439361928</v>
      </c>
      <c r="J4" s="138">
        <v>1111.5117124039789</v>
      </c>
      <c r="K4" s="138">
        <v>1790.1577931333159</v>
      </c>
      <c r="L4" s="138">
        <v>2785.1143571854282</v>
      </c>
      <c r="M4" s="138">
        <v>4189.0174803086202</v>
      </c>
      <c r="N4" s="138">
        <v>6108.2942812079173</v>
      </c>
      <c r="O4" s="138">
        <v>8671.5500177968024</v>
      </c>
      <c r="P4" s="138">
        <v>12040.461562663</v>
      </c>
      <c r="Q4" s="138">
        <v>16380.448336089459</v>
      </c>
      <c r="R4" s="138">
        <v>21886.891726287184</v>
      </c>
      <c r="S4" s="138">
        <v>28741.716771102867</v>
      </c>
      <c r="T4" s="138">
        <v>37105.284345682121</v>
      </c>
      <c r="U4" s="138">
        <v>47113.94267262167</v>
      </c>
      <c r="V4" s="138">
        <v>58959.305741368022</v>
      </c>
      <c r="W4" s="138">
        <v>72782.443797790431</v>
      </c>
      <c r="X4" s="138">
        <v>88747.69691111047</v>
      </c>
      <c r="Y4" s="138">
        <v>106595.48562341213</v>
      </c>
      <c r="Z4" s="138">
        <v>126611.8580576528</v>
      </c>
      <c r="AA4" s="138">
        <v>149673.12507443395</v>
      </c>
      <c r="AB4" s="138">
        <v>175314.86851038184</v>
      </c>
      <c r="AC4" s="138">
        <v>215579.2738808172</v>
      </c>
      <c r="AD4" s="138">
        <v>263568.00537574623</v>
      </c>
      <c r="AE4" s="138">
        <v>319659.3301306513</v>
      </c>
      <c r="AF4" s="138">
        <v>384198.99098551314</v>
      </c>
    </row>
    <row r="5" spans="1:32">
      <c r="A5" s="137" t="s">
        <v>552</v>
      </c>
      <c r="B5" s="138" cm="1">
        <f t="array" ref="B5:AF5">TRANSPOSE('Output Summary'!I29:I59)</f>
        <v>0</v>
      </c>
      <c r="C5" s="138">
        <v>0</v>
      </c>
      <c r="D5" s="138">
        <v>0</v>
      </c>
      <c r="E5" s="138">
        <v>0</v>
      </c>
      <c r="F5" s="138">
        <v>0</v>
      </c>
      <c r="G5" s="138">
        <v>34.995000000000005</v>
      </c>
      <c r="H5" s="138">
        <v>102.45311297466364</v>
      </c>
      <c r="I5" s="138">
        <v>234.38567367572799</v>
      </c>
      <c r="J5" s="138">
        <v>470.1275232422928</v>
      </c>
      <c r="K5" s="138">
        <v>859.07653450528892</v>
      </c>
      <c r="L5" s="138">
        <v>1483.6301926680478</v>
      </c>
      <c r="M5" s="138">
        <v>2436.6077326804416</v>
      </c>
      <c r="N5" s="138">
        <v>3829.8193743515326</v>
      </c>
      <c r="O5" s="138">
        <v>5800.2860114704745</v>
      </c>
      <c r="P5" s="138">
        <v>8519.6418369506628</v>
      </c>
      <c r="Q5" s="138">
        <v>12170.878607521629</v>
      </c>
      <c r="R5" s="138">
        <v>16968.120755044023</v>
      </c>
      <c r="S5" s="138">
        <v>23117.726021618088</v>
      </c>
      <c r="T5" s="138">
        <v>30806.5140506147</v>
      </c>
      <c r="U5" s="138">
        <v>40224.905781747497</v>
      </c>
      <c r="V5" s="138">
        <v>51580.333571012714</v>
      </c>
      <c r="W5" s="138">
        <v>65008.707569774684</v>
      </c>
      <c r="X5" s="138">
        <v>80708.206284015774</v>
      </c>
      <c r="Y5" s="138">
        <v>98449.271515933171</v>
      </c>
      <c r="Z5" s="138">
        <v>118520.25452191416</v>
      </c>
      <c r="AA5" s="138">
        <v>141791.1290193086</v>
      </c>
      <c r="AB5" s="138">
        <v>167803.27536114585</v>
      </c>
      <c r="AC5" s="138">
        <v>197626.93436929112</v>
      </c>
      <c r="AD5" s="138">
        <v>237206.32056159369</v>
      </c>
      <c r="AE5" s="138">
        <v>287084.58183213166</v>
      </c>
      <c r="AF5" s="138">
        <v>347773.2302797407</v>
      </c>
    </row>
    <row r="6" spans="1:32">
      <c r="A6" s="137" t="s">
        <v>553</v>
      </c>
      <c r="B6" s="138" cm="1">
        <f t="array" ref="B6:AF6">TRANSPOSE('Output Summary'!K29:K59)</f>
        <v>11875</v>
      </c>
      <c r="C6" s="138">
        <v>25248.994638025666</v>
      </c>
      <c r="D6" s="138">
        <v>38866.232932237872</v>
      </c>
      <c r="E6" s="138">
        <v>52705.078834880245</v>
      </c>
      <c r="F6" s="138">
        <v>67840.378482932341</v>
      </c>
      <c r="G6" s="138">
        <v>83397.218057375649</v>
      </c>
      <c r="H6" s="138">
        <v>99288.679006708044</v>
      </c>
      <c r="I6" s="138">
        <v>116840.24319348104</v>
      </c>
      <c r="J6" s="138">
        <v>135600.4075695278</v>
      </c>
      <c r="K6" s="138">
        <v>155107.20094151201</v>
      </c>
      <c r="L6" s="138">
        <v>175804.17997664245</v>
      </c>
      <c r="M6" s="138">
        <v>197586.80561860537</v>
      </c>
      <c r="N6" s="138">
        <v>220423.8875013777</v>
      </c>
      <c r="O6" s="138">
        <v>244416.4532373336</v>
      </c>
      <c r="P6" s="138">
        <v>269803.46363534138</v>
      </c>
      <c r="Q6" s="138">
        <v>296687.21226114751</v>
      </c>
      <c r="R6" s="138">
        <v>313371.35603755544</v>
      </c>
      <c r="S6" s="138">
        <v>330241.95855691162</v>
      </c>
      <c r="T6" s="138">
        <v>348438.67788821406</v>
      </c>
      <c r="U6" s="138">
        <v>367884.48424663686</v>
      </c>
      <c r="V6" s="138">
        <v>387446.73160834017</v>
      </c>
      <c r="W6" s="138">
        <v>405756.38605852629</v>
      </c>
      <c r="X6" s="138">
        <v>422815.50484514859</v>
      </c>
      <c r="Y6" s="138">
        <v>436523.09411071066</v>
      </c>
      <c r="Z6" s="138">
        <v>447646.98199409153</v>
      </c>
      <c r="AA6" s="138">
        <v>457540.53308607923</v>
      </c>
      <c r="AB6" s="138">
        <v>464507.5951256915</v>
      </c>
      <c r="AC6" s="138">
        <v>463533.52692882059</v>
      </c>
      <c r="AD6" s="138">
        <v>452101.4705101088</v>
      </c>
      <c r="AE6" s="138">
        <v>431378.44119194843</v>
      </c>
      <c r="AF6" s="138">
        <v>405991.43079394067</v>
      </c>
    </row>
    <row r="7" spans="1:32">
      <c r="A7" s="137" t="s">
        <v>554</v>
      </c>
      <c r="B7" s="138" cm="1">
        <f t="array" ref="B7:AF7">TRANSPOSE('Output Summary'!M29:M59)</f>
        <v>368</v>
      </c>
      <c r="C7" s="138">
        <v>782.46682101680631</v>
      </c>
      <c r="D7" s="138">
        <v>1204.6821262292199</v>
      </c>
      <c r="E7" s="138">
        <v>1634.6942864847506</v>
      </c>
      <c r="F7" s="138">
        <v>2107.7150019990922</v>
      </c>
      <c r="G7" s="138">
        <v>2599.8045057503296</v>
      </c>
      <c r="H7" s="138">
        <v>3113.3908401153617</v>
      </c>
      <c r="I7" s="138">
        <v>3700.3499494622974</v>
      </c>
      <c r="J7" s="138">
        <v>4359.7061107241625</v>
      </c>
      <c r="K7" s="138">
        <v>5092.8082143704332</v>
      </c>
      <c r="L7" s="138">
        <v>5939.0682364499953</v>
      </c>
      <c r="M7" s="138">
        <v>6923.0943247752848</v>
      </c>
      <c r="N7" s="138">
        <v>8076.2129506238689</v>
      </c>
      <c r="O7" s="138">
        <v>9439.0933447968764</v>
      </c>
      <c r="P7" s="138">
        <v>11062.511570287508</v>
      </c>
      <c r="Q7" s="138">
        <v>12987.757493790054</v>
      </c>
      <c r="R7" s="138">
        <v>14885.753766575683</v>
      </c>
      <c r="S7" s="138">
        <v>17088.60327721393</v>
      </c>
      <c r="T7" s="138">
        <v>19609.309910029428</v>
      </c>
      <c r="U7" s="138">
        <v>22392.246742354138</v>
      </c>
      <c r="V7" s="138">
        <v>25318.985676210646</v>
      </c>
      <c r="W7" s="138">
        <v>28234.551687218001</v>
      </c>
      <c r="X7" s="138">
        <v>31135.125904025273</v>
      </c>
      <c r="Y7" s="138">
        <v>33894.249908735932</v>
      </c>
      <c r="Z7" s="138">
        <v>36552.273327120951</v>
      </c>
      <c r="AA7" s="138">
        <v>39219.21105944422</v>
      </c>
      <c r="AB7" s="138">
        <v>41572.193882743064</v>
      </c>
      <c r="AC7" s="138">
        <v>42994.599607795761</v>
      </c>
      <c r="AD7" s="138">
        <v>43160.429505001797</v>
      </c>
      <c r="AE7" s="138">
        <v>42175.658764587461</v>
      </c>
      <c r="AF7" s="138">
        <v>40552.240539096827</v>
      </c>
    </row>
    <row r="8" spans="1:32">
      <c r="A8" s="139" t="s">
        <v>555</v>
      </c>
      <c r="B8" s="140" cm="1">
        <f t="array" ref="B8:AF8">TRANSPOSE('Output Summary'!O29:O59)</f>
        <v>5315061.0284109609</v>
      </c>
      <c r="C8" s="140">
        <v>5402689.3101567309</v>
      </c>
      <c r="D8" s="140">
        <v>5488938.5310395397</v>
      </c>
      <c r="E8" s="140">
        <v>5572787.9128236528</v>
      </c>
      <c r="F8" s="140">
        <v>5677894.0128236525</v>
      </c>
      <c r="G8" s="140">
        <v>5764332.1128236521</v>
      </c>
      <c r="H8" s="140">
        <v>5850957.2628236525</v>
      </c>
      <c r="I8" s="140">
        <v>6040150.5628236523</v>
      </c>
      <c r="J8" s="140">
        <v>6268260.3128236523</v>
      </c>
      <c r="K8" s="140">
        <v>6560310.7628236525</v>
      </c>
      <c r="L8" s="140">
        <v>6864502.8128236523</v>
      </c>
      <c r="M8" s="140">
        <v>7168686.4128236519</v>
      </c>
      <c r="N8" s="140">
        <v>7310461.9128236519</v>
      </c>
      <c r="O8" s="140">
        <v>7455280.1628236519</v>
      </c>
      <c r="P8" s="140">
        <v>7607903.0628236523</v>
      </c>
      <c r="Q8" s="140">
        <v>7857833.2628236525</v>
      </c>
      <c r="R8" s="140">
        <v>8226184.3628236521</v>
      </c>
      <c r="S8" s="140">
        <v>8728280.3628236521</v>
      </c>
      <c r="T8" s="140">
        <v>9188349.3628236521</v>
      </c>
      <c r="U8" s="140">
        <v>9594145.9959914833</v>
      </c>
      <c r="V8" s="140">
        <v>10034317.828702047</v>
      </c>
      <c r="W8" s="140">
        <v>10500987.828702047</v>
      </c>
      <c r="X8" s="140">
        <v>10962357.85027758</v>
      </c>
      <c r="Y8" s="140">
        <v>11431587.85027758</v>
      </c>
      <c r="Z8" s="140">
        <v>11919737.85027758</v>
      </c>
      <c r="AA8" s="140">
        <v>12432597.85027758</v>
      </c>
      <c r="AB8" s="140">
        <v>12970537.85027758</v>
      </c>
      <c r="AC8" s="140">
        <v>13536367.85027758</v>
      </c>
      <c r="AD8" s="140">
        <v>14100887.85027758</v>
      </c>
      <c r="AE8" s="140">
        <v>14674957.85027758</v>
      </c>
      <c r="AF8" s="140">
        <v>15269677.85027758</v>
      </c>
    </row>
    <row r="10" spans="1:32">
      <c r="A10" s="142" t="s">
        <v>563</v>
      </c>
      <c r="B10" s="142">
        <v>2025</v>
      </c>
      <c r="C10" s="142">
        <v>2026</v>
      </c>
      <c r="D10" s="142">
        <v>2027</v>
      </c>
      <c r="E10" s="142">
        <v>2028</v>
      </c>
      <c r="F10" s="142">
        <v>2029</v>
      </c>
      <c r="G10" s="142">
        <v>2030</v>
      </c>
      <c r="H10" s="142">
        <v>2031</v>
      </c>
      <c r="I10" s="142">
        <v>2032</v>
      </c>
      <c r="J10" s="142">
        <v>2033</v>
      </c>
      <c r="K10" s="142">
        <v>2034</v>
      </c>
      <c r="L10" s="142">
        <v>2035</v>
      </c>
      <c r="M10" s="142">
        <v>2036</v>
      </c>
      <c r="N10" s="142">
        <v>2037</v>
      </c>
      <c r="O10" s="142">
        <v>2038</v>
      </c>
      <c r="P10" s="142">
        <v>2039</v>
      </c>
      <c r="Q10" s="142">
        <v>2040</v>
      </c>
      <c r="R10" s="142">
        <v>2041</v>
      </c>
      <c r="S10" s="142">
        <v>2042</v>
      </c>
      <c r="T10" s="142">
        <v>2043</v>
      </c>
      <c r="U10" s="142">
        <v>2044</v>
      </c>
      <c r="V10" s="142">
        <v>2045</v>
      </c>
      <c r="W10" s="142">
        <v>2046</v>
      </c>
      <c r="X10" s="142">
        <v>2047</v>
      </c>
      <c r="Y10" s="142">
        <v>2048</v>
      </c>
      <c r="Z10" s="142">
        <v>2049</v>
      </c>
      <c r="AA10" s="142">
        <v>2050</v>
      </c>
      <c r="AB10" s="142">
        <v>2051</v>
      </c>
      <c r="AC10" s="142">
        <v>2052</v>
      </c>
      <c r="AD10" s="142">
        <v>2053</v>
      </c>
      <c r="AE10" s="142">
        <v>2054</v>
      </c>
      <c r="AF10" s="142">
        <v>2055</v>
      </c>
    </row>
    <row r="11" spans="1:32">
      <c r="A11" s="146" t="s">
        <v>43</v>
      </c>
      <c r="B11" s="141">
        <v>0.28877539687635795</v>
      </c>
      <c r="C11" s="141">
        <v>0.29004894446202911</v>
      </c>
      <c r="D11" s="141">
        <v>0.29218616140018577</v>
      </c>
      <c r="E11" s="141">
        <v>0.29150651931331034</v>
      </c>
      <c r="F11" s="141">
        <v>0.29303025384730635</v>
      </c>
      <c r="G11" s="141">
        <v>0.28794240859333153</v>
      </c>
      <c r="H11" s="141">
        <v>0.28248888466896716</v>
      </c>
      <c r="I11" s="141">
        <v>0.28215894050586904</v>
      </c>
      <c r="J11" s="141">
        <v>0.28149817202635424</v>
      </c>
      <c r="K11" s="141">
        <v>0.27730154562912634</v>
      </c>
      <c r="L11" s="141">
        <v>0.27542654132701017</v>
      </c>
      <c r="M11" s="141">
        <v>0.27511137192677609</v>
      </c>
      <c r="N11" s="141">
        <v>0.28442504891066667</v>
      </c>
      <c r="O11" s="141">
        <v>0.28713239657849882</v>
      </c>
      <c r="P11" s="141">
        <v>0.2913821088029469</v>
      </c>
      <c r="Q11" s="141">
        <v>0.2914610879429349</v>
      </c>
      <c r="R11" s="141">
        <v>0.29115710597103578</v>
      </c>
      <c r="S11" s="141">
        <v>0.28967638992246886</v>
      </c>
      <c r="T11" s="141">
        <v>0.292097221151431</v>
      </c>
      <c r="U11" s="141">
        <v>0.29359046154924945</v>
      </c>
      <c r="V11" s="141">
        <v>0.29537365463009285</v>
      </c>
      <c r="W11" s="141">
        <v>0.29747725564789912</v>
      </c>
      <c r="X11" s="141">
        <v>0.29850661202677903</v>
      </c>
      <c r="Y11" s="141">
        <v>0.29755080182668203</v>
      </c>
      <c r="Z11" s="141">
        <v>0.29692280636518781</v>
      </c>
      <c r="AA11" s="141">
        <v>0.29905162101736044</v>
      </c>
      <c r="AB11" s="141">
        <v>0.29908728240996629</v>
      </c>
      <c r="AC11" s="141">
        <v>0.29918541588688613</v>
      </c>
      <c r="AD11" s="141">
        <v>0.29939790522048071</v>
      </c>
      <c r="AE11" s="141">
        <v>0.29985216775349605</v>
      </c>
      <c r="AF11" s="141">
        <v>0.30016534454702137</v>
      </c>
    </row>
    <row r="12" spans="1:32">
      <c r="A12" s="43" t="s">
        <v>51</v>
      </c>
      <c r="B12" s="141">
        <v>0.40516316199100255</v>
      </c>
      <c r="C12" s="141">
        <v>0.4036855345801475</v>
      </c>
      <c r="D12" s="141">
        <v>0.40870211484705821</v>
      </c>
      <c r="E12" s="141">
        <v>0.40670403631944968</v>
      </c>
      <c r="F12" s="141">
        <v>0.41032769112729295</v>
      </c>
      <c r="G12" s="141">
        <v>0.40547825755327316</v>
      </c>
      <c r="H12" s="141">
        <v>0.39868129622190018</v>
      </c>
      <c r="I12" s="141">
        <v>0.40591698649867192</v>
      </c>
      <c r="J12" s="141">
        <v>0.39884186422775397</v>
      </c>
      <c r="K12" s="141">
        <v>0.39754228841228217</v>
      </c>
      <c r="L12" s="141">
        <v>0.40478495854118218</v>
      </c>
      <c r="M12" s="141">
        <v>0.4042777626684238</v>
      </c>
      <c r="N12" s="141">
        <v>0.39364094826711793</v>
      </c>
      <c r="O12" s="141">
        <v>0.39399231735218276</v>
      </c>
      <c r="P12" s="141">
        <v>0.39557780214713628</v>
      </c>
      <c r="Q12" s="141">
        <v>0.39827487009742518</v>
      </c>
      <c r="R12" s="141">
        <v>0.39882800511918809</v>
      </c>
      <c r="S12" s="141">
        <v>0.39891495461397891</v>
      </c>
      <c r="T12" s="141">
        <v>0.40179569358843031</v>
      </c>
      <c r="U12" s="141">
        <v>0.40485321784207773</v>
      </c>
      <c r="V12" s="141">
        <v>0.40705144127695442</v>
      </c>
      <c r="W12" s="141">
        <v>0.40997827402136061</v>
      </c>
      <c r="X12" s="141">
        <v>0.41161645947736974</v>
      </c>
      <c r="Y12" s="141">
        <v>0.40936000483056956</v>
      </c>
      <c r="Z12" s="141">
        <v>0.40797155991662565</v>
      </c>
      <c r="AA12" s="141">
        <v>0.41056422478328525</v>
      </c>
      <c r="AB12" s="141">
        <v>0.41098939918580601</v>
      </c>
      <c r="AC12" s="141">
        <v>0.41130588984269906</v>
      </c>
      <c r="AD12" s="141">
        <v>0.41172590926907177</v>
      </c>
      <c r="AE12" s="141">
        <v>0.41230464001695333</v>
      </c>
      <c r="AF12" s="141">
        <v>0.41272341571519322</v>
      </c>
    </row>
    <row r="13" spans="1:32">
      <c r="A13" s="43" t="s">
        <v>58</v>
      </c>
      <c r="B13" s="141">
        <v>8.1893322028461099E-2</v>
      </c>
      <c r="C13" s="141">
        <v>8.3516183571202537E-2</v>
      </c>
      <c r="D13" s="141">
        <v>8.2330706700022627E-2</v>
      </c>
      <c r="E13" s="141">
        <v>8.3457583655774464E-2</v>
      </c>
      <c r="F13" s="141">
        <v>8.1820908719781898E-2</v>
      </c>
      <c r="G13" s="141">
        <v>7.9777239768015054E-2</v>
      </c>
      <c r="H13" s="141">
        <v>7.8931060114695625E-2</v>
      </c>
      <c r="I13" s="141">
        <v>7.4331657916355945E-2</v>
      </c>
      <c r="J13" s="141">
        <v>7.2902346724995071E-2</v>
      </c>
      <c r="K13" s="141">
        <v>7.3785753699799186E-2</v>
      </c>
      <c r="L13" s="141">
        <v>7.0221956332936084E-2</v>
      </c>
      <c r="M13" s="141">
        <v>7.0906036081156129E-2</v>
      </c>
      <c r="N13" s="141">
        <v>7.01338386262918E-2</v>
      </c>
      <c r="O13" s="141">
        <v>6.9703707020440778E-2</v>
      </c>
      <c r="P13" s="141">
        <v>6.9887909974585494E-2</v>
      </c>
      <c r="Q13" s="141">
        <v>7.0544218890827862E-2</v>
      </c>
      <c r="R13" s="141">
        <v>6.9625543258288389E-2</v>
      </c>
      <c r="S13" s="141">
        <v>7.7861145746480787E-2</v>
      </c>
      <c r="T13" s="141">
        <v>7.7839060960832734E-2</v>
      </c>
      <c r="U13" s="141">
        <v>7.7861471423230563E-2</v>
      </c>
      <c r="V13" s="141">
        <v>7.7849091035225193E-2</v>
      </c>
      <c r="W13" s="141">
        <v>7.7936615748870758E-2</v>
      </c>
      <c r="X13" s="141">
        <v>7.7946239491001712E-2</v>
      </c>
      <c r="Y13" s="141">
        <v>7.7982810170343919E-2</v>
      </c>
      <c r="Z13" s="141">
        <v>7.7998511540446555E-2</v>
      </c>
      <c r="AA13" s="141">
        <v>7.7972864406211873E-2</v>
      </c>
      <c r="AB13" s="141">
        <v>7.8661859301264056E-2</v>
      </c>
      <c r="AC13" s="141">
        <v>7.9396785152100802E-2</v>
      </c>
      <c r="AD13" s="141">
        <v>8.0332645211944248E-2</v>
      </c>
      <c r="AE13" s="141">
        <v>8.045329163061761E-2</v>
      </c>
      <c r="AF13" s="141">
        <v>8.0595950308773701E-2</v>
      </c>
    </row>
    <row r="14" spans="1:32">
      <c r="A14" s="43" t="s">
        <v>54</v>
      </c>
      <c r="B14" s="141">
        <v>9.354346884481933E-2</v>
      </c>
      <c r="C14" s="141">
        <v>9.2440432279327966E-2</v>
      </c>
      <c r="D14" s="141">
        <v>8.8519607761901348E-2</v>
      </c>
      <c r="E14" s="141">
        <v>8.7493069735948031E-2</v>
      </c>
      <c r="F14" s="141">
        <v>8.6055698377782847E-2</v>
      </c>
      <c r="G14" s="141">
        <v>8.8974627106166354E-2</v>
      </c>
      <c r="H14" s="141">
        <v>9.2904770999921851E-2</v>
      </c>
      <c r="I14" s="141">
        <v>9.2410996977494456E-2</v>
      </c>
      <c r="J14" s="141">
        <v>9.3565192259366298E-2</v>
      </c>
      <c r="K14" s="141">
        <v>9.4325153574806059E-2</v>
      </c>
      <c r="L14" s="141">
        <v>9.5684400360585689E-2</v>
      </c>
      <c r="M14" s="141">
        <v>9.4940187796829625E-2</v>
      </c>
      <c r="N14" s="141">
        <v>9.6333613049048555E-2</v>
      </c>
      <c r="O14" s="141">
        <v>9.3955513539468322E-2</v>
      </c>
      <c r="P14" s="141">
        <v>9.2150705365158958E-2</v>
      </c>
      <c r="Q14" s="141">
        <v>9.1472700909397325E-2</v>
      </c>
      <c r="R14" s="141">
        <v>9.1548784076119938E-2</v>
      </c>
      <c r="S14" s="141">
        <v>8.9469532756975584E-2</v>
      </c>
      <c r="T14" s="141">
        <v>8.8182524910587853E-2</v>
      </c>
      <c r="U14" s="141">
        <v>8.7133231353872964E-2</v>
      </c>
      <c r="V14" s="141">
        <v>8.6108928584933769E-2</v>
      </c>
      <c r="W14" s="141">
        <v>8.4185098764417793E-2</v>
      </c>
      <c r="X14" s="141">
        <v>8.3189926161966632E-2</v>
      </c>
      <c r="Y14" s="141">
        <v>8.4737282894144533E-2</v>
      </c>
      <c r="Z14" s="141">
        <v>8.5091794585675215E-2</v>
      </c>
      <c r="AA14" s="141">
        <v>8.1852108629875547E-2</v>
      </c>
      <c r="AB14" s="141">
        <v>8.1321097556618566E-2</v>
      </c>
      <c r="AC14" s="141">
        <v>8.0686429817286132E-2</v>
      </c>
      <c r="AD14" s="141">
        <v>7.9912386161195517E-2</v>
      </c>
      <c r="AE14" s="141">
        <v>7.9289164298849232E-2</v>
      </c>
      <c r="AF14" s="141">
        <v>7.8731325798038182E-2</v>
      </c>
    </row>
    <row r="15" spans="1:32">
      <c r="A15" s="43" t="s">
        <v>55</v>
      </c>
      <c r="B15" s="141">
        <v>4.002523943696603E-2</v>
      </c>
      <c r="C15" s="141">
        <v>4.0029379049916609E-2</v>
      </c>
      <c r="D15" s="141">
        <v>4.0343639376776243E-2</v>
      </c>
      <c r="E15" s="141">
        <v>4.2464512611502796E-2</v>
      </c>
      <c r="F15" s="141">
        <v>4.1718335647742882E-2</v>
      </c>
      <c r="G15" s="141">
        <v>4.5973877376202073E-2</v>
      </c>
      <c r="H15" s="141">
        <v>5.0932606573001853E-2</v>
      </c>
      <c r="I15" s="141">
        <v>4.9741471117012756E-2</v>
      </c>
      <c r="J15" s="141">
        <v>5.0988021278225278E-2</v>
      </c>
      <c r="K15" s="141">
        <v>4.9095586230500962E-2</v>
      </c>
      <c r="L15" s="141">
        <v>4.5981643523554966E-2</v>
      </c>
      <c r="M15" s="141">
        <v>4.2257883224250649E-2</v>
      </c>
      <c r="N15" s="141">
        <v>3.9463630723479158E-2</v>
      </c>
      <c r="O15" s="141">
        <v>3.6367953282148584E-2</v>
      </c>
      <c r="P15" s="141">
        <v>3.2950645528923107E-2</v>
      </c>
      <c r="Q15" s="141">
        <v>3.0587486616558166E-2</v>
      </c>
      <c r="R15" s="141">
        <v>3.1999170980315184E-2</v>
      </c>
      <c r="S15" s="141">
        <v>2.8744204983629305E-2</v>
      </c>
      <c r="T15" s="141">
        <v>2.5917021286775335E-2</v>
      </c>
      <c r="U15" s="141">
        <v>2.3186173387317367E-2</v>
      </c>
      <c r="V15" s="141">
        <v>2.0573380287325107E-2</v>
      </c>
      <c r="W15" s="141">
        <v>1.8058069162413589E-2</v>
      </c>
      <c r="X15" s="141">
        <v>1.6191085389857862E-2</v>
      </c>
      <c r="Y15" s="141">
        <v>1.4606560118016755E-2</v>
      </c>
      <c r="Z15" s="141">
        <v>1.3200498530855411E-2</v>
      </c>
      <c r="AA15" s="141">
        <v>1.157702898380035E-2</v>
      </c>
      <c r="AB15" s="141">
        <v>1.0977476505699385E-2</v>
      </c>
      <c r="AC15" s="141">
        <v>1.0471939708050248E-2</v>
      </c>
      <c r="AD15" s="141">
        <v>9.5825131946235837E-3</v>
      </c>
      <c r="AE15" s="141">
        <v>8.7883998843451029E-3</v>
      </c>
      <c r="AF15" s="141">
        <v>8.0759074778816164E-3</v>
      </c>
    </row>
    <row r="16" spans="1:32">
      <c r="A16" s="43" t="s">
        <v>56</v>
      </c>
      <c r="B16" s="141">
        <v>1.6358597127187451E-2</v>
      </c>
      <c r="C16" s="141">
        <v>1.6344728087285505E-2</v>
      </c>
      <c r="D16" s="141">
        <v>1.6129144437505145E-2</v>
      </c>
      <c r="E16" s="141">
        <v>1.6801103323427186E-2</v>
      </c>
      <c r="F16" s="141">
        <v>1.6792797948796141E-2</v>
      </c>
      <c r="G16" s="141">
        <v>1.8715282586334592E-2</v>
      </c>
      <c r="H16" s="141">
        <v>2.2336836672886568E-2</v>
      </c>
      <c r="I16" s="141">
        <v>2.1748604187067169E-2</v>
      </c>
      <c r="J16" s="141">
        <v>2.3676610871576863E-2</v>
      </c>
      <c r="K16" s="141">
        <v>2.525753347185733E-2</v>
      </c>
      <c r="L16" s="141">
        <v>2.4408655747385589E-2</v>
      </c>
      <c r="M16" s="141">
        <v>2.5398841312994816E-2</v>
      </c>
      <c r="N16" s="141">
        <v>2.7095918656999226E-2</v>
      </c>
      <c r="O16" s="141">
        <v>3.0669360411040104E-2</v>
      </c>
      <c r="P16" s="141">
        <v>3.0856864114247942E-2</v>
      </c>
      <c r="Q16" s="141">
        <v>3.0258231364355584E-2</v>
      </c>
      <c r="R16" s="141">
        <v>3.0183832794870968E-2</v>
      </c>
      <c r="S16" s="141">
        <v>2.9088387676406615E-2</v>
      </c>
      <c r="T16" s="141">
        <v>2.8339579800456816E-2</v>
      </c>
      <c r="U16" s="141">
        <v>2.7187997378595879E-2</v>
      </c>
      <c r="V16" s="141">
        <v>2.660524445836631E-2</v>
      </c>
      <c r="W16" s="141">
        <v>2.5919731188009509E-2</v>
      </c>
      <c r="X16" s="141">
        <v>2.5743986929928606E-2</v>
      </c>
      <c r="Y16" s="141">
        <v>2.596651771787439E-2</v>
      </c>
      <c r="Z16" s="141">
        <v>2.6459348042169373E-2</v>
      </c>
      <c r="AA16" s="141">
        <v>2.645064779343901E-2</v>
      </c>
      <c r="AB16" s="141">
        <v>2.6126204629657951E-2</v>
      </c>
      <c r="AC16" s="141">
        <v>2.578947812157853E-2</v>
      </c>
      <c r="AD16" s="141">
        <v>2.5439541592463168E-2</v>
      </c>
      <c r="AE16" s="141">
        <v>2.5154654453991305E-2</v>
      </c>
      <c r="AF16" s="141">
        <v>2.490749036326825E-2</v>
      </c>
    </row>
    <row r="17" spans="1:32">
      <c r="A17" s="43" t="s">
        <v>549</v>
      </c>
      <c r="B17" s="141">
        <v>2.7005629389186298E-2</v>
      </c>
      <c r="C17" s="141">
        <v>2.7012778779119978E-2</v>
      </c>
      <c r="D17" s="141">
        <v>2.6112663672120708E-2</v>
      </c>
      <c r="E17" s="141">
        <v>2.5778074264344492E-2</v>
      </c>
      <c r="F17" s="141">
        <v>2.572329925017338E-2</v>
      </c>
      <c r="G17" s="141">
        <v>2.7131841823842491E-2</v>
      </c>
      <c r="H17" s="141">
        <v>2.7576610603966198E-2</v>
      </c>
      <c r="I17" s="141">
        <v>2.8005121970527923E-2</v>
      </c>
      <c r="J17" s="141">
        <v>2.8959431993213488E-2</v>
      </c>
      <c r="K17" s="141">
        <v>3.0599687028322064E-2</v>
      </c>
      <c r="L17" s="141">
        <v>3.0900615699662546E-2</v>
      </c>
      <c r="M17" s="141">
        <v>3.0764650431119873E-2</v>
      </c>
      <c r="N17" s="141">
        <v>3.1419675004506889E-2</v>
      </c>
      <c r="O17" s="141">
        <v>3.2016216304132747E-2</v>
      </c>
      <c r="P17" s="141">
        <v>3.2439881730508532E-2</v>
      </c>
      <c r="Q17" s="141">
        <v>3.2959479339783181E-2</v>
      </c>
      <c r="R17" s="141">
        <v>3.3547619228181662E-2</v>
      </c>
      <c r="S17" s="141">
        <v>3.3693500335664504E-2</v>
      </c>
      <c r="T17" s="141">
        <v>3.3706142191682206E-2</v>
      </c>
      <c r="U17" s="141">
        <v>3.3746781815480707E-2</v>
      </c>
      <c r="V17" s="141">
        <v>3.3765695102442705E-2</v>
      </c>
      <c r="W17" s="141">
        <v>3.3961690274482148E-2</v>
      </c>
      <c r="X17" s="141">
        <v>3.4110910013843337E-2</v>
      </c>
      <c r="Y17" s="141">
        <v>3.4212399083840592E-2</v>
      </c>
      <c r="Z17" s="141">
        <v>3.654213729139999E-2</v>
      </c>
      <c r="AA17" s="141">
        <v>3.6518097425105991E-2</v>
      </c>
      <c r="AB17" s="141">
        <v>3.682380053634194E-2</v>
      </c>
      <c r="AC17" s="141">
        <v>3.7109865647969871E-2</v>
      </c>
      <c r="AD17" s="141">
        <v>3.7378676664764951E-2</v>
      </c>
      <c r="AE17" s="141">
        <v>3.7670390187235739E-2</v>
      </c>
      <c r="AF17" s="141">
        <v>3.7992968106583293E-2</v>
      </c>
    </row>
    <row r="18" spans="1:32">
      <c r="A18" s="43" t="s">
        <v>52</v>
      </c>
      <c r="B18" s="141">
        <v>3.3454536923732812E-2</v>
      </c>
      <c r="C18" s="141">
        <v>3.3115249926852143E-2</v>
      </c>
      <c r="D18" s="141">
        <v>3.1830012737249051E-2</v>
      </c>
      <c r="E18" s="141">
        <v>3.1128235028762108E-2</v>
      </c>
      <c r="F18" s="141">
        <v>2.9734563741624642E-2</v>
      </c>
      <c r="G18" s="141">
        <v>2.9777029301173485E-2</v>
      </c>
      <c r="H18" s="141">
        <v>2.944709280847628E-2</v>
      </c>
      <c r="I18" s="141">
        <v>2.9664691801909629E-2</v>
      </c>
      <c r="J18" s="141">
        <v>3.1801230382328002E-2</v>
      </c>
      <c r="K18" s="141">
        <v>3.2750049667879796E-2</v>
      </c>
      <c r="L18" s="141">
        <v>3.33656574810655E-2</v>
      </c>
      <c r="M18" s="141">
        <v>3.3894199442319611E-2</v>
      </c>
      <c r="N18" s="141">
        <v>3.5532250583462661E-2</v>
      </c>
      <c r="O18" s="141">
        <v>3.5556974510165373E-2</v>
      </c>
      <c r="P18" s="141">
        <v>3.5049585651961118E-2</v>
      </c>
      <c r="Q18" s="141">
        <v>3.4767481181227473E-2</v>
      </c>
      <c r="R18" s="141">
        <v>3.4425161629625001E-2</v>
      </c>
      <c r="S18" s="141">
        <v>3.4223128293791594E-2</v>
      </c>
      <c r="T18" s="141">
        <v>3.4154828020636678E-2</v>
      </c>
      <c r="U18" s="141">
        <v>3.4443946461892132E-2</v>
      </c>
      <c r="V18" s="141">
        <v>3.456958459526837E-2</v>
      </c>
      <c r="W18" s="141">
        <v>3.4351495227971984E-2</v>
      </c>
      <c r="X18" s="141">
        <v>3.4449679991835458E-2</v>
      </c>
      <c r="Y18" s="141">
        <v>3.688046496391318E-2</v>
      </c>
      <c r="Z18" s="141">
        <v>3.7106419564499754E-2</v>
      </c>
      <c r="AA18" s="141">
        <v>3.7261160488490715E-2</v>
      </c>
      <c r="AB18" s="141">
        <v>3.7374234272404806E-2</v>
      </c>
      <c r="AC18" s="141">
        <v>3.7531520370760442E-2</v>
      </c>
      <c r="AD18" s="141">
        <v>3.7745603066555111E-2</v>
      </c>
      <c r="AE18" s="141">
        <v>3.8009404495825891E-2</v>
      </c>
      <c r="AF18" s="141">
        <v>3.8306876413726876E-2</v>
      </c>
    </row>
    <row r="19" spans="1:32">
      <c r="A19" s="43" t="s">
        <v>57</v>
      </c>
      <c r="B19" s="141">
        <v>1.3780647382286605E-2</v>
      </c>
      <c r="C19" s="141">
        <v>1.3806769264118708E-2</v>
      </c>
      <c r="D19" s="141">
        <v>1.3845949067180856E-2</v>
      </c>
      <c r="E19" s="141">
        <v>1.4666865747480847E-2</v>
      </c>
      <c r="F19" s="141">
        <v>1.4796451339498699E-2</v>
      </c>
      <c r="G19" s="141">
        <v>1.6229435891661141E-2</v>
      </c>
      <c r="H19" s="141">
        <v>1.6700841336184331E-2</v>
      </c>
      <c r="I19" s="141">
        <v>1.6021529025091102E-2</v>
      </c>
      <c r="J19" s="141">
        <v>1.7767130236186781E-2</v>
      </c>
      <c r="K19" s="141">
        <v>1.9342402285425952E-2</v>
      </c>
      <c r="L19" s="141">
        <v>1.9225570986617143E-2</v>
      </c>
      <c r="M19" s="141">
        <v>2.244906711612938E-2</v>
      </c>
      <c r="N19" s="141">
        <v>2.1955076178427065E-2</v>
      </c>
      <c r="O19" s="141">
        <v>2.0605561001922394E-2</v>
      </c>
      <c r="P19" s="141">
        <v>1.9704496684531655E-2</v>
      </c>
      <c r="Q19" s="141">
        <v>1.9674443657490322E-2</v>
      </c>
      <c r="R19" s="141">
        <v>1.8684776942375095E-2</v>
      </c>
      <c r="S19" s="141">
        <v>1.8328755670603925E-2</v>
      </c>
      <c r="T19" s="141">
        <v>1.7967928089167234E-2</v>
      </c>
      <c r="U19" s="141">
        <v>1.7996718788283204E-2</v>
      </c>
      <c r="V19" s="141">
        <v>1.8102980029391327E-2</v>
      </c>
      <c r="W19" s="141">
        <v>1.8131769964574388E-2</v>
      </c>
      <c r="X19" s="141">
        <v>1.8245100517417609E-2</v>
      </c>
      <c r="Y19" s="141">
        <v>1.8703158394615071E-2</v>
      </c>
      <c r="Z19" s="141">
        <v>1.8706924163140223E-2</v>
      </c>
      <c r="AA19" s="141">
        <v>1.8752246472430831E-2</v>
      </c>
      <c r="AB19" s="141">
        <v>1.8638645602240992E-2</v>
      </c>
      <c r="AC19" s="141">
        <v>1.8522675452668884E-2</v>
      </c>
      <c r="AD19" s="141">
        <v>1.8484819618901034E-2</v>
      </c>
      <c r="AE19" s="141">
        <v>1.8477887278685753E-2</v>
      </c>
      <c r="AF19" s="141">
        <v>1.8500721269513378E-2</v>
      </c>
    </row>
    <row r="20" spans="1:32"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</row>
    <row r="22" spans="1:32">
      <c r="A22" s="112" t="s">
        <v>557</v>
      </c>
      <c r="B22" s="142">
        <v>2025</v>
      </c>
      <c r="C22" s="142">
        <v>2026</v>
      </c>
      <c r="D22" s="142">
        <v>2027</v>
      </c>
      <c r="E22" s="142">
        <v>2028</v>
      </c>
      <c r="F22" s="142">
        <v>2029</v>
      </c>
      <c r="G22" s="142">
        <v>2030</v>
      </c>
      <c r="H22" s="142">
        <v>2031</v>
      </c>
      <c r="I22" s="142">
        <v>2032</v>
      </c>
      <c r="J22" s="142">
        <v>2033</v>
      </c>
      <c r="K22" s="142">
        <v>2034</v>
      </c>
      <c r="L22" s="142">
        <v>2035</v>
      </c>
      <c r="M22" s="142">
        <v>2036</v>
      </c>
      <c r="N22" s="142">
        <v>2037</v>
      </c>
      <c r="O22" s="142">
        <v>2038</v>
      </c>
      <c r="P22" s="142">
        <v>2039</v>
      </c>
      <c r="Q22" s="142">
        <v>2040</v>
      </c>
      <c r="R22" s="142">
        <v>2041</v>
      </c>
      <c r="S22" s="142">
        <v>2042</v>
      </c>
      <c r="T22" s="142">
        <v>2043</v>
      </c>
      <c r="U22" s="142">
        <v>2044</v>
      </c>
      <c r="V22" s="142">
        <v>2045</v>
      </c>
      <c r="W22" s="142">
        <v>2046</v>
      </c>
      <c r="X22" s="142">
        <v>2047</v>
      </c>
      <c r="Y22" s="142">
        <v>2048</v>
      </c>
      <c r="Z22" s="142">
        <v>2049</v>
      </c>
      <c r="AA22" s="142">
        <v>2050</v>
      </c>
      <c r="AB22" s="142">
        <v>2051</v>
      </c>
      <c r="AC22" s="142">
        <v>2052</v>
      </c>
      <c r="AD22" s="142">
        <v>2053</v>
      </c>
      <c r="AE22" s="142">
        <v>2054</v>
      </c>
      <c r="AF22" s="142">
        <v>2055</v>
      </c>
    </row>
    <row r="23" spans="1:32">
      <c r="A23" s="43" t="s">
        <v>43</v>
      </c>
      <c r="B23" s="143">
        <f ca="1">B11*$B$2</f>
        <v>1531280.3531833466</v>
      </c>
      <c r="C23" s="143">
        <f ca="1">C11*$C$2</f>
        <v>1559332.3352843672</v>
      </c>
      <c r="D23" s="143">
        <f ca="1">D11*$D$2</f>
        <v>1591655.0184964223</v>
      </c>
      <c r="E23" s="143">
        <f ca="1">E11*$E$2</f>
        <v>1607688.6364980743</v>
      </c>
      <c r="F23" s="143">
        <f ca="1">F11*$F$2</f>
        <v>1641211.695779827</v>
      </c>
      <c r="G23" s="143">
        <f ca="1">G11*$G$2</f>
        <v>1631062.3620334875</v>
      </c>
      <c r="H23" s="143">
        <f ca="1">H11*$H$2</f>
        <v>1616913.3497588602</v>
      </c>
      <c r="I23" s="143">
        <f ca="1">I11*$I$2</f>
        <v>1656624.9139375826</v>
      </c>
      <c r="J23" s="143">
        <f ca="1">J11*$J$2</f>
        <v>1701226.7425737313</v>
      </c>
      <c r="K23" s="143">
        <f ca="1">K11*$K$2</f>
        <v>1735555.9002396769</v>
      </c>
      <c r="L23" s="143">
        <f ca="1">L11*$L$2</f>
        <v>1777965.5918898799</v>
      </c>
      <c r="M23" s="143">
        <f ca="1">M11*$M$2</f>
        <v>1819496.0123022243</v>
      </c>
      <c r="N23" s="143">
        <f ca="1">N11*$N$2</f>
        <v>1867254.2787948253</v>
      </c>
      <c r="O23" s="143">
        <f ca="1">O11*$O$2</f>
        <v>1857453.0983215829</v>
      </c>
      <c r="P23" s="143">
        <f ca="1">P11*$P$2</f>
        <v>1842853.8407570762</v>
      </c>
      <c r="Q23" s="143">
        <f ca="1">Q11*$Q$2</f>
        <v>1812435.2510404272</v>
      </c>
      <c r="R23" s="143">
        <f ca="1">R11*$R$2</f>
        <v>1800087.3714931323</v>
      </c>
      <c r="S23" s="143">
        <f ca="1">S11*$S$2</f>
        <v>1803032.2255878528</v>
      </c>
      <c r="T23" s="143">
        <f ca="1">T11*$T$2</f>
        <v>1803422.1919352077</v>
      </c>
      <c r="U23" s="143">
        <f ca="1">U11*$U$2</f>
        <v>1770017.4504466273</v>
      </c>
      <c r="V23" s="143">
        <f ca="1">V11*$V$2</f>
        <v>1739485.0213831698</v>
      </c>
      <c r="W23" s="143">
        <f ca="1">W11*$W$2</f>
        <v>1709066.9807443577</v>
      </c>
      <c r="X23" s="143">
        <f ca="1">X11*$X$2</f>
        <v>1660984.6887369561</v>
      </c>
      <c r="Y23" s="143">
        <f ca="1">Y11*$Y$2</f>
        <v>1601405.7189842865</v>
      </c>
      <c r="Z23" s="143">
        <f ca="1">Z11*$Z$2</f>
        <v>1543673.7070382021</v>
      </c>
      <c r="AA23" s="143">
        <f ca="1">AA11*$AA$2</f>
        <v>1495063.6947033287</v>
      </c>
      <c r="AB23" s="143">
        <f ca="1">AB11*$AB$2</f>
        <v>1440335.9225016879</v>
      </c>
      <c r="AC23" s="143">
        <f ca="1">AC11*$AC$2</f>
        <v>1391105.2611292806</v>
      </c>
      <c r="AD23" s="143">
        <f ca="1">AD11*$AD$2</f>
        <v>1341565.9627851506</v>
      </c>
      <c r="AE23" s="143">
        <f ca="1">AE11*$AE$2</f>
        <v>1296178.608568623</v>
      </c>
      <c r="AF23" s="143">
        <f ca="1">AF11*$AF$2</f>
        <v>1256098.8504045915</v>
      </c>
    </row>
    <row r="24" spans="1:32">
      <c r="A24" s="43" t="s">
        <v>51</v>
      </c>
      <c r="B24" s="143">
        <f t="shared" ref="B24:B31" ca="1" si="0">B12*$B$2</f>
        <v>2148446.1505427421</v>
      </c>
      <c r="C24" s="143">
        <f t="shared" ref="C24:C31" ca="1" si="1">C12*$C$2</f>
        <v>2170254.0877192747</v>
      </c>
      <c r="D24" s="143">
        <f t="shared" ref="D24:D31" ca="1" si="2">D12*$D$2</f>
        <v>2226364.0723061562</v>
      </c>
      <c r="E24" s="143">
        <f t="shared" ref="E24:E31" ca="1" si="3">E12*$E$2</f>
        <v>2243014.8702983879</v>
      </c>
      <c r="F24" s="143">
        <f t="shared" ref="F24:F31" ca="1" si="4">F12*$F$2</f>
        <v>2298174.3247963814</v>
      </c>
      <c r="G24" s="143">
        <f t="shared" ref="G24:G31" ca="1" si="5">G12*$G$2</f>
        <v>2296849.317017837</v>
      </c>
      <c r="H24" s="143">
        <f t="shared" ref="H24:H31" ca="1" si="6">H12*$H$2</f>
        <v>2281976.9029700635</v>
      </c>
      <c r="I24" s="143">
        <f t="shared" ref="I24:I31" ca="1" si="7">I12*$I$2</f>
        <v>2383239.0057127322</v>
      </c>
      <c r="J24" s="143">
        <f t="shared" ref="J24:J31" ca="1" si="8">J12*$J$2</f>
        <v>2410390.2366324863</v>
      </c>
      <c r="K24" s="143">
        <f t="shared" ref="K24:K31" ca="1" si="9">K12*$K$2</f>
        <v>2488110.41670678</v>
      </c>
      <c r="L24" s="143">
        <f t="shared" ref="L24:L31" ca="1" si="10">L12*$L$2</f>
        <v>2613015.1616227538</v>
      </c>
      <c r="M24" s="143">
        <f t="shared" ref="M24:M31" ca="1" si="11">M12*$M$2</f>
        <v>2673759.9826787435</v>
      </c>
      <c r="N24" s="143">
        <f t="shared" ref="N24:N31" ca="1" si="12">N12*$N$2</f>
        <v>2584258.1297805766</v>
      </c>
      <c r="O24" s="143">
        <f t="shared" ref="O24:O31" ca="1" si="13">O12*$O$2</f>
        <v>2548727.5532165179</v>
      </c>
      <c r="P24" s="143">
        <f t="shared" ref="P24:P31" ca="1" si="14">P12*$P$2</f>
        <v>2501842.2544882079</v>
      </c>
      <c r="Q24" s="143">
        <f t="shared" ref="Q24:Q31" ca="1" si="15">Q12*$Q$2</f>
        <v>2476651.0660574036</v>
      </c>
      <c r="R24" s="143">
        <f t="shared" ref="R24:R31" ca="1" si="16">R12*$R$2</f>
        <v>2465765.8724093372</v>
      </c>
      <c r="S24" s="143">
        <f t="shared" ref="S24:S31" ca="1" si="17">S12*$S$2</f>
        <v>2482965.6246076073</v>
      </c>
      <c r="T24" s="143">
        <f t="shared" ref="T24:T31" ca="1" si="18">T12*$T$2</f>
        <v>2480705.7992027877</v>
      </c>
      <c r="U24" s="143">
        <f t="shared" ref="U24:U31" ca="1" si="19">U12*$U$2</f>
        <v>2440805.6606080816</v>
      </c>
      <c r="V24" s="143">
        <f t="shared" ref="V24:V31" ca="1" si="20">V12*$V$2</f>
        <v>2397166.6867866814</v>
      </c>
      <c r="W24" s="143">
        <f t="shared" ref="W24:W31" ca="1" si="21">W12*$W$2</f>
        <v>2355408.0779265054</v>
      </c>
      <c r="X24" s="143">
        <f t="shared" ref="X24:X31" ca="1" si="22">X12*$X$2</f>
        <v>2290363.460232811</v>
      </c>
      <c r="Y24" s="143">
        <f t="shared" ref="Y24:Y31" ca="1" si="23">Y12*$Y$2</f>
        <v>2203158.0786697264</v>
      </c>
      <c r="Z24" s="143">
        <f t="shared" ref="Z24:Z31" ca="1" si="24">Z12*$Z$2</f>
        <v>2121005.7185303918</v>
      </c>
      <c r="AA24" s="143">
        <f t="shared" ref="AA24:AA31" ca="1" si="25">AA12*$AA$2</f>
        <v>2052554.2203360039</v>
      </c>
      <c r="AB24" s="143">
        <f t="shared" ref="AB24:AB31" ca="1" si="26">AB12*$AB$2</f>
        <v>1979230.9142830232</v>
      </c>
      <c r="AC24" s="143">
        <f t="shared" ref="AC24:AC31" ca="1" si="27">AC12*$AC$2</f>
        <v>1912425.3954609903</v>
      </c>
      <c r="AD24" s="143">
        <f t="shared" ref="AD24:AD31" ca="1" si="28">AD12*$AD$2</f>
        <v>1844894.2235096477</v>
      </c>
      <c r="AE24" s="143">
        <f t="shared" ref="AE24:AE31" ca="1" si="29">AE12*$AE$2</f>
        <v>1782279.7767561935</v>
      </c>
      <c r="AF24" s="143">
        <f t="shared" ref="AF24:AF31" ca="1" si="30">AF12*$AF$2</f>
        <v>1727119.4607667276</v>
      </c>
    </row>
    <row r="25" spans="1:32">
      <c r="A25" s="43" t="s">
        <v>58</v>
      </c>
      <c r="B25" s="143">
        <f t="shared" ca="1" si="0"/>
        <v>434253.18235400575</v>
      </c>
      <c r="C25" s="143">
        <f t="shared" ca="1" si="1"/>
        <v>448991.41351355537</v>
      </c>
      <c r="D25" s="143">
        <f t="shared" ca="1" si="2"/>
        <v>448488.32630361774</v>
      </c>
      <c r="E25" s="143">
        <f t="shared" ca="1" si="3"/>
        <v>460277.21503122343</v>
      </c>
      <c r="F25" s="143">
        <f t="shared" ca="1" si="4"/>
        <v>458264.73747046542</v>
      </c>
      <c r="G25" s="143">
        <f t="shared" ca="1" si="5"/>
        <v>451901.66244773153</v>
      </c>
      <c r="H25" s="143">
        <f t="shared" ca="1" si="6"/>
        <v>451786.57191990642</v>
      </c>
      <c r="I25" s="143">
        <f t="shared" ca="1" si="7"/>
        <v>436419.54487690469</v>
      </c>
      <c r="J25" s="143">
        <f t="shared" ca="1" si="8"/>
        <v>440583.40042553761</v>
      </c>
      <c r="K25" s="143">
        <f t="shared" ca="1" si="9"/>
        <v>461805.21603939933</v>
      </c>
      <c r="L25" s="143">
        <f t="shared" ca="1" si="10"/>
        <v>453304.97763074574</v>
      </c>
      <c r="M25" s="143">
        <f t="shared" ca="1" si="11"/>
        <v>468949.17136380501</v>
      </c>
      <c r="N25" s="143">
        <f t="shared" ca="1" si="12"/>
        <v>460429.59565203724</v>
      </c>
      <c r="O25" s="143">
        <f t="shared" ca="1" si="13"/>
        <v>450911.73309738858</v>
      </c>
      <c r="P25" s="143">
        <f t="shared" ca="1" si="14"/>
        <v>442007.93194975704</v>
      </c>
      <c r="Q25" s="143">
        <f t="shared" ca="1" si="15"/>
        <v>438675.4677176032</v>
      </c>
      <c r="R25" s="143">
        <f t="shared" ca="1" si="16"/>
        <v>430461.96909603069</v>
      </c>
      <c r="S25" s="143">
        <f t="shared" ca="1" si="17"/>
        <v>484630.9874949471</v>
      </c>
      <c r="T25" s="143">
        <f t="shared" ca="1" si="18"/>
        <v>480582.07942823326</v>
      </c>
      <c r="U25" s="143">
        <f t="shared" ca="1" si="19"/>
        <v>469416.35095815599</v>
      </c>
      <c r="V25" s="143">
        <f t="shared" ca="1" si="20"/>
        <v>458461.09042344033</v>
      </c>
      <c r="W25" s="143">
        <f t="shared" ca="1" si="21"/>
        <v>447761.61551326455</v>
      </c>
      <c r="X25" s="143">
        <f t="shared" ca="1" si="22"/>
        <v>433717.39560517063</v>
      </c>
      <c r="Y25" s="143">
        <f t="shared" ca="1" si="23"/>
        <v>419700.15682228381</v>
      </c>
      <c r="Z25" s="143">
        <f t="shared" ca="1" si="24"/>
        <v>405506.91584470926</v>
      </c>
      <c r="AA25" s="143">
        <f t="shared" ca="1" si="25"/>
        <v>389813.63267375651</v>
      </c>
      <c r="AB25" s="143">
        <f t="shared" ca="1" si="26"/>
        <v>378817.51697847765</v>
      </c>
      <c r="AC25" s="143">
        <f t="shared" ca="1" si="27"/>
        <v>369166.67617112875</v>
      </c>
      <c r="AD25" s="143">
        <f t="shared" ca="1" si="28"/>
        <v>359960.91033928737</v>
      </c>
      <c r="AE25" s="143">
        <f t="shared" ca="1" si="29"/>
        <v>347777.49442941532</v>
      </c>
      <c r="AF25" s="143">
        <f t="shared" ca="1" si="30"/>
        <v>337269.0497728574</v>
      </c>
    </row>
    <row r="26" spans="1:32">
      <c r="A26" s="43" t="s">
        <v>54</v>
      </c>
      <c r="B26" s="143">
        <f t="shared" ca="1" si="0"/>
        <v>496030.05505354912</v>
      </c>
      <c r="C26" s="143">
        <f t="shared" ca="1" si="1"/>
        <v>496969.07329959702</v>
      </c>
      <c r="D26" s="143">
        <f t="shared" ca="1" si="2"/>
        <v>482201.74855096871</v>
      </c>
      <c r="E26" s="143">
        <f t="shared" ca="1" si="3"/>
        <v>482533.33859622723</v>
      </c>
      <c r="F26" s="143">
        <f t="shared" ca="1" si="4"/>
        <v>481983.06083341839</v>
      </c>
      <c r="G26" s="143">
        <f t="shared" ca="1" si="5"/>
        <v>504000.66512534331</v>
      </c>
      <c r="H26" s="143">
        <f t="shared" ca="1" si="6"/>
        <v>531769.47001683491</v>
      </c>
      <c r="I26" s="143">
        <f t="shared" ca="1" si="7"/>
        <v>542567.81528970762</v>
      </c>
      <c r="J26" s="143">
        <f t="shared" ca="1" si="8"/>
        <v>565458.75982023927</v>
      </c>
      <c r="K26" s="143">
        <f t="shared" ca="1" si="9"/>
        <v>590355.80366622168</v>
      </c>
      <c r="L26" s="143">
        <f t="shared" ca="1" si="10"/>
        <v>617673.1214866892</v>
      </c>
      <c r="M26" s="143">
        <f t="shared" ca="1" si="11"/>
        <v>627903.13571455469</v>
      </c>
      <c r="N26" s="143">
        <f t="shared" ca="1" si="12"/>
        <v>632431.46778572991</v>
      </c>
      <c r="O26" s="143">
        <f t="shared" ca="1" si="13"/>
        <v>607796.13101083692</v>
      </c>
      <c r="P26" s="143">
        <f t="shared" ca="1" si="14"/>
        <v>582809.56922273268</v>
      </c>
      <c r="Q26" s="143">
        <f t="shared" ca="1" si="15"/>
        <v>568818.11841904989</v>
      </c>
      <c r="R26" s="143">
        <f t="shared" ca="1" si="16"/>
        <v>566003.05028230674</v>
      </c>
      <c r="S26" s="143">
        <f t="shared" ca="1" si="17"/>
        <v>556885.0495972106</v>
      </c>
      <c r="T26" s="143">
        <f t="shared" ca="1" si="18"/>
        <v>544443.11978643527</v>
      </c>
      <c r="U26" s="143">
        <f t="shared" ca="1" si="19"/>
        <v>525314.54597099335</v>
      </c>
      <c r="V26" s="143">
        <f t="shared" ca="1" si="20"/>
        <v>507104.1006295121</v>
      </c>
      <c r="W26" s="143">
        <f t="shared" ca="1" si="21"/>
        <v>483660.41382090177</v>
      </c>
      <c r="X26" s="143">
        <f t="shared" ca="1" si="22"/>
        <v>462894.91771722841</v>
      </c>
      <c r="Y26" s="143">
        <f t="shared" ca="1" si="23"/>
        <v>456052.44080946723</v>
      </c>
      <c r="Z26" s="143">
        <f t="shared" ca="1" si="24"/>
        <v>442384.22637380421</v>
      </c>
      <c r="AA26" s="143">
        <f t="shared" ca="1" si="25"/>
        <v>409207.33193529799</v>
      </c>
      <c r="AB26" s="143">
        <f t="shared" ca="1" si="26"/>
        <v>391623.79999664915</v>
      </c>
      <c r="AC26" s="143">
        <f t="shared" ca="1" si="27"/>
        <v>375163.06297163008</v>
      </c>
      <c r="AD26" s="143">
        <f t="shared" ca="1" si="28"/>
        <v>358077.78013628308</v>
      </c>
      <c r="AE26" s="143">
        <f t="shared" ca="1" si="29"/>
        <v>342745.2915395943</v>
      </c>
      <c r="AF26" s="143">
        <f t="shared" ca="1" si="30"/>
        <v>329466.17463447107</v>
      </c>
    </row>
    <row r="27" spans="1:32">
      <c r="A27" s="43" t="s">
        <v>55</v>
      </c>
      <c r="B27" s="143">
        <f t="shared" ca="1" si="0"/>
        <v>212240.59751713273</v>
      </c>
      <c r="C27" s="143">
        <f t="shared" ca="1" si="1"/>
        <v>215201.97299687468</v>
      </c>
      <c r="D27" s="143">
        <f t="shared" ca="1" si="2"/>
        <v>219767.95810841903</v>
      </c>
      <c r="E27" s="143">
        <f t="shared" ca="1" si="3"/>
        <v>234196.1838135295</v>
      </c>
      <c r="F27" s="143">
        <f t="shared" ca="1" si="4"/>
        <v>233657.17189468793</v>
      </c>
      <c r="G27" s="143">
        <f t="shared" ca="1" si="5"/>
        <v>260421.03832982481</v>
      </c>
      <c r="H27" s="143">
        <f t="shared" ca="1" si="6"/>
        <v>291528.67944665556</v>
      </c>
      <c r="I27" s="143">
        <f t="shared" ca="1" si="7"/>
        <v>292044.47734533506</v>
      </c>
      <c r="J27" s="143">
        <f t="shared" ca="1" si="8"/>
        <v>308144.75534609996</v>
      </c>
      <c r="K27" s="143">
        <f t="shared" ca="1" si="9"/>
        <v>307276.08879624633</v>
      </c>
      <c r="L27" s="143">
        <f t="shared" ca="1" si="10"/>
        <v>296826.07801534177</v>
      </c>
      <c r="M27" s="143">
        <f t="shared" ca="1" si="11"/>
        <v>279479.72298041434</v>
      </c>
      <c r="N27" s="143">
        <f t="shared" ca="1" si="12"/>
        <v>259079.2674816057</v>
      </c>
      <c r="O27" s="143">
        <f t="shared" ca="1" si="13"/>
        <v>235263.48231162957</v>
      </c>
      <c r="P27" s="143">
        <f t="shared" ca="1" si="14"/>
        <v>208397.22767421609</v>
      </c>
      <c r="Q27" s="143">
        <f t="shared" ca="1" si="15"/>
        <v>190206.6563184979</v>
      </c>
      <c r="R27" s="143">
        <f t="shared" ca="1" si="16"/>
        <v>197835.81577996945</v>
      </c>
      <c r="S27" s="143">
        <f t="shared" ca="1" si="17"/>
        <v>178912.50266636466</v>
      </c>
      <c r="T27" s="143">
        <f t="shared" ca="1" si="18"/>
        <v>160012.9270425236</v>
      </c>
      <c r="U27" s="143">
        <f t="shared" ca="1" si="19"/>
        <v>139786.32441963215</v>
      </c>
      <c r="V27" s="143">
        <f t="shared" ca="1" si="20"/>
        <v>121158.69607206258</v>
      </c>
      <c r="W27" s="143">
        <f t="shared" ca="1" si="21"/>
        <v>103747.25850640658</v>
      </c>
      <c r="X27" s="143">
        <f t="shared" ca="1" si="22"/>
        <v>90092.29224099718</v>
      </c>
      <c r="Y27" s="143">
        <f t="shared" ca="1" si="23"/>
        <v>78611.883295494132</v>
      </c>
      <c r="Z27" s="143">
        <f t="shared" ca="1" si="24"/>
        <v>68628.148680555547</v>
      </c>
      <c r="AA27" s="143">
        <f t="shared" ca="1" si="25"/>
        <v>57877.618811513792</v>
      </c>
      <c r="AB27" s="143">
        <f t="shared" ca="1" si="26"/>
        <v>52865.015263016954</v>
      </c>
      <c r="AC27" s="143">
        <f t="shared" ca="1" si="27"/>
        <v>48690.777185492647</v>
      </c>
      <c r="AD27" s="143">
        <f t="shared" ca="1" si="28"/>
        <v>42938.087794500694</v>
      </c>
      <c r="AE27" s="143">
        <f t="shared" ca="1" si="29"/>
        <v>37989.840190182411</v>
      </c>
      <c r="AF27" s="143">
        <f t="shared" ca="1" si="30"/>
        <v>33795.16750759296</v>
      </c>
    </row>
    <row r="28" spans="1:32">
      <c r="A28" s="43" t="s">
        <v>56</v>
      </c>
      <c r="B28" s="143">
        <f t="shared" ca="1" si="0"/>
        <v>86744.226334589417</v>
      </c>
      <c r="C28" s="143">
        <f t="shared" ca="1" si="1"/>
        <v>87870.904219999429</v>
      </c>
      <c r="D28" s="143">
        <f t="shared" ca="1" si="2"/>
        <v>87861.908192317278</v>
      </c>
      <c r="E28" s="143">
        <f t="shared" ca="1" si="3"/>
        <v>92659.824409184599</v>
      </c>
      <c r="F28" s="143">
        <f t="shared" ca="1" si="4"/>
        <v>94053.552616424015</v>
      </c>
      <c r="G28" s="143">
        <f t="shared" ca="1" si="5"/>
        <v>106013.53642388766</v>
      </c>
      <c r="H28" s="143">
        <f t="shared" ca="1" si="6"/>
        <v>127851.86026026031</v>
      </c>
      <c r="I28" s="143">
        <f t="shared" ca="1" si="7"/>
        <v>127691.4333285614</v>
      </c>
      <c r="J28" s="143">
        <f t="shared" ca="1" si="8"/>
        <v>143088.9703414042</v>
      </c>
      <c r="K28" s="143">
        <f t="shared" ca="1" si="9"/>
        <v>158080.11867777639</v>
      </c>
      <c r="L28" s="143">
        <f t="shared" ca="1" si="10"/>
        <v>157565.60661890308</v>
      </c>
      <c r="M28" s="143">
        <f t="shared" ca="1" si="11"/>
        <v>167979.57191820911</v>
      </c>
      <c r="N28" s="143">
        <f t="shared" ca="1" si="12"/>
        <v>177885.07110725471</v>
      </c>
      <c r="O28" s="143">
        <f t="shared" ca="1" si="13"/>
        <v>198399.4115531774</v>
      </c>
      <c r="P28" s="143">
        <f t="shared" ca="1" si="14"/>
        <v>195155.05183304485</v>
      </c>
      <c r="Q28" s="143">
        <f t="shared" ca="1" si="15"/>
        <v>188159.20007007063</v>
      </c>
      <c r="R28" s="143">
        <f t="shared" ca="1" si="16"/>
        <v>186612.43405377361</v>
      </c>
      <c r="S28" s="143">
        <f t="shared" ca="1" si="17"/>
        <v>181054.79837342308</v>
      </c>
      <c r="T28" s="143">
        <f t="shared" ca="1" si="18"/>
        <v>174969.91899065927</v>
      </c>
      <c r="U28" s="143">
        <f t="shared" ca="1" si="19"/>
        <v>163912.78364041552</v>
      </c>
      <c r="V28" s="143">
        <f t="shared" ca="1" si="20"/>
        <v>156680.94801319766</v>
      </c>
      <c r="W28" s="143">
        <f t="shared" ca="1" si="21"/>
        <v>148914.0963960941</v>
      </c>
      <c r="X28" s="143">
        <f t="shared" ca="1" si="22"/>
        <v>143247.64140842448</v>
      </c>
      <c r="Y28" s="143">
        <f t="shared" ca="1" si="23"/>
        <v>139750.69037028562</v>
      </c>
      <c r="Z28" s="143">
        <f t="shared" ca="1" si="24"/>
        <v>137559.65861320359</v>
      </c>
      <c r="AA28" s="143">
        <f t="shared" ca="1" si="25"/>
        <v>132236.0436730744</v>
      </c>
      <c r="AB28" s="143">
        <f t="shared" ca="1" si="26"/>
        <v>125817.82395931227</v>
      </c>
      <c r="AC28" s="143">
        <f t="shared" ca="1" si="27"/>
        <v>119911.8566336471</v>
      </c>
      <c r="AD28" s="143">
        <f t="shared" ca="1" si="28"/>
        <v>113991.52270010975</v>
      </c>
      <c r="AE28" s="143">
        <f t="shared" ca="1" si="29"/>
        <v>108736.66598269512</v>
      </c>
      <c r="AF28" s="143">
        <f t="shared" ca="1" si="30"/>
        <v>104230.12043238606</v>
      </c>
    </row>
    <row r="29" spans="1:32">
      <c r="A29" s="43" t="s">
        <v>549</v>
      </c>
      <c r="B29" s="143">
        <f t="shared" ca="1" si="0"/>
        <v>143201.914554783</v>
      </c>
      <c r="C29" s="143">
        <f t="shared" ca="1" si="1"/>
        <v>145223.41908291072</v>
      </c>
      <c r="D29" s="143">
        <f t="shared" ca="1" si="2"/>
        <v>142246.13506974158</v>
      </c>
      <c r="E29" s="143">
        <f t="shared" ca="1" si="3"/>
        <v>142168.74862084014</v>
      </c>
      <c r="F29" s="143">
        <f t="shared" ca="1" si="4"/>
        <v>144071.74354572906</v>
      </c>
      <c r="G29" s="143">
        <f t="shared" ca="1" si="5"/>
        <v>153689.50418837462</v>
      </c>
      <c r="H29" s="143">
        <f t="shared" ca="1" si="6"/>
        <v>157843.34268198206</v>
      </c>
      <c r="I29" s="143">
        <f t="shared" ca="1" si="7"/>
        <v>164424.99639054431</v>
      </c>
      <c r="J29" s="143">
        <f t="shared" ca="1" si="8"/>
        <v>175015.55978838712</v>
      </c>
      <c r="K29" s="143">
        <f t="shared" ca="1" si="9"/>
        <v>191515.22306521802</v>
      </c>
      <c r="L29" s="143">
        <f t="shared" ca="1" si="10"/>
        <v>199473.26505829534</v>
      </c>
      <c r="M29" s="143">
        <f t="shared" ca="1" si="11"/>
        <v>203467.26631930427</v>
      </c>
      <c r="N29" s="143">
        <f t="shared" ca="1" si="12"/>
        <v>206270.58979230467</v>
      </c>
      <c r="O29" s="143">
        <f t="shared" ca="1" si="13"/>
        <v>207112.1924216144</v>
      </c>
      <c r="P29" s="143">
        <f t="shared" ca="1" si="14"/>
        <v>205166.88854497147</v>
      </c>
      <c r="Q29" s="143">
        <f t="shared" ca="1" si="15"/>
        <v>204956.76672646464</v>
      </c>
      <c r="R29" s="143">
        <f t="shared" ca="1" si="16"/>
        <v>207409.14261703589</v>
      </c>
      <c r="S29" s="143">
        <f t="shared" ca="1" si="17"/>
        <v>209718.3927013104</v>
      </c>
      <c r="T29" s="143">
        <f t="shared" ca="1" si="18"/>
        <v>208103.33146404711</v>
      </c>
      <c r="U29" s="143">
        <f t="shared" ca="1" si="19"/>
        <v>203454.81387444778</v>
      </c>
      <c r="V29" s="143">
        <f t="shared" ca="1" si="20"/>
        <v>198849.55867457445</v>
      </c>
      <c r="W29" s="143">
        <f t="shared" ca="1" si="21"/>
        <v>195116.77735485436</v>
      </c>
      <c r="X29" s="143">
        <f t="shared" ca="1" si="22"/>
        <v>189803.83337972805</v>
      </c>
      <c r="Y29" s="143">
        <f t="shared" ca="1" si="23"/>
        <v>184129.67203142701</v>
      </c>
      <c r="Z29" s="143">
        <f t="shared" ca="1" si="24"/>
        <v>189979.13035462925</v>
      </c>
      <c r="AA29" s="143">
        <f t="shared" ca="1" si="25"/>
        <v>182566.74708593416</v>
      </c>
      <c r="AB29" s="143">
        <f t="shared" ca="1" si="26"/>
        <v>177334.99829266843</v>
      </c>
      <c r="AC29" s="143">
        <f t="shared" ca="1" si="27"/>
        <v>172547.61295653923</v>
      </c>
      <c r="AD29" s="143">
        <f t="shared" ca="1" si="28"/>
        <v>167489.34936759851</v>
      </c>
      <c r="AE29" s="143">
        <f t="shared" ca="1" si="29"/>
        <v>162838.75585408049</v>
      </c>
      <c r="AF29" s="143">
        <f t="shared" ca="1" si="30"/>
        <v>158988.78544475581</v>
      </c>
    </row>
    <row r="30" spans="1:32">
      <c r="A30" s="43" t="s">
        <v>52</v>
      </c>
      <c r="B30" s="143">
        <f t="shared" ca="1" si="0"/>
        <v>177398.33680530888</v>
      </c>
      <c r="C30" s="143">
        <f t="shared" ca="1" si="1"/>
        <v>178030.91853252312</v>
      </c>
      <c r="D30" s="143">
        <f t="shared" ca="1" si="2"/>
        <v>173390.82477167342</v>
      </c>
      <c r="E30" s="143">
        <f t="shared" ca="1" si="3"/>
        <v>171675.43919041639</v>
      </c>
      <c r="F30" s="143">
        <f t="shared" ca="1" si="4"/>
        <v>166538.14116782101</v>
      </c>
      <c r="G30" s="143">
        <f t="shared" ca="1" si="5"/>
        <v>168673.2842986894</v>
      </c>
      <c r="H30" s="143">
        <f t="shared" ca="1" si="6"/>
        <v>168549.63171173583</v>
      </c>
      <c r="I30" s="143">
        <f t="shared" ca="1" si="7"/>
        <v>174168.74126057065</v>
      </c>
      <c r="J30" s="143">
        <f t="shared" ca="1" si="8"/>
        <v>192189.89304164867</v>
      </c>
      <c r="K30" s="143">
        <f t="shared" ca="1" si="9"/>
        <v>204973.76531124936</v>
      </c>
      <c r="L30" s="143">
        <f t="shared" ca="1" si="10"/>
        <v>215385.89079432344</v>
      </c>
      <c r="M30" s="143">
        <f t="shared" ca="1" si="11"/>
        <v>224165.0728341795</v>
      </c>
      <c r="N30" s="143">
        <f t="shared" ca="1" si="12"/>
        <v>233269.70388609951</v>
      </c>
      <c r="O30" s="143">
        <f t="shared" ca="1" si="13"/>
        <v>230017.27864167406</v>
      </c>
      <c r="P30" s="143">
        <f t="shared" ca="1" si="14"/>
        <v>221672.02990263831</v>
      </c>
      <c r="Q30" s="143">
        <f t="shared" ca="1" si="15"/>
        <v>216199.72987639022</v>
      </c>
      <c r="R30" s="143">
        <f t="shared" ca="1" si="16"/>
        <v>212834.57432518405</v>
      </c>
      <c r="S30" s="143">
        <f t="shared" ca="1" si="17"/>
        <v>213014.95503533774</v>
      </c>
      <c r="T30" s="143">
        <f t="shared" ca="1" si="18"/>
        <v>210873.53919814891</v>
      </c>
      <c r="U30" s="143">
        <f t="shared" ca="1" si="19"/>
        <v>207657.92586749757</v>
      </c>
      <c r="V30" s="143">
        <f t="shared" ca="1" si="20"/>
        <v>203583.74437359616</v>
      </c>
      <c r="W30" s="143">
        <f t="shared" ca="1" si="21"/>
        <v>197356.28562747539</v>
      </c>
      <c r="X30" s="143">
        <f t="shared" ca="1" si="22"/>
        <v>191688.85610209973</v>
      </c>
      <c r="Y30" s="143">
        <f t="shared" ca="1" si="23"/>
        <v>198489.08875201721</v>
      </c>
      <c r="Z30" s="143">
        <f t="shared" ca="1" si="24"/>
        <v>192912.78075014826</v>
      </c>
      <c r="AA30" s="143">
        <f t="shared" ca="1" si="25"/>
        <v>186281.5793452017</v>
      </c>
      <c r="AB30" s="143">
        <f t="shared" ca="1" si="26"/>
        <v>179985.76122922634</v>
      </c>
      <c r="AC30" s="143">
        <f t="shared" ca="1" si="27"/>
        <v>174508.1567267467</v>
      </c>
      <c r="AD30" s="143">
        <f t="shared" ca="1" si="28"/>
        <v>169133.50239240474</v>
      </c>
      <c r="AE30" s="143">
        <f t="shared" ca="1" si="29"/>
        <v>164304.22164705911</v>
      </c>
      <c r="AF30" s="143">
        <f t="shared" ca="1" si="30"/>
        <v>160302.39433032036</v>
      </c>
    </row>
    <row r="31" spans="1:32">
      <c r="A31" s="43" t="s">
        <v>57</v>
      </c>
      <c r="B31" s="143">
        <f t="shared" ca="1" si="0"/>
        <v>73074.212065503758</v>
      </c>
      <c r="C31" s="143">
        <f t="shared" ca="1" si="1"/>
        <v>74226.581997332862</v>
      </c>
      <c r="D31" s="143">
        <f t="shared" ca="1" si="2"/>
        <v>75424.42877176679</v>
      </c>
      <c r="E31" s="143">
        <f t="shared" ca="1" si="3"/>
        <v>80889.283199612924</v>
      </c>
      <c r="F31" s="143">
        <f t="shared" ca="1" si="4"/>
        <v>82872.361046639344</v>
      </c>
      <c r="G31" s="143">
        <f t="shared" ca="1" si="5"/>
        <v>91932.349143157538</v>
      </c>
      <c r="H31" s="143">
        <f t="shared" ca="1" si="6"/>
        <v>95592.480887611906</v>
      </c>
      <c r="I31" s="143">
        <f t="shared" ca="1" si="7"/>
        <v>94066.358821573303</v>
      </c>
      <c r="J31" s="143">
        <f t="shared" ca="1" si="8"/>
        <v>107375.18073034412</v>
      </c>
      <c r="K31" s="143">
        <f t="shared" ca="1" si="9"/>
        <v>121058.90118686168</v>
      </c>
      <c r="L31" s="143">
        <f t="shared" ca="1" si="10"/>
        <v>124107.15225174089</v>
      </c>
      <c r="M31" s="143">
        <f t="shared" ca="1" si="11"/>
        <v>148470.73682062846</v>
      </c>
      <c r="N31" s="143">
        <f t="shared" ca="1" si="12"/>
        <v>144135.37096133322</v>
      </c>
      <c r="O31" s="143">
        <f t="shared" ca="1" si="13"/>
        <v>133296.91662017483</v>
      </c>
      <c r="P31" s="143">
        <f t="shared" ca="1" si="14"/>
        <v>124621.60955747393</v>
      </c>
      <c r="Q31" s="143">
        <f t="shared" ca="1" si="15"/>
        <v>122344.47994795728</v>
      </c>
      <c r="R31" s="143">
        <f t="shared" ca="1" si="16"/>
        <v>115519.18302307001</v>
      </c>
      <c r="S31" s="143">
        <f t="shared" ca="1" si="17"/>
        <v>114083.64049921365</v>
      </c>
      <c r="T31" s="143">
        <f t="shared" ca="1" si="18"/>
        <v>110934.8460466907</v>
      </c>
      <c r="U31" s="143">
        <f t="shared" ca="1" si="19"/>
        <v>108499.79981620894</v>
      </c>
      <c r="V31" s="143">
        <f t="shared" ca="1" si="20"/>
        <v>106610.26164625537</v>
      </c>
      <c r="W31" s="143">
        <f t="shared" ca="1" si="21"/>
        <v>104170.68451641549</v>
      </c>
      <c r="X31" s="143">
        <f t="shared" ca="1" si="22"/>
        <v>101521.47852985821</v>
      </c>
      <c r="Y31" s="143">
        <f t="shared" ca="1" si="23"/>
        <v>100659.60041892833</v>
      </c>
      <c r="Z31" s="143">
        <f t="shared" ca="1" si="24"/>
        <v>97255.536964986954</v>
      </c>
      <c r="AA31" s="143">
        <f t="shared" ca="1" si="25"/>
        <v>93749.04171956444</v>
      </c>
      <c r="AB31" s="143">
        <f t="shared" ca="1" si="26"/>
        <v>89759.452797085018</v>
      </c>
      <c r="AC31" s="143">
        <f t="shared" ca="1" si="27"/>
        <v>86123.82122977433</v>
      </c>
      <c r="AD31" s="143">
        <f t="shared" ca="1" si="28"/>
        <v>82828.250954791336</v>
      </c>
      <c r="AE31" s="143">
        <f t="shared" ca="1" si="29"/>
        <v>79874.834327908626</v>
      </c>
      <c r="AF31" s="143">
        <f t="shared" ca="1" si="30"/>
        <v>77419.779266527374</v>
      </c>
    </row>
    <row r="33" spans="1:32">
      <c r="A33" s="112" t="s">
        <v>558</v>
      </c>
      <c r="B33" s="142">
        <v>2025</v>
      </c>
      <c r="C33" s="142">
        <v>2026</v>
      </c>
      <c r="D33" s="142">
        <v>2027</v>
      </c>
      <c r="E33" s="142">
        <v>2028</v>
      </c>
      <c r="F33" s="142">
        <v>2029</v>
      </c>
      <c r="G33" s="142">
        <v>2030</v>
      </c>
      <c r="H33" s="142">
        <v>2031</v>
      </c>
      <c r="I33" s="142">
        <v>2032</v>
      </c>
      <c r="J33" s="142">
        <v>2033</v>
      </c>
      <c r="K33" s="142">
        <v>2034</v>
      </c>
      <c r="L33" s="142">
        <v>2035</v>
      </c>
      <c r="M33" s="142">
        <v>2036</v>
      </c>
      <c r="N33" s="142">
        <v>2037</v>
      </c>
      <c r="O33" s="142">
        <v>2038</v>
      </c>
      <c r="P33" s="142">
        <v>2039</v>
      </c>
      <c r="Q33" s="142">
        <v>2040</v>
      </c>
      <c r="R33" s="142">
        <v>2041</v>
      </c>
      <c r="S33" s="142">
        <v>2042</v>
      </c>
      <c r="T33" s="142">
        <v>2043</v>
      </c>
      <c r="U33" s="142">
        <v>2044</v>
      </c>
      <c r="V33" s="142">
        <v>2045</v>
      </c>
      <c r="W33" s="142">
        <v>2046</v>
      </c>
      <c r="X33" s="142">
        <v>2047</v>
      </c>
      <c r="Y33" s="142">
        <v>2048</v>
      </c>
      <c r="Z33" s="142">
        <v>2049</v>
      </c>
      <c r="AA33" s="142">
        <v>2050</v>
      </c>
      <c r="AB33" s="142">
        <v>2051</v>
      </c>
      <c r="AC33" s="142">
        <v>2052</v>
      </c>
      <c r="AD33" s="142">
        <v>2053</v>
      </c>
      <c r="AE33" s="142">
        <v>2054</v>
      </c>
      <c r="AF33" s="142">
        <v>2055</v>
      </c>
    </row>
    <row r="34" spans="1:32">
      <c r="A34" s="43" t="s">
        <v>43</v>
      </c>
      <c r="B34" s="143">
        <f ca="1">B11*B$3</f>
        <v>43.027534134577323</v>
      </c>
      <c r="C34" s="143">
        <f t="shared" ref="C34:AF34" ca="1" si="31">C11*C$3</f>
        <v>161.59846388154799</v>
      </c>
      <c r="D34" s="143">
        <f t="shared" ca="1" si="31"/>
        <v>428.69419486867417</v>
      </c>
      <c r="E34" s="143">
        <f t="shared" ca="1" si="31"/>
        <v>965.89083194267732</v>
      </c>
      <c r="F34" s="143">
        <f t="shared" ca="1" si="31"/>
        <v>2059.3609294579051</v>
      </c>
      <c r="G34" s="143">
        <f t="shared" ca="1" si="31"/>
        <v>3904.8444745993161</v>
      </c>
      <c r="H34" s="143">
        <f t="shared" ca="1" si="31"/>
        <v>6857.4458096235348</v>
      </c>
      <c r="I34" s="143">
        <f t="shared" ca="1" si="31"/>
        <v>13395.184275804211</v>
      </c>
      <c r="J34" s="143">
        <f t="shared" ca="1" si="31"/>
        <v>23433.332560239021</v>
      </c>
      <c r="K34" s="143">
        <f t="shared" ca="1" si="31"/>
        <v>38470.067176200508</v>
      </c>
      <c r="L34" s="143">
        <f t="shared" ca="1" si="31"/>
        <v>61468.035963628354</v>
      </c>
      <c r="M34" s="143">
        <f t="shared" ca="1" si="31"/>
        <v>94605.357654280539</v>
      </c>
      <c r="N34" s="143">
        <f t="shared" ca="1" si="31"/>
        <v>144206.40760989263</v>
      </c>
      <c r="O34" s="143">
        <f t="shared" ca="1" si="31"/>
        <v>206153.87755726706</v>
      </c>
      <c r="P34" s="143">
        <f t="shared" ca="1" si="31"/>
        <v>286122.83082467964</v>
      </c>
      <c r="Q34" s="143">
        <f t="shared" ca="1" si="31"/>
        <v>379237.57620966737</v>
      </c>
      <c r="R34" s="143">
        <f t="shared" ca="1" si="31"/>
        <v>488137.35767927096</v>
      </c>
      <c r="S34" s="143">
        <f t="shared" ca="1" si="31"/>
        <v>609708.60071264079</v>
      </c>
      <c r="T34" s="143">
        <f t="shared" ca="1" si="31"/>
        <v>753126.48183290556</v>
      </c>
      <c r="U34" s="143">
        <f t="shared" ca="1" si="31"/>
        <v>906508.92227550759</v>
      </c>
      <c r="V34" s="143">
        <f t="shared" ca="1" si="31"/>
        <v>1069817.4917349124</v>
      </c>
      <c r="W34" s="143">
        <f t="shared" ca="1" si="31"/>
        <v>1244645.8934318689</v>
      </c>
      <c r="X34" s="143">
        <f t="shared" ca="1" si="31"/>
        <v>1425260.6406114986</v>
      </c>
      <c r="Y34" s="143">
        <f t="shared" ca="1" si="31"/>
        <v>1599088.1222146298</v>
      </c>
      <c r="Z34" s="143">
        <f t="shared" ca="1" si="31"/>
        <v>1779013.1900763072</v>
      </c>
      <c r="AA34" s="143">
        <f t="shared" ca="1" si="31"/>
        <v>1987205.181480895</v>
      </c>
      <c r="AB34" s="143">
        <f t="shared" ca="1" si="31"/>
        <v>2185002.6925602108</v>
      </c>
      <c r="AC34" s="143">
        <f t="shared" ca="1" si="31"/>
        <v>2383607.4842952774</v>
      </c>
      <c r="AD34" s="143">
        <f t="shared" ca="1" si="31"/>
        <v>2581999.1617630073</v>
      </c>
      <c r="AE34" s="143">
        <f t="shared" ca="1" si="31"/>
        <v>2780209.6138344938</v>
      </c>
      <c r="AF34" s="143">
        <f t="shared" ca="1" si="31"/>
        <v>2973579.6336900927</v>
      </c>
    </row>
    <row r="35" spans="1:32">
      <c r="A35" s="43" t="s">
        <v>51</v>
      </c>
      <c r="B35" s="143">
        <f t="shared" ref="B35:Q42" ca="1" si="32">B12*B$3</f>
        <v>60.36931113665937</v>
      </c>
      <c r="C35" s="143">
        <f t="shared" ca="1" si="32"/>
        <v>224.91018679743343</v>
      </c>
      <c r="D35" s="143">
        <f t="shared" ca="1" si="32"/>
        <v>599.6458669564239</v>
      </c>
      <c r="E35" s="143">
        <f t="shared" ca="1" si="32"/>
        <v>1347.5914738387849</v>
      </c>
      <c r="F35" s="143">
        <f t="shared" ca="1" si="32"/>
        <v>2883.7050246099902</v>
      </c>
      <c r="G35" s="143">
        <f t="shared" ca="1" si="32"/>
        <v>5498.7715818312618</v>
      </c>
      <c r="H35" s="143">
        <f t="shared" ca="1" si="32"/>
        <v>9678.0281721735482</v>
      </c>
      <c r="I35" s="143">
        <f t="shared" ca="1" si="32"/>
        <v>19270.460914974061</v>
      </c>
      <c r="J35" s="143">
        <f t="shared" ca="1" si="32"/>
        <v>33201.615399902686</v>
      </c>
      <c r="K35" s="143">
        <f t="shared" ca="1" si="32"/>
        <v>55151.075721211637</v>
      </c>
      <c r="L35" s="143">
        <f t="shared" ca="1" si="32"/>
        <v>90337.468093185424</v>
      </c>
      <c r="M35" s="143">
        <f t="shared" ca="1" si="32"/>
        <v>139023.1238390916</v>
      </c>
      <c r="N35" s="143">
        <f t="shared" ca="1" si="32"/>
        <v>199579.98514955628</v>
      </c>
      <c r="O35" s="143">
        <f t="shared" ca="1" si="32"/>
        <v>282876.62736002106</v>
      </c>
      <c r="P35" s="143">
        <f t="shared" ca="1" si="32"/>
        <v>388437.85236754722</v>
      </c>
      <c r="Q35" s="143">
        <f t="shared" ca="1" si="32"/>
        <v>518219.42155976547</v>
      </c>
      <c r="R35" s="143">
        <f t="shared" ref="R35:AF35" ca="1" si="33">R12*R$3</f>
        <v>668652.23137209716</v>
      </c>
      <c r="S35" s="143">
        <f t="shared" ca="1" si="33"/>
        <v>839633.07760820072</v>
      </c>
      <c r="T35" s="143">
        <f t="shared" ca="1" si="33"/>
        <v>1035966.6412950543</v>
      </c>
      <c r="U35" s="143">
        <f t="shared" ca="1" si="33"/>
        <v>1250051.0140866032</v>
      </c>
      <c r="V35" s="143">
        <f t="shared" ca="1" si="33"/>
        <v>1474304.6479867955</v>
      </c>
      <c r="W35" s="143">
        <f t="shared" ca="1" si="33"/>
        <v>1715350.553593073</v>
      </c>
      <c r="X35" s="143">
        <f t="shared" ca="1" si="33"/>
        <v>1965319.075305185</v>
      </c>
      <c r="Y35" s="143">
        <f t="shared" ca="1" si="33"/>
        <v>2199969.6099477545</v>
      </c>
      <c r="Z35" s="143">
        <f t="shared" ca="1" si="33"/>
        <v>2444361.8701859913</v>
      </c>
      <c r="AA35" s="143">
        <f t="shared" ca="1" si="33"/>
        <v>2728209.103312864</v>
      </c>
      <c r="AB35" s="143">
        <f t="shared" ca="1" si="33"/>
        <v>3002511.2956951512</v>
      </c>
      <c r="AC35" s="143">
        <f t="shared" ca="1" si="33"/>
        <v>3276870.279447197</v>
      </c>
      <c r="AD35" s="143">
        <f t="shared" ca="1" si="33"/>
        <v>3550712.7273518885</v>
      </c>
      <c r="AE35" s="143">
        <f t="shared" ca="1" si="33"/>
        <v>3822861.5540510425</v>
      </c>
      <c r="AF35" s="143">
        <f t="shared" ca="1" si="33"/>
        <v>4088633.0338026579</v>
      </c>
    </row>
    <row r="36" spans="1:32">
      <c r="A36" s="43" t="s">
        <v>58</v>
      </c>
      <c r="B36" s="143">
        <f t="shared" ca="1" si="32"/>
        <v>12.202104982240702</v>
      </c>
      <c r="C36" s="143">
        <f t="shared" ca="1" si="32"/>
        <v>46.530377827741084</v>
      </c>
      <c r="D36" s="143">
        <f t="shared" ca="1" si="32"/>
        <v>120.79523497142844</v>
      </c>
      <c r="E36" s="143">
        <f t="shared" ca="1" si="32"/>
        <v>276.53211701437527</v>
      </c>
      <c r="F36" s="143">
        <f t="shared" ca="1" si="32"/>
        <v>575.02179525143038</v>
      </c>
      <c r="G36" s="143">
        <f t="shared" ca="1" si="32"/>
        <v>1081.8750715768406</v>
      </c>
      <c r="H36" s="143">
        <f t="shared" ca="1" si="32"/>
        <v>1916.0593453683723</v>
      </c>
      <c r="I36" s="143">
        <f t="shared" ca="1" si="32"/>
        <v>3528.8134181766891</v>
      </c>
      <c r="J36" s="143">
        <f t="shared" ca="1" si="32"/>
        <v>6068.7603153200016</v>
      </c>
      <c r="K36" s="143">
        <f t="shared" ca="1" si="32"/>
        <v>10236.303930574679</v>
      </c>
      <c r="L36" s="143">
        <f t="shared" ca="1" si="32"/>
        <v>15671.713105471725</v>
      </c>
      <c r="M36" s="143">
        <f t="shared" ca="1" si="32"/>
        <v>24383.182913611174</v>
      </c>
      <c r="N36" s="143">
        <f t="shared" ca="1" si="32"/>
        <v>35558.573195028381</v>
      </c>
      <c r="O36" s="143">
        <f t="shared" ca="1" si="32"/>
        <v>50045.517864268761</v>
      </c>
      <c r="P36" s="143">
        <f t="shared" ca="1" si="32"/>
        <v>68626.473754680061</v>
      </c>
      <c r="Q36" s="143">
        <f t="shared" ca="1" si="32"/>
        <v>91789.332073720099</v>
      </c>
      <c r="R36" s="143">
        <f t="shared" ref="R36:AF36" ca="1" si="34">R13*R$3</f>
        <v>116730.20515757453</v>
      </c>
      <c r="S36" s="143">
        <f t="shared" ca="1" si="34"/>
        <v>163881.53082022219</v>
      </c>
      <c r="T36" s="143">
        <f t="shared" ca="1" si="34"/>
        <v>200695.70637995721</v>
      </c>
      <c r="U36" s="143">
        <f t="shared" ca="1" si="34"/>
        <v>240410.1215489179</v>
      </c>
      <c r="V36" s="143">
        <f t="shared" ca="1" si="34"/>
        <v>281962.58535463311</v>
      </c>
      <c r="W36" s="143">
        <f t="shared" ca="1" si="34"/>
        <v>326087.07690454507</v>
      </c>
      <c r="X36" s="143">
        <f t="shared" ca="1" si="34"/>
        <v>372164.9797835506</v>
      </c>
      <c r="Y36" s="143">
        <f t="shared" ca="1" si="34"/>
        <v>419092.75563959492</v>
      </c>
      <c r="Z36" s="143">
        <f t="shared" ca="1" si="34"/>
        <v>467328.13331324555</v>
      </c>
      <c r="AA36" s="143">
        <f t="shared" ca="1" si="34"/>
        <v>518131.55078646605</v>
      </c>
      <c r="AB36" s="143">
        <f t="shared" ca="1" si="34"/>
        <v>574669.61814664945</v>
      </c>
      <c r="AC36" s="143">
        <f t="shared" ca="1" si="34"/>
        <v>632553.46440109308</v>
      </c>
      <c r="AD36" s="143">
        <f t="shared" ca="1" si="34"/>
        <v>692786.48575279466</v>
      </c>
      <c r="AE36" s="143">
        <f t="shared" ca="1" si="34"/>
        <v>745957.63816506672</v>
      </c>
      <c r="AF36" s="143">
        <f t="shared" ca="1" si="34"/>
        <v>798421.53916114499</v>
      </c>
    </row>
    <row r="37" spans="1:32">
      <c r="A37" s="43" t="s">
        <v>54</v>
      </c>
      <c r="B37" s="143">
        <f t="shared" ca="1" si="32"/>
        <v>13.937976857878077</v>
      </c>
      <c r="C37" s="143">
        <f t="shared" ca="1" si="32"/>
        <v>51.502452058884352</v>
      </c>
      <c r="D37" s="143">
        <f t="shared" ca="1" si="32"/>
        <v>129.87556220229331</v>
      </c>
      <c r="E37" s="143">
        <f t="shared" ca="1" si="32"/>
        <v>289.90347837004555</v>
      </c>
      <c r="F37" s="143">
        <f t="shared" ca="1" si="32"/>
        <v>604.78309208566077</v>
      </c>
      <c r="G37" s="143">
        <f t="shared" ca="1" si="32"/>
        <v>1206.6026770156509</v>
      </c>
      <c r="H37" s="143">
        <f t="shared" ca="1" si="32"/>
        <v>2255.2725688092737</v>
      </c>
      <c r="I37" s="143">
        <f t="shared" ca="1" si="32"/>
        <v>4387.1100855603618</v>
      </c>
      <c r="J37" s="143">
        <f t="shared" ca="1" si="32"/>
        <v>7788.8401565576187</v>
      </c>
      <c r="K37" s="143">
        <f t="shared" ca="1" si="32"/>
        <v>13085.736634448383</v>
      </c>
      <c r="L37" s="143">
        <f t="shared" ca="1" si="32"/>
        <v>21354.267944495707</v>
      </c>
      <c r="M37" s="143">
        <f t="shared" ca="1" si="32"/>
        <v>32648.052166575813</v>
      </c>
      <c r="N37" s="143">
        <f t="shared" ca="1" si="32"/>
        <v>48842.12668008716</v>
      </c>
      <c r="O37" s="143">
        <f t="shared" ca="1" si="32"/>
        <v>67457.708237915082</v>
      </c>
      <c r="P37" s="143">
        <f t="shared" ca="1" si="32"/>
        <v>90487.438607293167</v>
      </c>
      <c r="Q37" s="143">
        <f t="shared" ca="1" si="32"/>
        <v>119020.64054953231</v>
      </c>
      <c r="R37" s="143">
        <f t="shared" ref="R37:AF37" ca="1" si="35">R14*R$3</f>
        <v>153485.45730535215</v>
      </c>
      <c r="S37" s="143">
        <f t="shared" ca="1" si="35"/>
        <v>188314.77304128799</v>
      </c>
      <c r="T37" s="143">
        <f t="shared" ca="1" si="35"/>
        <v>227364.69208183096</v>
      </c>
      <c r="U37" s="143">
        <f t="shared" ca="1" si="35"/>
        <v>269038.20795871416</v>
      </c>
      <c r="V37" s="143">
        <f t="shared" ca="1" si="35"/>
        <v>311878.99310140172</v>
      </c>
      <c r="W37" s="143">
        <f t="shared" ca="1" si="35"/>
        <v>352230.75201860024</v>
      </c>
      <c r="X37" s="143">
        <f t="shared" ca="1" si="35"/>
        <v>397201.67888070486</v>
      </c>
      <c r="Y37" s="143">
        <f t="shared" ca="1" si="35"/>
        <v>455392.42963860382</v>
      </c>
      <c r="Z37" s="143">
        <f t="shared" ca="1" si="35"/>
        <v>509827.54335481086</v>
      </c>
      <c r="AA37" s="143">
        <f t="shared" ca="1" si="35"/>
        <v>543909.22152862453</v>
      </c>
      <c r="AB37" s="143">
        <f t="shared" ca="1" si="35"/>
        <v>594096.86594297737</v>
      </c>
      <c r="AC37" s="143">
        <f t="shared" ca="1" si="35"/>
        <v>642828.05170644296</v>
      </c>
      <c r="AD37" s="143">
        <f t="shared" ca="1" si="35"/>
        <v>689162.18345195707</v>
      </c>
      <c r="AE37" s="143">
        <f t="shared" ca="1" si="35"/>
        <v>735163.92597096111</v>
      </c>
      <c r="AF37" s="143">
        <f t="shared" ca="1" si="35"/>
        <v>779949.68832849863</v>
      </c>
    </row>
    <row r="38" spans="1:32">
      <c r="A38" s="43" t="s">
        <v>55</v>
      </c>
      <c r="B38" s="143">
        <f t="shared" ca="1" si="32"/>
        <v>5.9637606761079374</v>
      </c>
      <c r="C38" s="143">
        <f t="shared" ca="1" si="32"/>
        <v>22.30205035428278</v>
      </c>
      <c r="D38" s="143">
        <f t="shared" ca="1" si="32"/>
        <v>59.192002515859855</v>
      </c>
      <c r="E38" s="143">
        <f t="shared" ca="1" si="32"/>
        <v>140.70382889200766</v>
      </c>
      <c r="F38" s="143">
        <f t="shared" ca="1" si="32"/>
        <v>293.18853376737223</v>
      </c>
      <c r="G38" s="143">
        <f t="shared" ca="1" si="32"/>
        <v>623.46092722281514</v>
      </c>
      <c r="H38" s="143">
        <f t="shared" ca="1" si="32"/>
        <v>1236.3940971572129</v>
      </c>
      <c r="I38" s="143">
        <f t="shared" ca="1" si="32"/>
        <v>2361.4214405802936</v>
      </c>
      <c r="J38" s="143">
        <f t="shared" ca="1" si="32"/>
        <v>4244.5009521743386</v>
      </c>
      <c r="K38" s="143">
        <f t="shared" ca="1" si="32"/>
        <v>6811.0348828287815</v>
      </c>
      <c r="L38" s="143">
        <f t="shared" ca="1" si="32"/>
        <v>10261.90614802394</v>
      </c>
      <c r="M38" s="143">
        <f t="shared" ca="1" si="32"/>
        <v>14531.649957411133</v>
      </c>
      <c r="N38" s="143">
        <f t="shared" ca="1" si="32"/>
        <v>20008.464232219365</v>
      </c>
      <c r="O38" s="143">
        <f t="shared" ca="1" si="32"/>
        <v>26111.2806401376</v>
      </c>
      <c r="P38" s="143">
        <f t="shared" ca="1" si="32"/>
        <v>32355.905497999825</v>
      </c>
      <c r="Q38" s="143">
        <f t="shared" ca="1" si="32"/>
        <v>39799.221119631264</v>
      </c>
      <c r="R38" s="143">
        <f t="shared" ref="R38:AF38" ca="1" si="36">R15*R$3</f>
        <v>53647.980591660824</v>
      </c>
      <c r="S38" s="143">
        <f t="shared" ca="1" si="36"/>
        <v>60500.577916814756</v>
      </c>
      <c r="T38" s="143">
        <f t="shared" ca="1" si="36"/>
        <v>66822.939925123646</v>
      </c>
      <c r="U38" s="143">
        <f t="shared" ca="1" si="36"/>
        <v>71591.130509205235</v>
      </c>
      <c r="V38" s="143">
        <f t="shared" ca="1" si="36"/>
        <v>74514.980434048048</v>
      </c>
      <c r="W38" s="143">
        <f t="shared" ca="1" si="36"/>
        <v>75555.025466920837</v>
      </c>
      <c r="X38" s="143">
        <f t="shared" ca="1" si="36"/>
        <v>77306.551363338309</v>
      </c>
      <c r="Y38" s="143">
        <f t="shared" ca="1" si="36"/>
        <v>78498.11409595747</v>
      </c>
      <c r="Z38" s="143">
        <f t="shared" ca="1" si="36"/>
        <v>79090.795649734282</v>
      </c>
      <c r="AA38" s="143">
        <f t="shared" ca="1" si="36"/>
        <v>76929.634771740704</v>
      </c>
      <c r="AB38" s="143">
        <f t="shared" ca="1" si="36"/>
        <v>80196.708897811521</v>
      </c>
      <c r="AC38" s="143">
        <f t="shared" ca="1" si="36"/>
        <v>83429.848307293651</v>
      </c>
      <c r="AD38" s="143">
        <f t="shared" ca="1" si="36"/>
        <v>82639.325809179165</v>
      </c>
      <c r="AE38" s="143">
        <f t="shared" ca="1" si="36"/>
        <v>81485.466760956348</v>
      </c>
      <c r="AF38" s="143">
        <f t="shared" ca="1" si="36"/>
        <v>80003.752718470176</v>
      </c>
    </row>
    <row r="39" spans="1:32">
      <c r="A39" s="43" t="s">
        <v>56</v>
      </c>
      <c r="B39" s="143">
        <f t="shared" ca="1" si="32"/>
        <v>2.4374309719509295</v>
      </c>
      <c r="C39" s="143">
        <f t="shared" ca="1" si="32"/>
        <v>9.1063353337343571</v>
      </c>
      <c r="D39" s="143">
        <f t="shared" ca="1" si="32"/>
        <v>23.664606685758066</v>
      </c>
      <c r="E39" s="143">
        <f t="shared" ca="1" si="32"/>
        <v>55.669532554015113</v>
      </c>
      <c r="F39" s="143">
        <f t="shared" ca="1" si="32"/>
        <v>118.01659227327431</v>
      </c>
      <c r="G39" s="143">
        <f t="shared" ca="1" si="32"/>
        <v>253.80168261711864</v>
      </c>
      <c r="H39" s="143">
        <f t="shared" ca="1" si="32"/>
        <v>542.22893485606301</v>
      </c>
      <c r="I39" s="143">
        <f t="shared" ca="1" si="32"/>
        <v>1032.4909793926308</v>
      </c>
      <c r="J39" s="143">
        <f t="shared" ca="1" si="32"/>
        <v>1970.9609211994746</v>
      </c>
      <c r="K39" s="143">
        <f t="shared" ca="1" si="32"/>
        <v>3503.9797818762181</v>
      </c>
      <c r="L39" s="143">
        <f t="shared" ca="1" si="32"/>
        <v>5447.3767200335778</v>
      </c>
      <c r="M39" s="143">
        <f t="shared" ca="1" si="32"/>
        <v>8734.1590047384161</v>
      </c>
      <c r="N39" s="143">
        <f t="shared" ca="1" si="32"/>
        <v>13737.907773527282</v>
      </c>
      <c r="O39" s="143">
        <f t="shared" ca="1" si="32"/>
        <v>22019.833520278946</v>
      </c>
      <c r="P39" s="143">
        <f t="shared" ca="1" si="32"/>
        <v>30299.915622862707</v>
      </c>
      <c r="Q39" s="143">
        <f t="shared" ca="1" si="32"/>
        <v>39370.807279962697</v>
      </c>
      <c r="R39" s="143">
        <f t="shared" ref="R39:AF39" ca="1" si="37">R16*R$3</f>
        <v>50604.488377443064</v>
      </c>
      <c r="S39" s="143">
        <f t="shared" ca="1" si="37"/>
        <v>61225.010957626015</v>
      </c>
      <c r="T39" s="143">
        <f t="shared" ca="1" si="37"/>
        <v>73069.123860907901</v>
      </c>
      <c r="U39" s="143">
        <f t="shared" ca="1" si="37"/>
        <v>83947.421426584435</v>
      </c>
      <c r="V39" s="143">
        <f t="shared" ca="1" si="37"/>
        <v>96361.863853729825</v>
      </c>
      <c r="W39" s="143">
        <f t="shared" ca="1" si="37"/>
        <v>108448.24728448717</v>
      </c>
      <c r="X39" s="143">
        <f t="shared" ca="1" si="37"/>
        <v>122918.18614842765</v>
      </c>
      <c r="Y39" s="143">
        <f t="shared" ca="1" si="37"/>
        <v>139548.43946989236</v>
      </c>
      <c r="Z39" s="143">
        <f t="shared" ca="1" si="37"/>
        <v>158531.20123735245</v>
      </c>
      <c r="AA39" s="143">
        <f t="shared" ca="1" si="37"/>
        <v>175765.18786232173</v>
      </c>
      <c r="AB39" s="143">
        <f t="shared" ca="1" si="37"/>
        <v>190866.78310825909</v>
      </c>
      <c r="AC39" s="143">
        <f t="shared" ca="1" si="37"/>
        <v>205464.53738207876</v>
      </c>
      <c r="AD39" s="143">
        <f t="shared" ca="1" si="37"/>
        <v>219389.89525996792</v>
      </c>
      <c r="AE39" s="143">
        <f t="shared" ca="1" si="37"/>
        <v>233232.30467076023</v>
      </c>
      <c r="AF39" s="143">
        <f t="shared" ca="1" si="37"/>
        <v>246745.36023576302</v>
      </c>
    </row>
    <row r="40" spans="1:32">
      <c r="A40" s="43" t="s">
        <v>549</v>
      </c>
      <c r="B40" s="143">
        <f t="shared" ca="1" si="32"/>
        <v>4.0238387789887575</v>
      </c>
      <c r="C40" s="143">
        <f t="shared" ca="1" si="32"/>
        <v>15.049954979061564</v>
      </c>
      <c r="D40" s="143">
        <f t="shared" ca="1" si="32"/>
        <v>38.312380282323481</v>
      </c>
      <c r="E40" s="143">
        <f t="shared" ca="1" si="32"/>
        <v>85.414232435421653</v>
      </c>
      <c r="F40" s="143">
        <f t="shared" ca="1" si="32"/>
        <v>180.77845805015278</v>
      </c>
      <c r="G40" s="143">
        <f t="shared" ca="1" si="32"/>
        <v>367.94032233426128</v>
      </c>
      <c r="H40" s="143">
        <f t="shared" ca="1" si="32"/>
        <v>669.42496888466803</v>
      </c>
      <c r="I40" s="143">
        <f t="shared" ca="1" si="32"/>
        <v>1329.5122557131649</v>
      </c>
      <c r="J40" s="143">
        <f t="shared" ca="1" si="32"/>
        <v>2410.7296888203746</v>
      </c>
      <c r="K40" s="143">
        <f t="shared" ca="1" si="32"/>
        <v>4245.0972023237682</v>
      </c>
      <c r="L40" s="143">
        <f t="shared" ca="1" si="32"/>
        <v>6896.213226124727</v>
      </c>
      <c r="M40" s="143">
        <f t="shared" ca="1" si="32"/>
        <v>10579.354596507457</v>
      </c>
      <c r="N40" s="143">
        <f t="shared" ca="1" si="32"/>
        <v>15930.096445525669</v>
      </c>
      <c r="O40" s="143">
        <f t="shared" ca="1" si="32"/>
        <v>22986.842357249367</v>
      </c>
      <c r="P40" s="143">
        <f t="shared" ca="1" si="32"/>
        <v>31854.360689756384</v>
      </c>
      <c r="Q40" s="143">
        <f t="shared" ca="1" si="32"/>
        <v>42885.563716825389</v>
      </c>
      <c r="R40" s="143">
        <f t="shared" ref="R40:AF40" ca="1" si="38">R17*R$3</f>
        <v>56244.020395311818</v>
      </c>
      <c r="S40" s="143">
        <f t="shared" ca="1" si="38"/>
        <v>70917.816078373653</v>
      </c>
      <c r="T40" s="143">
        <f t="shared" ca="1" si="38"/>
        <v>86905.956122810996</v>
      </c>
      <c r="U40" s="143">
        <f t="shared" ca="1" si="38"/>
        <v>104198.74900699517</v>
      </c>
      <c r="V40" s="143">
        <f t="shared" ca="1" si="38"/>
        <v>122296.38857405675</v>
      </c>
      <c r="W40" s="143">
        <f t="shared" ca="1" si="38"/>
        <v>142095.83264466884</v>
      </c>
      <c r="X40" s="143">
        <f t="shared" ca="1" si="38"/>
        <v>162867.20460922358</v>
      </c>
      <c r="Y40" s="143">
        <f t="shared" ca="1" si="38"/>
        <v>183863.19469339884</v>
      </c>
      <c r="Z40" s="143">
        <f t="shared" ca="1" si="38"/>
        <v>218942.23967095625</v>
      </c>
      <c r="AA40" s="143">
        <f t="shared" ca="1" si="38"/>
        <v>242663.63169715775</v>
      </c>
      <c r="AB40" s="143">
        <f t="shared" ca="1" si="38"/>
        <v>269018.80505878088</v>
      </c>
      <c r="AC40" s="143">
        <f t="shared" ca="1" si="38"/>
        <v>295653.96173300029</v>
      </c>
      <c r="AD40" s="143">
        <f t="shared" ca="1" si="38"/>
        <v>322352.66223777033</v>
      </c>
      <c r="AE40" s="143">
        <f t="shared" ca="1" si="38"/>
        <v>349277.38471961836</v>
      </c>
      <c r="AF40" s="143">
        <f t="shared" ca="1" si="38"/>
        <v>376376.28139805322</v>
      </c>
    </row>
    <row r="41" spans="1:32">
      <c r="A41" s="43" t="s">
        <v>52</v>
      </c>
      <c r="B41" s="143">
        <f t="shared" ca="1" si="32"/>
        <v>4.9847260016361883</v>
      </c>
      <c r="C41" s="143">
        <f t="shared" ca="1" si="32"/>
        <v>18.449898272025639</v>
      </c>
      <c r="D41" s="143">
        <f t="shared" ca="1" si="32"/>
        <v>46.700848587985007</v>
      </c>
      <c r="E41" s="143">
        <f t="shared" ca="1" si="32"/>
        <v>103.14169610911124</v>
      </c>
      <c r="F41" s="143">
        <f t="shared" ca="1" si="32"/>
        <v>208.96886249801929</v>
      </c>
      <c r="G41" s="143">
        <f t="shared" ca="1" si="32"/>
        <v>403.81223767870512</v>
      </c>
      <c r="H41" s="143">
        <f t="shared" ca="1" si="32"/>
        <v>714.83111068852691</v>
      </c>
      <c r="I41" s="143">
        <f t="shared" ca="1" si="32"/>
        <v>1408.2985017561498</v>
      </c>
      <c r="J41" s="143">
        <f t="shared" ca="1" si="32"/>
        <v>2647.2953696626555</v>
      </c>
      <c r="K41" s="143">
        <f t="shared" ca="1" si="32"/>
        <v>4543.4171954896801</v>
      </c>
      <c r="L41" s="143">
        <f t="shared" ca="1" si="32"/>
        <v>7446.3463982623543</v>
      </c>
      <c r="M41" s="143">
        <f t="shared" ca="1" si="32"/>
        <v>11655.544582503217</v>
      </c>
      <c r="N41" s="143">
        <f t="shared" ca="1" si="32"/>
        <v>18015.214308867082</v>
      </c>
      <c r="O41" s="143">
        <f t="shared" ca="1" si="32"/>
        <v>25529.018170095274</v>
      </c>
      <c r="P41" s="143">
        <f t="shared" ca="1" si="32"/>
        <v>34416.960969807376</v>
      </c>
      <c r="Q41" s="143">
        <f t="shared" ca="1" si="32"/>
        <v>45238.063808591301</v>
      </c>
      <c r="R41" s="143">
        <f t="shared" ref="R41:AF41" ca="1" si="39">R18*R$3</f>
        <v>57715.257814242221</v>
      </c>
      <c r="S41" s="143">
        <f t="shared" ca="1" si="39"/>
        <v>72032.572863814086</v>
      </c>
      <c r="T41" s="143">
        <f t="shared" ca="1" si="39"/>
        <v>88062.821561231496</v>
      </c>
      <c r="U41" s="143">
        <f t="shared" ca="1" si="39"/>
        <v>106351.35971829716</v>
      </c>
      <c r="V41" s="143">
        <f t="shared" ca="1" si="39"/>
        <v>125208.00586749421</v>
      </c>
      <c r="W41" s="143">
        <f t="shared" ca="1" si="39"/>
        <v>143726.77795355921</v>
      </c>
      <c r="X41" s="143">
        <f t="shared" ca="1" si="39"/>
        <v>164484.70819674773</v>
      </c>
      <c r="Y41" s="143">
        <f t="shared" ca="1" si="39"/>
        <v>198201.83008580265</v>
      </c>
      <c r="Z41" s="143">
        <f t="shared" ca="1" si="39"/>
        <v>222323.13728222312</v>
      </c>
      <c r="AA41" s="143">
        <f t="shared" ca="1" si="39"/>
        <v>247601.30354358279</v>
      </c>
      <c r="AB41" s="143">
        <f t="shared" ca="1" si="39"/>
        <v>273040.03653904417</v>
      </c>
      <c r="AC41" s="143">
        <f t="shared" ca="1" si="39"/>
        <v>299013.28107031732</v>
      </c>
      <c r="AD41" s="143">
        <f t="shared" ca="1" si="39"/>
        <v>325517.0252654716</v>
      </c>
      <c r="AE41" s="143">
        <f t="shared" ca="1" si="39"/>
        <v>352420.70313225908</v>
      </c>
      <c r="AF41" s="143">
        <f t="shared" ca="1" si="39"/>
        <v>379486.00530830986</v>
      </c>
    </row>
    <row r="42" spans="1:32">
      <c r="A42" s="43" t="s">
        <v>57</v>
      </c>
      <c r="B42" s="143">
        <f t="shared" ca="1" si="32"/>
        <v>2.0533164599607039</v>
      </c>
      <c r="C42" s="143">
        <f t="shared" ca="1" si="32"/>
        <v>7.6923317489977583</v>
      </c>
      <c r="D42" s="143">
        <f t="shared" ca="1" si="32"/>
        <v>20.314712918310008</v>
      </c>
      <c r="E42" s="143">
        <f t="shared" ca="1" si="32"/>
        <v>48.597853633591029</v>
      </c>
      <c r="F42" s="143">
        <f t="shared" ca="1" si="32"/>
        <v>103.98664773729067</v>
      </c>
      <c r="G42" s="143">
        <f t="shared" ca="1" si="32"/>
        <v>220.09061942980668</v>
      </c>
      <c r="H42" s="143">
        <f t="shared" ca="1" si="32"/>
        <v>405.41458674457334</v>
      </c>
      <c r="I42" s="143">
        <f t="shared" ca="1" si="32"/>
        <v>760.60440717021015</v>
      </c>
      <c r="J42" s="143">
        <f t="shared" ca="1" si="32"/>
        <v>1479.0258439996701</v>
      </c>
      <c r="K42" s="143">
        <f t="shared" ca="1" si="32"/>
        <v>2683.3731257474597</v>
      </c>
      <c r="L42" s="143">
        <f t="shared" ca="1" si="32"/>
        <v>4290.6470928071785</v>
      </c>
      <c r="M42" s="143">
        <f t="shared" ca="1" si="32"/>
        <v>7719.7900204999205</v>
      </c>
      <c r="N42" s="143">
        <f t="shared" ca="1" si="32"/>
        <v>11131.448079620113</v>
      </c>
      <c r="O42" s="143">
        <f t="shared" ca="1" si="32"/>
        <v>14794.277310424543</v>
      </c>
      <c r="P42" s="143">
        <f t="shared" ca="1" si="32"/>
        <v>19348.841953664563</v>
      </c>
      <c r="Q42" s="143">
        <f t="shared" ca="1" si="32"/>
        <v>25599.6036335428</v>
      </c>
      <c r="R42" s="143">
        <f t="shared" ref="R42:AF42" ca="1" si="40">R19*R$3</f>
        <v>31325.828765398139</v>
      </c>
      <c r="S42" s="143">
        <f t="shared" ca="1" si="40"/>
        <v>38578.221634558526</v>
      </c>
      <c r="T42" s="143">
        <f t="shared" ca="1" si="40"/>
        <v>46327.460474558051</v>
      </c>
      <c r="U42" s="143">
        <f t="shared" ca="1" si="40"/>
        <v>55567.83441523798</v>
      </c>
      <c r="V42" s="143">
        <f t="shared" ca="1" si="40"/>
        <v>65567.407195555381</v>
      </c>
      <c r="W42" s="143">
        <f t="shared" ca="1" si="40"/>
        <v>75863.389884739227</v>
      </c>
      <c r="X42" s="143">
        <f t="shared" ca="1" si="40"/>
        <v>87113.727481329581</v>
      </c>
      <c r="Y42" s="143">
        <f t="shared" ca="1" si="40"/>
        <v>100513.92317923805</v>
      </c>
      <c r="Z42" s="143">
        <f t="shared" ca="1" si="40"/>
        <v>112082.54845554862</v>
      </c>
      <c r="AA42" s="143">
        <f t="shared" ca="1" si="40"/>
        <v>124609.12677098684</v>
      </c>
      <c r="AB42" s="143">
        <f t="shared" ca="1" si="40"/>
        <v>136165.90614758627</v>
      </c>
      <c r="AC42" s="143">
        <f t="shared" ca="1" si="40"/>
        <v>147569.9866829277</v>
      </c>
      <c r="AD42" s="143">
        <f t="shared" ca="1" si="40"/>
        <v>159412.56745332092</v>
      </c>
      <c r="AE42" s="143">
        <f t="shared" ca="1" si="40"/>
        <v>171325.75775735162</v>
      </c>
      <c r="AF42" s="143">
        <f t="shared" ca="1" si="40"/>
        <v>183276.88047606763</v>
      </c>
    </row>
    <row r="44" spans="1:32">
      <c r="A44" s="112" t="s">
        <v>559</v>
      </c>
    </row>
    <row r="45" spans="1:32">
      <c r="A45" s="43" t="s">
        <v>43</v>
      </c>
      <c r="B45" s="144">
        <f>B$4*B11</f>
        <v>0</v>
      </c>
      <c r="C45" s="144">
        <f t="shared" ref="C45:AF45" si="41">C$4*C11</f>
        <v>0</v>
      </c>
      <c r="D45" s="144">
        <f t="shared" si="41"/>
        <v>0</v>
      </c>
      <c r="E45" s="143">
        <f t="shared" si="41"/>
        <v>9.0818856092061857</v>
      </c>
      <c r="F45" s="143">
        <f t="shared" si="41"/>
        <v>26.759596506329906</v>
      </c>
      <c r="G45" s="143">
        <f t="shared" si="41"/>
        <v>56.199636972903242</v>
      </c>
      <c r="H45" s="143">
        <f t="shared" si="41"/>
        <v>103.20748792473474</v>
      </c>
      <c r="I45" s="143">
        <f t="shared" si="41"/>
        <v>184.64502634753444</v>
      </c>
      <c r="J45" s="143">
        <f t="shared" si="41"/>
        <v>312.88851522760285</v>
      </c>
      <c r="K45" s="143">
        <f t="shared" si="41"/>
        <v>496.41352295589434</v>
      </c>
      <c r="L45" s="143">
        <f t="shared" si="41"/>
        <v>767.09441459978166</v>
      </c>
      <c r="M45" s="143">
        <f t="shared" si="41"/>
        <v>1152.4463460329512</v>
      </c>
      <c r="N45" s="143">
        <f t="shared" si="41"/>
        <v>1737.3518996933074</v>
      </c>
      <c r="O45" s="143">
        <f t="shared" si="41"/>
        <v>2489.8829386603197</v>
      </c>
      <c r="P45" s="143">
        <f t="shared" si="41"/>
        <v>3508.3750810895704</v>
      </c>
      <c r="Q45" s="143">
        <f t="shared" si="41"/>
        <v>4774.2632930296713</v>
      </c>
      <c r="R45" s="143">
        <f t="shared" si="41"/>
        <v>6372.5240537271839</v>
      </c>
      <c r="S45" s="143">
        <f t="shared" si="41"/>
        <v>8325.796754427156</v>
      </c>
      <c r="T45" s="143">
        <f t="shared" si="41"/>
        <v>10838.350447407442</v>
      </c>
      <c r="U45" s="143">
        <f t="shared" si="41"/>
        <v>13832.204174659875</v>
      </c>
      <c r="V45" s="143">
        <f t="shared" si="41"/>
        <v>17415.025611280889</v>
      </c>
      <c r="W45" s="143">
        <f t="shared" si="41"/>
        <v>21651.121640314155</v>
      </c>
      <c r="X45" s="143">
        <f t="shared" si="41"/>
        <v>26491.774330115029</v>
      </c>
      <c r="Y45" s="143">
        <f t="shared" si="41"/>
        <v>31717.572218350833</v>
      </c>
      <c r="Z45" s="143">
        <f t="shared" si="41"/>
        <v>37593.948213589087</v>
      </c>
      <c r="AA45" s="143">
        <f t="shared" si="41"/>
        <v>44759.990676243608</v>
      </c>
      <c r="AB45" s="143">
        <f t="shared" si="41"/>
        <v>52434.447588830684</v>
      </c>
      <c r="AC45" s="143">
        <f t="shared" si="41"/>
        <v>64498.174712625223</v>
      </c>
      <c r="AD45" s="143">
        <f t="shared" si="41"/>
        <v>78911.708692638815</v>
      </c>
      <c r="AE45" s="143">
        <f t="shared" si="41"/>
        <v>95850.543082306234</v>
      </c>
      <c r="AF45" s="143">
        <f t="shared" si="41"/>
        <v>115323.22250378451</v>
      </c>
    </row>
    <row r="46" spans="1:32">
      <c r="A46" s="43" t="s">
        <v>51</v>
      </c>
      <c r="B46" s="144">
        <f t="shared" ref="B46:AF46" si="42">B$4*B12</f>
        <v>0</v>
      </c>
      <c r="C46" s="144">
        <f t="shared" si="42"/>
        <v>0</v>
      </c>
      <c r="D46" s="144">
        <f t="shared" si="42"/>
        <v>0</v>
      </c>
      <c r="E46" s="143">
        <f t="shared" si="42"/>
        <v>12.670864251532459</v>
      </c>
      <c r="F46" s="143">
        <f t="shared" si="42"/>
        <v>37.471227990205897</v>
      </c>
      <c r="G46" s="143">
        <f t="shared" si="42"/>
        <v>79.139891154703136</v>
      </c>
      <c r="H46" s="143">
        <f t="shared" si="42"/>
        <v>145.65845701807731</v>
      </c>
      <c r="I46" s="143">
        <f t="shared" si="42"/>
        <v>265.63238624508534</v>
      </c>
      <c r="J46" s="143">
        <f t="shared" si="42"/>
        <v>443.31740348618609</v>
      </c>
      <c r="K46" s="143">
        <f t="shared" si="42"/>
        <v>711.66342570129927</v>
      </c>
      <c r="L46" s="143">
        <f t="shared" si="42"/>
        <v>1127.3723996057547</v>
      </c>
      <c r="M46" s="143">
        <f t="shared" si="42"/>
        <v>1693.5266147180871</v>
      </c>
      <c r="N46" s="143">
        <f t="shared" si="42"/>
        <v>2404.4747531492981</v>
      </c>
      <c r="O46" s="143">
        <f t="shared" si="42"/>
        <v>3416.5240865471237</v>
      </c>
      <c r="P46" s="143">
        <f t="shared" si="42"/>
        <v>4762.9393217953038</v>
      </c>
      <c r="Q46" s="143">
        <f t="shared" si="42"/>
        <v>6523.9209331936136</v>
      </c>
      <c r="R46" s="143">
        <f t="shared" si="42"/>
        <v>8729.1053654547795</v>
      </c>
      <c r="S46" s="143">
        <f t="shared" si="42"/>
        <v>11465.500641272336</v>
      </c>
      <c r="T46" s="143">
        <f t="shared" si="42"/>
        <v>14908.743459469273</v>
      </c>
      <c r="U46" s="143">
        <f t="shared" si="42"/>
        <v>19074.231296238064</v>
      </c>
      <c r="V46" s="143">
        <f t="shared" si="42"/>
        <v>23999.470378712467</v>
      </c>
      <c r="W46" s="143">
        <f t="shared" si="42"/>
        <v>29839.220687274803</v>
      </c>
      <c r="X46" s="143">
        <f t="shared" si="42"/>
        <v>36530.012789321998</v>
      </c>
      <c r="Y46" s="143">
        <f t="shared" si="42"/>
        <v>43635.928509716898</v>
      </c>
      <c r="Z46" s="143">
        <f t="shared" si="42"/>
        <v>51654.037235723001</v>
      </c>
      <c r="AA46" s="143">
        <f t="shared" si="42"/>
        <v>61450.43056707667</v>
      </c>
      <c r="AB46" s="143">
        <f t="shared" si="42"/>
        <v>72052.55247742041</v>
      </c>
      <c r="AC46" s="143">
        <f t="shared" si="42"/>
        <v>88669.025075192447</v>
      </c>
      <c r="AD46" s="143">
        <f t="shared" si="42"/>
        <v>108517.77666756471</v>
      </c>
      <c r="AE46" s="143">
        <f t="shared" si="42"/>
        <v>131797.02503757863</v>
      </c>
      <c r="AF46" s="143">
        <f t="shared" si="42"/>
        <v>158567.91987387172</v>
      </c>
    </row>
    <row r="47" spans="1:32">
      <c r="A47" s="43" t="s">
        <v>58</v>
      </c>
      <c r="B47" s="144">
        <f t="shared" ref="B47:AF47" si="43">B$4*B13</f>
        <v>0</v>
      </c>
      <c r="C47" s="144">
        <f t="shared" si="43"/>
        <v>0</v>
      </c>
      <c r="D47" s="144">
        <f t="shared" si="43"/>
        <v>0</v>
      </c>
      <c r="E47" s="143">
        <f t="shared" si="43"/>
        <v>2.600121018795654</v>
      </c>
      <c r="F47" s="143">
        <f t="shared" si="43"/>
        <v>7.4719059700351842</v>
      </c>
      <c r="G47" s="143">
        <f t="shared" si="43"/>
        <v>15.570655033294523</v>
      </c>
      <c r="H47" s="143">
        <f t="shared" si="43"/>
        <v>28.837511405873983</v>
      </c>
      <c r="I47" s="143">
        <f t="shared" si="43"/>
        <v>48.642693759108354</v>
      </c>
      <c r="J47" s="143">
        <f t="shared" si="43"/>
        <v>81.031812246567867</v>
      </c>
      <c r="K47" s="143">
        <f t="shared" si="43"/>
        <v>132.0881420079109</v>
      </c>
      <c r="L47" s="143">
        <f t="shared" si="43"/>
        <v>195.57617877250848</v>
      </c>
      <c r="M47" s="143">
        <f t="shared" si="43"/>
        <v>297.02662460335677</v>
      </c>
      <c r="N47" s="143">
        <f t="shared" si="43"/>
        <v>428.39812540013713</v>
      </c>
      <c r="O47" s="143">
        <f t="shared" si="43"/>
        <v>604.43918185360633</v>
      </c>
      <c r="P47" s="143">
        <f t="shared" si="43"/>
        <v>841.4826937438487</v>
      </c>
      <c r="Q47" s="143">
        <f t="shared" si="43"/>
        <v>1155.5459329509918</v>
      </c>
      <c r="R47" s="143">
        <f t="shared" si="43"/>
        <v>1523.8867266780826</v>
      </c>
      <c r="S47" s="143">
        <f t="shared" si="43"/>
        <v>2237.8629985189114</v>
      </c>
      <c r="T47" s="143">
        <f t="shared" si="43"/>
        <v>2888.2404901525833</v>
      </c>
      <c r="U47" s="143">
        <f t="shared" si="43"/>
        <v>3668.3609010400551</v>
      </c>
      <c r="V47" s="143">
        <f t="shared" si="43"/>
        <v>4589.9283600334347</v>
      </c>
      <c r="W47" s="143">
        <f t="shared" si="43"/>
        <v>5672.417355532175</v>
      </c>
      <c r="X47" s="143">
        <f t="shared" si="43"/>
        <v>6917.5492377082492</v>
      </c>
      <c r="Y47" s="143">
        <f t="shared" si="43"/>
        <v>8312.6155203861726</v>
      </c>
      <c r="Z47" s="143">
        <f t="shared" si="43"/>
        <v>9875.5364718672135</v>
      </c>
      <c r="AA47" s="143">
        <f t="shared" si="43"/>
        <v>11670.442286682828</v>
      </c>
      <c r="AB47" s="143">
        <f t="shared" si="43"/>
        <v>13790.593520183265</v>
      </c>
      <c r="AC47" s="143">
        <f t="shared" si="43"/>
        <v>17116.30129156114</v>
      </c>
      <c r="AD47" s="143">
        <f t="shared" si="43"/>
        <v>21173.115065069636</v>
      </c>
      <c r="AE47" s="143">
        <f t="shared" si="43"/>
        <v>25717.645309449159</v>
      </c>
      <c r="AF47" s="143">
        <f t="shared" si="43"/>
        <v>30964.882786149414</v>
      </c>
    </row>
    <row r="48" spans="1:32">
      <c r="A48" s="43" t="s">
        <v>54</v>
      </c>
      <c r="B48" s="144">
        <f t="shared" ref="B48:AF48" si="44">B$4*B14</f>
        <v>0</v>
      </c>
      <c r="C48" s="144">
        <f t="shared" si="44"/>
        <v>0</v>
      </c>
      <c r="D48" s="144">
        <f t="shared" si="44"/>
        <v>0</v>
      </c>
      <c r="E48" s="143">
        <f t="shared" si="44"/>
        <v>2.7258465876234617</v>
      </c>
      <c r="F48" s="143">
        <f t="shared" si="44"/>
        <v>7.8586280270564162</v>
      </c>
      <c r="G48" s="143">
        <f t="shared" si="44"/>
        <v>17.365770355238283</v>
      </c>
      <c r="H48" s="143">
        <f t="shared" si="44"/>
        <v>33.942815280540565</v>
      </c>
      <c r="I48" s="143">
        <f t="shared" si="44"/>
        <v>60.473827060448812</v>
      </c>
      <c r="J48" s="143">
        <f t="shared" si="44"/>
        <v>103.99880706961575</v>
      </c>
      <c r="K48" s="143">
        <f t="shared" si="44"/>
        <v>168.85690876043591</v>
      </c>
      <c r="L48" s="143">
        <f t="shared" si="44"/>
        <v>266.49199720294575</v>
      </c>
      <c r="M48" s="143">
        <f t="shared" si="44"/>
        <v>397.70610626470244</v>
      </c>
      <c r="N48" s="143">
        <f t="shared" si="44"/>
        <v>588.43405767559966</v>
      </c>
      <c r="O48" s="143">
        <f t="shared" si="44"/>
        <v>814.73993510528419</v>
      </c>
      <c r="P48" s="143">
        <f t="shared" si="44"/>
        <v>1109.5370259214797</v>
      </c>
      <c r="Q48" s="143">
        <f t="shared" si="44"/>
        <v>1498.3638514089462</v>
      </c>
      <c r="R48" s="143">
        <f t="shared" si="44"/>
        <v>2003.7183247472813</v>
      </c>
      <c r="S48" s="143">
        <f t="shared" si="44"/>
        <v>2571.5079701439026</v>
      </c>
      <c r="T48" s="143">
        <f t="shared" si="44"/>
        <v>3272.0376611275592</v>
      </c>
      <c r="U48" s="143">
        <f t="shared" si="44"/>
        <v>4105.1900668866519</v>
      </c>
      <c r="V48" s="143">
        <f t="shared" si="44"/>
        <v>5076.9226475007345</v>
      </c>
      <c r="W48" s="143">
        <f t="shared" si="44"/>
        <v>6127.1972194326745</v>
      </c>
      <c r="X48" s="143">
        <f t="shared" si="44"/>
        <v>7382.9143530798738</v>
      </c>
      <c r="Y48" s="143">
        <f t="shared" si="44"/>
        <v>9032.61182050979</v>
      </c>
      <c r="Z48" s="143">
        <f t="shared" si="44"/>
        <v>10773.630217952459</v>
      </c>
      <c r="AA48" s="143">
        <f t="shared" si="44"/>
        <v>12251.060892565518</v>
      </c>
      <c r="AB48" s="143">
        <f t="shared" si="44"/>
        <v>14256.797525258518</v>
      </c>
      <c r="AC48" s="143">
        <f t="shared" si="44"/>
        <v>17394.321952046063</v>
      </c>
      <c r="AD48" s="143">
        <f t="shared" si="44"/>
        <v>21062.34822532269</v>
      </c>
      <c r="AE48" s="143">
        <f t="shared" si="44"/>
        <v>25345.521146389299</v>
      </c>
      <c r="AF48" s="143">
        <f t="shared" si="44"/>
        <v>30248.495930557969</v>
      </c>
    </row>
    <row r="49" spans="1:32">
      <c r="A49" s="43" t="s">
        <v>55</v>
      </c>
      <c r="B49" s="144">
        <f t="shared" ref="B49:AF49" si="45">B$4*B15</f>
        <v>0</v>
      </c>
      <c r="C49" s="144">
        <f t="shared" si="45"/>
        <v>0</v>
      </c>
      <c r="D49" s="144">
        <f t="shared" si="45"/>
        <v>0</v>
      </c>
      <c r="E49" s="143">
        <f t="shared" si="45"/>
        <v>1.3229818904113699</v>
      </c>
      <c r="F49" s="143">
        <f t="shared" si="45"/>
        <v>3.8097289074832532</v>
      </c>
      <c r="G49" s="143">
        <f t="shared" si="45"/>
        <v>8.973027736349783</v>
      </c>
      <c r="H49" s="143">
        <f t="shared" si="45"/>
        <v>18.608259167500691</v>
      </c>
      <c r="I49" s="143">
        <f t="shared" si="45"/>
        <v>32.550856721036283</v>
      </c>
      <c r="J49" s="143">
        <f t="shared" si="45"/>
        <v>56.673782843050688</v>
      </c>
      <c r="K49" s="143">
        <f t="shared" si="45"/>
        <v>87.888846298980013</v>
      </c>
      <c r="L49" s="143">
        <f t="shared" si="45"/>
        <v>128.06413554443529</v>
      </c>
      <c r="M49" s="143">
        <f t="shared" si="45"/>
        <v>177.01901150722637</v>
      </c>
      <c r="N49" s="143">
        <f t="shared" si="45"/>
        <v>241.05546986392881</v>
      </c>
      <c r="O49" s="143">
        <f t="shared" si="45"/>
        <v>315.36652593104884</v>
      </c>
      <c r="P49" s="143">
        <f t="shared" si="45"/>
        <v>396.74098095593212</v>
      </c>
      <c r="Q49" s="143">
        <f t="shared" si="45"/>
        <v>501.03674425335879</v>
      </c>
      <c r="R49" s="143">
        <f t="shared" si="45"/>
        <v>700.3623905771093</v>
      </c>
      <c r="S49" s="143">
        <f t="shared" si="45"/>
        <v>826.15779844999702</v>
      </c>
      <c r="T49" s="143">
        <f t="shared" si="45"/>
        <v>961.65844423889507</v>
      </c>
      <c r="U49" s="143">
        <f t="shared" si="45"/>
        <v>1092.3920437675365</v>
      </c>
      <c r="V49" s="143">
        <f t="shared" si="45"/>
        <v>1212.9922184938348</v>
      </c>
      <c r="W49" s="143">
        <f t="shared" si="45"/>
        <v>1314.3104039099796</v>
      </c>
      <c r="X49" s="143">
        <f t="shared" si="45"/>
        <v>1436.9215388410144</v>
      </c>
      <c r="Y49" s="143">
        <f t="shared" si="45"/>
        <v>1556.99336906756</v>
      </c>
      <c r="Z49" s="143">
        <f t="shared" si="45"/>
        <v>1671.3396462789196</v>
      </c>
      <c r="AA49" s="143">
        <f t="shared" si="45"/>
        <v>1732.7701070826968</v>
      </c>
      <c r="AB49" s="143">
        <f t="shared" si="45"/>
        <v>1924.5148501724937</v>
      </c>
      <c r="AC49" s="143">
        <f t="shared" si="45"/>
        <v>2257.5331583851694</v>
      </c>
      <c r="AD49" s="143">
        <f t="shared" si="45"/>
        <v>2525.6438891937078</v>
      </c>
      <c r="AE49" s="143">
        <f t="shared" si="45"/>
        <v>2809.294019950049</v>
      </c>
      <c r="AF49" s="143">
        <f t="shared" si="45"/>
        <v>3102.7555042944773</v>
      </c>
    </row>
    <row r="50" spans="1:32">
      <c r="A50" s="43" t="s">
        <v>56</v>
      </c>
      <c r="B50" s="144">
        <f t="shared" ref="B50:AF50" si="46">B$4*B16</f>
        <v>0</v>
      </c>
      <c r="C50" s="144">
        <f t="shared" si="46"/>
        <v>0</v>
      </c>
      <c r="D50" s="144">
        <f t="shared" si="46"/>
        <v>0</v>
      </c>
      <c r="E50" s="143">
        <f t="shared" si="46"/>
        <v>0.52343837404137405</v>
      </c>
      <c r="F50" s="143">
        <f t="shared" si="46"/>
        <v>1.5335225336707667</v>
      </c>
      <c r="G50" s="143">
        <f t="shared" si="46"/>
        <v>3.6527863065936033</v>
      </c>
      <c r="H50" s="143">
        <f t="shared" si="46"/>
        <v>8.1607770298473792</v>
      </c>
      <c r="I50" s="143">
        <f t="shared" si="46"/>
        <v>14.232303204511023</v>
      </c>
      <c r="J50" s="143">
        <f t="shared" si="46"/>
        <v>26.316830293789064</v>
      </c>
      <c r="K50" s="143">
        <f t="shared" si="46"/>
        <v>45.214970379970971</v>
      </c>
      <c r="L50" s="143">
        <f t="shared" si="46"/>
        <v>67.980897561640219</v>
      </c>
      <c r="M50" s="143">
        <f t="shared" si="46"/>
        <v>106.39619023972003</v>
      </c>
      <c r="N50" s="143">
        <f t="shared" si="46"/>
        <v>165.50984497662327</v>
      </c>
      <c r="O50" s="143">
        <f t="shared" si="46"/>
        <v>265.95089281817138</v>
      </c>
      <c r="P50" s="143">
        <f t="shared" si="46"/>
        <v>371.53088631191764</v>
      </c>
      <c r="Q50" s="143">
        <f t="shared" si="46"/>
        <v>495.64339560526832</v>
      </c>
      <c r="R50" s="143">
        <f t="shared" si="46"/>
        <v>660.63028026569714</v>
      </c>
      <c r="S50" s="143">
        <f t="shared" si="46"/>
        <v>836.0501999233179</v>
      </c>
      <c r="T50" s="143">
        <f t="shared" si="46"/>
        <v>1051.5481667330996</v>
      </c>
      <c r="U50" s="143">
        <f t="shared" si="46"/>
        <v>1280.9337498785544</v>
      </c>
      <c r="V50" s="143">
        <f t="shared" si="46"/>
        <v>1568.6267423446566</v>
      </c>
      <c r="W50" s="143">
        <f t="shared" si="46"/>
        <v>1886.5013784451378</v>
      </c>
      <c r="X50" s="143">
        <f t="shared" si="46"/>
        <v>2284.7195493408931</v>
      </c>
      <c r="Y50" s="143">
        <f t="shared" si="46"/>
        <v>2767.913566085756</v>
      </c>
      <c r="Z50" s="143">
        <f t="shared" si="46"/>
        <v>3350.0672186131824</v>
      </c>
      <c r="AA50" s="143">
        <f t="shared" si="46"/>
        <v>3958.9511154871971</v>
      </c>
      <c r="AB50" s="143">
        <f t="shared" si="46"/>
        <v>4580.3121293238128</v>
      </c>
      <c r="AC50" s="143">
        <f t="shared" si="46"/>
        <v>5559.6769672151213</v>
      </c>
      <c r="AD50" s="143">
        <f t="shared" si="46"/>
        <v>6705.0492351988523</v>
      </c>
      <c r="AE50" s="143">
        <f t="shared" si="46"/>
        <v>8040.919992430865</v>
      </c>
      <c r="AF50" s="143">
        <f t="shared" si="46"/>
        <v>9569.4326655490531</v>
      </c>
    </row>
    <row r="51" spans="1:32">
      <c r="A51" s="43" t="s">
        <v>549</v>
      </c>
      <c r="B51" s="144">
        <f t="shared" ref="B51:AF51" si="47">B$4*B17</f>
        <v>0</v>
      </c>
      <c r="C51" s="144">
        <f t="shared" si="47"/>
        <v>0</v>
      </c>
      <c r="D51" s="144">
        <f t="shared" si="47"/>
        <v>0</v>
      </c>
      <c r="E51" s="143">
        <f t="shared" si="47"/>
        <v>0.80311590370565289</v>
      </c>
      <c r="F51" s="143">
        <f t="shared" si="47"/>
        <v>2.349058159383449</v>
      </c>
      <c r="G51" s="143">
        <f t="shared" si="47"/>
        <v>5.2955022094702793</v>
      </c>
      <c r="H51" s="143">
        <f t="shared" si="47"/>
        <v>10.075131661371925</v>
      </c>
      <c r="I51" s="143">
        <f t="shared" si="47"/>
        <v>18.326573224450016</v>
      </c>
      <c r="J51" s="143">
        <f t="shared" si="47"/>
        <v>32.188747845023293</v>
      </c>
      <c r="K51" s="143">
        <f t="shared" si="47"/>
        <v>54.778268201191175</v>
      </c>
      <c r="L51" s="143">
        <f t="shared" si="47"/>
        <v>86.0617484309996</v>
      </c>
      <c r="M51" s="143">
        <f t="shared" si="47"/>
        <v>128.87365843154527</v>
      </c>
      <c r="N51" s="143">
        <f t="shared" si="47"/>
        <v>191.92062114744078</v>
      </c>
      <c r="O51" s="143">
        <f t="shared" si="47"/>
        <v>277.63022106188862</v>
      </c>
      <c r="P51" s="143">
        <f t="shared" si="47"/>
        <v>390.59114907352165</v>
      </c>
      <c r="Q51" s="143">
        <f t="shared" si="47"/>
        <v>539.89104850972626</v>
      </c>
      <c r="R51" s="143">
        <f t="shared" si="47"/>
        <v>734.2531097219221</v>
      </c>
      <c r="S51" s="143">
        <f t="shared" si="47"/>
        <v>968.40904367472854</v>
      </c>
      <c r="T51" s="143">
        <f t="shared" si="47"/>
        <v>1250.6759902183614</v>
      </c>
      <c r="U51" s="143">
        <f t="shared" si="47"/>
        <v>1589.9439438400295</v>
      </c>
      <c r="V51" s="143">
        <f t="shared" si="47"/>
        <v>1990.8019411147322</v>
      </c>
      <c r="W51" s="143">
        <f t="shared" si="47"/>
        <v>2471.814813680463</v>
      </c>
      <c r="X51" s="143">
        <f t="shared" si="47"/>
        <v>3027.2647032707314</v>
      </c>
      <c r="Y51" s="143">
        <f t="shared" si="47"/>
        <v>3646.8872946839679</v>
      </c>
      <c r="Z51" s="143">
        <f t="shared" si="47"/>
        <v>4626.6678998619964</v>
      </c>
      <c r="AA51" s="143">
        <f t="shared" si="47"/>
        <v>5465.7777633882533</v>
      </c>
      <c r="AB51" s="143">
        <f t="shared" si="47"/>
        <v>6455.7597490813159</v>
      </c>
      <c r="AC51" s="143">
        <f t="shared" si="47"/>
        <v>8000.1178902040265</v>
      </c>
      <c r="AD51" s="143">
        <f t="shared" si="47"/>
        <v>9851.8232521170485</v>
      </c>
      <c r="AE51" s="143">
        <f t="shared" si="47"/>
        <v>12041.691693012037</v>
      </c>
      <c r="AF51" s="143">
        <f t="shared" si="47"/>
        <v>14596.860011094082</v>
      </c>
    </row>
    <row r="52" spans="1:32">
      <c r="A52" s="43" t="s">
        <v>52</v>
      </c>
      <c r="B52" s="144">
        <f t="shared" ref="B52:AF52" si="48">B$4*B18</f>
        <v>0</v>
      </c>
      <c r="C52" s="144">
        <f t="shared" si="48"/>
        <v>0</v>
      </c>
      <c r="D52" s="144">
        <f t="shared" si="48"/>
        <v>0</v>
      </c>
      <c r="E52" s="143">
        <f t="shared" si="48"/>
        <v>0.96980016232108368</v>
      </c>
      <c r="F52" s="143">
        <f t="shared" si="48"/>
        <v>2.7153678419575136</v>
      </c>
      <c r="G52" s="143">
        <f t="shared" si="48"/>
        <v>5.8117810607777498</v>
      </c>
      <c r="H52" s="143">
        <f t="shared" si="48"/>
        <v>10.758513486329843</v>
      </c>
      <c r="I52" s="143">
        <f t="shared" si="48"/>
        <v>19.412596990670792</v>
      </c>
      <c r="J52" s="143">
        <f t="shared" si="48"/>
        <v>35.347440038814838</v>
      </c>
      <c r="K52" s="143">
        <f t="shared" si="48"/>
        <v>58.62775663845818</v>
      </c>
      <c r="L52" s="143">
        <f t="shared" si="48"/>
        <v>92.927171687446915</v>
      </c>
      <c r="M52" s="143">
        <f t="shared" si="48"/>
        <v>141.98339394494354</v>
      </c>
      <c r="N52" s="143">
        <f t="shared" si="48"/>
        <v>217.04144303741165</v>
      </c>
      <c r="O52" s="143">
        <f t="shared" si="48"/>
        <v>308.33408294642499</v>
      </c>
      <c r="P52" s="143">
        <f t="shared" si="48"/>
        <v>422.01318882970241</v>
      </c>
      <c r="Q52" s="143">
        <f t="shared" si="48"/>
        <v>569.50692926505917</v>
      </c>
      <c r="R52" s="143">
        <f t="shared" si="48"/>
        <v>753.45978524753843</v>
      </c>
      <c r="S52" s="143">
        <f t="shared" si="48"/>
        <v>983.63146044127484</v>
      </c>
      <c r="T52" s="143">
        <f t="shared" si="48"/>
        <v>1267.3246054835952</v>
      </c>
      <c r="U52" s="143">
        <f t="shared" si="48"/>
        <v>1622.7901190244359</v>
      </c>
      <c r="V52" s="143">
        <f t="shared" si="48"/>
        <v>2038.198707504514</v>
      </c>
      <c r="W52" s="143">
        <f t="shared" si="48"/>
        <v>2500.185770799937</v>
      </c>
      <c r="X52" s="143">
        <f t="shared" si="48"/>
        <v>3057.3297586001599</v>
      </c>
      <c r="Y52" s="143">
        <f t="shared" si="48"/>
        <v>3931.2910728455618</v>
      </c>
      <c r="Z52" s="143">
        <f t="shared" si="48"/>
        <v>4698.1127269281542</v>
      </c>
      <c r="AA52" s="143">
        <f t="shared" si="48"/>
        <v>5576.994334212427</v>
      </c>
      <c r="AB52" s="143">
        <f t="shared" si="48"/>
        <v>6552.258967142855</v>
      </c>
      <c r="AC52" s="143">
        <f t="shared" si="48"/>
        <v>8091.0179091716354</v>
      </c>
      <c r="AD52" s="143">
        <f t="shared" si="48"/>
        <v>9948.5333119565803</v>
      </c>
      <c r="AE52" s="143">
        <f t="shared" si="48"/>
        <v>12150.060779800669</v>
      </c>
      <c r="AF52" s="143">
        <f t="shared" si="48"/>
        <v>14717.463265960618</v>
      </c>
    </row>
    <row r="53" spans="1:32">
      <c r="A53" s="43" t="s">
        <v>57</v>
      </c>
      <c r="B53" s="144">
        <f t="shared" ref="B53:AF53" si="49">B$4*B19</f>
        <v>0</v>
      </c>
      <c r="C53" s="144">
        <f t="shared" si="49"/>
        <v>0</v>
      </c>
      <c r="D53" s="144">
        <f t="shared" si="49"/>
        <v>0</v>
      </c>
      <c r="E53" s="143">
        <f t="shared" si="49"/>
        <v>0.4569462023627659</v>
      </c>
      <c r="F53" s="143">
        <f t="shared" si="49"/>
        <v>1.351215659038578</v>
      </c>
      <c r="G53" s="143">
        <f t="shared" si="49"/>
        <v>3.1676070567101782</v>
      </c>
      <c r="H53" s="143">
        <f t="shared" si="49"/>
        <v>6.1016626638496092</v>
      </c>
      <c r="I53" s="143">
        <f t="shared" si="49"/>
        <v>10.484500840774176</v>
      </c>
      <c r="J53" s="143">
        <f t="shared" si="49"/>
        <v>19.748373353328478</v>
      </c>
      <c r="K53" s="143">
        <f t="shared" si="49"/>
        <v>34.625952189174924</v>
      </c>
      <c r="L53" s="143">
        <f t="shared" si="49"/>
        <v>53.545413779915023</v>
      </c>
      <c r="M53" s="143">
        <f t="shared" si="49"/>
        <v>94.039534566087397</v>
      </c>
      <c r="N53" s="143">
        <f t="shared" si="49"/>
        <v>134.10806626417022</v>
      </c>
      <c r="O53" s="143">
        <f t="shared" si="49"/>
        <v>178.68215287293324</v>
      </c>
      <c r="P53" s="143">
        <f t="shared" si="49"/>
        <v>237.25123494172394</v>
      </c>
      <c r="Q53" s="143">
        <f t="shared" si="49"/>
        <v>322.27620787282319</v>
      </c>
      <c r="R53" s="143">
        <f t="shared" si="49"/>
        <v>408.95168986759103</v>
      </c>
      <c r="S53" s="143">
        <f t="shared" si="49"/>
        <v>526.79990425124356</v>
      </c>
      <c r="T53" s="143">
        <f t="shared" si="49"/>
        <v>666.70508085131905</v>
      </c>
      <c r="U53" s="143">
        <f t="shared" si="49"/>
        <v>847.89637728646824</v>
      </c>
      <c r="V53" s="143">
        <f t="shared" si="49"/>
        <v>1067.3391343827627</v>
      </c>
      <c r="W53" s="143">
        <f t="shared" si="49"/>
        <v>1319.6745284010999</v>
      </c>
      <c r="X53" s="143">
        <f t="shared" si="49"/>
        <v>1619.2106508325228</v>
      </c>
      <c r="Y53" s="143">
        <f t="shared" si="49"/>
        <v>1993.6722517655905</v>
      </c>
      <c r="Z53" s="143">
        <f t="shared" si="49"/>
        <v>2368.5184268387852</v>
      </c>
      <c r="AA53" s="143">
        <f t="shared" si="49"/>
        <v>2806.7073316947526</v>
      </c>
      <c r="AB53" s="143">
        <f t="shared" si="49"/>
        <v>3267.6317029684865</v>
      </c>
      <c r="AC53" s="143">
        <f t="shared" si="49"/>
        <v>3993.1049244163951</v>
      </c>
      <c r="AD53" s="143">
        <f t="shared" si="49"/>
        <v>4872.0070366842074</v>
      </c>
      <c r="AE53" s="143">
        <f t="shared" si="49"/>
        <v>5906.6290697343711</v>
      </c>
      <c r="AF53" s="143">
        <f t="shared" si="49"/>
        <v>7107.9584442512614</v>
      </c>
    </row>
    <row r="55" spans="1:32">
      <c r="A55" s="112" t="s">
        <v>560</v>
      </c>
    </row>
    <row r="56" spans="1:32">
      <c r="A56" s="43" t="s">
        <v>43</v>
      </c>
      <c r="B56" s="143">
        <f>B$5*B11</f>
        <v>0</v>
      </c>
      <c r="C56" s="143">
        <f t="shared" ref="C56:AF64" si="50">C$5*C11</f>
        <v>0</v>
      </c>
      <c r="D56" s="143">
        <f t="shared" si="50"/>
        <v>0</v>
      </c>
      <c r="E56" s="143">
        <f t="shared" si="50"/>
        <v>0</v>
      </c>
      <c r="F56" s="143">
        <f t="shared" si="50"/>
        <v>0</v>
      </c>
      <c r="G56" s="143">
        <f t="shared" si="50"/>
        <v>10.076544588723639</v>
      </c>
      <c r="H56" s="143">
        <f t="shared" si="50"/>
        <v>28.94186561507642</v>
      </c>
      <c r="I56" s="143">
        <f t="shared" si="50"/>
        <v>66.134013354097775</v>
      </c>
      <c r="J56" s="143">
        <f t="shared" si="50"/>
        <v>132.34003841198279</v>
      </c>
      <c r="K56" s="143">
        <f t="shared" si="50"/>
        <v>238.22325083203012</v>
      </c>
      <c r="L56" s="143">
        <f t="shared" si="50"/>
        <v>408.63113257488612</v>
      </c>
      <c r="M56" s="143">
        <f t="shared" si="50"/>
        <v>670.3384961851076</v>
      </c>
      <c r="N56" s="143">
        <f t="shared" si="50"/>
        <v>1089.2965628689535</v>
      </c>
      <c r="O56" s="143">
        <f t="shared" si="50"/>
        <v>1665.4500233142594</v>
      </c>
      <c r="P56" s="143">
        <f t="shared" si="50"/>
        <v>2482.4712046964964</v>
      </c>
      <c r="Q56" s="143">
        <f t="shared" si="50"/>
        <v>3547.3375201696463</v>
      </c>
      <c r="R56" s="143">
        <f t="shared" si="50"/>
        <v>4940.3889328056839</v>
      </c>
      <c r="S56" s="143">
        <f t="shared" si="50"/>
        <v>6696.6594171590459</v>
      </c>
      <c r="T56" s="143">
        <f t="shared" si="50"/>
        <v>8998.4971475470684</v>
      </c>
      <c r="U56" s="143">
        <f t="shared" si="50"/>
        <v>11809.648654238321</v>
      </c>
      <c r="V56" s="143">
        <f t="shared" si="50"/>
        <v>15235.471633909294</v>
      </c>
      <c r="W56" s="143">
        <f t="shared" si="50"/>
        <v>19338.611921073378</v>
      </c>
      <c r="X56" s="143">
        <f t="shared" si="50"/>
        <v>24091.933220599945</v>
      </c>
      <c r="Y56" s="143">
        <f t="shared" si="50"/>
        <v>29293.659678818643</v>
      </c>
      <c r="Z56" s="143">
        <f t="shared" si="50"/>
        <v>35191.366583763091</v>
      </c>
      <c r="AA56" s="143">
        <f t="shared" si="50"/>
        <v>42402.866979105936</v>
      </c>
      <c r="AB56" s="143">
        <f t="shared" si="50"/>
        <v>50187.825607256367</v>
      </c>
      <c r="AC56" s="143">
        <f t="shared" si="50"/>
        <v>59127.096549726717</v>
      </c>
      <c r="AD56" s="143">
        <f t="shared" si="50"/>
        <v>71019.07548119899</v>
      </c>
      <c r="AE56" s="143">
        <f t="shared" si="50"/>
        <v>86082.934190970613</v>
      </c>
      <c r="AF56" s="143">
        <f t="shared" si="50"/>
        <v>104389.47149114897</v>
      </c>
    </row>
    <row r="57" spans="1:32">
      <c r="A57" s="43" t="s">
        <v>51</v>
      </c>
      <c r="B57" s="143">
        <f t="shared" ref="B57:Q64" si="51">B$5*B12</f>
        <v>0</v>
      </c>
      <c r="C57" s="143">
        <f t="shared" si="51"/>
        <v>0</v>
      </c>
      <c r="D57" s="143">
        <f t="shared" si="51"/>
        <v>0</v>
      </c>
      <c r="E57" s="143">
        <f t="shared" si="51"/>
        <v>0</v>
      </c>
      <c r="F57" s="143">
        <f t="shared" si="51"/>
        <v>0</v>
      </c>
      <c r="G57" s="143">
        <f t="shared" si="51"/>
        <v>14.189711623076796</v>
      </c>
      <c r="H57" s="143">
        <f t="shared" si="51"/>
        <v>40.846139882707682</v>
      </c>
      <c r="I57" s="143">
        <f t="shared" si="51"/>
        <v>95.141126336912592</v>
      </c>
      <c r="J57" s="143">
        <f t="shared" si="51"/>
        <v>187.50653779473279</v>
      </c>
      <c r="K57" s="143">
        <f t="shared" si="51"/>
        <v>341.51925144852544</v>
      </c>
      <c r="L57" s="143">
        <f t="shared" si="51"/>
        <v>600.55118602958191</v>
      </c>
      <c r="M57" s="143">
        <f t="shared" si="51"/>
        <v>985.06632266862982</v>
      </c>
      <c r="N57" s="143">
        <f t="shared" si="51"/>
        <v>1507.5737302115176</v>
      </c>
      <c r="O57" s="143">
        <f t="shared" si="51"/>
        <v>2285.2681269647014</v>
      </c>
      <c r="P57" s="143">
        <f t="shared" si="51"/>
        <v>3370.181192941734</v>
      </c>
      <c r="Q57" s="143">
        <f t="shared" si="51"/>
        <v>4847.3550963822081</v>
      </c>
      <c r="R57" s="143">
        <f t="shared" si="50"/>
        <v>6767.3617513556992</v>
      </c>
      <c r="S57" s="143">
        <f t="shared" si="50"/>
        <v>9222.0066266921785</v>
      </c>
      <c r="T57" s="143">
        <f t="shared" si="50"/>
        <v>12377.924680008457</v>
      </c>
      <c r="U57" s="143">
        <f t="shared" si="50"/>
        <v>16285.182543134872</v>
      </c>
      <c r="V57" s="143">
        <f t="shared" si="50"/>
        <v>20995.849121626801</v>
      </c>
      <c r="W57" s="143">
        <f t="shared" si="50"/>
        <v>26652.157725815585</v>
      </c>
      <c r="X57" s="143">
        <f t="shared" si="50"/>
        <v>33220.826121395774</v>
      </c>
      <c r="Y57" s="143">
        <f t="shared" si="50"/>
        <v>40301.194263328456</v>
      </c>
      <c r="Z57" s="143">
        <f t="shared" si="50"/>
        <v>48352.893119020824</v>
      </c>
      <c r="AA57" s="143">
        <f t="shared" si="50"/>
        <v>58214.36496695922</v>
      </c>
      <c r="AB57" s="143">
        <f t="shared" si="50"/>
        <v>68965.367322087695</v>
      </c>
      <c r="AC57" s="143">
        <f t="shared" si="50"/>
        <v>81285.122097645974</v>
      </c>
      <c r="AD57" s="143">
        <f t="shared" si="50"/>
        <v>97663.988017593074</v>
      </c>
      <c r="AE57" s="143">
        <f t="shared" si="50"/>
        <v>118366.30516671462</v>
      </c>
      <c r="AF57" s="143">
        <f t="shared" si="50"/>
        <v>143534.15549536105</v>
      </c>
    </row>
    <row r="58" spans="1:32">
      <c r="A58" s="43" t="s">
        <v>58</v>
      </c>
      <c r="B58" s="143">
        <f t="shared" si="51"/>
        <v>0</v>
      </c>
      <c r="C58" s="143">
        <f t="shared" si="50"/>
        <v>0</v>
      </c>
      <c r="D58" s="143">
        <f t="shared" si="50"/>
        <v>0</v>
      </c>
      <c r="E58" s="143">
        <f t="shared" si="50"/>
        <v>0</v>
      </c>
      <c r="F58" s="143">
        <f t="shared" si="50"/>
        <v>0</v>
      </c>
      <c r="G58" s="143">
        <f t="shared" si="50"/>
        <v>2.7918045056816871</v>
      </c>
      <c r="H58" s="143">
        <f t="shared" si="50"/>
        <v>8.0867328191408774</v>
      </c>
      <c r="I58" s="143">
        <f t="shared" si="50"/>
        <v>17.422275716158847</v>
      </c>
      <c r="J58" s="143">
        <f t="shared" si="50"/>
        <v>34.273399704372807</v>
      </c>
      <c r="K58" s="143">
        <f t="shared" si="50"/>
        <v>63.387609584284284</v>
      </c>
      <c r="L58" s="143">
        <f t="shared" si="50"/>
        <v>104.18341460376121</v>
      </c>
      <c r="M58" s="143">
        <f t="shared" si="50"/>
        <v>172.77019580906341</v>
      </c>
      <c r="N58" s="143">
        <f t="shared" si="50"/>
        <v>268.5999339686162</v>
      </c>
      <c r="O58" s="143">
        <f t="shared" si="50"/>
        <v>404.30143677829892</v>
      </c>
      <c r="P58" s="143">
        <f t="shared" si="50"/>
        <v>595.41996171652011</v>
      </c>
      <c r="Q58" s="143">
        <f t="shared" si="50"/>
        <v>858.58512458270002</v>
      </c>
      <c r="R58" s="143">
        <f t="shared" si="50"/>
        <v>1181.4146256421786</v>
      </c>
      <c r="S58" s="143">
        <f t="shared" si="50"/>
        <v>1799.9726350964174</v>
      </c>
      <c r="T58" s="143">
        <f t="shared" si="50"/>
        <v>2397.9501251765478</v>
      </c>
      <c r="U58" s="143">
        <f t="shared" si="50"/>
        <v>3131.9703520276744</v>
      </c>
      <c r="V58" s="143">
        <f t="shared" si="50"/>
        <v>4015.482083797051</v>
      </c>
      <c r="W58" s="143">
        <f t="shared" si="50"/>
        <v>5066.5586621962357</v>
      </c>
      <c r="X58" s="143">
        <f t="shared" si="50"/>
        <v>6290.9011759030627</v>
      </c>
      <c r="Y58" s="143">
        <f t="shared" si="50"/>
        <v>7677.3508520356636</v>
      </c>
      <c r="Z58" s="143">
        <f t="shared" si="50"/>
        <v>9244.4034401041845</v>
      </c>
      <c r="AA58" s="143">
        <f t="shared" si="50"/>
        <v>11055.860477026243</v>
      </c>
      <c r="AB58" s="143">
        <f t="shared" si="50"/>
        <v>13199.717636749723</v>
      </c>
      <c r="AC58" s="143">
        <f t="shared" si="50"/>
        <v>15690.943248386933</v>
      </c>
      <c r="AD58" s="143">
        <f t="shared" si="50"/>
        <v>19055.411191705221</v>
      </c>
      <c r="AE58" s="143">
        <f t="shared" si="50"/>
        <v>23096.899584794395</v>
      </c>
      <c r="AF58" s="143">
        <f t="shared" si="50"/>
        <v>28029.113986347696</v>
      </c>
    </row>
    <row r="59" spans="1:32">
      <c r="A59" s="43" t="s">
        <v>54</v>
      </c>
      <c r="B59" s="143">
        <f t="shared" si="51"/>
        <v>0</v>
      </c>
      <c r="C59" s="143">
        <f t="shared" si="50"/>
        <v>0</v>
      </c>
      <c r="D59" s="143">
        <f t="shared" si="50"/>
        <v>0</v>
      </c>
      <c r="E59" s="143">
        <f t="shared" si="50"/>
        <v>0</v>
      </c>
      <c r="F59" s="143">
        <f t="shared" si="50"/>
        <v>0</v>
      </c>
      <c r="G59" s="143">
        <f t="shared" si="50"/>
        <v>3.1136670755802918</v>
      </c>
      <c r="H59" s="143">
        <f t="shared" si="50"/>
        <v>9.5183829991402469</v>
      </c>
      <c r="I59" s="143">
        <f t="shared" si="50"/>
        <v>21.6598137816157</v>
      </c>
      <c r="J59" s="143">
        <f t="shared" si="50"/>
        <v>43.98757209858482</v>
      </c>
      <c r="K59" s="143">
        <f t="shared" si="50"/>
        <v>81.032526049723558</v>
      </c>
      <c r="L59" s="143">
        <f t="shared" si="50"/>
        <v>141.96026534230236</v>
      </c>
      <c r="M59" s="143">
        <f t="shared" si="50"/>
        <v>231.33199572788837</v>
      </c>
      <c r="N59" s="143">
        <f t="shared" si="50"/>
        <v>368.94033765652978</v>
      </c>
      <c r="O59" s="143">
        <f t="shared" si="50"/>
        <v>544.96885088350291</v>
      </c>
      <c r="P59" s="143">
        <f t="shared" si="50"/>
        <v>785.09100473352214</v>
      </c>
      <c r="Q59" s="143">
        <f t="shared" si="50"/>
        <v>1113.3031386704081</v>
      </c>
      <c r="R59" s="143">
        <f t="shared" si="50"/>
        <v>1553.4108231810544</v>
      </c>
      <c r="S59" s="143">
        <f t="shared" si="50"/>
        <v>2068.3321455579462</v>
      </c>
      <c r="T59" s="143">
        <f t="shared" si="50"/>
        <v>2716.5961926767054</v>
      </c>
      <c r="U59" s="143">
        <f t="shared" si="50"/>
        <v>3504.9260216687467</v>
      </c>
      <c r="V59" s="143">
        <f t="shared" si="50"/>
        <v>4441.5272598533957</v>
      </c>
      <c r="W59" s="143">
        <f t="shared" si="50"/>
        <v>5472.7644673086361</v>
      </c>
      <c r="X59" s="143">
        <f t="shared" si="50"/>
        <v>6714.1097214320434</v>
      </c>
      <c r="Y59" s="143">
        <f t="shared" si="50"/>
        <v>8342.323771168074</v>
      </c>
      <c r="Z59" s="143">
        <f t="shared" si="50"/>
        <v>10085.101152020663</v>
      </c>
      <c r="AA59" s="143">
        <f t="shared" si="50"/>
        <v>11605.902895241146</v>
      </c>
      <c r="AB59" s="143">
        <f t="shared" si="50"/>
        <v>13645.946525963869</v>
      </c>
      <c r="AC59" s="143">
        <f t="shared" si="50"/>
        <v>15945.811769993221</v>
      </c>
      <c r="AD59" s="143">
        <f t="shared" si="50"/>
        <v>18955.723088594408</v>
      </c>
      <c r="AE59" s="143">
        <f t="shared" si="50"/>
        <v>22762.696576554314</v>
      </c>
      <c r="AF59" s="143">
        <f t="shared" si="50"/>
        <v>27380.647496990423</v>
      </c>
    </row>
    <row r="60" spans="1:32">
      <c r="A60" s="43" t="s">
        <v>55</v>
      </c>
      <c r="B60" s="143">
        <f t="shared" si="51"/>
        <v>0</v>
      </c>
      <c r="C60" s="143">
        <f t="shared" si="50"/>
        <v>0</v>
      </c>
      <c r="D60" s="143">
        <f t="shared" si="50"/>
        <v>0</v>
      </c>
      <c r="E60" s="143">
        <f t="shared" si="50"/>
        <v>0</v>
      </c>
      <c r="F60" s="143">
        <f t="shared" si="50"/>
        <v>0</v>
      </c>
      <c r="G60" s="143">
        <f t="shared" si="50"/>
        <v>1.6088558387801917</v>
      </c>
      <c r="H60" s="143">
        <f t="shared" si="50"/>
        <v>5.218204095317855</v>
      </c>
      <c r="I60" s="143">
        <f t="shared" si="50"/>
        <v>11.658688217382801</v>
      </c>
      <c r="J60" s="143">
        <f t="shared" si="50"/>
        <v>23.970872158557373</v>
      </c>
      <c r="K60" s="143">
        <f t="shared" si="50"/>
        <v>42.176866078404345</v>
      </c>
      <c r="L60" s="143">
        <f t="shared" si="50"/>
        <v>68.219754640045352</v>
      </c>
      <c r="M60" s="143">
        <f t="shared" si="50"/>
        <v>102.96588503091624</v>
      </c>
      <c r="N60" s="143">
        <f t="shared" si="50"/>
        <v>151.13857752703487</v>
      </c>
      <c r="O60" s="143">
        <f t="shared" si="50"/>
        <v>210.94453068825817</v>
      </c>
      <c r="P60" s="143">
        <f t="shared" si="50"/>
        <v>280.72769820274459</v>
      </c>
      <c r="Q60" s="143">
        <f t="shared" si="50"/>
        <v>372.27658651932188</v>
      </c>
      <c r="R60" s="143">
        <f t="shared" si="50"/>
        <v>542.96579725528852</v>
      </c>
      <c r="S60" s="143">
        <f t="shared" si="50"/>
        <v>664.50065552077149</v>
      </c>
      <c r="T60" s="143">
        <f t="shared" si="50"/>
        <v>798.41308042112462</v>
      </c>
      <c r="U60" s="143">
        <f t="shared" si="50"/>
        <v>932.66163994410226</v>
      </c>
      <c r="V60" s="143">
        <f t="shared" si="50"/>
        <v>1061.1818179035265</v>
      </c>
      <c r="W60" s="143">
        <f t="shared" si="50"/>
        <v>1173.931737454111</v>
      </c>
      <c r="X60" s="143">
        <f t="shared" si="50"/>
        <v>1306.7534596067624</v>
      </c>
      <c r="Y60" s="143">
        <f t="shared" si="50"/>
        <v>1438.0052029724325</v>
      </c>
      <c r="Z60" s="143">
        <f t="shared" si="50"/>
        <v>1564.5264456931372</v>
      </c>
      <c r="AA60" s="143">
        <f t="shared" si="50"/>
        <v>1641.5200103023105</v>
      </c>
      <c r="AB60" s="143">
        <f t="shared" si="50"/>
        <v>1842.0565128563831</v>
      </c>
      <c r="AC60" s="143">
        <f t="shared" si="50"/>
        <v>2069.53734140202</v>
      </c>
      <c r="AD60" s="143">
        <f t="shared" si="50"/>
        <v>2273.0326966295829</v>
      </c>
      <c r="AE60" s="143">
        <f t="shared" si="50"/>
        <v>2523.0141057707683</v>
      </c>
      <c r="AF60" s="143">
        <f t="shared" si="50"/>
        <v>2808.5844310232033</v>
      </c>
    </row>
    <row r="61" spans="1:32">
      <c r="A61" s="43" t="s">
        <v>56</v>
      </c>
      <c r="B61" s="143">
        <f t="shared" si="51"/>
        <v>0</v>
      </c>
      <c r="C61" s="143">
        <f t="shared" si="50"/>
        <v>0</v>
      </c>
      <c r="D61" s="143">
        <f t="shared" si="50"/>
        <v>0</v>
      </c>
      <c r="E61" s="143">
        <f t="shared" si="50"/>
        <v>0</v>
      </c>
      <c r="F61" s="143">
        <f t="shared" si="50"/>
        <v>0</v>
      </c>
      <c r="G61" s="143">
        <f t="shared" si="50"/>
        <v>0.65494131410877909</v>
      </c>
      <c r="H61" s="143">
        <f t="shared" si="50"/>
        <v>2.2884784511438574</v>
      </c>
      <c r="I61" s="143">
        <f t="shared" si="50"/>
        <v>5.0975612438924971</v>
      </c>
      <c r="J61" s="143">
        <f t="shared" si="50"/>
        <v>11.131026427825974</v>
      </c>
      <c r="K61" s="143">
        <f t="shared" si="50"/>
        <v>21.698154325154533</v>
      </c>
      <c r="L61" s="143">
        <f t="shared" si="50"/>
        <v>36.213418629261731</v>
      </c>
      <c r="M61" s="143">
        <f t="shared" si="50"/>
        <v>61.887013144366627</v>
      </c>
      <c r="N61" s="143">
        <f t="shared" si="50"/>
        <v>103.7724742384288</v>
      </c>
      <c r="O61" s="143">
        <f t="shared" si="50"/>
        <v>177.89106217290228</v>
      </c>
      <c r="P61" s="143">
        <f t="shared" si="50"/>
        <v>262.88943046484832</v>
      </c>
      <c r="Q61" s="143">
        <f t="shared" si="50"/>
        <v>368.26926081387535</v>
      </c>
      <c r="R61" s="143">
        <f t="shared" si="50"/>
        <v>512.16291971342855</v>
      </c>
      <c r="S61" s="143">
        <f t="shared" si="50"/>
        <v>672.45737671378015</v>
      </c>
      <c r="T61" s="143">
        <f t="shared" si="50"/>
        <v>873.04366331128938</v>
      </c>
      <c r="U61" s="143">
        <f t="shared" si="50"/>
        <v>1093.6346329484172</v>
      </c>
      <c r="V61" s="143">
        <f t="shared" si="50"/>
        <v>1372.3073839008719</v>
      </c>
      <c r="W61" s="143">
        <f t="shared" si="50"/>
        <v>1685.0082250884786</v>
      </c>
      <c r="X61" s="143">
        <f t="shared" si="50"/>
        <v>2077.751007713684</v>
      </c>
      <c r="Y61" s="143">
        <f t="shared" si="50"/>
        <v>2556.3847531303054</v>
      </c>
      <c r="Z61" s="143">
        <f t="shared" si="50"/>
        <v>3135.9686644418252</v>
      </c>
      <c r="AA61" s="143">
        <f t="shared" si="50"/>
        <v>3750.467213923801</v>
      </c>
      <c r="AB61" s="143">
        <f t="shared" si="50"/>
        <v>4384.0627096121361</v>
      </c>
      <c r="AC61" s="143">
        <f t="shared" si="50"/>
        <v>5096.6955001514689</v>
      </c>
      <c r="AD61" s="143">
        <f t="shared" si="50"/>
        <v>6034.4200579218141</v>
      </c>
      <c r="AE61" s="143">
        <f t="shared" si="50"/>
        <v>7221.5134550558623</v>
      </c>
      <c r="AF61" s="143">
        <f t="shared" si="50"/>
        <v>8662.1583817953106</v>
      </c>
    </row>
    <row r="62" spans="1:32">
      <c r="A62" s="43" t="s">
        <v>549</v>
      </c>
      <c r="B62" s="143">
        <f t="shared" si="51"/>
        <v>0</v>
      </c>
      <c r="C62" s="143">
        <f t="shared" si="50"/>
        <v>0</v>
      </c>
      <c r="D62" s="143">
        <f t="shared" si="50"/>
        <v>0</v>
      </c>
      <c r="E62" s="143">
        <f t="shared" si="50"/>
        <v>0</v>
      </c>
      <c r="F62" s="143">
        <f t="shared" si="50"/>
        <v>0</v>
      </c>
      <c r="G62" s="143">
        <f t="shared" si="50"/>
        <v>0.94947880462536804</v>
      </c>
      <c r="H62" s="143">
        <f t="shared" si="50"/>
        <v>2.8253096016664561</v>
      </c>
      <c r="I62" s="143">
        <f t="shared" si="50"/>
        <v>6.5639993794331177</v>
      </c>
      <c r="J62" s="143">
        <f t="shared" si="50"/>
        <v>13.614626037473071</v>
      </c>
      <c r="K62" s="143">
        <f t="shared" si="50"/>
        <v>26.287473089237363</v>
      </c>
      <c r="L62" s="143">
        <f t="shared" si="50"/>
        <v>45.845086424051644</v>
      </c>
      <c r="M62" s="143">
        <f t="shared" si="50"/>
        <v>74.961385133677368</v>
      </c>
      <c r="N62" s="143">
        <f t="shared" si="50"/>
        <v>120.33168006808906</v>
      </c>
      <c r="O62" s="143">
        <f t="shared" si="50"/>
        <v>185.70321156907411</v>
      </c>
      <c r="P62" s="143">
        <f t="shared" si="50"/>
        <v>276.37617357697195</v>
      </c>
      <c r="Q62" s="143">
        <f t="shared" si="50"/>
        <v>401.14582201161818</v>
      </c>
      <c r="R62" s="143">
        <f t="shared" si="50"/>
        <v>569.24005410802317</v>
      </c>
      <c r="S62" s="143">
        <f t="shared" si="50"/>
        <v>778.91710946918909</v>
      </c>
      <c r="T62" s="143">
        <f t="shared" si="50"/>
        <v>1038.3687430200748</v>
      </c>
      <c r="U62" s="143">
        <f t="shared" si="50"/>
        <v>1357.4611189649013</v>
      </c>
      <c r="V62" s="143">
        <f t="shared" si="50"/>
        <v>1741.6458166411051</v>
      </c>
      <c r="W62" s="143">
        <f t="shared" si="50"/>
        <v>2207.8055916290709</v>
      </c>
      <c r="X62" s="143">
        <f t="shared" si="50"/>
        <v>2753.0303619327674</v>
      </c>
      <c r="Y62" s="143">
        <f t="shared" si="50"/>
        <v>3368.1857666164856</v>
      </c>
      <c r="Z62" s="143">
        <f t="shared" si="50"/>
        <v>4330.9834125514581</v>
      </c>
      <c r="AA62" s="143">
        <f t="shared" si="50"/>
        <v>5177.9422635428846</v>
      </c>
      <c r="AB62" s="143">
        <f t="shared" si="50"/>
        <v>6179.1543412436968</v>
      </c>
      <c r="AC62" s="143">
        <f t="shared" si="50"/>
        <v>7333.9089828645529</v>
      </c>
      <c r="AD62" s="143">
        <f t="shared" si="50"/>
        <v>8866.4583591103965</v>
      </c>
      <c r="AE62" s="143">
        <f t="shared" si="50"/>
        <v>10814.588214355808</v>
      </c>
      <c r="AF62" s="143">
        <f t="shared" si="50"/>
        <v>13212.937246341635</v>
      </c>
    </row>
    <row r="63" spans="1:32">
      <c r="A63" s="43" t="s">
        <v>52</v>
      </c>
      <c r="B63" s="143">
        <f t="shared" si="51"/>
        <v>0</v>
      </c>
      <c r="C63" s="143">
        <f t="shared" si="50"/>
        <v>0</v>
      </c>
      <c r="D63" s="143">
        <f t="shared" si="50"/>
        <v>0</v>
      </c>
      <c r="E63" s="143">
        <f t="shared" si="50"/>
        <v>0</v>
      </c>
      <c r="F63" s="143">
        <f t="shared" si="50"/>
        <v>0</v>
      </c>
      <c r="G63" s="143">
        <f t="shared" si="50"/>
        <v>1.0420471403945664</v>
      </c>
      <c r="H63" s="143">
        <f t="shared" si="50"/>
        <v>3.0169463262822256</v>
      </c>
      <c r="I63" s="143">
        <f t="shared" si="50"/>
        <v>6.9529787723734335</v>
      </c>
      <c r="J63" s="143">
        <f t="shared" si="50"/>
        <v>14.950633675701416</v>
      </c>
      <c r="K63" s="143">
        <f t="shared" si="50"/>
        <v>28.134799173558264</v>
      </c>
      <c r="L63" s="143">
        <f t="shared" si="50"/>
        <v>49.5022968371293</v>
      </c>
      <c r="M63" s="143">
        <f t="shared" si="50"/>
        <v>82.586868454169078</v>
      </c>
      <c r="N63" s="143">
        <f t="shared" si="50"/>
        <v>136.08210169885885</v>
      </c>
      <c r="O63" s="143">
        <f t="shared" si="50"/>
        <v>206.24062186152443</v>
      </c>
      <c r="P63" s="143">
        <f t="shared" si="50"/>
        <v>298.60991628823359</v>
      </c>
      <c r="Q63" s="143">
        <f t="shared" si="50"/>
        <v>423.15079294601225</v>
      </c>
      <c r="R63" s="143">
        <f t="shared" si="50"/>
        <v>584.13029954338515</v>
      </c>
      <c r="S63" s="143">
        <f t="shared" si="50"/>
        <v>791.16090349856017</v>
      </c>
      <c r="T63" s="143">
        <f t="shared" si="50"/>
        <v>1052.1911893140725</v>
      </c>
      <c r="U63" s="143">
        <f t="shared" si="50"/>
        <v>1385.504501181166</v>
      </c>
      <c r="V63" s="143">
        <f t="shared" si="50"/>
        <v>1783.1107048352851</v>
      </c>
      <c r="W63" s="143">
        <f t="shared" si="50"/>
        <v>2233.1463078597412</v>
      </c>
      <c r="X63" s="143">
        <f t="shared" si="50"/>
        <v>2780.371879199387</v>
      </c>
      <c r="Y63" s="143">
        <f t="shared" si="50"/>
        <v>3630.8549088661493</v>
      </c>
      <c r="Z63" s="143">
        <f t="shared" si="50"/>
        <v>4397.8622911814464</v>
      </c>
      <c r="AA63" s="143">
        <f t="shared" si="50"/>
        <v>5283.3020142327505</v>
      </c>
      <c r="AB63" s="143">
        <f t="shared" si="50"/>
        <v>6271.5189250243184</v>
      </c>
      <c r="AC63" s="143">
        <f t="shared" si="50"/>
        <v>7417.2393130919863</v>
      </c>
      <c r="AD63" s="143">
        <f t="shared" si="50"/>
        <v>8953.4956207959458</v>
      </c>
      <c r="AE63" s="143">
        <f t="shared" si="50"/>
        <v>10911.913995372521</v>
      </c>
      <c r="AF63" s="143">
        <f t="shared" si="50"/>
        <v>13322.106152328604</v>
      </c>
    </row>
    <row r="64" spans="1:32">
      <c r="A64" s="43" t="s">
        <v>57</v>
      </c>
      <c r="B64" s="143">
        <f t="shared" si="51"/>
        <v>0</v>
      </c>
      <c r="C64" s="143">
        <f t="shared" si="50"/>
        <v>0</v>
      </c>
      <c r="D64" s="143">
        <f t="shared" si="50"/>
        <v>0</v>
      </c>
      <c r="E64" s="143">
        <f t="shared" si="50"/>
        <v>0</v>
      </c>
      <c r="F64" s="143">
        <f t="shared" si="50"/>
        <v>0</v>
      </c>
      <c r="G64" s="143">
        <f t="shared" si="50"/>
        <v>0.56794910902868168</v>
      </c>
      <c r="H64" s="143">
        <f t="shared" si="50"/>
        <v>1.7110531841880257</v>
      </c>
      <c r="I64" s="143">
        <f t="shared" si="50"/>
        <v>3.7552168738612073</v>
      </c>
      <c r="J64" s="143">
        <f t="shared" si="50"/>
        <v>8.3528169330617441</v>
      </c>
      <c r="K64" s="143">
        <f t="shared" si="50"/>
        <v>16.616603924370906</v>
      </c>
      <c r="L64" s="143">
        <f t="shared" si="50"/>
        <v>28.523637587028023</v>
      </c>
      <c r="M64" s="143">
        <f t="shared" si="50"/>
        <v>54.69957052662307</v>
      </c>
      <c r="N64" s="143">
        <f t="shared" si="50"/>
        <v>84.08397611350378</v>
      </c>
      <c r="O64" s="143">
        <f t="shared" si="50"/>
        <v>119.51814723795199</v>
      </c>
      <c r="P64" s="143">
        <f t="shared" si="50"/>
        <v>167.87525432959151</v>
      </c>
      <c r="Q64" s="143">
        <f t="shared" si="50"/>
        <v>239.45526542583855</v>
      </c>
      <c r="R64" s="143">
        <f t="shared" si="50"/>
        <v>317.04555143928286</v>
      </c>
      <c r="S64" s="143">
        <f t="shared" si="50"/>
        <v>423.71915191020042</v>
      </c>
      <c r="T64" s="143">
        <f t="shared" si="50"/>
        <v>553.52922913936493</v>
      </c>
      <c r="U64" s="143">
        <f t="shared" si="50"/>
        <v>723.91631763929684</v>
      </c>
      <c r="V64" s="143">
        <f t="shared" si="50"/>
        <v>933.75774854538622</v>
      </c>
      <c r="W64" s="143">
        <f t="shared" si="50"/>
        <v>1178.7229313494404</v>
      </c>
      <c r="X64" s="143">
        <f t="shared" si="50"/>
        <v>1472.5293362323432</v>
      </c>
      <c r="Y64" s="143">
        <f t="shared" si="50"/>
        <v>1841.3123189969638</v>
      </c>
      <c r="Z64" s="143">
        <f t="shared" si="50"/>
        <v>2217.1494131375252</v>
      </c>
      <c r="AA64" s="143">
        <f t="shared" si="50"/>
        <v>2658.9021989743146</v>
      </c>
      <c r="AB64" s="143">
        <f t="shared" si="50"/>
        <v>3127.6257803516551</v>
      </c>
      <c r="AC64" s="143">
        <f t="shared" si="50"/>
        <v>3660.5795660282733</v>
      </c>
      <c r="AD64" s="143">
        <f t="shared" si="50"/>
        <v>4384.7160480442744</v>
      </c>
      <c r="AE64" s="143">
        <f t="shared" si="50"/>
        <v>5304.7165425427647</v>
      </c>
      <c r="AF64" s="143">
        <f t="shared" si="50"/>
        <v>6434.0555984037728</v>
      </c>
    </row>
    <row r="66" spans="1:32">
      <c r="A66" s="112" t="s">
        <v>561</v>
      </c>
    </row>
    <row r="67" spans="1:32">
      <c r="A67" s="43" t="s">
        <v>43</v>
      </c>
      <c r="B67" s="143">
        <f>B$6*B11</f>
        <v>3429.2078379067507</v>
      </c>
      <c r="C67" s="143">
        <f t="shared" ref="C67:AF75" si="52">C$6*C11</f>
        <v>7323.4442434867769</v>
      </c>
      <c r="D67" s="143">
        <f t="shared" si="52"/>
        <v>11356.17540855607</v>
      </c>
      <c r="E67" s="143">
        <f t="shared" si="52"/>
        <v>15363.874081289563</v>
      </c>
      <c r="F67" s="143">
        <f t="shared" si="52"/>
        <v>19879.283327951005</v>
      </c>
      <c r="G67" s="143">
        <f t="shared" si="52"/>
        <v>24013.595837424025</v>
      </c>
      <c r="H67" s="143">
        <f t="shared" si="52"/>
        <v>28047.948192860047</v>
      </c>
      <c r="I67" s="143">
        <f t="shared" si="52"/>
        <v>32967.519227920689</v>
      </c>
      <c r="J67" s="143">
        <f t="shared" si="52"/>
        <v>38171.266856850685</v>
      </c>
      <c r="K67" s="143">
        <f t="shared" si="52"/>
        <v>43011.466559288761</v>
      </c>
      <c r="L67" s="143">
        <f t="shared" si="52"/>
        <v>48421.137241797842</v>
      </c>
      <c r="M67" s="143">
        <f t="shared" si="52"/>
        <v>54358.377168363753</v>
      </c>
      <c r="N67" s="143">
        <f t="shared" si="52"/>
        <v>62694.07498365864</v>
      </c>
      <c r="O67" s="143">
        <f t="shared" si="52"/>
        <v>70179.881981252183</v>
      </c>
      <c r="P67" s="143">
        <f t="shared" si="52"/>
        <v>78615.902196404975</v>
      </c>
      <c r="Q67" s="143">
        <f t="shared" si="52"/>
        <v>86472.777664390509</v>
      </c>
      <c r="R67" s="143">
        <f t="shared" si="52"/>
        <v>91240.297118113711</v>
      </c>
      <c r="S67" s="143">
        <f t="shared" si="52"/>
        <v>95663.298355691732</v>
      </c>
      <c r="T67" s="143">
        <f t="shared" si="52"/>
        <v>101777.96955282589</v>
      </c>
      <c r="U67" s="143">
        <f t="shared" si="52"/>
        <v>108007.3755267777</v>
      </c>
      <c r="V67" s="143">
        <f t="shared" si="52"/>
        <v>114441.55708964015</v>
      </c>
      <c r="W67" s="143">
        <f t="shared" si="52"/>
        <v>120703.29618629988</v>
      </c>
      <c r="X67" s="143">
        <f t="shared" si="52"/>
        <v>126213.22386371747</v>
      </c>
      <c r="Y67" s="143">
        <f t="shared" si="52"/>
        <v>129887.79666850614</v>
      </c>
      <c r="Z67" s="143">
        <f t="shared" si="52"/>
        <v>132916.59815459236</v>
      </c>
      <c r="AA67" s="143">
        <f t="shared" si="52"/>
        <v>136828.23810053922</v>
      </c>
      <c r="AB67" s="143">
        <f t="shared" si="52"/>
        <v>138928.31428493198</v>
      </c>
      <c r="AC67" s="143">
        <f t="shared" si="52"/>
        <v>138682.47103171432</v>
      </c>
      <c r="AD67" s="143">
        <f t="shared" si="52"/>
        <v>135358.2332178255</v>
      </c>
      <c r="AE67" s="143">
        <f t="shared" si="52"/>
        <v>129349.76071352974</v>
      </c>
      <c r="AF67" s="143">
        <f t="shared" si="52"/>
        <v>121864.55770740139</v>
      </c>
    </row>
    <row r="68" spans="1:32">
      <c r="A68" s="43" t="s">
        <v>51</v>
      </c>
      <c r="B68" s="143">
        <f t="shared" ref="B68:Q75" si="53">B$6*B12</f>
        <v>4811.3125486431554</v>
      </c>
      <c r="C68" s="143">
        <f t="shared" si="53"/>
        <v>10192.653898062668</v>
      </c>
      <c r="D68" s="143">
        <f t="shared" si="53"/>
        <v>15884.711595543999</v>
      </c>
      <c r="E68" s="143">
        <f t="shared" si="53"/>
        <v>21435.368296680594</v>
      </c>
      <c r="F68" s="143">
        <f t="shared" si="53"/>
        <v>27836.785868103314</v>
      </c>
      <c r="G68" s="143">
        <f t="shared" si="53"/>
        <v>33815.758662695043</v>
      </c>
      <c r="H68" s="143">
        <f t="shared" si="53"/>
        <v>39584.53924655453</v>
      </c>
      <c r="I68" s="143">
        <f t="shared" si="53"/>
        <v>47427.439418869792</v>
      </c>
      <c r="J68" s="143">
        <f t="shared" si="53"/>
        <v>54083.119345073712</v>
      </c>
      <c r="K68" s="143">
        <f t="shared" si="53"/>
        <v>61661.671611512371</v>
      </c>
      <c r="L68" s="143">
        <f t="shared" si="53"/>
        <v>71162.887703211745</v>
      </c>
      <c r="M68" s="143">
        <f t="shared" si="53"/>
        <v>79879.951708290522</v>
      </c>
      <c r="N68" s="143">
        <f t="shared" si="53"/>
        <v>86767.868096766848</v>
      </c>
      <c r="O68" s="143">
        <f t="shared" si="53"/>
        <v>96298.204809978473</v>
      </c>
      <c r="P68" s="143">
        <f t="shared" si="53"/>
        <v>106728.26115655316</v>
      </c>
      <c r="Q68" s="143">
        <f t="shared" si="53"/>
        <v>118163.06092287574</v>
      </c>
      <c r="R68" s="143">
        <f t="shared" si="52"/>
        <v>124981.27278995307</v>
      </c>
      <c r="S68" s="143">
        <f t="shared" si="52"/>
        <v>131738.45590936189</v>
      </c>
      <c r="T68" s="143">
        <f t="shared" si="52"/>
        <v>140001.16025513061</v>
      </c>
      <c r="U68" s="143">
        <f t="shared" si="52"/>
        <v>148939.21724142408</v>
      </c>
      <c r="V68" s="143">
        <f t="shared" si="52"/>
        <v>157710.75051922019</v>
      </c>
      <c r="W68" s="143">
        <f t="shared" si="52"/>
        <v>166351.30282941947</v>
      </c>
      <c r="X68" s="143">
        <f t="shared" si="52"/>
        <v>174037.82111649675</v>
      </c>
      <c r="Y68" s="143">
        <f t="shared" si="52"/>
        <v>178695.09591381569</v>
      </c>
      <c r="Z68" s="143">
        <f t="shared" si="52"/>
        <v>182627.23753609916</v>
      </c>
      <c r="AA68" s="143">
        <f t="shared" si="52"/>
        <v>187849.77427341719</v>
      </c>
      <c r="AB68" s="143">
        <f t="shared" si="52"/>
        <v>190907.69743795157</v>
      </c>
      <c r="AC68" s="143">
        <f t="shared" si="52"/>
        <v>190654.06976538326</v>
      </c>
      <c r="AD68" s="143">
        <f t="shared" si="52"/>
        <v>186141.889027659</v>
      </c>
      <c r="AE68" s="143">
        <f t="shared" si="52"/>
        <v>177859.33290672075</v>
      </c>
      <c r="AF68" s="143">
        <f t="shared" si="52"/>
        <v>167562.17006837367</v>
      </c>
    </row>
    <row r="69" spans="1:32">
      <c r="A69" s="43" t="s">
        <v>58</v>
      </c>
      <c r="B69" s="143">
        <f t="shared" si="53"/>
        <v>972.48319908797555</v>
      </c>
      <c r="C69" s="143">
        <f t="shared" si="52"/>
        <v>2108.6996711776601</v>
      </c>
      <c r="D69" s="143">
        <f t="shared" si="52"/>
        <v>3199.8844240788367</v>
      </c>
      <c r="E69" s="143">
        <f t="shared" si="52"/>
        <v>4398.6385259462058</v>
      </c>
      <c r="F69" s="143">
        <f t="shared" si="52"/>
        <v>5550.7614153674631</v>
      </c>
      <c r="G69" s="143">
        <f t="shared" si="52"/>
        <v>6653.1998609486918</v>
      </c>
      <c r="H69" s="143">
        <f t="shared" si="52"/>
        <v>7836.9606913871903</v>
      </c>
      <c r="I69" s="143">
        <f t="shared" si="52"/>
        <v>8684.9289879216685</v>
      </c>
      <c r="J69" s="143">
        <f t="shared" si="52"/>
        <v>9885.587928684361</v>
      </c>
      <c r="K69" s="143">
        <f t="shared" si="52"/>
        <v>11444.701725735666</v>
      </c>
      <c r="L69" s="143">
        <f t="shared" si="52"/>
        <v>12345.313449467423</v>
      </c>
      <c r="M69" s="143">
        <f t="shared" si="52"/>
        <v>14010.097168353215</v>
      </c>
      <c r="N69" s="143">
        <f t="shared" si="52"/>
        <v>15459.173355401521</v>
      </c>
      <c r="O69" s="143">
        <f t="shared" si="52"/>
        <v>17036.732847430365</v>
      </c>
      <c r="P69" s="143">
        <f t="shared" si="52"/>
        <v>18856.00017737809</v>
      </c>
      <c r="Q69" s="143">
        <f t="shared" si="52"/>
        <v>20929.567643859897</v>
      </c>
      <c r="R69" s="143">
        <f t="shared" si="52"/>
        <v>21818.65090570131</v>
      </c>
      <c r="S69" s="143">
        <f t="shared" si="52"/>
        <v>25713.017266802963</v>
      </c>
      <c r="T69" s="143">
        <f t="shared" si="52"/>
        <v>27122.139489252655</v>
      </c>
      <c r="U69" s="143">
        <f t="shared" si="52"/>
        <v>28644.02725721943</v>
      </c>
      <c r="V69" s="143">
        <f t="shared" si="52"/>
        <v>30162.375880278138</v>
      </c>
      <c r="W69" s="143">
        <f t="shared" si="52"/>
        <v>31623.279547893824</v>
      </c>
      <c r="X69" s="143">
        <f t="shared" si="52"/>
        <v>32956.878601168748</v>
      </c>
      <c r="Y69" s="143">
        <f t="shared" si="52"/>
        <v>34041.297583006723</v>
      </c>
      <c r="Z69" s="143">
        <f t="shared" si="52"/>
        <v>34915.798291112216</v>
      </c>
      <c r="AA69" s="143">
        <f t="shared" si="52"/>
        <v>35675.74594666675</v>
      </c>
      <c r="AB69" s="143">
        <f t="shared" si="52"/>
        <v>36539.031092145677</v>
      </c>
      <c r="AC69" s="143">
        <f t="shared" si="52"/>
        <v>36803.071848363099</v>
      </c>
      <c r="AD69" s="143">
        <f t="shared" si="52"/>
        <v>36318.507030286848</v>
      </c>
      <c r="AE69" s="143">
        <f t="shared" si="52"/>
        <v>34705.815532377055</v>
      </c>
      <c r="AF69" s="143">
        <f t="shared" si="52"/>
        <v>32721.265182056381</v>
      </c>
    </row>
    <row r="70" spans="1:32">
      <c r="A70" s="43" t="s">
        <v>54</v>
      </c>
      <c r="B70" s="143">
        <f t="shared" si="53"/>
        <v>1110.8286925322295</v>
      </c>
      <c r="C70" s="143">
        <f t="shared" si="52"/>
        <v>2334.0279789575266</v>
      </c>
      <c r="D70" s="143">
        <f t="shared" si="52"/>
        <v>3440.4236943443893</v>
      </c>
      <c r="E70" s="143">
        <f t="shared" si="52"/>
        <v>4611.3291379388156</v>
      </c>
      <c r="F70" s="143">
        <f t="shared" si="52"/>
        <v>5838.0511485618554</v>
      </c>
      <c r="G70" s="143">
        <f t="shared" si="52"/>
        <v>7420.2363783466417</v>
      </c>
      <c r="H70" s="143">
        <f t="shared" si="52"/>
        <v>9224.3919860029582</v>
      </c>
      <c r="I70" s="143">
        <f t="shared" si="52"/>
        <v>10797.323360602493</v>
      </c>
      <c r="J70" s="143">
        <f t="shared" si="52"/>
        <v>12687.478204691297</v>
      </c>
      <c r="K70" s="143">
        <f t="shared" si="52"/>
        <v>14630.510549366423</v>
      </c>
      <c r="L70" s="143">
        <f t="shared" si="52"/>
        <v>16821.717541949518</v>
      </c>
      <c r="M70" s="143">
        <f t="shared" si="52"/>
        <v>18758.928431606066</v>
      </c>
      <c r="N70" s="143">
        <f t="shared" si="52"/>
        <v>21234.229485324729</v>
      </c>
      <c r="O70" s="143">
        <f t="shared" si="52"/>
        <v>22964.273381409123</v>
      </c>
      <c r="P70" s="143">
        <f t="shared" si="52"/>
        <v>24862.579483959722</v>
      </c>
      <c r="Q70" s="143">
        <f t="shared" si="52"/>
        <v>27138.780630806825</v>
      </c>
      <c r="R70" s="143">
        <f t="shared" si="52"/>
        <v>28688.766609523067</v>
      </c>
      <c r="S70" s="143">
        <f t="shared" si="52"/>
        <v>29546.593728835378</v>
      </c>
      <c r="T70" s="143">
        <f t="shared" si="52"/>
        <v>30726.202392689735</v>
      </c>
      <c r="U70" s="143">
        <f t="shared" si="52"/>
        <v>32054.963877362443</v>
      </c>
      <c r="V70" s="143">
        <f t="shared" si="52"/>
        <v>33362.622942528564</v>
      </c>
      <c r="W70" s="143">
        <f t="shared" si="52"/>
        <v>34158.64143463027</v>
      </c>
      <c r="X70" s="143">
        <f t="shared" si="52"/>
        <v>35173.990628202555</v>
      </c>
      <c r="Y70" s="143">
        <f t="shared" si="52"/>
        <v>36989.780915486568</v>
      </c>
      <c r="Z70" s="143">
        <f t="shared" si="52"/>
        <v>38091.085038738689</v>
      </c>
      <c r="AA70" s="143">
        <f t="shared" si="52"/>
        <v>37450.657416732924</v>
      </c>
      <c r="AB70" s="143">
        <f t="shared" si="52"/>
        <v>37774.267459006638</v>
      </c>
      <c r="AC70" s="143">
        <f t="shared" si="52"/>
        <v>37400.865388501392</v>
      </c>
      <c r="AD70" s="143">
        <f t="shared" si="52"/>
        <v>36128.507295448158</v>
      </c>
      <c r="AE70" s="143">
        <f t="shared" si="52"/>
        <v>34203.636098649869</v>
      </c>
      <c r="AF70" s="143">
        <f t="shared" si="52"/>
        <v>31964.243609049416</v>
      </c>
    </row>
    <row r="71" spans="1:32">
      <c r="A71" s="43" t="s">
        <v>55</v>
      </c>
      <c r="B71" s="143">
        <f t="shared" si="53"/>
        <v>475.2997183139716</v>
      </c>
      <c r="C71" s="143">
        <f t="shared" si="52"/>
        <v>1010.7015769948414</v>
      </c>
      <c r="D71" s="143">
        <f t="shared" si="52"/>
        <v>1568.0052853519894</v>
      </c>
      <c r="E71" s="143">
        <f t="shared" si="52"/>
        <v>2238.0954848740212</v>
      </c>
      <c r="F71" s="143">
        <f t="shared" si="52"/>
        <v>2830.1876800208856</v>
      </c>
      <c r="G71" s="143">
        <f t="shared" si="52"/>
        <v>3834.0934764861731</v>
      </c>
      <c r="H71" s="143">
        <f t="shared" si="52"/>
        <v>5057.0312250017296</v>
      </c>
      <c r="I71" s="143">
        <f t="shared" si="52"/>
        <v>5811.8055821132839</v>
      </c>
      <c r="J71" s="143">
        <f t="shared" si="52"/>
        <v>6913.9964664911031</v>
      </c>
      <c r="K71" s="143">
        <f t="shared" si="52"/>
        <v>7615.0789587956433</v>
      </c>
      <c r="L71" s="143">
        <f t="shared" si="52"/>
        <v>8083.7651336368726</v>
      </c>
      <c r="M71" s="143">
        <f t="shared" si="52"/>
        <v>8349.6001584837377</v>
      </c>
      <c r="N71" s="143">
        <f t="shared" si="52"/>
        <v>8698.7268989880831</v>
      </c>
      <c r="O71" s="143">
        <f t="shared" si="52"/>
        <v>8888.9261527238014</v>
      </c>
      <c r="P71" s="143">
        <f t="shared" si="52"/>
        <v>8890.1982927238296</v>
      </c>
      <c r="Q71" s="143">
        <f t="shared" si="52"/>
        <v>9074.9161343418018</v>
      </c>
      <c r="R71" s="143">
        <f t="shared" si="52"/>
        <v>10027.623602178961</v>
      </c>
      <c r="S71" s="143">
        <f t="shared" si="52"/>
        <v>9492.5425509550823</v>
      </c>
      <c r="T71" s="143">
        <f t="shared" si="52"/>
        <v>9030.4926319646984</v>
      </c>
      <c r="U71" s="143">
        <f t="shared" si="52"/>
        <v>8529.8334382463472</v>
      </c>
      <c r="V71" s="143">
        <f t="shared" si="52"/>
        <v>7971.0889504595671</v>
      </c>
      <c r="W71" s="143">
        <f t="shared" si="52"/>
        <v>7327.1768825358567</v>
      </c>
      <c r="X71" s="143">
        <f t="shared" si="52"/>
        <v>6845.8419431036618</v>
      </c>
      <c r="Y71" s="143">
        <f t="shared" si="52"/>
        <v>6376.1008170307814</v>
      </c>
      <c r="Z71" s="143">
        <f t="shared" si="52"/>
        <v>5909.1633281548638</v>
      </c>
      <c r="AA71" s="143">
        <f t="shared" si="52"/>
        <v>5296.9600128010024</v>
      </c>
      <c r="AB71" s="143">
        <f t="shared" si="52"/>
        <v>5099.1212122112011</v>
      </c>
      <c r="AC71" s="143">
        <f t="shared" si="52"/>
        <v>4854.0951466584957</v>
      </c>
      <c r="AD71" s="143">
        <f t="shared" si="52"/>
        <v>4332.2683064718431</v>
      </c>
      <c r="AE71" s="143">
        <f t="shared" si="52"/>
        <v>3791.1262426802905</v>
      </c>
      <c r="AF71" s="143">
        <f t="shared" si="52"/>
        <v>3278.7492319046423</v>
      </c>
    </row>
    <row r="72" spans="1:32">
      <c r="A72" s="43" t="s">
        <v>56</v>
      </c>
      <c r="B72" s="143">
        <f t="shared" si="53"/>
        <v>194.25834088535098</v>
      </c>
      <c r="C72" s="143">
        <f t="shared" si="52"/>
        <v>412.68795183585922</v>
      </c>
      <c r="D72" s="143">
        <f t="shared" si="52"/>
        <v>626.87908470578373</v>
      </c>
      <c r="E72" s="143">
        <f t="shared" si="52"/>
        <v>885.50347517419834</v>
      </c>
      <c r="F72" s="143">
        <f t="shared" si="52"/>
        <v>1139.2297686337402</v>
      </c>
      <c r="G72" s="143">
        <f t="shared" si="52"/>
        <v>1560.8025028579511</v>
      </c>
      <c r="H72" s="143">
        <f t="shared" si="52"/>
        <v>2217.795006439499</v>
      </c>
      <c r="I72" s="143">
        <f t="shared" si="52"/>
        <v>2541.1122023356879</v>
      </c>
      <c r="J72" s="143">
        <f t="shared" si="52"/>
        <v>3210.5580840509356</v>
      </c>
      <c r="K72" s="143">
        <f t="shared" si="52"/>
        <v>3917.6253195063405</v>
      </c>
      <c r="L72" s="143">
        <f t="shared" si="52"/>
        <v>4291.1437080012838</v>
      </c>
      <c r="M72" s="143">
        <f t="shared" si="52"/>
        <v>5018.4759214485102</v>
      </c>
      <c r="N72" s="143">
        <f t="shared" si="52"/>
        <v>5972.5877257968787</v>
      </c>
      <c r="O72" s="143">
        <f t="shared" si="52"/>
        <v>7496.0962947239141</v>
      </c>
      <c r="P72" s="143">
        <f t="shared" si="52"/>
        <v>8325.2888149491646</v>
      </c>
      <c r="Q72" s="143">
        <f t="shared" si="52"/>
        <v>8977.2303114434762</v>
      </c>
      <c r="R72" s="143">
        <f t="shared" si="52"/>
        <v>9458.7486133395523</v>
      </c>
      <c r="S72" s="143">
        <f t="shared" si="52"/>
        <v>9606.2061175192521</v>
      </c>
      <c r="T72" s="143">
        <f t="shared" si="52"/>
        <v>9874.60571757871</v>
      </c>
      <c r="U72" s="143">
        <f t="shared" si="52"/>
        <v>10002.04239332366</v>
      </c>
      <c r="V72" s="143">
        <f t="shared" si="52"/>
        <v>10308.115009034931</v>
      </c>
      <c r="W72" s="143">
        <f t="shared" si="52"/>
        <v>10517.09645445521</v>
      </c>
      <c r="X72" s="143">
        <f t="shared" si="52"/>
        <v>10884.956830504671</v>
      </c>
      <c r="Y72" s="143">
        <f t="shared" si="52"/>
        <v>11334.984657487119</v>
      </c>
      <c r="Z72" s="143">
        <f t="shared" si="52"/>
        <v>11844.447296608394</v>
      </c>
      <c r="AA72" s="143">
        <f t="shared" si="52"/>
        <v>12102.243491882209</v>
      </c>
      <c r="AB72" s="143">
        <f t="shared" si="52"/>
        <v>12135.820482284122</v>
      </c>
      <c r="AC72" s="143">
        <f t="shared" si="52"/>
        <v>11954.287751348951</v>
      </c>
      <c r="AD72" s="143">
        <f t="shared" si="52"/>
        <v>11501.254163055673</v>
      </c>
      <c r="AE72" s="143">
        <f t="shared" si="52"/>
        <v>10851.175627084871</v>
      </c>
      <c r="AF72" s="143">
        <f t="shared" si="52"/>
        <v>10112.227650069566</v>
      </c>
    </row>
    <row r="73" spans="1:32">
      <c r="A73" s="43" t="s">
        <v>549</v>
      </c>
      <c r="B73" s="143">
        <f t="shared" si="53"/>
        <v>320.69184899658728</v>
      </c>
      <c r="C73" s="143">
        <f t="shared" si="52"/>
        <v>682.04550655217383</v>
      </c>
      <c r="D73" s="143">
        <f t="shared" si="52"/>
        <v>1014.9008687618293</v>
      </c>
      <c r="E73" s="143">
        <f t="shared" si="52"/>
        <v>1358.6354363136741</v>
      </c>
      <c r="F73" s="143">
        <f t="shared" si="52"/>
        <v>1745.0783569614919</v>
      </c>
      <c r="G73" s="143">
        <f t="shared" si="52"/>
        <v>2262.7201288812166</v>
      </c>
      <c r="H73" s="143">
        <f t="shared" si="52"/>
        <v>2738.0452383501811</v>
      </c>
      <c r="I73" s="143">
        <f t="shared" si="52"/>
        <v>3272.1252616995816</v>
      </c>
      <c r="J73" s="143">
        <f t="shared" si="52"/>
        <v>3926.9107812617717</v>
      </c>
      <c r="K73" s="143">
        <f t="shared" si="52"/>
        <v>4746.2318046493292</v>
      </c>
      <c r="L73" s="143">
        <f t="shared" si="52"/>
        <v>5432.4574038525379</v>
      </c>
      <c r="M73" s="143">
        <f t="shared" si="52"/>
        <v>6078.6890046580265</v>
      </c>
      <c r="N73" s="143">
        <f t="shared" si="52"/>
        <v>6925.6469085232757</v>
      </c>
      <c r="O73" s="143">
        <f t="shared" si="52"/>
        <v>7825.2900351354192</v>
      </c>
      <c r="P73" s="143">
        <f t="shared" si="52"/>
        <v>8752.3924508120344</v>
      </c>
      <c r="Q73" s="143">
        <f t="shared" si="52"/>
        <v>9778.6560428991579</v>
      </c>
      <c r="R73" s="143">
        <f t="shared" si="52"/>
        <v>10512.862929366856</v>
      </c>
      <c r="S73" s="143">
        <f t="shared" si="52"/>
        <v>11127.007541487805</v>
      </c>
      <c r="T73" s="143">
        <f t="shared" si="52"/>
        <v>11744.523621981898</v>
      </c>
      <c r="U73" s="143">
        <f t="shared" si="52"/>
        <v>12414.917423171903</v>
      </c>
      <c r="V73" s="143">
        <f t="shared" si="52"/>
        <v>13082.408207925166</v>
      </c>
      <c r="W73" s="143">
        <f t="shared" si="52"/>
        <v>13780.172710212875</v>
      </c>
      <c r="X73" s="143">
        <f t="shared" si="52"/>
        <v>14422.621638230605</v>
      </c>
      <c r="Y73" s="143">
        <f t="shared" si="52"/>
        <v>14934.502305028538</v>
      </c>
      <c r="Z73" s="143">
        <f t="shared" si="52"/>
        <v>16357.977474108951</v>
      </c>
      <c r="AA73" s="143">
        <f t="shared" si="52"/>
        <v>16708.509763172373</v>
      </c>
      <c r="AB73" s="143">
        <f t="shared" si="52"/>
        <v>17104.935030524342</v>
      </c>
      <c r="AC73" s="143">
        <f t="shared" si="52"/>
        <v>17201.666907658157</v>
      </c>
      <c r="AD73" s="143">
        <f t="shared" si="52"/>
        <v>16898.954685862125</v>
      </c>
      <c r="AE73" s="143">
        <f t="shared" si="52"/>
        <v>16250.194198062223</v>
      </c>
      <c r="AF73" s="143">
        <f t="shared" si="52"/>
        <v>15424.819481700306</v>
      </c>
    </row>
    <row r="74" spans="1:32">
      <c r="A74" s="43" t="s">
        <v>52</v>
      </c>
      <c r="B74" s="143">
        <f t="shared" si="53"/>
        <v>397.27262596932712</v>
      </c>
      <c r="C74" s="143">
        <f t="shared" si="52"/>
        <v>836.1267678399696</v>
      </c>
      <c r="D74" s="143">
        <f t="shared" si="52"/>
        <v>1237.11268928202</v>
      </c>
      <c r="E74" s="143">
        <f t="shared" si="52"/>
        <v>1640.6160811815876</v>
      </c>
      <c r="F74" s="143">
        <f t="shared" si="52"/>
        <v>2017.2040582566926</v>
      </c>
      <c r="G74" s="143">
        <f t="shared" si="52"/>
        <v>2483.3214057308292</v>
      </c>
      <c r="H74" s="143">
        <f t="shared" si="52"/>
        <v>2923.7629455415422</v>
      </c>
      <c r="I74" s="143">
        <f t="shared" si="52"/>
        <v>3466.0298043947846</v>
      </c>
      <c r="J74" s="143">
        <f t="shared" si="52"/>
        <v>4312.2598010561278</v>
      </c>
      <c r="K74" s="143">
        <f t="shared" si="52"/>
        <v>5079.76853468033</v>
      </c>
      <c r="L74" s="143">
        <f t="shared" si="52"/>
        <v>5865.8220528402462</v>
      </c>
      <c r="M74" s="143">
        <f t="shared" si="52"/>
        <v>6697.0465968078479</v>
      </c>
      <c r="N74" s="143">
        <f t="shared" si="52"/>
        <v>7832.1568052799357</v>
      </c>
      <c r="O74" s="143">
        <f t="shared" si="52"/>
        <v>8690.7095976248984</v>
      </c>
      <c r="P74" s="143">
        <f t="shared" si="52"/>
        <v>9456.4996078826753</v>
      </c>
      <c r="Q74" s="143">
        <f t="shared" si="52"/>
        <v>10315.067069000286</v>
      </c>
      <c r="R74" s="143">
        <f t="shared" si="52"/>
        <v>10787.859581687608</v>
      </c>
      <c r="S74" s="143">
        <f t="shared" si="52"/>
        <v>11301.912915686193</v>
      </c>
      <c r="T74" s="143">
        <f t="shared" si="52"/>
        <v>11900.863119009971</v>
      </c>
      <c r="U74" s="143">
        <f t="shared" si="52"/>
        <v>12671.39347955196</v>
      </c>
      <c r="V74" s="143">
        <f t="shared" si="52"/>
        <v>13393.872564494755</v>
      </c>
      <c r="W74" s="143">
        <f t="shared" si="52"/>
        <v>13938.338559408625</v>
      </c>
      <c r="X74" s="143">
        <f t="shared" si="52"/>
        <v>14565.858837501724</v>
      </c>
      <c r="Y74" s="143">
        <f t="shared" si="52"/>
        <v>16099.17467828904</v>
      </c>
      <c r="Z74" s="143">
        <f t="shared" si="52"/>
        <v>16610.576730654826</v>
      </c>
      <c r="AA74" s="143">
        <f t="shared" si="52"/>
        <v>17048.491233309993</v>
      </c>
      <c r="AB74" s="143">
        <f t="shared" si="52"/>
        <v>17360.615681538955</v>
      </c>
      <c r="AC74" s="143">
        <f t="shared" si="52"/>
        <v>17397.118008459463</v>
      </c>
      <c r="AD74" s="143">
        <f t="shared" si="52"/>
        <v>17064.842651680439</v>
      </c>
      <c r="AE74" s="143">
        <f t="shared" si="52"/>
        <v>16396.437662043609</v>
      </c>
      <c r="AF74" s="143">
        <f t="shared" si="52"/>
        <v>15552.263564455634</v>
      </c>
    </row>
    <row r="75" spans="1:32">
      <c r="A75" s="43" t="s">
        <v>57</v>
      </c>
      <c r="B75" s="143">
        <f t="shared" si="53"/>
        <v>163.64518766465343</v>
      </c>
      <c r="C75" s="143">
        <f t="shared" si="52"/>
        <v>348.6070431181908</v>
      </c>
      <c r="D75" s="143">
        <f t="shared" si="52"/>
        <v>538.13988161295288</v>
      </c>
      <c r="E75" s="143">
        <f t="shared" si="52"/>
        <v>773.01831548158282</v>
      </c>
      <c r="F75" s="143">
        <f t="shared" si="52"/>
        <v>1003.7968590758829</v>
      </c>
      <c r="G75" s="143">
        <f t="shared" si="52"/>
        <v>1353.489804005063</v>
      </c>
      <c r="H75" s="143">
        <f t="shared" si="52"/>
        <v>1658.2044745703672</v>
      </c>
      <c r="I75" s="143">
        <f t="shared" si="52"/>
        <v>1871.9593476230598</v>
      </c>
      <c r="J75" s="143">
        <f t="shared" si="52"/>
        <v>2409.2301013678084</v>
      </c>
      <c r="K75" s="143">
        <f t="shared" si="52"/>
        <v>3000.1458779771242</v>
      </c>
      <c r="L75" s="143">
        <f t="shared" si="52"/>
        <v>3379.9357418849554</v>
      </c>
      <c r="M75" s="143">
        <f t="shared" si="52"/>
        <v>4435.6394605936821</v>
      </c>
      <c r="N75" s="143">
        <f t="shared" si="52"/>
        <v>4839.4232416377845</v>
      </c>
      <c r="O75" s="143">
        <f t="shared" si="52"/>
        <v>5036.3381370553898</v>
      </c>
      <c r="P75" s="143">
        <f t="shared" si="52"/>
        <v>5316.3414546777412</v>
      </c>
      <c r="Q75" s="143">
        <f t="shared" si="52"/>
        <v>5837.1558415298186</v>
      </c>
      <c r="R75" s="143">
        <f t="shared" si="52"/>
        <v>5855.2738876913327</v>
      </c>
      <c r="S75" s="143">
        <f t="shared" si="52"/>
        <v>6052.9241705713403</v>
      </c>
      <c r="T75" s="143">
        <f t="shared" si="52"/>
        <v>6260.7211077799357</v>
      </c>
      <c r="U75" s="143">
        <f t="shared" si="52"/>
        <v>6620.713609559326</v>
      </c>
      <c r="V75" s="143">
        <f t="shared" si="52"/>
        <v>7013.940444758724</v>
      </c>
      <c r="W75" s="143">
        <f t="shared" si="52"/>
        <v>7357.0814536702374</v>
      </c>
      <c r="X75" s="143">
        <f t="shared" si="52"/>
        <v>7714.3113862224081</v>
      </c>
      <c r="Y75" s="143">
        <f t="shared" si="52"/>
        <v>8164.3605720600826</v>
      </c>
      <c r="Z75" s="143">
        <f t="shared" si="52"/>
        <v>8374.0981440220676</v>
      </c>
      <c r="AA75" s="143">
        <f t="shared" si="52"/>
        <v>8579.9128475575508</v>
      </c>
      <c r="AB75" s="143">
        <f t="shared" si="52"/>
        <v>8657.7924450970095</v>
      </c>
      <c r="AC75" s="143">
        <f t="shared" si="52"/>
        <v>8585.8810807334958</v>
      </c>
      <c r="AD75" s="143">
        <f t="shared" si="52"/>
        <v>8357.0141318192673</v>
      </c>
      <c r="AE75" s="143">
        <f t="shared" si="52"/>
        <v>7970.962210799994</v>
      </c>
      <c r="AF75" s="143">
        <f t="shared" si="52"/>
        <v>7511.1342989296272</v>
      </c>
    </row>
    <row r="77" spans="1:32">
      <c r="A77" s="112" t="s">
        <v>562</v>
      </c>
    </row>
    <row r="78" spans="1:32">
      <c r="A78" s="43" t="s">
        <v>43</v>
      </c>
      <c r="B78" s="143">
        <f>B$7*B11</f>
        <v>106.26934605049972</v>
      </c>
      <c r="C78" s="143">
        <f t="shared" ref="C78:AF86" si="54">C$7*C11</f>
        <v>226.95367551248412</v>
      </c>
      <c r="D78" s="143">
        <f t="shared" si="54"/>
        <v>351.99144617032982</v>
      </c>
      <c r="E78" s="143">
        <f t="shared" si="54"/>
        <v>476.52404159452504</v>
      </c>
      <c r="F78" s="143">
        <f t="shared" si="54"/>
        <v>617.62426207356987</v>
      </c>
      <c r="G78" s="143">
        <f t="shared" si="54"/>
        <v>748.59397125754572</v>
      </c>
      <c r="H78" s="143">
        <f t="shared" si="54"/>
        <v>879.49830596276718</v>
      </c>
      <c r="I78" s="143">
        <f t="shared" si="54"/>
        <v>1044.0868212412279</v>
      </c>
      <c r="J78" s="143">
        <f t="shared" si="54"/>
        <v>1227.249300740978</v>
      </c>
      <c r="K78" s="143">
        <f t="shared" si="54"/>
        <v>1412.2435894376322</v>
      </c>
      <c r="L78" s="143">
        <f t="shared" si="54"/>
        <v>1635.777023070528</v>
      </c>
      <c r="M78" s="143">
        <f t="shared" si="54"/>
        <v>1904.6219776674061</v>
      </c>
      <c r="N78" s="143">
        <f t="shared" si="54"/>
        <v>2297.0772634941536</v>
      </c>
      <c r="O78" s="143">
        <f t="shared" si="54"/>
        <v>2710.2694936196854</v>
      </c>
      <c r="P78" s="143">
        <f t="shared" si="54"/>
        <v>3223.4179500073737</v>
      </c>
      <c r="Q78" s="143">
        <f t="shared" si="54"/>
        <v>3785.4259290790546</v>
      </c>
      <c r="R78" s="143">
        <f t="shared" si="54"/>
        <v>4334.0929868736212</v>
      </c>
      <c r="S78" s="143">
        <f t="shared" si="54"/>
        <v>4950.1649061606013</v>
      </c>
      <c r="T78" s="143">
        <f t="shared" si="54"/>
        <v>5727.8249334168131</v>
      </c>
      <c r="U78" s="143">
        <f t="shared" si="54"/>
        <v>6574.1500562124293</v>
      </c>
      <c r="V78" s="143">
        <f t="shared" si="54"/>
        <v>7478.5613307093117</v>
      </c>
      <c r="W78" s="143">
        <f t="shared" si="54"/>
        <v>8399.13695036237</v>
      </c>
      <c r="X78" s="143">
        <f t="shared" si="54"/>
        <v>9294.0409486377903</v>
      </c>
      <c r="Y78" s="143">
        <f t="shared" si="54"/>
        <v>10085.26123765832</v>
      </c>
      <c r="Z78" s="143">
        <f t="shared" si="54"/>
        <v>10853.203575316153</v>
      </c>
      <c r="AA78" s="143">
        <f t="shared" si="54"/>
        <v>11728.568642348784</v>
      </c>
      <c r="AB78" s="143">
        <f t="shared" si="54"/>
        <v>12433.714492209849</v>
      </c>
      <c r="AC78" s="143">
        <f t="shared" si="54"/>
        <v>12863.357164548526</v>
      </c>
      <c r="AD78" s="143">
        <f t="shared" si="54"/>
        <v>12922.142182213767</v>
      </c>
      <c r="AE78" s="143">
        <f t="shared" si="54"/>
        <v>12646.462706993285</v>
      </c>
      <c r="AF78" s="143">
        <f t="shared" si="54"/>
        <v>12172.377253571687</v>
      </c>
    </row>
    <row r="79" spans="1:32">
      <c r="A79" s="43" t="s">
        <v>51</v>
      </c>
      <c r="B79" s="143">
        <f t="shared" ref="B79:Q86" si="55">B$7*B12</f>
        <v>149.10004361268895</v>
      </c>
      <c r="C79" s="143">
        <f t="shared" si="55"/>
        <v>315.87053693339806</v>
      </c>
      <c r="D79" s="143">
        <f t="shared" si="55"/>
        <v>492.35613270833289</v>
      </c>
      <c r="E79" s="143">
        <f t="shared" si="55"/>
        <v>664.8367644616909</v>
      </c>
      <c r="F79" s="143">
        <f t="shared" si="55"/>
        <v>864.85383032464517</v>
      </c>
      <c r="G79" s="143">
        <f t="shared" si="55"/>
        <v>1054.1642009707921</v>
      </c>
      <c r="H79" s="143">
        <f t="shared" si="55"/>
        <v>1241.2506957825831</v>
      </c>
      <c r="I79" s="143">
        <f t="shared" si="55"/>
        <v>1502.0349004762486</v>
      </c>
      <c r="J79" s="143">
        <f t="shared" si="55"/>
        <v>1738.8333126863558</v>
      </c>
      <c r="K79" s="143">
        <f t="shared" si="55"/>
        <v>2024.6066319856905</v>
      </c>
      <c r="L79" s="143">
        <f t="shared" si="55"/>
        <v>2404.0454898646635</v>
      </c>
      <c r="M79" s="143">
        <f t="shared" si="55"/>
        <v>2798.8530843626145</v>
      </c>
      <c r="N79" s="143">
        <f t="shared" si="55"/>
        <v>3179.128124290758</v>
      </c>
      <c r="O79" s="143">
        <f t="shared" si="55"/>
        <v>3718.9302606200872</v>
      </c>
      <c r="P79" s="143">
        <f t="shared" si="55"/>
        <v>4376.0840132015983</v>
      </c>
      <c r="Q79" s="143">
        <f t="shared" si="55"/>
        <v>5172.697428696094</v>
      </c>
      <c r="R79" s="143">
        <f t="shared" si="54"/>
        <v>5936.8554794188194</v>
      </c>
      <c r="S79" s="143">
        <f t="shared" si="54"/>
        <v>6816.899400746086</v>
      </c>
      <c r="T79" s="143">
        <f t="shared" si="54"/>
        <v>7878.9362760907543</v>
      </c>
      <c r="U79" s="143">
        <f t="shared" si="54"/>
        <v>9065.5731483558557</v>
      </c>
      <c r="V79" s="143">
        <f t="shared" si="54"/>
        <v>10306.129611172108</v>
      </c>
      <c r="W79" s="143">
        <f t="shared" si="54"/>
        <v>11575.552768492531</v>
      </c>
      <c r="X79" s="143">
        <f t="shared" si="54"/>
        <v>12815.730289997024</v>
      </c>
      <c r="Y79" s="143">
        <f t="shared" si="54"/>
        <v>13874.950306368673</v>
      </c>
      <c r="Z79" s="143">
        <f t="shared" si="54"/>
        <v>14912.287967764403</v>
      </c>
      <c r="AA79" s="143">
        <f t="shared" si="54"/>
        <v>16102.004985232763</v>
      </c>
      <c r="AB79" s="143">
        <f t="shared" si="54"/>
        <v>17085.730986704413</v>
      </c>
      <c r="AC79" s="143">
        <f t="shared" si="54"/>
        <v>17683.932050114996</v>
      </c>
      <c r="AD79" s="143">
        <f t="shared" si="54"/>
        <v>17770.267082390539</v>
      </c>
      <c r="AE79" s="143">
        <f t="shared" si="54"/>
        <v>17389.219804411096</v>
      </c>
      <c r="AF79" s="143">
        <f t="shared" si="54"/>
        <v>16736.859230200171</v>
      </c>
    </row>
    <row r="80" spans="1:32">
      <c r="A80" s="43" t="s">
        <v>58</v>
      </c>
      <c r="B80" s="143">
        <f t="shared" si="55"/>
        <v>30.136742506473684</v>
      </c>
      <c r="C80" s="143">
        <f t="shared" si="54"/>
        <v>65.348642662414875</v>
      </c>
      <c r="D80" s="143">
        <f t="shared" si="54"/>
        <v>99.182330801337542</v>
      </c>
      <c r="E80" s="143">
        <f t="shared" si="54"/>
        <v>136.42763516591762</v>
      </c>
      <c r="F80" s="143">
        <f t="shared" si="54"/>
        <v>172.45515678588265</v>
      </c>
      <c r="G80" s="143">
        <f t="shared" si="54"/>
        <v>207.4052274052099</v>
      </c>
      <c r="H80" s="143">
        <f t="shared" si="54"/>
        <v>245.74323956168834</v>
      </c>
      <c r="I80" s="143">
        <f t="shared" si="54"/>
        <v>275.05314661423648</v>
      </c>
      <c r="J80" s="143">
        <f t="shared" si="54"/>
        <v>317.83280650309263</v>
      </c>
      <c r="K80" s="143">
        <f t="shared" si="54"/>
        <v>375.77669254585089</v>
      </c>
      <c r="L80" s="143">
        <f t="shared" si="54"/>
        <v>417.05299035831928</v>
      </c>
      <c r="M80" s="143">
        <f t="shared" si="54"/>
        <v>490.88917598576359</v>
      </c>
      <c r="N80" s="143">
        <f t="shared" si="54"/>
        <v>566.41581579062233</v>
      </c>
      <c r="O80" s="143">
        <f t="shared" si="54"/>
        <v>657.93979704431388</v>
      </c>
      <c r="P80" s="143">
        <f t="shared" si="54"/>
        <v>773.1358127170638</v>
      </c>
      <c r="Q80" s="143">
        <f t="shared" si="54"/>
        <v>916.21120754291542</v>
      </c>
      <c r="R80" s="143">
        <f t="shared" si="54"/>
        <v>1036.4286928069446</v>
      </c>
      <c r="S80" s="143">
        <f t="shared" si="54"/>
        <v>1330.538230370943</v>
      </c>
      <c r="T80" s="143">
        <f t="shared" si="54"/>
        <v>1526.370269486642</v>
      </c>
      <c r="U80" s="143">
        <f t="shared" si="54"/>
        <v>1743.4932798317345</v>
      </c>
      <c r="V80" s="143">
        <f t="shared" si="54"/>
        <v>1971.0600208268854</v>
      </c>
      <c r="W80" s="143">
        <f t="shared" si="54"/>
        <v>2200.50540568834</v>
      </c>
      <c r="X80" s="143">
        <f t="shared" si="54"/>
        <v>2426.8659802976454</v>
      </c>
      <c r="Y80" s="143">
        <f t="shared" si="54"/>
        <v>2643.1688564991509</v>
      </c>
      <c r="Z80" s="143">
        <f t="shared" si="54"/>
        <v>2851.0229129350005</v>
      </c>
      <c r="AA80" s="143">
        <f t="shared" si="54"/>
        <v>3058.0342260566495</v>
      </c>
      <c r="AB80" s="143">
        <f t="shared" si="54"/>
        <v>3270.1460660492053</v>
      </c>
      <c r="AC80" s="143">
        <f t="shared" si="54"/>
        <v>3413.6329877607573</v>
      </c>
      <c r="AD80" s="143">
        <f t="shared" si="54"/>
        <v>3467.1914706204398</v>
      </c>
      <c r="AE80" s="143">
        <f t="shared" si="54"/>
        <v>3393.1705743007687</v>
      </c>
      <c r="AF80" s="143">
        <f t="shared" si="54"/>
        <v>3268.3463633984861</v>
      </c>
    </row>
    <row r="81" spans="1:33">
      <c r="A81" s="43" t="s">
        <v>54</v>
      </c>
      <c r="B81" s="143">
        <f t="shared" si="55"/>
        <v>34.423996534893512</v>
      </c>
      <c r="C81" s="143">
        <f t="shared" si="54"/>
        <v>72.331571179025119</v>
      </c>
      <c r="D81" s="143">
        <f t="shared" si="54"/>
        <v>106.63798929158386</v>
      </c>
      <c r="E81" s="143">
        <f t="shared" si="54"/>
        <v>143.02442120436609</v>
      </c>
      <c r="F81" s="143">
        <f t="shared" si="54"/>
        <v>181.38088647836184</v>
      </c>
      <c r="G81" s="143">
        <f t="shared" si="54"/>
        <v>231.3166364480667</v>
      </c>
      <c r="H81" s="143">
        <f t="shared" si="54"/>
        <v>289.24886303417196</v>
      </c>
      <c r="I81" s="143">
        <f t="shared" si="54"/>
        <v>341.95302799543214</v>
      </c>
      <c r="J81" s="143">
        <f t="shared" si="54"/>
        <v>407.91674044424036</v>
      </c>
      <c r="K81" s="143">
        <f t="shared" si="54"/>
        <v>480.37991694752492</v>
      </c>
      <c r="L81" s="143">
        <f t="shared" si="54"/>
        <v>568.27618290531893</v>
      </c>
      <c r="M81" s="143">
        <f t="shared" si="54"/>
        <v>657.27987532933093</v>
      </c>
      <c r="N81" s="143">
        <f t="shared" si="54"/>
        <v>778.01077328711449</v>
      </c>
      <c r="O81" s="143">
        <f t="shared" si="54"/>
        <v>886.85486255736828</v>
      </c>
      <c r="P81" s="143">
        <f t="shared" si="54"/>
        <v>1019.4182443122261</v>
      </c>
      <c r="Q81" s="143">
        <f t="shared" si="54"/>
        <v>1188.0252567132413</v>
      </c>
      <c r="R81" s="143">
        <f t="shared" si="54"/>
        <v>1362.7726573865261</v>
      </c>
      <c r="S81" s="143">
        <f t="shared" si="54"/>
        <v>1528.9093506816521</v>
      </c>
      <c r="T81" s="143">
        <f t="shared" si="54"/>
        <v>1729.1984596206073</v>
      </c>
      <c r="U81" s="143">
        <f t="shared" si="54"/>
        <v>1951.1088159345513</v>
      </c>
      <c r="V81" s="143">
        <f t="shared" si="54"/>
        <v>2180.1907294357834</v>
      </c>
      <c r="W81" s="143">
        <f t="shared" si="54"/>
        <v>2376.9285223575066</v>
      </c>
      <c r="X81" s="143">
        <f t="shared" si="54"/>
        <v>2590.1288249993972</v>
      </c>
      <c r="Y81" s="143">
        <f t="shared" si="54"/>
        <v>2872.1066430013893</v>
      </c>
      <c r="Z81" s="143">
        <f t="shared" si="54"/>
        <v>3110.2985335908311</v>
      </c>
      <c r="AA81" s="143">
        <f t="shared" si="54"/>
        <v>3210.1751240156445</v>
      </c>
      <c r="AB81" s="143">
        <f t="shared" si="54"/>
        <v>3380.6964343812101</v>
      </c>
      <c r="AC81" s="143">
        <f t="shared" si="54"/>
        <v>3469.0807437767303</v>
      </c>
      <c r="AD81" s="143">
        <f t="shared" si="54"/>
        <v>3449.0529094867602</v>
      </c>
      <c r="AE81" s="143">
        <f t="shared" si="54"/>
        <v>3344.0727371975759</v>
      </c>
      <c r="AF81" s="143">
        <f t="shared" si="54"/>
        <v>3192.731661724044</v>
      </c>
    </row>
    <row r="82" spans="1:33">
      <c r="A82" s="43" t="s">
        <v>55</v>
      </c>
      <c r="B82" s="143">
        <f t="shared" si="55"/>
        <v>14.729288112803498</v>
      </c>
      <c r="C82" s="143">
        <f t="shared" si="54"/>
        <v>31.321660972464997</v>
      </c>
      <c r="D82" s="143">
        <f t="shared" si="54"/>
        <v>48.601261264239682</v>
      </c>
      <c r="E82" s="143">
        <f t="shared" si="54"/>
        <v>69.41649614438326</v>
      </c>
      <c r="F82" s="143">
        <f t="shared" si="54"/>
        <v>87.930361903181193</v>
      </c>
      <c r="G82" s="143">
        <f t="shared" si="54"/>
        <v>119.52309354946328</v>
      </c>
      <c r="H82" s="143">
        <f t="shared" si="54"/>
        <v>158.57311076758344</v>
      </c>
      <c r="I82" s="143">
        <f t="shared" si="54"/>
        <v>184.06085013401847</v>
      </c>
      <c r="J82" s="143">
        <f t="shared" si="54"/>
        <v>222.29278794041235</v>
      </c>
      <c r="K82" s="143">
        <f t="shared" si="54"/>
        <v>250.03440484402722</v>
      </c>
      <c r="L82" s="143">
        <f t="shared" si="54"/>
        <v>273.08811851051195</v>
      </c>
      <c r="M82" s="143">
        <f t="shared" si="54"/>
        <v>292.55531152682636</v>
      </c>
      <c r="N82" s="143">
        <f t="shared" si="54"/>
        <v>318.71668552760036</v>
      </c>
      <c r="O82" s="143">
        <f t="shared" si="54"/>
        <v>343.28050578941242</v>
      </c>
      <c r="P82" s="143">
        <f t="shared" si="54"/>
        <v>364.51689741215421</v>
      </c>
      <c r="Q82" s="143">
        <f t="shared" si="54"/>
        <v>397.26285852040627</v>
      </c>
      <c r="R82" s="143">
        <f t="shared" si="54"/>
        <v>476.331779947526</v>
      </c>
      <c r="S82" s="143">
        <f t="shared" si="54"/>
        <v>491.19831548415669</v>
      </c>
      <c r="T82" s="143">
        <f t="shared" si="54"/>
        <v>508.21490235720722</v>
      </c>
      <c r="U82" s="143">
        <f t="shared" si="54"/>
        <v>519.19051549981555</v>
      </c>
      <c r="V82" s="143">
        <f t="shared" si="54"/>
        <v>520.89712080601885</v>
      </c>
      <c r="W82" s="143">
        <f t="shared" si="54"/>
        <v>509.86148713752397</v>
      </c>
      <c r="X82" s="143">
        <f t="shared" si="54"/>
        <v>504.11148213604866</v>
      </c>
      <c r="Y82" s="143">
        <f t="shared" si="54"/>
        <v>495.07839894703534</v>
      </c>
      <c r="Z82" s="143">
        <f t="shared" si="54"/>
        <v>482.50823035408553</v>
      </c>
      <c r="AA82" s="143">
        <f t="shared" si="54"/>
        <v>454.04194315696896</v>
      </c>
      <c r="AB82" s="143">
        <f t="shared" si="54"/>
        <v>456.35778163819168</v>
      </c>
      <c r="AC82" s="143">
        <f t="shared" si="54"/>
        <v>450.23685486459806</v>
      </c>
      <c r="AD82" s="143">
        <f t="shared" si="54"/>
        <v>413.58538521730077</v>
      </c>
      <c r="AE82" s="143">
        <f t="shared" si="54"/>
        <v>370.65655460887899</v>
      </c>
      <c r="AF82" s="143">
        <f t="shared" si="54"/>
        <v>327.4961426145461</v>
      </c>
    </row>
    <row r="83" spans="1:33">
      <c r="A83" s="43" t="s">
        <v>56</v>
      </c>
      <c r="B83" s="143">
        <f t="shared" si="55"/>
        <v>6.0199637428049817</v>
      </c>
      <c r="C83" s="143">
        <f t="shared" si="54"/>
        <v>12.789207426842394</v>
      </c>
      <c r="D83" s="143">
        <f t="shared" si="54"/>
        <v>19.430492015231891</v>
      </c>
      <c r="E83" s="143">
        <f t="shared" si="54"/>
        <v>27.464667609446376</v>
      </c>
      <c r="F83" s="143">
        <f t="shared" si="54"/>
        <v>35.394432162217207</v>
      </c>
      <c r="G83" s="143">
        <f t="shared" si="54"/>
        <v>48.656075994343354</v>
      </c>
      <c r="H83" s="143">
        <f t="shared" si="54"/>
        <v>69.543302694517934</v>
      </c>
      <c r="I83" s="143">
        <f t="shared" si="54"/>
        <v>80.477446404489513</v>
      </c>
      <c r="J83" s="143">
        <f t="shared" si="54"/>
        <v>103.22306509805179</v>
      </c>
      <c r="K83" s="143">
        <f t="shared" si="54"/>
        <v>128.63177394021119</v>
      </c>
      <c r="L83" s="143">
        <f t="shared" si="54"/>
        <v>144.96467204374036</v>
      </c>
      <c r="M83" s="143">
        <f t="shared" si="54"/>
        <v>175.83857414986247</v>
      </c>
      <c r="N83" s="143">
        <f t="shared" si="54"/>
        <v>218.83240916670806</v>
      </c>
      <c r="O83" s="143">
        <f t="shared" si="54"/>
        <v>289.49095574502542</v>
      </c>
      <c r="P83" s="143">
        <f t="shared" si="54"/>
        <v>341.35441628665728</v>
      </c>
      <c r="Q83" s="143">
        <f t="shared" si="54"/>
        <v>392.98657115124246</v>
      </c>
      <c r="R83" s="143">
        <f t="shared" si="54"/>
        <v>449.30910271594115</v>
      </c>
      <c r="S83" s="143">
        <f t="shared" si="54"/>
        <v>497.07991697591137</v>
      </c>
      <c r="T83" s="143">
        <f t="shared" si="54"/>
        <v>555.71960302716764</v>
      </c>
      <c r="U83" s="143">
        <f t="shared" si="54"/>
        <v>608.80034573199646</v>
      </c>
      <c r="V83" s="143">
        <f t="shared" si="54"/>
        <v>673.61780335345929</v>
      </c>
      <c r="W83" s="143">
        <f t="shared" si="54"/>
        <v>731.83198994665088</v>
      </c>
      <c r="X83" s="143">
        <f t="shared" si="54"/>
        <v>801.54227433490826</v>
      </c>
      <c r="Y83" s="143">
        <f t="shared" si="54"/>
        <v>880.11564078925403</v>
      </c>
      <c r="Z83" s="143">
        <f t="shared" si="54"/>
        <v>967.14932169479755</v>
      </c>
      <c r="AA83" s="143">
        <f t="shared" si="54"/>
        <v>1037.3735384699071</v>
      </c>
      <c r="AB83" s="143">
        <f t="shared" si="54"/>
        <v>1086.1236442843597</v>
      </c>
      <c r="AC83" s="143">
        <f t="shared" si="54"/>
        <v>1108.8082859312776</v>
      </c>
      <c r="AD83" s="143">
        <f t="shared" si="54"/>
        <v>1097.9815415410678</v>
      </c>
      <c r="AE83" s="143">
        <f t="shared" si="54"/>
        <v>1060.9141225926473</v>
      </c>
      <c r="AF83" s="143">
        <f t="shared" si="54"/>
        <v>1010.0545404364902</v>
      </c>
    </row>
    <row r="84" spans="1:33">
      <c r="A84" s="43" t="s">
        <v>549</v>
      </c>
      <c r="B84" s="143">
        <f t="shared" si="55"/>
        <v>9.9380716152205579</v>
      </c>
      <c r="C84" s="143">
        <f t="shared" si="54"/>
        <v>21.136603138128255</v>
      </c>
      <c r="D84" s="143">
        <f t="shared" si="54"/>
        <v>31.457459194038883</v>
      </c>
      <c r="E84" s="143">
        <f t="shared" si="54"/>
        <v>42.139270716503532</v>
      </c>
      <c r="F84" s="143">
        <f t="shared" si="54"/>
        <v>54.217383730502434</v>
      </c>
      <c r="G84" s="143">
        <f t="shared" si="54"/>
        <v>70.537484622930947</v>
      </c>
      <c r="H84" s="143">
        <f t="shared" si="54"/>
        <v>85.856766855816517</v>
      </c>
      <c r="I84" s="143">
        <f t="shared" si="54"/>
        <v>103.62875166832848</v>
      </c>
      <c r="J84" s="143">
        <f t="shared" si="54"/>
        <v>126.25461262391366</v>
      </c>
      <c r="K84" s="143">
        <f t="shared" si="54"/>
        <v>155.838337455003</v>
      </c>
      <c r="L84" s="143">
        <f t="shared" si="54"/>
        <v>183.52086518861387</v>
      </c>
      <c r="M84" s="143">
        <f t="shared" si="54"/>
        <v>212.98657680338152</v>
      </c>
      <c r="N84" s="143">
        <f t="shared" si="54"/>
        <v>253.75198617579161</v>
      </c>
      <c r="O84" s="143">
        <f t="shared" si="54"/>
        <v>302.20405424191665</v>
      </c>
      <c r="P84" s="143">
        <f t="shared" si="54"/>
        <v>358.86656698250897</v>
      </c>
      <c r="Q84" s="143">
        <f t="shared" si="54"/>
        <v>428.06972478668746</v>
      </c>
      <c r="R84" s="143">
        <f t="shared" si="54"/>
        <v>499.38159928555194</v>
      </c>
      <c r="S84" s="143">
        <f t="shared" si="54"/>
        <v>575.77486025684505</v>
      </c>
      <c r="T84" s="143">
        <f t="shared" si="54"/>
        <v>660.95418810821491</v>
      </c>
      <c r="U84" s="143">
        <f t="shared" si="54"/>
        <v>755.66626517263376</v>
      </c>
      <c r="V84" s="143">
        <f t="shared" si="54"/>
        <v>854.91315064604282</v>
      </c>
      <c r="W84" s="143">
        <f t="shared" si="54"/>
        <v>958.89309944015508</v>
      </c>
      <c r="X84" s="143">
        <f t="shared" si="54"/>
        <v>1062.0474779818887</v>
      </c>
      <c r="Y84" s="143">
        <f t="shared" si="54"/>
        <v>1159.6036045251012</v>
      </c>
      <c r="Z84" s="143">
        <f t="shared" si="54"/>
        <v>1335.6981902324317</v>
      </c>
      <c r="AA84" s="143">
        <f t="shared" si="54"/>
        <v>1432.2109704045783</v>
      </c>
      <c r="AB84" s="143">
        <f t="shared" si="54"/>
        <v>1530.8461753962652</v>
      </c>
      <c r="AC84" s="143">
        <f t="shared" si="54"/>
        <v>1595.5238150335588</v>
      </c>
      <c r="AD84" s="143">
        <f t="shared" si="54"/>
        <v>1613.2797391798433</v>
      </c>
      <c r="AE84" s="143">
        <f t="shared" si="54"/>
        <v>1588.7735220657185</v>
      </c>
      <c r="AF84" s="143">
        <f t="shared" si="54"/>
        <v>1540.6999814523999</v>
      </c>
    </row>
    <row r="85" spans="1:33">
      <c r="A85" s="43" t="s">
        <v>52</v>
      </c>
      <c r="B85" s="143">
        <f t="shared" si="55"/>
        <v>12.311269587933674</v>
      </c>
      <c r="C85" s="143">
        <f t="shared" si="54"/>
        <v>25.911584337441024</v>
      </c>
      <c r="D85" s="143">
        <f t="shared" si="54"/>
        <v>38.345047422212339</v>
      </c>
      <c r="E85" s="143">
        <f t="shared" si="54"/>
        <v>50.885147949871893</v>
      </c>
      <c r="F85" s="143">
        <f t="shared" si="54"/>
        <v>62.671986076120518</v>
      </c>
      <c r="G85" s="143">
        <f t="shared" si="54"/>
        <v>77.414454945050409</v>
      </c>
      <c r="H85" s="143">
        <f t="shared" si="54"/>
        <v>91.680309017936992</v>
      </c>
      <c r="I85" s="143">
        <f t="shared" si="54"/>
        <v>109.76974081001093</v>
      </c>
      <c r="J85" s="143">
        <f t="shared" si="54"/>
        <v>138.64401842638227</v>
      </c>
      <c r="K85" s="143">
        <f t="shared" si="54"/>
        <v>166.78972196961791</v>
      </c>
      <c r="L85" s="143">
        <f t="shared" si="54"/>
        <v>198.16091653406627</v>
      </c>
      <c r="M85" s="143">
        <f t="shared" si="54"/>
        <v>234.65273980192453</v>
      </c>
      <c r="N85" s="143">
        <f t="shared" si="54"/>
        <v>286.96602232697364</v>
      </c>
      <c r="O85" s="143">
        <f t="shared" si="54"/>
        <v>335.62560146001414</v>
      </c>
      <c r="P85" s="143">
        <f t="shared" si="54"/>
        <v>387.73644680860292</v>
      </c>
      <c r="Q85" s="143">
        <f t="shared" si="54"/>
        <v>451.55161425169177</v>
      </c>
      <c r="R85" s="143">
        <f t="shared" si="54"/>
        <v>512.44447939316706</v>
      </c>
      <c r="S85" s="143">
        <f t="shared" si="54"/>
        <v>584.82546231779975</v>
      </c>
      <c r="T85" s="143">
        <f t="shared" si="54"/>
        <v>669.75260758042157</v>
      </c>
      <c r="U85" s="143">
        <f t="shared" si="54"/>
        <v>771.27734795512447</v>
      </c>
      <c r="V85" s="143">
        <f t="shared" si="54"/>
        <v>875.2668172001521</v>
      </c>
      <c r="W85" s="143">
        <f t="shared" si="54"/>
        <v>969.89906754739752</v>
      </c>
      <c r="X85" s="143">
        <f t="shared" si="54"/>
        <v>1072.5951238991775</v>
      </c>
      <c r="Y85" s="143">
        <f t="shared" si="54"/>
        <v>1250.035696237253</v>
      </c>
      <c r="Z85" s="143">
        <f t="shared" si="54"/>
        <v>1356.3239901124234</v>
      </c>
      <c r="AA85" s="143">
        <f t="shared" si="54"/>
        <v>1461.3533175179412</v>
      </c>
      <c r="AB85" s="143">
        <f t="shared" si="54"/>
        <v>1553.7289133914733</v>
      </c>
      <c r="AC85" s="143">
        <f t="shared" si="54"/>
        <v>1613.6526910126754</v>
      </c>
      <c r="AD85" s="143">
        <f t="shared" si="54"/>
        <v>1629.1164402778315</v>
      </c>
      <c r="AE85" s="143">
        <f t="shared" si="54"/>
        <v>1603.0716738611293</v>
      </c>
      <c r="AF85" s="143">
        <f t="shared" si="54"/>
        <v>1553.4296666309071</v>
      </c>
    </row>
    <row r="86" spans="1:33">
      <c r="A86" s="43" t="s">
        <v>57</v>
      </c>
      <c r="B86" s="143">
        <f t="shared" si="55"/>
        <v>5.0712782366814704</v>
      </c>
      <c r="C86" s="143">
        <f t="shared" si="54"/>
        <v>10.803338854607516</v>
      </c>
      <c r="D86" s="143">
        <f t="shared" si="54"/>
        <v>16.679967361912919</v>
      </c>
      <c r="E86" s="143">
        <f t="shared" si="54"/>
        <v>23.975841638045832</v>
      </c>
      <c r="F86" s="143">
        <f t="shared" si="54"/>
        <v>31.186702464610971</v>
      </c>
      <c r="G86" s="143">
        <f t="shared" si="54"/>
        <v>42.193360556926756</v>
      </c>
      <c r="H86" s="143">
        <f t="shared" si="54"/>
        <v>51.996246438296296</v>
      </c>
      <c r="I86" s="143">
        <f t="shared" si="54"/>
        <v>59.285264118304596</v>
      </c>
      <c r="J86" s="143">
        <f t="shared" si="54"/>
        <v>77.459466260735539</v>
      </c>
      <c r="K86" s="143">
        <f t="shared" si="54"/>
        <v>98.507145244874735</v>
      </c>
      <c r="L86" s="143">
        <f t="shared" si="54"/>
        <v>114.18197797423247</v>
      </c>
      <c r="M86" s="143">
        <f t="shared" si="54"/>
        <v>155.41700914817477</v>
      </c>
      <c r="N86" s="143">
        <f t="shared" si="54"/>
        <v>177.31387056414627</v>
      </c>
      <c r="O86" s="143">
        <f t="shared" si="54"/>
        <v>194.49781371905172</v>
      </c>
      <c r="P86" s="143">
        <f t="shared" si="54"/>
        <v>217.98122255932327</v>
      </c>
      <c r="Q86" s="143">
        <f t="shared" si="54"/>
        <v>255.52690304872013</v>
      </c>
      <c r="R86" s="143">
        <f t="shared" si="54"/>
        <v>278.13698874758654</v>
      </c>
      <c r="S86" s="143">
        <f t="shared" si="54"/>
        <v>313.21283421993564</v>
      </c>
      <c r="T86" s="143">
        <f t="shared" si="54"/>
        <v>352.33867034160318</v>
      </c>
      <c r="U86" s="143">
        <f t="shared" si="54"/>
        <v>402.98696765999813</v>
      </c>
      <c r="V86" s="143">
        <f t="shared" si="54"/>
        <v>458.34909206088639</v>
      </c>
      <c r="W86" s="143">
        <f t="shared" si="54"/>
        <v>511.94239624552245</v>
      </c>
      <c r="X86" s="143">
        <f t="shared" si="54"/>
        <v>568.06350174139391</v>
      </c>
      <c r="Y86" s="143">
        <f t="shared" si="54"/>
        <v>633.92952470975558</v>
      </c>
      <c r="Z86" s="143">
        <f t="shared" si="54"/>
        <v>683.78060512082482</v>
      </c>
      <c r="AA86" s="143">
        <f t="shared" si="54"/>
        <v>735.44831224098311</v>
      </c>
      <c r="AB86" s="143">
        <f t="shared" si="54"/>
        <v>774.84938868809888</v>
      </c>
      <c r="AC86" s="143">
        <f t="shared" si="54"/>
        <v>796.37501475264571</v>
      </c>
      <c r="AD86" s="143">
        <f t="shared" si="54"/>
        <v>797.81275407425233</v>
      </c>
      <c r="AE86" s="143">
        <f t="shared" si="54"/>
        <v>779.31706855636196</v>
      </c>
      <c r="AF86" s="143">
        <f t="shared" si="54"/>
        <v>750.24569906809131</v>
      </c>
    </row>
    <row r="88" spans="1:33">
      <c r="A88" s="112" t="s">
        <v>566</v>
      </c>
    </row>
    <row r="89" spans="1:33">
      <c r="A89" s="43" t="s">
        <v>43</v>
      </c>
      <c r="B89" s="181">
        <f>B11*B$8</f>
        <v>1534858.8579014384</v>
      </c>
      <c r="C89" s="181">
        <f t="shared" ref="C89:AF97" si="56">C11*C$8</f>
        <v>1567044.3316672479</v>
      </c>
      <c r="D89" s="181">
        <f t="shared" si="56"/>
        <v>1603791.8795460176</v>
      </c>
      <c r="E89" s="181">
        <f t="shared" si="56"/>
        <v>1624504.0073385106</v>
      </c>
      <c r="F89" s="181">
        <f t="shared" si="56"/>
        <v>1663794.7238958159</v>
      </c>
      <c r="G89" s="181">
        <f t="shared" si="56"/>
        <v>1659795.67249833</v>
      </c>
      <c r="H89" s="181">
        <f t="shared" si="56"/>
        <v>1652830.3914208466</v>
      </c>
      <c r="I89" s="181">
        <f t="shared" si="56"/>
        <v>1704282.4833022503</v>
      </c>
      <c r="J89" s="181">
        <f t="shared" si="56"/>
        <v>1764503.8198452014</v>
      </c>
      <c r="K89" s="181">
        <f t="shared" si="56"/>
        <v>1819184.3143383916</v>
      </c>
      <c r="L89" s="181">
        <f t="shared" si="56"/>
        <v>1890666.2676655513</v>
      </c>
      <c r="M89" s="181">
        <f t="shared" si="56"/>
        <v>1972187.153944754</v>
      </c>
      <c r="N89" s="181">
        <f t="shared" si="56"/>
        <v>2079278.487114433</v>
      </c>
      <c r="O89" s="181">
        <f t="shared" si="56"/>
        <v>2140652.460315696</v>
      </c>
      <c r="P89" s="181">
        <f t="shared" si="56"/>
        <v>2216806.8380139545</v>
      </c>
      <c r="Q89" s="181">
        <f t="shared" si="56"/>
        <v>2290252.6316567636</v>
      </c>
      <c r="R89" s="181">
        <f t="shared" si="56"/>
        <v>2395112.0322639234</v>
      </c>
      <c r="S89" s="181">
        <f t="shared" si="56"/>
        <v>2528376.7457339321</v>
      </c>
      <c r="T89" s="181">
        <f t="shared" si="56"/>
        <v>2683891.3158493103</v>
      </c>
      <c r="U89" s="181">
        <f t="shared" si="56"/>
        <v>2816749.7511340231</v>
      </c>
      <c r="V89" s="181">
        <f t="shared" si="56"/>
        <v>2963873.1287836218</v>
      </c>
      <c r="W89" s="181">
        <f t="shared" si="56"/>
        <v>3123805.0408742758</v>
      </c>
      <c r="X89" s="181">
        <f t="shared" si="56"/>
        <v>3272336.3017115248</v>
      </c>
      <c r="Y89" s="181">
        <f t="shared" si="56"/>
        <v>3401478.1310022506</v>
      </c>
      <c r="Z89" s="181">
        <f t="shared" si="56"/>
        <v>3539242.01364177</v>
      </c>
      <c r="AA89" s="181">
        <f t="shared" si="56"/>
        <v>3717988.5405824608</v>
      </c>
      <c r="AB89" s="181">
        <f t="shared" si="56"/>
        <v>3879322.917035128</v>
      </c>
      <c r="AC89" s="181">
        <f t="shared" si="56"/>
        <v>4049883.8448831728</v>
      </c>
      <c r="AD89" s="181">
        <f t="shared" si="56"/>
        <v>4221776.2841220349</v>
      </c>
      <c r="AE89" s="181">
        <f t="shared" si="56"/>
        <v>4400317.9230969166</v>
      </c>
      <c r="AF89" s="181">
        <f t="shared" si="56"/>
        <v>4583428.1130505903</v>
      </c>
      <c r="AG89" s="180"/>
    </row>
    <row r="90" spans="1:33">
      <c r="A90" s="43" t="s">
        <v>51</v>
      </c>
      <c r="B90" s="181">
        <f t="shared" ref="B90:Q97" si="57">B12*B$8</f>
        <v>2153466.9324461347</v>
      </c>
      <c r="C90" s="181">
        <f t="shared" si="57"/>
        <v>2180987.5223410684</v>
      </c>
      <c r="D90" s="181">
        <f t="shared" si="57"/>
        <v>2243340.7859013649</v>
      </c>
      <c r="E90" s="181">
        <f t="shared" si="57"/>
        <v>2266475.337697621</v>
      </c>
      <c r="F90" s="181">
        <f t="shared" si="57"/>
        <v>2329797.1407474098</v>
      </c>
      <c r="G90" s="181">
        <f t="shared" si="57"/>
        <v>2337311.3410661118</v>
      </c>
      <c r="H90" s="181">
        <f t="shared" si="57"/>
        <v>2332667.2256814749</v>
      </c>
      <c r="I90" s="181">
        <f t="shared" si="57"/>
        <v>2451799.7144596339</v>
      </c>
      <c r="J90" s="181">
        <f t="shared" si="57"/>
        <v>2500044.6286314297</v>
      </c>
      <c r="K90" s="181">
        <f t="shared" si="57"/>
        <v>2608000.9533486394</v>
      </c>
      <c r="L90" s="181">
        <f t="shared" si="57"/>
        <v>2778647.4864946506</v>
      </c>
      <c r="M90" s="181">
        <f t="shared" si="57"/>
        <v>2898140.5042478745</v>
      </c>
      <c r="N90" s="181">
        <f t="shared" si="57"/>
        <v>2877697.159634551</v>
      </c>
      <c r="O90" s="181">
        <f t="shared" si="57"/>
        <v>2937323.107860649</v>
      </c>
      <c r="P90" s="181">
        <f t="shared" si="57"/>
        <v>3009517.5725402469</v>
      </c>
      <c r="Q90" s="181">
        <f t="shared" si="57"/>
        <v>3129577.521998317</v>
      </c>
      <c r="R90" s="181">
        <f t="shared" si="56"/>
        <v>3280832.6991676167</v>
      </c>
      <c r="S90" s="181">
        <f t="shared" si="56"/>
        <v>3481841.5647938806</v>
      </c>
      <c r="T90" s="181">
        <f t="shared" si="56"/>
        <v>3691839.2051685411</v>
      </c>
      <c r="U90" s="181">
        <f t="shared" si="56"/>
        <v>3884220.878923838</v>
      </c>
      <c r="V90" s="181">
        <f t="shared" si="56"/>
        <v>4084483.5344042084</v>
      </c>
      <c r="W90" s="181">
        <f t="shared" si="56"/>
        <v>4305176.8655305803</v>
      </c>
      <c r="X90" s="181">
        <f t="shared" si="56"/>
        <v>4512286.9258552082</v>
      </c>
      <c r="Y90" s="181">
        <f t="shared" si="56"/>
        <v>4679634.8576107109</v>
      </c>
      <c r="Z90" s="181">
        <f t="shared" si="56"/>
        <v>4862914.0445749909</v>
      </c>
      <c r="AA90" s="181">
        <f t="shared" si="56"/>
        <v>5104379.8984415531</v>
      </c>
      <c r="AB90" s="181">
        <f t="shared" si="56"/>
        <v>5330753.5582023384</v>
      </c>
      <c r="AC90" s="181">
        <f t="shared" si="56"/>
        <v>5567587.8238965236</v>
      </c>
      <c r="AD90" s="181">
        <f t="shared" si="56"/>
        <v>5805700.8716567438</v>
      </c>
      <c r="AE90" s="181">
        <f t="shared" si="56"/>
        <v>6050553.2137226611</v>
      </c>
      <c r="AF90" s="181">
        <f t="shared" si="56"/>
        <v>6302153.5992371915</v>
      </c>
      <c r="AG90" s="180"/>
    </row>
    <row r="91" spans="1:33">
      <c r="A91" s="43" t="s">
        <v>58</v>
      </c>
      <c r="B91" s="181">
        <f t="shared" si="57"/>
        <v>435268.00440058246</v>
      </c>
      <c r="C91" s="181">
        <f t="shared" si="56"/>
        <v>451211.99220522313</v>
      </c>
      <c r="D91" s="181">
        <f t="shared" si="56"/>
        <v>451908.18829346937</v>
      </c>
      <c r="E91" s="181">
        <f t="shared" si="56"/>
        <v>465091.41343036876</v>
      </c>
      <c r="F91" s="181">
        <f t="shared" si="56"/>
        <v>464570.44774384022</v>
      </c>
      <c r="G91" s="181">
        <f t="shared" si="56"/>
        <v>459862.50506720127</v>
      </c>
      <c r="H91" s="181">
        <f t="shared" si="56"/>
        <v>461822.25944044866</v>
      </c>
      <c r="I91" s="181">
        <f t="shared" si="56"/>
        <v>448974.40539909253</v>
      </c>
      <c r="J91" s="181">
        <f t="shared" si="56"/>
        <v>456970.88668799598</v>
      </c>
      <c r="K91" s="181">
        <f t="shared" si="56"/>
        <v>484057.47413984773</v>
      </c>
      <c r="L91" s="181">
        <f t="shared" si="56"/>
        <v>482038.81676941941</v>
      </c>
      <c r="M91" s="181">
        <f t="shared" si="56"/>
        <v>508303.13744216756</v>
      </c>
      <c r="N91" s="181">
        <f t="shared" si="56"/>
        <v>512710.75607762649</v>
      </c>
      <c r="O91" s="181">
        <f t="shared" si="56"/>
        <v>519660.66422476387</v>
      </c>
      <c r="P91" s="181">
        <f t="shared" si="56"/>
        <v>531700.44434999267</v>
      </c>
      <c r="Q91" s="181">
        <f t="shared" si="56"/>
        <v>554324.70970025985</v>
      </c>
      <c r="R91" s="181">
        <f t="shared" si="56"/>
        <v>572752.55520443374</v>
      </c>
      <c r="S91" s="181">
        <f t="shared" si="56"/>
        <v>679593.90944595856</v>
      </c>
      <c r="T91" s="181">
        <f t="shared" si="56"/>
        <v>715212.48618225881</v>
      </c>
      <c r="U91" s="181">
        <f t="shared" si="56"/>
        <v>747014.32429719286</v>
      </c>
      <c r="V91" s="181">
        <f t="shared" si="56"/>
        <v>781162.52212300885</v>
      </c>
      <c r="W91" s="181">
        <f t="shared" si="56"/>
        <v>818411.45338912017</v>
      </c>
      <c r="X91" s="181">
        <f t="shared" si="56"/>
        <v>854474.57038379891</v>
      </c>
      <c r="Y91" s="181">
        <f t="shared" si="56"/>
        <v>891467.34527380648</v>
      </c>
      <c r="Z91" s="181">
        <f t="shared" si="56"/>
        <v>929721.8102739735</v>
      </c>
      <c r="AA91" s="181">
        <f t="shared" si="56"/>
        <v>969405.266396655</v>
      </c>
      <c r="AB91" s="181">
        <f t="shared" si="56"/>
        <v>1020286.6234402549</v>
      </c>
      <c r="AC91" s="181">
        <f t="shared" si="56"/>
        <v>1074744.0899482938</v>
      </c>
      <c r="AD91" s="181">
        <f t="shared" si="56"/>
        <v>1132761.620849764</v>
      </c>
      <c r="AE91" s="181">
        <f t="shared" si="56"/>
        <v>1180648.6635954035</v>
      </c>
      <c r="AF91" s="181">
        <f t="shared" si="56"/>
        <v>1230674.1972519543</v>
      </c>
      <c r="AG91" s="180"/>
    </row>
    <row r="92" spans="1:33">
      <c r="A92" s="43" t="s">
        <v>54</v>
      </c>
      <c r="B92" s="181">
        <f t="shared" si="57"/>
        <v>497189.2457194741</v>
      </c>
      <c r="C92" s="181">
        <f t="shared" si="56"/>
        <v>499426.9353017924</v>
      </c>
      <c r="D92" s="181">
        <f t="shared" si="56"/>
        <v>485878.685796807</v>
      </c>
      <c r="E92" s="181">
        <f t="shared" si="56"/>
        <v>487580.32148032816</v>
      </c>
      <c r="F92" s="181">
        <f t="shared" si="56"/>
        <v>488615.13458857132</v>
      </c>
      <c r="G92" s="181">
        <f t="shared" si="56"/>
        <v>512879.30025458446</v>
      </c>
      <c r="H92" s="181">
        <f t="shared" si="56"/>
        <v>543581.84463296097</v>
      </c>
      <c r="I92" s="181">
        <f t="shared" si="56"/>
        <v>558176.33540470793</v>
      </c>
      <c r="J92" s="181">
        <f t="shared" si="56"/>
        <v>586490.98130110058</v>
      </c>
      <c r="K92" s="181">
        <f t="shared" si="56"/>
        <v>618802.32020179415</v>
      </c>
      <c r="L92" s="181">
        <f t="shared" si="56"/>
        <v>656825.83541858499</v>
      </c>
      <c r="M92" s="181">
        <f t="shared" si="56"/>
        <v>680596.43429005845</v>
      </c>
      <c r="N92" s="181">
        <f t="shared" si="56"/>
        <v>704243.20911976101</v>
      </c>
      <c r="O92" s="181">
        <f t="shared" si="56"/>
        <v>700464.67627870722</v>
      </c>
      <c r="P92" s="181">
        <f t="shared" si="56"/>
        <v>701073.63358895283</v>
      </c>
      <c r="Q92" s="181">
        <f t="shared" si="56"/>
        <v>718777.23184618168</v>
      </c>
      <c r="R92" s="181">
        <f t="shared" si="56"/>
        <v>753097.17600249685</v>
      </c>
      <c r="S92" s="181">
        <f t="shared" si="56"/>
        <v>780915.16583371744</v>
      </c>
      <c r="T92" s="181">
        <f t="shared" si="56"/>
        <v>810251.84657438076</v>
      </c>
      <c r="U92" s="181">
        <f t="shared" si="56"/>
        <v>835968.94271155982</v>
      </c>
      <c r="V92" s="181">
        <f t="shared" si="56"/>
        <v>864044.35731023224</v>
      </c>
      <c r="W92" s="181">
        <f t="shared" si="56"/>
        <v>884026.69748323096</v>
      </c>
      <c r="X92" s="181">
        <f t="shared" si="56"/>
        <v>911957.74012564716</v>
      </c>
      <c r="Y92" s="181">
        <f t="shared" si="56"/>
        <v>968681.69359823689</v>
      </c>
      <c r="Z92" s="181">
        <f t="shared" si="56"/>
        <v>1014271.8846709178</v>
      </c>
      <c r="AA92" s="181">
        <f t="shared" si="56"/>
        <v>1017634.3497924777</v>
      </c>
      <c r="AB92" s="181">
        <f t="shared" si="56"/>
        <v>1054778.3738842367</v>
      </c>
      <c r="AC92" s="181">
        <f t="shared" si="56"/>
        <v>1092201.1945323902</v>
      </c>
      <c r="AD92" s="181">
        <f t="shared" si="56"/>
        <v>1126835.5951070921</v>
      </c>
      <c r="AE92" s="181">
        <f t="shared" si="56"/>
        <v>1163565.1440693464</v>
      </c>
      <c r="AF92" s="181">
        <f t="shared" si="56"/>
        <v>1202201.9816612916</v>
      </c>
      <c r="AG92" s="180"/>
    </row>
    <row r="93" spans="1:33">
      <c r="A93" s="43" t="s">
        <v>55</v>
      </c>
      <c r="B93" s="181">
        <f t="shared" si="57"/>
        <v>212736.59028423563</v>
      </c>
      <c r="C93" s="181">
        <f t="shared" si="56"/>
        <v>216266.29828519627</v>
      </c>
      <c r="D93" s="181">
        <f t="shared" si="56"/>
        <v>221443.75665755113</v>
      </c>
      <c r="E93" s="181">
        <f t="shared" si="56"/>
        <v>236645.72260533035</v>
      </c>
      <c r="F93" s="181">
        <f t="shared" si="56"/>
        <v>236872.28819928685</v>
      </c>
      <c r="G93" s="181">
        <f t="shared" si="56"/>
        <v>265008.69771065837</v>
      </c>
      <c r="H93" s="181">
        <f t="shared" si="56"/>
        <v>298004.50434284488</v>
      </c>
      <c r="I93" s="181">
        <f t="shared" si="56"/>
        <v>300445.97476310103</v>
      </c>
      <c r="J93" s="181">
        <f t="shared" si="56"/>
        <v>319606.1902077074</v>
      </c>
      <c r="K93" s="181">
        <f t="shared" si="56"/>
        <v>322082.30275509215</v>
      </c>
      <c r="L93" s="181">
        <f t="shared" si="56"/>
        <v>315641.12130569754</v>
      </c>
      <c r="M93" s="181">
        <f t="shared" si="56"/>
        <v>302933.51330437418</v>
      </c>
      <c r="N93" s="181">
        <f t="shared" si="56"/>
        <v>288497.36934573168</v>
      </c>
      <c r="O93" s="181">
        <f t="shared" si="56"/>
        <v>271133.28066689963</v>
      </c>
      <c r="P93" s="181">
        <f t="shared" si="56"/>
        <v>250685.3170415106</v>
      </c>
      <c r="Q93" s="181">
        <f t="shared" si="56"/>
        <v>240351.36976176404</v>
      </c>
      <c r="R93" s="181">
        <f t="shared" si="56"/>
        <v>263231.07994158915</v>
      </c>
      <c r="S93" s="181">
        <f t="shared" si="56"/>
        <v>250887.47990358941</v>
      </c>
      <c r="T93" s="181">
        <f t="shared" si="56"/>
        <v>238134.64602662917</v>
      </c>
      <c r="U93" s="181">
        <f t="shared" si="56"/>
        <v>222451.53256629521</v>
      </c>
      <c r="V93" s="181">
        <f t="shared" si="56"/>
        <v>206439.83661377357</v>
      </c>
      <c r="W93" s="181">
        <f t="shared" si="56"/>
        <v>189627.56448436488</v>
      </c>
      <c r="X93" s="181">
        <f t="shared" si="56"/>
        <v>177492.47202802298</v>
      </c>
      <c r="Y93" s="181">
        <f t="shared" si="56"/>
        <v>166976.1751794694</v>
      </c>
      <c r="Z93" s="181">
        <f t="shared" si="56"/>
        <v>157346.48198077083</v>
      </c>
      <c r="AA93" s="181">
        <f t="shared" si="56"/>
        <v>143932.54565659747</v>
      </c>
      <c r="AB93" s="181">
        <f t="shared" si="56"/>
        <v>142383.77451770674</v>
      </c>
      <c r="AC93" s="181">
        <f t="shared" si="56"/>
        <v>141752.02799409657</v>
      </c>
      <c r="AD93" s="181">
        <f t="shared" si="56"/>
        <v>135121.9438811923</v>
      </c>
      <c r="AE93" s="181">
        <f t="shared" si="56"/>
        <v>128969.39787414875</v>
      </c>
      <c r="AF93" s="181">
        <f t="shared" si="56"/>
        <v>123316.5055359</v>
      </c>
      <c r="AG93" s="180"/>
    </row>
    <row r="94" spans="1:33">
      <c r="A94" s="43" t="s">
        <v>56</v>
      </c>
      <c r="B94" s="181">
        <f t="shared" si="57"/>
        <v>86946.942070189529</v>
      </c>
      <c r="C94" s="181">
        <f t="shared" si="56"/>
        <v>88305.48771459586</v>
      </c>
      <c r="D94" s="181">
        <f t="shared" si="56"/>
        <v>88531.882375724046</v>
      </c>
      <c r="E94" s="181">
        <f t="shared" si="56"/>
        <v>93628.985522896328</v>
      </c>
      <c r="F94" s="181">
        <f t="shared" si="56"/>
        <v>95347.726932026912</v>
      </c>
      <c r="G94" s="181">
        <f t="shared" si="56"/>
        <v>107881.10441297779</v>
      </c>
      <c r="H94" s="181">
        <f t="shared" si="56"/>
        <v>130691.87675973137</v>
      </c>
      <c r="I94" s="181">
        <f t="shared" si="56"/>
        <v>131364.8438211426</v>
      </c>
      <c r="J94" s="181">
        <f t="shared" si="56"/>
        <v>148411.16026847428</v>
      </c>
      <c r="K94" s="181">
        <f t="shared" si="56"/>
        <v>165697.2686778043</v>
      </c>
      <c r="L94" s="181">
        <f t="shared" si="56"/>
        <v>167553.28603517258</v>
      </c>
      <c r="M94" s="181">
        <f t="shared" si="56"/>
        <v>182076.32862192998</v>
      </c>
      <c r="N94" s="181">
        <f t="shared" si="56"/>
        <v>198083.68133496065</v>
      </c>
      <c r="O94" s="181">
        <f t="shared" si="56"/>
        <v>228648.67427891633</v>
      </c>
      <c r="P94" s="181">
        <f t="shared" si="56"/>
        <v>234756.03100392016</v>
      </c>
      <c r="Q94" s="181">
        <f t="shared" si="56"/>
        <v>237764.13688904722</v>
      </c>
      <c r="R94" s="181">
        <f t="shared" si="56"/>
        <v>248297.77334725129</v>
      </c>
      <c r="S94" s="181">
        <f t="shared" si="56"/>
        <v>253891.60294218137</v>
      </c>
      <c r="T94" s="181">
        <f t="shared" si="56"/>
        <v>260393.96000221741</v>
      </c>
      <c r="U94" s="181">
        <f t="shared" si="56"/>
        <v>260845.61618888259</v>
      </c>
      <c r="V94" s="181">
        <f t="shared" si="56"/>
        <v>266965.47880556143</v>
      </c>
      <c r="W94" s="181">
        <f t="shared" si="56"/>
        <v>272182.78172851674</v>
      </c>
      <c r="X94" s="181">
        <f t="shared" si="56"/>
        <v>282214.79721874627</v>
      </c>
      <c r="Y94" s="181">
        <f t="shared" si="56"/>
        <v>296838.52845767041</v>
      </c>
      <c r="Z94" s="181">
        <f t="shared" si="56"/>
        <v>315388.49235191429</v>
      </c>
      <c r="AA94" s="181">
        <f t="shared" si="56"/>
        <v>328850.26689515926</v>
      </c>
      <c r="AB94" s="181">
        <f t="shared" si="56"/>
        <v>338870.92603307578</v>
      </c>
      <c r="AC94" s="181">
        <f t="shared" si="56"/>
        <v>349095.86252037267</v>
      </c>
      <c r="AD94" s="181">
        <f t="shared" si="56"/>
        <v>358720.12295779504</v>
      </c>
      <c r="AE94" s="181">
        <f t="shared" si="56"/>
        <v>369143.49385061959</v>
      </c>
      <c r="AF94" s="181">
        <f t="shared" si="56"/>
        <v>380329.35390599945</v>
      </c>
      <c r="AG94" s="180"/>
    </row>
    <row r="95" spans="1:33">
      <c r="A95" s="43" t="s">
        <v>549</v>
      </c>
      <c r="B95" s="181">
        <f t="shared" si="57"/>
        <v>143536.56831417378</v>
      </c>
      <c r="C95" s="181">
        <f t="shared" si="56"/>
        <v>145941.65114758009</v>
      </c>
      <c r="D95" s="181">
        <f t="shared" si="56"/>
        <v>143330.80577797978</v>
      </c>
      <c r="E95" s="181">
        <f t="shared" si="56"/>
        <v>143655.74067620948</v>
      </c>
      <c r="F95" s="181">
        <f t="shared" si="56"/>
        <v>146054.16680263059</v>
      </c>
      <c r="G95" s="181">
        <f t="shared" si="56"/>
        <v>156396.94710522713</v>
      </c>
      <c r="H95" s="181">
        <f t="shared" si="56"/>
        <v>161349.57009733579</v>
      </c>
      <c r="I95" s="181">
        <f t="shared" si="56"/>
        <v>169155.15323222926</v>
      </c>
      <c r="J95" s="181">
        <f t="shared" si="56"/>
        <v>181525.25824497567</v>
      </c>
      <c r="K95" s="181">
        <f t="shared" si="56"/>
        <v>200743.45615093654</v>
      </c>
      <c r="L95" s="181">
        <f t="shared" si="56"/>
        <v>212117.36338831627</v>
      </c>
      <c r="M95" s="181">
        <f t="shared" si="56"/>
        <v>220542.13154083834</v>
      </c>
      <c r="N95" s="181">
        <f t="shared" si="56"/>
        <v>229692.33743374492</v>
      </c>
      <c r="O95" s="181">
        <f t="shared" si="56"/>
        <v>238689.86230087205</v>
      </c>
      <c r="P95" s="181">
        <f t="shared" si="56"/>
        <v>246799.4755751729</v>
      </c>
      <c r="Q95" s="181">
        <f t="shared" si="56"/>
        <v>258990.09308149724</v>
      </c>
      <c r="R95" s="181">
        <f t="shared" si="56"/>
        <v>275968.90070483007</v>
      </c>
      <c r="S95" s="181">
        <f t="shared" si="56"/>
        <v>294086.31733457261</v>
      </c>
      <c r="T95" s="181">
        <f t="shared" si="56"/>
        <v>309703.81013018661</v>
      </c>
      <c r="U95" s="181">
        <f t="shared" si="56"/>
        <v>323771.55163259245</v>
      </c>
      <c r="V95" s="181">
        <f t="shared" si="56"/>
        <v>338815.71636495827</v>
      </c>
      <c r="W95" s="181">
        <f t="shared" si="56"/>
        <v>356631.29621448572</v>
      </c>
      <c r="X95" s="181">
        <f t="shared" si="56"/>
        <v>373936.00217036763</v>
      </c>
      <c r="Y95" s="181">
        <f t="shared" si="56"/>
        <v>391102.0456956799</v>
      </c>
      <c r="Z95" s="181">
        <f t="shared" si="56"/>
        <v>435572.69700234034</v>
      </c>
      <c r="AA95" s="181">
        <f t="shared" si="56"/>
        <v>454014.81954359997</v>
      </c>
      <c r="AB95" s="181">
        <f t="shared" si="56"/>
        <v>477624.498647695</v>
      </c>
      <c r="AC95" s="181">
        <f t="shared" si="56"/>
        <v>502332.79228529974</v>
      </c>
      <c r="AD95" s="181">
        <f t="shared" si="56"/>
        <v>527072.52764163818</v>
      </c>
      <c r="AE95" s="181">
        <f t="shared" si="56"/>
        <v>552811.38820119458</v>
      </c>
      <c r="AF95" s="181">
        <f t="shared" si="56"/>
        <v>580140.38356339745</v>
      </c>
      <c r="AG95" s="180"/>
    </row>
    <row r="96" spans="1:33">
      <c r="A96" s="43" t="s">
        <v>52</v>
      </c>
      <c r="B96" s="181">
        <f t="shared" si="57"/>
        <v>177812.9054268678</v>
      </c>
      <c r="C96" s="181">
        <f t="shared" si="56"/>
        <v>178911.40678297254</v>
      </c>
      <c r="D96" s="181">
        <f t="shared" si="56"/>
        <v>174712.98335696565</v>
      </c>
      <c r="E96" s="181">
        <f t="shared" si="56"/>
        <v>173471.05191581932</v>
      </c>
      <c r="F96" s="181">
        <f t="shared" si="56"/>
        <v>168829.70144249382</v>
      </c>
      <c r="G96" s="181">
        <f t="shared" si="56"/>
        <v>171644.68622524515</v>
      </c>
      <c r="H96" s="181">
        <f t="shared" si="56"/>
        <v>172293.68153679644</v>
      </c>
      <c r="I96" s="181">
        <f t="shared" si="56"/>
        <v>179179.20488329462</v>
      </c>
      <c r="J96" s="181">
        <f t="shared" si="56"/>
        <v>199338.39030450836</v>
      </c>
      <c r="K96" s="181">
        <f t="shared" si="56"/>
        <v>214850.503319201</v>
      </c>
      <c r="L96" s="181">
        <f t="shared" si="56"/>
        <v>229038.64963048467</v>
      </c>
      <c r="M96" s="181">
        <f t="shared" si="56"/>
        <v>242976.88701569161</v>
      </c>
      <c r="N96" s="181">
        <f t="shared" si="56"/>
        <v>259757.16456730978</v>
      </c>
      <c r="O96" s="181">
        <f t="shared" si="56"/>
        <v>265087.20671566215</v>
      </c>
      <c r="P96" s="181">
        <f t="shared" si="56"/>
        <v>266653.85003225494</v>
      </c>
      <c r="Q96" s="181">
        <f t="shared" si="56"/>
        <v>273197.07009044458</v>
      </c>
      <c r="R96" s="181">
        <f t="shared" si="56"/>
        <v>283187.72628529795</v>
      </c>
      <c r="S96" s="181">
        <f t="shared" si="56"/>
        <v>298709.0586410957</v>
      </c>
      <c r="T96" s="181">
        <f t="shared" si="56"/>
        <v>313826.49228076846</v>
      </c>
      <c r="U96" s="181">
        <f t="shared" si="56"/>
        <v>330460.2510335074</v>
      </c>
      <c r="V96" s="181">
        <f t="shared" si="56"/>
        <v>346882.19903512503</v>
      </c>
      <c r="W96" s="181">
        <f t="shared" si="56"/>
        <v>360724.63328665029</v>
      </c>
      <c r="X96" s="181">
        <f t="shared" si="56"/>
        <v>377649.71989804792</v>
      </c>
      <c r="Y96" s="181">
        <f t="shared" si="56"/>
        <v>421602.2751940579</v>
      </c>
      <c r="Z96" s="181">
        <f t="shared" si="56"/>
        <v>442298.79377124825</v>
      </c>
      <c r="AA96" s="181">
        <f t="shared" si="56"/>
        <v>463253.02378805756</v>
      </c>
      <c r="AB96" s="181">
        <f t="shared" si="56"/>
        <v>484763.92025536811</v>
      </c>
      <c r="AC96" s="181">
        <f t="shared" si="56"/>
        <v>508040.46571879974</v>
      </c>
      <c r="AD96" s="181">
        <f t="shared" si="56"/>
        <v>532246.51568258717</v>
      </c>
      <c r="AE96" s="181">
        <f t="shared" si="56"/>
        <v>557786.40889039612</v>
      </c>
      <c r="AF96" s="181">
        <f t="shared" si="56"/>
        <v>584933.66228800593</v>
      </c>
      <c r="AG96" s="180"/>
    </row>
    <row r="97" spans="1:33">
      <c r="A97" s="43" t="s">
        <v>57</v>
      </c>
      <c r="B97" s="181">
        <f t="shared" si="57"/>
        <v>73244.981847865056</v>
      </c>
      <c r="C97" s="181">
        <f t="shared" si="56"/>
        <v>74593.684711054651</v>
      </c>
      <c r="D97" s="181">
        <f t="shared" si="56"/>
        <v>75999.563333659971</v>
      </c>
      <c r="E97" s="181">
        <f t="shared" si="56"/>
        <v>81735.332156568518</v>
      </c>
      <c r="F97" s="181">
        <f t="shared" si="56"/>
        <v>84012.682471576176</v>
      </c>
      <c r="G97" s="181">
        <f t="shared" si="56"/>
        <v>93551.858483315082</v>
      </c>
      <c r="H97" s="181">
        <f t="shared" si="56"/>
        <v>97715.908911213191</v>
      </c>
      <c r="I97" s="181">
        <f t="shared" si="56"/>
        <v>96772.447558199507</v>
      </c>
      <c r="J97" s="181">
        <f t="shared" si="56"/>
        <v>111368.99733225872</v>
      </c>
      <c r="K97" s="181">
        <f t="shared" si="56"/>
        <v>126892.16989194468</v>
      </c>
      <c r="L97" s="181">
        <f t="shared" si="56"/>
        <v>131973.98611577417</v>
      </c>
      <c r="M97" s="181">
        <f t="shared" si="56"/>
        <v>160930.32241596293</v>
      </c>
      <c r="N97" s="181">
        <f t="shared" si="56"/>
        <v>160501.74819553291</v>
      </c>
      <c r="O97" s="181">
        <f t="shared" si="56"/>
        <v>153620.23018148469</v>
      </c>
      <c r="P97" s="181">
        <f t="shared" si="56"/>
        <v>149909.90067764689</v>
      </c>
      <c r="Q97" s="181">
        <f t="shared" si="56"/>
        <v>154598.49779937731</v>
      </c>
      <c r="R97" s="181">
        <f t="shared" si="56"/>
        <v>153704.41990621394</v>
      </c>
      <c r="S97" s="181">
        <f t="shared" si="56"/>
        <v>159978.51819472489</v>
      </c>
      <c r="T97" s="181">
        <f t="shared" si="56"/>
        <v>165095.60060936096</v>
      </c>
      <c r="U97" s="181">
        <f t="shared" si="56"/>
        <v>172663.14750359202</v>
      </c>
      <c r="V97" s="181">
        <f t="shared" si="56"/>
        <v>181651.0552615585</v>
      </c>
      <c r="W97" s="181">
        <f t="shared" si="56"/>
        <v>190401.49571082101</v>
      </c>
      <c r="X97" s="181">
        <f t="shared" si="56"/>
        <v>200009.32088621648</v>
      </c>
      <c r="Y97" s="181">
        <f t="shared" ref="Y97:AF97" si="58">Y19*Y$8</f>
        <v>213806.79826569877</v>
      </c>
      <c r="Z97" s="181">
        <f t="shared" si="58"/>
        <v>222981.63200965477</v>
      </c>
      <c r="AA97" s="181">
        <f t="shared" si="58"/>
        <v>233139.13918101889</v>
      </c>
      <c r="AB97" s="181">
        <f t="shared" si="58"/>
        <v>241753.25826177656</v>
      </c>
      <c r="AC97" s="181">
        <f t="shared" si="58"/>
        <v>250729.74849863281</v>
      </c>
      <c r="AD97" s="181">
        <f t="shared" si="58"/>
        <v>260652.36837873425</v>
      </c>
      <c r="AE97" s="181">
        <f t="shared" si="58"/>
        <v>271162.21697689372</v>
      </c>
      <c r="AF97" s="181">
        <f t="shared" si="58"/>
        <v>282500.05378324777</v>
      </c>
      <c r="AG97" s="180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37"/>
  <sheetViews>
    <sheetView workbookViewId="0">
      <pane ySplit="1" topLeftCell="A14" activePane="bottomLeft" state="frozen"/>
      <selection activeCell="C97" sqref="C97:AG97"/>
      <selection pane="bottomLeft" activeCell="B27" sqref="B27"/>
    </sheetView>
  </sheetViews>
  <sheetFormatPr defaultRowHeight="14.4"/>
  <cols>
    <col min="1" max="1" width="35.6640625" bestFit="1" customWidth="1"/>
    <col min="2" max="2" width="13.6640625" bestFit="1" customWidth="1"/>
    <col min="3" max="3" width="18.109375" bestFit="1" customWidth="1"/>
    <col min="4" max="4" width="23.109375" bestFit="1" customWidth="1"/>
    <col min="5" max="23" width="12.44140625" bestFit="1" customWidth="1"/>
    <col min="24" max="32" width="14.109375" bestFit="1" customWidth="1"/>
  </cols>
  <sheetData>
    <row r="1" spans="1:32" s="134" customFormat="1">
      <c r="A1" s="136" t="s">
        <v>41</v>
      </c>
      <c r="B1" s="136" cm="1">
        <f t="array" ref="B1:AF1">TRANSPOSE('Output Summary'!A29:A59)</f>
        <v>2025</v>
      </c>
      <c r="C1" s="136">
        <v>2026</v>
      </c>
      <c r="D1" s="136">
        <v>2027</v>
      </c>
      <c r="E1" s="136">
        <v>2028</v>
      </c>
      <c r="F1" s="136">
        <v>2029</v>
      </c>
      <c r="G1" s="136">
        <v>2030</v>
      </c>
      <c r="H1" s="136">
        <v>2031</v>
      </c>
      <c r="I1" s="136">
        <v>2032</v>
      </c>
      <c r="J1" s="136">
        <v>2033</v>
      </c>
      <c r="K1" s="136">
        <v>2034</v>
      </c>
      <c r="L1" s="136">
        <v>2035</v>
      </c>
      <c r="M1" s="136">
        <v>2036</v>
      </c>
      <c r="N1" s="136">
        <v>2037</v>
      </c>
      <c r="O1" s="136">
        <v>2038</v>
      </c>
      <c r="P1" s="136">
        <v>2039</v>
      </c>
      <c r="Q1" s="136">
        <v>2040</v>
      </c>
      <c r="R1" s="136">
        <v>2041</v>
      </c>
      <c r="S1" s="136">
        <v>2042</v>
      </c>
      <c r="T1" s="136">
        <v>2043</v>
      </c>
      <c r="U1" s="136">
        <v>2044</v>
      </c>
      <c r="V1" s="136">
        <v>2045</v>
      </c>
      <c r="W1" s="136">
        <v>2046</v>
      </c>
      <c r="X1" s="136">
        <v>2047</v>
      </c>
      <c r="Y1" s="136">
        <v>2048</v>
      </c>
      <c r="Z1" s="136">
        <v>2049</v>
      </c>
      <c r="AA1" s="136">
        <v>2050</v>
      </c>
      <c r="AB1" s="136">
        <v>2051</v>
      </c>
      <c r="AC1" s="136">
        <v>2052</v>
      </c>
      <c r="AD1" s="136">
        <v>2053</v>
      </c>
      <c r="AE1" s="136">
        <v>2054</v>
      </c>
      <c r="AF1" s="136">
        <v>2055</v>
      </c>
    </row>
    <row r="2" spans="1:32">
      <c r="A2" s="137" t="s">
        <v>540</v>
      </c>
      <c r="B2" s="138" cm="1">
        <f t="array" ref="B2:AF2">TRANSPOSE('Output Summary'!O29:O59)</f>
        <v>5315061.0284109609</v>
      </c>
      <c r="C2" s="138">
        <v>5402689.3101567309</v>
      </c>
      <c r="D2" s="138">
        <v>5488938.5310395397</v>
      </c>
      <c r="E2" s="138">
        <v>5572787.9128236528</v>
      </c>
      <c r="F2" s="138">
        <v>5677894.0128236525</v>
      </c>
      <c r="G2" s="138">
        <v>5764332.1128236521</v>
      </c>
      <c r="H2" s="138">
        <v>5850957.2628236525</v>
      </c>
      <c r="I2" s="138">
        <v>6040150.5628236523</v>
      </c>
      <c r="J2" s="138">
        <v>6268260.3128236523</v>
      </c>
      <c r="K2" s="138">
        <v>6560310.7628236525</v>
      </c>
      <c r="L2" s="138">
        <v>6864502.8128236523</v>
      </c>
      <c r="M2" s="138">
        <v>7168686.4128236519</v>
      </c>
      <c r="N2" s="138">
        <v>7310461.9128236519</v>
      </c>
      <c r="O2" s="138">
        <v>7455280.1628236519</v>
      </c>
      <c r="P2" s="138">
        <v>7607903.0628236523</v>
      </c>
      <c r="Q2" s="138">
        <v>7857833.2628236525</v>
      </c>
      <c r="R2" s="138">
        <v>8226184.3628236521</v>
      </c>
      <c r="S2" s="138">
        <v>8728280.3628236521</v>
      </c>
      <c r="T2" s="138">
        <v>9188349.3628236521</v>
      </c>
      <c r="U2" s="138">
        <v>9594145.9959914833</v>
      </c>
      <c r="V2" s="138">
        <v>10034317.828702047</v>
      </c>
      <c r="W2" s="138">
        <v>10500987.828702047</v>
      </c>
      <c r="X2" s="138">
        <v>10962357.85027758</v>
      </c>
      <c r="Y2" s="138">
        <v>11431587.85027758</v>
      </c>
      <c r="Z2" s="138">
        <v>11919737.85027758</v>
      </c>
      <c r="AA2" s="138">
        <v>12432597.85027758</v>
      </c>
      <c r="AB2" s="138">
        <v>12970537.85027758</v>
      </c>
      <c r="AC2" s="138">
        <v>13536367.85027758</v>
      </c>
      <c r="AD2" s="138">
        <v>14100887.85027758</v>
      </c>
      <c r="AE2" s="138">
        <v>14674957.85027758</v>
      </c>
      <c r="AF2" s="138">
        <v>15269677.85027758</v>
      </c>
    </row>
    <row r="4" spans="1:32">
      <c r="A4" s="142" t="s">
        <v>563</v>
      </c>
      <c r="B4" s="142">
        <v>2025</v>
      </c>
      <c r="C4" s="142">
        <v>2026</v>
      </c>
      <c r="D4" s="142">
        <v>2027</v>
      </c>
      <c r="E4" s="142">
        <v>2028</v>
      </c>
      <c r="F4" s="142">
        <v>2029</v>
      </c>
      <c r="G4" s="142">
        <v>2030</v>
      </c>
      <c r="H4" s="142">
        <v>2031</v>
      </c>
      <c r="I4" s="142">
        <v>2032</v>
      </c>
      <c r="J4" s="142">
        <v>2033</v>
      </c>
      <c r="K4" s="142">
        <v>2034</v>
      </c>
      <c r="L4" s="142">
        <v>2035</v>
      </c>
      <c r="M4" s="142">
        <v>2036</v>
      </c>
      <c r="N4" s="142">
        <v>2037</v>
      </c>
      <c r="O4" s="142">
        <v>2038</v>
      </c>
      <c r="P4" s="142">
        <v>2039</v>
      </c>
      <c r="Q4" s="142">
        <v>2040</v>
      </c>
      <c r="R4" s="142">
        <v>2041</v>
      </c>
      <c r="S4" s="142">
        <v>2042</v>
      </c>
      <c r="T4" s="142">
        <v>2043</v>
      </c>
      <c r="U4" s="142">
        <v>2044</v>
      </c>
      <c r="V4" s="142">
        <v>2045</v>
      </c>
      <c r="W4" s="142">
        <v>2046</v>
      </c>
      <c r="X4" s="142">
        <v>2047</v>
      </c>
      <c r="Y4" s="142">
        <v>2048</v>
      </c>
      <c r="Z4" s="142">
        <v>2049</v>
      </c>
      <c r="AA4" s="142">
        <v>2050</v>
      </c>
      <c r="AB4" s="142">
        <v>2051</v>
      </c>
      <c r="AC4" s="142">
        <v>2052</v>
      </c>
      <c r="AD4" s="142">
        <v>2053</v>
      </c>
      <c r="AE4" s="142">
        <v>2054</v>
      </c>
      <c r="AF4" s="142">
        <v>2055</v>
      </c>
    </row>
    <row r="5" spans="1:32">
      <c r="A5" s="146" t="s">
        <v>43</v>
      </c>
      <c r="B5" s="141">
        <v>0.28877539687635795</v>
      </c>
      <c r="C5" s="141">
        <v>0.29004894446202911</v>
      </c>
      <c r="D5" s="141">
        <v>0.29218616140018577</v>
      </c>
      <c r="E5" s="141">
        <v>0.29150651931331034</v>
      </c>
      <c r="F5" s="141">
        <v>0.29303025384730635</v>
      </c>
      <c r="G5" s="141">
        <v>0.28794240859333153</v>
      </c>
      <c r="H5" s="141">
        <v>0.28248888466896716</v>
      </c>
      <c r="I5" s="141">
        <v>0.28215894050586904</v>
      </c>
      <c r="J5" s="141">
        <v>0.28149817202635424</v>
      </c>
      <c r="K5" s="141">
        <v>0.27730154562912634</v>
      </c>
      <c r="L5" s="141">
        <v>0.27542654132701017</v>
      </c>
      <c r="M5" s="141">
        <v>0.27511137192677609</v>
      </c>
      <c r="N5" s="141">
        <v>0.28442504891066667</v>
      </c>
      <c r="O5" s="141">
        <v>0.28713239657849882</v>
      </c>
      <c r="P5" s="141">
        <v>0.2913821088029469</v>
      </c>
      <c r="Q5" s="141">
        <v>0.2914610879429349</v>
      </c>
      <c r="R5" s="141">
        <v>0.29115710597103578</v>
      </c>
      <c r="S5" s="141">
        <v>0.28967638992246886</v>
      </c>
      <c r="T5" s="141">
        <v>0.292097221151431</v>
      </c>
      <c r="U5" s="141">
        <v>0.29359046154924945</v>
      </c>
      <c r="V5" s="141">
        <v>0.29537365463009285</v>
      </c>
      <c r="W5" s="141">
        <v>0.29747725564789912</v>
      </c>
      <c r="X5" s="141">
        <v>0.29850661202677903</v>
      </c>
      <c r="Y5" s="141">
        <v>0.29755080182668203</v>
      </c>
      <c r="Z5" s="141">
        <v>0.29692280636518781</v>
      </c>
      <c r="AA5" s="141">
        <v>0.29905162101736044</v>
      </c>
      <c r="AB5" s="141">
        <v>0.29908728240996629</v>
      </c>
      <c r="AC5" s="141">
        <v>0.29918541588688613</v>
      </c>
      <c r="AD5" s="141">
        <v>0.29939790522048071</v>
      </c>
      <c r="AE5" s="141">
        <v>0.29985216775349605</v>
      </c>
      <c r="AF5" s="141">
        <v>0.30016534454702137</v>
      </c>
    </row>
    <row r="6" spans="1:32">
      <c r="A6" s="43" t="s">
        <v>51</v>
      </c>
      <c r="B6" s="141">
        <v>0.40516316199100255</v>
      </c>
      <c r="C6" s="141">
        <v>0.4036855345801475</v>
      </c>
      <c r="D6" s="141">
        <v>0.40870211484705821</v>
      </c>
      <c r="E6" s="141">
        <v>0.40670403631944968</v>
      </c>
      <c r="F6" s="141">
        <v>0.41032769112729295</v>
      </c>
      <c r="G6" s="141">
        <v>0.40547825755327316</v>
      </c>
      <c r="H6" s="141">
        <v>0.39868129622190018</v>
      </c>
      <c r="I6" s="141">
        <v>0.40591698649867192</v>
      </c>
      <c r="J6" s="141">
        <v>0.39884186422775397</v>
      </c>
      <c r="K6" s="141">
        <v>0.39754228841228217</v>
      </c>
      <c r="L6" s="141">
        <v>0.40478495854118218</v>
      </c>
      <c r="M6" s="141">
        <v>0.4042777626684238</v>
      </c>
      <c r="N6" s="141">
        <v>0.39364094826711793</v>
      </c>
      <c r="O6" s="141">
        <v>0.39399231735218276</v>
      </c>
      <c r="P6" s="141">
        <v>0.39557780214713628</v>
      </c>
      <c r="Q6" s="141">
        <v>0.39827487009742518</v>
      </c>
      <c r="R6" s="141">
        <v>0.39882800511918809</v>
      </c>
      <c r="S6" s="141">
        <v>0.39891495461397891</v>
      </c>
      <c r="T6" s="141">
        <v>0.40179569358843031</v>
      </c>
      <c r="U6" s="141">
        <v>0.40485321784207773</v>
      </c>
      <c r="V6" s="141">
        <v>0.40705144127695442</v>
      </c>
      <c r="W6" s="141">
        <v>0.40997827402136061</v>
      </c>
      <c r="X6" s="141">
        <v>0.41161645947736974</v>
      </c>
      <c r="Y6" s="141">
        <v>0.40936000483056956</v>
      </c>
      <c r="Z6" s="141">
        <v>0.40797155991662565</v>
      </c>
      <c r="AA6" s="141">
        <v>0.41056422478328525</v>
      </c>
      <c r="AB6" s="141">
        <v>0.41098939918580601</v>
      </c>
      <c r="AC6" s="141">
        <v>0.41130588984269906</v>
      </c>
      <c r="AD6" s="141">
        <v>0.41172590926907177</v>
      </c>
      <c r="AE6" s="141">
        <v>0.41230464001695333</v>
      </c>
      <c r="AF6" s="141">
        <v>0.41272341571519322</v>
      </c>
    </row>
    <row r="7" spans="1:32">
      <c r="A7" s="43" t="s">
        <v>58</v>
      </c>
      <c r="B7" s="141">
        <v>8.1893322028461099E-2</v>
      </c>
      <c r="C7" s="141">
        <v>8.3516183571202537E-2</v>
      </c>
      <c r="D7" s="141">
        <v>8.2330706700022627E-2</v>
      </c>
      <c r="E7" s="141">
        <v>8.3457583655774464E-2</v>
      </c>
      <c r="F7" s="141">
        <v>8.1820908719781898E-2</v>
      </c>
      <c r="G7" s="141">
        <v>7.9777239768015054E-2</v>
      </c>
      <c r="H7" s="141">
        <v>7.8931060114695625E-2</v>
      </c>
      <c r="I7" s="141">
        <v>7.4331657916355945E-2</v>
      </c>
      <c r="J7" s="141">
        <v>7.2902346724995071E-2</v>
      </c>
      <c r="K7" s="141">
        <v>7.3785753699799186E-2</v>
      </c>
      <c r="L7" s="141">
        <v>7.0221956332936084E-2</v>
      </c>
      <c r="M7" s="141">
        <v>7.0906036081156129E-2</v>
      </c>
      <c r="N7" s="141">
        <v>7.01338386262918E-2</v>
      </c>
      <c r="O7" s="141">
        <v>6.9703707020440778E-2</v>
      </c>
      <c r="P7" s="141">
        <v>6.9887909974585494E-2</v>
      </c>
      <c r="Q7" s="141">
        <v>7.0544218890827862E-2</v>
      </c>
      <c r="R7" s="141">
        <v>6.9625543258288389E-2</v>
      </c>
      <c r="S7" s="141">
        <v>7.7861145746480787E-2</v>
      </c>
      <c r="T7" s="141">
        <v>7.7839060960832734E-2</v>
      </c>
      <c r="U7" s="141">
        <v>7.7861471423230563E-2</v>
      </c>
      <c r="V7" s="141">
        <v>7.7849091035225193E-2</v>
      </c>
      <c r="W7" s="141">
        <v>7.7936615748870758E-2</v>
      </c>
      <c r="X7" s="141">
        <v>7.7946239491001712E-2</v>
      </c>
      <c r="Y7" s="141">
        <v>7.7982810170343919E-2</v>
      </c>
      <c r="Z7" s="141">
        <v>7.7998511540446555E-2</v>
      </c>
      <c r="AA7" s="141">
        <v>7.7972864406211873E-2</v>
      </c>
      <c r="AB7" s="141">
        <v>7.8661859301264056E-2</v>
      </c>
      <c r="AC7" s="141">
        <v>7.9396785152100802E-2</v>
      </c>
      <c r="AD7" s="141">
        <v>8.0332645211944248E-2</v>
      </c>
      <c r="AE7" s="141">
        <v>8.045329163061761E-2</v>
      </c>
      <c r="AF7" s="141">
        <v>8.0595950308773701E-2</v>
      </c>
    </row>
    <row r="8" spans="1:32">
      <c r="A8" s="43" t="s">
        <v>54</v>
      </c>
      <c r="B8" s="141">
        <v>9.354346884481933E-2</v>
      </c>
      <c r="C8" s="141">
        <v>9.2440432279327966E-2</v>
      </c>
      <c r="D8" s="141">
        <v>8.8519607761901348E-2</v>
      </c>
      <c r="E8" s="141">
        <v>8.7493069735948031E-2</v>
      </c>
      <c r="F8" s="141">
        <v>8.6055698377782847E-2</v>
      </c>
      <c r="G8" s="141">
        <v>8.8974627106166354E-2</v>
      </c>
      <c r="H8" s="141">
        <v>9.2904770999921851E-2</v>
      </c>
      <c r="I8" s="141">
        <v>9.2410996977494456E-2</v>
      </c>
      <c r="J8" s="141">
        <v>9.3565192259366298E-2</v>
      </c>
      <c r="K8" s="141">
        <v>9.4325153574806059E-2</v>
      </c>
      <c r="L8" s="141">
        <v>9.5684400360585689E-2</v>
      </c>
      <c r="M8" s="141">
        <v>9.4940187796829625E-2</v>
      </c>
      <c r="N8" s="141">
        <v>9.6333613049048555E-2</v>
      </c>
      <c r="O8" s="141">
        <v>9.3955513539468322E-2</v>
      </c>
      <c r="P8" s="141">
        <v>9.2150705365158958E-2</v>
      </c>
      <c r="Q8" s="141">
        <v>9.1472700909397325E-2</v>
      </c>
      <c r="R8" s="141">
        <v>9.1548784076119938E-2</v>
      </c>
      <c r="S8" s="141">
        <v>8.9469532756975584E-2</v>
      </c>
      <c r="T8" s="141">
        <v>8.8182524910587853E-2</v>
      </c>
      <c r="U8" s="141">
        <v>8.7133231353872964E-2</v>
      </c>
      <c r="V8" s="141">
        <v>8.6108928584933769E-2</v>
      </c>
      <c r="W8" s="141">
        <v>8.4185098764417793E-2</v>
      </c>
      <c r="X8" s="141">
        <v>8.3189926161966632E-2</v>
      </c>
      <c r="Y8" s="141">
        <v>8.4737282894144533E-2</v>
      </c>
      <c r="Z8" s="141">
        <v>8.5091794585675215E-2</v>
      </c>
      <c r="AA8" s="141">
        <v>8.1852108629875547E-2</v>
      </c>
      <c r="AB8" s="141">
        <v>8.1321097556618566E-2</v>
      </c>
      <c r="AC8" s="141">
        <v>8.0686429817286132E-2</v>
      </c>
      <c r="AD8" s="141">
        <v>7.9912386161195517E-2</v>
      </c>
      <c r="AE8" s="141">
        <v>7.9289164298849232E-2</v>
      </c>
      <c r="AF8" s="141">
        <v>7.8731325798038182E-2</v>
      </c>
    </row>
    <row r="9" spans="1:32">
      <c r="A9" s="43" t="s">
        <v>55</v>
      </c>
      <c r="B9" s="141">
        <v>4.002523943696603E-2</v>
      </c>
      <c r="C9" s="141">
        <v>4.0029379049916609E-2</v>
      </c>
      <c r="D9" s="141">
        <v>4.0343639376776243E-2</v>
      </c>
      <c r="E9" s="141">
        <v>4.2464512611502796E-2</v>
      </c>
      <c r="F9" s="141">
        <v>4.1718335647742882E-2</v>
      </c>
      <c r="G9" s="141">
        <v>4.5973877376202073E-2</v>
      </c>
      <c r="H9" s="141">
        <v>5.0932606573001853E-2</v>
      </c>
      <c r="I9" s="141">
        <v>4.9741471117012756E-2</v>
      </c>
      <c r="J9" s="141">
        <v>5.0988021278225278E-2</v>
      </c>
      <c r="K9" s="141">
        <v>4.9095586230500962E-2</v>
      </c>
      <c r="L9" s="141">
        <v>4.5981643523554966E-2</v>
      </c>
      <c r="M9" s="141">
        <v>4.2257883224250649E-2</v>
      </c>
      <c r="N9" s="141">
        <v>3.9463630723479158E-2</v>
      </c>
      <c r="O9" s="141">
        <v>3.6367953282148584E-2</v>
      </c>
      <c r="P9" s="141">
        <v>3.2950645528923107E-2</v>
      </c>
      <c r="Q9" s="141">
        <v>3.0587486616558166E-2</v>
      </c>
      <c r="R9" s="141">
        <v>3.1999170980315184E-2</v>
      </c>
      <c r="S9" s="141">
        <v>2.8744204983629305E-2</v>
      </c>
      <c r="T9" s="141">
        <v>2.5917021286775335E-2</v>
      </c>
      <c r="U9" s="141">
        <v>2.3186173387317367E-2</v>
      </c>
      <c r="V9" s="141">
        <v>2.0573380287325107E-2</v>
      </c>
      <c r="W9" s="141">
        <v>1.8058069162413589E-2</v>
      </c>
      <c r="X9" s="141">
        <v>1.6191085389857862E-2</v>
      </c>
      <c r="Y9" s="141">
        <v>1.4606560118016755E-2</v>
      </c>
      <c r="Z9" s="141">
        <v>1.3200498530855411E-2</v>
      </c>
      <c r="AA9" s="141">
        <v>1.157702898380035E-2</v>
      </c>
      <c r="AB9" s="141">
        <v>1.0977476505699385E-2</v>
      </c>
      <c r="AC9" s="141">
        <v>1.0471939708050248E-2</v>
      </c>
      <c r="AD9" s="141">
        <v>9.5825131946235837E-3</v>
      </c>
      <c r="AE9" s="141">
        <v>8.7883998843451029E-3</v>
      </c>
      <c r="AF9" s="141">
        <v>8.0759074778816164E-3</v>
      </c>
    </row>
    <row r="10" spans="1:32">
      <c r="A10" s="43" t="s">
        <v>56</v>
      </c>
      <c r="B10" s="141">
        <v>1.6358597127187451E-2</v>
      </c>
      <c r="C10" s="141">
        <v>1.6344728087285505E-2</v>
      </c>
      <c r="D10" s="141">
        <v>1.6129144437505145E-2</v>
      </c>
      <c r="E10" s="141">
        <v>1.6801103323427186E-2</v>
      </c>
      <c r="F10" s="141">
        <v>1.6792797948796141E-2</v>
      </c>
      <c r="G10" s="141">
        <v>1.8715282586334592E-2</v>
      </c>
      <c r="H10" s="141">
        <v>2.2336836672886568E-2</v>
      </c>
      <c r="I10" s="141">
        <v>2.1748604187067169E-2</v>
      </c>
      <c r="J10" s="141">
        <v>2.3676610871576863E-2</v>
      </c>
      <c r="K10" s="141">
        <v>2.525753347185733E-2</v>
      </c>
      <c r="L10" s="141">
        <v>2.4408655747385589E-2</v>
      </c>
      <c r="M10" s="141">
        <v>2.5398841312994816E-2</v>
      </c>
      <c r="N10" s="141">
        <v>2.7095918656999226E-2</v>
      </c>
      <c r="O10" s="141">
        <v>3.0669360411040104E-2</v>
      </c>
      <c r="P10" s="141">
        <v>3.0856864114247942E-2</v>
      </c>
      <c r="Q10" s="141">
        <v>3.0258231364355584E-2</v>
      </c>
      <c r="R10" s="141">
        <v>3.0183832794870968E-2</v>
      </c>
      <c r="S10" s="141">
        <v>2.9088387676406615E-2</v>
      </c>
      <c r="T10" s="141">
        <v>2.8339579800456816E-2</v>
      </c>
      <c r="U10" s="141">
        <v>2.7187997378595879E-2</v>
      </c>
      <c r="V10" s="141">
        <v>2.660524445836631E-2</v>
      </c>
      <c r="W10" s="141">
        <v>2.5919731188009509E-2</v>
      </c>
      <c r="X10" s="141">
        <v>2.5743986929928606E-2</v>
      </c>
      <c r="Y10" s="141">
        <v>2.596651771787439E-2</v>
      </c>
      <c r="Z10" s="141">
        <v>2.6459348042169373E-2</v>
      </c>
      <c r="AA10" s="141">
        <v>2.645064779343901E-2</v>
      </c>
      <c r="AB10" s="141">
        <v>2.6126204629657951E-2</v>
      </c>
      <c r="AC10" s="141">
        <v>2.578947812157853E-2</v>
      </c>
      <c r="AD10" s="141">
        <v>2.5439541592463168E-2</v>
      </c>
      <c r="AE10" s="141">
        <v>2.5154654453991305E-2</v>
      </c>
      <c r="AF10" s="141">
        <v>2.490749036326825E-2</v>
      </c>
    </row>
    <row r="11" spans="1:32">
      <c r="A11" s="43" t="s">
        <v>549</v>
      </c>
      <c r="B11" s="141">
        <v>2.7005629389186298E-2</v>
      </c>
      <c r="C11" s="141">
        <v>2.7012778779119978E-2</v>
      </c>
      <c r="D11" s="141">
        <v>2.6112663672120708E-2</v>
      </c>
      <c r="E11" s="141">
        <v>2.5778074264344492E-2</v>
      </c>
      <c r="F11" s="141">
        <v>2.572329925017338E-2</v>
      </c>
      <c r="G11" s="141">
        <v>2.7131841823842491E-2</v>
      </c>
      <c r="H11" s="141">
        <v>2.7576610603966198E-2</v>
      </c>
      <c r="I11" s="141">
        <v>2.8005121970527923E-2</v>
      </c>
      <c r="J11" s="141">
        <v>2.8959431993213488E-2</v>
      </c>
      <c r="K11" s="141">
        <v>3.0599687028322064E-2</v>
      </c>
      <c r="L11" s="141">
        <v>3.0900615699662546E-2</v>
      </c>
      <c r="M11" s="141">
        <v>3.0764650431119873E-2</v>
      </c>
      <c r="N11" s="141">
        <v>3.1419675004506889E-2</v>
      </c>
      <c r="O11" s="141">
        <v>3.2016216304132747E-2</v>
      </c>
      <c r="P11" s="141">
        <v>3.2439881730508532E-2</v>
      </c>
      <c r="Q11" s="141">
        <v>3.2959479339783181E-2</v>
      </c>
      <c r="R11" s="141">
        <v>3.3547619228181662E-2</v>
      </c>
      <c r="S11" s="141">
        <v>3.3693500335664504E-2</v>
      </c>
      <c r="T11" s="141">
        <v>3.3706142191682206E-2</v>
      </c>
      <c r="U11" s="141">
        <v>3.3746781815480707E-2</v>
      </c>
      <c r="V11" s="141">
        <v>3.3765695102442705E-2</v>
      </c>
      <c r="W11" s="141">
        <v>3.3961690274482148E-2</v>
      </c>
      <c r="X11" s="141">
        <v>3.4110910013843337E-2</v>
      </c>
      <c r="Y11" s="141">
        <v>3.4212399083840592E-2</v>
      </c>
      <c r="Z11" s="141">
        <v>3.654213729139999E-2</v>
      </c>
      <c r="AA11" s="141">
        <v>3.6518097425105991E-2</v>
      </c>
      <c r="AB11" s="141">
        <v>3.682380053634194E-2</v>
      </c>
      <c r="AC11" s="141">
        <v>3.7109865647969871E-2</v>
      </c>
      <c r="AD11" s="141">
        <v>3.7378676664764951E-2</v>
      </c>
      <c r="AE11" s="141">
        <v>3.7670390187235739E-2</v>
      </c>
      <c r="AF11" s="141">
        <v>3.7992968106583293E-2</v>
      </c>
    </row>
    <row r="12" spans="1:32">
      <c r="A12" s="43" t="s">
        <v>52</v>
      </c>
      <c r="B12" s="141">
        <v>3.3454536923732812E-2</v>
      </c>
      <c r="C12" s="141">
        <v>3.3115249926852143E-2</v>
      </c>
      <c r="D12" s="141">
        <v>3.1830012737249051E-2</v>
      </c>
      <c r="E12" s="141">
        <v>3.1128235028762108E-2</v>
      </c>
      <c r="F12" s="141">
        <v>2.9734563741624642E-2</v>
      </c>
      <c r="G12" s="141">
        <v>2.9777029301173485E-2</v>
      </c>
      <c r="H12" s="141">
        <v>2.944709280847628E-2</v>
      </c>
      <c r="I12" s="141">
        <v>2.9664691801909629E-2</v>
      </c>
      <c r="J12" s="141">
        <v>3.1801230382328002E-2</v>
      </c>
      <c r="K12" s="141">
        <v>3.2750049667879796E-2</v>
      </c>
      <c r="L12" s="141">
        <v>3.33656574810655E-2</v>
      </c>
      <c r="M12" s="141">
        <v>3.3894199442319611E-2</v>
      </c>
      <c r="N12" s="141">
        <v>3.5532250583462661E-2</v>
      </c>
      <c r="O12" s="141">
        <v>3.5556974510165373E-2</v>
      </c>
      <c r="P12" s="141">
        <v>3.5049585651961118E-2</v>
      </c>
      <c r="Q12" s="141">
        <v>3.4767481181227473E-2</v>
      </c>
      <c r="R12" s="141">
        <v>3.4425161629625001E-2</v>
      </c>
      <c r="S12" s="141">
        <v>3.4223128293791594E-2</v>
      </c>
      <c r="T12" s="141">
        <v>3.4154828020636678E-2</v>
      </c>
      <c r="U12" s="141">
        <v>3.4443946461892132E-2</v>
      </c>
      <c r="V12" s="141">
        <v>3.456958459526837E-2</v>
      </c>
      <c r="W12" s="141">
        <v>3.4351495227971984E-2</v>
      </c>
      <c r="X12" s="141">
        <v>3.4449679991835458E-2</v>
      </c>
      <c r="Y12" s="141">
        <v>3.688046496391318E-2</v>
      </c>
      <c r="Z12" s="141">
        <v>3.7106419564499754E-2</v>
      </c>
      <c r="AA12" s="141">
        <v>3.7261160488490715E-2</v>
      </c>
      <c r="AB12" s="141">
        <v>3.7374234272404806E-2</v>
      </c>
      <c r="AC12" s="141">
        <v>3.7531520370760442E-2</v>
      </c>
      <c r="AD12" s="141">
        <v>3.7745603066555111E-2</v>
      </c>
      <c r="AE12" s="141">
        <v>3.8009404495825891E-2</v>
      </c>
      <c r="AF12" s="141">
        <v>3.8306876413726876E-2</v>
      </c>
    </row>
    <row r="13" spans="1:32">
      <c r="A13" s="43" t="s">
        <v>57</v>
      </c>
      <c r="B13" s="141">
        <v>1.3780647382286605E-2</v>
      </c>
      <c r="C13" s="141">
        <v>1.3806769264118708E-2</v>
      </c>
      <c r="D13" s="141">
        <v>1.3845949067180856E-2</v>
      </c>
      <c r="E13" s="141">
        <v>1.4666865747480847E-2</v>
      </c>
      <c r="F13" s="141">
        <v>1.4796451339498699E-2</v>
      </c>
      <c r="G13" s="141">
        <v>1.6229435891661141E-2</v>
      </c>
      <c r="H13" s="141">
        <v>1.6700841336184331E-2</v>
      </c>
      <c r="I13" s="141">
        <v>1.6021529025091102E-2</v>
      </c>
      <c r="J13" s="141">
        <v>1.7767130236186781E-2</v>
      </c>
      <c r="K13" s="141">
        <v>1.9342402285425952E-2</v>
      </c>
      <c r="L13" s="141">
        <v>1.9225570986617143E-2</v>
      </c>
      <c r="M13" s="141">
        <v>2.244906711612938E-2</v>
      </c>
      <c r="N13" s="141">
        <v>2.1955076178427065E-2</v>
      </c>
      <c r="O13" s="141">
        <v>2.0605561001922394E-2</v>
      </c>
      <c r="P13" s="141">
        <v>1.9704496684531655E-2</v>
      </c>
      <c r="Q13" s="141">
        <v>1.9674443657490322E-2</v>
      </c>
      <c r="R13" s="141">
        <v>1.8684776942375095E-2</v>
      </c>
      <c r="S13" s="141">
        <v>1.8328755670603925E-2</v>
      </c>
      <c r="T13" s="141">
        <v>1.7967928089167234E-2</v>
      </c>
      <c r="U13" s="141">
        <v>1.7996718788283204E-2</v>
      </c>
      <c r="V13" s="141">
        <v>1.8102980029391327E-2</v>
      </c>
      <c r="W13" s="141">
        <v>1.8131769964574388E-2</v>
      </c>
      <c r="X13" s="141">
        <v>1.8245100517417609E-2</v>
      </c>
      <c r="Y13" s="141">
        <v>1.8703158394615071E-2</v>
      </c>
      <c r="Z13" s="141">
        <v>1.8706924163140223E-2</v>
      </c>
      <c r="AA13" s="141">
        <v>1.8752246472430831E-2</v>
      </c>
      <c r="AB13" s="141">
        <v>1.8638645602240992E-2</v>
      </c>
      <c r="AC13" s="141">
        <v>1.8522675452668884E-2</v>
      </c>
      <c r="AD13" s="141">
        <v>1.8484819618901034E-2</v>
      </c>
      <c r="AE13" s="141">
        <v>1.8477887278685753E-2</v>
      </c>
      <c r="AF13" s="141">
        <v>1.8500721269513378E-2</v>
      </c>
    </row>
    <row r="15" spans="1:32">
      <c r="A15" s="112" t="s">
        <v>557</v>
      </c>
    </row>
    <row r="16" spans="1:32">
      <c r="A16" s="43" t="s">
        <v>43</v>
      </c>
      <c r="B16" s="143">
        <f>B5*B$2</f>
        <v>1534858.8579014384</v>
      </c>
      <c r="C16" s="143">
        <f t="shared" ref="C16:AF16" si="0">C5*C$2</f>
        <v>1567044.3316672479</v>
      </c>
      <c r="D16" s="143">
        <f t="shared" si="0"/>
        <v>1603791.8795460176</v>
      </c>
      <c r="E16" s="143">
        <f t="shared" si="0"/>
        <v>1624504.0073385106</v>
      </c>
      <c r="F16" s="143">
        <f t="shared" si="0"/>
        <v>1663794.7238958159</v>
      </c>
      <c r="G16" s="143">
        <f t="shared" si="0"/>
        <v>1659795.67249833</v>
      </c>
      <c r="H16" s="143">
        <f t="shared" si="0"/>
        <v>1652830.3914208466</v>
      </c>
      <c r="I16" s="143">
        <f t="shared" si="0"/>
        <v>1704282.4833022503</v>
      </c>
      <c r="J16" s="143">
        <f t="shared" si="0"/>
        <v>1764503.8198452014</v>
      </c>
      <c r="K16" s="143">
        <f t="shared" si="0"/>
        <v>1819184.3143383916</v>
      </c>
      <c r="L16" s="143">
        <f t="shared" si="0"/>
        <v>1890666.2676655513</v>
      </c>
      <c r="M16" s="143">
        <f t="shared" si="0"/>
        <v>1972187.153944754</v>
      </c>
      <c r="N16" s="143">
        <f t="shared" si="0"/>
        <v>2079278.487114433</v>
      </c>
      <c r="O16" s="143">
        <f t="shared" si="0"/>
        <v>2140652.460315696</v>
      </c>
      <c r="P16" s="143">
        <f t="shared" si="0"/>
        <v>2216806.8380139545</v>
      </c>
      <c r="Q16" s="143">
        <f t="shared" si="0"/>
        <v>2290252.6316567636</v>
      </c>
      <c r="R16" s="143">
        <f t="shared" si="0"/>
        <v>2395112.0322639234</v>
      </c>
      <c r="S16" s="143">
        <f t="shared" si="0"/>
        <v>2528376.7457339321</v>
      </c>
      <c r="T16" s="143">
        <f t="shared" si="0"/>
        <v>2683891.3158493103</v>
      </c>
      <c r="U16" s="143">
        <f t="shared" si="0"/>
        <v>2816749.7511340231</v>
      </c>
      <c r="V16" s="143">
        <f t="shared" si="0"/>
        <v>2963873.1287836218</v>
      </c>
      <c r="W16" s="143">
        <f t="shared" si="0"/>
        <v>3123805.0408742758</v>
      </c>
      <c r="X16" s="143">
        <f t="shared" si="0"/>
        <v>3272336.3017115248</v>
      </c>
      <c r="Y16" s="143">
        <f t="shared" si="0"/>
        <v>3401478.1310022506</v>
      </c>
      <c r="Z16" s="143">
        <f t="shared" si="0"/>
        <v>3539242.01364177</v>
      </c>
      <c r="AA16" s="143">
        <f t="shared" si="0"/>
        <v>3717988.5405824608</v>
      </c>
      <c r="AB16" s="143">
        <f t="shared" si="0"/>
        <v>3879322.917035128</v>
      </c>
      <c r="AC16" s="143">
        <f t="shared" si="0"/>
        <v>4049883.8448831728</v>
      </c>
      <c r="AD16" s="143">
        <f t="shared" si="0"/>
        <v>4221776.2841220349</v>
      </c>
      <c r="AE16" s="143">
        <f t="shared" si="0"/>
        <v>4400317.9230969166</v>
      </c>
      <c r="AF16" s="143">
        <f t="shared" si="0"/>
        <v>4583428.1130505903</v>
      </c>
    </row>
    <row r="17" spans="1:32">
      <c r="A17" s="43" t="s">
        <v>51</v>
      </c>
      <c r="B17" s="143">
        <f t="shared" ref="B17:B24" si="1">B6*B$2</f>
        <v>2153466.9324461347</v>
      </c>
      <c r="C17" s="143">
        <f t="shared" ref="C17:AF17" si="2">C6*C$2</f>
        <v>2180987.5223410684</v>
      </c>
      <c r="D17" s="143">
        <f t="shared" si="2"/>
        <v>2243340.7859013649</v>
      </c>
      <c r="E17" s="143">
        <f t="shared" si="2"/>
        <v>2266475.337697621</v>
      </c>
      <c r="F17" s="143">
        <f t="shared" si="2"/>
        <v>2329797.1407474098</v>
      </c>
      <c r="G17" s="143">
        <f t="shared" si="2"/>
        <v>2337311.3410661118</v>
      </c>
      <c r="H17" s="143">
        <f t="shared" si="2"/>
        <v>2332667.2256814749</v>
      </c>
      <c r="I17" s="143">
        <f t="shared" si="2"/>
        <v>2451799.7144596339</v>
      </c>
      <c r="J17" s="143">
        <f t="shared" si="2"/>
        <v>2500044.6286314297</v>
      </c>
      <c r="K17" s="143">
        <f t="shared" si="2"/>
        <v>2608000.9533486394</v>
      </c>
      <c r="L17" s="143">
        <f t="shared" si="2"/>
        <v>2778647.4864946506</v>
      </c>
      <c r="M17" s="143">
        <f t="shared" si="2"/>
        <v>2898140.5042478745</v>
      </c>
      <c r="N17" s="143">
        <f t="shared" si="2"/>
        <v>2877697.159634551</v>
      </c>
      <c r="O17" s="143">
        <f t="shared" si="2"/>
        <v>2937323.107860649</v>
      </c>
      <c r="P17" s="143">
        <f t="shared" si="2"/>
        <v>3009517.5725402469</v>
      </c>
      <c r="Q17" s="143">
        <f t="shared" si="2"/>
        <v>3129577.521998317</v>
      </c>
      <c r="R17" s="143">
        <f t="shared" si="2"/>
        <v>3280832.6991676167</v>
      </c>
      <c r="S17" s="143">
        <f t="shared" si="2"/>
        <v>3481841.5647938806</v>
      </c>
      <c r="T17" s="143">
        <f t="shared" si="2"/>
        <v>3691839.2051685411</v>
      </c>
      <c r="U17" s="143">
        <f t="shared" si="2"/>
        <v>3884220.878923838</v>
      </c>
      <c r="V17" s="143">
        <f t="shared" si="2"/>
        <v>4084483.5344042084</v>
      </c>
      <c r="W17" s="143">
        <f t="shared" si="2"/>
        <v>4305176.8655305803</v>
      </c>
      <c r="X17" s="143">
        <f t="shared" si="2"/>
        <v>4512286.9258552082</v>
      </c>
      <c r="Y17" s="143">
        <f t="shared" si="2"/>
        <v>4679634.8576107109</v>
      </c>
      <c r="Z17" s="143">
        <f t="shared" si="2"/>
        <v>4862914.0445749909</v>
      </c>
      <c r="AA17" s="143">
        <f t="shared" si="2"/>
        <v>5104379.8984415531</v>
      </c>
      <c r="AB17" s="143">
        <f t="shared" si="2"/>
        <v>5330753.5582023384</v>
      </c>
      <c r="AC17" s="143">
        <f t="shared" si="2"/>
        <v>5567587.8238965236</v>
      </c>
      <c r="AD17" s="143">
        <f t="shared" si="2"/>
        <v>5805700.8716567438</v>
      </c>
      <c r="AE17" s="143">
        <f t="shared" si="2"/>
        <v>6050553.2137226611</v>
      </c>
      <c r="AF17" s="143">
        <f t="shared" si="2"/>
        <v>6302153.5992371915</v>
      </c>
    </row>
    <row r="18" spans="1:32">
      <c r="A18" s="43" t="s">
        <v>58</v>
      </c>
      <c r="B18" s="143">
        <f t="shared" si="1"/>
        <v>435268.00440058246</v>
      </c>
      <c r="C18" s="143">
        <f t="shared" ref="C18:AF18" si="3">C7*C$2</f>
        <v>451211.99220522313</v>
      </c>
      <c r="D18" s="143">
        <f t="shared" si="3"/>
        <v>451908.18829346937</v>
      </c>
      <c r="E18" s="143">
        <f t="shared" si="3"/>
        <v>465091.41343036876</v>
      </c>
      <c r="F18" s="143">
        <f t="shared" si="3"/>
        <v>464570.44774384022</v>
      </c>
      <c r="G18" s="143">
        <f t="shared" si="3"/>
        <v>459862.50506720127</v>
      </c>
      <c r="H18" s="143">
        <f t="shared" si="3"/>
        <v>461822.25944044866</v>
      </c>
      <c r="I18" s="143">
        <f t="shared" si="3"/>
        <v>448974.40539909253</v>
      </c>
      <c r="J18" s="143">
        <f t="shared" si="3"/>
        <v>456970.88668799598</v>
      </c>
      <c r="K18" s="143">
        <f t="shared" si="3"/>
        <v>484057.47413984773</v>
      </c>
      <c r="L18" s="143">
        <f t="shared" si="3"/>
        <v>482038.81676941941</v>
      </c>
      <c r="M18" s="143">
        <f t="shared" si="3"/>
        <v>508303.13744216756</v>
      </c>
      <c r="N18" s="143">
        <f t="shared" si="3"/>
        <v>512710.75607762649</v>
      </c>
      <c r="O18" s="143">
        <f t="shared" si="3"/>
        <v>519660.66422476387</v>
      </c>
      <c r="P18" s="143">
        <f t="shared" si="3"/>
        <v>531700.44434999267</v>
      </c>
      <c r="Q18" s="143">
        <f t="shared" si="3"/>
        <v>554324.70970025985</v>
      </c>
      <c r="R18" s="143">
        <f t="shared" si="3"/>
        <v>572752.55520443374</v>
      </c>
      <c r="S18" s="143">
        <f t="shared" si="3"/>
        <v>679593.90944595856</v>
      </c>
      <c r="T18" s="143">
        <f t="shared" si="3"/>
        <v>715212.48618225881</v>
      </c>
      <c r="U18" s="143">
        <f t="shared" si="3"/>
        <v>747014.32429719286</v>
      </c>
      <c r="V18" s="143">
        <f t="shared" si="3"/>
        <v>781162.52212300885</v>
      </c>
      <c r="W18" s="143">
        <f t="shared" si="3"/>
        <v>818411.45338912017</v>
      </c>
      <c r="X18" s="143">
        <f t="shared" si="3"/>
        <v>854474.57038379891</v>
      </c>
      <c r="Y18" s="143">
        <f t="shared" si="3"/>
        <v>891467.34527380648</v>
      </c>
      <c r="Z18" s="143">
        <f t="shared" si="3"/>
        <v>929721.8102739735</v>
      </c>
      <c r="AA18" s="143">
        <f t="shared" si="3"/>
        <v>969405.266396655</v>
      </c>
      <c r="AB18" s="143">
        <f t="shared" si="3"/>
        <v>1020286.6234402549</v>
      </c>
      <c r="AC18" s="143">
        <f t="shared" si="3"/>
        <v>1074744.0899482938</v>
      </c>
      <c r="AD18" s="143">
        <f t="shared" si="3"/>
        <v>1132761.620849764</v>
      </c>
      <c r="AE18" s="143">
        <f t="shared" si="3"/>
        <v>1180648.6635954035</v>
      </c>
      <c r="AF18" s="143">
        <f t="shared" si="3"/>
        <v>1230674.1972519543</v>
      </c>
    </row>
    <row r="19" spans="1:32">
      <c r="A19" s="43" t="s">
        <v>54</v>
      </c>
      <c r="B19" s="143">
        <f t="shared" si="1"/>
        <v>497189.2457194741</v>
      </c>
      <c r="C19" s="143">
        <f t="shared" ref="C19:AF19" si="4">C8*C$2</f>
        <v>499426.9353017924</v>
      </c>
      <c r="D19" s="143">
        <f t="shared" si="4"/>
        <v>485878.685796807</v>
      </c>
      <c r="E19" s="143">
        <f t="shared" si="4"/>
        <v>487580.32148032816</v>
      </c>
      <c r="F19" s="143">
        <f t="shared" si="4"/>
        <v>488615.13458857132</v>
      </c>
      <c r="G19" s="143">
        <f t="shared" si="4"/>
        <v>512879.30025458446</v>
      </c>
      <c r="H19" s="143">
        <f t="shared" si="4"/>
        <v>543581.84463296097</v>
      </c>
      <c r="I19" s="143">
        <f t="shared" si="4"/>
        <v>558176.33540470793</v>
      </c>
      <c r="J19" s="143">
        <f t="shared" si="4"/>
        <v>586490.98130110058</v>
      </c>
      <c r="K19" s="143">
        <f t="shared" si="4"/>
        <v>618802.32020179415</v>
      </c>
      <c r="L19" s="143">
        <f t="shared" si="4"/>
        <v>656825.83541858499</v>
      </c>
      <c r="M19" s="143">
        <f t="shared" si="4"/>
        <v>680596.43429005845</v>
      </c>
      <c r="N19" s="143">
        <f t="shared" si="4"/>
        <v>704243.20911976101</v>
      </c>
      <c r="O19" s="143">
        <f t="shared" si="4"/>
        <v>700464.67627870722</v>
      </c>
      <c r="P19" s="143">
        <f t="shared" si="4"/>
        <v>701073.63358895283</v>
      </c>
      <c r="Q19" s="143">
        <f t="shared" si="4"/>
        <v>718777.23184618168</v>
      </c>
      <c r="R19" s="143">
        <f t="shared" si="4"/>
        <v>753097.17600249685</v>
      </c>
      <c r="S19" s="143">
        <f t="shared" si="4"/>
        <v>780915.16583371744</v>
      </c>
      <c r="T19" s="143">
        <f t="shared" si="4"/>
        <v>810251.84657438076</v>
      </c>
      <c r="U19" s="143">
        <f t="shared" si="4"/>
        <v>835968.94271155982</v>
      </c>
      <c r="V19" s="143">
        <f t="shared" si="4"/>
        <v>864044.35731023224</v>
      </c>
      <c r="W19" s="143">
        <f t="shared" si="4"/>
        <v>884026.69748323096</v>
      </c>
      <c r="X19" s="143">
        <f t="shared" si="4"/>
        <v>911957.74012564716</v>
      </c>
      <c r="Y19" s="143">
        <f t="shared" si="4"/>
        <v>968681.69359823689</v>
      </c>
      <c r="Z19" s="143">
        <f t="shared" si="4"/>
        <v>1014271.8846709178</v>
      </c>
      <c r="AA19" s="143">
        <f t="shared" si="4"/>
        <v>1017634.3497924777</v>
      </c>
      <c r="AB19" s="143">
        <f t="shared" si="4"/>
        <v>1054778.3738842367</v>
      </c>
      <c r="AC19" s="143">
        <f t="shared" si="4"/>
        <v>1092201.1945323902</v>
      </c>
      <c r="AD19" s="143">
        <f t="shared" si="4"/>
        <v>1126835.5951070921</v>
      </c>
      <c r="AE19" s="143">
        <f t="shared" si="4"/>
        <v>1163565.1440693464</v>
      </c>
      <c r="AF19" s="143">
        <f t="shared" si="4"/>
        <v>1202201.9816612916</v>
      </c>
    </row>
    <row r="20" spans="1:32">
      <c r="A20" s="43" t="s">
        <v>55</v>
      </c>
      <c r="B20" s="143">
        <f t="shared" si="1"/>
        <v>212736.59028423563</v>
      </c>
      <c r="C20" s="143">
        <f t="shared" ref="C20:AF20" si="5">C9*C$2</f>
        <v>216266.29828519627</v>
      </c>
      <c r="D20" s="143">
        <f t="shared" si="5"/>
        <v>221443.75665755113</v>
      </c>
      <c r="E20" s="143">
        <f t="shared" si="5"/>
        <v>236645.72260533035</v>
      </c>
      <c r="F20" s="143">
        <f t="shared" si="5"/>
        <v>236872.28819928685</v>
      </c>
      <c r="G20" s="143">
        <f t="shared" si="5"/>
        <v>265008.69771065837</v>
      </c>
      <c r="H20" s="143">
        <f t="shared" si="5"/>
        <v>298004.50434284488</v>
      </c>
      <c r="I20" s="143">
        <f t="shared" si="5"/>
        <v>300445.97476310103</v>
      </c>
      <c r="J20" s="143">
        <f t="shared" si="5"/>
        <v>319606.1902077074</v>
      </c>
      <c r="K20" s="143">
        <f t="shared" si="5"/>
        <v>322082.30275509215</v>
      </c>
      <c r="L20" s="143">
        <f t="shared" si="5"/>
        <v>315641.12130569754</v>
      </c>
      <c r="M20" s="143">
        <f t="shared" si="5"/>
        <v>302933.51330437418</v>
      </c>
      <c r="N20" s="143">
        <f t="shared" si="5"/>
        <v>288497.36934573168</v>
      </c>
      <c r="O20" s="143">
        <f t="shared" si="5"/>
        <v>271133.28066689963</v>
      </c>
      <c r="P20" s="143">
        <f t="shared" si="5"/>
        <v>250685.3170415106</v>
      </c>
      <c r="Q20" s="143">
        <f t="shared" si="5"/>
        <v>240351.36976176404</v>
      </c>
      <c r="R20" s="143">
        <f t="shared" si="5"/>
        <v>263231.07994158915</v>
      </c>
      <c r="S20" s="143">
        <f t="shared" si="5"/>
        <v>250887.47990358941</v>
      </c>
      <c r="T20" s="143">
        <f t="shared" si="5"/>
        <v>238134.64602662917</v>
      </c>
      <c r="U20" s="143">
        <f t="shared" si="5"/>
        <v>222451.53256629521</v>
      </c>
      <c r="V20" s="143">
        <f t="shared" si="5"/>
        <v>206439.83661377357</v>
      </c>
      <c r="W20" s="143">
        <f t="shared" si="5"/>
        <v>189627.56448436488</v>
      </c>
      <c r="X20" s="143">
        <f t="shared" si="5"/>
        <v>177492.47202802298</v>
      </c>
      <c r="Y20" s="143">
        <f t="shared" si="5"/>
        <v>166976.1751794694</v>
      </c>
      <c r="Z20" s="143">
        <f t="shared" si="5"/>
        <v>157346.48198077083</v>
      </c>
      <c r="AA20" s="143">
        <f t="shared" si="5"/>
        <v>143932.54565659747</v>
      </c>
      <c r="AB20" s="143">
        <f t="shared" si="5"/>
        <v>142383.77451770674</v>
      </c>
      <c r="AC20" s="143">
        <f t="shared" si="5"/>
        <v>141752.02799409657</v>
      </c>
      <c r="AD20" s="143">
        <f t="shared" si="5"/>
        <v>135121.9438811923</v>
      </c>
      <c r="AE20" s="143">
        <f t="shared" si="5"/>
        <v>128969.39787414875</v>
      </c>
      <c r="AF20" s="143">
        <f t="shared" si="5"/>
        <v>123316.5055359</v>
      </c>
    </row>
    <row r="21" spans="1:32">
      <c r="A21" s="43" t="s">
        <v>56</v>
      </c>
      <c r="B21" s="143">
        <f t="shared" si="1"/>
        <v>86946.942070189529</v>
      </c>
      <c r="C21" s="143">
        <f t="shared" ref="C21:AF21" si="6">C10*C$2</f>
        <v>88305.48771459586</v>
      </c>
      <c r="D21" s="143">
        <f t="shared" si="6"/>
        <v>88531.882375724046</v>
      </c>
      <c r="E21" s="143">
        <f t="shared" si="6"/>
        <v>93628.985522896328</v>
      </c>
      <c r="F21" s="143">
        <f t="shared" si="6"/>
        <v>95347.726932026912</v>
      </c>
      <c r="G21" s="143">
        <f t="shared" si="6"/>
        <v>107881.10441297779</v>
      </c>
      <c r="H21" s="143">
        <f t="shared" si="6"/>
        <v>130691.87675973137</v>
      </c>
      <c r="I21" s="143">
        <f t="shared" si="6"/>
        <v>131364.8438211426</v>
      </c>
      <c r="J21" s="143">
        <f t="shared" si="6"/>
        <v>148411.16026847428</v>
      </c>
      <c r="K21" s="143">
        <f t="shared" si="6"/>
        <v>165697.2686778043</v>
      </c>
      <c r="L21" s="143">
        <f t="shared" si="6"/>
        <v>167553.28603517258</v>
      </c>
      <c r="M21" s="143">
        <f t="shared" si="6"/>
        <v>182076.32862192998</v>
      </c>
      <c r="N21" s="143">
        <f t="shared" si="6"/>
        <v>198083.68133496065</v>
      </c>
      <c r="O21" s="143">
        <f t="shared" si="6"/>
        <v>228648.67427891633</v>
      </c>
      <c r="P21" s="143">
        <f t="shared" si="6"/>
        <v>234756.03100392016</v>
      </c>
      <c r="Q21" s="143">
        <f t="shared" si="6"/>
        <v>237764.13688904722</v>
      </c>
      <c r="R21" s="143">
        <f t="shared" si="6"/>
        <v>248297.77334725129</v>
      </c>
      <c r="S21" s="143">
        <f t="shared" si="6"/>
        <v>253891.60294218137</v>
      </c>
      <c r="T21" s="143">
        <f t="shared" si="6"/>
        <v>260393.96000221741</v>
      </c>
      <c r="U21" s="143">
        <f t="shared" si="6"/>
        <v>260845.61618888259</v>
      </c>
      <c r="V21" s="143">
        <f t="shared" si="6"/>
        <v>266965.47880556143</v>
      </c>
      <c r="W21" s="143">
        <f t="shared" si="6"/>
        <v>272182.78172851674</v>
      </c>
      <c r="X21" s="143">
        <f t="shared" si="6"/>
        <v>282214.79721874627</v>
      </c>
      <c r="Y21" s="143">
        <f t="shared" si="6"/>
        <v>296838.52845767041</v>
      </c>
      <c r="Z21" s="143">
        <f t="shared" si="6"/>
        <v>315388.49235191429</v>
      </c>
      <c r="AA21" s="143">
        <f t="shared" si="6"/>
        <v>328850.26689515926</v>
      </c>
      <c r="AB21" s="143">
        <f t="shared" si="6"/>
        <v>338870.92603307578</v>
      </c>
      <c r="AC21" s="143">
        <f t="shared" si="6"/>
        <v>349095.86252037267</v>
      </c>
      <c r="AD21" s="143">
        <f t="shared" si="6"/>
        <v>358720.12295779504</v>
      </c>
      <c r="AE21" s="143">
        <f t="shared" si="6"/>
        <v>369143.49385061959</v>
      </c>
      <c r="AF21" s="143">
        <f t="shared" si="6"/>
        <v>380329.35390599945</v>
      </c>
    </row>
    <row r="22" spans="1:32">
      <c r="A22" s="43" t="s">
        <v>549</v>
      </c>
      <c r="B22" s="143">
        <f t="shared" si="1"/>
        <v>143536.56831417378</v>
      </c>
      <c r="C22" s="143">
        <f t="shared" ref="C22:AF22" si="7">C11*C$2</f>
        <v>145941.65114758009</v>
      </c>
      <c r="D22" s="143">
        <f t="shared" si="7"/>
        <v>143330.80577797978</v>
      </c>
      <c r="E22" s="143">
        <f t="shared" si="7"/>
        <v>143655.74067620948</v>
      </c>
      <c r="F22" s="143">
        <f t="shared" si="7"/>
        <v>146054.16680263059</v>
      </c>
      <c r="G22" s="143">
        <f t="shared" si="7"/>
        <v>156396.94710522713</v>
      </c>
      <c r="H22" s="143">
        <f t="shared" si="7"/>
        <v>161349.57009733579</v>
      </c>
      <c r="I22" s="143">
        <f t="shared" si="7"/>
        <v>169155.15323222926</v>
      </c>
      <c r="J22" s="143">
        <f t="shared" si="7"/>
        <v>181525.25824497567</v>
      </c>
      <c r="K22" s="143">
        <f t="shared" si="7"/>
        <v>200743.45615093654</v>
      </c>
      <c r="L22" s="143">
        <f t="shared" si="7"/>
        <v>212117.36338831627</v>
      </c>
      <c r="M22" s="143">
        <f t="shared" si="7"/>
        <v>220542.13154083834</v>
      </c>
      <c r="N22" s="143">
        <f t="shared" si="7"/>
        <v>229692.33743374492</v>
      </c>
      <c r="O22" s="143">
        <f t="shared" si="7"/>
        <v>238689.86230087205</v>
      </c>
      <c r="P22" s="143">
        <f t="shared" si="7"/>
        <v>246799.4755751729</v>
      </c>
      <c r="Q22" s="143">
        <f t="shared" si="7"/>
        <v>258990.09308149724</v>
      </c>
      <c r="R22" s="143">
        <f t="shared" si="7"/>
        <v>275968.90070483007</v>
      </c>
      <c r="S22" s="143">
        <f t="shared" si="7"/>
        <v>294086.31733457261</v>
      </c>
      <c r="T22" s="143">
        <f t="shared" si="7"/>
        <v>309703.81013018661</v>
      </c>
      <c r="U22" s="143">
        <f t="shared" si="7"/>
        <v>323771.55163259245</v>
      </c>
      <c r="V22" s="143">
        <f t="shared" si="7"/>
        <v>338815.71636495827</v>
      </c>
      <c r="W22" s="143">
        <f t="shared" si="7"/>
        <v>356631.29621448572</v>
      </c>
      <c r="X22" s="143">
        <f t="shared" si="7"/>
        <v>373936.00217036763</v>
      </c>
      <c r="Y22" s="143">
        <f t="shared" si="7"/>
        <v>391102.0456956799</v>
      </c>
      <c r="Z22" s="143">
        <f t="shared" si="7"/>
        <v>435572.69700234034</v>
      </c>
      <c r="AA22" s="143">
        <f t="shared" si="7"/>
        <v>454014.81954359997</v>
      </c>
      <c r="AB22" s="143">
        <f t="shared" si="7"/>
        <v>477624.498647695</v>
      </c>
      <c r="AC22" s="143">
        <f t="shared" si="7"/>
        <v>502332.79228529974</v>
      </c>
      <c r="AD22" s="143">
        <f t="shared" si="7"/>
        <v>527072.52764163818</v>
      </c>
      <c r="AE22" s="143">
        <f t="shared" si="7"/>
        <v>552811.38820119458</v>
      </c>
      <c r="AF22" s="143">
        <f t="shared" si="7"/>
        <v>580140.38356339745</v>
      </c>
    </row>
    <row r="23" spans="1:32">
      <c r="A23" s="43" t="s">
        <v>52</v>
      </c>
      <c r="B23" s="143">
        <f t="shared" si="1"/>
        <v>177812.9054268678</v>
      </c>
      <c r="C23" s="143">
        <f t="shared" ref="C23:AF23" si="8">C12*C$2</f>
        <v>178911.40678297254</v>
      </c>
      <c r="D23" s="143">
        <f t="shared" si="8"/>
        <v>174712.98335696565</v>
      </c>
      <c r="E23" s="143">
        <f t="shared" si="8"/>
        <v>173471.05191581932</v>
      </c>
      <c r="F23" s="143">
        <f t="shared" si="8"/>
        <v>168829.70144249382</v>
      </c>
      <c r="G23" s="143">
        <f t="shared" si="8"/>
        <v>171644.68622524515</v>
      </c>
      <c r="H23" s="143">
        <f t="shared" si="8"/>
        <v>172293.68153679644</v>
      </c>
      <c r="I23" s="143">
        <f t="shared" si="8"/>
        <v>179179.20488329462</v>
      </c>
      <c r="J23" s="143">
        <f t="shared" si="8"/>
        <v>199338.39030450836</v>
      </c>
      <c r="K23" s="143">
        <f t="shared" si="8"/>
        <v>214850.503319201</v>
      </c>
      <c r="L23" s="143">
        <f t="shared" si="8"/>
        <v>229038.64963048467</v>
      </c>
      <c r="M23" s="143">
        <f t="shared" si="8"/>
        <v>242976.88701569161</v>
      </c>
      <c r="N23" s="143">
        <f t="shared" si="8"/>
        <v>259757.16456730978</v>
      </c>
      <c r="O23" s="143">
        <f t="shared" si="8"/>
        <v>265087.20671566215</v>
      </c>
      <c r="P23" s="143">
        <f t="shared" si="8"/>
        <v>266653.85003225494</v>
      </c>
      <c r="Q23" s="143">
        <f t="shared" si="8"/>
        <v>273197.07009044458</v>
      </c>
      <c r="R23" s="143">
        <f t="shared" si="8"/>
        <v>283187.72628529795</v>
      </c>
      <c r="S23" s="143">
        <f t="shared" si="8"/>
        <v>298709.0586410957</v>
      </c>
      <c r="T23" s="143">
        <f t="shared" si="8"/>
        <v>313826.49228076846</v>
      </c>
      <c r="U23" s="143">
        <f t="shared" si="8"/>
        <v>330460.2510335074</v>
      </c>
      <c r="V23" s="143">
        <f t="shared" si="8"/>
        <v>346882.19903512503</v>
      </c>
      <c r="W23" s="143">
        <f t="shared" si="8"/>
        <v>360724.63328665029</v>
      </c>
      <c r="X23" s="143">
        <f t="shared" si="8"/>
        <v>377649.71989804792</v>
      </c>
      <c r="Y23" s="143">
        <f t="shared" si="8"/>
        <v>421602.2751940579</v>
      </c>
      <c r="Z23" s="143">
        <f t="shared" si="8"/>
        <v>442298.79377124825</v>
      </c>
      <c r="AA23" s="143">
        <f t="shared" si="8"/>
        <v>463253.02378805756</v>
      </c>
      <c r="AB23" s="143">
        <f t="shared" si="8"/>
        <v>484763.92025536811</v>
      </c>
      <c r="AC23" s="143">
        <f t="shared" si="8"/>
        <v>508040.46571879974</v>
      </c>
      <c r="AD23" s="143">
        <f t="shared" si="8"/>
        <v>532246.51568258717</v>
      </c>
      <c r="AE23" s="143">
        <f t="shared" si="8"/>
        <v>557786.40889039612</v>
      </c>
      <c r="AF23" s="143">
        <f t="shared" si="8"/>
        <v>584933.66228800593</v>
      </c>
    </row>
    <row r="24" spans="1:32">
      <c r="A24" s="43" t="s">
        <v>57</v>
      </c>
      <c r="B24" s="143">
        <f t="shared" si="1"/>
        <v>73244.981847865056</v>
      </c>
      <c r="C24" s="143">
        <f t="shared" ref="C24:AF24" si="9">C13*C$2</f>
        <v>74593.684711054651</v>
      </c>
      <c r="D24" s="143">
        <f t="shared" si="9"/>
        <v>75999.563333659971</v>
      </c>
      <c r="E24" s="143">
        <f t="shared" si="9"/>
        <v>81735.332156568518</v>
      </c>
      <c r="F24" s="143">
        <f t="shared" si="9"/>
        <v>84012.682471576176</v>
      </c>
      <c r="G24" s="143">
        <f t="shared" si="9"/>
        <v>93551.858483315082</v>
      </c>
      <c r="H24" s="143">
        <f t="shared" si="9"/>
        <v>97715.908911213191</v>
      </c>
      <c r="I24" s="143">
        <f t="shared" si="9"/>
        <v>96772.447558199507</v>
      </c>
      <c r="J24" s="143">
        <f t="shared" si="9"/>
        <v>111368.99733225872</v>
      </c>
      <c r="K24" s="143">
        <f t="shared" si="9"/>
        <v>126892.16989194468</v>
      </c>
      <c r="L24" s="143">
        <f t="shared" si="9"/>
        <v>131973.98611577417</v>
      </c>
      <c r="M24" s="143">
        <f t="shared" si="9"/>
        <v>160930.32241596293</v>
      </c>
      <c r="N24" s="143">
        <f t="shared" si="9"/>
        <v>160501.74819553291</v>
      </c>
      <c r="O24" s="143">
        <f t="shared" si="9"/>
        <v>153620.23018148469</v>
      </c>
      <c r="P24" s="143">
        <f t="shared" si="9"/>
        <v>149909.90067764689</v>
      </c>
      <c r="Q24" s="143">
        <f t="shared" si="9"/>
        <v>154598.49779937731</v>
      </c>
      <c r="R24" s="143">
        <f t="shared" si="9"/>
        <v>153704.41990621394</v>
      </c>
      <c r="S24" s="143">
        <f t="shared" si="9"/>
        <v>159978.51819472489</v>
      </c>
      <c r="T24" s="143">
        <f t="shared" si="9"/>
        <v>165095.60060936096</v>
      </c>
      <c r="U24" s="143">
        <f t="shared" si="9"/>
        <v>172663.14750359202</v>
      </c>
      <c r="V24" s="143">
        <f t="shared" si="9"/>
        <v>181651.0552615585</v>
      </c>
      <c r="W24" s="143">
        <f t="shared" si="9"/>
        <v>190401.49571082101</v>
      </c>
      <c r="X24" s="143">
        <f t="shared" si="9"/>
        <v>200009.32088621648</v>
      </c>
      <c r="Y24" s="143">
        <f t="shared" si="9"/>
        <v>213806.79826569877</v>
      </c>
      <c r="Z24" s="143">
        <f t="shared" si="9"/>
        <v>222981.63200965477</v>
      </c>
      <c r="AA24" s="143">
        <f t="shared" si="9"/>
        <v>233139.13918101889</v>
      </c>
      <c r="AB24" s="143">
        <f t="shared" si="9"/>
        <v>241753.25826177656</v>
      </c>
      <c r="AC24" s="143">
        <f t="shared" si="9"/>
        <v>250729.74849863281</v>
      </c>
      <c r="AD24" s="143">
        <f t="shared" si="9"/>
        <v>260652.36837873425</v>
      </c>
      <c r="AE24" s="143">
        <f t="shared" si="9"/>
        <v>271162.21697689372</v>
      </c>
      <c r="AF24" s="143">
        <f t="shared" si="9"/>
        <v>282500.05378324777</v>
      </c>
    </row>
    <row r="26" spans="1:32">
      <c r="A26" s="142" t="s">
        <v>605</v>
      </c>
      <c r="B26" s="149" cm="1">
        <f t="array" ref="B26:AF26">_xlfn.ANCHORARRAY(B1)</f>
        <v>2025</v>
      </c>
      <c r="C26" s="142">
        <v>2026</v>
      </c>
      <c r="D26" s="142">
        <v>2027</v>
      </c>
      <c r="E26" s="142">
        <v>2028</v>
      </c>
      <c r="F26" s="142">
        <v>2029</v>
      </c>
      <c r="G26" s="142">
        <v>2030</v>
      </c>
      <c r="H26" s="142">
        <v>2031</v>
      </c>
      <c r="I26" s="142">
        <v>2032</v>
      </c>
      <c r="J26" s="142">
        <v>2033</v>
      </c>
      <c r="K26" s="142">
        <v>2034</v>
      </c>
      <c r="L26" s="142">
        <v>2035</v>
      </c>
      <c r="M26" s="142">
        <v>2036</v>
      </c>
      <c r="N26" s="142">
        <v>2037</v>
      </c>
      <c r="O26" s="142">
        <v>2038</v>
      </c>
      <c r="P26" s="142">
        <v>2039</v>
      </c>
      <c r="Q26" s="142">
        <v>2040</v>
      </c>
      <c r="R26" s="142">
        <v>2041</v>
      </c>
      <c r="S26" s="142">
        <v>2042</v>
      </c>
      <c r="T26" s="142">
        <v>2043</v>
      </c>
      <c r="U26" s="142">
        <v>2044</v>
      </c>
      <c r="V26" s="142">
        <v>2045</v>
      </c>
      <c r="W26" s="142">
        <v>2046</v>
      </c>
      <c r="X26" s="142">
        <v>2047</v>
      </c>
      <c r="Y26" s="142">
        <v>2048</v>
      </c>
      <c r="Z26" s="142">
        <v>2049</v>
      </c>
      <c r="AA26" s="142">
        <v>2050</v>
      </c>
      <c r="AB26" s="142">
        <v>2051</v>
      </c>
      <c r="AC26" s="142">
        <v>2052</v>
      </c>
      <c r="AD26" s="142">
        <v>2053</v>
      </c>
      <c r="AE26" s="142">
        <v>2054</v>
      </c>
      <c r="AF26" s="142">
        <v>2055</v>
      </c>
    </row>
    <row r="27" spans="1:32">
      <c r="A27" s="43" t="s">
        <v>43</v>
      </c>
      <c r="B27" s="150">
        <f>'Emissions '!$D$2*'Emissions '!$J2*'Diesel Only Emissions'!B16/('Emissions '!$K2*1000000000)</f>
        <v>123.53421150595291</v>
      </c>
      <c r="C27" s="150">
        <f>'Emissions '!$D$2*'Emissions '!$J2*'Diesel Only Emissions'!C16/('Emissions '!$K2*1000000000)</f>
        <v>126.12468235161822</v>
      </c>
      <c r="D27" s="150">
        <f>'Emissions '!$D$2*'Emissions '!$J2*'Diesel Only Emissions'!D16/('Emissions '!$K2*1000000000)</f>
        <v>129.08233499088948</v>
      </c>
      <c r="E27" s="150">
        <f>'Emissions '!$D$2*'Emissions '!$J2*'Diesel Only Emissions'!E16/('Emissions '!$K2*1000000000)</f>
        <v>130.74936539064527</v>
      </c>
      <c r="F27" s="150">
        <f>'Emissions '!$D$2*'Emissions '!$J2*'Diesel Only Emissions'!F16/('Emissions '!$K2*1000000000)</f>
        <v>133.91170677755753</v>
      </c>
      <c r="G27" s="150">
        <f>'Emissions '!$D$2*'Emissions '!$J2*'Diesel Only Emissions'!G16/('Emissions '!$K2*1000000000)</f>
        <v>133.5898402693656</v>
      </c>
      <c r="H27" s="150">
        <f>'Emissions '!$D$2*'Emissions '!$J2*'Diesel Only Emissions'!H16/('Emissions '!$K2*1000000000)</f>
        <v>133.02923464664357</v>
      </c>
      <c r="I27" s="150">
        <f>'Emissions '!$D$2*'Emissions '!$J2*'Diesel Only Emissions'!I16/('Emissions '!$K2*1000000000)</f>
        <v>137.17039301321253</v>
      </c>
      <c r="J27" s="150">
        <f>'Emissions '!$D$2*'Emissions '!$J2*'Diesel Only Emissions'!J16/('Emissions '!$K2*1000000000)</f>
        <v>142.01735030011235</v>
      </c>
      <c r="K27" s="150">
        <f>'Emissions '!$D$2*'Emissions '!$J2*'Diesel Only Emissions'!K16/('Emissions '!$K2*1000000000)</f>
        <v>146.41834895689286</v>
      </c>
      <c r="L27" s="150">
        <f>'Emissions '!$D$2*'Emissions '!$J2*'Diesel Only Emissions'!L16/('Emissions '!$K2*1000000000)</f>
        <v>152.17162502896738</v>
      </c>
      <c r="M27" s="150">
        <f>'Emissions '!$D$2*'Emissions '!$J2*'Diesel Only Emissions'!M16/('Emissions '!$K2*1000000000)</f>
        <v>158.73289179035348</v>
      </c>
      <c r="N27" s="150">
        <f>'Emissions '!$D$2*'Emissions '!$J2*'Diesel Only Emissions'!N16/('Emissions '!$K2*1000000000)</f>
        <v>167.35221423432452</v>
      </c>
      <c r="O27" s="150">
        <f>'Emissions '!$D$2*'Emissions '!$J2*'Diesel Only Emissions'!O16/('Emissions '!$K2*1000000000)</f>
        <v>172.29194230598046</v>
      </c>
      <c r="P27" s="150">
        <f>'Emissions '!$D$2*'Emissions '!$J2*'Diesel Only Emissions'!P16/('Emissions '!$K2*1000000000)</f>
        <v>178.42128179100885</v>
      </c>
      <c r="Q27" s="150">
        <f>'Emissions '!$D$2*'Emissions '!$J2*'Diesel Only Emissions'!Q16/('Emissions '!$K2*1000000000)</f>
        <v>184.33261895363151</v>
      </c>
      <c r="R27" s="150">
        <f>'Emissions '!$D$2*'Emissions '!$J2*'Diesel Only Emissions'!R16/('Emissions '!$K2*1000000000)</f>
        <v>192.77230271107064</v>
      </c>
      <c r="S27" s="150">
        <f>'Emissions '!$D$2*'Emissions '!$J2*'Diesel Only Emissions'!S16/('Emissions '!$K2*1000000000)</f>
        <v>203.49820836378535</v>
      </c>
      <c r="T27" s="150">
        <f>'Emissions '!$D$2*'Emissions '!$J2*'Diesel Only Emissions'!T16/('Emissions '!$K2*1000000000)</f>
        <v>216.01490962135733</v>
      </c>
      <c r="U27" s="150">
        <f>'Emissions '!$D$2*'Emissions '!$J2*'Diesel Only Emissions'!U16/('Emissions '!$K2*1000000000)</f>
        <v>226.70811568412981</v>
      </c>
      <c r="V27" s="150">
        <f>'Emissions '!$D$2*'Emissions '!$J2*'Diesel Only Emissions'!V16/('Emissions '!$K2*1000000000)</f>
        <v>238.54944582238466</v>
      </c>
      <c r="W27" s="150">
        <f>'Emissions '!$D$2*'Emissions '!$J2*'Diesel Only Emissions'!W16/('Emissions '!$K2*1000000000)</f>
        <v>251.42168000408103</v>
      </c>
      <c r="X27" s="150">
        <f>'Emissions '!$D$2*'Emissions '!$J2*'Diesel Only Emissions'!X16/('Emissions '!$K2*1000000000)</f>
        <v>263.37632462632473</v>
      </c>
      <c r="Y27" s="150">
        <f>'Emissions '!$D$2*'Emissions '!$J2*'Diesel Only Emissions'!Y16/('Emissions '!$K2*1000000000)</f>
        <v>273.77039700095253</v>
      </c>
      <c r="Z27" s="150">
        <f>'Emissions '!$D$2*'Emissions '!$J2*'Diesel Only Emissions'!Z16/('Emissions '!$K2*1000000000)</f>
        <v>284.85842149796758</v>
      </c>
      <c r="AA27" s="150">
        <f>'Emissions '!$D$2*'Emissions '!$J2*'Diesel Only Emissions'!AA16/('Emissions '!$K2*1000000000)</f>
        <v>299.24496339487979</v>
      </c>
      <c r="AB27" s="150">
        <f>'Emissions '!$D$2*'Emissions '!$J2*'Diesel Only Emissions'!AB16/('Emissions '!$K2*1000000000)</f>
        <v>312.23007592251304</v>
      </c>
      <c r="AC27" s="150">
        <f>'Emissions '!$D$2*'Emissions '!$J2*'Diesel Only Emissions'!AC16/('Emissions '!$K2*1000000000)</f>
        <v>325.95779402959704</v>
      </c>
      <c r="AD27" s="150">
        <f>'Emissions '!$D$2*'Emissions '!$J2*'Diesel Only Emissions'!AD16/('Emissions '!$K2*1000000000)</f>
        <v>339.79267978205064</v>
      </c>
      <c r="AE27" s="150">
        <f>'Emissions '!$D$2*'Emissions '!$J2*'Diesel Only Emissions'!AE16/('Emissions '!$K2*1000000000)</f>
        <v>354.1627311246861</v>
      </c>
      <c r="AF27" s="150">
        <f>'Emissions '!$D$2*'Emissions '!$J2*'Diesel Only Emissions'!AF16/('Emissions '!$K2*1000000000)</f>
        <v>368.90048555610036</v>
      </c>
    </row>
    <row r="28" spans="1:32">
      <c r="A28" s="43" t="s">
        <v>51</v>
      </c>
      <c r="B28" s="150">
        <f>'Emissions '!$D$2*'Emissions '!$J3*'Diesel Only Emissions'!B17/('Emissions '!$K3*1000000000)</f>
        <v>153.25430775665083</v>
      </c>
      <c r="C28" s="150">
        <f>'Emissions '!$D$2*'Emissions '!$J3*'Diesel Only Emissions'!C17/('Emissions '!$K3*1000000000)</f>
        <v>155.21284674782626</v>
      </c>
      <c r="D28" s="150">
        <f>'Emissions '!$D$2*'Emissions '!$J3*'Diesel Only Emissions'!D17/('Emissions '!$K3*1000000000)</f>
        <v>159.6502987928626</v>
      </c>
      <c r="E28" s="150">
        <f>'Emissions '!$D$2*'Emissions '!$J3*'Diesel Only Emissions'!E17/('Emissions '!$K3*1000000000)</f>
        <v>161.29669961164291</v>
      </c>
      <c r="F28" s="150">
        <f>'Emissions '!$D$2*'Emissions '!$J3*'Diesel Only Emissions'!F17/('Emissions '!$K3*1000000000)</f>
        <v>165.80307904384304</v>
      </c>
      <c r="G28" s="150">
        <f>'Emissions '!$D$2*'Emissions '!$J3*'Diesel Only Emissions'!G17/('Emissions '!$K3*1000000000)</f>
        <v>166.33783699662914</v>
      </c>
      <c r="H28" s="150">
        <f>'Emissions '!$D$2*'Emissions '!$J3*'Diesel Only Emissions'!H17/('Emissions '!$K3*1000000000)</f>
        <v>166.0073324146033</v>
      </c>
      <c r="I28" s="150">
        <f>'Emissions '!$D$2*'Emissions '!$J3*'Diesel Only Emissions'!I17/('Emissions '!$K3*1000000000)</f>
        <v>174.48555273177573</v>
      </c>
      <c r="J28" s="150">
        <f>'Emissions '!$D$2*'Emissions '!$J3*'Diesel Only Emissions'!J17/('Emissions '!$K3*1000000000)</f>
        <v>177.91896552896179</v>
      </c>
      <c r="K28" s="150">
        <f>'Emissions '!$D$2*'Emissions '!$J3*'Diesel Only Emissions'!K17/('Emissions '!$K3*1000000000)</f>
        <v>185.6018194252577</v>
      </c>
      <c r="L28" s="150">
        <f>'Emissions '!$D$2*'Emissions '!$J3*'Diesel Only Emissions'!L17/('Emissions '!$K3*1000000000)</f>
        <v>197.74610449150563</v>
      </c>
      <c r="M28" s="150">
        <f>'Emissions '!$D$2*'Emissions '!$J3*'Diesel Only Emissions'!M17/('Emissions '!$K3*1000000000)</f>
        <v>206.24998232756874</v>
      </c>
      <c r="N28" s="150">
        <f>'Emissions '!$D$2*'Emissions '!$J3*'Diesel Only Emissions'!N17/('Emissions '!$K3*1000000000)</f>
        <v>204.79510480902394</v>
      </c>
      <c r="O28" s="150">
        <f>'Emissions '!$D$2*'Emissions '!$J3*'Diesel Only Emissions'!O17/('Emissions '!$K3*1000000000)</f>
        <v>209.03846386972921</v>
      </c>
      <c r="P28" s="150">
        <f>'Emissions '!$D$2*'Emissions '!$J3*'Diesel Only Emissions'!P17/('Emissions '!$K3*1000000000)</f>
        <v>214.17627794136948</v>
      </c>
      <c r="Q28" s="150">
        <f>'Emissions '!$D$2*'Emissions '!$J3*'Diesel Only Emissions'!Q17/('Emissions '!$K3*1000000000)</f>
        <v>222.72050221817074</v>
      </c>
      <c r="R28" s="150">
        <f>'Emissions '!$D$2*'Emissions '!$J3*'Diesel Only Emissions'!R17/('Emissions '!$K3*1000000000)</f>
        <v>233.48477592139392</v>
      </c>
      <c r="S28" s="150">
        <f>'Emissions '!$D$2*'Emissions '!$J3*'Diesel Only Emissions'!S17/('Emissions '!$K3*1000000000)</f>
        <v>247.78983632903649</v>
      </c>
      <c r="T28" s="150">
        <f>'Emissions '!$D$2*'Emissions '!$J3*'Diesel Only Emissions'!T17/('Emissions '!$K3*1000000000)</f>
        <v>262.73459471898389</v>
      </c>
      <c r="U28" s="150">
        <f>'Emissions '!$D$2*'Emissions '!$J3*'Diesel Only Emissions'!U17/('Emissions '!$K3*1000000000)</f>
        <v>276.42568966556092</v>
      </c>
      <c r="V28" s="150">
        <f>'Emissions '!$D$2*'Emissions '!$J3*'Diesel Only Emissions'!V17/('Emissions '!$K3*1000000000)</f>
        <v>290.67764504631549</v>
      </c>
      <c r="W28" s="150">
        <f>'Emissions '!$D$2*'Emissions '!$J3*'Diesel Only Emissions'!W17/('Emissions '!$K3*1000000000)</f>
        <v>306.38357634188571</v>
      </c>
      <c r="X28" s="150">
        <f>'Emissions '!$D$2*'Emissions '!$J3*'Diesel Only Emissions'!X17/('Emissions '!$K3*1000000000)</f>
        <v>321.12283629812515</v>
      </c>
      <c r="Y28" s="150">
        <f>'Emissions '!$D$2*'Emissions '!$J3*'Diesel Only Emissions'!Y17/('Emissions '!$K3*1000000000)</f>
        <v>333.03237205615255</v>
      </c>
      <c r="Z28" s="150">
        <f>'Emissions '!$D$2*'Emissions '!$J3*'Diesel Only Emissions'!Z17/('Emissions '!$K3*1000000000)</f>
        <v>346.07567655329052</v>
      </c>
      <c r="AA28" s="150">
        <f>'Emissions '!$D$2*'Emissions '!$J3*'Diesel Only Emissions'!AA17/('Emissions '!$K3*1000000000)</f>
        <v>363.25991176193321</v>
      </c>
      <c r="AB28" s="150">
        <f>'Emissions '!$D$2*'Emissions '!$J3*'Diesel Only Emissions'!AB17/('Emissions '!$K3*1000000000)</f>
        <v>379.37009111888813</v>
      </c>
      <c r="AC28" s="150">
        <f>'Emissions '!$D$2*'Emissions '!$J3*'Diesel Only Emissions'!AC17/('Emissions '!$K3*1000000000)</f>
        <v>396.22471326104858</v>
      </c>
      <c r="AD28" s="150">
        <f>'Emissions '!$D$2*'Emissions '!$J3*'Diesel Only Emissions'!AD17/('Emissions '!$K3*1000000000)</f>
        <v>413.17034161154646</v>
      </c>
      <c r="AE28" s="150">
        <f>'Emissions '!$D$2*'Emissions '!$J3*'Diesel Only Emissions'!AE17/('Emissions '!$K3*1000000000)</f>
        <v>430.59558070880178</v>
      </c>
      <c r="AF28" s="150">
        <f>'Emissions '!$D$2*'Emissions '!$J3*'Diesel Only Emissions'!AF17/('Emissions '!$K3*1000000000)</f>
        <v>448.50105319708211</v>
      </c>
    </row>
    <row r="29" spans="1:32">
      <c r="A29" s="43" t="s">
        <v>58</v>
      </c>
      <c r="B29" s="150">
        <f>'Emissions '!$D$2*'Emissions '!$J4*'Diesel Only Emissions'!B18/('Emissions '!$K4*1000000000)</f>
        <v>53.504725893662872</v>
      </c>
      <c r="C29" s="150">
        <f>'Emissions '!$D$2*'Emissions '!$J4*'Diesel Only Emissions'!C18/('Emissions '!$K4*1000000000)</f>
        <v>55.464618852746767</v>
      </c>
      <c r="D29" s="150">
        <f>'Emissions '!$D$2*'Emissions '!$J4*'Diesel Only Emissions'!D18/('Emissions '!$K4*1000000000)</f>
        <v>55.550197807536144</v>
      </c>
      <c r="E29" s="150">
        <f>'Emissions '!$D$2*'Emissions '!$J4*'Diesel Only Emissions'!E18/('Emissions '!$K4*1000000000)</f>
        <v>57.170727780364317</v>
      </c>
      <c r="F29" s="150">
        <f>'Emissions '!$D$2*'Emissions '!$J4*'Diesel Only Emissions'!F18/('Emissions '!$K4*1000000000)</f>
        <v>57.106688783755551</v>
      </c>
      <c r="G29" s="150">
        <f>'Emissions '!$D$2*'Emissions '!$J4*'Diesel Only Emissions'!G18/('Emissions '!$K4*1000000000)</f>
        <v>56.527971350151532</v>
      </c>
      <c r="H29" s="150">
        <f>'Emissions '!$D$2*'Emissions '!$J4*'Diesel Only Emissions'!H18/('Emissions '!$K4*1000000000)</f>
        <v>56.768871484090646</v>
      </c>
      <c r="I29" s="150">
        <f>'Emissions '!$D$2*'Emissions '!$J4*'Diesel Only Emissions'!I18/('Emissions '!$K4*1000000000)</f>
        <v>55.189566545857907</v>
      </c>
      <c r="J29" s="150">
        <f>'Emissions '!$D$2*'Emissions '!$J4*'Diesel Only Emissions'!J18/('Emissions '!$K4*1000000000)</f>
        <v>56.172523104003695</v>
      </c>
      <c r="K29" s="150">
        <f>'Emissions '!$D$2*'Emissions '!$J4*'Diesel Only Emissions'!K18/('Emissions '!$K4*1000000000)</f>
        <v>59.50210493026696</v>
      </c>
      <c r="L29" s="150">
        <f>'Emissions '!$D$2*'Emissions '!$J4*'Diesel Only Emissions'!L18/('Emissions '!$K4*1000000000)</f>
        <v>59.253964225721646</v>
      </c>
      <c r="M29" s="150">
        <f>'Emissions '!$D$2*'Emissions '!$J4*'Diesel Only Emissions'!M18/('Emissions '!$K4*1000000000)</f>
        <v>62.482470029436477</v>
      </c>
      <c r="N29" s="150">
        <f>'Emissions '!$D$2*'Emissions '!$J4*'Diesel Only Emissions'!N18/('Emissions '!$K4*1000000000)</f>
        <v>63.024270539811226</v>
      </c>
      <c r="O29" s="150">
        <f>'Emissions '!$D$2*'Emissions '!$J4*'Diesel Only Emissions'!O18/('Emissions '!$K4*1000000000)</f>
        <v>63.87857852165061</v>
      </c>
      <c r="P29" s="150">
        <f>'Emissions '!$D$2*'Emissions '!$J4*'Diesel Only Emissions'!P18/('Emissions '!$K4*1000000000)</f>
        <v>65.358552075662374</v>
      </c>
      <c r="Q29" s="150">
        <f>'Emissions '!$D$2*'Emissions '!$J4*'Diesel Only Emissions'!Q18/('Emissions '!$K4*1000000000)</f>
        <v>68.139609042573028</v>
      </c>
      <c r="R29" s="150">
        <f>'Emissions '!$D$2*'Emissions '!$J4*'Diesel Only Emissions'!R18/('Emissions '!$K4*1000000000)</f>
        <v>70.404826822293373</v>
      </c>
      <c r="S29" s="150">
        <f>'Emissions '!$D$2*'Emissions '!$J4*'Diesel Only Emissions'!S18/('Emissions '!$K4*1000000000)</f>
        <v>83.538154599677029</v>
      </c>
      <c r="T29" s="150">
        <f>'Emissions '!$D$2*'Emissions '!$J4*'Diesel Only Emissions'!T18/('Emissions '!$K4*1000000000)</f>
        <v>87.916519574200279</v>
      </c>
      <c r="U29" s="150">
        <f>'Emissions '!$D$2*'Emissions '!$J4*'Diesel Only Emissions'!U18/('Emissions '!$K4*1000000000)</f>
        <v>91.825717158335664</v>
      </c>
      <c r="V29" s="150">
        <f>'Emissions '!$D$2*'Emissions '!$J4*'Diesel Only Emissions'!V18/('Emissions '!$K4*1000000000)</f>
        <v>96.023337810349787</v>
      </c>
      <c r="W29" s="150">
        <f>'Emissions '!$D$2*'Emissions '!$J4*'Diesel Only Emissions'!W18/('Emissions '!$K4*1000000000)</f>
        <v>100.60211189223935</v>
      </c>
      <c r="X29" s="150">
        <f>'Emissions '!$D$2*'Emissions '!$J4*'Diesel Only Emissions'!X18/('Emissions '!$K4*1000000000)</f>
        <v>105.0351213718325</v>
      </c>
      <c r="Y29" s="150">
        <f>'Emissions '!$D$2*'Emissions '!$J4*'Diesel Only Emissions'!Y18/('Emissions '!$K4*1000000000)</f>
        <v>109.58240778049365</v>
      </c>
      <c r="Z29" s="150">
        <f>'Emissions '!$D$2*'Emissions '!$J4*'Diesel Only Emissions'!Z18/('Emissions '!$K4*1000000000)</f>
        <v>114.28478572545963</v>
      </c>
      <c r="AA29" s="150">
        <f>'Emissions '!$D$2*'Emissions '!$J4*'Diesel Only Emissions'!AA18/('Emissions '!$K4*1000000000)</f>
        <v>119.16282045553646</v>
      </c>
      <c r="AB29" s="150">
        <f>'Emissions '!$D$2*'Emissions '!$J4*'Diesel Only Emissions'!AB18/('Emissions '!$K4*1000000000)</f>
        <v>125.41734188645228</v>
      </c>
      <c r="AC29" s="150">
        <f>'Emissions '!$D$2*'Emissions '!$J4*'Diesel Only Emissions'!AC18/('Emissions '!$K4*1000000000)</f>
        <v>132.11145169677135</v>
      </c>
      <c r="AD29" s="150">
        <f>'Emissions '!$D$2*'Emissions '!$J4*'Diesel Only Emissions'!AD18/('Emissions '!$K4*1000000000)</f>
        <v>139.24317756801972</v>
      </c>
      <c r="AE29" s="150">
        <f>'Emissions '!$D$2*'Emissions '!$J4*'Diesel Only Emissions'!AE18/('Emissions '!$K4*1000000000)</f>
        <v>145.12962699701464</v>
      </c>
      <c r="AF29" s="150">
        <f>'Emissions '!$D$2*'Emissions '!$J4*'Diesel Only Emissions'!AF18/('Emissions '!$K4*1000000000)</f>
        <v>151.27894750510933</v>
      </c>
    </row>
    <row r="30" spans="1:32">
      <c r="A30" s="43" t="s">
        <v>54</v>
      </c>
      <c r="B30" s="150">
        <f>'Emissions '!$D$2*'Emissions '!$J5*'Diesel Only Emissions'!B19/('Emissions '!$K5*1000000000)</f>
        <v>57.45977867453368</v>
      </c>
      <c r="C30" s="150">
        <f>'Emissions '!$D$2*'Emissions '!$J5*'Diesel Only Emissions'!C19/('Emissions '!$K5*1000000000)</f>
        <v>57.718386738262531</v>
      </c>
      <c r="D30" s="150">
        <f>'Emissions '!$D$2*'Emissions '!$J5*'Diesel Only Emissions'!D19/('Emissions '!$K5*1000000000)</f>
        <v>56.152625964701762</v>
      </c>
      <c r="E30" s="150">
        <f>'Emissions '!$D$2*'Emissions '!$J5*'Diesel Only Emissions'!E19/('Emissions '!$K5*1000000000)</f>
        <v>56.34928269169577</v>
      </c>
      <c r="F30" s="150">
        <f>'Emissions '!$D$2*'Emissions '!$J5*'Diesel Only Emissions'!F19/('Emissions '!$K5*1000000000)</f>
        <v>56.468875246605357</v>
      </c>
      <c r="G30" s="150">
        <f>'Emissions '!$D$2*'Emissions '!$J5*'Diesel Only Emissions'!G19/('Emissions '!$K5*1000000000)</f>
        <v>59.273066207883666</v>
      </c>
      <c r="H30" s="150">
        <f>'Emissions '!$D$2*'Emissions '!$J5*'Diesel Only Emissions'!H19/('Emissions '!$K5*1000000000)</f>
        <v>62.82133564435081</v>
      </c>
      <c r="I30" s="150">
        <f>'Emissions '!$D$2*'Emissions '!$J5*'Diesel Only Emissions'!I19/('Emissions '!$K5*1000000000)</f>
        <v>64.508009716310255</v>
      </c>
      <c r="J30" s="150">
        <f>'Emissions '!$D$2*'Emissions '!$J5*'Diesel Only Emissions'!J19/('Emissions '!$K5*1000000000)</f>
        <v>67.780311562059495</v>
      </c>
      <c r="K30" s="150">
        <f>'Emissions '!$D$2*'Emissions '!$J5*'Diesel Only Emissions'!K19/('Emissions '!$K5*1000000000)</f>
        <v>71.514508143936581</v>
      </c>
      <c r="L30" s="150">
        <f>'Emissions '!$D$2*'Emissions '!$J5*'Diesel Only Emissions'!L19/('Emissions '!$K5*1000000000)</f>
        <v>75.908856548683232</v>
      </c>
      <c r="M30" s="150">
        <f>'Emissions '!$D$2*'Emissions '!$J5*'Diesel Only Emissions'!M19/('Emissions '!$K5*1000000000)</f>
        <v>78.656006375183381</v>
      </c>
      <c r="N30" s="150">
        <f>'Emissions '!$D$2*'Emissions '!$J5*'Diesel Only Emissions'!N19/('Emissions '!$K5*1000000000)</f>
        <v>81.388845952425299</v>
      </c>
      <c r="O30" s="150">
        <f>'Emissions '!$D$2*'Emissions '!$J5*'Diesel Only Emissions'!O19/('Emissions '!$K5*1000000000)</f>
        <v>80.952163818548442</v>
      </c>
      <c r="P30" s="150">
        <f>'Emissions '!$D$2*'Emissions '!$J5*'Diesel Only Emissions'!P19/('Emissions '!$K5*1000000000)</f>
        <v>81.022540546464825</v>
      </c>
      <c r="Q30" s="150">
        <f>'Emissions '!$D$2*'Emissions '!$J5*'Diesel Only Emissions'!Q19/('Emissions '!$K5*1000000000)</f>
        <v>83.068531778900251</v>
      </c>
      <c r="R30" s="150">
        <f>'Emissions '!$D$2*'Emissions '!$J5*'Diesel Only Emissions'!R19/('Emissions '!$K5*1000000000)</f>
        <v>87.034861325088556</v>
      </c>
      <c r="S30" s="150">
        <f>'Emissions '!$D$2*'Emissions '!$J5*'Diesel Only Emissions'!S19/('Emissions '!$K5*1000000000)</f>
        <v>90.249765011429005</v>
      </c>
      <c r="T30" s="150">
        <f>'Emissions '!$D$2*'Emissions '!$J5*'Diesel Only Emissions'!T19/('Emissions '!$K5*1000000000)</f>
        <v>93.640182637949977</v>
      </c>
      <c r="U30" s="150">
        <f>'Emissions '!$D$2*'Emissions '!$J5*'Diesel Only Emissions'!U19/('Emissions '!$K5*1000000000)</f>
        <v>96.612287656142115</v>
      </c>
      <c r="V30" s="150">
        <f>'Emissions '!$D$2*'Emissions '!$J5*'Diesel Only Emissions'!V19/('Emissions '!$K5*1000000000)</f>
        <v>99.85694172483791</v>
      </c>
      <c r="W30" s="150">
        <f>'Emissions '!$D$2*'Emissions '!$J5*'Diesel Only Emissions'!W19/('Emissions '!$K5*1000000000)</f>
        <v>102.16628540760047</v>
      </c>
      <c r="X30" s="150">
        <f>'Emissions '!$D$2*'Emissions '!$J5*'Diesel Only Emissions'!X19/('Emissions '!$K5*1000000000)</f>
        <v>105.3942545203671</v>
      </c>
      <c r="Y30" s="150">
        <f>'Emissions '!$D$2*'Emissions '!$J5*'Diesel Only Emissions'!Y19/('Emissions '!$K5*1000000000)</f>
        <v>111.94979818938393</v>
      </c>
      <c r="Z30" s="150">
        <f>'Emissions '!$D$2*'Emissions '!$J5*'Diesel Only Emissions'!Z19/('Emissions '!$K5*1000000000)</f>
        <v>117.21862150227591</v>
      </c>
      <c r="AA30" s="150">
        <f>'Emissions '!$D$2*'Emissions '!$J5*'Diesel Only Emissions'!AA19/('Emissions '!$K5*1000000000)</f>
        <v>117.60721900986296</v>
      </c>
      <c r="AB30" s="150">
        <f>'Emissions '!$D$2*'Emissions '!$J5*'Diesel Only Emissions'!AB19/('Emissions '!$K5*1000000000)</f>
        <v>121.89992530182131</v>
      </c>
      <c r="AC30" s="150">
        <f>'Emissions '!$D$2*'Emissions '!$J5*'Diesel Only Emissions'!AC19/('Emissions '!$K5*1000000000)</f>
        <v>126.2248518973433</v>
      </c>
      <c r="AD30" s="150">
        <f>'Emissions '!$D$2*'Emissions '!$J5*'Diesel Only Emissions'!AD19/('Emissions '!$K5*1000000000)</f>
        <v>130.22752292991498</v>
      </c>
      <c r="AE30" s="150">
        <f>'Emissions '!$D$2*'Emissions '!$J5*'Diesel Only Emissions'!AE19/('Emissions '!$K5*1000000000)</f>
        <v>134.47232864998355</v>
      </c>
      <c r="AF30" s="150">
        <f>'Emissions '!$D$2*'Emissions '!$J5*'Diesel Only Emissions'!AF19/('Emissions '!$K5*1000000000)</f>
        <v>138.93755824984035</v>
      </c>
    </row>
    <row r="31" spans="1:32">
      <c r="A31" s="43" t="s">
        <v>55</v>
      </c>
      <c r="B31" s="150">
        <f>'Emissions '!$D$2*'Emissions '!$J6*'Diesel Only Emissions'!B20/('Emissions '!$K6*1000000000)</f>
        <v>10.625513738132833</v>
      </c>
      <c r="C31" s="150">
        <f>'Emissions '!$D$2*'Emissions '!$J6*'Diesel Only Emissions'!C20/('Emissions '!$K6*1000000000)</f>
        <v>10.801811387755281</v>
      </c>
      <c r="D31" s="150">
        <f>'Emissions '!$D$2*'Emissions '!$J6*'Diesel Only Emissions'!D20/('Emissions '!$K6*1000000000)</f>
        <v>11.060408909651091</v>
      </c>
      <c r="E31" s="150">
        <f>'Emissions '!$D$2*'Emissions '!$J6*'Diesel Only Emissions'!E20/('Emissions '!$K6*1000000000)</f>
        <v>11.819698591830063</v>
      </c>
      <c r="F31" s="150">
        <f>'Emissions '!$D$2*'Emissions '!$J6*'Diesel Only Emissions'!F20/('Emissions '!$K6*1000000000)</f>
        <v>11.831014820166507</v>
      </c>
      <c r="G31" s="150">
        <f>'Emissions '!$D$2*'Emissions '!$J6*'Diesel Only Emissions'!G20/('Emissions '!$K6*1000000000)</f>
        <v>13.236338678207883</v>
      </c>
      <c r="H31" s="150">
        <f>'Emissions '!$D$2*'Emissions '!$J6*'Diesel Only Emissions'!H20/('Emissions '!$K6*1000000000)</f>
        <v>14.884373913719752</v>
      </c>
      <c r="I31" s="150">
        <f>'Emissions '!$D$2*'Emissions '!$J6*'Diesel Only Emissions'!I20/('Emissions '!$K6*1000000000)</f>
        <v>15.006317569284674</v>
      </c>
      <c r="J31" s="150">
        <f>'Emissions '!$D$2*'Emissions '!$J6*'Diesel Only Emissions'!J20/('Emissions '!$K6*1000000000)</f>
        <v>15.963309181119001</v>
      </c>
      <c r="K31" s="150">
        <f>'Emissions '!$D$2*'Emissions '!$J6*'Diesel Only Emissions'!K20/('Emissions '!$K6*1000000000)</f>
        <v>16.08698310037402</v>
      </c>
      <c r="L31" s="150">
        <f>'Emissions '!$D$2*'Emissions '!$J6*'Diesel Only Emissions'!L20/('Emissions '!$K6*1000000000)</f>
        <v>15.76526664393883</v>
      </c>
      <c r="M31" s="150">
        <f>'Emissions '!$D$2*'Emissions '!$J6*'Diesel Only Emissions'!M20/('Emissions '!$K6*1000000000)</f>
        <v>15.130562180468477</v>
      </c>
      <c r="N31" s="150">
        <f>'Emissions '!$D$2*'Emissions '!$J6*'Diesel Only Emissions'!N20/('Emissions '!$K6*1000000000)</f>
        <v>14.409522862534152</v>
      </c>
      <c r="O31" s="150">
        <f>'Emissions '!$D$2*'Emissions '!$J6*'Diesel Only Emissions'!O20/('Emissions '!$K6*1000000000)</f>
        <v>13.542242050330785</v>
      </c>
      <c r="P31" s="150">
        <f>'Emissions '!$D$2*'Emissions '!$J6*'Diesel Only Emissions'!P20/('Emissions '!$K6*1000000000)</f>
        <v>12.520931526700982</v>
      </c>
      <c r="Q31" s="150">
        <f>'Emissions '!$D$2*'Emissions '!$J6*'Diesel Only Emissions'!Q20/('Emissions '!$K6*1000000000)</f>
        <v>12.004783840760449</v>
      </c>
      <c r="R31" s="150">
        <f>'Emissions '!$D$2*'Emissions '!$J6*'Diesel Only Emissions'!R20/('Emissions '!$K6*1000000000)</f>
        <v>13.147552343891075</v>
      </c>
      <c r="S31" s="150">
        <f>'Emissions '!$D$2*'Emissions '!$J6*'Diesel Only Emissions'!S20/('Emissions '!$K6*1000000000)</f>
        <v>12.531028916461194</v>
      </c>
      <c r="T31" s="150">
        <f>'Emissions '!$D$2*'Emissions '!$J6*'Diesel Only Emissions'!T20/('Emissions '!$K6*1000000000)</f>
        <v>11.89406556484068</v>
      </c>
      <c r="U31" s="150">
        <f>'Emissions '!$D$2*'Emissions '!$J6*'Diesel Only Emissions'!U20/('Emissions '!$K6*1000000000)</f>
        <v>11.110744099986766</v>
      </c>
      <c r="V31" s="150">
        <f>'Emissions '!$D$2*'Emissions '!$J6*'Diesel Only Emissions'!V20/('Emissions '!$K6*1000000000)</f>
        <v>10.311010988315605</v>
      </c>
      <c r="W31" s="150">
        <f>'Emissions '!$D$2*'Emissions '!$J6*'Diesel Only Emissions'!W20/('Emissions '!$K6*1000000000)</f>
        <v>9.4712916516392891</v>
      </c>
      <c r="X31" s="150">
        <f>'Emissions '!$D$2*'Emissions '!$J6*'Diesel Only Emissions'!X20/('Emissions '!$K6*1000000000)</f>
        <v>8.8651825124634875</v>
      </c>
      <c r="Y31" s="150">
        <f>'Emissions '!$D$2*'Emissions '!$J6*'Diesel Only Emissions'!Y20/('Emissions '!$K6*1000000000)</f>
        <v>8.3399270475277536</v>
      </c>
      <c r="Z31" s="150">
        <f>'Emissions '!$D$2*'Emissions '!$J6*'Diesel Only Emissions'!Z20/('Emissions '!$K6*1000000000)</f>
        <v>7.8589546053161605</v>
      </c>
      <c r="AA31" s="150">
        <f>'Emissions '!$D$2*'Emissions '!$J6*'Diesel Only Emissions'!AA20/('Emissions '!$K6*1000000000)</f>
        <v>7.188971296358778</v>
      </c>
      <c r="AB31" s="150">
        <f>'Emissions '!$D$2*'Emissions '!$J6*'Diesel Only Emissions'!AB20/('Emissions '!$K6*1000000000)</f>
        <v>7.1116151208577998</v>
      </c>
      <c r="AC31" s="150">
        <f>'Emissions '!$D$2*'Emissions '!$J6*'Diesel Only Emissions'!AC20/('Emissions '!$K6*1000000000)</f>
        <v>7.080061398215781</v>
      </c>
      <c r="AD31" s="150">
        <f>'Emissions '!$D$2*'Emissions '!$J6*'Diesel Only Emissions'!AD20/('Emissions '!$K6*1000000000)</f>
        <v>6.7489098566191261</v>
      </c>
      <c r="AE31" s="150">
        <f>'Emissions '!$D$2*'Emissions '!$J6*'Diesel Only Emissions'!AE20/('Emissions '!$K6*1000000000)</f>
        <v>6.44160981935243</v>
      </c>
      <c r="AF31" s="150">
        <f>'Emissions '!$D$2*'Emissions '!$J6*'Diesel Only Emissions'!AF20/('Emissions '!$K6*1000000000)</f>
        <v>6.1592658882026647</v>
      </c>
    </row>
    <row r="32" spans="1:32">
      <c r="A32" s="43" t="s">
        <v>56</v>
      </c>
      <c r="B32" s="150">
        <f>'Emissions '!$D$2*'Emissions '!$J7*'Diesel Only Emissions'!B21/('Emissions '!$K7*1000000000)</f>
        <v>5.211266719398381</v>
      </c>
      <c r="C32" s="150">
        <f>'Emissions '!$D$2*'Emissions '!$J7*'Diesel Only Emissions'!C21/('Emissions '!$K7*1000000000)</f>
        <v>5.2926927423833305</v>
      </c>
      <c r="D32" s="150">
        <f>'Emissions '!$D$2*'Emissions '!$J7*'Diesel Only Emissions'!D21/('Emissions '!$K7*1000000000)</f>
        <v>5.3062619713279711</v>
      </c>
      <c r="E32" s="150">
        <f>'Emissions '!$D$2*'Emissions '!$J7*'Diesel Only Emissions'!E21/('Emissions '!$K7*1000000000)</f>
        <v>5.6117628131489141</v>
      </c>
      <c r="F32" s="150">
        <f>'Emissions '!$D$2*'Emissions '!$J7*'Diesel Only Emissions'!F21/('Emissions '!$K7*1000000000)</f>
        <v>5.7147775907982936</v>
      </c>
      <c r="G32" s="150">
        <f>'Emissions '!$D$2*'Emissions '!$J7*'Diesel Only Emissions'!G21/('Emissions '!$K7*1000000000)</f>
        <v>6.4659802368374129</v>
      </c>
      <c r="H32" s="150">
        <f>'Emissions '!$D$2*'Emissions '!$J7*'Diesel Only Emissions'!H21/('Emissions '!$K7*1000000000)</f>
        <v>7.8331705708970905</v>
      </c>
      <c r="I32" s="150">
        <f>'Emissions '!$D$2*'Emissions '!$J7*'Diesel Only Emissions'!I21/('Emissions '!$K7*1000000000)</f>
        <v>7.8735056392374192</v>
      </c>
      <c r="J32" s="150">
        <f>'Emissions '!$D$2*'Emissions '!$J7*'Diesel Only Emissions'!J21/('Emissions '!$K7*1000000000)</f>
        <v>8.8951965633253618</v>
      </c>
      <c r="K32" s="150">
        <f>'Emissions '!$D$2*'Emissions '!$J7*'Diesel Only Emissions'!K21/('Emissions '!$K7*1000000000)</f>
        <v>9.9312596992632916</v>
      </c>
      <c r="L32" s="150">
        <f>'Emissions '!$D$2*'Emissions '!$J7*'Diesel Only Emissions'!L21/('Emissions '!$K7*1000000000)</f>
        <v>10.042502271512365</v>
      </c>
      <c r="M32" s="150">
        <f>'Emissions '!$D$2*'Emissions '!$J7*'Diesel Only Emissions'!M21/('Emissions '!$K7*1000000000)</f>
        <v>10.912957823999506</v>
      </c>
      <c r="N32" s="150">
        <f>'Emissions '!$D$2*'Emissions '!$J7*'Diesel Only Emissions'!N21/('Emissions '!$K7*1000000000)</f>
        <v>11.872377240863493</v>
      </c>
      <c r="O32" s="150">
        <f>'Emissions '!$D$2*'Emissions '!$J7*'Diesel Only Emissions'!O21/('Emissions '!$K7*1000000000)</f>
        <v>13.70432586050441</v>
      </c>
      <c r="P32" s="150">
        <f>'Emissions '!$D$2*'Emissions '!$J7*'Diesel Only Emissions'!P21/('Emissions '!$K7*1000000000)</f>
        <v>14.070377432724321</v>
      </c>
      <c r="Q32" s="150">
        <f>'Emissions '!$D$2*'Emissions '!$J7*'Diesel Only Emissions'!Q21/('Emissions '!$K7*1000000000)</f>
        <v>14.250671779073318</v>
      </c>
      <c r="R32" s="150">
        <f>'Emissions '!$D$2*'Emissions '!$J7*'Diesel Only Emissions'!R21/('Emissions '!$K7*1000000000)</f>
        <v>14.882017606791635</v>
      </c>
      <c r="S32" s="150">
        <f>'Emissions '!$D$2*'Emissions '!$J7*'Diesel Only Emissions'!S21/('Emissions '!$K7*1000000000)</f>
        <v>15.217290329534574</v>
      </c>
      <c r="T32" s="150">
        <f>'Emissions '!$D$2*'Emissions '!$J7*'Diesel Only Emissions'!T21/('Emissions '!$K7*1000000000)</f>
        <v>15.607016709069073</v>
      </c>
      <c r="U32" s="150">
        <f>'Emissions '!$D$2*'Emissions '!$J7*'Diesel Only Emissions'!U21/('Emissions '!$K7*1000000000)</f>
        <v>15.634087251150685</v>
      </c>
      <c r="V32" s="150">
        <f>'Emissions '!$D$2*'Emissions '!$J7*'Diesel Only Emissions'!V21/('Emissions '!$K7*1000000000)</f>
        <v>16.000888378622694</v>
      </c>
      <c r="W32" s="150">
        <f>'Emissions '!$D$2*'Emissions '!$J7*'Diesel Only Emissions'!W21/('Emissions '!$K7*1000000000)</f>
        <v>16.313593534664506</v>
      </c>
      <c r="X32" s="150">
        <f>'Emissions '!$D$2*'Emissions '!$J7*'Diesel Only Emissions'!X21/('Emissions '!$K7*1000000000)</f>
        <v>16.914874122664006</v>
      </c>
      <c r="Y32" s="150">
        <f>'Emissions '!$D$2*'Emissions '!$J7*'Diesel Only Emissions'!Y21/('Emissions '!$K7*1000000000)</f>
        <v>17.791364567345905</v>
      </c>
      <c r="Z32" s="150">
        <f>'Emissions '!$D$2*'Emissions '!$J7*'Diesel Only Emissions'!Z21/('Emissions '!$K7*1000000000)</f>
        <v>18.903178360751969</v>
      </c>
      <c r="AA32" s="150">
        <f>'Emissions '!$D$2*'Emissions '!$J7*'Diesel Only Emissions'!AA21/('Emissions '!$K7*1000000000)</f>
        <v>19.710025571141781</v>
      </c>
      <c r="AB32" s="150">
        <f>'Emissions '!$D$2*'Emissions '!$J7*'Diesel Only Emissions'!AB21/('Emissions '!$K7*1000000000)</f>
        <v>20.31062550287605</v>
      </c>
      <c r="AC32" s="150">
        <f>'Emissions '!$D$2*'Emissions '!$J7*'Diesel Only Emissions'!AC21/('Emissions '!$K7*1000000000)</f>
        <v>20.923469036593399</v>
      </c>
      <c r="AD32" s="150">
        <f>'Emissions '!$D$2*'Emissions '!$J7*'Diesel Only Emissions'!AD21/('Emissions '!$K7*1000000000)</f>
        <v>21.500310348342737</v>
      </c>
      <c r="AE32" s="150">
        <f>'Emissions '!$D$2*'Emissions '!$J7*'Diesel Only Emissions'!AE21/('Emissions '!$K7*1000000000)</f>
        <v>22.125047280365859</v>
      </c>
      <c r="AF32" s="150">
        <f>'Emissions '!$D$2*'Emissions '!$J7*'Diesel Only Emissions'!AF21/('Emissions '!$K7*1000000000)</f>
        <v>22.795484892621285</v>
      </c>
    </row>
    <row r="33" spans="1:32">
      <c r="A33" s="43" t="s">
        <v>549</v>
      </c>
      <c r="B33" s="150">
        <f>'Emissions '!$D$2*'Emissions '!$J8*'Diesel Only Emissions'!B22/('Emissions '!$K8*1000000000)</f>
        <v>8.879678715567664</v>
      </c>
      <c r="C33" s="150">
        <f>'Emissions '!$D$2*'Emissions '!$J8*'Diesel Only Emissions'!C22/('Emissions '!$K8*1000000000)</f>
        <v>9.0284656281698261</v>
      </c>
      <c r="D33" s="150">
        <f>'Emissions '!$D$2*'Emissions '!$J8*'Diesel Only Emissions'!D22/('Emissions '!$K8*1000000000)</f>
        <v>8.8669495188579877</v>
      </c>
      <c r="E33" s="150">
        <f>'Emissions '!$D$2*'Emissions '!$J8*'Diesel Only Emissions'!E22/('Emissions '!$K8*1000000000)</f>
        <v>8.8870511384915289</v>
      </c>
      <c r="F33" s="150">
        <f>'Emissions '!$D$2*'Emissions '!$J8*'Diesel Only Emissions'!F22/('Emissions '!$K8*1000000000)</f>
        <v>9.0354262437053254</v>
      </c>
      <c r="G33" s="150">
        <f>'Emissions '!$D$2*'Emissions '!$J8*'Diesel Only Emissions'!G22/('Emissions '!$K8*1000000000)</f>
        <v>9.6752671371544281</v>
      </c>
      <c r="H33" s="150">
        <f>'Emissions '!$D$2*'Emissions '!$J8*'Diesel Only Emissions'!H22/('Emissions '!$K8*1000000000)</f>
        <v>9.9816538752921247</v>
      </c>
      <c r="I33" s="150">
        <f>'Emissions '!$D$2*'Emissions '!$J8*'Diesel Only Emissions'!I22/('Emissions '!$K8*1000000000)</f>
        <v>10.464534797133581</v>
      </c>
      <c r="J33" s="150">
        <f>'Emissions '!$D$2*'Emissions '!$J8*'Diesel Only Emissions'!J22/('Emissions '!$K8*1000000000)</f>
        <v>11.229793152416235</v>
      </c>
      <c r="K33" s="150">
        <f>'Emissions '!$D$2*'Emissions '!$J8*'Diesel Only Emissions'!K22/('Emissions '!$K8*1000000000)</f>
        <v>12.41869870381276</v>
      </c>
      <c r="L33" s="150">
        <f>'Emissions '!$D$2*'Emissions '!$J8*'Diesel Only Emissions'!L22/('Emissions '!$K8*1000000000)</f>
        <v>13.122328748719085</v>
      </c>
      <c r="M33" s="150">
        <f>'Emissions '!$D$2*'Emissions '!$J8*'Diesel Only Emissions'!M22/('Emissions '!$K8*1000000000)</f>
        <v>13.643514641109933</v>
      </c>
      <c r="N33" s="150">
        <f>'Emissions '!$D$2*'Emissions '!$J8*'Diesel Only Emissions'!N22/('Emissions '!$K8*1000000000)</f>
        <v>14.209578672489462</v>
      </c>
      <c r="O33" s="150">
        <f>'Emissions '!$D$2*'Emissions '!$J8*'Diesel Only Emissions'!O22/('Emissions '!$K8*1000000000)</f>
        <v>14.766197316740065</v>
      </c>
      <c r="P33" s="150">
        <f>'Emissions '!$D$2*'Emissions '!$J8*'Diesel Only Emissions'!P22/('Emissions '!$K8*1000000000)</f>
        <v>15.267886616052813</v>
      </c>
      <c r="Q33" s="150">
        <f>'Emissions '!$D$2*'Emissions '!$J8*'Diesel Only Emissions'!Q22/('Emissions '!$K8*1000000000)</f>
        <v>16.022041240702883</v>
      </c>
      <c r="R33" s="150">
        <f>'Emissions '!$D$2*'Emissions '!$J8*'Diesel Only Emissions'!R22/('Emissions '!$K8*1000000000)</f>
        <v>17.072410205485628</v>
      </c>
      <c r="S33" s="150">
        <f>'Emissions '!$D$2*'Emissions '!$J8*'Diesel Only Emissions'!S22/('Emissions '!$K8*1000000000)</f>
        <v>18.1932175420249</v>
      </c>
      <c r="T33" s="150">
        <f>'Emissions '!$D$2*'Emissions '!$J8*'Diesel Only Emissions'!T22/('Emissions '!$K8*1000000000)</f>
        <v>19.15937076692439</v>
      </c>
      <c r="U33" s="150">
        <f>'Emissions '!$D$2*'Emissions '!$J8*'Diesel Only Emissions'!U22/('Emissions '!$K8*1000000000)</f>
        <v>20.029650907115581</v>
      </c>
      <c r="V33" s="150">
        <f>'Emissions '!$D$2*'Emissions '!$J8*'Diesel Only Emissions'!V22/('Emissions '!$K8*1000000000)</f>
        <v>20.960336034511723</v>
      </c>
      <c r="W33" s="150">
        <f>'Emissions '!$D$2*'Emissions '!$J8*'Diesel Only Emissions'!W22/('Emissions '!$K8*1000000000)</f>
        <v>22.062470682520608</v>
      </c>
      <c r="X33" s="150">
        <f>'Emissions '!$D$2*'Emissions '!$J8*'Diesel Only Emissions'!X22/('Emissions '!$K8*1000000000)</f>
        <v>23.133000868384247</v>
      </c>
      <c r="Y33" s="150">
        <f>'Emissions '!$D$2*'Emissions '!$J8*'Diesel Only Emissions'!Y22/('Emissions '!$K8*1000000000)</f>
        <v>24.194952906896038</v>
      </c>
      <c r="Z33" s="150">
        <f>'Emissions '!$D$2*'Emissions '!$J8*'Diesel Only Emissions'!Z22/('Emissions '!$K8*1000000000)</f>
        <v>26.946064351965962</v>
      </c>
      <c r="AA33" s="150">
        <f>'Emissions '!$D$2*'Emissions '!$J8*'Diesel Only Emissions'!AA22/('Emissions '!$K8*1000000000)</f>
        <v>28.086959142212542</v>
      </c>
      <c r="AB33" s="150">
        <f>'Emissions '!$D$2*'Emissions '!$J8*'Diesel Only Emissions'!AB22/('Emissions '!$K8*1000000000)</f>
        <v>29.54753721987105</v>
      </c>
      <c r="AC33" s="150">
        <f>'Emissions '!$D$2*'Emissions '!$J8*'Diesel Only Emissions'!AC22/('Emissions '!$K8*1000000000)</f>
        <v>31.076079470035531</v>
      </c>
      <c r="AD33" s="150">
        <f>'Emissions '!$D$2*'Emissions '!$J8*'Diesel Only Emissions'!AD22/('Emissions '!$K8*1000000000)</f>
        <v>32.606566815891654</v>
      </c>
      <c r="AE33" s="150">
        <f>'Emissions '!$D$2*'Emissions '!$J8*'Diesel Only Emissions'!AE22/('Emissions '!$K8*1000000000)</f>
        <v>34.198863573143079</v>
      </c>
      <c r="AF33" s="150">
        <f>'Emissions '!$D$2*'Emissions '!$J8*'Diesel Only Emissions'!AF22/('Emissions '!$K8*1000000000)</f>
        <v>35.889531681526698</v>
      </c>
    </row>
    <row r="34" spans="1:32">
      <c r="A34" s="43" t="s">
        <v>52</v>
      </c>
      <c r="B34" s="150">
        <f>'Emissions '!$D$2*'Emissions '!$J9*'Diesel Only Emissions'!B23/('Emissions '!$K9*1000000000)</f>
        <v>11.131087879721925</v>
      </c>
      <c r="C34" s="150">
        <f>'Emissions '!$D$2*'Emissions '!$J9*'Diesel Only Emissions'!C23/('Emissions '!$K9*1000000000)</f>
        <v>11.199854064614081</v>
      </c>
      <c r="D34" s="150">
        <f>'Emissions '!$D$2*'Emissions '!$J9*'Diesel Only Emissions'!D23/('Emissions '!$K9*1000000000)</f>
        <v>10.937032758146049</v>
      </c>
      <c r="E34" s="150">
        <f>'Emissions '!$D$2*'Emissions '!$J9*'Diesel Only Emissions'!E23/('Emissions '!$K9*1000000000)</f>
        <v>10.85928784993029</v>
      </c>
      <c r="F34" s="150">
        <f>'Emissions '!$D$2*'Emissions '!$J9*'Diesel Only Emissions'!F23/('Emissions '!$K9*1000000000)</f>
        <v>10.568739310300113</v>
      </c>
      <c r="G34" s="150">
        <f>'Emissions '!$D$2*'Emissions '!$J9*'Diesel Only Emissions'!G23/('Emissions '!$K9*1000000000)</f>
        <v>10.744957357700347</v>
      </c>
      <c r="H34" s="150">
        <f>'Emissions '!$D$2*'Emissions '!$J9*'Diesel Only Emissions'!H23/('Emissions '!$K9*1000000000)</f>
        <v>10.785584464203456</v>
      </c>
      <c r="I34" s="150">
        <f>'Emissions '!$D$2*'Emissions '!$J9*'Diesel Only Emissions'!I23/('Emissions '!$K9*1000000000)</f>
        <v>11.216618225694242</v>
      </c>
      <c r="J34" s="150">
        <f>'Emissions '!$D$2*'Emissions '!$J9*'Diesel Only Emissions'!J23/('Emissions '!$K9*1000000000)</f>
        <v>12.478583233062222</v>
      </c>
      <c r="K34" s="150">
        <f>'Emissions '!$D$2*'Emissions '!$J9*'Diesel Only Emissions'!K23/('Emissions '!$K9*1000000000)</f>
        <v>13.449641507781983</v>
      </c>
      <c r="L34" s="150">
        <f>'Emissions '!$D$2*'Emissions '!$J9*'Diesel Only Emissions'!L23/('Emissions '!$K9*1000000000)</f>
        <v>14.337819466868339</v>
      </c>
      <c r="M34" s="150">
        <f>'Emissions '!$D$2*'Emissions '!$J9*'Diesel Only Emissions'!M23/('Emissions '!$K9*1000000000)</f>
        <v>15.210353127182294</v>
      </c>
      <c r="N34" s="150">
        <f>'Emissions '!$D$2*'Emissions '!$J9*'Diesel Only Emissions'!N23/('Emissions '!$K9*1000000000)</f>
        <v>16.260798501913591</v>
      </c>
      <c r="O34" s="150">
        <f>'Emissions '!$D$2*'Emissions '!$J9*'Diesel Only Emissions'!O23/('Emissions '!$K9*1000000000)</f>
        <v>16.594459140400453</v>
      </c>
      <c r="P34" s="150">
        <f>'Emissions '!$D$2*'Emissions '!$J9*'Diesel Only Emissions'!P23/('Emissions '!$K9*1000000000)</f>
        <v>16.69253101201916</v>
      </c>
      <c r="Q34" s="150">
        <f>'Emissions '!$D$2*'Emissions '!$J9*'Diesel Only Emissions'!Q23/('Emissions '!$K9*1000000000)</f>
        <v>17.102136587661832</v>
      </c>
      <c r="R34" s="150">
        <f>'Emissions '!$D$2*'Emissions '!$J9*'Diesel Only Emissions'!R23/('Emissions '!$K9*1000000000)</f>
        <v>17.72755166545965</v>
      </c>
      <c r="S34" s="150">
        <f>'Emissions '!$D$2*'Emissions '!$J9*'Diesel Only Emissions'!S23/('Emissions '!$K9*1000000000)</f>
        <v>18.699187070932592</v>
      </c>
      <c r="T34" s="150">
        <f>'Emissions '!$D$2*'Emissions '!$J9*'Diesel Only Emissions'!T23/('Emissions '!$K9*1000000000)</f>
        <v>19.645538416776105</v>
      </c>
      <c r="U34" s="150">
        <f>'Emissions '!$D$2*'Emissions '!$J9*'Diesel Only Emissions'!U23/('Emissions '!$K9*1000000000)</f>
        <v>20.686811714697562</v>
      </c>
      <c r="V34" s="150">
        <f>'Emissions '!$D$2*'Emissions '!$J9*'Diesel Only Emissions'!V23/('Emissions '!$K9*1000000000)</f>
        <v>21.714825659598826</v>
      </c>
      <c r="W34" s="150">
        <f>'Emissions '!$D$2*'Emissions '!$J9*'Diesel Only Emissions'!W23/('Emissions '!$K9*1000000000)</f>
        <v>22.58136204374431</v>
      </c>
      <c r="X34" s="150">
        <f>'Emissions '!$D$2*'Emissions '!$J9*'Diesel Only Emissions'!X23/('Emissions '!$K9*1000000000)</f>
        <v>23.640872465617797</v>
      </c>
      <c r="Y34" s="150">
        <f>'Emissions '!$D$2*'Emissions '!$J9*'Diesel Only Emissions'!Y23/('Emissions '!$K9*1000000000)</f>
        <v>26.392302427148024</v>
      </c>
      <c r="Z34" s="150">
        <f>'Emissions '!$D$2*'Emissions '!$J9*'Diesel Only Emissions'!Z23/('Emissions '!$K9*1000000000)</f>
        <v>27.68790449008014</v>
      </c>
      <c r="AA34" s="150">
        <f>'Emissions '!$D$2*'Emissions '!$J9*'Diesel Only Emissions'!AA23/('Emissions '!$K9*1000000000)</f>
        <v>28.999639289132407</v>
      </c>
      <c r="AB34" s="150">
        <f>'Emissions '!$D$2*'Emissions '!$J9*'Diesel Only Emissions'!AB23/('Emissions '!$K9*1000000000)</f>
        <v>30.346221407986043</v>
      </c>
      <c r="AC34" s="150">
        <f>'Emissions '!$D$2*'Emissions '!$J9*'Diesel Only Emissions'!AC23/('Emissions '!$K9*1000000000)</f>
        <v>31.80333315399686</v>
      </c>
      <c r="AD34" s="150">
        <f>'Emissions '!$D$2*'Emissions '!$J9*'Diesel Only Emissions'!AD23/('Emissions '!$K9*1000000000)</f>
        <v>33.318631881729956</v>
      </c>
      <c r="AE34" s="150">
        <f>'Emissions '!$D$2*'Emissions '!$J9*'Diesel Only Emissions'!AE23/('Emissions '!$K9*1000000000)</f>
        <v>34.917429196538798</v>
      </c>
      <c r="AF34" s="150">
        <f>'Emissions '!$D$2*'Emissions '!$J9*'Diesel Only Emissions'!AF23/('Emissions '!$K9*1000000000)</f>
        <v>36.616847259229175</v>
      </c>
    </row>
    <row r="35" spans="1:32">
      <c r="A35" s="43" t="s">
        <v>57</v>
      </c>
      <c r="B35" s="150">
        <f>'Emissions '!$D$2*'Emissions '!$J10*'Diesel Only Emissions'!B24/('Emissions '!$K10*1000000000)</f>
        <v>3.8209465530636266</v>
      </c>
      <c r="C35" s="150">
        <f>'Emissions '!$D$2*'Emissions '!$J10*'Diesel Only Emissions'!C24/('Emissions '!$K10*1000000000)</f>
        <v>3.8913038857600175</v>
      </c>
      <c r="D35" s="150">
        <f>'Emissions '!$D$2*'Emissions '!$J10*'Diesel Only Emissions'!D24/('Emissions '!$K10*1000000000)</f>
        <v>3.9646438872392618</v>
      </c>
      <c r="E35" s="150">
        <f>'Emissions '!$D$2*'Emissions '!$J10*'Diesel Only Emissions'!E24/('Emissions '!$K10*1000000000)</f>
        <v>4.2638598275009914</v>
      </c>
      <c r="F35" s="150">
        <f>'Emissions '!$D$2*'Emissions '!$J10*'Diesel Only Emissions'!F24/('Emissions '!$K10*1000000000)</f>
        <v>4.3826616022672242</v>
      </c>
      <c r="G35" s="150">
        <f>'Emissions '!$D$2*'Emissions '!$J10*'Diesel Only Emissions'!G24/('Emissions '!$K10*1000000000)</f>
        <v>4.8802886175462703</v>
      </c>
      <c r="H35" s="150">
        <f>'Emissions '!$D$2*'Emissions '!$J10*'Diesel Only Emissions'!H24/('Emissions '!$K10*1000000000)</f>
        <v>5.0975132482016212</v>
      </c>
      <c r="I35" s="150">
        <f>'Emissions '!$D$2*'Emissions '!$J10*'Diesel Only Emissions'!I24/('Emissions '!$K10*1000000000)</f>
        <v>5.0482960142860742</v>
      </c>
      <c r="J35" s="150">
        <f>'Emissions '!$D$2*'Emissions '!$J10*'Diesel Only Emissions'!J24/('Emissions '!$K10*1000000000)</f>
        <v>5.8097493608328303</v>
      </c>
      <c r="K35" s="150">
        <f>'Emissions '!$D$2*'Emissions '!$J10*'Diesel Only Emissions'!K24/('Emissions '!$K10*1000000000)</f>
        <v>6.6195415293631141</v>
      </c>
      <c r="L35" s="150">
        <f>'Emissions '!$D$2*'Emissions '!$J10*'Diesel Only Emissions'!L24/('Emissions '!$K10*1000000000)</f>
        <v>6.8846429423728859</v>
      </c>
      <c r="M35" s="150">
        <f>'Emissions '!$D$2*'Emissions '!$J10*'Diesel Only Emissions'!M24/('Emissions '!$K10*1000000000)</f>
        <v>8.3951984860327329</v>
      </c>
      <c r="N35" s="150">
        <f>'Emissions '!$D$2*'Emissions '!$J10*'Diesel Only Emissions'!N24/('Emissions '!$K10*1000000000)</f>
        <v>8.3728411975336332</v>
      </c>
      <c r="O35" s="150">
        <f>'Emissions '!$D$2*'Emissions '!$J10*'Diesel Only Emissions'!O24/('Emissions '!$K10*1000000000)</f>
        <v>8.0138553411341178</v>
      </c>
      <c r="P35" s="150">
        <f>'Emissions '!$D$2*'Emissions '!$J10*'Diesel Only Emissions'!P24/('Emissions '!$K10*1000000000)</f>
        <v>7.8202998186839121</v>
      </c>
      <c r="Q35" s="150">
        <f>'Emissions '!$D$2*'Emissions '!$J10*'Diesel Only Emissions'!Q24/('Emissions '!$K10*1000000000)</f>
        <v>8.0648883018675157</v>
      </c>
      <c r="R35" s="150">
        <f>'Emissions '!$D$2*'Emissions '!$J10*'Diesel Only Emissions'!R24/('Emissions '!$K10*1000000000)</f>
        <v>8.0182472384408268</v>
      </c>
      <c r="S35" s="150">
        <f>'Emissions '!$D$2*'Emissions '!$J10*'Diesel Only Emissions'!S24/('Emissions '!$K10*1000000000)</f>
        <v>8.3455460324914821</v>
      </c>
      <c r="T35" s="150">
        <f>'Emissions '!$D$2*'Emissions '!$J10*'Diesel Only Emissions'!T24/('Emissions '!$K10*1000000000)</f>
        <v>8.6124871651216637</v>
      </c>
      <c r="U35" s="150">
        <f>'Emissions '!$D$2*'Emissions '!$J10*'Diesel Only Emissions'!U24/('Emissions '!$K10*1000000000)</f>
        <v>9.0072608614373824</v>
      </c>
      <c r="V35" s="150">
        <f>'Emissions '!$D$2*'Emissions '!$J10*'Diesel Only Emissions'!V24/('Emissions '!$K10*1000000000)</f>
        <v>9.4761300494779679</v>
      </c>
      <c r="W35" s="150">
        <f>'Emissions '!$D$2*'Emissions '!$J10*'Diesel Only Emissions'!W24/('Emissions '!$K10*1000000000)</f>
        <v>9.9326113595811627</v>
      </c>
      <c r="X35" s="150">
        <f>'Emissions '!$D$2*'Emissions '!$J10*'Diesel Only Emissions'!X24/('Emissions '!$K10*1000000000)</f>
        <v>10.433819572897628</v>
      </c>
      <c r="Y35" s="150">
        <f>'Emissions '!$D$2*'Emissions '!$J10*'Diesel Only Emissions'!Y24/('Emissions '!$K10*1000000000)</f>
        <v>11.153587976193954</v>
      </c>
      <c r="Z35" s="150">
        <f>'Emissions '!$D$2*'Emissions '!$J10*'Diesel Only Emissions'!Z24/('Emissions '!$K10*1000000000)</f>
        <v>11.632208469836991</v>
      </c>
      <c r="AA35" s="150">
        <f>'Emissions '!$D$2*'Emissions '!$J10*'Diesel Only Emissions'!AA24/('Emissions '!$K10*1000000000)</f>
        <v>12.162091760609819</v>
      </c>
      <c r="AB35" s="150">
        <f>'Emissions '!$D$2*'Emissions '!$J10*'Diesel Only Emissions'!AB24/('Emissions '!$K10*1000000000)</f>
        <v>12.611461639322677</v>
      </c>
      <c r="AC35" s="150">
        <f>'Emissions '!$D$2*'Emissions '!$J10*'Diesel Only Emissions'!AC24/('Emissions '!$K10*1000000000)</f>
        <v>13.079735213345346</v>
      </c>
      <c r="AD35" s="150">
        <f>'Emissions '!$D$2*'Emissions '!$J10*'Diesel Only Emissions'!AD24/('Emissions '!$K10*1000000000)</f>
        <v>13.597365217090637</v>
      </c>
      <c r="AE35" s="150">
        <f>'Emissions '!$D$2*'Emissions '!$J10*'Diesel Only Emissions'!AE24/('Emissions '!$K10*1000000000)</f>
        <v>14.145628985627956</v>
      </c>
      <c r="AF35" s="150">
        <f>'Emissions '!$D$2*'Emissions '!$J10*'Diesel Only Emissions'!AF24/('Emissions '!$K10*1000000000)</f>
        <v>14.737086139026093</v>
      </c>
    </row>
    <row r="36" spans="1:32">
      <c r="A36" s="54" t="s">
        <v>606</v>
      </c>
      <c r="B36" s="53">
        <f>SUM(B27:B35)</f>
        <v>427.42151743668472</v>
      </c>
      <c r="C36" s="53">
        <f t="shared" ref="C36:AF36" si="10">SUM(C27:C35)</f>
        <v>434.73466239913637</v>
      </c>
      <c r="D36" s="53">
        <f t="shared" si="10"/>
        <v>440.5707546012124</v>
      </c>
      <c r="E36" s="53">
        <f t="shared" si="10"/>
        <v>447.00773569525001</v>
      </c>
      <c r="F36" s="53">
        <f t="shared" si="10"/>
        <v>454.82296941899892</v>
      </c>
      <c r="G36" s="53">
        <f t="shared" si="10"/>
        <v>460.73154685147625</v>
      </c>
      <c r="H36" s="53">
        <f t="shared" si="10"/>
        <v>467.20907026200234</v>
      </c>
      <c r="I36" s="53">
        <f t="shared" si="10"/>
        <v>480.96279425279232</v>
      </c>
      <c r="J36" s="53">
        <f t="shared" si="10"/>
        <v>498.265781985893</v>
      </c>
      <c r="K36" s="53">
        <f t="shared" si="10"/>
        <v>521.54290599694934</v>
      </c>
      <c r="L36" s="53">
        <f t="shared" si="10"/>
        <v>545.23311036828943</v>
      </c>
      <c r="M36" s="53">
        <f t="shared" si="10"/>
        <v>569.41393678133511</v>
      </c>
      <c r="N36" s="53">
        <f t="shared" si="10"/>
        <v>581.68555401091919</v>
      </c>
      <c r="O36" s="53">
        <f t="shared" si="10"/>
        <v>592.78222822501846</v>
      </c>
      <c r="P36" s="53">
        <f t="shared" si="10"/>
        <v>605.35067876068672</v>
      </c>
      <c r="Q36" s="53">
        <f t="shared" si="10"/>
        <v>625.70578374334139</v>
      </c>
      <c r="R36" s="53">
        <f t="shared" si="10"/>
        <v>654.54454583991537</v>
      </c>
      <c r="S36" s="53">
        <f t="shared" si="10"/>
        <v>698.06223419537241</v>
      </c>
      <c r="T36" s="53">
        <f t="shared" si="10"/>
        <v>735.2246851752235</v>
      </c>
      <c r="U36" s="53">
        <f t="shared" si="10"/>
        <v>768.04036499855658</v>
      </c>
      <c r="V36" s="53">
        <f t="shared" si="10"/>
        <v>803.57056151441452</v>
      </c>
      <c r="W36" s="53">
        <f t="shared" si="10"/>
        <v>840.93498291795652</v>
      </c>
      <c r="X36" s="53">
        <f t="shared" si="10"/>
        <v>877.91628635867653</v>
      </c>
      <c r="Y36" s="53">
        <f t="shared" si="10"/>
        <v>916.20710995209436</v>
      </c>
      <c r="Z36" s="53">
        <f t="shared" si="10"/>
        <v>955.46581555694502</v>
      </c>
      <c r="AA36" s="53">
        <f t="shared" si="10"/>
        <v>995.42260168166774</v>
      </c>
      <c r="AB36" s="53">
        <f t="shared" si="10"/>
        <v>1038.8448951205885</v>
      </c>
      <c r="AC36" s="53">
        <f t="shared" si="10"/>
        <v>1084.4814891569472</v>
      </c>
      <c r="AD36" s="53">
        <f t="shared" si="10"/>
        <v>1130.2055060112059</v>
      </c>
      <c r="AE36" s="53">
        <f t="shared" si="10"/>
        <v>1176.1888463355142</v>
      </c>
      <c r="AF36" s="53">
        <f t="shared" si="10"/>
        <v>1223.8162603687381</v>
      </c>
    </row>
    <row r="37" spans="1:32">
      <c r="A37" t="str" cm="1">
        <f t="array" aca="1" ref="A37:AF37" ca="1">'Emissions '!A22:AF22</f>
        <v>Total Emissions</v>
      </c>
      <c r="B37" s="218">
        <f ca="1"/>
        <v>426.42498937881993</v>
      </c>
      <c r="C37" s="218">
        <f ca="1"/>
        <v>432.59517465384192</v>
      </c>
      <c r="D37" s="218">
        <f ca="1"/>
        <v>437.23668981431257</v>
      </c>
      <c r="E37" s="218">
        <f ca="1"/>
        <v>442.38072288992373</v>
      </c>
      <c r="F37" s="218">
        <f ca="1"/>
        <v>448.64956367448718</v>
      </c>
      <c r="G37" s="218">
        <f ca="1"/>
        <v>452.75565994203271</v>
      </c>
      <c r="H37" s="218">
        <f ca="1"/>
        <v>457.05632396174076</v>
      </c>
      <c r="I37" s="218">
        <f ca="1"/>
        <v>467.51342893131499</v>
      </c>
      <c r="J37" s="218">
        <f ca="1"/>
        <v>480.3974146670754</v>
      </c>
      <c r="K37" s="218">
        <f ca="1"/>
        <v>497.56743206108138</v>
      </c>
      <c r="L37" s="218">
        <f ca="1"/>
        <v>512.73232424613104</v>
      </c>
      <c r="M37" s="218">
        <f ca="1"/>
        <v>525.32863590083616</v>
      </c>
      <c r="N37" s="218">
        <f ca="1"/>
        <v>522.37102743623541</v>
      </c>
      <c r="O37" s="218">
        <f ca="1"/>
        <v>514.3596201898888</v>
      </c>
      <c r="P37" s="218">
        <f ca="1"/>
        <v>503.23411324302867</v>
      </c>
      <c r="Q37" s="218">
        <f ca="1"/>
        <v>495.1642467564551</v>
      </c>
      <c r="R37" s="218">
        <f ca="1"/>
        <v>491.93413718206671</v>
      </c>
      <c r="S37" s="218">
        <f ca="1"/>
        <v>497.80109148834919</v>
      </c>
      <c r="T37" s="218">
        <f ca="1"/>
        <v>494.02913801820267</v>
      </c>
      <c r="U37" s="218">
        <f ca="1"/>
        <v>482.62890522934441</v>
      </c>
      <c r="V37" s="218">
        <f ca="1"/>
        <v>471.61227712619609</v>
      </c>
      <c r="W37" s="218">
        <f ca="1"/>
        <v>460.08447820919667</v>
      </c>
      <c r="X37" s="218">
        <f ca="1"/>
        <v>445.6160294013448</v>
      </c>
      <c r="Y37" s="218">
        <f ca="1"/>
        <v>431.34756395421266</v>
      </c>
      <c r="Z37" s="218">
        <f ca="1"/>
        <v>416.73540598920891</v>
      </c>
      <c r="AA37" s="218">
        <f ca="1"/>
        <v>400.27562656991114</v>
      </c>
      <c r="AB37" s="218">
        <f ca="1"/>
        <v>385.70793211854004</v>
      </c>
      <c r="AC37" s="218">
        <f ca="1"/>
        <v>372.51140105403834</v>
      </c>
      <c r="AD37" s="218">
        <f ca="1"/>
        <v>359.14864639311924</v>
      </c>
      <c r="AE37" s="218">
        <f ca="1"/>
        <v>346.46378941277294</v>
      </c>
      <c r="AF37" s="218">
        <f ca="1"/>
        <v>335.38961664492689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C83F-9BB5-4389-A6E9-4068279BBFC1}">
  <dimension ref="A1:Z175"/>
  <sheetViews>
    <sheetView zoomScaleNormal="85" workbookViewId="0">
      <pane xSplit="5" ySplit="4" topLeftCell="O37" activePane="bottomRight" state="frozen"/>
      <selection activeCell="R172" sqref="R172"/>
      <selection pane="topRight" activeCell="R172" sqref="R172"/>
      <selection pane="bottomLeft" activeCell="R172" sqref="R172"/>
      <selection pane="bottomRight" activeCell="R174" sqref="R174:W175"/>
    </sheetView>
  </sheetViews>
  <sheetFormatPr defaultRowHeight="14.4"/>
  <cols>
    <col min="1" max="1" width="5.44140625" customWidth="1"/>
    <col min="2" max="3" width="11.109375" customWidth="1"/>
    <col min="4" max="4" width="9.6640625" customWidth="1"/>
    <col min="5" max="5" width="28.44140625" customWidth="1"/>
    <col min="6" max="8" width="9.109375" customWidth="1"/>
    <col min="9" max="12" width="8.109375" customWidth="1"/>
    <col min="13" max="13" width="11.109375" customWidth="1"/>
    <col min="14" max="14" width="9.109375" customWidth="1"/>
    <col min="15" max="17" width="8.109375" customWidth="1"/>
    <col min="18" max="20" width="9.109375" customWidth="1"/>
    <col min="21" max="21" width="9" bestFit="1" customWidth="1"/>
    <col min="22" max="22" width="9.88671875" bestFit="1" customWidth="1"/>
    <col min="23" max="23" width="8.109375" customWidth="1"/>
    <col min="24" max="24" width="2.44140625" customWidth="1"/>
    <col min="25" max="26" width="8.109375" customWidth="1"/>
  </cols>
  <sheetData>
    <row r="1" spans="1:26" ht="18">
      <c r="B1" s="952" t="s">
        <v>501</v>
      </c>
      <c r="C1" s="953"/>
      <c r="D1" s="953"/>
      <c r="E1" s="953"/>
      <c r="F1" s="953"/>
      <c r="G1" s="63"/>
      <c r="H1" s="63"/>
      <c r="J1" s="954" t="s">
        <v>442</v>
      </c>
      <c r="K1" s="954"/>
      <c r="L1" s="954"/>
      <c r="M1" s="41">
        <f>'Input Sheet'!AH1</f>
        <v>2035</v>
      </c>
    </row>
    <row r="2" spans="1:26" ht="15.75" customHeight="1">
      <c r="A2" s="16"/>
      <c r="B2" s="955" t="s">
        <v>502</v>
      </c>
      <c r="C2" s="955"/>
      <c r="D2" s="955"/>
      <c r="E2" s="42">
        <f>ROUND('AnnualSalesSummary Revised'!O75/100,0)*100</f>
        <v>459500</v>
      </c>
      <c r="F2" s="43"/>
      <c r="G2" s="43"/>
      <c r="H2" s="43"/>
      <c r="I2" s="956" t="s">
        <v>444</v>
      </c>
      <c r="J2" s="956"/>
      <c r="K2" s="956"/>
      <c r="L2" s="956"/>
      <c r="M2" s="43"/>
      <c r="N2" s="44"/>
      <c r="O2" s="44"/>
      <c r="P2" s="44"/>
      <c r="Q2" s="44"/>
      <c r="R2" s="950" t="s">
        <v>484</v>
      </c>
      <c r="S2" s="950"/>
      <c r="T2" s="950"/>
      <c r="U2" s="950"/>
      <c r="V2" s="23"/>
      <c r="W2" s="23"/>
      <c r="X2" s="448"/>
      <c r="Y2" s="448"/>
      <c r="Z2" s="448"/>
    </row>
    <row r="3" spans="1:26" ht="15.6">
      <c r="A3" s="818" t="s">
        <v>1</v>
      </c>
      <c r="B3" s="818" t="s">
        <v>485</v>
      </c>
      <c r="C3" s="822" t="s">
        <v>486</v>
      </c>
      <c r="D3" s="822" t="s">
        <v>170</v>
      </c>
      <c r="E3" s="822" t="s">
        <v>446</v>
      </c>
      <c r="F3" s="818" t="s">
        <v>449</v>
      </c>
      <c r="G3" s="818"/>
      <c r="H3" s="818"/>
      <c r="I3" s="818"/>
      <c r="J3" s="818"/>
      <c r="K3" s="818"/>
      <c r="L3" s="822" t="s">
        <v>487</v>
      </c>
      <c r="M3" s="822" t="s">
        <v>488</v>
      </c>
      <c r="N3" s="941"/>
      <c r="O3" s="942"/>
      <c r="P3" s="942"/>
      <c r="Q3" s="943"/>
      <c r="R3" s="818" t="s">
        <v>489</v>
      </c>
      <c r="S3" s="818"/>
      <c r="T3" s="818"/>
      <c r="U3" s="818"/>
      <c r="V3" s="818"/>
      <c r="W3" s="818"/>
      <c r="X3" s="21"/>
      <c r="Y3" s="21"/>
      <c r="Z3" s="21"/>
    </row>
    <row r="4" spans="1:26" ht="31.2">
      <c r="A4" s="818"/>
      <c r="B4" s="818"/>
      <c r="C4" s="823"/>
      <c r="D4" s="823"/>
      <c r="E4" s="823"/>
      <c r="F4" s="445" t="s">
        <v>178</v>
      </c>
      <c r="G4" s="445" t="s">
        <v>179</v>
      </c>
      <c r="H4" s="445" t="s">
        <v>180</v>
      </c>
      <c r="I4" s="445" t="s">
        <v>182</v>
      </c>
      <c r="J4" s="445" t="s">
        <v>181</v>
      </c>
      <c r="K4" s="445" t="s">
        <v>183</v>
      </c>
      <c r="L4" s="823"/>
      <c r="M4" s="823"/>
      <c r="N4" s="445"/>
      <c r="O4" s="445"/>
      <c r="P4" s="445"/>
      <c r="Q4" s="445"/>
      <c r="R4" s="445" t="s">
        <v>178</v>
      </c>
      <c r="S4" s="445" t="s">
        <v>179</v>
      </c>
      <c r="T4" s="445" t="s">
        <v>180</v>
      </c>
      <c r="U4" s="445" t="s">
        <v>182</v>
      </c>
      <c r="V4" s="445" t="s">
        <v>181</v>
      </c>
      <c r="W4" s="445" t="s">
        <v>183</v>
      </c>
      <c r="X4" s="21"/>
      <c r="Y4" s="21"/>
      <c r="Z4" s="21"/>
    </row>
    <row r="5" spans="1:26" ht="15.75" customHeight="1">
      <c r="A5" s="878">
        <v>1</v>
      </c>
      <c r="B5" s="878" t="s">
        <v>451</v>
      </c>
      <c r="C5" s="966">
        <f>Buckets!I3</f>
        <v>7.9851136066858189E-2</v>
      </c>
      <c r="D5" s="951" t="s">
        <v>490</v>
      </c>
      <c r="E5" s="23" t="s">
        <v>457</v>
      </c>
      <c r="F5" s="30">
        <f>'Input Sheet'!AH8</f>
        <v>1</v>
      </c>
      <c r="G5" s="30">
        <f>'Input Sheet'!AI8</f>
        <v>0.93816478477256304</v>
      </c>
      <c r="H5" s="30">
        <f>'Input Sheet'!AJ8</f>
        <v>1.0765757780299359</v>
      </c>
      <c r="I5" s="30">
        <f>'Input Sheet'!AK8</f>
        <v>6.7802590542210837</v>
      </c>
      <c r="J5" s="30">
        <f>'Input Sheet'!AL8</f>
        <v>2.3752341690069002E-2</v>
      </c>
      <c r="K5" s="30">
        <f>'Input Sheet'!AM8</f>
        <v>1.5542013675101319E-2</v>
      </c>
      <c r="L5" s="62">
        <v>1</v>
      </c>
      <c r="M5" s="45">
        <f>L5/L$10</f>
        <v>0.2</v>
      </c>
      <c r="N5" s="29"/>
      <c r="O5" s="29"/>
      <c r="P5" s="29"/>
      <c r="Q5" s="29"/>
      <c r="R5" s="45">
        <f t="shared" ref="R5:W9" si="0">F5</f>
        <v>1</v>
      </c>
      <c r="S5" s="45">
        <f t="shared" si="0"/>
        <v>0.93816478477256304</v>
      </c>
      <c r="T5" s="45">
        <f t="shared" si="0"/>
        <v>1.0765757780299359</v>
      </c>
      <c r="U5" s="45">
        <f t="shared" si="0"/>
        <v>6.7802590542210837</v>
      </c>
      <c r="V5" s="45">
        <f t="shared" si="0"/>
        <v>2.3752341690069002E-2</v>
      </c>
      <c r="W5" s="45">
        <f t="shared" si="0"/>
        <v>1.5542013675101319E-2</v>
      </c>
      <c r="X5" s="46"/>
      <c r="Y5" s="46"/>
      <c r="Z5" s="46"/>
    </row>
    <row r="6" spans="1:26" ht="31.2">
      <c r="A6" s="879"/>
      <c r="B6" s="879"/>
      <c r="C6" s="966"/>
      <c r="D6" s="951"/>
      <c r="E6" s="23" t="s">
        <v>491</v>
      </c>
      <c r="F6" s="30">
        <f>'Input Sheet'!AH9</f>
        <v>1</v>
      </c>
      <c r="G6" s="30">
        <f>'Input Sheet'!AI9</f>
        <v>0.37160773025867272</v>
      </c>
      <c r="H6" s="30">
        <f>'Input Sheet'!AJ9</f>
        <v>0.17030531772787488</v>
      </c>
      <c r="I6" s="30">
        <f>'Input Sheet'!AK9</f>
        <v>6.5304108782305E-3</v>
      </c>
      <c r="J6" s="30">
        <f>'Input Sheet'!AL9</f>
        <v>7.7260673113630926E-2</v>
      </c>
      <c r="K6" s="30">
        <f>'Input Sheet'!AM9</f>
        <v>5.9168797111609631E-4</v>
      </c>
      <c r="L6" s="62">
        <v>1</v>
      </c>
      <c r="M6" s="45">
        <f>L6/L$10</f>
        <v>0.2</v>
      </c>
      <c r="N6" s="29"/>
      <c r="O6" s="29"/>
      <c r="P6" s="29"/>
      <c r="Q6" s="29"/>
      <c r="R6" s="45">
        <f t="shared" si="0"/>
        <v>1</v>
      </c>
      <c r="S6" s="45">
        <f t="shared" si="0"/>
        <v>0.37160773025867272</v>
      </c>
      <c r="T6" s="45">
        <f t="shared" si="0"/>
        <v>0.17030531772787488</v>
      </c>
      <c r="U6" s="45">
        <f t="shared" si="0"/>
        <v>6.5304108782305E-3</v>
      </c>
      <c r="V6" s="45">
        <f t="shared" si="0"/>
        <v>7.7260673113630926E-2</v>
      </c>
      <c r="W6" s="45">
        <f t="shared" si="0"/>
        <v>5.9168797111609631E-4</v>
      </c>
      <c r="X6" s="46"/>
      <c r="Y6" s="46"/>
      <c r="Z6" s="46"/>
    </row>
    <row r="7" spans="1:26" ht="15.6">
      <c r="A7" s="879"/>
      <c r="B7" s="879"/>
      <c r="C7" s="966"/>
      <c r="D7" s="951"/>
      <c r="E7" s="23" t="s">
        <v>459</v>
      </c>
      <c r="F7" s="30">
        <f>'Input Sheet'!AH10</f>
        <v>1</v>
      </c>
      <c r="G7" s="30">
        <f>'Input Sheet'!AI10</f>
        <v>1</v>
      </c>
      <c r="H7" s="30">
        <f>'Input Sheet'!AJ10</f>
        <v>1</v>
      </c>
      <c r="I7" s="30">
        <f>'Input Sheet'!AK10</f>
        <v>0.19434988020049429</v>
      </c>
      <c r="J7" s="30">
        <f>'Input Sheet'!AL10</f>
        <v>1</v>
      </c>
      <c r="K7" s="30">
        <f>'Input Sheet'!AM10</f>
        <v>0.39795013462718709</v>
      </c>
      <c r="L7" s="62">
        <v>1</v>
      </c>
      <c r="M7" s="45">
        <f>L7/L$10</f>
        <v>0.2</v>
      </c>
      <c r="N7" s="29"/>
      <c r="O7" s="29"/>
      <c r="P7" s="29"/>
      <c r="Q7" s="29"/>
      <c r="R7" s="45">
        <f t="shared" si="0"/>
        <v>1</v>
      </c>
      <c r="S7" s="45">
        <f t="shared" si="0"/>
        <v>1</v>
      </c>
      <c r="T7" s="45">
        <f t="shared" si="0"/>
        <v>1</v>
      </c>
      <c r="U7" s="45">
        <f t="shared" si="0"/>
        <v>0.19434988020049429</v>
      </c>
      <c r="V7" s="45">
        <f t="shared" si="0"/>
        <v>1</v>
      </c>
      <c r="W7" s="45">
        <f t="shared" si="0"/>
        <v>0.39795013462718709</v>
      </c>
      <c r="X7" s="46"/>
      <c r="Y7" s="46"/>
      <c r="Z7" s="46"/>
    </row>
    <row r="8" spans="1:26" ht="15.6">
      <c r="A8" s="879"/>
      <c r="B8" s="879"/>
      <c r="C8" s="966"/>
      <c r="D8" s="951"/>
      <c r="E8" s="23" t="s">
        <v>492</v>
      </c>
      <c r="F8" s="30">
        <f>'Input Sheet'!AH11</f>
        <v>1</v>
      </c>
      <c r="G8" s="30">
        <f>'Input Sheet'!AI11</f>
        <v>0.66199319669083379</v>
      </c>
      <c r="H8" s="30">
        <f>'Input Sheet'!AJ11</f>
        <v>0.66199319669083379</v>
      </c>
      <c r="I8" s="30">
        <f>'Input Sheet'!AK11</f>
        <v>3.4469852208994722</v>
      </c>
      <c r="J8" s="30">
        <f>'Input Sheet'!AL11</f>
        <v>0.66199319669083379</v>
      </c>
      <c r="K8" s="30">
        <f>'Input Sheet'!AM11</f>
        <v>3.4469852208994722</v>
      </c>
      <c r="L8" s="62">
        <v>1</v>
      </c>
      <c r="M8" s="45">
        <f>L8/L$10</f>
        <v>0.2</v>
      </c>
      <c r="N8" s="29"/>
      <c r="O8" s="29"/>
      <c r="P8" s="29"/>
      <c r="Q8" s="29"/>
      <c r="R8" s="45">
        <f t="shared" si="0"/>
        <v>1</v>
      </c>
      <c r="S8" s="45">
        <f t="shared" si="0"/>
        <v>0.66199319669083379</v>
      </c>
      <c r="T8" s="45">
        <f t="shared" si="0"/>
        <v>0.66199319669083379</v>
      </c>
      <c r="U8" s="45">
        <f t="shared" si="0"/>
        <v>3.4469852208994722</v>
      </c>
      <c r="V8" s="45">
        <f t="shared" si="0"/>
        <v>0.66199319669083379</v>
      </c>
      <c r="W8" s="45">
        <f t="shared" si="0"/>
        <v>3.4469852208994722</v>
      </c>
      <c r="X8" s="46"/>
      <c r="Y8" s="46"/>
      <c r="Z8" s="46"/>
    </row>
    <row r="9" spans="1:26" ht="15.6">
      <c r="A9" s="879"/>
      <c r="B9" s="879"/>
      <c r="C9" s="966"/>
      <c r="D9" s="951"/>
      <c r="E9" s="34" t="s">
        <v>461</v>
      </c>
      <c r="F9" s="30">
        <f>'Input Sheet'!AH12</f>
        <v>1</v>
      </c>
      <c r="G9" s="30">
        <f>'Input Sheet'!AI12</f>
        <v>0.58525110430741201</v>
      </c>
      <c r="H9" s="30">
        <f>'Input Sheet'!AJ12</f>
        <v>0.35961283926440357</v>
      </c>
      <c r="I9" s="30">
        <f>'Input Sheet'!AK12</f>
        <v>0.15335496684492853</v>
      </c>
      <c r="J9" s="30">
        <f>'Input Sheet'!AL12</f>
        <v>1</v>
      </c>
      <c r="K9" s="30">
        <f>'Input Sheet'!AM12</f>
        <v>1</v>
      </c>
      <c r="L9" s="62">
        <v>1</v>
      </c>
      <c r="M9" s="45">
        <f>L9/L$10</f>
        <v>0.2</v>
      </c>
      <c r="N9" s="29"/>
      <c r="O9" s="29"/>
      <c r="P9" s="29"/>
      <c r="Q9" s="29"/>
      <c r="R9" s="45">
        <f t="shared" si="0"/>
        <v>1</v>
      </c>
      <c r="S9" s="45">
        <f t="shared" si="0"/>
        <v>0.58525110430741201</v>
      </c>
      <c r="T9" s="45">
        <f t="shared" si="0"/>
        <v>0.35961283926440357</v>
      </c>
      <c r="U9" s="45">
        <f t="shared" si="0"/>
        <v>0.15335496684492853</v>
      </c>
      <c r="V9" s="45">
        <f t="shared" si="0"/>
        <v>1</v>
      </c>
      <c r="W9" s="45">
        <f t="shared" si="0"/>
        <v>1</v>
      </c>
      <c r="X9" s="46"/>
      <c r="Y9" s="46"/>
      <c r="Z9" s="46"/>
    </row>
    <row r="10" spans="1:26" ht="15.6">
      <c r="A10" s="879"/>
      <c r="B10" s="879"/>
      <c r="C10" s="966"/>
      <c r="D10" s="951"/>
      <c r="E10" s="23" t="s">
        <v>38</v>
      </c>
      <c r="F10" s="47"/>
      <c r="G10" s="47"/>
      <c r="H10" s="47"/>
      <c r="I10" s="47"/>
      <c r="J10" s="47"/>
      <c r="K10" s="47"/>
      <c r="L10" s="62">
        <f>SUM(L5:L9)</f>
        <v>5</v>
      </c>
      <c r="M10" s="872" t="s">
        <v>493</v>
      </c>
      <c r="N10" s="873"/>
      <c r="O10" s="873"/>
      <c r="P10" s="873"/>
      <c r="Q10" s="874"/>
      <c r="R10" s="45">
        <f t="shared" ref="R10:W10" si="1">SUM(R5:R9)</f>
        <v>5</v>
      </c>
      <c r="S10" s="45">
        <f t="shared" si="1"/>
        <v>3.5570168160294817</v>
      </c>
      <c r="T10" s="45">
        <f t="shared" si="1"/>
        <v>3.2684871317130479</v>
      </c>
      <c r="U10" s="45">
        <f t="shared" si="1"/>
        <v>10.58147953304421</v>
      </c>
      <c r="V10" s="45">
        <f t="shared" si="1"/>
        <v>2.7630062114945337</v>
      </c>
      <c r="W10" s="45">
        <f t="shared" si="1"/>
        <v>4.8610690571728767</v>
      </c>
      <c r="X10" s="48"/>
      <c r="Y10" s="48"/>
      <c r="Z10" s="48"/>
    </row>
    <row r="11" spans="1:26" ht="15.6">
      <c r="A11" s="879"/>
      <c r="B11" s="879"/>
      <c r="C11" s="966"/>
      <c r="D11" s="951"/>
      <c r="E11" s="23"/>
      <c r="F11" s="23"/>
      <c r="G11" s="23"/>
      <c r="H11" s="23"/>
      <c r="I11" s="23"/>
      <c r="J11" s="23"/>
      <c r="K11" s="23"/>
      <c r="L11" s="23"/>
      <c r="M11" s="872" t="s">
        <v>494</v>
      </c>
      <c r="N11" s="873"/>
      <c r="O11" s="873"/>
      <c r="P11" s="873"/>
      <c r="Q11" s="874"/>
      <c r="R11" s="45">
        <f t="shared" ref="R11:W11" si="2">R10/SUM($R10:$W10)</f>
        <v>0.16649429651196965</v>
      </c>
      <c r="S11" s="45">
        <f t="shared" si="2"/>
        <v>0.11844460249321495</v>
      </c>
      <c r="T11" s="45">
        <f t="shared" si="2"/>
        <v>0.10883689313059788</v>
      </c>
      <c r="U11" s="45">
        <f t="shared" si="2"/>
        <v>0.35235119818200017</v>
      </c>
      <c r="V11" s="45">
        <f t="shared" si="2"/>
        <v>9.2004955088196963E-2</v>
      </c>
      <c r="W11" s="45">
        <f t="shared" si="2"/>
        <v>0.16186805459402034</v>
      </c>
      <c r="X11" s="17"/>
      <c r="Y11" s="17"/>
      <c r="Z11" s="17"/>
    </row>
    <row r="12" spans="1:26" ht="15.6">
      <c r="A12" s="879"/>
      <c r="B12" s="879"/>
      <c r="C12" s="966"/>
      <c r="D12" s="951"/>
      <c r="E12" s="23"/>
      <c r="F12" s="941"/>
      <c r="G12" s="942"/>
      <c r="H12" s="942"/>
      <c r="I12" s="942"/>
      <c r="J12" s="942"/>
      <c r="K12" s="942"/>
      <c r="L12" s="942"/>
      <c r="M12" s="942"/>
      <c r="N12" s="942"/>
      <c r="O12" s="942"/>
      <c r="P12" s="942"/>
      <c r="Q12" s="942"/>
      <c r="R12" s="942"/>
      <c r="S12" s="942"/>
      <c r="T12" s="942"/>
      <c r="U12" s="942"/>
      <c r="V12" s="942"/>
      <c r="W12" s="943"/>
      <c r="X12" s="17"/>
      <c r="Y12" s="17"/>
      <c r="Z12" s="17"/>
    </row>
    <row r="13" spans="1:26" ht="15.6">
      <c r="A13" s="879"/>
      <c r="B13" s="879"/>
      <c r="C13" s="966"/>
      <c r="D13" s="951"/>
      <c r="E13" s="23"/>
      <c r="F13" s="30">
        <f>'Input Sheet'!AH14</f>
        <v>1</v>
      </c>
      <c r="G13" s="30">
        <f>'Input Sheet'!AI14</f>
        <v>0.9</v>
      </c>
      <c r="H13" s="30">
        <f>'Input Sheet'!AJ14</f>
        <v>0.75</v>
      </c>
      <c r="I13" s="30">
        <f>'Input Sheet'!AK14</f>
        <v>0.9</v>
      </c>
      <c r="J13" s="30">
        <f>'Input Sheet'!AL14</f>
        <v>0.55000000000000004</v>
      </c>
      <c r="K13" s="30">
        <f>'Input Sheet'!AM14</f>
        <v>0.35</v>
      </c>
      <c r="L13" s="43"/>
      <c r="M13" s="957" t="s">
        <v>495</v>
      </c>
      <c r="N13" s="958"/>
      <c r="O13" s="958"/>
      <c r="P13" s="958"/>
      <c r="Q13" s="959"/>
      <c r="R13" s="45">
        <f t="shared" ref="R13:W13" si="3">R11*F13</f>
        <v>0.16649429651196965</v>
      </c>
      <c r="S13" s="45">
        <f t="shared" si="3"/>
        <v>0.10660014224389346</v>
      </c>
      <c r="T13" s="45">
        <f t="shared" si="3"/>
        <v>8.162766984794842E-2</v>
      </c>
      <c r="U13" s="45">
        <f t="shared" si="3"/>
        <v>0.31711607836380018</v>
      </c>
      <c r="V13" s="45">
        <f t="shared" si="3"/>
        <v>5.060272529850833E-2</v>
      </c>
      <c r="W13" s="45">
        <f t="shared" si="3"/>
        <v>5.6653819107907115E-2</v>
      </c>
      <c r="X13" s="17"/>
      <c r="Y13" s="17"/>
      <c r="Z13" s="17"/>
    </row>
    <row r="14" spans="1:26" ht="15.6" customHeight="1">
      <c r="A14" s="879"/>
      <c r="B14" s="879"/>
      <c r="C14" s="966"/>
      <c r="D14" s="951"/>
      <c r="E14" s="23"/>
      <c r="F14" s="960" t="s">
        <v>923</v>
      </c>
      <c r="G14" s="961"/>
      <c r="H14" s="961"/>
      <c r="I14" s="961"/>
      <c r="J14" s="961"/>
      <c r="K14" s="961"/>
      <c r="L14" s="961"/>
      <c r="M14" s="961"/>
      <c r="N14" s="961"/>
      <c r="O14" s="961"/>
      <c r="P14" s="961"/>
      <c r="Q14" s="962"/>
      <c r="R14" s="45">
        <f>R13*'Input Sheet'!AH6/'Input Sheet'!$AH6</f>
        <v>0.16649429651196965</v>
      </c>
      <c r="S14" s="45">
        <f>S13*'Input Sheet'!AI6/'Input Sheet'!$AH6</f>
        <v>0.10660014224389346</v>
      </c>
      <c r="T14" s="45">
        <f>T13*'Input Sheet'!AJ6/'Input Sheet'!$AH6</f>
        <v>0</v>
      </c>
      <c r="U14" s="45">
        <f>U13*'Input Sheet'!AK6/'Input Sheet'!$AH6</f>
        <v>0.31711607836380018</v>
      </c>
      <c r="V14" s="45">
        <f>V13*'Input Sheet'!AL6/'Input Sheet'!$AH6</f>
        <v>5.060272529850833E-2</v>
      </c>
      <c r="W14" s="45">
        <f>W13*'Input Sheet'!AM6/'Input Sheet'!$AH6</f>
        <v>5.6653819107907115E-2</v>
      </c>
      <c r="X14" s="17"/>
      <c r="Y14" s="17"/>
      <c r="Z14" s="17"/>
    </row>
    <row r="15" spans="1:26" ht="15.6" customHeight="1">
      <c r="A15" s="879"/>
      <c r="B15" s="879"/>
      <c r="C15" s="966"/>
      <c r="D15" s="951"/>
      <c r="E15" s="23"/>
      <c r="F15" s="963" t="s">
        <v>924</v>
      </c>
      <c r="G15" s="964"/>
      <c r="H15" s="964"/>
      <c r="I15" s="964"/>
      <c r="J15" s="964"/>
      <c r="K15" s="964"/>
      <c r="L15" s="964"/>
      <c r="M15" s="964"/>
      <c r="N15" s="964"/>
      <c r="O15" s="964"/>
      <c r="P15" s="964"/>
      <c r="Q15" s="965"/>
      <c r="R15" s="50">
        <f>R14/(R14+U14+V14+W14+S14+T14)</f>
        <v>0.23871277325652507</v>
      </c>
      <c r="S15" s="50">
        <f>S14/(R14+S14+T14+U14+V14+W14)</f>
        <v>0.15283896276140865</v>
      </c>
      <c r="T15" s="50">
        <f>T14/(R14+S14+T14+U14+V14+W14)</f>
        <v>0</v>
      </c>
      <c r="U15" s="50">
        <f>U14/(R14+U14+V14+W14+S14+T14)</f>
        <v>0.45466817840822582</v>
      </c>
      <c r="V15" s="50">
        <f>V14/(R14+U14+V14+W14+S14+T14)</f>
        <v>7.2552136279795149E-2</v>
      </c>
      <c r="W15" s="50">
        <f>W14/(R14+U14+V14+W14+S14+T14)</f>
        <v>8.1227949294045323E-2</v>
      </c>
      <c r="X15" s="17"/>
      <c r="Y15" s="17"/>
      <c r="Z15" s="17"/>
    </row>
    <row r="16" spans="1:26" ht="15.6" customHeight="1">
      <c r="A16" s="879"/>
      <c r="B16" s="879"/>
      <c r="C16" s="966"/>
      <c r="D16" s="951"/>
      <c r="E16" s="23"/>
      <c r="F16" s="963" t="s">
        <v>925</v>
      </c>
      <c r="G16" s="964"/>
      <c r="H16" s="964"/>
      <c r="I16" s="964"/>
      <c r="J16" s="964"/>
      <c r="K16" s="964"/>
      <c r="L16" s="964"/>
      <c r="M16" s="964"/>
      <c r="N16" s="964"/>
      <c r="O16" s="964"/>
      <c r="P16" s="964"/>
      <c r="Q16" s="965"/>
      <c r="R16" s="51">
        <f t="shared" ref="R16:W16" si="4">ROUND($C5*$E$2*R15/100,0)*100</f>
        <v>8800</v>
      </c>
      <c r="S16" s="51">
        <f t="shared" si="4"/>
        <v>5600</v>
      </c>
      <c r="T16" s="51">
        <f t="shared" si="4"/>
        <v>0</v>
      </c>
      <c r="U16" s="51">
        <f t="shared" si="4"/>
        <v>16700</v>
      </c>
      <c r="V16" s="51">
        <f t="shared" si="4"/>
        <v>2700</v>
      </c>
      <c r="W16" s="51">
        <f t="shared" si="4"/>
        <v>3000</v>
      </c>
      <c r="X16" s="17"/>
      <c r="Y16" s="17"/>
      <c r="Z16" s="17"/>
    </row>
    <row r="17" spans="1:26" ht="15.75" customHeight="1">
      <c r="A17" s="878">
        <v>2</v>
      </c>
      <c r="B17" s="878" t="s">
        <v>465</v>
      </c>
      <c r="C17" s="966">
        <f>Buckets!I4</f>
        <v>7.5476625750848791E-2</v>
      </c>
      <c r="D17" s="951" t="s">
        <v>496</v>
      </c>
      <c r="E17" s="23" t="s">
        <v>457</v>
      </c>
      <c r="F17" s="30">
        <f>'Input Sheet'!AH19</f>
        <v>1</v>
      </c>
      <c r="G17" s="30">
        <f>'Input Sheet'!AI19</f>
        <v>1.1304363925198668</v>
      </c>
      <c r="H17" s="30">
        <f>'Input Sheet'!AJ19</f>
        <v>1.1939241251867914</v>
      </c>
      <c r="I17" s="30">
        <f>'Input Sheet'!AK19</f>
        <v>2.9621648223851671</v>
      </c>
      <c r="J17" s="30">
        <f>'Input Sheet'!AL19</f>
        <v>2.8582168540103831E-2</v>
      </c>
      <c r="K17" s="30">
        <f>'Input Sheet'!AM19</f>
        <v>2.0741205683683452E-2</v>
      </c>
      <c r="L17" s="62">
        <v>1</v>
      </c>
      <c r="M17" s="30">
        <f>L17/L$22</f>
        <v>0.2</v>
      </c>
      <c r="N17" s="29"/>
      <c r="O17" s="29"/>
      <c r="P17" s="29"/>
      <c r="Q17" s="29"/>
      <c r="R17" s="45">
        <f t="shared" ref="R17:W21" si="5">F17</f>
        <v>1</v>
      </c>
      <c r="S17" s="45">
        <f t="shared" si="5"/>
        <v>1.1304363925198668</v>
      </c>
      <c r="T17" s="45">
        <f t="shared" si="5"/>
        <v>1.1939241251867914</v>
      </c>
      <c r="U17" s="45">
        <f t="shared" si="5"/>
        <v>2.9621648223851671</v>
      </c>
      <c r="V17" s="45">
        <f t="shared" si="5"/>
        <v>2.8582168540103831E-2</v>
      </c>
      <c r="W17" s="45">
        <f t="shared" si="5"/>
        <v>2.0741205683683452E-2</v>
      </c>
      <c r="X17" s="46"/>
      <c r="Y17" s="46"/>
      <c r="Z17" s="46"/>
    </row>
    <row r="18" spans="1:26" ht="31.2">
      <c r="A18" s="879"/>
      <c r="B18" s="879"/>
      <c r="C18" s="966"/>
      <c r="D18" s="951"/>
      <c r="E18" s="23" t="s">
        <v>491</v>
      </c>
      <c r="F18" s="30">
        <f>'Input Sheet'!AH20</f>
        <v>1</v>
      </c>
      <c r="G18" s="30">
        <f>'Input Sheet'!AI20</f>
        <v>0.45379408470291294</v>
      </c>
      <c r="H18" s="30">
        <f>'Input Sheet'!AJ20</f>
        <v>0.23941323743590903</v>
      </c>
      <c r="I18" s="30">
        <f>'Input Sheet'!AK20</f>
        <v>7.9872775467329533E-3</v>
      </c>
      <c r="J18" s="30">
        <f>'Input Sheet'!AL20</f>
        <v>0.12296593807031449</v>
      </c>
      <c r="K18" s="30">
        <f>'Input Sheet'!AM20</f>
        <v>1.3414750961075878E-3</v>
      </c>
      <c r="L18" s="62">
        <v>1</v>
      </c>
      <c r="M18" s="30">
        <f t="shared" ref="M18:M21" si="6">L18/L$22</f>
        <v>0.2</v>
      </c>
      <c r="N18" s="29"/>
      <c r="O18" s="29"/>
      <c r="P18" s="29"/>
      <c r="Q18" s="29"/>
      <c r="R18" s="45">
        <f t="shared" si="5"/>
        <v>1</v>
      </c>
      <c r="S18" s="45">
        <f t="shared" si="5"/>
        <v>0.45379408470291294</v>
      </c>
      <c r="T18" s="45">
        <f t="shared" si="5"/>
        <v>0.23941323743590903</v>
      </c>
      <c r="U18" s="45">
        <f t="shared" si="5"/>
        <v>7.9872775467329533E-3</v>
      </c>
      <c r="V18" s="45">
        <f t="shared" si="5"/>
        <v>0.12296593807031449</v>
      </c>
      <c r="W18" s="45">
        <f t="shared" si="5"/>
        <v>1.3414750961075878E-3</v>
      </c>
      <c r="X18" s="46"/>
      <c r="Y18" s="46"/>
      <c r="Z18" s="46"/>
    </row>
    <row r="19" spans="1:26" ht="15.6">
      <c r="A19" s="879"/>
      <c r="B19" s="879"/>
      <c r="C19" s="966"/>
      <c r="D19" s="951"/>
      <c r="E19" s="23" t="s">
        <v>459</v>
      </c>
      <c r="F19" s="30">
        <f>'Input Sheet'!AH21</f>
        <v>1</v>
      </c>
      <c r="G19" s="30">
        <f>'Input Sheet'!AI21</f>
        <v>1</v>
      </c>
      <c r="H19" s="30">
        <f>'Input Sheet'!AJ21</f>
        <v>1</v>
      </c>
      <c r="I19" s="30">
        <f>'Input Sheet'!AK21</f>
        <v>0.3225236063732973</v>
      </c>
      <c r="J19" s="30">
        <f>'Input Sheet'!AL21</f>
        <v>1</v>
      </c>
      <c r="K19" s="30">
        <f>'Input Sheet'!AM21</f>
        <v>0.60096984145352728</v>
      </c>
      <c r="L19" s="62">
        <v>1</v>
      </c>
      <c r="M19" s="30">
        <f t="shared" si="6"/>
        <v>0.2</v>
      </c>
      <c r="N19" s="29"/>
      <c r="O19" s="29"/>
      <c r="P19" s="29"/>
      <c r="Q19" s="29"/>
      <c r="R19" s="45">
        <f t="shared" si="5"/>
        <v>1</v>
      </c>
      <c r="S19" s="45">
        <f t="shared" si="5"/>
        <v>1</v>
      </c>
      <c r="T19" s="45">
        <f t="shared" si="5"/>
        <v>1</v>
      </c>
      <c r="U19" s="45">
        <f t="shared" si="5"/>
        <v>0.3225236063732973</v>
      </c>
      <c r="V19" s="45">
        <f t="shared" si="5"/>
        <v>1</v>
      </c>
      <c r="W19" s="45">
        <f t="shared" si="5"/>
        <v>0.60096984145352728</v>
      </c>
      <c r="X19" s="46"/>
      <c r="Y19" s="46"/>
      <c r="Z19" s="46"/>
    </row>
    <row r="20" spans="1:26" ht="15.6">
      <c r="A20" s="879"/>
      <c r="B20" s="879"/>
      <c r="C20" s="966"/>
      <c r="D20" s="951"/>
      <c r="E20" s="23" t="s">
        <v>492</v>
      </c>
      <c r="F20" s="30">
        <f>'Input Sheet'!AH22</f>
        <v>1</v>
      </c>
      <c r="G20" s="30">
        <f>'Input Sheet'!AI22</f>
        <v>0.66199319669083379</v>
      </c>
      <c r="H20" s="30">
        <f>'Input Sheet'!AJ22</f>
        <v>0.66199319669083379</v>
      </c>
      <c r="I20" s="30">
        <f>'Input Sheet'!AK22</f>
        <v>3.4469852208994722</v>
      </c>
      <c r="J20" s="30">
        <f>'Input Sheet'!AL22</f>
        <v>0.66199319669083379</v>
      </c>
      <c r="K20" s="30">
        <f>'Input Sheet'!AM22</f>
        <v>3.4469852208994722</v>
      </c>
      <c r="L20" s="62">
        <v>1</v>
      </c>
      <c r="M20" s="30">
        <f t="shared" si="6"/>
        <v>0.2</v>
      </c>
      <c r="N20" s="29"/>
      <c r="O20" s="29"/>
      <c r="P20" s="29"/>
      <c r="Q20" s="29"/>
      <c r="R20" s="45">
        <f t="shared" si="5"/>
        <v>1</v>
      </c>
      <c r="S20" s="45">
        <f t="shared" si="5"/>
        <v>0.66199319669083379</v>
      </c>
      <c r="T20" s="45">
        <f t="shared" si="5"/>
        <v>0.66199319669083379</v>
      </c>
      <c r="U20" s="45">
        <f t="shared" si="5"/>
        <v>3.4469852208994722</v>
      </c>
      <c r="V20" s="45">
        <f t="shared" si="5"/>
        <v>0.66199319669083379</v>
      </c>
      <c r="W20" s="45">
        <f t="shared" si="5"/>
        <v>3.4469852208994722</v>
      </c>
      <c r="X20" s="46"/>
      <c r="Y20" s="46"/>
      <c r="Z20" s="46"/>
    </row>
    <row r="21" spans="1:26" ht="15.6">
      <c r="A21" s="879"/>
      <c r="B21" s="879"/>
      <c r="C21" s="966"/>
      <c r="D21" s="951"/>
      <c r="E21" s="34" t="s">
        <v>461</v>
      </c>
      <c r="F21" s="30">
        <f>'Input Sheet'!AH23</f>
        <v>1</v>
      </c>
      <c r="G21" s="30">
        <f>'Input Sheet'!AI23</f>
        <v>0.58525110430741201</v>
      </c>
      <c r="H21" s="30">
        <f>'Input Sheet'!AJ23</f>
        <v>0.35961283926440357</v>
      </c>
      <c r="I21" s="30">
        <f>'Input Sheet'!AK23</f>
        <v>0.15335496684492853</v>
      </c>
      <c r="J21" s="30">
        <f>'Input Sheet'!AL23</f>
        <v>1</v>
      </c>
      <c r="K21" s="30">
        <f>'Input Sheet'!AM23</f>
        <v>1</v>
      </c>
      <c r="L21" s="62">
        <v>1</v>
      </c>
      <c r="M21" s="30">
        <f t="shared" si="6"/>
        <v>0.2</v>
      </c>
      <c r="N21" s="29"/>
      <c r="O21" s="29"/>
      <c r="P21" s="29"/>
      <c r="Q21" s="29"/>
      <c r="R21" s="45">
        <f t="shared" si="5"/>
        <v>1</v>
      </c>
      <c r="S21" s="45">
        <f t="shared" si="5"/>
        <v>0.58525110430741201</v>
      </c>
      <c r="T21" s="45">
        <f t="shared" si="5"/>
        <v>0.35961283926440357</v>
      </c>
      <c r="U21" s="45">
        <f t="shared" si="5"/>
        <v>0.15335496684492853</v>
      </c>
      <c r="V21" s="45">
        <f t="shared" si="5"/>
        <v>1</v>
      </c>
      <c r="W21" s="45">
        <f t="shared" si="5"/>
        <v>1</v>
      </c>
      <c r="X21" s="46"/>
      <c r="Y21" s="46"/>
      <c r="Z21" s="46"/>
    </row>
    <row r="22" spans="1:26" ht="15.6">
      <c r="A22" s="879"/>
      <c r="B22" s="879"/>
      <c r="C22" s="966"/>
      <c r="D22" s="951"/>
      <c r="E22" s="23" t="s">
        <v>38</v>
      </c>
      <c r="F22" s="47"/>
      <c r="G22" s="47"/>
      <c r="H22" s="47"/>
      <c r="I22" s="47"/>
      <c r="J22" s="47"/>
      <c r="K22" s="47"/>
      <c r="L22" s="62">
        <f>SUM(L17:L21)</f>
        <v>5</v>
      </c>
      <c r="M22" s="872" t="s">
        <v>493</v>
      </c>
      <c r="N22" s="873"/>
      <c r="O22" s="873"/>
      <c r="P22" s="873"/>
      <c r="Q22" s="874"/>
      <c r="R22" s="45">
        <f t="shared" ref="R22:W22" si="7">SUM(R17:R21)</f>
        <v>5</v>
      </c>
      <c r="S22" s="45">
        <f t="shared" si="7"/>
        <v>3.8314747782210254</v>
      </c>
      <c r="T22" s="45">
        <f t="shared" si="7"/>
        <v>3.4549433985779379</v>
      </c>
      <c r="U22" s="45">
        <f t="shared" si="7"/>
        <v>6.893015894049598</v>
      </c>
      <c r="V22" s="45">
        <f t="shared" si="7"/>
        <v>2.813541303301252</v>
      </c>
      <c r="W22" s="45">
        <f t="shared" si="7"/>
        <v>5.0700377431327901</v>
      </c>
      <c r="X22" s="48"/>
      <c r="Y22" s="48"/>
      <c r="Z22" s="48"/>
    </row>
    <row r="23" spans="1:26" ht="15.6">
      <c r="A23" s="879"/>
      <c r="B23" s="879"/>
      <c r="C23" s="966"/>
      <c r="D23" s="951"/>
      <c r="E23" s="23"/>
      <c r="F23" s="23"/>
      <c r="G23" s="23"/>
      <c r="H23" s="23"/>
      <c r="I23" s="23"/>
      <c r="J23" s="23"/>
      <c r="K23" s="23"/>
      <c r="L23" s="23"/>
      <c r="M23" s="872" t="s">
        <v>494</v>
      </c>
      <c r="N23" s="873"/>
      <c r="O23" s="873"/>
      <c r="P23" s="873"/>
      <c r="Q23" s="874"/>
      <c r="R23" s="45">
        <f t="shared" ref="R23:W23" si="8">R22/SUM($R22:$W22)</f>
        <v>0.18475400275392725</v>
      </c>
      <c r="S23" s="45">
        <f t="shared" si="8"/>
        <v>0.14157606034541004</v>
      </c>
      <c r="T23" s="45">
        <f t="shared" si="8"/>
        <v>0.12766292443510624</v>
      </c>
      <c r="U23" s="45">
        <f t="shared" si="8"/>
        <v>0.25470245549442078</v>
      </c>
      <c r="V23" s="45">
        <f t="shared" si="8"/>
        <v>0.10396260353968152</v>
      </c>
      <c r="W23" s="45">
        <f t="shared" si="8"/>
        <v>0.18734195343145413</v>
      </c>
      <c r="X23" s="17"/>
      <c r="Y23" s="17"/>
      <c r="Z23" s="17"/>
    </row>
    <row r="24" spans="1:26" ht="15.6">
      <c r="A24" s="879"/>
      <c r="B24" s="879"/>
      <c r="C24" s="966"/>
      <c r="D24" s="951"/>
      <c r="E24" s="23"/>
      <c r="F24" s="941"/>
      <c r="G24" s="942"/>
      <c r="H24" s="942"/>
      <c r="I24" s="942"/>
      <c r="J24" s="942"/>
      <c r="K24" s="942"/>
      <c r="L24" s="942"/>
      <c r="M24" s="942"/>
      <c r="N24" s="942"/>
      <c r="O24" s="942"/>
      <c r="P24" s="942"/>
      <c r="Q24" s="942"/>
      <c r="R24" s="942"/>
      <c r="S24" s="942"/>
      <c r="T24" s="942"/>
      <c r="U24" s="942"/>
      <c r="V24" s="942"/>
      <c r="W24" s="943"/>
      <c r="X24" s="17"/>
      <c r="Y24" s="17"/>
      <c r="Z24" s="17"/>
    </row>
    <row r="25" spans="1:26" ht="15.6">
      <c r="A25" s="879"/>
      <c r="B25" s="879"/>
      <c r="C25" s="966"/>
      <c r="D25" s="951"/>
      <c r="E25" s="23"/>
      <c r="F25" s="30">
        <f>'Input Sheet'!AH25</f>
        <v>1</v>
      </c>
      <c r="G25" s="30">
        <f>'Input Sheet'!AI25</f>
        <v>0.9</v>
      </c>
      <c r="H25" s="30">
        <f>'Input Sheet'!AJ25</f>
        <v>0.75</v>
      </c>
      <c r="I25" s="30">
        <f>'Input Sheet'!AK25</f>
        <v>0.85</v>
      </c>
      <c r="J25" s="30">
        <f>'Input Sheet'!AL25</f>
        <v>0.55000000000000004</v>
      </c>
      <c r="K25" s="30">
        <f>'Input Sheet'!AM25</f>
        <v>0.35</v>
      </c>
      <c r="L25" s="23"/>
      <c r="M25" s="957" t="s">
        <v>495</v>
      </c>
      <c r="N25" s="958"/>
      <c r="O25" s="958"/>
      <c r="P25" s="958"/>
      <c r="Q25" s="959"/>
      <c r="R25" s="45">
        <f t="shared" ref="R25:W25" si="9">R23*F25</f>
        <v>0.18475400275392725</v>
      </c>
      <c r="S25" s="45">
        <f t="shared" si="9"/>
        <v>0.12741845431086904</v>
      </c>
      <c r="T25" s="45">
        <f t="shared" si="9"/>
        <v>9.574719332632968E-2</v>
      </c>
      <c r="U25" s="45">
        <f t="shared" si="9"/>
        <v>0.21649708717025765</v>
      </c>
      <c r="V25" s="45">
        <f t="shared" si="9"/>
        <v>5.7179431946824844E-2</v>
      </c>
      <c r="W25" s="45">
        <f t="shared" si="9"/>
        <v>6.5569683701008935E-2</v>
      </c>
      <c r="X25" s="17"/>
      <c r="Y25" s="17"/>
      <c r="Z25" s="17"/>
    </row>
    <row r="26" spans="1:26" ht="15.6" customHeight="1">
      <c r="A26" s="879"/>
      <c r="B26" s="879"/>
      <c r="C26" s="966"/>
      <c r="D26" s="951"/>
      <c r="E26" s="23"/>
      <c r="F26" s="960" t="s">
        <v>923</v>
      </c>
      <c r="G26" s="961"/>
      <c r="H26" s="961"/>
      <c r="I26" s="961"/>
      <c r="J26" s="961"/>
      <c r="K26" s="961"/>
      <c r="L26" s="961"/>
      <c r="M26" s="961"/>
      <c r="N26" s="961"/>
      <c r="O26" s="961"/>
      <c r="P26" s="961"/>
      <c r="Q26" s="962"/>
      <c r="R26" s="45">
        <f>R25</f>
        <v>0.18475400275392725</v>
      </c>
      <c r="S26" s="45">
        <f>S25*'Input Sheet'!AI17/'Input Sheet'!AH17</f>
        <v>0.12741845431086904</v>
      </c>
      <c r="T26" s="45">
        <f>T25*'Input Sheet'!AJ17/'Input Sheet'!AH17</f>
        <v>0</v>
      </c>
      <c r="U26" s="45">
        <f>U25</f>
        <v>0.21649708717025765</v>
      </c>
      <c r="V26" s="45">
        <f>V25</f>
        <v>5.7179431946824844E-2</v>
      </c>
      <c r="W26" s="45">
        <f>W25</f>
        <v>6.5569683701008935E-2</v>
      </c>
      <c r="X26" s="17"/>
      <c r="Y26" s="17"/>
      <c r="Z26" s="17"/>
    </row>
    <row r="27" spans="1:26" ht="15.6" customHeight="1">
      <c r="A27" s="879"/>
      <c r="B27" s="879"/>
      <c r="C27" s="966"/>
      <c r="D27" s="951"/>
      <c r="E27" s="23"/>
      <c r="F27" s="963" t="s">
        <v>924</v>
      </c>
      <c r="G27" s="964"/>
      <c r="H27" s="964"/>
      <c r="I27" s="964"/>
      <c r="J27" s="964"/>
      <c r="K27" s="964"/>
      <c r="L27" s="964"/>
      <c r="M27" s="964"/>
      <c r="N27" s="964"/>
      <c r="O27" s="964"/>
      <c r="P27" s="964"/>
      <c r="Q27" s="965"/>
      <c r="R27" s="50">
        <f>R26/(R26+U26+V26+W26+S26+T26)</f>
        <v>0.2836179159914492</v>
      </c>
      <c r="S27" s="50">
        <f>S26/(R26+S26+T26+U26+V26+W26)</f>
        <v>0.1956014805191125</v>
      </c>
      <c r="T27" s="50">
        <f>T26/(R26+S26+T26+U26+V26+W26)</f>
        <v>0</v>
      </c>
      <c r="U27" s="50">
        <f>U26/(R26+U26+V26+W26+S26+T26)</f>
        <v>0.33234707647026807</v>
      </c>
      <c r="V27" s="50">
        <f>V26/(R26+U26+V26+W26+S26+T26)</f>
        <v>8.7776779309798381E-2</v>
      </c>
      <c r="W27" s="50">
        <f>W26/(R26+U26+V26+W26+S26+T26)</f>
        <v>0.10065674770937184</v>
      </c>
      <c r="X27" s="17"/>
      <c r="Y27" s="17"/>
      <c r="Z27" s="17"/>
    </row>
    <row r="28" spans="1:26" ht="15.6" customHeight="1">
      <c r="A28" s="879"/>
      <c r="B28" s="879"/>
      <c r="C28" s="966"/>
      <c r="D28" s="951"/>
      <c r="E28" s="23"/>
      <c r="F28" s="963" t="s">
        <v>925</v>
      </c>
      <c r="G28" s="964"/>
      <c r="H28" s="964"/>
      <c r="I28" s="964"/>
      <c r="J28" s="964"/>
      <c r="K28" s="964"/>
      <c r="L28" s="964"/>
      <c r="M28" s="964"/>
      <c r="N28" s="964"/>
      <c r="O28" s="964"/>
      <c r="P28" s="964"/>
      <c r="Q28" s="965"/>
      <c r="R28" s="51">
        <f t="shared" ref="R28:W28" si="10">ROUND($C17*$E$2*R27/100,0)*100</f>
        <v>9800</v>
      </c>
      <c r="S28" s="51">
        <f t="shared" si="10"/>
        <v>6800</v>
      </c>
      <c r="T28" s="51">
        <f t="shared" si="10"/>
        <v>0</v>
      </c>
      <c r="U28" s="51">
        <f t="shared" si="10"/>
        <v>11500</v>
      </c>
      <c r="V28" s="51">
        <f t="shared" si="10"/>
        <v>3000</v>
      </c>
      <c r="W28" s="51">
        <f t="shared" si="10"/>
        <v>3500</v>
      </c>
      <c r="X28" s="17"/>
      <c r="Y28" s="17"/>
      <c r="Z28" s="17"/>
    </row>
    <row r="29" spans="1:26" ht="15.75" customHeight="1">
      <c r="A29" s="878">
        <v>3</v>
      </c>
      <c r="B29" s="878" t="s">
        <v>466</v>
      </c>
      <c r="C29" s="966">
        <f>Buckets!I5</f>
        <v>6.4812396622268648E-2</v>
      </c>
      <c r="D29" s="951" t="s">
        <v>490</v>
      </c>
      <c r="E29" s="23" t="s">
        <v>457</v>
      </c>
      <c r="F29" s="30">
        <f>'Input Sheet'!AH30</f>
        <v>1</v>
      </c>
      <c r="G29" s="30">
        <f>'Input Sheet'!AI30</f>
        <v>1.3439300316455474</v>
      </c>
      <c r="H29" s="30">
        <f>'Input Sheet'!AJ30</f>
        <v>1.4939616827006488</v>
      </c>
      <c r="I29" s="30">
        <f>'Input Sheet'!AK30</f>
        <v>18.906493615543525</v>
      </c>
      <c r="J29" s="30">
        <f>'Input Sheet'!AL30</f>
        <v>3.0086598054257684E-2</v>
      </c>
      <c r="K29" s="30">
        <f>'Input Sheet'!AM30</f>
        <v>2.7588465471034593E-2</v>
      </c>
      <c r="L29" s="62">
        <v>1</v>
      </c>
      <c r="M29" s="30">
        <f>L29/L$34</f>
        <v>0.2</v>
      </c>
      <c r="N29" s="29"/>
      <c r="O29" s="29"/>
      <c r="P29" s="29"/>
      <c r="Q29" s="29"/>
      <c r="R29" s="45">
        <f t="shared" ref="R29:W33" si="11">F29</f>
        <v>1</v>
      </c>
      <c r="S29" s="45">
        <f t="shared" si="11"/>
        <v>1.3439300316455474</v>
      </c>
      <c r="T29" s="45">
        <f t="shared" si="11"/>
        <v>1.4939616827006488</v>
      </c>
      <c r="U29" s="45">
        <f t="shared" si="11"/>
        <v>18.906493615543525</v>
      </c>
      <c r="V29" s="45">
        <f t="shared" si="11"/>
        <v>3.0086598054257684E-2</v>
      </c>
      <c r="W29" s="45">
        <f t="shared" si="11"/>
        <v>2.7588465471034593E-2</v>
      </c>
      <c r="X29" s="46"/>
      <c r="Y29" s="46"/>
      <c r="Z29" s="46"/>
    </row>
    <row r="30" spans="1:26" ht="31.2">
      <c r="A30" s="879"/>
      <c r="B30" s="879"/>
      <c r="C30" s="966"/>
      <c r="D30" s="951"/>
      <c r="E30" s="23" t="s">
        <v>491</v>
      </c>
      <c r="F30" s="30">
        <f>'Input Sheet'!AH31</f>
        <v>1</v>
      </c>
      <c r="G30" s="30">
        <f>'Input Sheet'!AI31</f>
        <v>0.53502266011503885</v>
      </c>
      <c r="H30" s="30">
        <f>'Input Sheet'!AJ31</f>
        <v>0.31844354703786676</v>
      </c>
      <c r="I30" s="30">
        <f>'Input Sheet'!AK31</f>
        <v>5.9583734105320982E-3</v>
      </c>
      <c r="J30" s="30">
        <f>'Input Sheet'!AL31</f>
        <v>0.18323703965816093</v>
      </c>
      <c r="K30" s="30">
        <f>'Input Sheet'!AM31</f>
        <v>1.1458889111332826E-3</v>
      </c>
      <c r="L30" s="62">
        <v>1</v>
      </c>
      <c r="M30" s="30">
        <f t="shared" ref="M30:M33" si="12">L30/L$34</f>
        <v>0.2</v>
      </c>
      <c r="N30" s="29"/>
      <c r="O30" s="29"/>
      <c r="P30" s="29"/>
      <c r="Q30" s="29"/>
      <c r="R30" s="45">
        <f t="shared" si="11"/>
        <v>1</v>
      </c>
      <c r="S30" s="45">
        <f t="shared" si="11"/>
        <v>0.53502266011503885</v>
      </c>
      <c r="T30" s="45">
        <f t="shared" si="11"/>
        <v>0.31844354703786676</v>
      </c>
      <c r="U30" s="45">
        <f t="shared" si="11"/>
        <v>5.9583734105320982E-3</v>
      </c>
      <c r="V30" s="45">
        <f t="shared" si="11"/>
        <v>0.18323703965816093</v>
      </c>
      <c r="W30" s="45">
        <f t="shared" si="11"/>
        <v>1.1458889111332826E-3</v>
      </c>
      <c r="X30" s="46"/>
      <c r="Y30" s="46"/>
      <c r="Z30" s="46"/>
    </row>
    <row r="31" spans="1:26" ht="15.6">
      <c r="A31" s="879"/>
      <c r="B31" s="879"/>
      <c r="C31" s="966"/>
      <c r="D31" s="951"/>
      <c r="E31" s="23" t="s">
        <v>459</v>
      </c>
      <c r="F31" s="30">
        <f>'Input Sheet'!AH32</f>
        <v>1</v>
      </c>
      <c r="G31" s="30">
        <f>'Input Sheet'!AI32</f>
        <v>1</v>
      </c>
      <c r="H31" s="30">
        <f>'Input Sheet'!AJ32</f>
        <v>1</v>
      </c>
      <c r="I31" s="30">
        <f>'Input Sheet'!AK32</f>
        <v>0.42316208231774899</v>
      </c>
      <c r="J31" s="30">
        <f>'Input Sheet'!AL32</f>
        <v>1</v>
      </c>
      <c r="K31" s="30">
        <f>'Input Sheet'!AM32</f>
        <v>0.71329718021725974</v>
      </c>
      <c r="L31" s="62">
        <v>1</v>
      </c>
      <c r="M31" s="30">
        <f t="shared" si="12"/>
        <v>0.2</v>
      </c>
      <c r="N31" s="29"/>
      <c r="O31" s="29"/>
      <c r="P31" s="29"/>
      <c r="Q31" s="29"/>
      <c r="R31" s="45">
        <f t="shared" si="11"/>
        <v>1</v>
      </c>
      <c r="S31" s="45">
        <f t="shared" si="11"/>
        <v>1</v>
      </c>
      <c r="T31" s="45">
        <f t="shared" si="11"/>
        <v>1</v>
      </c>
      <c r="U31" s="45">
        <f t="shared" si="11"/>
        <v>0.42316208231774899</v>
      </c>
      <c r="V31" s="45">
        <f t="shared" si="11"/>
        <v>1</v>
      </c>
      <c r="W31" s="45">
        <f t="shared" si="11"/>
        <v>0.71329718021725974</v>
      </c>
      <c r="X31" s="46"/>
      <c r="Y31" s="46"/>
      <c r="Z31" s="46"/>
    </row>
    <row r="32" spans="1:26" ht="15.6">
      <c r="A32" s="879"/>
      <c r="B32" s="879"/>
      <c r="C32" s="966"/>
      <c r="D32" s="951"/>
      <c r="E32" s="23" t="s">
        <v>492</v>
      </c>
      <c r="F32" s="30">
        <f>'Input Sheet'!AH33</f>
        <v>1</v>
      </c>
      <c r="G32" s="30">
        <f>'Input Sheet'!AI33</f>
        <v>0.66199319669083379</v>
      </c>
      <c r="H32" s="30">
        <f>'Input Sheet'!AJ33</f>
        <v>0.66199319669083379</v>
      </c>
      <c r="I32" s="30">
        <f>'Input Sheet'!AK33</f>
        <v>3.4469852208994722</v>
      </c>
      <c r="J32" s="30">
        <f>'Input Sheet'!AL33</f>
        <v>0.66199319669083379</v>
      </c>
      <c r="K32" s="30">
        <f>'Input Sheet'!AM33</f>
        <v>3.4469852208994722</v>
      </c>
      <c r="L32" s="62">
        <v>1</v>
      </c>
      <c r="M32" s="30">
        <f t="shared" si="12"/>
        <v>0.2</v>
      </c>
      <c r="N32" s="29"/>
      <c r="O32" s="29"/>
      <c r="P32" s="29"/>
      <c r="Q32" s="29"/>
      <c r="R32" s="45">
        <f t="shared" si="11"/>
        <v>1</v>
      </c>
      <c r="S32" s="45">
        <f t="shared" si="11"/>
        <v>0.66199319669083379</v>
      </c>
      <c r="T32" s="45">
        <f t="shared" si="11"/>
        <v>0.66199319669083379</v>
      </c>
      <c r="U32" s="45">
        <f t="shared" si="11"/>
        <v>3.4469852208994722</v>
      </c>
      <c r="V32" s="45">
        <f t="shared" si="11"/>
        <v>0.66199319669083379</v>
      </c>
      <c r="W32" s="45">
        <f t="shared" si="11"/>
        <v>3.4469852208994722</v>
      </c>
      <c r="X32" s="46"/>
      <c r="Y32" s="46"/>
      <c r="Z32" s="46"/>
    </row>
    <row r="33" spans="1:26" ht="15.6">
      <c r="A33" s="879"/>
      <c r="B33" s="879"/>
      <c r="C33" s="966"/>
      <c r="D33" s="951"/>
      <c r="E33" s="34" t="s">
        <v>461</v>
      </c>
      <c r="F33" s="30">
        <f>'Input Sheet'!AH34</f>
        <v>1</v>
      </c>
      <c r="G33" s="30">
        <f>'Input Sheet'!AI34</f>
        <v>0.58525110430741201</v>
      </c>
      <c r="H33" s="30">
        <f>'Input Sheet'!AJ34</f>
        <v>0.35961283926440357</v>
      </c>
      <c r="I33" s="30">
        <f>'Input Sheet'!AK34</f>
        <v>0.15335496684492853</v>
      </c>
      <c r="J33" s="30">
        <f>'Input Sheet'!AL34</f>
        <v>1</v>
      </c>
      <c r="K33" s="30">
        <f>'Input Sheet'!AM34</f>
        <v>1</v>
      </c>
      <c r="L33" s="62">
        <v>1</v>
      </c>
      <c r="M33" s="30">
        <f t="shared" si="12"/>
        <v>0.2</v>
      </c>
      <c r="N33" s="29"/>
      <c r="O33" s="29"/>
      <c r="P33" s="29"/>
      <c r="Q33" s="29"/>
      <c r="R33" s="45">
        <f t="shared" si="11"/>
        <v>1</v>
      </c>
      <c r="S33" s="45">
        <f t="shared" si="11"/>
        <v>0.58525110430741201</v>
      </c>
      <c r="T33" s="45">
        <f t="shared" si="11"/>
        <v>0.35961283926440357</v>
      </c>
      <c r="U33" s="45">
        <f t="shared" si="11"/>
        <v>0.15335496684492853</v>
      </c>
      <c r="V33" s="45">
        <f t="shared" si="11"/>
        <v>1</v>
      </c>
      <c r="W33" s="45">
        <f t="shared" si="11"/>
        <v>1</v>
      </c>
      <c r="X33" s="46"/>
      <c r="Y33" s="46"/>
      <c r="Z33" s="46"/>
    </row>
    <row r="34" spans="1:26" ht="15.6">
      <c r="A34" s="879"/>
      <c r="B34" s="879"/>
      <c r="C34" s="966"/>
      <c r="D34" s="951"/>
      <c r="E34" s="23" t="s">
        <v>38</v>
      </c>
      <c r="F34" s="47"/>
      <c r="G34" s="47"/>
      <c r="H34" s="47"/>
      <c r="I34" s="47"/>
      <c r="J34" s="47"/>
      <c r="K34" s="47"/>
      <c r="L34" s="449">
        <f>SUM(L29:L33)</f>
        <v>5</v>
      </c>
      <c r="M34" s="872" t="s">
        <v>493</v>
      </c>
      <c r="N34" s="873"/>
      <c r="O34" s="873"/>
      <c r="P34" s="873"/>
      <c r="Q34" s="874"/>
      <c r="R34" s="45">
        <f t="shared" ref="R34:W34" si="13">SUM(R29:R33)</f>
        <v>5</v>
      </c>
      <c r="S34" s="45">
        <f t="shared" si="13"/>
        <v>4.1261969927588318</v>
      </c>
      <c r="T34" s="45">
        <f t="shared" si="13"/>
        <v>3.8340112656937526</v>
      </c>
      <c r="U34" s="45">
        <f t="shared" si="13"/>
        <v>22.935954259016206</v>
      </c>
      <c r="V34" s="45">
        <f t="shared" si="13"/>
        <v>2.8753168344032525</v>
      </c>
      <c r="W34" s="45">
        <f t="shared" si="13"/>
        <v>5.1890167554988995</v>
      </c>
      <c r="X34" s="48"/>
      <c r="Y34" s="48"/>
      <c r="Z34" s="48"/>
    </row>
    <row r="35" spans="1:26" ht="15.6">
      <c r="A35" s="879"/>
      <c r="B35" s="879"/>
      <c r="C35" s="966"/>
      <c r="D35" s="951"/>
      <c r="E35" s="23"/>
      <c r="F35" s="23"/>
      <c r="G35" s="23"/>
      <c r="H35" s="23"/>
      <c r="I35" s="23"/>
      <c r="J35" s="23"/>
      <c r="K35" s="23"/>
      <c r="L35" s="23"/>
      <c r="M35" s="872" t="s">
        <v>494</v>
      </c>
      <c r="N35" s="873"/>
      <c r="O35" s="873"/>
      <c r="P35" s="873"/>
      <c r="Q35" s="874"/>
      <c r="R35" s="45">
        <f t="shared" ref="R35:W35" si="14">R34/SUM($R34:$W34)</f>
        <v>0.11373847983398076</v>
      </c>
      <c r="S35" s="45">
        <f t="shared" si="14"/>
        <v>9.3861474690386498E-2</v>
      </c>
      <c r="T35" s="45">
        <f t="shared" si="14"/>
        <v>8.7214922605272791E-2</v>
      </c>
      <c r="U35" s="45">
        <f t="shared" si="14"/>
        <v>0.52174011419244404</v>
      </c>
      <c r="V35" s="45">
        <f t="shared" si="14"/>
        <v>6.5406833157215946E-2</v>
      </c>
      <c r="W35" s="45">
        <f t="shared" si="14"/>
        <v>0.11803817552069998</v>
      </c>
      <c r="X35" s="17"/>
      <c r="Y35" s="17"/>
      <c r="Z35" s="17"/>
    </row>
    <row r="36" spans="1:26" ht="15.6" customHeight="1">
      <c r="A36" s="879"/>
      <c r="B36" s="879"/>
      <c r="C36" s="966"/>
      <c r="D36" s="951"/>
      <c r="E36" s="446"/>
      <c r="F36" s="674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6"/>
      <c r="X36" s="17"/>
      <c r="Y36" s="17"/>
      <c r="Z36" s="17"/>
    </row>
    <row r="37" spans="1:26" ht="15.6">
      <c r="A37" s="879"/>
      <c r="B37" s="879"/>
      <c r="C37" s="966"/>
      <c r="D37" s="951"/>
      <c r="E37" s="23"/>
      <c r="F37" s="30">
        <f>'Input Sheet'!AH36</f>
        <v>1</v>
      </c>
      <c r="G37" s="30">
        <f>'Input Sheet'!AI36</f>
        <v>0.85</v>
      </c>
      <c r="H37" s="30">
        <f>'Input Sheet'!AJ36</f>
        <v>0.75</v>
      </c>
      <c r="I37" s="30">
        <f>'Input Sheet'!AK36</f>
        <v>0.85</v>
      </c>
      <c r="J37" s="30">
        <f>'Input Sheet'!AL36</f>
        <v>0.55000000000000004</v>
      </c>
      <c r="K37" s="30">
        <f>'Input Sheet'!AM36</f>
        <v>0.35</v>
      </c>
      <c r="L37" s="23"/>
      <c r="M37" s="957" t="s">
        <v>495</v>
      </c>
      <c r="N37" s="958"/>
      <c r="O37" s="958"/>
      <c r="P37" s="958"/>
      <c r="Q37" s="959"/>
      <c r="R37" s="45">
        <f t="shared" ref="R37:W37" si="15">R35*F37</f>
        <v>0.11373847983398076</v>
      </c>
      <c r="S37" s="45">
        <f t="shared" si="15"/>
        <v>7.9782253486828519E-2</v>
      </c>
      <c r="T37" s="45">
        <f t="shared" si="15"/>
        <v>6.5411191953954589E-2</v>
      </c>
      <c r="U37" s="45">
        <f t="shared" si="15"/>
        <v>0.44347909706357741</v>
      </c>
      <c r="V37" s="45">
        <f t="shared" si="15"/>
        <v>3.5973758236468777E-2</v>
      </c>
      <c r="W37" s="45">
        <f t="shared" si="15"/>
        <v>4.131336143224499E-2</v>
      </c>
      <c r="X37" s="17"/>
      <c r="Y37" s="17"/>
      <c r="Z37" s="17"/>
    </row>
    <row r="38" spans="1:26" ht="15.6" customHeight="1">
      <c r="A38" s="879"/>
      <c r="B38" s="879"/>
      <c r="C38" s="966"/>
      <c r="D38" s="951"/>
      <c r="E38" s="23"/>
      <c r="F38" s="960" t="s">
        <v>923</v>
      </c>
      <c r="G38" s="961"/>
      <c r="H38" s="961"/>
      <c r="I38" s="961"/>
      <c r="J38" s="961"/>
      <c r="K38" s="961"/>
      <c r="L38" s="961"/>
      <c r="M38" s="961"/>
      <c r="N38" s="961"/>
      <c r="O38" s="961"/>
      <c r="P38" s="961"/>
      <c r="Q38" s="962"/>
      <c r="R38" s="45">
        <f>R37</f>
        <v>0.11373847983398076</v>
      </c>
      <c r="S38" s="45">
        <f>S37*'Input Sheet'!AI28/'Input Sheet'!AH28</f>
        <v>5.5268901592789535E-2</v>
      </c>
      <c r="T38" s="45">
        <f>T37*'Input Sheet'!AJ28/'Input Sheet'!AH28</f>
        <v>2.0097797393508549E-2</v>
      </c>
      <c r="U38" s="45">
        <f>U37</f>
        <v>0.44347909706357741</v>
      </c>
      <c r="V38" s="45">
        <f>V37</f>
        <v>3.5973758236468777E-2</v>
      </c>
      <c r="W38" s="45">
        <f>W37</f>
        <v>4.131336143224499E-2</v>
      </c>
      <c r="X38" s="17"/>
      <c r="Y38" s="17"/>
      <c r="Z38" s="17"/>
    </row>
    <row r="39" spans="1:26" ht="15.6" customHeight="1">
      <c r="A39" s="879"/>
      <c r="B39" s="879"/>
      <c r="C39" s="966"/>
      <c r="D39" s="951"/>
      <c r="E39" s="23"/>
      <c r="F39" s="963" t="s">
        <v>924</v>
      </c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Q39" s="965"/>
      <c r="R39" s="50">
        <f>R38/(R38+U38+V38+W38+S38+T38)</f>
        <v>0.16022406388898902</v>
      </c>
      <c r="S39" s="50">
        <f>S38/(R38+S38+T38+U38+V38+W38)</f>
        <v>7.7857625957400006E-2</v>
      </c>
      <c r="T39" s="50">
        <f>T38/(R38+S38+T38+U38+V38+W38)</f>
        <v>2.8311885109646166E-2</v>
      </c>
      <c r="U39" s="50">
        <f>U38/(R38+U38+V38+W38+S38+T38)</f>
        <v>0.62473160609376222</v>
      </c>
      <c r="V39" s="50">
        <f>V38/(R38+U38+V38+W38+S38+T38)</f>
        <v>5.0676444299416368E-2</v>
      </c>
      <c r="W39" s="50">
        <f>W38/(R38+U38+V38+W38+S38+T38)</f>
        <v>5.8198374650786311E-2</v>
      </c>
      <c r="X39" s="17"/>
      <c r="Y39" s="17"/>
      <c r="Z39" s="17"/>
    </row>
    <row r="40" spans="1:26" ht="15.6" customHeight="1">
      <c r="A40" s="880"/>
      <c r="B40" s="880"/>
      <c r="C40" s="966"/>
      <c r="D40" s="951"/>
      <c r="E40" s="23"/>
      <c r="F40" s="963" t="s">
        <v>925</v>
      </c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Q40" s="965"/>
      <c r="R40" s="51">
        <f t="shared" ref="R40:W40" si="16">ROUND($C29*$E$2*R39/100,0)*100</f>
        <v>4800</v>
      </c>
      <c r="S40" s="51">
        <f t="shared" si="16"/>
        <v>2300</v>
      </c>
      <c r="T40" s="51">
        <f t="shared" si="16"/>
        <v>800</v>
      </c>
      <c r="U40" s="51">
        <f t="shared" si="16"/>
        <v>18600</v>
      </c>
      <c r="V40" s="51">
        <f t="shared" si="16"/>
        <v>1500</v>
      </c>
      <c r="W40" s="51">
        <f t="shared" si="16"/>
        <v>1700</v>
      </c>
      <c r="X40" s="17"/>
      <c r="Y40" s="17"/>
      <c r="Z40" s="17"/>
    </row>
    <row r="41" spans="1:26" ht="15.6">
      <c r="A41" s="825">
        <v>4</v>
      </c>
      <c r="B41" s="825" t="s">
        <v>635</v>
      </c>
      <c r="C41" s="966">
        <f>Buckets!I6</f>
        <v>4.1808130930617221E-2</v>
      </c>
      <c r="D41" s="951" t="s">
        <v>490</v>
      </c>
      <c r="E41" s="23" t="s">
        <v>457</v>
      </c>
      <c r="F41" s="30">
        <f>'Input Sheet'!AH41</f>
        <v>1</v>
      </c>
      <c r="G41" s="30">
        <f>'Input Sheet'!AI41</f>
        <v>1.2289025756000438</v>
      </c>
      <c r="H41" s="30">
        <f>'Input Sheet'!AJ41</f>
        <v>1.2488104819418204</v>
      </c>
      <c r="I41" s="30">
        <f>'Input Sheet'!AK41</f>
        <v>9.6742815976823557</v>
      </c>
      <c r="J41" s="30">
        <f>'Input Sheet'!AL41</f>
        <v>2.6395624071687961E-2</v>
      </c>
      <c r="K41" s="30">
        <f>'Input Sheet'!AM41</f>
        <v>1.813914136194553E-2</v>
      </c>
      <c r="L41" s="62">
        <v>1</v>
      </c>
      <c r="M41" s="30">
        <f>L41/L$34</f>
        <v>0.2</v>
      </c>
      <c r="N41" s="29"/>
      <c r="O41" s="29"/>
      <c r="P41" s="29"/>
      <c r="Q41" s="29"/>
      <c r="R41" s="45">
        <f t="shared" ref="R41:W45" si="17">F41</f>
        <v>1</v>
      </c>
      <c r="S41" s="45">
        <f t="shared" si="17"/>
        <v>1.2289025756000438</v>
      </c>
      <c r="T41" s="45">
        <f t="shared" si="17"/>
        <v>1.2488104819418204</v>
      </c>
      <c r="U41" s="45">
        <f t="shared" si="17"/>
        <v>9.6742815976823557</v>
      </c>
      <c r="V41" s="45">
        <f t="shared" si="17"/>
        <v>2.6395624071687961E-2</v>
      </c>
      <c r="W41" s="45">
        <f t="shared" si="17"/>
        <v>1.813914136194553E-2</v>
      </c>
      <c r="X41" s="46"/>
      <c r="Y41" s="46"/>
      <c r="Z41" s="46"/>
    </row>
    <row r="42" spans="1:26" ht="31.35" customHeight="1">
      <c r="A42" s="825"/>
      <c r="B42" s="825"/>
      <c r="C42" s="966"/>
      <c r="D42" s="951"/>
      <c r="E42" s="23" t="s">
        <v>491</v>
      </c>
      <c r="F42" s="30">
        <f>'Input Sheet'!AH42</f>
        <v>1</v>
      </c>
      <c r="G42" s="30">
        <f>'Input Sheet'!AI42</f>
        <v>0.52498814966167839</v>
      </c>
      <c r="H42" s="30">
        <f>'Input Sheet'!AJ42</f>
        <v>0.31591706019284116</v>
      </c>
      <c r="I42" s="30">
        <f>'Input Sheet'!AK42</f>
        <v>3.7813767764195129E-2</v>
      </c>
      <c r="J42" s="30">
        <f>'Input Sheet'!AL42</f>
        <v>0.18885301433416984</v>
      </c>
      <c r="K42" s="30">
        <f>'Input Sheet'!AM42</f>
        <v>7.9216397025711534E-3</v>
      </c>
      <c r="L42" s="62">
        <v>1</v>
      </c>
      <c r="M42" s="30">
        <f t="shared" ref="M42:M45" si="18">L42/L$34</f>
        <v>0.2</v>
      </c>
      <c r="N42" s="29"/>
      <c r="O42" s="29"/>
      <c r="P42" s="29"/>
      <c r="Q42" s="29"/>
      <c r="R42" s="45">
        <f t="shared" si="17"/>
        <v>1</v>
      </c>
      <c r="S42" s="45">
        <f t="shared" si="17"/>
        <v>0.52498814966167839</v>
      </c>
      <c r="T42" s="45">
        <f t="shared" si="17"/>
        <v>0.31591706019284116</v>
      </c>
      <c r="U42" s="45">
        <f t="shared" si="17"/>
        <v>3.7813767764195129E-2</v>
      </c>
      <c r="V42" s="45">
        <f t="shared" si="17"/>
        <v>0.18885301433416984</v>
      </c>
      <c r="W42" s="45">
        <f t="shared" si="17"/>
        <v>7.9216397025711534E-3</v>
      </c>
      <c r="X42" s="46"/>
      <c r="Y42" s="46"/>
      <c r="Z42" s="46"/>
    </row>
    <row r="43" spans="1:26" ht="15.6">
      <c r="A43" s="825"/>
      <c r="B43" s="825"/>
      <c r="C43" s="966"/>
      <c r="D43" s="951"/>
      <c r="E43" s="23" t="s">
        <v>459</v>
      </c>
      <c r="F43" s="30">
        <f>'Input Sheet'!AH43</f>
        <v>1</v>
      </c>
      <c r="G43" s="30">
        <f>'Input Sheet'!AI43</f>
        <v>1</v>
      </c>
      <c r="H43" s="30">
        <f>'Input Sheet'!AJ43</f>
        <v>1</v>
      </c>
      <c r="I43" s="30">
        <f>'Input Sheet'!AK43</f>
        <v>0.31890655732397039</v>
      </c>
      <c r="J43" s="30">
        <f>'Input Sheet'!AL43</f>
        <v>1</v>
      </c>
      <c r="K43" s="30">
        <f>'Input Sheet'!AM43</f>
        <v>0.52578802442577965</v>
      </c>
      <c r="L43" s="62">
        <v>1</v>
      </c>
      <c r="M43" s="30">
        <f t="shared" si="18"/>
        <v>0.2</v>
      </c>
      <c r="N43" s="29"/>
      <c r="O43" s="29"/>
      <c r="P43" s="29"/>
      <c r="Q43" s="29"/>
      <c r="R43" s="45">
        <f t="shared" si="17"/>
        <v>1</v>
      </c>
      <c r="S43" s="45">
        <f t="shared" si="17"/>
        <v>1</v>
      </c>
      <c r="T43" s="45">
        <f t="shared" si="17"/>
        <v>1</v>
      </c>
      <c r="U43" s="45">
        <f t="shared" si="17"/>
        <v>0.31890655732397039</v>
      </c>
      <c r="V43" s="45">
        <f t="shared" si="17"/>
        <v>1</v>
      </c>
      <c r="W43" s="45">
        <f t="shared" si="17"/>
        <v>0.52578802442577965</v>
      </c>
      <c r="X43" s="46"/>
      <c r="Y43" s="46"/>
      <c r="Z43" s="46"/>
    </row>
    <row r="44" spans="1:26" ht="15.6">
      <c r="A44" s="825"/>
      <c r="B44" s="825"/>
      <c r="C44" s="966"/>
      <c r="D44" s="951"/>
      <c r="E44" s="23" t="s">
        <v>492</v>
      </c>
      <c r="F44" s="30">
        <f>'Input Sheet'!AH44</f>
        <v>1</v>
      </c>
      <c r="G44" s="30">
        <f>'Input Sheet'!AI44</f>
        <v>0.66199319669083379</v>
      </c>
      <c r="H44" s="30">
        <f>'Input Sheet'!AJ44</f>
        <v>0.66199319669083379</v>
      </c>
      <c r="I44" s="30">
        <f>'Input Sheet'!AK44</f>
        <v>3.4469852208994722</v>
      </c>
      <c r="J44" s="30">
        <f>'Input Sheet'!AL44</f>
        <v>0.66199319669083379</v>
      </c>
      <c r="K44" s="30">
        <f>'Input Sheet'!AM44</f>
        <v>3.4469852208994722</v>
      </c>
      <c r="L44" s="62">
        <v>1</v>
      </c>
      <c r="M44" s="30">
        <f t="shared" si="18"/>
        <v>0.2</v>
      </c>
      <c r="N44" s="29"/>
      <c r="O44" s="29"/>
      <c r="P44" s="29"/>
      <c r="Q44" s="29"/>
      <c r="R44" s="45">
        <f t="shared" si="17"/>
        <v>1</v>
      </c>
      <c r="S44" s="45">
        <f t="shared" si="17"/>
        <v>0.66199319669083379</v>
      </c>
      <c r="T44" s="45">
        <f t="shared" si="17"/>
        <v>0.66199319669083379</v>
      </c>
      <c r="U44" s="45">
        <f t="shared" si="17"/>
        <v>3.4469852208994722</v>
      </c>
      <c r="V44" s="45">
        <f t="shared" si="17"/>
        <v>0.66199319669083379</v>
      </c>
      <c r="W44" s="45">
        <f t="shared" si="17"/>
        <v>3.4469852208994722</v>
      </c>
      <c r="X44" s="46"/>
      <c r="Y44" s="46"/>
      <c r="Z44" s="46"/>
    </row>
    <row r="45" spans="1:26" ht="15.6">
      <c r="A45" s="825"/>
      <c r="B45" s="825"/>
      <c r="C45" s="966"/>
      <c r="D45" s="951"/>
      <c r="E45" s="34" t="s">
        <v>461</v>
      </c>
      <c r="F45" s="30">
        <f>'Input Sheet'!AH45</f>
        <v>1</v>
      </c>
      <c r="G45" s="30">
        <f>'Input Sheet'!AI45</f>
        <v>0.54247832794327511</v>
      </c>
      <c r="H45" s="30">
        <f>'Input Sheet'!AJ45</f>
        <v>0.31110847407961917</v>
      </c>
      <c r="I45" s="30">
        <f>'Input Sheet'!AK45</f>
        <v>0.11758133171956553</v>
      </c>
      <c r="J45" s="30">
        <f>'Input Sheet'!AL45</f>
        <v>1</v>
      </c>
      <c r="K45" s="30">
        <f>'Input Sheet'!AM45</f>
        <v>1</v>
      </c>
      <c r="L45" s="62">
        <v>1</v>
      </c>
      <c r="M45" s="30">
        <f t="shared" si="18"/>
        <v>0.2</v>
      </c>
      <c r="N45" s="29"/>
      <c r="O45" s="29"/>
      <c r="P45" s="29"/>
      <c r="Q45" s="29"/>
      <c r="R45" s="45">
        <f t="shared" si="17"/>
        <v>1</v>
      </c>
      <c r="S45" s="45">
        <f t="shared" si="17"/>
        <v>0.54247832794327511</v>
      </c>
      <c r="T45" s="45">
        <f t="shared" si="17"/>
        <v>0.31110847407961917</v>
      </c>
      <c r="U45" s="45">
        <f t="shared" si="17"/>
        <v>0.11758133171956553</v>
      </c>
      <c r="V45" s="45">
        <f t="shared" si="17"/>
        <v>1</v>
      </c>
      <c r="W45" s="45">
        <f t="shared" si="17"/>
        <v>1</v>
      </c>
      <c r="X45" s="46"/>
      <c r="Y45" s="46"/>
      <c r="Z45" s="46"/>
    </row>
    <row r="46" spans="1:26" ht="15.6">
      <c r="A46" s="825">
        <v>2</v>
      </c>
      <c r="B46" s="825"/>
      <c r="C46" s="966"/>
      <c r="D46" s="951"/>
      <c r="E46" s="23" t="s">
        <v>38</v>
      </c>
      <c r="F46" s="47"/>
      <c r="G46" s="47"/>
      <c r="H46" s="47"/>
      <c r="I46" s="47"/>
      <c r="J46" s="47"/>
      <c r="K46" s="47"/>
      <c r="L46" s="449">
        <f>SUM(L41:L45)</f>
        <v>5</v>
      </c>
      <c r="M46" s="872" t="s">
        <v>493</v>
      </c>
      <c r="N46" s="873"/>
      <c r="O46" s="873"/>
      <c r="P46" s="873"/>
      <c r="Q46" s="874"/>
      <c r="R46" s="45">
        <f t="shared" ref="R46:W46" si="19">SUM(R41:R45)</f>
        <v>5</v>
      </c>
      <c r="S46" s="45">
        <f t="shared" si="19"/>
        <v>3.9583622498958309</v>
      </c>
      <c r="T46" s="45">
        <f t="shared" si="19"/>
        <v>3.5378292129051143</v>
      </c>
      <c r="U46" s="45">
        <f t="shared" si="19"/>
        <v>13.595568475389559</v>
      </c>
      <c r="V46" s="45">
        <f t="shared" si="19"/>
        <v>2.8772418350966915</v>
      </c>
      <c r="W46" s="45">
        <f t="shared" si="19"/>
        <v>4.998834026389769</v>
      </c>
      <c r="X46" s="48"/>
      <c r="Y46" s="48"/>
      <c r="Z46" s="48"/>
    </row>
    <row r="47" spans="1:26" ht="15.6">
      <c r="A47" s="825"/>
      <c r="B47" s="825"/>
      <c r="C47" s="966"/>
      <c r="D47" s="951"/>
      <c r="E47" s="23"/>
      <c r="F47" s="23"/>
      <c r="G47" s="23"/>
      <c r="H47" s="23"/>
      <c r="I47" s="23"/>
      <c r="J47" s="23"/>
      <c r="K47" s="23"/>
      <c r="L47" s="23"/>
      <c r="M47" s="872" t="s">
        <v>494</v>
      </c>
      <c r="N47" s="873"/>
      <c r="O47" s="873"/>
      <c r="P47" s="873"/>
      <c r="Q47" s="874"/>
      <c r="R47" s="45">
        <f t="shared" ref="R47:W47" si="20">R46/SUM($R46:$W46)</f>
        <v>0.14719807377447197</v>
      </c>
      <c r="S47" s="45">
        <f t="shared" si="20"/>
        <v>0.11653265969725028</v>
      </c>
      <c r="T47" s="45">
        <f t="shared" si="20"/>
        <v>0.10415232909653784</v>
      </c>
      <c r="U47" s="45">
        <f t="shared" si="20"/>
        <v>0.40024829828925557</v>
      </c>
      <c r="V47" s="45">
        <f t="shared" si="20"/>
        <v>8.470489118191199E-2</v>
      </c>
      <c r="W47" s="45">
        <f t="shared" si="20"/>
        <v>0.14716374796057241</v>
      </c>
      <c r="X47" s="17"/>
      <c r="Y47" s="17"/>
      <c r="Z47" s="17"/>
    </row>
    <row r="48" spans="1:26" ht="15.6" customHeight="1">
      <c r="A48" s="825"/>
      <c r="B48" s="825"/>
      <c r="C48" s="966"/>
      <c r="D48" s="951"/>
      <c r="E48" s="446"/>
      <c r="F48" s="941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3"/>
      <c r="X48" s="17"/>
      <c r="Y48" s="17"/>
      <c r="Z48" s="17"/>
    </row>
    <row r="49" spans="1:26" ht="15.6">
      <c r="A49" s="825"/>
      <c r="B49" s="825"/>
      <c r="C49" s="966"/>
      <c r="D49" s="951"/>
      <c r="E49" s="23"/>
      <c r="F49" s="30">
        <f>'Input Sheet'!AH47</f>
        <v>1</v>
      </c>
      <c r="G49" s="30">
        <f>'Input Sheet'!AI47</f>
        <v>0.9</v>
      </c>
      <c r="H49" s="30">
        <f>'Input Sheet'!AJ47</f>
        <v>0.75</v>
      </c>
      <c r="I49" s="30">
        <f>'Input Sheet'!AK47</f>
        <v>0.9</v>
      </c>
      <c r="J49" s="30">
        <f>'Input Sheet'!AL47</f>
        <v>0.55000000000000004</v>
      </c>
      <c r="K49" s="30">
        <f>'Input Sheet'!AM47</f>
        <v>0.35</v>
      </c>
      <c r="L49" s="23"/>
      <c r="M49" s="957" t="s">
        <v>495</v>
      </c>
      <c r="N49" s="958"/>
      <c r="O49" s="958"/>
      <c r="P49" s="958"/>
      <c r="Q49" s="959"/>
      <c r="R49" s="45">
        <f t="shared" ref="R49:W49" si="21">R47*F49</f>
        <v>0.14719807377447197</v>
      </c>
      <c r="S49" s="45">
        <f t="shared" si="21"/>
        <v>0.10487939372752525</v>
      </c>
      <c r="T49" s="45">
        <f t="shared" si="21"/>
        <v>7.811424682240338E-2</v>
      </c>
      <c r="U49" s="45">
        <f t="shared" si="21"/>
        <v>0.36022346846033004</v>
      </c>
      <c r="V49" s="45">
        <f t="shared" si="21"/>
        <v>4.6587690150051597E-2</v>
      </c>
      <c r="W49" s="45">
        <f t="shared" si="21"/>
        <v>5.1507311786200341E-2</v>
      </c>
      <c r="X49" s="17"/>
      <c r="Y49" s="17"/>
      <c r="Z49" s="17"/>
    </row>
    <row r="50" spans="1:26" ht="15.6" customHeight="1">
      <c r="A50" s="825"/>
      <c r="B50" s="825"/>
      <c r="C50" s="966"/>
      <c r="D50" s="951"/>
      <c r="E50" s="23"/>
      <c r="F50" s="960" t="s">
        <v>923</v>
      </c>
      <c r="G50" s="961"/>
      <c r="H50" s="961"/>
      <c r="I50" s="961"/>
      <c r="J50" s="961"/>
      <c r="K50" s="961"/>
      <c r="L50" s="961"/>
      <c r="M50" s="961"/>
      <c r="N50" s="961"/>
      <c r="O50" s="961"/>
      <c r="P50" s="961"/>
      <c r="Q50" s="962"/>
      <c r="R50" s="45">
        <f>R49</f>
        <v>0.14719807377447197</v>
      </c>
      <c r="S50" s="45">
        <f>S49*'Input Sheet'!AI39/'Input Sheet'!AH39</f>
        <v>0.10487939372752525</v>
      </c>
      <c r="T50" s="45">
        <f>T49*'Input Sheet'!AJ39/'Input Sheet'!AH39</f>
        <v>0</v>
      </c>
      <c r="U50" s="45">
        <f>U49</f>
        <v>0.36022346846033004</v>
      </c>
      <c r="V50" s="45">
        <f>V49</f>
        <v>4.6587690150051597E-2</v>
      </c>
      <c r="W50" s="45">
        <f>W49</f>
        <v>5.1507311786200341E-2</v>
      </c>
      <c r="X50" s="17"/>
      <c r="Y50" s="17"/>
      <c r="Z50" s="17"/>
    </row>
    <row r="51" spans="1:26" ht="15.6" customHeight="1">
      <c r="A51" s="825"/>
      <c r="B51" s="825"/>
      <c r="C51" s="966"/>
      <c r="D51" s="951"/>
      <c r="E51" s="23"/>
      <c r="F51" s="963" t="s">
        <v>924</v>
      </c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Q51" s="965"/>
      <c r="R51" s="50">
        <f>R50/(R50+U50+V50+W50+S50+T50)</f>
        <v>0.207205680553155</v>
      </c>
      <c r="S51" s="50">
        <f>S50/(R50+S50+T50+U50+V50+W50)</f>
        <v>0.14763512589580505</v>
      </c>
      <c r="T51" s="50">
        <f>T50/(R50+S50+T50+U50+V50+W50)</f>
        <v>0</v>
      </c>
      <c r="U51" s="50">
        <f>U50/(R50+U50+V50+W50+S50+T50)</f>
        <v>0.50707422332102048</v>
      </c>
      <c r="V51" s="50">
        <f>V50/(R50+U50+V50+W50+S50+T50)</f>
        <v>6.5579893781294044E-2</v>
      </c>
      <c r="W51" s="50">
        <f>W50/(R50+U50+V50+W50+S50+T50)</f>
        <v>7.2505076448725211E-2</v>
      </c>
      <c r="X51" s="17"/>
      <c r="Y51" s="17"/>
      <c r="Z51" s="17"/>
    </row>
    <row r="52" spans="1:26" ht="15.6" customHeight="1">
      <c r="A52" s="825"/>
      <c r="B52" s="825"/>
      <c r="C52" s="966"/>
      <c r="D52" s="951"/>
      <c r="E52" s="23"/>
      <c r="F52" s="963" t="s">
        <v>925</v>
      </c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Q52" s="965"/>
      <c r="R52" s="51">
        <f t="shared" ref="R52:W52" si="22">ROUND($C41*$E$2*R51/100,0)*100</f>
        <v>4000</v>
      </c>
      <c r="S52" s="51">
        <f t="shared" si="22"/>
        <v>2800</v>
      </c>
      <c r="T52" s="51">
        <f t="shared" si="22"/>
        <v>0</v>
      </c>
      <c r="U52" s="51">
        <f t="shared" si="22"/>
        <v>9700</v>
      </c>
      <c r="V52" s="51">
        <f t="shared" si="22"/>
        <v>1300</v>
      </c>
      <c r="W52" s="51">
        <f t="shared" si="22"/>
        <v>1400</v>
      </c>
      <c r="X52" s="17"/>
      <c r="Y52" s="17"/>
      <c r="Z52" s="17"/>
    </row>
    <row r="53" spans="1:26" ht="15.6">
      <c r="A53" s="825">
        <v>5</v>
      </c>
      <c r="B53" s="825" t="s">
        <v>639</v>
      </c>
      <c r="C53" s="966">
        <f>Buckets!I7</f>
        <v>9.5172804039348829E-2</v>
      </c>
      <c r="D53" s="951" t="s">
        <v>490</v>
      </c>
      <c r="E53" s="23" t="s">
        <v>457</v>
      </c>
      <c r="F53" s="30">
        <f>'Input Sheet'!AH52</f>
        <v>1</v>
      </c>
      <c r="G53" s="30">
        <f>'Input Sheet'!AI52</f>
        <v>1.1505148931982818</v>
      </c>
      <c r="H53" s="30">
        <f>'Input Sheet'!AJ52</f>
        <v>1.2273137223811665</v>
      </c>
      <c r="I53" s="30">
        <f>'Input Sheet'!AK52</f>
        <v>4.4903525084448903</v>
      </c>
      <c r="J53" s="30">
        <f>'Input Sheet'!AL52</f>
        <v>3.1911001942005357E-2</v>
      </c>
      <c r="K53" s="30">
        <f>'Input Sheet'!AM52</f>
        <v>2.6747427579988912E-2</v>
      </c>
      <c r="L53" s="62">
        <v>1</v>
      </c>
      <c r="M53" s="30">
        <f>L53/L$34</f>
        <v>0.2</v>
      </c>
      <c r="N53" s="29"/>
      <c r="O53" s="29"/>
      <c r="P53" s="29"/>
      <c r="Q53" s="29"/>
      <c r="R53" s="45">
        <f t="shared" ref="R53:W57" si="23">F53</f>
        <v>1</v>
      </c>
      <c r="S53" s="45">
        <f t="shared" si="23"/>
        <v>1.1505148931982818</v>
      </c>
      <c r="T53" s="45">
        <f t="shared" si="23"/>
        <v>1.2273137223811665</v>
      </c>
      <c r="U53" s="45">
        <f t="shared" si="23"/>
        <v>4.4903525084448903</v>
      </c>
      <c r="V53" s="45">
        <f t="shared" si="23"/>
        <v>3.1911001942005357E-2</v>
      </c>
      <c r="W53" s="45">
        <f t="shared" si="23"/>
        <v>2.6747427579988912E-2</v>
      </c>
      <c r="X53" s="46"/>
      <c r="Y53" s="46"/>
      <c r="Z53" s="46"/>
    </row>
    <row r="54" spans="1:26" ht="31.2">
      <c r="A54" s="825"/>
      <c r="B54" s="825"/>
      <c r="C54" s="966"/>
      <c r="D54" s="951"/>
      <c r="E54" s="23" t="s">
        <v>491</v>
      </c>
      <c r="F54" s="30">
        <f>'Input Sheet'!AH53</f>
        <v>1</v>
      </c>
      <c r="G54" s="30">
        <f>'Input Sheet'!AI53</f>
        <v>0.59790821670952943</v>
      </c>
      <c r="H54" s="30">
        <f>'Input Sheet'!AJ53</f>
        <v>0.39433070418261457</v>
      </c>
      <c r="I54" s="30">
        <f>'Input Sheet'!AK53</f>
        <v>4.311022953478235E-2</v>
      </c>
      <c r="J54" s="30">
        <f>'Input Sheet'!AL53</f>
        <v>0.25556503992726887</v>
      </c>
      <c r="K54" s="30">
        <f>'Input Sheet'!AM53</f>
        <v>1.3496428919226011E-2</v>
      </c>
      <c r="L54" s="62">
        <v>1</v>
      </c>
      <c r="M54" s="30">
        <f t="shared" ref="M54:M57" si="24">L54/L$34</f>
        <v>0.2</v>
      </c>
      <c r="N54" s="29"/>
      <c r="O54" s="29"/>
      <c r="P54" s="29"/>
      <c r="Q54" s="29"/>
      <c r="R54" s="45">
        <f t="shared" si="23"/>
        <v>1</v>
      </c>
      <c r="S54" s="45">
        <f t="shared" si="23"/>
        <v>0.59790821670952943</v>
      </c>
      <c r="T54" s="45">
        <f t="shared" si="23"/>
        <v>0.39433070418261457</v>
      </c>
      <c r="U54" s="45">
        <f t="shared" si="23"/>
        <v>4.311022953478235E-2</v>
      </c>
      <c r="V54" s="45">
        <f t="shared" si="23"/>
        <v>0.25556503992726887</v>
      </c>
      <c r="W54" s="45">
        <f t="shared" si="23"/>
        <v>1.3496428919226011E-2</v>
      </c>
      <c r="X54" s="46"/>
      <c r="Y54" s="46"/>
      <c r="Z54" s="46"/>
    </row>
    <row r="55" spans="1:26" ht="15.6">
      <c r="A55" s="825"/>
      <c r="B55" s="825"/>
      <c r="C55" s="966"/>
      <c r="D55" s="951"/>
      <c r="E55" s="23" t="s">
        <v>459</v>
      </c>
      <c r="F55" s="30">
        <f>'Input Sheet'!AH54</f>
        <v>1</v>
      </c>
      <c r="G55" s="30">
        <f>'Input Sheet'!AI54</f>
        <v>1</v>
      </c>
      <c r="H55" s="30">
        <f>'Input Sheet'!AJ54</f>
        <v>1</v>
      </c>
      <c r="I55" s="30">
        <f>'Input Sheet'!AK54</f>
        <v>0.4444975166820565</v>
      </c>
      <c r="J55" s="30">
        <f>'Input Sheet'!AL54</f>
        <v>1</v>
      </c>
      <c r="K55" s="30">
        <f>'Input Sheet'!AM54</f>
        <v>0.6942904675750291</v>
      </c>
      <c r="L55" s="62">
        <v>1</v>
      </c>
      <c r="M55" s="30">
        <f t="shared" si="24"/>
        <v>0.2</v>
      </c>
      <c r="N55" s="29"/>
      <c r="O55" s="29"/>
      <c r="P55" s="29"/>
      <c r="Q55" s="29"/>
      <c r="R55" s="45">
        <f t="shared" si="23"/>
        <v>1</v>
      </c>
      <c r="S55" s="45">
        <f t="shared" si="23"/>
        <v>1</v>
      </c>
      <c r="T55" s="45">
        <f t="shared" si="23"/>
        <v>1</v>
      </c>
      <c r="U55" s="45">
        <f t="shared" si="23"/>
        <v>0.4444975166820565</v>
      </c>
      <c r="V55" s="45">
        <f t="shared" si="23"/>
        <v>1</v>
      </c>
      <c r="W55" s="45">
        <f t="shared" si="23"/>
        <v>0.6942904675750291</v>
      </c>
      <c r="X55" s="46"/>
      <c r="Y55" s="46"/>
      <c r="Z55" s="46"/>
    </row>
    <row r="56" spans="1:26" ht="15.6">
      <c r="A56" s="825"/>
      <c r="B56" s="825"/>
      <c r="C56" s="966"/>
      <c r="D56" s="951"/>
      <c r="E56" s="23" t="s">
        <v>492</v>
      </c>
      <c r="F56" s="30">
        <f>'Input Sheet'!AH55</f>
        <v>1</v>
      </c>
      <c r="G56" s="30">
        <f>'Input Sheet'!AI55</f>
        <v>0.66199319669083379</v>
      </c>
      <c r="H56" s="30">
        <f>'Input Sheet'!AJ55</f>
        <v>0.66199319669083379</v>
      </c>
      <c r="I56" s="30">
        <f>'Input Sheet'!AK55</f>
        <v>3.4469852208994722</v>
      </c>
      <c r="J56" s="30">
        <f>'Input Sheet'!AL55</f>
        <v>0.66199319669083379</v>
      </c>
      <c r="K56" s="30">
        <f>'Input Sheet'!AM55</f>
        <v>3.4469852208994722</v>
      </c>
      <c r="L56" s="62">
        <v>1</v>
      </c>
      <c r="M56" s="30">
        <f t="shared" si="24"/>
        <v>0.2</v>
      </c>
      <c r="N56" s="29"/>
      <c r="O56" s="29"/>
      <c r="P56" s="29"/>
      <c r="Q56" s="29"/>
      <c r="R56" s="45">
        <f t="shared" si="23"/>
        <v>1</v>
      </c>
      <c r="S56" s="45">
        <f t="shared" si="23"/>
        <v>0.66199319669083379</v>
      </c>
      <c r="T56" s="45">
        <f t="shared" si="23"/>
        <v>0.66199319669083379</v>
      </c>
      <c r="U56" s="45">
        <f t="shared" si="23"/>
        <v>3.4469852208994722</v>
      </c>
      <c r="V56" s="45">
        <f t="shared" si="23"/>
        <v>0.66199319669083379</v>
      </c>
      <c r="W56" s="45">
        <f t="shared" si="23"/>
        <v>3.4469852208994722</v>
      </c>
      <c r="X56" s="46"/>
      <c r="Y56" s="46"/>
      <c r="Z56" s="46"/>
    </row>
    <row r="57" spans="1:26" ht="15.6">
      <c r="A57" s="825"/>
      <c r="B57" s="825"/>
      <c r="C57" s="966"/>
      <c r="D57" s="951"/>
      <c r="E57" s="34" t="s">
        <v>461</v>
      </c>
      <c r="F57" s="30">
        <f>'Input Sheet'!AH56</f>
        <v>1</v>
      </c>
      <c r="G57" s="30">
        <f>'Input Sheet'!AI56</f>
        <v>0.54247832794327511</v>
      </c>
      <c r="H57" s="30">
        <f>'Input Sheet'!AJ56</f>
        <v>0.31110847407961917</v>
      </c>
      <c r="I57" s="30">
        <f>'Input Sheet'!AK56</f>
        <v>0.11758133171956553</v>
      </c>
      <c r="J57" s="30">
        <f>'Input Sheet'!AL56</f>
        <v>1</v>
      </c>
      <c r="K57" s="30">
        <f>'Input Sheet'!AM56</f>
        <v>1</v>
      </c>
      <c r="L57" s="62">
        <v>1</v>
      </c>
      <c r="M57" s="30">
        <f t="shared" si="24"/>
        <v>0.2</v>
      </c>
      <c r="N57" s="29"/>
      <c r="O57" s="29"/>
      <c r="P57" s="29"/>
      <c r="Q57" s="29"/>
      <c r="R57" s="45">
        <f t="shared" si="23"/>
        <v>1</v>
      </c>
      <c r="S57" s="45">
        <f t="shared" si="23"/>
        <v>0.54247832794327511</v>
      </c>
      <c r="T57" s="45">
        <f t="shared" si="23"/>
        <v>0.31110847407961917</v>
      </c>
      <c r="U57" s="45">
        <f t="shared" si="23"/>
        <v>0.11758133171956553</v>
      </c>
      <c r="V57" s="45">
        <f t="shared" si="23"/>
        <v>1</v>
      </c>
      <c r="W57" s="45">
        <f t="shared" si="23"/>
        <v>1</v>
      </c>
      <c r="X57" s="46"/>
      <c r="Y57" s="46"/>
      <c r="Z57" s="46"/>
    </row>
    <row r="58" spans="1:26" ht="15.6">
      <c r="A58" s="825">
        <v>2</v>
      </c>
      <c r="B58" s="825"/>
      <c r="C58" s="966"/>
      <c r="D58" s="951"/>
      <c r="E58" s="23" t="s">
        <v>38</v>
      </c>
      <c r="F58" s="47"/>
      <c r="G58" s="47"/>
      <c r="H58" s="47"/>
      <c r="I58" s="47"/>
      <c r="J58" s="47"/>
      <c r="K58" s="47"/>
      <c r="L58" s="449">
        <f>SUM(L53:L57)</f>
        <v>5</v>
      </c>
      <c r="M58" s="872" t="s">
        <v>493</v>
      </c>
      <c r="N58" s="873"/>
      <c r="O58" s="873"/>
      <c r="P58" s="873"/>
      <c r="Q58" s="874"/>
      <c r="R58" s="45">
        <f t="shared" ref="R58:W58" si="25">SUM(R53:R57)</f>
        <v>5</v>
      </c>
      <c r="S58" s="45">
        <f t="shared" si="25"/>
        <v>3.95289463454192</v>
      </c>
      <c r="T58" s="45">
        <f t="shared" si="25"/>
        <v>3.5947460973342338</v>
      </c>
      <c r="U58" s="45">
        <f t="shared" si="25"/>
        <v>8.5425268072807672</v>
      </c>
      <c r="V58" s="45">
        <f t="shared" si="25"/>
        <v>2.9494692385601078</v>
      </c>
      <c r="W58" s="45">
        <f t="shared" si="25"/>
        <v>5.1815195449737166</v>
      </c>
      <c r="X58" s="48"/>
      <c r="Y58" s="48"/>
      <c r="Z58" s="48"/>
    </row>
    <row r="59" spans="1:26" ht="15.6">
      <c r="A59" s="825"/>
      <c r="B59" s="825"/>
      <c r="C59" s="966"/>
      <c r="D59" s="951"/>
      <c r="E59" s="23"/>
      <c r="F59" s="23"/>
      <c r="G59" s="23"/>
      <c r="H59" s="23"/>
      <c r="I59" s="23"/>
      <c r="J59" s="23"/>
      <c r="K59" s="23"/>
      <c r="L59" s="23"/>
      <c r="M59" s="872" t="s">
        <v>494</v>
      </c>
      <c r="N59" s="873"/>
      <c r="O59" s="873"/>
      <c r="P59" s="873"/>
      <c r="Q59" s="874"/>
      <c r="R59" s="45">
        <f t="shared" ref="R59:W59" si="26">R58/SUM($R58:$W58)</f>
        <v>0.17110890290530395</v>
      </c>
      <c r="S59" s="45">
        <f t="shared" si="26"/>
        <v>0.13527509284334607</v>
      </c>
      <c r="T59" s="45">
        <f t="shared" si="26"/>
        <v>0.12301861218759674</v>
      </c>
      <c r="U59" s="45">
        <f t="shared" si="26"/>
        <v>0.29234047800659219</v>
      </c>
      <c r="V59" s="45">
        <f t="shared" si="26"/>
        <v>0.10093608911259246</v>
      </c>
      <c r="W59" s="45">
        <f t="shared" si="26"/>
        <v>0.17732082494456847</v>
      </c>
      <c r="X59" s="17"/>
      <c r="Y59" s="17"/>
      <c r="Z59" s="17"/>
    </row>
    <row r="60" spans="1:26" ht="15.6">
      <c r="A60" s="825"/>
      <c r="B60" s="825"/>
      <c r="C60" s="966"/>
      <c r="D60" s="951"/>
      <c r="E60" s="446"/>
      <c r="F60" s="941"/>
      <c r="G60" s="942"/>
      <c r="H60" s="942"/>
      <c r="I60" s="942"/>
      <c r="J60" s="942"/>
      <c r="K60" s="942"/>
      <c r="L60" s="942"/>
      <c r="M60" s="942"/>
      <c r="N60" s="942"/>
      <c r="O60" s="942"/>
      <c r="P60" s="942"/>
      <c r="Q60" s="942"/>
      <c r="R60" s="942"/>
      <c r="S60" s="942"/>
      <c r="T60" s="942"/>
      <c r="U60" s="942"/>
      <c r="V60" s="942"/>
      <c r="W60" s="943"/>
      <c r="X60" s="17"/>
      <c r="Y60" s="17"/>
      <c r="Z60" s="17"/>
    </row>
    <row r="61" spans="1:26" ht="15.6">
      <c r="A61" s="825"/>
      <c r="B61" s="825"/>
      <c r="C61" s="966"/>
      <c r="D61" s="951"/>
      <c r="E61" s="23"/>
      <c r="F61" s="30">
        <f>'Input Sheet'!AH58</f>
        <v>1</v>
      </c>
      <c r="G61" s="30">
        <f>'Input Sheet'!AI58</f>
        <v>0.9</v>
      </c>
      <c r="H61" s="30">
        <f>'Input Sheet'!AJ58</f>
        <v>0.75</v>
      </c>
      <c r="I61" s="30">
        <f>'Input Sheet'!AK58</f>
        <v>0.85</v>
      </c>
      <c r="J61" s="30">
        <f>'Input Sheet'!AL58</f>
        <v>0.55000000000000004</v>
      </c>
      <c r="K61" s="30">
        <f>'Input Sheet'!AM58</f>
        <v>0.35</v>
      </c>
      <c r="L61" s="23"/>
      <c r="M61" s="957" t="s">
        <v>495</v>
      </c>
      <c r="N61" s="958"/>
      <c r="O61" s="958"/>
      <c r="P61" s="958"/>
      <c r="Q61" s="959"/>
      <c r="R61" s="45">
        <f t="shared" ref="R61:W61" si="27">R59*F61</f>
        <v>0.17110890290530395</v>
      </c>
      <c r="S61" s="45">
        <f t="shared" si="27"/>
        <v>0.12174758355901147</v>
      </c>
      <c r="T61" s="45">
        <f t="shared" si="27"/>
        <v>9.2263959140697557E-2</v>
      </c>
      <c r="U61" s="45">
        <f t="shared" si="27"/>
        <v>0.24848940630560334</v>
      </c>
      <c r="V61" s="45">
        <f t="shared" si="27"/>
        <v>5.5514849011925854E-2</v>
      </c>
      <c r="W61" s="45">
        <f t="shared" si="27"/>
        <v>6.2062288730598957E-2</v>
      </c>
      <c r="X61" s="17"/>
      <c r="Y61" s="17"/>
      <c r="Z61" s="17"/>
    </row>
    <row r="62" spans="1:26" ht="15.6" customHeight="1">
      <c r="A62" s="825"/>
      <c r="B62" s="825"/>
      <c r="C62" s="966"/>
      <c r="D62" s="951"/>
      <c r="E62" s="23"/>
      <c r="F62" s="960" t="s">
        <v>923</v>
      </c>
      <c r="G62" s="961"/>
      <c r="H62" s="961"/>
      <c r="I62" s="961"/>
      <c r="J62" s="961"/>
      <c r="K62" s="961"/>
      <c r="L62" s="961"/>
      <c r="M62" s="961"/>
      <c r="N62" s="961"/>
      <c r="O62" s="961"/>
      <c r="P62" s="961"/>
      <c r="Q62" s="962"/>
      <c r="R62" s="45">
        <f>R61</f>
        <v>0.17110890290530395</v>
      </c>
      <c r="S62" s="45">
        <f>S61*'Input Sheet'!AI50/'Input Sheet'!AH50</f>
        <v>8.0069986351638922E-2</v>
      </c>
      <c r="T62" s="45">
        <f>T61*'Input Sheet'!AJ50/'Input Sheet'!AH50</f>
        <v>3.1584529346815514E-2</v>
      </c>
      <c r="U62" s="45">
        <f>U61</f>
        <v>0.24848940630560334</v>
      </c>
      <c r="V62" s="45">
        <f>V61</f>
        <v>5.5514849011925854E-2</v>
      </c>
      <c r="W62" s="45">
        <f>W61</f>
        <v>6.2062288730598957E-2</v>
      </c>
      <c r="X62" s="17"/>
      <c r="Y62" s="17"/>
      <c r="Z62" s="17"/>
    </row>
    <row r="63" spans="1:26" ht="15.6" customHeight="1">
      <c r="A63" s="825"/>
      <c r="B63" s="825"/>
      <c r="C63" s="966"/>
      <c r="D63" s="951"/>
      <c r="E63" s="23"/>
      <c r="F63" s="963" t="s">
        <v>924</v>
      </c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5"/>
      <c r="R63" s="50">
        <f>R62/(R62+U62+V62+W62+S62+T62)</f>
        <v>0.26371917567732328</v>
      </c>
      <c r="S63" s="50">
        <f>S62/(R62+S62+T62+U62+V62+W62)</f>
        <v>0.12340673359839652</v>
      </c>
      <c r="T63" s="50">
        <f>T62/(R62+S62+T62+U62+V62+W62)</f>
        <v>4.8679208983697014E-2</v>
      </c>
      <c r="U63" s="50">
        <f>U62/(R62+U62+V62+W62+S62+T62)</f>
        <v>0.38298078172897837</v>
      </c>
      <c r="V63" s="50">
        <f>V62/(R62+U62+V62+W62+S62+T62)</f>
        <v>8.5561475590656341E-2</v>
      </c>
      <c r="W63" s="50">
        <f>W62/(R62+U62+V62+W62+S62+T62)</f>
        <v>9.5652624420948518E-2</v>
      </c>
      <c r="X63" s="17"/>
      <c r="Y63" s="17"/>
      <c r="Z63" s="17"/>
    </row>
    <row r="64" spans="1:26" ht="15.6" customHeight="1">
      <c r="A64" s="825"/>
      <c r="B64" s="825"/>
      <c r="C64" s="966"/>
      <c r="D64" s="951"/>
      <c r="E64" s="23"/>
      <c r="F64" s="963" t="s">
        <v>925</v>
      </c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Q64" s="965"/>
      <c r="R64" s="51">
        <f t="shared" ref="R64:W64" si="28">ROUND($C53*$E$2*R63/100,0)*100</f>
        <v>11500</v>
      </c>
      <c r="S64" s="51">
        <f t="shared" si="28"/>
        <v>5400</v>
      </c>
      <c r="T64" s="51">
        <f t="shared" si="28"/>
        <v>2100</v>
      </c>
      <c r="U64" s="51">
        <f t="shared" si="28"/>
        <v>16700</v>
      </c>
      <c r="V64" s="51">
        <f t="shared" si="28"/>
        <v>3700</v>
      </c>
      <c r="W64" s="51">
        <f t="shared" si="28"/>
        <v>4200</v>
      </c>
      <c r="X64" s="17"/>
      <c r="Y64" s="17"/>
      <c r="Z64" s="17"/>
    </row>
    <row r="65" spans="1:26" ht="15.6">
      <c r="A65" s="825">
        <v>6</v>
      </c>
      <c r="B65" s="825" t="s">
        <v>640</v>
      </c>
      <c r="C65" s="966">
        <f>Buckets!I8</f>
        <v>6.0720814834160357E-2</v>
      </c>
      <c r="D65" s="951" t="s">
        <v>490</v>
      </c>
      <c r="E65" s="23" t="s">
        <v>457</v>
      </c>
      <c r="F65" s="30">
        <f>'Input Sheet'!AH63</f>
        <v>1</v>
      </c>
      <c r="G65" s="30">
        <f>'Input Sheet'!AI63</f>
        <v>1.0487193290221235</v>
      </c>
      <c r="H65" s="30">
        <f>'Input Sheet'!AJ63</f>
        <v>1.0800848338883611</v>
      </c>
      <c r="I65" s="30">
        <f>'Input Sheet'!AK63</f>
        <v>5.3643399770407587</v>
      </c>
      <c r="J65" s="30">
        <f>'Input Sheet'!AL63</f>
        <v>2.9263597026273219E-2</v>
      </c>
      <c r="K65" s="30">
        <f>'Input Sheet'!AM63</f>
        <v>1.8408589564654413E-2</v>
      </c>
      <c r="L65" s="62">
        <v>1</v>
      </c>
      <c r="M65" s="30">
        <f>L65/L$34</f>
        <v>0.2</v>
      </c>
      <c r="N65" s="29"/>
      <c r="O65" s="29"/>
      <c r="P65" s="29"/>
      <c r="Q65" s="29"/>
      <c r="R65" s="45">
        <f t="shared" ref="R65:W69" si="29">F65</f>
        <v>1</v>
      </c>
      <c r="S65" s="45">
        <f t="shared" si="29"/>
        <v>1.0487193290221235</v>
      </c>
      <c r="T65" s="45">
        <f t="shared" si="29"/>
        <v>1.0800848338883611</v>
      </c>
      <c r="U65" s="45">
        <f t="shared" si="29"/>
        <v>5.3643399770407587</v>
      </c>
      <c r="V65" s="45">
        <f t="shared" si="29"/>
        <v>2.9263597026273219E-2</v>
      </c>
      <c r="W65" s="45">
        <f t="shared" si="29"/>
        <v>1.8408589564654413E-2</v>
      </c>
      <c r="X65" s="46"/>
      <c r="Y65" s="46"/>
      <c r="Z65" s="46"/>
    </row>
    <row r="66" spans="1:26" ht="31.35" customHeight="1">
      <c r="A66" s="825"/>
      <c r="B66" s="825"/>
      <c r="C66" s="966"/>
      <c r="D66" s="951"/>
      <c r="E66" s="23" t="s">
        <v>491</v>
      </c>
      <c r="F66" s="30">
        <f>'Input Sheet'!AH64</f>
        <v>1</v>
      </c>
      <c r="G66" s="30">
        <f>'Input Sheet'!AI64</f>
        <v>0.59548454653857563</v>
      </c>
      <c r="H66" s="30">
        <f>'Input Sheet'!AJ64</f>
        <v>0.23258584099264701</v>
      </c>
      <c r="I66" s="30">
        <f>'Input Sheet'!AK64</f>
        <v>1.9169040738759566E-2</v>
      </c>
      <c r="J66" s="30">
        <f>'Input Sheet'!AL64</f>
        <v>0.12595509839428748</v>
      </c>
      <c r="K66" s="30">
        <f>'Input Sheet'!AM64</f>
        <v>4.2543136069526305E-3</v>
      </c>
      <c r="L66" s="62">
        <v>1</v>
      </c>
      <c r="M66" s="30">
        <f t="shared" ref="M66:M69" si="30">L66/L$34</f>
        <v>0.2</v>
      </c>
      <c r="N66" s="29"/>
      <c r="O66" s="29"/>
      <c r="P66" s="29"/>
      <c r="Q66" s="29"/>
      <c r="R66" s="45">
        <f t="shared" si="29"/>
        <v>1</v>
      </c>
      <c r="S66" s="45">
        <f t="shared" si="29"/>
        <v>0.59548454653857563</v>
      </c>
      <c r="T66" s="45">
        <f t="shared" si="29"/>
        <v>0.23258584099264701</v>
      </c>
      <c r="U66" s="45">
        <f t="shared" si="29"/>
        <v>1.9169040738759566E-2</v>
      </c>
      <c r="V66" s="45">
        <f t="shared" si="29"/>
        <v>0.12595509839428748</v>
      </c>
      <c r="W66" s="45">
        <f t="shared" si="29"/>
        <v>4.2543136069526305E-3</v>
      </c>
      <c r="X66" s="46"/>
      <c r="Y66" s="46"/>
      <c r="Z66" s="46"/>
    </row>
    <row r="67" spans="1:26" ht="15.6">
      <c r="A67" s="825"/>
      <c r="B67" s="825"/>
      <c r="C67" s="966"/>
      <c r="D67" s="951"/>
      <c r="E67" s="23" t="s">
        <v>459</v>
      </c>
      <c r="F67" s="30">
        <f>'Input Sheet'!AH65</f>
        <v>1</v>
      </c>
      <c r="G67" s="30">
        <f>'Input Sheet'!AI65</f>
        <v>1</v>
      </c>
      <c r="H67" s="30">
        <f>'Input Sheet'!AJ65</f>
        <v>1</v>
      </c>
      <c r="I67" s="30">
        <f>'Input Sheet'!AK65</f>
        <v>0.28275968979620331</v>
      </c>
      <c r="J67" s="30">
        <f>'Input Sheet'!AL65</f>
        <v>1</v>
      </c>
      <c r="K67" s="30">
        <f>'Input Sheet'!AM65</f>
        <v>0.49138550543985771</v>
      </c>
      <c r="L67" s="62">
        <v>1</v>
      </c>
      <c r="M67" s="30">
        <f t="shared" si="30"/>
        <v>0.2</v>
      </c>
      <c r="N67" s="29"/>
      <c r="O67" s="29"/>
      <c r="P67" s="29"/>
      <c r="Q67" s="29"/>
      <c r="R67" s="45">
        <f t="shared" si="29"/>
        <v>1</v>
      </c>
      <c r="S67" s="45">
        <f t="shared" si="29"/>
        <v>1</v>
      </c>
      <c r="T67" s="45">
        <f t="shared" si="29"/>
        <v>1</v>
      </c>
      <c r="U67" s="45">
        <f t="shared" si="29"/>
        <v>0.28275968979620331</v>
      </c>
      <c r="V67" s="45">
        <f t="shared" si="29"/>
        <v>1</v>
      </c>
      <c r="W67" s="45">
        <f t="shared" si="29"/>
        <v>0.49138550543985771</v>
      </c>
      <c r="X67" s="46"/>
      <c r="Y67" s="46"/>
      <c r="Z67" s="46"/>
    </row>
    <row r="68" spans="1:26" ht="15.6">
      <c r="A68" s="825"/>
      <c r="B68" s="825"/>
      <c r="C68" s="966"/>
      <c r="D68" s="951"/>
      <c r="E68" s="23" t="s">
        <v>492</v>
      </c>
      <c r="F68" s="30">
        <f>'Input Sheet'!AH66</f>
        <v>1</v>
      </c>
      <c r="G68" s="30">
        <f>'Input Sheet'!AI66</f>
        <v>0.66199319669083379</v>
      </c>
      <c r="H68" s="30">
        <f>'Input Sheet'!AJ66</f>
        <v>0.66199319669083379</v>
      </c>
      <c r="I68" s="30">
        <f>'Input Sheet'!AK66</f>
        <v>3.4469852208994722</v>
      </c>
      <c r="J68" s="30">
        <f>'Input Sheet'!AL66</f>
        <v>0.66199319669083379</v>
      </c>
      <c r="K68" s="30">
        <f>'Input Sheet'!AM66</f>
        <v>3.4469852208994722</v>
      </c>
      <c r="L68" s="62">
        <v>1</v>
      </c>
      <c r="M68" s="30">
        <f t="shared" si="30"/>
        <v>0.2</v>
      </c>
      <c r="N68" s="29"/>
      <c r="O68" s="29"/>
      <c r="P68" s="29"/>
      <c r="Q68" s="29"/>
      <c r="R68" s="45">
        <f t="shared" si="29"/>
        <v>1</v>
      </c>
      <c r="S68" s="45">
        <f t="shared" si="29"/>
        <v>0.66199319669083379</v>
      </c>
      <c r="T68" s="45">
        <f t="shared" si="29"/>
        <v>0.66199319669083379</v>
      </c>
      <c r="U68" s="45">
        <f t="shared" si="29"/>
        <v>3.4469852208994722</v>
      </c>
      <c r="V68" s="45">
        <f t="shared" si="29"/>
        <v>0.66199319669083379</v>
      </c>
      <c r="W68" s="45">
        <f t="shared" si="29"/>
        <v>3.4469852208994722</v>
      </c>
      <c r="X68" s="46"/>
      <c r="Y68" s="46"/>
      <c r="Z68" s="46"/>
    </row>
    <row r="69" spans="1:26" ht="15.6">
      <c r="A69" s="825"/>
      <c r="B69" s="825"/>
      <c r="C69" s="966"/>
      <c r="D69" s="951"/>
      <c r="E69" s="34" t="s">
        <v>461</v>
      </c>
      <c r="F69" s="30">
        <f>'Input Sheet'!AH67</f>
        <v>1</v>
      </c>
      <c r="G69" s="30">
        <f>'Input Sheet'!AI67</f>
        <v>0.54247832794327511</v>
      </c>
      <c r="H69" s="30">
        <f>'Input Sheet'!AJ67</f>
        <v>0.31110847407961917</v>
      </c>
      <c r="I69" s="30">
        <f>'Input Sheet'!AK67</f>
        <v>0.11758133171956553</v>
      </c>
      <c r="J69" s="30">
        <f>'Input Sheet'!AL67</f>
        <v>1</v>
      </c>
      <c r="K69" s="30">
        <f>'Input Sheet'!AM67</f>
        <v>1</v>
      </c>
      <c r="L69" s="62">
        <v>1</v>
      </c>
      <c r="M69" s="30">
        <f t="shared" si="30"/>
        <v>0.2</v>
      </c>
      <c r="N69" s="29"/>
      <c r="O69" s="29"/>
      <c r="P69" s="29"/>
      <c r="Q69" s="29"/>
      <c r="R69" s="45">
        <f t="shared" si="29"/>
        <v>1</v>
      </c>
      <c r="S69" s="45">
        <f t="shared" si="29"/>
        <v>0.54247832794327511</v>
      </c>
      <c r="T69" s="45">
        <f t="shared" si="29"/>
        <v>0.31110847407961917</v>
      </c>
      <c r="U69" s="45">
        <f t="shared" si="29"/>
        <v>0.11758133171956553</v>
      </c>
      <c r="V69" s="45">
        <f t="shared" si="29"/>
        <v>1</v>
      </c>
      <c r="W69" s="45">
        <f t="shared" si="29"/>
        <v>1</v>
      </c>
      <c r="X69" s="46"/>
      <c r="Y69" s="46"/>
      <c r="Z69" s="46"/>
    </row>
    <row r="70" spans="1:26" ht="15.6">
      <c r="A70" s="825">
        <v>2</v>
      </c>
      <c r="B70" s="825"/>
      <c r="C70" s="966"/>
      <c r="D70" s="951"/>
      <c r="E70" s="23" t="s">
        <v>38</v>
      </c>
      <c r="F70" s="47"/>
      <c r="G70" s="47"/>
      <c r="H70" s="47"/>
      <c r="I70" s="47"/>
      <c r="J70" s="47"/>
      <c r="K70" s="47"/>
      <c r="L70" s="449">
        <f>SUM(L65:L69)</f>
        <v>5</v>
      </c>
      <c r="M70" s="872" t="s">
        <v>493</v>
      </c>
      <c r="N70" s="873"/>
      <c r="O70" s="873"/>
      <c r="P70" s="873"/>
      <c r="Q70" s="874"/>
      <c r="R70" s="45">
        <f t="shared" ref="R70:W70" si="31">SUM(R65:R69)</f>
        <v>5</v>
      </c>
      <c r="S70" s="45">
        <f t="shared" si="31"/>
        <v>3.848675400194808</v>
      </c>
      <c r="T70" s="45">
        <f t="shared" si="31"/>
        <v>3.2857723456514609</v>
      </c>
      <c r="U70" s="45">
        <f t="shared" si="31"/>
        <v>9.230835260194759</v>
      </c>
      <c r="V70" s="45">
        <f t="shared" si="31"/>
        <v>2.8172118921113944</v>
      </c>
      <c r="W70" s="45">
        <f t="shared" si="31"/>
        <v>4.9610336295109372</v>
      </c>
      <c r="X70" s="48"/>
      <c r="Y70" s="48"/>
      <c r="Z70" s="48"/>
    </row>
    <row r="71" spans="1:26" ht="15.6">
      <c r="A71" s="825"/>
      <c r="B71" s="825"/>
      <c r="C71" s="966"/>
      <c r="D71" s="951"/>
      <c r="E71" s="23"/>
      <c r="F71" s="23"/>
      <c r="G71" s="23"/>
      <c r="H71" s="23"/>
      <c r="I71" s="23"/>
      <c r="J71" s="23"/>
      <c r="K71" s="23"/>
      <c r="L71" s="23"/>
      <c r="M71" s="872" t="s">
        <v>494</v>
      </c>
      <c r="N71" s="873"/>
      <c r="O71" s="873"/>
      <c r="P71" s="873"/>
      <c r="Q71" s="874"/>
      <c r="R71" s="45">
        <f t="shared" ref="R71:W71" si="32">R70/SUM($R70:$W70)</f>
        <v>0.17156467499307593</v>
      </c>
      <c r="S71" s="45">
        <f t="shared" si="32"/>
        <v>0.13205934883765372</v>
      </c>
      <c r="T71" s="45">
        <f t="shared" si="32"/>
        <v>0.11274449291658592</v>
      </c>
      <c r="U71" s="45">
        <f t="shared" si="32"/>
        <v>0.31673705026598786</v>
      </c>
      <c r="V71" s="45">
        <f t="shared" si="32"/>
        <v>9.6666808531343962E-2</v>
      </c>
      <c r="W71" s="45">
        <f t="shared" si="32"/>
        <v>0.17022762445535275</v>
      </c>
      <c r="X71" s="17"/>
      <c r="Y71" s="17"/>
      <c r="Z71" s="17"/>
    </row>
    <row r="72" spans="1:26" ht="15.6">
      <c r="A72" s="825"/>
      <c r="B72" s="825"/>
      <c r="C72" s="966"/>
      <c r="D72" s="951"/>
      <c r="E72" s="446"/>
      <c r="F72" s="941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2"/>
      <c r="R72" s="942"/>
      <c r="S72" s="942"/>
      <c r="T72" s="942"/>
      <c r="U72" s="942"/>
      <c r="V72" s="942"/>
      <c r="W72" s="943"/>
      <c r="X72" s="17"/>
      <c r="Y72" s="17"/>
      <c r="Z72" s="17"/>
    </row>
    <row r="73" spans="1:26" ht="15.6">
      <c r="A73" s="825"/>
      <c r="B73" s="825"/>
      <c r="C73" s="966"/>
      <c r="D73" s="951"/>
      <c r="E73" s="23"/>
      <c r="F73" s="30">
        <f>'Input Sheet'!AH69</f>
        <v>1</v>
      </c>
      <c r="G73" s="30">
        <f>'Input Sheet'!AI69</f>
        <v>0.9</v>
      </c>
      <c r="H73" s="30">
        <f>'Input Sheet'!AJ69</f>
        <v>0.75</v>
      </c>
      <c r="I73" s="30">
        <f>'Input Sheet'!AK69</f>
        <v>0.9</v>
      </c>
      <c r="J73" s="30">
        <f>'Input Sheet'!AL69</f>
        <v>0.55000000000000004</v>
      </c>
      <c r="K73" s="30">
        <f>'Input Sheet'!AM69</f>
        <v>0.35</v>
      </c>
      <c r="L73" s="23"/>
      <c r="M73" s="957" t="s">
        <v>495</v>
      </c>
      <c r="N73" s="958"/>
      <c r="O73" s="958"/>
      <c r="P73" s="958"/>
      <c r="Q73" s="959"/>
      <c r="R73" s="45">
        <f t="shared" ref="R73:W73" si="33">R71*F73</f>
        <v>0.17156467499307593</v>
      </c>
      <c r="S73" s="45">
        <f t="shared" si="33"/>
        <v>0.11885341395388835</v>
      </c>
      <c r="T73" s="45">
        <f t="shared" si="33"/>
        <v>8.4558369687439433E-2</v>
      </c>
      <c r="U73" s="45">
        <f t="shared" si="33"/>
        <v>0.28506334523938909</v>
      </c>
      <c r="V73" s="45">
        <f t="shared" si="33"/>
        <v>5.3166744692239185E-2</v>
      </c>
      <c r="W73" s="45">
        <f t="shared" si="33"/>
        <v>5.957966855937346E-2</v>
      </c>
      <c r="X73" s="17"/>
      <c r="Y73" s="17"/>
      <c r="Z73" s="17"/>
    </row>
    <row r="74" spans="1:26" ht="15.6" customHeight="1">
      <c r="A74" s="825"/>
      <c r="B74" s="825"/>
      <c r="C74" s="966"/>
      <c r="D74" s="951"/>
      <c r="E74" s="23"/>
      <c r="F74" s="960" t="s">
        <v>923</v>
      </c>
      <c r="G74" s="961"/>
      <c r="H74" s="961"/>
      <c r="I74" s="961"/>
      <c r="J74" s="961"/>
      <c r="K74" s="961"/>
      <c r="L74" s="961"/>
      <c r="M74" s="961"/>
      <c r="N74" s="961"/>
      <c r="O74" s="961"/>
      <c r="P74" s="961"/>
      <c r="Q74" s="962"/>
      <c r="R74" s="45">
        <f>R73</f>
        <v>0.17156467499307593</v>
      </c>
      <c r="S74" s="45">
        <f>S73*'Input Sheet'!AI61/'Input Sheet'!AH61</f>
        <v>0.11599922802739712</v>
      </c>
      <c r="T74" s="45">
        <f>T73*'Input Sheet'!AJ61/'Input Sheet'!AH61</f>
        <v>2.0306131788739934E-3</v>
      </c>
      <c r="U74" s="45">
        <f>U73</f>
        <v>0.28506334523938909</v>
      </c>
      <c r="V74" s="45">
        <f>V73</f>
        <v>5.3166744692239185E-2</v>
      </c>
      <c r="W74" s="45">
        <f>W73</f>
        <v>5.957966855937346E-2</v>
      </c>
      <c r="X74" s="17"/>
      <c r="Y74" s="17"/>
      <c r="Z74" s="17"/>
    </row>
    <row r="75" spans="1:26" ht="15.6" customHeight="1">
      <c r="A75" s="825"/>
      <c r="B75" s="825"/>
      <c r="C75" s="966"/>
      <c r="D75" s="951"/>
      <c r="E75" s="23"/>
      <c r="F75" s="963" t="s">
        <v>924</v>
      </c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Q75" s="965"/>
      <c r="R75" s="50">
        <f>R74/(R74+U74+V74+W74+S74+T74)</f>
        <v>0.24958336936493405</v>
      </c>
      <c r="S75" s="50">
        <f>S74/(R74+S74+T74+U74+V74+W74)</f>
        <v>0.16874964602111425</v>
      </c>
      <c r="T75" s="50">
        <f>T74/(R74+S74+T74+U74+V74+W74)</f>
        <v>2.9540304790637399E-3</v>
      </c>
      <c r="U75" s="50">
        <f>U74/(R74+U74+V74+W74+S74+T74)</f>
        <v>0.41469533393256824</v>
      </c>
      <c r="V75" s="50">
        <f>V74/(R74+U74+V74+W74+S74+T74)</f>
        <v>7.7344215987293519E-2</v>
      </c>
      <c r="W75" s="50">
        <f>W74/(R74+U74+V74+W74+S74+T74)</f>
        <v>8.6673404215026131E-2</v>
      </c>
      <c r="X75" s="17"/>
      <c r="Y75" s="17"/>
      <c r="Z75" s="17"/>
    </row>
    <row r="76" spans="1:26" ht="15.6" customHeight="1">
      <c r="A76" s="825"/>
      <c r="B76" s="825"/>
      <c r="C76" s="966"/>
      <c r="D76" s="951"/>
      <c r="E76" s="23"/>
      <c r="F76" s="963" t="s">
        <v>925</v>
      </c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Q76" s="965"/>
      <c r="R76" s="51">
        <f t="shared" ref="R76:W76" si="34">ROUND($C65*$E$2*R75/100,0)*100</f>
        <v>7000</v>
      </c>
      <c r="S76" s="51">
        <f t="shared" si="34"/>
        <v>4700</v>
      </c>
      <c r="T76" s="51">
        <f t="shared" si="34"/>
        <v>100</v>
      </c>
      <c r="U76" s="51">
        <f t="shared" si="34"/>
        <v>11600</v>
      </c>
      <c r="V76" s="51">
        <f t="shared" si="34"/>
        <v>2200</v>
      </c>
      <c r="W76" s="51">
        <f t="shared" si="34"/>
        <v>2400</v>
      </c>
      <c r="X76" s="17"/>
      <c r="Y76" s="17"/>
      <c r="Z76" s="17"/>
    </row>
    <row r="77" spans="1:26" ht="15.6">
      <c r="A77" s="825">
        <v>7</v>
      </c>
      <c r="B77" s="825" t="s">
        <v>641</v>
      </c>
      <c r="C77" s="966">
        <f>Buckets!I9</f>
        <v>0.1261861234438931</v>
      </c>
      <c r="D77" s="951" t="s">
        <v>490</v>
      </c>
      <c r="E77" s="23" t="s">
        <v>457</v>
      </c>
      <c r="F77" s="30">
        <f>'Input Sheet'!AH74</f>
        <v>1</v>
      </c>
      <c r="G77" s="30">
        <f>'Input Sheet'!AI74</f>
        <v>0.79995250972359899</v>
      </c>
      <c r="H77" s="30">
        <f>'Input Sheet'!AJ74</f>
        <v>0.99371739880218191</v>
      </c>
      <c r="I77" s="30">
        <f>'Input Sheet'!AK74</f>
        <v>2.6672134561329286</v>
      </c>
      <c r="J77" s="30">
        <f>'Input Sheet'!AL74</f>
        <v>5.0291139625583056E-2</v>
      </c>
      <c r="K77" s="30">
        <f>'Input Sheet'!AM74</f>
        <v>2.9830424995513739E-2</v>
      </c>
      <c r="L77" s="62">
        <v>1</v>
      </c>
      <c r="M77" s="30">
        <f>L77/L$34</f>
        <v>0.2</v>
      </c>
      <c r="N77" s="29"/>
      <c r="O77" s="29"/>
      <c r="P77" s="29"/>
      <c r="Q77" s="29"/>
      <c r="R77" s="45">
        <f t="shared" ref="R77:W81" si="35">F77</f>
        <v>1</v>
      </c>
      <c r="S77" s="45">
        <f t="shared" si="35"/>
        <v>0.79995250972359899</v>
      </c>
      <c r="T77" s="45">
        <f t="shared" si="35"/>
        <v>0.99371739880218191</v>
      </c>
      <c r="U77" s="45">
        <f t="shared" si="35"/>
        <v>2.6672134561329286</v>
      </c>
      <c r="V77" s="45">
        <f t="shared" si="35"/>
        <v>5.0291139625583056E-2</v>
      </c>
      <c r="W77" s="45">
        <f t="shared" si="35"/>
        <v>2.9830424995513739E-2</v>
      </c>
      <c r="X77" s="46"/>
      <c r="Y77" s="46"/>
      <c r="Z77" s="46"/>
    </row>
    <row r="78" spans="1:26" ht="31.35" customHeight="1">
      <c r="A78" s="825"/>
      <c r="B78" s="825"/>
      <c r="C78" s="966"/>
      <c r="D78" s="951"/>
      <c r="E78" s="23" t="s">
        <v>491</v>
      </c>
      <c r="F78" s="30">
        <f>'Input Sheet'!AH75</f>
        <v>1</v>
      </c>
      <c r="G78" s="30">
        <f>'Input Sheet'!AI75</f>
        <v>0.4947193250083593</v>
      </c>
      <c r="H78" s="30">
        <f>'Input Sheet'!AJ75</f>
        <v>0.27754008804681557</v>
      </c>
      <c r="I78" s="30">
        <f>'Input Sheet'!AK75</f>
        <v>8.4309452688525969E-3</v>
      </c>
      <c r="J78" s="30">
        <f>'Input Sheet'!AL75</f>
        <v>0.15047021102350394</v>
      </c>
      <c r="K78" s="30">
        <f>'Input Sheet'!AM75</f>
        <v>1.5602593433411882E-3</v>
      </c>
      <c r="L78" s="62">
        <v>1</v>
      </c>
      <c r="M78" s="30">
        <f t="shared" ref="M78:M81" si="36">L78/L$34</f>
        <v>0.2</v>
      </c>
      <c r="N78" s="29"/>
      <c r="O78" s="29"/>
      <c r="P78" s="29"/>
      <c r="Q78" s="29"/>
      <c r="R78" s="45">
        <f t="shared" si="35"/>
        <v>1</v>
      </c>
      <c r="S78" s="45">
        <f t="shared" si="35"/>
        <v>0.4947193250083593</v>
      </c>
      <c r="T78" s="45">
        <f t="shared" si="35"/>
        <v>0.27754008804681557</v>
      </c>
      <c r="U78" s="45">
        <f t="shared" si="35"/>
        <v>8.4309452688525969E-3</v>
      </c>
      <c r="V78" s="45">
        <f t="shared" si="35"/>
        <v>0.15047021102350394</v>
      </c>
      <c r="W78" s="45">
        <f t="shared" si="35"/>
        <v>1.5602593433411882E-3</v>
      </c>
      <c r="X78" s="46"/>
      <c r="Y78" s="46"/>
      <c r="Z78" s="46"/>
    </row>
    <row r="79" spans="1:26" ht="15.6">
      <c r="A79" s="825"/>
      <c r="B79" s="825"/>
      <c r="C79" s="966"/>
      <c r="D79" s="951"/>
      <c r="E79" s="23" t="s">
        <v>459</v>
      </c>
      <c r="F79" s="30">
        <f>'Input Sheet'!AH76</f>
        <v>1</v>
      </c>
      <c r="G79" s="30">
        <f>'Input Sheet'!AI76</f>
        <v>1</v>
      </c>
      <c r="H79" s="30">
        <f>'Input Sheet'!AJ76</f>
        <v>1</v>
      </c>
      <c r="I79" s="30">
        <f>'Input Sheet'!AK76</f>
        <v>0.30961868311660362</v>
      </c>
      <c r="J79" s="30">
        <f>'Input Sheet'!AL76</f>
        <v>1</v>
      </c>
      <c r="K79" s="30">
        <f>'Input Sheet'!AM76</f>
        <v>0.5900274563984732</v>
      </c>
      <c r="L79" s="62">
        <v>1</v>
      </c>
      <c r="M79" s="30">
        <f t="shared" si="36"/>
        <v>0.2</v>
      </c>
      <c r="N79" s="29"/>
      <c r="O79" s="29"/>
      <c r="P79" s="29"/>
      <c r="Q79" s="29"/>
      <c r="R79" s="45">
        <f t="shared" si="35"/>
        <v>1</v>
      </c>
      <c r="S79" s="45">
        <f t="shared" si="35"/>
        <v>1</v>
      </c>
      <c r="T79" s="45">
        <f t="shared" si="35"/>
        <v>1</v>
      </c>
      <c r="U79" s="45">
        <f t="shared" si="35"/>
        <v>0.30961868311660362</v>
      </c>
      <c r="V79" s="45">
        <f t="shared" si="35"/>
        <v>1</v>
      </c>
      <c r="W79" s="45">
        <f t="shared" si="35"/>
        <v>0.5900274563984732</v>
      </c>
      <c r="X79" s="46"/>
      <c r="Y79" s="46"/>
      <c r="Z79" s="46"/>
    </row>
    <row r="80" spans="1:26" ht="15.6">
      <c r="A80" s="825"/>
      <c r="B80" s="825"/>
      <c r="C80" s="966"/>
      <c r="D80" s="951"/>
      <c r="E80" s="23" t="s">
        <v>492</v>
      </c>
      <c r="F80" s="30">
        <f>'Input Sheet'!AH77</f>
        <v>1</v>
      </c>
      <c r="G80" s="30">
        <f>'Input Sheet'!AI77</f>
        <v>0.59155536436681477</v>
      </c>
      <c r="H80" s="30">
        <f>'Input Sheet'!AJ77</f>
        <v>0.59155536436681477</v>
      </c>
      <c r="I80" s="30">
        <f>'Input Sheet'!AK77</f>
        <v>4.8307416181102738</v>
      </c>
      <c r="J80" s="30">
        <f>'Input Sheet'!AL77</f>
        <v>0.59155536436681477</v>
      </c>
      <c r="K80" s="30">
        <f>'Input Sheet'!AM77</f>
        <v>4.8307416181102738</v>
      </c>
      <c r="L80" s="62">
        <v>1</v>
      </c>
      <c r="M80" s="30">
        <f t="shared" si="36"/>
        <v>0.2</v>
      </c>
      <c r="N80" s="29"/>
      <c r="O80" s="29"/>
      <c r="P80" s="29"/>
      <c r="Q80" s="29"/>
      <c r="R80" s="45">
        <f t="shared" si="35"/>
        <v>1</v>
      </c>
      <c r="S80" s="45">
        <f t="shared" si="35"/>
        <v>0.59155536436681477</v>
      </c>
      <c r="T80" s="45">
        <f t="shared" si="35"/>
        <v>0.59155536436681477</v>
      </c>
      <c r="U80" s="45">
        <f t="shared" si="35"/>
        <v>4.8307416181102738</v>
      </c>
      <c r="V80" s="45">
        <f t="shared" si="35"/>
        <v>0.59155536436681477</v>
      </c>
      <c r="W80" s="45">
        <f t="shared" si="35"/>
        <v>4.8307416181102738</v>
      </c>
      <c r="X80" s="46"/>
      <c r="Y80" s="46"/>
      <c r="Z80" s="46"/>
    </row>
    <row r="81" spans="1:26" ht="15.6">
      <c r="A81" s="825"/>
      <c r="B81" s="825"/>
      <c r="C81" s="966"/>
      <c r="D81" s="951"/>
      <c r="E81" s="34" t="s">
        <v>461</v>
      </c>
      <c r="F81" s="30">
        <f>'Input Sheet'!AH78</f>
        <v>1</v>
      </c>
      <c r="G81" s="30">
        <f>'Input Sheet'!AI78</f>
        <v>0.56471812200775884</v>
      </c>
      <c r="H81" s="30">
        <f>'Input Sheet'!AJ78</f>
        <v>0.33591098123916224</v>
      </c>
      <c r="I81" s="30">
        <f>'Input Sheet'!AK78</f>
        <v>0.13533528323661276</v>
      </c>
      <c r="J81" s="30">
        <f>'Input Sheet'!AL78</f>
        <v>1</v>
      </c>
      <c r="K81" s="30">
        <f>'Input Sheet'!AM78</f>
        <v>1</v>
      </c>
      <c r="L81" s="62">
        <v>1</v>
      </c>
      <c r="M81" s="30">
        <f t="shared" si="36"/>
        <v>0.2</v>
      </c>
      <c r="N81" s="29"/>
      <c r="O81" s="29"/>
      <c r="P81" s="29"/>
      <c r="Q81" s="29"/>
      <c r="R81" s="45">
        <f t="shared" si="35"/>
        <v>1</v>
      </c>
      <c r="S81" s="45">
        <f t="shared" si="35"/>
        <v>0.56471812200775884</v>
      </c>
      <c r="T81" s="45">
        <f t="shared" si="35"/>
        <v>0.33591098123916224</v>
      </c>
      <c r="U81" s="45">
        <f t="shared" si="35"/>
        <v>0.13533528323661276</v>
      </c>
      <c r="V81" s="45">
        <f t="shared" si="35"/>
        <v>1</v>
      </c>
      <c r="W81" s="45">
        <f t="shared" si="35"/>
        <v>1</v>
      </c>
      <c r="X81" s="46"/>
      <c r="Y81" s="46"/>
      <c r="Z81" s="46"/>
    </row>
    <row r="82" spans="1:26" ht="15.6">
      <c r="A82" s="825">
        <v>2</v>
      </c>
      <c r="B82" s="825"/>
      <c r="C82" s="966"/>
      <c r="D82" s="951"/>
      <c r="E82" s="23" t="s">
        <v>38</v>
      </c>
      <c r="F82" s="47"/>
      <c r="G82" s="47"/>
      <c r="H82" s="47"/>
      <c r="I82" s="47"/>
      <c r="J82" s="47"/>
      <c r="K82" s="47"/>
      <c r="L82" s="449">
        <f>SUM(L77:L81)</f>
        <v>5</v>
      </c>
      <c r="M82" s="872" t="s">
        <v>493</v>
      </c>
      <c r="N82" s="873"/>
      <c r="O82" s="873"/>
      <c r="P82" s="873"/>
      <c r="Q82" s="874"/>
      <c r="R82" s="45">
        <f t="shared" ref="R82:W82" si="37">SUM(R77:R81)</f>
        <v>5</v>
      </c>
      <c r="S82" s="45">
        <f t="shared" si="37"/>
        <v>3.4509453211065315</v>
      </c>
      <c r="T82" s="45">
        <f t="shared" si="37"/>
        <v>3.1987238324549745</v>
      </c>
      <c r="U82" s="45">
        <f t="shared" si="37"/>
        <v>7.9513399858652711</v>
      </c>
      <c r="V82" s="45">
        <f t="shared" si="37"/>
        <v>2.7923167150159021</v>
      </c>
      <c r="W82" s="45">
        <f t="shared" si="37"/>
        <v>6.4521597588476016</v>
      </c>
      <c r="X82" s="48"/>
      <c r="Y82" s="48"/>
      <c r="Z82" s="48"/>
    </row>
    <row r="83" spans="1:26" ht="15.6">
      <c r="A83" s="825"/>
      <c r="B83" s="825"/>
      <c r="C83" s="966"/>
      <c r="D83" s="951"/>
      <c r="E83" s="23"/>
      <c r="F83" s="23"/>
      <c r="G83" s="23"/>
      <c r="H83" s="23"/>
      <c r="I83" s="23"/>
      <c r="J83" s="23"/>
      <c r="K83" s="23"/>
      <c r="L83" s="23"/>
      <c r="M83" s="872" t="s">
        <v>494</v>
      </c>
      <c r="N83" s="873"/>
      <c r="O83" s="873"/>
      <c r="P83" s="873"/>
      <c r="Q83" s="874"/>
      <c r="R83" s="45">
        <f t="shared" ref="R83:W83" si="38">R82/SUM($R82:$W82)</f>
        <v>0.17333734876338147</v>
      </c>
      <c r="S83" s="45">
        <f t="shared" si="38"/>
        <v>0.11963554253760046</v>
      </c>
      <c r="T83" s="45">
        <f t="shared" si="38"/>
        <v>0.11089166170879763</v>
      </c>
      <c r="U83" s="45">
        <f t="shared" si="38"/>
        <v>0.27565283845322985</v>
      </c>
      <c r="V83" s="45">
        <f t="shared" si="38"/>
        <v>9.6802555257706216E-2</v>
      </c>
      <c r="W83" s="45">
        <f t="shared" si="38"/>
        <v>0.22368005327928442</v>
      </c>
      <c r="X83" s="17"/>
      <c r="Y83" s="17"/>
      <c r="Z83" s="17"/>
    </row>
    <row r="84" spans="1:26" ht="15.6">
      <c r="A84" s="825"/>
      <c r="B84" s="825"/>
      <c r="C84" s="966"/>
      <c r="D84" s="951"/>
      <c r="E84" s="446"/>
      <c r="F84" s="941"/>
      <c r="G84" s="942"/>
      <c r="H84" s="942"/>
      <c r="I84" s="942"/>
      <c r="J84" s="942"/>
      <c r="K84" s="942"/>
      <c r="L84" s="942"/>
      <c r="M84" s="942"/>
      <c r="N84" s="942"/>
      <c r="O84" s="942"/>
      <c r="P84" s="942"/>
      <c r="Q84" s="942"/>
      <c r="R84" s="942"/>
      <c r="S84" s="942"/>
      <c r="T84" s="942"/>
      <c r="U84" s="942"/>
      <c r="V84" s="942"/>
      <c r="W84" s="943"/>
      <c r="X84" s="17"/>
      <c r="Y84" s="17"/>
      <c r="Z84" s="17"/>
    </row>
    <row r="85" spans="1:26" ht="15.6">
      <c r="A85" s="825"/>
      <c r="B85" s="825"/>
      <c r="C85" s="966"/>
      <c r="D85" s="951"/>
      <c r="E85" s="23"/>
      <c r="F85" s="30">
        <f>'Input Sheet'!AH80</f>
        <v>1</v>
      </c>
      <c r="G85" s="30">
        <f>'Input Sheet'!AI80</f>
        <v>0.9</v>
      </c>
      <c r="H85" s="30">
        <f>'Input Sheet'!AJ80</f>
        <v>0.75</v>
      </c>
      <c r="I85" s="30">
        <f>'Input Sheet'!AK80</f>
        <v>0.85</v>
      </c>
      <c r="J85" s="30">
        <f>'Input Sheet'!AL80</f>
        <v>0.55000000000000004</v>
      </c>
      <c r="K85" s="30">
        <f>'Input Sheet'!AM80</f>
        <v>0.35</v>
      </c>
      <c r="L85" s="23"/>
      <c r="M85" s="957" t="s">
        <v>495</v>
      </c>
      <c r="N85" s="958"/>
      <c r="O85" s="958"/>
      <c r="P85" s="958"/>
      <c r="Q85" s="959"/>
      <c r="R85" s="45">
        <f t="shared" ref="R85:W85" si="39">R83*F85</f>
        <v>0.17333734876338147</v>
      </c>
      <c r="S85" s="45">
        <f t="shared" si="39"/>
        <v>0.10767198828384042</v>
      </c>
      <c r="T85" s="45">
        <f t="shared" si="39"/>
        <v>8.3168746281598233E-2</v>
      </c>
      <c r="U85" s="45">
        <f t="shared" si="39"/>
        <v>0.23430491268524536</v>
      </c>
      <c r="V85" s="45">
        <f t="shared" si="39"/>
        <v>5.3241405391738425E-2</v>
      </c>
      <c r="W85" s="45">
        <f t="shared" si="39"/>
        <v>7.8288018647749535E-2</v>
      </c>
      <c r="X85" s="17"/>
      <c r="Y85" s="17"/>
      <c r="Z85" s="17"/>
    </row>
    <row r="86" spans="1:26" ht="15.6" customHeight="1">
      <c r="A86" s="825"/>
      <c r="B86" s="825"/>
      <c r="C86" s="966"/>
      <c r="D86" s="951"/>
      <c r="E86" s="23"/>
      <c r="F86" s="960" t="s">
        <v>923</v>
      </c>
      <c r="G86" s="961"/>
      <c r="H86" s="961"/>
      <c r="I86" s="961"/>
      <c r="J86" s="961"/>
      <c r="K86" s="961"/>
      <c r="L86" s="961"/>
      <c r="M86" s="961"/>
      <c r="N86" s="961"/>
      <c r="O86" s="961"/>
      <c r="P86" s="961"/>
      <c r="Q86" s="962"/>
      <c r="R86" s="45">
        <f>R85</f>
        <v>0.17333734876338147</v>
      </c>
      <c r="S86" s="45">
        <f>S85*'Input Sheet'!AI72/'Input Sheet'!AH72</f>
        <v>0.10767198828384042</v>
      </c>
      <c r="T86" s="45">
        <f>T85*'Input Sheet'!AJ72/'Input Sheet'!AH72</f>
        <v>0</v>
      </c>
      <c r="U86" s="45">
        <f>U85</f>
        <v>0.23430491268524536</v>
      </c>
      <c r="V86" s="45">
        <f>V85</f>
        <v>5.3241405391738425E-2</v>
      </c>
      <c r="W86" s="45">
        <f>W85</f>
        <v>7.8288018647749535E-2</v>
      </c>
      <c r="X86" s="17"/>
      <c r="Y86" s="17"/>
      <c r="Z86" s="17"/>
    </row>
    <row r="87" spans="1:26" ht="15.6" customHeight="1">
      <c r="A87" s="825"/>
      <c r="B87" s="825"/>
      <c r="C87" s="966"/>
      <c r="D87" s="951"/>
      <c r="E87" s="23"/>
      <c r="F87" s="963" t="s">
        <v>924</v>
      </c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Q87" s="965"/>
      <c r="R87" s="50">
        <f>R86/(R86+U86+V86+W86+S86+T86)</f>
        <v>0.26797409604796041</v>
      </c>
      <c r="S87" s="50">
        <f>S86/(R86+S86+T86+U86+V86+W86)</f>
        <v>0.16645751152820301</v>
      </c>
      <c r="T87" s="50">
        <f>T86/(R86+S86+T86+U86+V86+W86)</f>
        <v>0</v>
      </c>
      <c r="U87" s="50">
        <f>U86/(R86+U86+V86+W86+S86+T86)</f>
        <v>0.36222803466398218</v>
      </c>
      <c r="V87" s="50">
        <f>V86/(R86+U86+V86+W86+S86+T86)</f>
        <v>8.2309540234459633E-2</v>
      </c>
      <c r="W87" s="50">
        <f>W86/(R86+U86+V86+W86+S86+T86)</f>
        <v>0.12103081752539484</v>
      </c>
      <c r="X87" s="17"/>
      <c r="Y87" s="17"/>
      <c r="Z87" s="17"/>
    </row>
    <row r="88" spans="1:26" ht="15.6" customHeight="1">
      <c r="A88" s="825"/>
      <c r="B88" s="825"/>
      <c r="C88" s="966"/>
      <c r="D88" s="951"/>
      <c r="E88" s="23"/>
      <c r="F88" s="963" t="s">
        <v>925</v>
      </c>
      <c r="G88" s="964"/>
      <c r="H88" s="964"/>
      <c r="I88" s="964"/>
      <c r="J88" s="964"/>
      <c r="K88" s="964"/>
      <c r="L88" s="964"/>
      <c r="M88" s="964"/>
      <c r="N88" s="964"/>
      <c r="O88" s="964"/>
      <c r="P88" s="964"/>
      <c r="Q88" s="965"/>
      <c r="R88" s="51">
        <f t="shared" ref="R88:W88" si="40">ROUND($C77*$E$2*R87/100,0)*100</f>
        <v>15500</v>
      </c>
      <c r="S88" s="51">
        <f t="shared" si="40"/>
        <v>9700</v>
      </c>
      <c r="T88" s="51">
        <f t="shared" si="40"/>
        <v>0</v>
      </c>
      <c r="U88" s="51">
        <f t="shared" si="40"/>
        <v>21000</v>
      </c>
      <c r="V88" s="51">
        <f t="shared" si="40"/>
        <v>4800</v>
      </c>
      <c r="W88" s="51">
        <f t="shared" si="40"/>
        <v>7000</v>
      </c>
      <c r="X88" s="17"/>
      <c r="Y88" s="17"/>
      <c r="Z88" s="17"/>
    </row>
    <row r="89" spans="1:26" ht="15.6">
      <c r="A89" s="825">
        <v>8</v>
      </c>
      <c r="B89" s="825" t="s">
        <v>642</v>
      </c>
      <c r="C89" s="966">
        <f>Buckets!I10</f>
        <v>0.18281535648994515</v>
      </c>
      <c r="D89" s="951" t="s">
        <v>490</v>
      </c>
      <c r="E89" s="23" t="s">
        <v>457</v>
      </c>
      <c r="F89" s="30">
        <f>'Input Sheet'!AH85</f>
        <v>1</v>
      </c>
      <c r="G89" s="30">
        <f>'Input Sheet'!AI85</f>
        <v>1.1193508439684972</v>
      </c>
      <c r="H89" s="30">
        <f>'Input Sheet'!AJ85</f>
        <v>1.1490881936861654</v>
      </c>
      <c r="I89" s="30">
        <f>'Input Sheet'!AK85</f>
        <v>6.1198853612401169</v>
      </c>
      <c r="J89" s="30">
        <f>'Input Sheet'!AL85</f>
        <v>4.6006427961638265E-2</v>
      </c>
      <c r="K89" s="30">
        <f>'Input Sheet'!AM85</f>
        <v>3.9798295609794324E-2</v>
      </c>
      <c r="L89" s="62">
        <v>1</v>
      </c>
      <c r="M89" s="30">
        <f>L89/L$34</f>
        <v>0.2</v>
      </c>
      <c r="N89" s="29"/>
      <c r="O89" s="29"/>
      <c r="P89" s="29"/>
      <c r="Q89" s="29"/>
      <c r="R89" s="45">
        <f t="shared" ref="R89:W93" si="41">F89</f>
        <v>1</v>
      </c>
      <c r="S89" s="45">
        <f t="shared" si="41"/>
        <v>1.1193508439684972</v>
      </c>
      <c r="T89" s="45">
        <f t="shared" si="41"/>
        <v>1.1490881936861654</v>
      </c>
      <c r="U89" s="45">
        <f t="shared" si="41"/>
        <v>6.1198853612401169</v>
      </c>
      <c r="V89" s="45">
        <f t="shared" si="41"/>
        <v>4.6006427961638265E-2</v>
      </c>
      <c r="W89" s="45">
        <f t="shared" si="41"/>
        <v>3.9798295609794324E-2</v>
      </c>
      <c r="X89" s="46"/>
      <c r="Y89" s="46"/>
      <c r="Z89" s="46"/>
    </row>
    <row r="90" spans="1:26" ht="31.35" customHeight="1">
      <c r="A90" s="825"/>
      <c r="B90" s="825"/>
      <c r="C90" s="966"/>
      <c r="D90" s="951"/>
      <c r="E90" s="23" t="s">
        <v>491</v>
      </c>
      <c r="F90" s="30">
        <f>'Input Sheet'!AH86</f>
        <v>1</v>
      </c>
      <c r="G90" s="30">
        <f>'Input Sheet'!AI86</f>
        <v>0.53494595465507289</v>
      </c>
      <c r="H90" s="30">
        <f>'Input Sheet'!AJ86</f>
        <v>0.31786066941886815</v>
      </c>
      <c r="I90" s="30">
        <f>'Input Sheet'!AK86</f>
        <v>8.6950130748019907E-3</v>
      </c>
      <c r="J90" s="30">
        <f>'Input Sheet'!AL86</f>
        <v>0.1825900239998145</v>
      </c>
      <c r="K90" s="30">
        <f>'Input Sheet'!AM86</f>
        <v>2.5457476134721209E-3</v>
      </c>
      <c r="L90" s="62">
        <v>1</v>
      </c>
      <c r="M90" s="30">
        <f t="shared" ref="M90:M93" si="42">L90/L$34</f>
        <v>0.2</v>
      </c>
      <c r="N90" s="29"/>
      <c r="O90" s="29"/>
      <c r="P90" s="29"/>
      <c r="Q90" s="29"/>
      <c r="R90" s="45">
        <f t="shared" si="41"/>
        <v>1</v>
      </c>
      <c r="S90" s="45">
        <f t="shared" si="41"/>
        <v>0.53494595465507289</v>
      </c>
      <c r="T90" s="45">
        <f t="shared" si="41"/>
        <v>0.31786066941886815</v>
      </c>
      <c r="U90" s="45">
        <f t="shared" si="41"/>
        <v>8.6950130748019907E-3</v>
      </c>
      <c r="V90" s="45">
        <f t="shared" si="41"/>
        <v>0.1825900239998145</v>
      </c>
      <c r="W90" s="45">
        <f t="shared" si="41"/>
        <v>2.5457476134721209E-3</v>
      </c>
      <c r="X90" s="46"/>
      <c r="Y90" s="46"/>
      <c r="Z90" s="46"/>
    </row>
    <row r="91" spans="1:26" ht="15.6">
      <c r="A91" s="825"/>
      <c r="B91" s="825"/>
      <c r="C91" s="966"/>
      <c r="D91" s="951"/>
      <c r="E91" s="23" t="s">
        <v>459</v>
      </c>
      <c r="F91" s="30">
        <f>'Input Sheet'!AH87</f>
        <v>1</v>
      </c>
      <c r="G91" s="30">
        <f>'Input Sheet'!AI87</f>
        <v>1</v>
      </c>
      <c r="H91" s="30">
        <f>'Input Sheet'!AJ87</f>
        <v>1</v>
      </c>
      <c r="I91" s="30">
        <f>'Input Sheet'!AK87</f>
        <v>0.3605949401730783</v>
      </c>
      <c r="J91" s="30">
        <f>'Input Sheet'!AL87</f>
        <v>1</v>
      </c>
      <c r="K91" s="30">
        <f>'Input Sheet'!AM87</f>
        <v>0.68215389097645196</v>
      </c>
      <c r="L91" s="62">
        <v>1</v>
      </c>
      <c r="M91" s="30">
        <f t="shared" si="42"/>
        <v>0.2</v>
      </c>
      <c r="N91" s="29"/>
      <c r="O91" s="29"/>
      <c r="P91" s="29"/>
      <c r="Q91" s="29"/>
      <c r="R91" s="45">
        <f t="shared" si="41"/>
        <v>1</v>
      </c>
      <c r="S91" s="45">
        <f t="shared" si="41"/>
        <v>1</v>
      </c>
      <c r="T91" s="45">
        <f t="shared" si="41"/>
        <v>1</v>
      </c>
      <c r="U91" s="45">
        <f t="shared" si="41"/>
        <v>0.3605949401730783</v>
      </c>
      <c r="V91" s="45">
        <f t="shared" si="41"/>
        <v>1</v>
      </c>
      <c r="W91" s="45">
        <f t="shared" si="41"/>
        <v>0.68215389097645196</v>
      </c>
      <c r="X91" s="46"/>
      <c r="Y91" s="46"/>
      <c r="Z91" s="46"/>
    </row>
    <row r="92" spans="1:26" ht="15.6">
      <c r="A92" s="825"/>
      <c r="B92" s="825"/>
      <c r="C92" s="966"/>
      <c r="D92" s="951"/>
      <c r="E92" s="23" t="s">
        <v>492</v>
      </c>
      <c r="F92" s="30">
        <f>'Input Sheet'!AH88</f>
        <v>1</v>
      </c>
      <c r="G92" s="30">
        <f>'Input Sheet'!AI88</f>
        <v>0.59155536436681477</v>
      </c>
      <c r="H92" s="30">
        <f>'Input Sheet'!AJ88</f>
        <v>0.59155536436681477</v>
      </c>
      <c r="I92" s="30">
        <f>'Input Sheet'!AK88</f>
        <v>4.8307416181102738</v>
      </c>
      <c r="J92" s="30">
        <f>'Input Sheet'!AL88</f>
        <v>0.59155536436681477</v>
      </c>
      <c r="K92" s="30">
        <f>'Input Sheet'!AM88</f>
        <v>4.8307416181102738</v>
      </c>
      <c r="L92" s="62">
        <v>1</v>
      </c>
      <c r="M92" s="30">
        <f t="shared" si="42"/>
        <v>0.2</v>
      </c>
      <c r="N92" s="29"/>
      <c r="O92" s="29"/>
      <c r="P92" s="29"/>
      <c r="Q92" s="29"/>
      <c r="R92" s="45">
        <f t="shared" si="41"/>
        <v>1</v>
      </c>
      <c r="S92" s="45">
        <f t="shared" si="41"/>
        <v>0.59155536436681477</v>
      </c>
      <c r="T92" s="45">
        <f t="shared" si="41"/>
        <v>0.59155536436681477</v>
      </c>
      <c r="U92" s="45">
        <f t="shared" si="41"/>
        <v>4.8307416181102738</v>
      </c>
      <c r="V92" s="45">
        <f t="shared" si="41"/>
        <v>0.59155536436681477</v>
      </c>
      <c r="W92" s="45">
        <f t="shared" si="41"/>
        <v>4.8307416181102738</v>
      </c>
      <c r="X92" s="46"/>
      <c r="Y92" s="46"/>
      <c r="Z92" s="46"/>
    </row>
    <row r="93" spans="1:26" ht="15.6">
      <c r="A93" s="825"/>
      <c r="B93" s="825"/>
      <c r="C93" s="966"/>
      <c r="D93" s="951"/>
      <c r="E93" s="34" t="s">
        <v>461</v>
      </c>
      <c r="F93" s="30">
        <f>'Input Sheet'!AH89</f>
        <v>1</v>
      </c>
      <c r="G93" s="30">
        <f>'Input Sheet'!AI89</f>
        <v>0.56471812200775884</v>
      </c>
      <c r="H93" s="30">
        <f>'Input Sheet'!AJ89</f>
        <v>0.33591098123916224</v>
      </c>
      <c r="I93" s="30">
        <f>'Input Sheet'!AK89</f>
        <v>0.13533528323661276</v>
      </c>
      <c r="J93" s="30">
        <f>'Input Sheet'!AL89</f>
        <v>1</v>
      </c>
      <c r="K93" s="30">
        <f>'Input Sheet'!AM89</f>
        <v>1</v>
      </c>
      <c r="L93" s="62">
        <v>1</v>
      </c>
      <c r="M93" s="30">
        <f t="shared" si="42"/>
        <v>0.2</v>
      </c>
      <c r="N93" s="29"/>
      <c r="O93" s="29"/>
      <c r="P93" s="29"/>
      <c r="Q93" s="29"/>
      <c r="R93" s="45">
        <f t="shared" si="41"/>
        <v>1</v>
      </c>
      <c r="S93" s="45">
        <f t="shared" si="41"/>
        <v>0.56471812200775884</v>
      </c>
      <c r="T93" s="45">
        <f t="shared" si="41"/>
        <v>0.33591098123916224</v>
      </c>
      <c r="U93" s="45">
        <f t="shared" si="41"/>
        <v>0.13533528323661276</v>
      </c>
      <c r="V93" s="45">
        <f t="shared" si="41"/>
        <v>1</v>
      </c>
      <c r="W93" s="45">
        <f t="shared" si="41"/>
        <v>1</v>
      </c>
      <c r="X93" s="46"/>
      <c r="Y93" s="46"/>
      <c r="Z93" s="46"/>
    </row>
    <row r="94" spans="1:26" ht="15.6">
      <c r="A94" s="825">
        <v>2</v>
      </c>
      <c r="B94" s="825"/>
      <c r="C94" s="966"/>
      <c r="D94" s="951"/>
      <c r="E94" s="23" t="s">
        <v>38</v>
      </c>
      <c r="F94" s="47"/>
      <c r="G94" s="47"/>
      <c r="H94" s="47"/>
      <c r="I94" s="47"/>
      <c r="J94" s="47"/>
      <c r="K94" s="47"/>
      <c r="L94" s="449">
        <f>SUM(L89:L93)</f>
        <v>5</v>
      </c>
      <c r="M94" s="872" t="s">
        <v>493</v>
      </c>
      <c r="N94" s="873"/>
      <c r="O94" s="873"/>
      <c r="P94" s="873"/>
      <c r="Q94" s="874"/>
      <c r="R94" s="45">
        <f t="shared" ref="R94:W94" si="43">SUM(R89:R93)</f>
        <v>5</v>
      </c>
      <c r="S94" s="45">
        <f t="shared" si="43"/>
        <v>3.8105702849981435</v>
      </c>
      <c r="T94" s="45">
        <f t="shared" si="43"/>
        <v>3.3944152087110107</v>
      </c>
      <c r="U94" s="45">
        <f t="shared" si="43"/>
        <v>11.455252215834884</v>
      </c>
      <c r="V94" s="45">
        <f t="shared" si="43"/>
        <v>2.8201518163282673</v>
      </c>
      <c r="W94" s="45">
        <f t="shared" si="43"/>
        <v>6.5552395523099918</v>
      </c>
      <c r="X94" s="48"/>
      <c r="Y94" s="48"/>
      <c r="Z94" s="48"/>
    </row>
    <row r="95" spans="1:26" ht="15.6">
      <c r="A95" s="825"/>
      <c r="B95" s="825"/>
      <c r="C95" s="966"/>
      <c r="D95" s="951"/>
      <c r="E95" s="23"/>
      <c r="F95" s="23"/>
      <c r="G95" s="23"/>
      <c r="H95" s="23"/>
      <c r="I95" s="23"/>
      <c r="J95" s="23"/>
      <c r="K95" s="23"/>
      <c r="L95" s="23"/>
      <c r="M95" s="872" t="s">
        <v>494</v>
      </c>
      <c r="N95" s="873"/>
      <c r="O95" s="873"/>
      <c r="P95" s="873"/>
      <c r="Q95" s="874"/>
      <c r="R95" s="45">
        <f t="shared" ref="R95:W95" si="44">R94/SUM($R94:$W94)</f>
        <v>0.15135174172609134</v>
      </c>
      <c r="S95" s="45">
        <f t="shared" si="44"/>
        <v>0.11534728992083146</v>
      </c>
      <c r="T95" s="45">
        <f t="shared" si="44"/>
        <v>0.10275013079598906</v>
      </c>
      <c r="U95" s="45">
        <f t="shared" si="44"/>
        <v>0.34675447495565537</v>
      </c>
      <c r="V95" s="45">
        <f t="shared" si="44"/>
        <v>8.536697786665666E-2</v>
      </c>
      <c r="W95" s="45">
        <f t="shared" si="44"/>
        <v>0.19842938473477612</v>
      </c>
      <c r="X95" s="17"/>
      <c r="Y95" s="17"/>
      <c r="Z95" s="17"/>
    </row>
    <row r="96" spans="1:26" ht="15.6">
      <c r="A96" s="825"/>
      <c r="B96" s="825"/>
      <c r="C96" s="966"/>
      <c r="D96" s="951"/>
      <c r="E96" s="446"/>
      <c r="F96" s="941"/>
      <c r="G96" s="942"/>
      <c r="H96" s="942"/>
      <c r="I96" s="942"/>
      <c r="J96" s="942"/>
      <c r="K96" s="942"/>
      <c r="L96" s="942"/>
      <c r="M96" s="942"/>
      <c r="N96" s="942"/>
      <c r="O96" s="942"/>
      <c r="P96" s="942"/>
      <c r="Q96" s="942"/>
      <c r="R96" s="942"/>
      <c r="S96" s="942"/>
      <c r="T96" s="942"/>
      <c r="U96" s="942"/>
      <c r="V96" s="942"/>
      <c r="W96" s="943"/>
      <c r="X96" s="17"/>
      <c r="Y96" s="17"/>
      <c r="Z96" s="17"/>
    </row>
    <row r="97" spans="1:26" ht="15.6">
      <c r="A97" s="825"/>
      <c r="B97" s="825"/>
      <c r="C97" s="966"/>
      <c r="D97" s="951"/>
      <c r="E97" s="23"/>
      <c r="F97" s="30">
        <f>'Input Sheet'!AH91</f>
        <v>1</v>
      </c>
      <c r="G97" s="30">
        <f>'Input Sheet'!AI91</f>
        <v>0.85</v>
      </c>
      <c r="H97" s="30">
        <f>'Input Sheet'!AJ91</f>
        <v>0.75</v>
      </c>
      <c r="I97" s="30">
        <f>'Input Sheet'!AK91</f>
        <v>0.85</v>
      </c>
      <c r="J97" s="30">
        <f>'Input Sheet'!AL91</f>
        <v>0.55000000000000004</v>
      </c>
      <c r="K97" s="30">
        <f>'Input Sheet'!AM91</f>
        <v>0.35</v>
      </c>
      <c r="L97" s="23"/>
      <c r="M97" s="957" t="s">
        <v>495</v>
      </c>
      <c r="N97" s="958"/>
      <c r="O97" s="958"/>
      <c r="P97" s="958"/>
      <c r="Q97" s="959"/>
      <c r="R97" s="45">
        <f t="shared" ref="R97:W97" si="45">R95*F97</f>
        <v>0.15135174172609134</v>
      </c>
      <c r="S97" s="45">
        <f t="shared" si="45"/>
        <v>9.8045196432706733E-2</v>
      </c>
      <c r="T97" s="45">
        <f t="shared" si="45"/>
        <v>7.70625980969918E-2</v>
      </c>
      <c r="U97" s="45">
        <f t="shared" si="45"/>
        <v>0.29474130371230706</v>
      </c>
      <c r="V97" s="45">
        <f t="shared" si="45"/>
        <v>4.6951837826661166E-2</v>
      </c>
      <c r="W97" s="45">
        <f t="shared" si="45"/>
        <v>6.9450284657171638E-2</v>
      </c>
      <c r="X97" s="17"/>
      <c r="Y97" s="17"/>
      <c r="Z97" s="17"/>
    </row>
    <row r="98" spans="1:26" ht="15.6" customHeight="1">
      <c r="A98" s="825"/>
      <c r="B98" s="825"/>
      <c r="C98" s="966"/>
      <c r="D98" s="951"/>
      <c r="E98" s="23"/>
      <c r="F98" s="960" t="s">
        <v>923</v>
      </c>
      <c r="G98" s="961"/>
      <c r="H98" s="961"/>
      <c r="I98" s="961"/>
      <c r="J98" s="961"/>
      <c r="K98" s="961"/>
      <c r="L98" s="961"/>
      <c r="M98" s="961"/>
      <c r="N98" s="961"/>
      <c r="O98" s="961"/>
      <c r="P98" s="961"/>
      <c r="Q98" s="962"/>
      <c r="R98" s="45">
        <f>R97</f>
        <v>0.15135174172609134</v>
      </c>
      <c r="S98" s="45">
        <f>S97*'Input Sheet'!AI83/'Input Sheet'!AH83</f>
        <v>7.2821902445673492E-2</v>
      </c>
      <c r="T98" s="45">
        <f>T97*'Input Sheet'!AJ83/'Input Sheet'!AH83</f>
        <v>1.9825270772333248E-2</v>
      </c>
      <c r="U98" s="45">
        <f>U97</f>
        <v>0.29474130371230706</v>
      </c>
      <c r="V98" s="45">
        <f>V97</f>
        <v>4.6951837826661166E-2</v>
      </c>
      <c r="W98" s="45">
        <f>W97</f>
        <v>6.9450284657171638E-2</v>
      </c>
      <c r="X98" s="17"/>
      <c r="Y98" s="17"/>
      <c r="Z98" s="17"/>
    </row>
    <row r="99" spans="1:26" ht="15.6" customHeight="1">
      <c r="A99" s="825"/>
      <c r="B99" s="825"/>
      <c r="C99" s="966"/>
      <c r="D99" s="951"/>
      <c r="E99" s="23"/>
      <c r="F99" s="963" t="s">
        <v>924</v>
      </c>
      <c r="G99" s="964"/>
      <c r="H99" s="964"/>
      <c r="I99" s="964"/>
      <c r="J99" s="964"/>
      <c r="K99" s="964"/>
      <c r="L99" s="964"/>
      <c r="M99" s="964"/>
      <c r="N99" s="964"/>
      <c r="O99" s="964"/>
      <c r="P99" s="964"/>
      <c r="Q99" s="965"/>
      <c r="R99" s="50">
        <f>R98/(R98+U98+V98+W98+S98+T98)</f>
        <v>0.23102115711628751</v>
      </c>
      <c r="S99" s="50">
        <f>S98/(R98+S98+T98+U98+V98+W98)</f>
        <v>0.11115432154626294</v>
      </c>
      <c r="T99" s="50">
        <f>T98/(R98+S98+T98+U98+V98+W98)</f>
        <v>3.0261012801933232E-2</v>
      </c>
      <c r="U99" s="50">
        <f>U98/(R98+U98+V98+W98+S98+T98)</f>
        <v>0.4498889557333855</v>
      </c>
      <c r="V99" s="50">
        <f>V98/(R98+U98+V98+W98+S98+T98)</f>
        <v>7.1666620943693193E-2</v>
      </c>
      <c r="W99" s="50">
        <f>W98/(R98+U98+V98+W98+S98+T98)</f>
        <v>0.10600793185843763</v>
      </c>
      <c r="X99" s="17"/>
      <c r="Y99" s="17"/>
      <c r="Z99" s="17"/>
    </row>
    <row r="100" spans="1:26" ht="15.6" customHeight="1">
      <c r="A100" s="825"/>
      <c r="B100" s="825"/>
      <c r="C100" s="966"/>
      <c r="D100" s="951"/>
      <c r="E100" s="23"/>
      <c r="F100" s="963" t="s">
        <v>925</v>
      </c>
      <c r="G100" s="964"/>
      <c r="H100" s="964"/>
      <c r="I100" s="964"/>
      <c r="J100" s="964"/>
      <c r="K100" s="964"/>
      <c r="L100" s="964"/>
      <c r="M100" s="964"/>
      <c r="N100" s="964"/>
      <c r="O100" s="964"/>
      <c r="P100" s="964"/>
      <c r="Q100" s="965"/>
      <c r="R100" s="51">
        <f t="shared" ref="R100:W100" si="46">ROUND($C89*$E$2*R99/100,0)*100</f>
        <v>19400</v>
      </c>
      <c r="S100" s="51">
        <f t="shared" si="46"/>
        <v>9300</v>
      </c>
      <c r="T100" s="51">
        <f t="shared" si="46"/>
        <v>2500</v>
      </c>
      <c r="U100" s="51">
        <f t="shared" si="46"/>
        <v>37800</v>
      </c>
      <c r="V100" s="51">
        <f t="shared" si="46"/>
        <v>6000</v>
      </c>
      <c r="W100" s="51">
        <f t="shared" si="46"/>
        <v>8900</v>
      </c>
      <c r="X100" s="17"/>
      <c r="Y100" s="17"/>
      <c r="Z100" s="17"/>
    </row>
    <row r="101" spans="1:26" ht="15.75" customHeight="1">
      <c r="A101" s="825">
        <v>9</v>
      </c>
      <c r="B101" s="878" t="s">
        <v>643</v>
      </c>
      <c r="C101" s="966">
        <f>Buckets!I11</f>
        <v>6.533472621223993E-2</v>
      </c>
      <c r="D101" s="951" t="s">
        <v>490</v>
      </c>
      <c r="E101" s="23" t="s">
        <v>457</v>
      </c>
      <c r="F101" s="30">
        <f>'Input Sheet'!AH96</f>
        <v>1</v>
      </c>
      <c r="G101" s="30">
        <f>'Input Sheet'!AI96</f>
        <v>1</v>
      </c>
      <c r="H101" s="30">
        <f>'Input Sheet'!AJ96</f>
        <v>2.1939561902676541E-2</v>
      </c>
      <c r="I101" s="30">
        <f>'Input Sheet'!AK96</f>
        <v>13.406576130915555</v>
      </c>
      <c r="J101" s="30">
        <f>'Input Sheet'!AL96</f>
        <v>2.1939561902676541E-2</v>
      </c>
      <c r="K101" s="30">
        <f>'Input Sheet'!AM96</f>
        <v>2.1982402033991207E-2</v>
      </c>
      <c r="L101" s="62">
        <v>1</v>
      </c>
      <c r="M101" s="30">
        <f>L101/L$34</f>
        <v>0.2</v>
      </c>
      <c r="N101" s="29"/>
      <c r="O101" s="29"/>
      <c r="P101" s="29"/>
      <c r="Q101" s="29"/>
      <c r="R101" s="45">
        <f t="shared" ref="R101:W105" si="47">F101</f>
        <v>1</v>
      </c>
      <c r="S101" s="45">
        <f t="shared" si="47"/>
        <v>1</v>
      </c>
      <c r="T101" s="45">
        <f t="shared" si="47"/>
        <v>2.1939561902676541E-2</v>
      </c>
      <c r="U101" s="45">
        <f t="shared" si="47"/>
        <v>13.406576130915555</v>
      </c>
      <c r="V101" s="45">
        <f t="shared" si="47"/>
        <v>2.1939561902676541E-2</v>
      </c>
      <c r="W101" s="45">
        <f t="shared" si="47"/>
        <v>2.1982402033991207E-2</v>
      </c>
      <c r="X101" s="46"/>
      <c r="Y101" s="46"/>
      <c r="Z101" s="46"/>
    </row>
    <row r="102" spans="1:26" ht="31.2">
      <c r="A102" s="825"/>
      <c r="B102" s="879"/>
      <c r="C102" s="966"/>
      <c r="D102" s="951"/>
      <c r="E102" s="23" t="s">
        <v>491</v>
      </c>
      <c r="F102" s="30">
        <f>'Input Sheet'!AH97</f>
        <v>1</v>
      </c>
      <c r="G102" s="30">
        <f>'Input Sheet'!AI97</f>
        <v>0.53619619160390852</v>
      </c>
      <c r="H102" s="30">
        <f>'Input Sheet'!AJ97</f>
        <v>0.31982160761591089</v>
      </c>
      <c r="I102" s="30">
        <f>'Input Sheet'!AK97</f>
        <v>6.0746807850847514E-3</v>
      </c>
      <c r="J102" s="30">
        <f>'Input Sheet'!AL97</f>
        <v>0.18441419569624817</v>
      </c>
      <c r="K102" s="30">
        <f>'Input Sheet'!AM97</f>
        <v>1.1755472561863431E-3</v>
      </c>
      <c r="L102" s="62">
        <v>1</v>
      </c>
      <c r="M102" s="30">
        <f t="shared" ref="M102:M105" si="48">L102/L$34</f>
        <v>0.2</v>
      </c>
      <c r="N102" s="29"/>
      <c r="O102" s="29"/>
      <c r="P102" s="29"/>
      <c r="Q102" s="29"/>
      <c r="R102" s="45">
        <f t="shared" si="47"/>
        <v>1</v>
      </c>
      <c r="S102" s="45">
        <f t="shared" si="47"/>
        <v>0.53619619160390852</v>
      </c>
      <c r="T102" s="45">
        <f t="shared" si="47"/>
        <v>0.31982160761591089</v>
      </c>
      <c r="U102" s="45">
        <f t="shared" si="47"/>
        <v>6.0746807850847514E-3</v>
      </c>
      <c r="V102" s="45">
        <f t="shared" si="47"/>
        <v>0.18441419569624817</v>
      </c>
      <c r="W102" s="45">
        <f t="shared" si="47"/>
        <v>1.1755472561863431E-3</v>
      </c>
      <c r="X102" s="46"/>
      <c r="Y102" s="46"/>
      <c r="Z102" s="46"/>
    </row>
    <row r="103" spans="1:26" ht="15.6">
      <c r="A103" s="825"/>
      <c r="B103" s="879"/>
      <c r="C103" s="966"/>
      <c r="D103" s="951"/>
      <c r="E103" s="23" t="s">
        <v>459</v>
      </c>
      <c r="F103" s="30">
        <f>'Input Sheet'!AH98</f>
        <v>1</v>
      </c>
      <c r="G103" s="30">
        <f>'Input Sheet'!AI98</f>
        <v>1</v>
      </c>
      <c r="H103" s="30">
        <f>'Input Sheet'!AJ98</f>
        <v>1</v>
      </c>
      <c r="I103" s="30">
        <f>'Input Sheet'!AK98</f>
        <v>0.42147281477591775</v>
      </c>
      <c r="J103" s="30">
        <f>'Input Sheet'!AL98</f>
        <v>1</v>
      </c>
      <c r="K103" s="30">
        <f>'Input Sheet'!AM98</f>
        <v>0.71217716489086835</v>
      </c>
      <c r="L103" s="62">
        <v>1</v>
      </c>
      <c r="M103" s="30">
        <f t="shared" si="48"/>
        <v>0.2</v>
      </c>
      <c r="N103" s="29"/>
      <c r="O103" s="29"/>
      <c r="P103" s="29"/>
      <c r="Q103" s="29"/>
      <c r="R103" s="45">
        <f t="shared" si="47"/>
        <v>1</v>
      </c>
      <c r="S103" s="45">
        <f t="shared" si="47"/>
        <v>1</v>
      </c>
      <c r="T103" s="45">
        <f t="shared" si="47"/>
        <v>1</v>
      </c>
      <c r="U103" s="45">
        <f t="shared" si="47"/>
        <v>0.42147281477591775</v>
      </c>
      <c r="V103" s="45">
        <f t="shared" si="47"/>
        <v>1</v>
      </c>
      <c r="W103" s="45">
        <f t="shared" si="47"/>
        <v>0.71217716489086835</v>
      </c>
      <c r="X103" s="46"/>
      <c r="Y103" s="46"/>
      <c r="Z103" s="46"/>
    </row>
    <row r="104" spans="1:26" ht="15.6">
      <c r="A104" s="825"/>
      <c r="B104" s="879"/>
      <c r="C104" s="966"/>
      <c r="D104" s="951"/>
      <c r="E104" s="23" t="s">
        <v>492</v>
      </c>
      <c r="F104" s="30">
        <f>'Input Sheet'!AH99</f>
        <v>1</v>
      </c>
      <c r="G104" s="30">
        <f>'Input Sheet'!AI99</f>
        <v>0.66697681085847416</v>
      </c>
      <c r="H104" s="30">
        <f>'Input Sheet'!AJ99</f>
        <v>0.66697681085847416</v>
      </c>
      <c r="I104" s="30">
        <f>'Input Sheet'!AK99</f>
        <v>3.3702940643216048</v>
      </c>
      <c r="J104" s="30">
        <f>'Input Sheet'!AL99</f>
        <v>0.66697681085847416</v>
      </c>
      <c r="K104" s="30">
        <f>'Input Sheet'!AM99</f>
        <v>3.3702940643216048</v>
      </c>
      <c r="L104" s="62">
        <v>1</v>
      </c>
      <c r="M104" s="30">
        <f t="shared" si="48"/>
        <v>0.2</v>
      </c>
      <c r="N104" s="29"/>
      <c r="O104" s="29"/>
      <c r="P104" s="29"/>
      <c r="Q104" s="29"/>
      <c r="R104" s="45">
        <f t="shared" si="47"/>
        <v>1</v>
      </c>
      <c r="S104" s="45">
        <f t="shared" si="47"/>
        <v>0.66697681085847416</v>
      </c>
      <c r="T104" s="45">
        <f t="shared" si="47"/>
        <v>0.66697681085847416</v>
      </c>
      <c r="U104" s="45">
        <f t="shared" si="47"/>
        <v>3.3702940643216048</v>
      </c>
      <c r="V104" s="45">
        <f t="shared" si="47"/>
        <v>0.66697681085847416</v>
      </c>
      <c r="W104" s="45">
        <f t="shared" si="47"/>
        <v>3.3702940643216048</v>
      </c>
      <c r="X104" s="46"/>
      <c r="Y104" s="46"/>
      <c r="Z104" s="46"/>
    </row>
    <row r="105" spans="1:26" ht="15.6">
      <c r="A105" s="825"/>
      <c r="B105" s="879"/>
      <c r="C105" s="966"/>
      <c r="D105" s="951"/>
      <c r="E105" s="34" t="s">
        <v>461</v>
      </c>
      <c r="F105" s="30">
        <f>'Input Sheet'!AH100</f>
        <v>1</v>
      </c>
      <c r="G105" s="30">
        <f>'Input Sheet'!AI100</f>
        <v>0.56471812200775884</v>
      </c>
      <c r="H105" s="30">
        <f>'Input Sheet'!AJ100</f>
        <v>0.33591098123916224</v>
      </c>
      <c r="I105" s="30">
        <f>'Input Sheet'!AK100</f>
        <v>0.13533528323661276</v>
      </c>
      <c r="J105" s="30">
        <f>'Input Sheet'!AL100</f>
        <v>1</v>
      </c>
      <c r="K105" s="30">
        <f>'Input Sheet'!AM100</f>
        <v>1</v>
      </c>
      <c r="L105" s="62">
        <v>1</v>
      </c>
      <c r="M105" s="30">
        <f t="shared" si="48"/>
        <v>0.2</v>
      </c>
      <c r="N105" s="29"/>
      <c r="O105" s="29"/>
      <c r="P105" s="29"/>
      <c r="Q105" s="29"/>
      <c r="R105" s="45">
        <f t="shared" si="47"/>
        <v>1</v>
      </c>
      <c r="S105" s="45">
        <f t="shared" si="47"/>
        <v>0.56471812200775884</v>
      </c>
      <c r="T105" s="45">
        <f t="shared" si="47"/>
        <v>0.33591098123916224</v>
      </c>
      <c r="U105" s="45">
        <f t="shared" si="47"/>
        <v>0.13533528323661276</v>
      </c>
      <c r="V105" s="45">
        <f t="shared" si="47"/>
        <v>1</v>
      </c>
      <c r="W105" s="45">
        <f t="shared" si="47"/>
        <v>1</v>
      </c>
      <c r="X105" s="46"/>
      <c r="Y105" s="46"/>
      <c r="Z105" s="46"/>
    </row>
    <row r="106" spans="1:26" ht="15.6">
      <c r="A106" s="825">
        <v>2</v>
      </c>
      <c r="B106" s="879"/>
      <c r="C106" s="966"/>
      <c r="D106" s="951"/>
      <c r="E106" s="23" t="s">
        <v>38</v>
      </c>
      <c r="F106" s="47"/>
      <c r="G106" s="47"/>
      <c r="H106" s="47"/>
      <c r="I106" s="47"/>
      <c r="J106" s="47"/>
      <c r="K106" s="47"/>
      <c r="L106" s="449">
        <f>SUM(L101:L105)</f>
        <v>5</v>
      </c>
      <c r="M106" s="872" t="s">
        <v>493</v>
      </c>
      <c r="N106" s="873"/>
      <c r="O106" s="873"/>
      <c r="P106" s="873"/>
      <c r="Q106" s="874"/>
      <c r="R106" s="45">
        <f t="shared" ref="R106:W106" si="49">SUM(R101:R105)</f>
        <v>5</v>
      </c>
      <c r="S106" s="45">
        <f t="shared" si="49"/>
        <v>3.7678911244701414</v>
      </c>
      <c r="T106" s="45">
        <f t="shared" si="49"/>
        <v>2.3446489616162234</v>
      </c>
      <c r="U106" s="45">
        <f t="shared" si="49"/>
        <v>17.339752974034777</v>
      </c>
      <c r="V106" s="45">
        <f t="shared" si="49"/>
        <v>2.8733305684573986</v>
      </c>
      <c r="W106" s="45">
        <f t="shared" si="49"/>
        <v>5.1056291785026504</v>
      </c>
      <c r="X106" s="48"/>
      <c r="Y106" s="48"/>
      <c r="Z106" s="48"/>
    </row>
    <row r="107" spans="1:26" ht="15.6">
      <c r="A107" s="825"/>
      <c r="B107" s="879"/>
      <c r="C107" s="966"/>
      <c r="D107" s="951"/>
      <c r="E107" s="23"/>
      <c r="F107" s="23"/>
      <c r="G107" s="23"/>
      <c r="H107" s="23"/>
      <c r="I107" s="23"/>
      <c r="J107" s="23"/>
      <c r="K107" s="23"/>
      <c r="L107" s="23"/>
      <c r="M107" s="872" t="s">
        <v>494</v>
      </c>
      <c r="N107" s="873"/>
      <c r="O107" s="873"/>
      <c r="P107" s="873"/>
      <c r="Q107" s="874"/>
      <c r="R107" s="45">
        <f t="shared" ref="R107:W107" si="50">R106/SUM($R106:$W106)</f>
        <v>0.13724479985569266</v>
      </c>
      <c r="S107" s="45">
        <f t="shared" si="50"/>
        <v>0.10342469265118907</v>
      </c>
      <c r="T107" s="45">
        <f t="shared" si="50"/>
        <v>6.4358175493775246E-2</v>
      </c>
      <c r="U107" s="45">
        <f t="shared" si="50"/>
        <v>0.47595818529371092</v>
      </c>
      <c r="V107" s="45">
        <f t="shared" si="50"/>
        <v>7.8869935757435866E-2</v>
      </c>
      <c r="W107" s="45">
        <f t="shared" si="50"/>
        <v>0.14014421094819615</v>
      </c>
      <c r="X107" s="17"/>
      <c r="Y107" s="17"/>
      <c r="Z107" s="17"/>
    </row>
    <row r="108" spans="1:26" ht="15.6">
      <c r="A108" s="825"/>
      <c r="B108" s="879"/>
      <c r="C108" s="966"/>
      <c r="D108" s="951"/>
      <c r="E108" s="446"/>
      <c r="F108" s="941"/>
      <c r="G108" s="942"/>
      <c r="H108" s="942"/>
      <c r="I108" s="942"/>
      <c r="J108" s="942"/>
      <c r="K108" s="942"/>
      <c r="L108" s="942"/>
      <c r="M108" s="942"/>
      <c r="N108" s="942"/>
      <c r="O108" s="942"/>
      <c r="P108" s="942"/>
      <c r="Q108" s="942"/>
      <c r="R108" s="942"/>
      <c r="S108" s="942"/>
      <c r="T108" s="942"/>
      <c r="U108" s="942"/>
      <c r="V108" s="942"/>
      <c r="W108" s="943"/>
      <c r="X108" s="17"/>
      <c r="Y108" s="17"/>
      <c r="Z108" s="17"/>
    </row>
    <row r="109" spans="1:26" ht="15.6">
      <c r="A109" s="825"/>
      <c r="B109" s="879"/>
      <c r="C109" s="966"/>
      <c r="D109" s="951"/>
      <c r="E109" s="23"/>
      <c r="F109" s="30">
        <f>'Input Sheet'!AH102</f>
        <v>1</v>
      </c>
      <c r="G109" s="30">
        <f>'Input Sheet'!AI102</f>
        <v>0.85</v>
      </c>
      <c r="H109" s="30">
        <f>'Input Sheet'!AJ102</f>
        <v>0.75</v>
      </c>
      <c r="I109" s="30">
        <f>'Input Sheet'!AK102</f>
        <v>0.85</v>
      </c>
      <c r="J109" s="30">
        <f>'Input Sheet'!AL102</f>
        <v>0.55000000000000004</v>
      </c>
      <c r="K109" s="30">
        <f>'Input Sheet'!AM102</f>
        <v>0.35</v>
      </c>
      <c r="L109" s="23"/>
      <c r="M109" s="957" t="s">
        <v>495</v>
      </c>
      <c r="N109" s="958"/>
      <c r="O109" s="958"/>
      <c r="P109" s="958"/>
      <c r="Q109" s="959"/>
      <c r="R109" s="45">
        <f t="shared" ref="R109:W109" si="51">R107*F109</f>
        <v>0.13724479985569266</v>
      </c>
      <c r="S109" s="45">
        <f t="shared" si="51"/>
        <v>8.7910988753510708E-2</v>
      </c>
      <c r="T109" s="45">
        <f t="shared" si="51"/>
        <v>4.8268631620331431E-2</v>
      </c>
      <c r="U109" s="45">
        <f t="shared" si="51"/>
        <v>0.40456445749965425</v>
      </c>
      <c r="V109" s="45">
        <f t="shared" si="51"/>
        <v>4.3378464666589733E-2</v>
      </c>
      <c r="W109" s="45">
        <f t="shared" si="51"/>
        <v>4.9050473831868648E-2</v>
      </c>
      <c r="X109" s="17"/>
      <c r="Y109" s="17"/>
      <c r="Z109" s="17"/>
    </row>
    <row r="110" spans="1:26" ht="15.6" customHeight="1">
      <c r="A110" s="825"/>
      <c r="B110" s="879"/>
      <c r="C110" s="966"/>
      <c r="D110" s="951"/>
      <c r="E110" s="23"/>
      <c r="F110" s="960" t="s">
        <v>923</v>
      </c>
      <c r="G110" s="961"/>
      <c r="H110" s="961"/>
      <c r="I110" s="961"/>
      <c r="J110" s="961"/>
      <c r="K110" s="961"/>
      <c r="L110" s="961"/>
      <c r="M110" s="961"/>
      <c r="N110" s="961"/>
      <c r="O110" s="961"/>
      <c r="P110" s="961"/>
      <c r="Q110" s="962"/>
      <c r="R110" s="45">
        <f>R109</f>
        <v>0.13724479985569266</v>
      </c>
      <c r="S110" s="45">
        <f>S109*'Input Sheet'!AI94/'Input Sheet'!AH94</f>
        <v>8.7910988753510708E-2</v>
      </c>
      <c r="T110" s="45">
        <f>T109*'Input Sheet'!AJ94/'Input Sheet'!AH94</f>
        <v>0</v>
      </c>
      <c r="U110" s="45">
        <f>U109</f>
        <v>0.40456445749965425</v>
      </c>
      <c r="V110" s="45">
        <f>V109</f>
        <v>4.3378464666589733E-2</v>
      </c>
      <c r="W110" s="45">
        <f>W109</f>
        <v>4.9050473831868648E-2</v>
      </c>
      <c r="X110" s="17"/>
      <c r="Y110" s="17"/>
      <c r="Z110" s="17"/>
    </row>
    <row r="111" spans="1:26" ht="15.6" customHeight="1">
      <c r="A111" s="825"/>
      <c r="B111" s="879"/>
      <c r="C111" s="966"/>
      <c r="D111" s="951"/>
      <c r="E111" s="23"/>
      <c r="F111" s="963" t="s">
        <v>924</v>
      </c>
      <c r="G111" s="964"/>
      <c r="H111" s="964"/>
      <c r="I111" s="964"/>
      <c r="J111" s="964"/>
      <c r="K111" s="964"/>
      <c r="L111" s="964"/>
      <c r="M111" s="964"/>
      <c r="N111" s="964"/>
      <c r="O111" s="964"/>
      <c r="P111" s="964"/>
      <c r="Q111" s="965"/>
      <c r="R111" s="50">
        <f>R110/(R110+U110+V110+W110+S110+T110)</f>
        <v>0.19005048095473853</v>
      </c>
      <c r="S111" s="50">
        <f>S110/(R110+S110+T110+U110+V110+W110)</f>
        <v>0.12173521846640896</v>
      </c>
      <c r="T111" s="50">
        <f>T110/(R110+S110+T110+U110+V110+W110)</f>
        <v>0</v>
      </c>
      <c r="U111" s="50">
        <f>U110/(R110+U110+V110+W110+S110+T110)</f>
        <v>0.5602228266997834</v>
      </c>
      <c r="V111" s="50">
        <f>V110/(R110+U110+V110+W110+S110+T110)</f>
        <v>6.0068564212500918E-2</v>
      </c>
      <c r="W111" s="50">
        <f>W110/(R110+U110+V110+W110+S110+T110)</f>
        <v>6.7922909666568262E-2</v>
      </c>
      <c r="X111" s="17"/>
      <c r="Y111" s="17"/>
      <c r="Z111" s="17"/>
    </row>
    <row r="112" spans="1:26" ht="15.6" customHeight="1">
      <c r="A112" s="825"/>
      <c r="B112" s="880"/>
      <c r="C112" s="966"/>
      <c r="D112" s="951"/>
      <c r="E112" s="23"/>
      <c r="F112" s="963" t="s">
        <v>925</v>
      </c>
      <c r="G112" s="964"/>
      <c r="H112" s="964"/>
      <c r="I112" s="964"/>
      <c r="J112" s="964"/>
      <c r="K112" s="964"/>
      <c r="L112" s="964"/>
      <c r="M112" s="964"/>
      <c r="N112" s="964"/>
      <c r="O112" s="964"/>
      <c r="P112" s="964"/>
      <c r="Q112" s="965"/>
      <c r="R112" s="51">
        <f t="shared" ref="R112:W112" si="52">ROUND($C101*$E$2*R111/100,0)*100</f>
        <v>5700</v>
      </c>
      <c r="S112" s="51">
        <f t="shared" si="52"/>
        <v>3700</v>
      </c>
      <c r="T112" s="51">
        <f t="shared" si="52"/>
        <v>0</v>
      </c>
      <c r="U112" s="51">
        <f t="shared" si="52"/>
        <v>16800</v>
      </c>
      <c r="V112" s="51">
        <f t="shared" si="52"/>
        <v>1800</v>
      </c>
      <c r="W112" s="51">
        <f t="shared" si="52"/>
        <v>2000</v>
      </c>
      <c r="X112" s="17"/>
      <c r="Y112" s="17"/>
      <c r="Z112" s="17"/>
    </row>
    <row r="113" spans="1:26" ht="15.75" customHeight="1">
      <c r="A113" s="825">
        <v>10</v>
      </c>
      <c r="B113" s="878" t="s">
        <v>636</v>
      </c>
      <c r="C113" s="966">
        <f>Buckets!I12</f>
        <v>4.8903107861060328E-2</v>
      </c>
      <c r="D113" s="951" t="s">
        <v>490</v>
      </c>
      <c r="E113" s="23" t="s">
        <v>457</v>
      </c>
      <c r="F113" s="30">
        <f>'Input Sheet'!AH107</f>
        <v>1</v>
      </c>
      <c r="G113" s="30">
        <f>'Input Sheet'!AI107</f>
        <v>1.4872645439881638</v>
      </c>
      <c r="H113" s="30">
        <f>'Input Sheet'!AJ107</f>
        <v>1.3817384704532882</v>
      </c>
      <c r="I113" s="30">
        <f>'Input Sheet'!AK107</f>
        <v>52.583761698328068</v>
      </c>
      <c r="J113" s="30">
        <f>'Input Sheet'!AL107</f>
        <v>2.6311666333582888E-2</v>
      </c>
      <c r="K113" s="30">
        <f>'Input Sheet'!AM107</f>
        <v>2.7341777374798669E-2</v>
      </c>
      <c r="L113" s="62">
        <v>1</v>
      </c>
      <c r="M113" s="30">
        <f>L113/L$34</f>
        <v>0.2</v>
      </c>
      <c r="N113" s="29"/>
      <c r="O113" s="29"/>
      <c r="P113" s="29"/>
      <c r="Q113" s="29"/>
      <c r="R113" s="45">
        <f t="shared" ref="R113:W117" si="53">F113</f>
        <v>1</v>
      </c>
      <c r="S113" s="45">
        <f t="shared" si="53"/>
        <v>1.4872645439881638</v>
      </c>
      <c r="T113" s="45">
        <f t="shared" si="53"/>
        <v>1.3817384704532882</v>
      </c>
      <c r="U113" s="45">
        <f t="shared" si="53"/>
        <v>52.583761698328068</v>
      </c>
      <c r="V113" s="45">
        <f t="shared" si="53"/>
        <v>2.6311666333582888E-2</v>
      </c>
      <c r="W113" s="45">
        <f t="shared" si="53"/>
        <v>2.7341777374798669E-2</v>
      </c>
      <c r="X113" s="46"/>
      <c r="Y113" s="46"/>
      <c r="Z113" s="46"/>
    </row>
    <row r="114" spans="1:26" ht="31.2">
      <c r="A114" s="825"/>
      <c r="B114" s="879"/>
      <c r="C114" s="966"/>
      <c r="D114" s="951"/>
      <c r="E114" s="23" t="s">
        <v>491</v>
      </c>
      <c r="F114" s="30">
        <f>'Input Sheet'!AH108</f>
        <v>1</v>
      </c>
      <c r="G114" s="30">
        <f>'Input Sheet'!AI108</f>
        <v>0.55434479119261582</v>
      </c>
      <c r="H114" s="30">
        <f>'Input Sheet'!AJ108</f>
        <v>0.1362185280698324</v>
      </c>
      <c r="I114" s="30">
        <f>'Input Sheet'!AK108</f>
        <v>1.0826604570559815E-2</v>
      </c>
      <c r="J114" s="30">
        <f>'Input Sheet'!AL108</f>
        <v>0.20018204181275295</v>
      </c>
      <c r="K114" s="30">
        <f>'Input Sheet'!AM108</f>
        <v>1.4217315395897137E-3</v>
      </c>
      <c r="L114" s="62">
        <v>1</v>
      </c>
      <c r="M114" s="30">
        <f t="shared" ref="M114:M117" si="54">L114/L$34</f>
        <v>0.2</v>
      </c>
      <c r="N114" s="29"/>
      <c r="O114" s="29"/>
      <c r="P114" s="29"/>
      <c r="Q114" s="29"/>
      <c r="R114" s="45">
        <f t="shared" si="53"/>
        <v>1</v>
      </c>
      <c r="S114" s="45">
        <f t="shared" si="53"/>
        <v>0.55434479119261582</v>
      </c>
      <c r="T114" s="45">
        <f t="shared" si="53"/>
        <v>0.1362185280698324</v>
      </c>
      <c r="U114" s="45">
        <f t="shared" si="53"/>
        <v>1.0826604570559815E-2</v>
      </c>
      <c r="V114" s="45">
        <f t="shared" si="53"/>
        <v>0.20018204181275295</v>
      </c>
      <c r="W114" s="45">
        <f t="shared" si="53"/>
        <v>1.4217315395897137E-3</v>
      </c>
      <c r="X114" s="46"/>
      <c r="Y114" s="46"/>
      <c r="Z114" s="46"/>
    </row>
    <row r="115" spans="1:26" ht="15.6">
      <c r="A115" s="825"/>
      <c r="B115" s="879"/>
      <c r="C115" s="966"/>
      <c r="D115" s="951"/>
      <c r="E115" s="23" t="s">
        <v>459</v>
      </c>
      <c r="F115" s="30">
        <f>'Input Sheet'!AH109</f>
        <v>1</v>
      </c>
      <c r="G115" s="30">
        <f>'Input Sheet'!AI109</f>
        <v>1</v>
      </c>
      <c r="H115" s="30">
        <f>'Input Sheet'!AJ109</f>
        <v>1</v>
      </c>
      <c r="I115" s="30">
        <f>'Input Sheet'!AK109</f>
        <v>0.51881779249624593</v>
      </c>
      <c r="J115" s="30">
        <f>'Input Sheet'!AL109</f>
        <v>1</v>
      </c>
      <c r="K115" s="30">
        <f>'Input Sheet'!AM109</f>
        <v>0.74025578754107368</v>
      </c>
      <c r="L115" s="62">
        <v>1</v>
      </c>
      <c r="M115" s="30">
        <f t="shared" si="54"/>
        <v>0.2</v>
      </c>
      <c r="N115" s="29"/>
      <c r="O115" s="29"/>
      <c r="P115" s="29"/>
      <c r="Q115" s="29"/>
      <c r="R115" s="45">
        <f t="shared" si="53"/>
        <v>1</v>
      </c>
      <c r="S115" s="45">
        <f t="shared" si="53"/>
        <v>1</v>
      </c>
      <c r="T115" s="45">
        <f t="shared" si="53"/>
        <v>1</v>
      </c>
      <c r="U115" s="45">
        <f t="shared" si="53"/>
        <v>0.51881779249624593</v>
      </c>
      <c r="V115" s="45">
        <f t="shared" si="53"/>
        <v>1</v>
      </c>
      <c r="W115" s="45">
        <f t="shared" si="53"/>
        <v>0.74025578754107368</v>
      </c>
      <c r="X115" s="46"/>
      <c r="Y115" s="46"/>
      <c r="Z115" s="46"/>
    </row>
    <row r="116" spans="1:26" ht="15.6">
      <c r="A116" s="825"/>
      <c r="B116" s="879"/>
      <c r="C116" s="966"/>
      <c r="D116" s="951"/>
      <c r="E116" s="23" t="s">
        <v>492</v>
      </c>
      <c r="F116" s="30">
        <f>'Input Sheet'!AH110</f>
        <v>1</v>
      </c>
      <c r="G116" s="30">
        <f>'Input Sheet'!AI110</f>
        <v>0.66697681085847416</v>
      </c>
      <c r="H116" s="30">
        <f>'Input Sheet'!AJ110</f>
        <v>0.66697681085847416</v>
      </c>
      <c r="I116" s="30">
        <f>'Input Sheet'!AK110</f>
        <v>3.3702940643216048</v>
      </c>
      <c r="J116" s="30">
        <f>'Input Sheet'!AL110</f>
        <v>0.66697681085847416</v>
      </c>
      <c r="K116" s="30">
        <f>'Input Sheet'!AM110</f>
        <v>3.3702940643216048</v>
      </c>
      <c r="L116" s="62">
        <v>1</v>
      </c>
      <c r="M116" s="30">
        <f t="shared" si="54"/>
        <v>0.2</v>
      </c>
      <c r="N116" s="29"/>
      <c r="O116" s="29"/>
      <c r="P116" s="29"/>
      <c r="Q116" s="29"/>
      <c r="R116" s="45">
        <f t="shared" si="53"/>
        <v>1</v>
      </c>
      <c r="S116" s="45">
        <f t="shared" si="53"/>
        <v>0.66697681085847416</v>
      </c>
      <c r="T116" s="45">
        <f t="shared" si="53"/>
        <v>0.66697681085847416</v>
      </c>
      <c r="U116" s="45">
        <f t="shared" si="53"/>
        <v>3.3702940643216048</v>
      </c>
      <c r="V116" s="45">
        <f t="shared" si="53"/>
        <v>0.66697681085847416</v>
      </c>
      <c r="W116" s="45">
        <f t="shared" si="53"/>
        <v>3.3702940643216048</v>
      </c>
      <c r="X116" s="46"/>
      <c r="Y116" s="46"/>
      <c r="Z116" s="46"/>
    </row>
    <row r="117" spans="1:26" ht="15.6">
      <c r="A117" s="825"/>
      <c r="B117" s="879"/>
      <c r="C117" s="966"/>
      <c r="D117" s="951"/>
      <c r="E117" s="34" t="s">
        <v>461</v>
      </c>
      <c r="F117" s="30">
        <f>'Input Sheet'!AH111</f>
        <v>1</v>
      </c>
      <c r="G117" s="30">
        <f>'Input Sheet'!AI111</f>
        <v>0.56471812200775884</v>
      </c>
      <c r="H117" s="30">
        <f>'Input Sheet'!AJ111</f>
        <v>0.33591098123916224</v>
      </c>
      <c r="I117" s="30">
        <f>'Input Sheet'!AK111</f>
        <v>0.13533528323661276</v>
      </c>
      <c r="J117" s="30">
        <f>'Input Sheet'!AL111</f>
        <v>1</v>
      </c>
      <c r="K117" s="30">
        <f>'Input Sheet'!AM111</f>
        <v>1</v>
      </c>
      <c r="L117" s="62">
        <v>1</v>
      </c>
      <c r="M117" s="30">
        <f t="shared" si="54"/>
        <v>0.2</v>
      </c>
      <c r="N117" s="29"/>
      <c r="O117" s="29"/>
      <c r="P117" s="29"/>
      <c r="Q117" s="29"/>
      <c r="R117" s="45">
        <f t="shared" si="53"/>
        <v>1</v>
      </c>
      <c r="S117" s="45">
        <f t="shared" si="53"/>
        <v>0.56471812200775884</v>
      </c>
      <c r="T117" s="45">
        <f t="shared" si="53"/>
        <v>0.33591098123916224</v>
      </c>
      <c r="U117" s="45">
        <f t="shared" si="53"/>
        <v>0.13533528323661276</v>
      </c>
      <c r="V117" s="45">
        <f t="shared" si="53"/>
        <v>1</v>
      </c>
      <c r="W117" s="45">
        <f t="shared" si="53"/>
        <v>1</v>
      </c>
      <c r="X117" s="46"/>
      <c r="Y117" s="46"/>
      <c r="Z117" s="46"/>
    </row>
    <row r="118" spans="1:26" ht="15.6">
      <c r="A118" s="825">
        <v>2</v>
      </c>
      <c r="B118" s="879"/>
      <c r="C118" s="966"/>
      <c r="D118" s="951"/>
      <c r="E118" s="23" t="s">
        <v>38</v>
      </c>
      <c r="F118" s="47"/>
      <c r="G118" s="47"/>
      <c r="H118" s="47"/>
      <c r="I118" s="47"/>
      <c r="J118" s="47"/>
      <c r="K118" s="47"/>
      <c r="L118" s="449">
        <f>SUM(L113:L117)</f>
        <v>5</v>
      </c>
      <c r="M118" s="872" t="s">
        <v>493</v>
      </c>
      <c r="N118" s="873"/>
      <c r="O118" s="873"/>
      <c r="P118" s="873"/>
      <c r="Q118" s="874"/>
      <c r="R118" s="45">
        <f t="shared" ref="R118:W118" si="55">SUM(R113:R117)</f>
        <v>5</v>
      </c>
      <c r="S118" s="45">
        <f t="shared" si="55"/>
        <v>4.2733042680470126</v>
      </c>
      <c r="T118" s="45">
        <f t="shared" si="55"/>
        <v>3.5208447906207572</v>
      </c>
      <c r="U118" s="45">
        <f t="shared" si="55"/>
        <v>56.619035442953091</v>
      </c>
      <c r="V118" s="45">
        <f t="shared" si="55"/>
        <v>2.89347051900481</v>
      </c>
      <c r="W118" s="45">
        <f t="shared" si="55"/>
        <v>5.1393133607770665</v>
      </c>
      <c r="X118" s="48"/>
      <c r="Y118" s="48"/>
      <c r="Z118" s="48"/>
    </row>
    <row r="119" spans="1:26" ht="15.6">
      <c r="A119" s="825"/>
      <c r="B119" s="879"/>
      <c r="C119" s="966"/>
      <c r="D119" s="951"/>
      <c r="E119" s="23"/>
      <c r="F119" s="23"/>
      <c r="G119" s="23"/>
      <c r="H119" s="23"/>
      <c r="I119" s="23"/>
      <c r="J119" s="23"/>
      <c r="K119" s="23"/>
      <c r="L119" s="23"/>
      <c r="M119" s="872" t="s">
        <v>494</v>
      </c>
      <c r="N119" s="873"/>
      <c r="O119" s="873"/>
      <c r="P119" s="873"/>
      <c r="Q119" s="874"/>
      <c r="R119" s="45">
        <f t="shared" ref="R119:W119" si="56">R118/SUM($R118:$W118)</f>
        <v>6.4561139908228718E-2</v>
      </c>
      <c r="S119" s="45">
        <f t="shared" si="56"/>
        <v>5.5177878943962824E-2</v>
      </c>
      <c r="T119" s="45">
        <f t="shared" si="56"/>
        <v>4.5461950624484992E-2</v>
      </c>
      <c r="U119" s="45">
        <f t="shared" si="56"/>
        <v>0.73107789374029108</v>
      </c>
      <c r="V119" s="45">
        <f t="shared" si="56"/>
        <v>3.7361150999560944E-2</v>
      </c>
      <c r="W119" s="45">
        <f t="shared" si="56"/>
        <v>6.6359985783471465E-2</v>
      </c>
      <c r="X119" s="17"/>
      <c r="Y119" s="17"/>
      <c r="Z119" s="17"/>
    </row>
    <row r="120" spans="1:26" ht="15.6">
      <c r="A120" s="825"/>
      <c r="B120" s="879"/>
      <c r="C120" s="966"/>
      <c r="D120" s="951"/>
      <c r="E120" s="446"/>
      <c r="F120" s="941"/>
      <c r="G120" s="942"/>
      <c r="H120" s="942"/>
      <c r="I120" s="942"/>
      <c r="J120" s="942"/>
      <c r="K120" s="942"/>
      <c r="L120" s="942"/>
      <c r="M120" s="942"/>
      <c r="N120" s="942"/>
      <c r="O120" s="942"/>
      <c r="P120" s="942"/>
      <c r="Q120" s="942"/>
      <c r="R120" s="942"/>
      <c r="S120" s="942"/>
      <c r="T120" s="942"/>
      <c r="U120" s="942"/>
      <c r="V120" s="942"/>
      <c r="W120" s="943"/>
      <c r="X120" s="17"/>
      <c r="Y120" s="17"/>
      <c r="Z120" s="17"/>
    </row>
    <row r="121" spans="1:26" ht="15.6">
      <c r="A121" s="825"/>
      <c r="B121" s="879"/>
      <c r="C121" s="966"/>
      <c r="D121" s="951"/>
      <c r="E121" s="23"/>
      <c r="F121" s="30">
        <f>'Input Sheet'!AH113</f>
        <v>1</v>
      </c>
      <c r="G121" s="30">
        <f>'Input Sheet'!AI113</f>
        <v>0.85</v>
      </c>
      <c r="H121" s="30">
        <f>'Input Sheet'!AJ113</f>
        <v>0.85</v>
      </c>
      <c r="I121" s="30">
        <f>'Input Sheet'!AK113</f>
        <v>0.9</v>
      </c>
      <c r="J121" s="30">
        <f>'Input Sheet'!AL113</f>
        <v>0.55000000000000004</v>
      </c>
      <c r="K121" s="30">
        <f>'Input Sheet'!AM113</f>
        <v>0.35</v>
      </c>
      <c r="L121" s="23"/>
      <c r="M121" s="957" t="s">
        <v>495</v>
      </c>
      <c r="N121" s="958"/>
      <c r="O121" s="958"/>
      <c r="P121" s="958"/>
      <c r="Q121" s="959"/>
      <c r="R121" s="45">
        <f t="shared" ref="R121:W121" si="57">R119*F121</f>
        <v>6.4561139908228718E-2</v>
      </c>
      <c r="S121" s="45">
        <f t="shared" si="57"/>
        <v>4.6901197102368397E-2</v>
      </c>
      <c r="T121" s="45">
        <f t="shared" si="57"/>
        <v>3.8642658030812245E-2</v>
      </c>
      <c r="U121" s="45">
        <f t="shared" si="57"/>
        <v>0.65797010436626202</v>
      </c>
      <c r="V121" s="45">
        <f t="shared" si="57"/>
        <v>2.054863304975852E-2</v>
      </c>
      <c r="W121" s="45">
        <f t="shared" si="57"/>
        <v>2.3225995024215011E-2</v>
      </c>
      <c r="X121" s="17"/>
      <c r="Y121" s="17"/>
      <c r="Z121" s="17"/>
    </row>
    <row r="122" spans="1:26" ht="15.6" customHeight="1">
      <c r="A122" s="825"/>
      <c r="B122" s="879"/>
      <c r="C122" s="966"/>
      <c r="D122" s="951"/>
      <c r="E122" s="23"/>
      <c r="F122" s="960" t="s">
        <v>923</v>
      </c>
      <c r="G122" s="961"/>
      <c r="H122" s="961"/>
      <c r="I122" s="961"/>
      <c r="J122" s="961"/>
      <c r="K122" s="961"/>
      <c r="L122" s="961"/>
      <c r="M122" s="961"/>
      <c r="N122" s="961"/>
      <c r="O122" s="961"/>
      <c r="P122" s="961"/>
      <c r="Q122" s="962"/>
      <c r="R122" s="45">
        <f>R121</f>
        <v>6.4561139908228718E-2</v>
      </c>
      <c r="S122" s="45">
        <f>S121*'Input Sheet'!AI105/'Input Sheet'!AH105</f>
        <v>0</v>
      </c>
      <c r="T122" s="45">
        <f>T121*'Input Sheet'!AJ105/'Input Sheet'!AH105</f>
        <v>3.8642658030812245E-2</v>
      </c>
      <c r="U122" s="45">
        <f>U121</f>
        <v>0.65797010436626202</v>
      </c>
      <c r="V122" s="45">
        <f>V121</f>
        <v>2.054863304975852E-2</v>
      </c>
      <c r="W122" s="45">
        <f>W121</f>
        <v>2.3225995024215011E-2</v>
      </c>
      <c r="X122" s="17"/>
      <c r="Y122" s="17"/>
      <c r="Z122" s="17"/>
    </row>
    <row r="123" spans="1:26" ht="15.6" customHeight="1">
      <c r="A123" s="825"/>
      <c r="B123" s="879"/>
      <c r="C123" s="966"/>
      <c r="D123" s="951"/>
      <c r="E123" s="23"/>
      <c r="F123" s="963" t="s">
        <v>924</v>
      </c>
      <c r="G123" s="964"/>
      <c r="H123" s="964"/>
      <c r="I123" s="964"/>
      <c r="J123" s="964"/>
      <c r="K123" s="964"/>
      <c r="L123" s="964"/>
      <c r="M123" s="964"/>
      <c r="N123" s="964"/>
      <c r="O123" s="964"/>
      <c r="P123" s="964"/>
      <c r="Q123" s="965"/>
      <c r="R123" s="50">
        <f>R122/(R122+U122+V122+W122+S122+T122)</f>
        <v>8.0205301918880118E-2</v>
      </c>
      <c r="S123" s="50">
        <f>S122/(R122+S122+T122+U122+V122+W122)</f>
        <v>0</v>
      </c>
      <c r="T123" s="50">
        <f>T122/(R122+S122+T122+U122+V122+W122)</f>
        <v>4.8006371305013201E-2</v>
      </c>
      <c r="U123" s="50">
        <f>U122/(R122+U122+V122+W122+S122+T122)</f>
        <v>0.817406429770409</v>
      </c>
      <c r="V123" s="50">
        <f>V122/(R122+U122+V122+W122+S122+T122)</f>
        <v>2.5527884422717553E-2</v>
      </c>
      <c r="W123" s="50">
        <f>W122/(R122+U122+V122+W122+S122+T122)</f>
        <v>2.8854012582980135E-2</v>
      </c>
      <c r="X123" s="17"/>
      <c r="Y123" s="17"/>
      <c r="Z123" s="17"/>
    </row>
    <row r="124" spans="1:26" ht="15.6" customHeight="1">
      <c r="A124" s="825"/>
      <c r="B124" s="880"/>
      <c r="C124" s="966"/>
      <c r="D124" s="951"/>
      <c r="E124" s="23"/>
      <c r="F124" s="963" t="s">
        <v>925</v>
      </c>
      <c r="G124" s="964"/>
      <c r="H124" s="964"/>
      <c r="I124" s="964"/>
      <c r="J124" s="964"/>
      <c r="K124" s="964"/>
      <c r="L124" s="964"/>
      <c r="M124" s="964"/>
      <c r="N124" s="964"/>
      <c r="O124" s="964"/>
      <c r="P124" s="964"/>
      <c r="Q124" s="965"/>
      <c r="R124" s="51">
        <f t="shared" ref="R124:W124" si="58">ROUND($C113*$E$2*R123/100,0)*100</f>
        <v>1800</v>
      </c>
      <c r="S124" s="51">
        <f t="shared" si="58"/>
        <v>0</v>
      </c>
      <c r="T124" s="51">
        <f t="shared" si="58"/>
        <v>1100</v>
      </c>
      <c r="U124" s="51">
        <f t="shared" si="58"/>
        <v>18400</v>
      </c>
      <c r="V124" s="51">
        <f t="shared" si="58"/>
        <v>600</v>
      </c>
      <c r="W124" s="51">
        <f t="shared" si="58"/>
        <v>600</v>
      </c>
      <c r="X124" s="17"/>
      <c r="Y124" s="17"/>
      <c r="Z124" s="17"/>
    </row>
    <row r="125" spans="1:26" ht="15.75" customHeight="1">
      <c r="A125" s="825">
        <v>11</v>
      </c>
      <c r="B125" s="878" t="s">
        <v>637</v>
      </c>
      <c r="C125" s="966">
        <f>Buckets!I13</f>
        <v>7.8218856098197967E-2</v>
      </c>
      <c r="D125" s="951" t="s">
        <v>490</v>
      </c>
      <c r="E125" s="23" t="s">
        <v>457</v>
      </c>
      <c r="F125" s="30">
        <f>'Input Sheet'!AH118</f>
        <v>1</v>
      </c>
      <c r="G125" s="30">
        <f>'Input Sheet'!AI118</f>
        <v>1</v>
      </c>
      <c r="H125" s="30">
        <f>'Input Sheet'!AJ118</f>
        <v>3.1032608139238013E-2</v>
      </c>
      <c r="I125" s="30">
        <f>'Input Sheet'!AK118</f>
        <v>21.160412607176141</v>
      </c>
      <c r="J125" s="30">
        <f>'Input Sheet'!AL118</f>
        <v>3.1032608139238013E-2</v>
      </c>
      <c r="K125" s="30">
        <f>'Input Sheet'!AM118</f>
        <v>2.7366705706935165E-2</v>
      </c>
      <c r="L125" s="62">
        <v>1</v>
      </c>
      <c r="M125" s="30">
        <f>L125/L$34</f>
        <v>0.2</v>
      </c>
      <c r="N125" s="29"/>
      <c r="O125" s="29"/>
      <c r="P125" s="29"/>
      <c r="Q125" s="29"/>
      <c r="R125" s="45">
        <f t="shared" ref="R125:W129" si="59">F125</f>
        <v>1</v>
      </c>
      <c r="S125" s="45">
        <f t="shared" si="59"/>
        <v>1</v>
      </c>
      <c r="T125" s="45">
        <f t="shared" si="59"/>
        <v>3.1032608139238013E-2</v>
      </c>
      <c r="U125" s="45">
        <f t="shared" si="59"/>
        <v>21.160412607176141</v>
      </c>
      <c r="V125" s="45">
        <f t="shared" si="59"/>
        <v>3.1032608139238013E-2</v>
      </c>
      <c r="W125" s="45">
        <f t="shared" si="59"/>
        <v>2.7366705706935165E-2</v>
      </c>
      <c r="X125" s="46"/>
      <c r="Y125" s="46"/>
      <c r="Z125" s="46"/>
    </row>
    <row r="126" spans="1:26" ht="31.2">
      <c r="A126" s="825"/>
      <c r="B126" s="879"/>
      <c r="C126" s="966"/>
      <c r="D126" s="951"/>
      <c r="E126" s="23" t="s">
        <v>491</v>
      </c>
      <c r="F126" s="30">
        <f>'Input Sheet'!AH119</f>
        <v>1</v>
      </c>
      <c r="G126" s="30">
        <f>'Input Sheet'!AI119</f>
        <v>0.59278319539586222</v>
      </c>
      <c r="H126" s="30">
        <f>'Input Sheet'!AJ119</f>
        <v>0.17085135797839654</v>
      </c>
      <c r="I126" s="30">
        <f>'Input Sheet'!AK119</f>
        <v>1.8106955135900611E-2</v>
      </c>
      <c r="J126" s="30">
        <f>'Input Sheet'!AL119</f>
        <v>0.24033035299483835</v>
      </c>
      <c r="K126" s="30">
        <f>'Input Sheet'!AM119</f>
        <v>2.9947533036004037E-3</v>
      </c>
      <c r="L126" s="62">
        <v>1</v>
      </c>
      <c r="M126" s="30">
        <f t="shared" ref="M126:M129" si="60">L126/L$34</f>
        <v>0.2</v>
      </c>
      <c r="N126" s="29"/>
      <c r="O126" s="29"/>
      <c r="P126" s="29"/>
      <c r="Q126" s="29"/>
      <c r="R126" s="45">
        <f t="shared" si="59"/>
        <v>1</v>
      </c>
      <c r="S126" s="45">
        <f t="shared" si="59"/>
        <v>0.59278319539586222</v>
      </c>
      <c r="T126" s="45">
        <f t="shared" si="59"/>
        <v>0.17085135797839654</v>
      </c>
      <c r="U126" s="45">
        <f t="shared" si="59"/>
        <v>1.8106955135900611E-2</v>
      </c>
      <c r="V126" s="45">
        <f t="shared" si="59"/>
        <v>0.24033035299483835</v>
      </c>
      <c r="W126" s="45">
        <f t="shared" si="59"/>
        <v>2.9947533036004037E-3</v>
      </c>
      <c r="X126" s="46"/>
      <c r="Y126" s="46"/>
      <c r="Z126" s="46"/>
    </row>
    <row r="127" spans="1:26" ht="15.6">
      <c r="A127" s="825"/>
      <c r="B127" s="879"/>
      <c r="C127" s="966"/>
      <c r="D127" s="951"/>
      <c r="E127" s="23" t="s">
        <v>459</v>
      </c>
      <c r="F127" s="30">
        <f>'Input Sheet'!AH120</f>
        <v>1</v>
      </c>
      <c r="G127" s="30">
        <f>'Input Sheet'!AI120</f>
        <v>1</v>
      </c>
      <c r="H127" s="30">
        <f>'Input Sheet'!AJ120</f>
        <v>1</v>
      </c>
      <c r="I127" s="30">
        <f>'Input Sheet'!AK120</f>
        <v>0.59333269512305176</v>
      </c>
      <c r="J127" s="30">
        <f>'Input Sheet'!AL120</f>
        <v>1</v>
      </c>
      <c r="K127" s="30">
        <f>'Input Sheet'!AM120</f>
        <v>0.78721805325675964</v>
      </c>
      <c r="L127" s="62">
        <v>1</v>
      </c>
      <c r="M127" s="30">
        <f t="shared" si="60"/>
        <v>0.2</v>
      </c>
      <c r="N127" s="29"/>
      <c r="O127" s="29"/>
      <c r="P127" s="29"/>
      <c r="Q127" s="29"/>
      <c r="R127" s="45">
        <f t="shared" si="59"/>
        <v>1</v>
      </c>
      <c r="S127" s="45">
        <f t="shared" si="59"/>
        <v>1</v>
      </c>
      <c r="T127" s="45">
        <f t="shared" si="59"/>
        <v>1</v>
      </c>
      <c r="U127" s="45">
        <f t="shared" si="59"/>
        <v>0.59333269512305176</v>
      </c>
      <c r="V127" s="45">
        <f t="shared" si="59"/>
        <v>1</v>
      </c>
      <c r="W127" s="45">
        <f t="shared" si="59"/>
        <v>0.78721805325675964</v>
      </c>
      <c r="X127" s="46"/>
      <c r="Y127" s="46"/>
      <c r="Z127" s="46"/>
    </row>
    <row r="128" spans="1:26" ht="15.6">
      <c r="A128" s="825"/>
      <c r="B128" s="879"/>
      <c r="C128" s="966"/>
      <c r="D128" s="951"/>
      <c r="E128" s="23" t="s">
        <v>492</v>
      </c>
      <c r="F128" s="30">
        <f>'Input Sheet'!AH121</f>
        <v>1</v>
      </c>
      <c r="G128" s="30">
        <f>'Input Sheet'!AI121</f>
        <v>0.75201425431938251</v>
      </c>
      <c r="H128" s="30">
        <f>'Input Sheet'!AJ121</f>
        <v>0.75201425431938251</v>
      </c>
      <c r="I128" s="30">
        <f>'Input Sheet'!AK121</f>
        <v>2.3513743805749008</v>
      </c>
      <c r="J128" s="30">
        <f>'Input Sheet'!AL121</f>
        <v>0.75201425431938251</v>
      </c>
      <c r="K128" s="30">
        <f>'Input Sheet'!AM121</f>
        <v>2.3513743805749008</v>
      </c>
      <c r="L128" s="62">
        <v>1</v>
      </c>
      <c r="M128" s="30">
        <f t="shared" si="60"/>
        <v>0.2</v>
      </c>
      <c r="N128" s="29"/>
      <c r="O128" s="29"/>
      <c r="P128" s="29"/>
      <c r="Q128" s="29"/>
      <c r="R128" s="45">
        <f t="shared" si="59"/>
        <v>1</v>
      </c>
      <c r="S128" s="45">
        <f t="shared" si="59"/>
        <v>0.75201425431938251</v>
      </c>
      <c r="T128" s="45">
        <f t="shared" si="59"/>
        <v>0.75201425431938251</v>
      </c>
      <c r="U128" s="45">
        <f t="shared" si="59"/>
        <v>2.3513743805749008</v>
      </c>
      <c r="V128" s="45">
        <f t="shared" si="59"/>
        <v>0.75201425431938251</v>
      </c>
      <c r="W128" s="45">
        <f t="shared" si="59"/>
        <v>2.3513743805749008</v>
      </c>
      <c r="X128" s="46"/>
      <c r="Y128" s="46"/>
      <c r="Z128" s="46"/>
    </row>
    <row r="129" spans="1:26" ht="15.6">
      <c r="A129" s="825"/>
      <c r="B129" s="879"/>
      <c r="C129" s="966"/>
      <c r="D129" s="951"/>
      <c r="E129" s="34" t="s">
        <v>461</v>
      </c>
      <c r="F129" s="30">
        <f>'Input Sheet'!AH122</f>
        <v>1</v>
      </c>
      <c r="G129" s="30">
        <f>'Input Sheet'!AI122</f>
        <v>0.66081212082832619</v>
      </c>
      <c r="H129" s="30">
        <f>'Input Sheet'!AJ122</f>
        <v>0.45343239658718076</v>
      </c>
      <c r="I129" s="30">
        <f>'Input Sheet'!AK122</f>
        <v>0.23457028809379776</v>
      </c>
      <c r="J129" s="30">
        <f>'Input Sheet'!AL122</f>
        <v>1</v>
      </c>
      <c r="K129" s="30">
        <f>'Input Sheet'!AM122</f>
        <v>1</v>
      </c>
      <c r="L129" s="62">
        <v>1</v>
      </c>
      <c r="M129" s="30">
        <f t="shared" si="60"/>
        <v>0.2</v>
      </c>
      <c r="N129" s="29"/>
      <c r="O129" s="29"/>
      <c r="P129" s="29"/>
      <c r="Q129" s="29"/>
      <c r="R129" s="45">
        <f t="shared" si="59"/>
        <v>1</v>
      </c>
      <c r="S129" s="45">
        <f t="shared" si="59"/>
        <v>0.66081212082832619</v>
      </c>
      <c r="T129" s="45">
        <f t="shared" si="59"/>
        <v>0.45343239658718076</v>
      </c>
      <c r="U129" s="45">
        <f t="shared" si="59"/>
        <v>0.23457028809379776</v>
      </c>
      <c r="V129" s="45">
        <f t="shared" si="59"/>
        <v>1</v>
      </c>
      <c r="W129" s="45">
        <f t="shared" si="59"/>
        <v>1</v>
      </c>
      <c r="X129" s="46"/>
      <c r="Y129" s="46"/>
      <c r="Z129" s="46"/>
    </row>
    <row r="130" spans="1:26" ht="15.6">
      <c r="A130" s="825">
        <v>2</v>
      </c>
      <c r="B130" s="879"/>
      <c r="C130" s="966"/>
      <c r="D130" s="951"/>
      <c r="E130" s="23" t="s">
        <v>38</v>
      </c>
      <c r="F130" s="47"/>
      <c r="G130" s="47"/>
      <c r="H130" s="47"/>
      <c r="I130" s="47"/>
      <c r="J130" s="47"/>
      <c r="K130" s="47"/>
      <c r="L130" s="449">
        <f>SUM(L125:L129)</f>
        <v>5</v>
      </c>
      <c r="M130" s="872" t="s">
        <v>493</v>
      </c>
      <c r="N130" s="873"/>
      <c r="O130" s="873"/>
      <c r="P130" s="873"/>
      <c r="Q130" s="874"/>
      <c r="R130" s="45">
        <f t="shared" ref="R130:W130" si="61">SUM(R125:R129)</f>
        <v>5</v>
      </c>
      <c r="S130" s="45">
        <f t="shared" si="61"/>
        <v>4.0056095705435704</v>
      </c>
      <c r="T130" s="45">
        <f t="shared" si="61"/>
        <v>2.4073306170241979</v>
      </c>
      <c r="U130" s="45">
        <f t="shared" si="61"/>
        <v>24.357796926103795</v>
      </c>
      <c r="V130" s="45">
        <f t="shared" si="61"/>
        <v>3.0233772154534591</v>
      </c>
      <c r="W130" s="45">
        <f t="shared" si="61"/>
        <v>4.1689538928421959</v>
      </c>
      <c r="X130" s="48"/>
      <c r="Y130" s="48"/>
      <c r="Z130" s="48"/>
    </row>
    <row r="131" spans="1:26" ht="15.6">
      <c r="A131" s="825"/>
      <c r="B131" s="879"/>
      <c r="C131" s="966"/>
      <c r="D131" s="951"/>
      <c r="E131" s="23"/>
      <c r="F131" s="23"/>
      <c r="G131" s="23"/>
      <c r="H131" s="23"/>
      <c r="I131" s="23"/>
      <c r="J131" s="23"/>
      <c r="K131" s="23"/>
      <c r="L131" s="23"/>
      <c r="M131" s="872" t="s">
        <v>494</v>
      </c>
      <c r="N131" s="873"/>
      <c r="O131" s="873"/>
      <c r="P131" s="873"/>
      <c r="Q131" s="874"/>
      <c r="R131" s="45">
        <f t="shared" ref="R131:W131" si="62">R130/SUM($R130:$W130)</f>
        <v>0.11637902521690659</v>
      </c>
      <c r="S131" s="45">
        <f t="shared" si="62"/>
        <v>9.3233787443874505E-2</v>
      </c>
      <c r="T131" s="45">
        <f t="shared" si="62"/>
        <v>5.6032558116818079E-2</v>
      </c>
      <c r="U131" s="45">
        <f t="shared" si="62"/>
        <v>0.56694733253826468</v>
      </c>
      <c r="V131" s="45">
        <f t="shared" si="62"/>
        <v>7.0371538639495787E-2</v>
      </c>
      <c r="W131" s="45">
        <f t="shared" si="62"/>
        <v>9.7035758044640555E-2</v>
      </c>
      <c r="X131" s="17"/>
      <c r="Y131" s="17"/>
      <c r="Z131" s="17"/>
    </row>
    <row r="132" spans="1:26" ht="15.6">
      <c r="A132" s="825"/>
      <c r="B132" s="879"/>
      <c r="C132" s="966"/>
      <c r="D132" s="951"/>
      <c r="E132" s="446"/>
      <c r="F132" s="941"/>
      <c r="G132" s="942"/>
      <c r="H132" s="942"/>
      <c r="I132" s="942"/>
      <c r="J132" s="942"/>
      <c r="K132" s="942"/>
      <c r="L132" s="942"/>
      <c r="M132" s="942"/>
      <c r="N132" s="942"/>
      <c r="O132" s="942"/>
      <c r="P132" s="942"/>
      <c r="Q132" s="942"/>
      <c r="R132" s="942"/>
      <c r="S132" s="942"/>
      <c r="T132" s="942"/>
      <c r="U132" s="942"/>
      <c r="V132" s="942"/>
      <c r="W132" s="943"/>
      <c r="X132" s="17"/>
      <c r="Y132" s="17"/>
      <c r="Z132" s="17"/>
    </row>
    <row r="133" spans="1:26" ht="15.6">
      <c r="A133" s="825"/>
      <c r="B133" s="879"/>
      <c r="C133" s="966"/>
      <c r="D133" s="951"/>
      <c r="E133" s="23"/>
      <c r="F133" s="30">
        <f>'Input Sheet'!AH124</f>
        <v>1</v>
      </c>
      <c r="G133" s="30">
        <f>'Input Sheet'!AI124</f>
        <v>0.85</v>
      </c>
      <c r="H133" s="30">
        <f>'Input Sheet'!AJ124</f>
        <v>0.85</v>
      </c>
      <c r="I133" s="30">
        <f>'Input Sheet'!AK124</f>
        <v>0.9</v>
      </c>
      <c r="J133" s="30">
        <f>'Input Sheet'!AL124</f>
        <v>0.55000000000000004</v>
      </c>
      <c r="K133" s="30">
        <f>'Input Sheet'!AM124</f>
        <v>0.35</v>
      </c>
      <c r="L133" s="23"/>
      <c r="M133" s="957" t="s">
        <v>495</v>
      </c>
      <c r="N133" s="958"/>
      <c r="O133" s="958"/>
      <c r="P133" s="958"/>
      <c r="Q133" s="959"/>
      <c r="R133" s="45">
        <f t="shared" ref="R133:W133" si="63">R131*F133</f>
        <v>0.11637902521690659</v>
      </c>
      <c r="S133" s="45">
        <f t="shared" si="63"/>
        <v>7.9248719327293327E-2</v>
      </c>
      <c r="T133" s="45">
        <f t="shared" si="63"/>
        <v>4.7627674399295369E-2</v>
      </c>
      <c r="U133" s="45">
        <f t="shared" si="63"/>
        <v>0.51025259928443822</v>
      </c>
      <c r="V133" s="45">
        <f t="shared" si="63"/>
        <v>3.8704346251722685E-2</v>
      </c>
      <c r="W133" s="45">
        <f t="shared" si="63"/>
        <v>3.3962515315624192E-2</v>
      </c>
      <c r="X133" s="17"/>
      <c r="Y133" s="17"/>
      <c r="Z133" s="17"/>
    </row>
    <row r="134" spans="1:26" ht="15.6" customHeight="1">
      <c r="A134" s="825"/>
      <c r="B134" s="879"/>
      <c r="C134" s="966"/>
      <c r="D134" s="951"/>
      <c r="E134" s="23"/>
      <c r="F134" s="960" t="s">
        <v>923</v>
      </c>
      <c r="G134" s="961"/>
      <c r="H134" s="961"/>
      <c r="I134" s="961"/>
      <c r="J134" s="961"/>
      <c r="K134" s="961"/>
      <c r="L134" s="961"/>
      <c r="M134" s="961"/>
      <c r="N134" s="961"/>
      <c r="O134" s="961"/>
      <c r="P134" s="961"/>
      <c r="Q134" s="962"/>
      <c r="R134" s="45">
        <f>R133</f>
        <v>0.11637902521690659</v>
      </c>
      <c r="S134" s="45">
        <f>S133*'Input Sheet'!AI116/'Input Sheet'!AH116</f>
        <v>4.101352753165431E-3</v>
      </c>
      <c r="T134" s="45">
        <f>T133*'Input Sheet'!AJ116/'Input Sheet'!AH116</f>
        <v>4.516280310317157E-2</v>
      </c>
      <c r="U134" s="45">
        <f>U133</f>
        <v>0.51025259928443822</v>
      </c>
      <c r="V134" s="45">
        <f>V133</f>
        <v>3.8704346251722685E-2</v>
      </c>
      <c r="W134" s="45">
        <f>W133</f>
        <v>3.3962515315624192E-2</v>
      </c>
      <c r="X134" s="17"/>
      <c r="Y134" s="17"/>
      <c r="Z134" s="17"/>
    </row>
    <row r="135" spans="1:26" ht="15.6" customHeight="1">
      <c r="A135" s="825"/>
      <c r="B135" s="879"/>
      <c r="C135" s="966"/>
      <c r="D135" s="951"/>
      <c r="E135" s="23"/>
      <c r="F135" s="963" t="s">
        <v>924</v>
      </c>
      <c r="G135" s="964"/>
      <c r="H135" s="964"/>
      <c r="I135" s="964"/>
      <c r="J135" s="964"/>
      <c r="K135" s="964"/>
      <c r="L135" s="964"/>
      <c r="M135" s="964"/>
      <c r="N135" s="964"/>
      <c r="O135" s="964"/>
      <c r="P135" s="964"/>
      <c r="Q135" s="965"/>
      <c r="R135" s="50">
        <f>R134/(R134+U134+V134+W134+S134+T134)</f>
        <v>0.15546998834676332</v>
      </c>
      <c r="S135" s="50">
        <f>S134/(R134+S134+T134+U134+V134+W134)</f>
        <v>5.4789706611837524E-3</v>
      </c>
      <c r="T135" s="50">
        <f>T134/(R134+S134+T134+U134+V134+W134)</f>
        <v>6.033269705662761E-2</v>
      </c>
      <c r="U135" s="50">
        <f>U134/(R134+U134+V134+W134+S134+T134)</f>
        <v>0.68164315276575327</v>
      </c>
      <c r="V135" s="50">
        <f>V134/(R134+U134+V134+W134+S134+T134)</f>
        <v>5.17048862499861E-2</v>
      </c>
      <c r="W135" s="50">
        <f>W134/(R134+U134+V134+W134+S134+T134)</f>
        <v>4.5370304919685883E-2</v>
      </c>
      <c r="X135" s="17"/>
      <c r="Y135" s="17"/>
      <c r="Z135" s="17"/>
    </row>
    <row r="136" spans="1:26" ht="15.6" customHeight="1">
      <c r="A136" s="825"/>
      <c r="B136" s="880"/>
      <c r="C136" s="966"/>
      <c r="D136" s="951"/>
      <c r="E136" s="23"/>
      <c r="F136" s="963" t="s">
        <v>925</v>
      </c>
      <c r="G136" s="964"/>
      <c r="H136" s="964"/>
      <c r="I136" s="964"/>
      <c r="J136" s="964"/>
      <c r="K136" s="964"/>
      <c r="L136" s="964"/>
      <c r="M136" s="964"/>
      <c r="N136" s="964"/>
      <c r="O136" s="964"/>
      <c r="P136" s="964"/>
      <c r="Q136" s="965"/>
      <c r="R136" s="51">
        <f t="shared" ref="R136:W136" si="64">ROUND($C125*$E$2*R135/100,0)*100</f>
        <v>5600</v>
      </c>
      <c r="S136" s="51">
        <f t="shared" si="64"/>
        <v>200</v>
      </c>
      <c r="T136" s="51">
        <f t="shared" si="64"/>
        <v>2200</v>
      </c>
      <c r="U136" s="51">
        <f t="shared" si="64"/>
        <v>24500</v>
      </c>
      <c r="V136" s="51">
        <f t="shared" si="64"/>
        <v>1900</v>
      </c>
      <c r="W136" s="51">
        <f t="shared" si="64"/>
        <v>1600</v>
      </c>
      <c r="X136" s="17"/>
      <c r="Y136" s="17"/>
      <c r="Z136" s="17"/>
    </row>
    <row r="137" spans="1:26" ht="15.75" customHeight="1">
      <c r="A137" s="825">
        <v>12</v>
      </c>
      <c r="B137" s="878" t="s">
        <v>638</v>
      </c>
      <c r="C137" s="966">
        <f>Buckets!I14</f>
        <v>3.1318011665360843E-2</v>
      </c>
      <c r="D137" s="951" t="s">
        <v>490</v>
      </c>
      <c r="E137" s="23" t="s">
        <v>457</v>
      </c>
      <c r="F137" s="30">
        <f>'Input Sheet'!AH129</f>
        <v>1</v>
      </c>
      <c r="G137" s="30">
        <f>'Input Sheet'!AI129</f>
        <v>0.90911160762111942</v>
      </c>
      <c r="H137" s="30">
        <f>'Input Sheet'!AJ129</f>
        <v>0.97127229863825115</v>
      </c>
      <c r="I137" s="30">
        <f>'Input Sheet'!AK129</f>
        <v>1.3023706387486731</v>
      </c>
      <c r="J137" s="30">
        <f>'Input Sheet'!AL129</f>
        <v>3.3640290895820789E-2</v>
      </c>
      <c r="K137" s="30">
        <f>'Input Sheet'!AM129</f>
        <v>1.4794618900649342E-2</v>
      </c>
      <c r="L137" s="62">
        <v>1</v>
      </c>
      <c r="M137" s="30">
        <f>L137/L$34</f>
        <v>0.2</v>
      </c>
      <c r="N137" s="29"/>
      <c r="O137" s="29"/>
      <c r="P137" s="29"/>
      <c r="Q137" s="29"/>
      <c r="R137" s="45">
        <f t="shared" ref="R137:W141" si="65">F137</f>
        <v>1</v>
      </c>
      <c r="S137" s="45">
        <f t="shared" si="65"/>
        <v>0.90911160762111942</v>
      </c>
      <c r="T137" s="45">
        <f t="shared" si="65"/>
        <v>0.97127229863825115</v>
      </c>
      <c r="U137" s="45">
        <f t="shared" si="65"/>
        <v>1.3023706387486731</v>
      </c>
      <c r="V137" s="45">
        <f t="shared" si="65"/>
        <v>3.3640290895820789E-2</v>
      </c>
      <c r="W137" s="45">
        <f t="shared" si="65"/>
        <v>1.4794618900649342E-2</v>
      </c>
      <c r="X137" s="46"/>
      <c r="Y137" s="46"/>
      <c r="Z137" s="46"/>
    </row>
    <row r="138" spans="1:26" ht="31.2">
      <c r="A138" s="825"/>
      <c r="B138" s="879"/>
      <c r="C138" s="966"/>
      <c r="D138" s="951"/>
      <c r="E138" s="23" t="s">
        <v>491</v>
      </c>
      <c r="F138" s="30">
        <f>'Input Sheet'!AH130</f>
        <v>1</v>
      </c>
      <c r="G138" s="30">
        <f>'Input Sheet'!AI130</f>
        <v>0.47454993203977952</v>
      </c>
      <c r="H138" s="30">
        <f>'Input Sheet'!AJ130</f>
        <v>0.2595916485165099</v>
      </c>
      <c r="I138" s="30">
        <f>'Input Sheet'!AK130</f>
        <v>1.049858866987329E-2</v>
      </c>
      <c r="J138" s="30">
        <f>'Input Sheet'!AL130</f>
        <v>0.13845429762112887</v>
      </c>
      <c r="K138" s="30">
        <f>'Input Sheet'!AM130</f>
        <v>1.950618226468602E-3</v>
      </c>
      <c r="L138" s="62">
        <v>1</v>
      </c>
      <c r="M138" s="30">
        <f t="shared" ref="M138:M141" si="66">L138/L$34</f>
        <v>0.2</v>
      </c>
      <c r="N138" s="29"/>
      <c r="O138" s="29"/>
      <c r="P138" s="29"/>
      <c r="Q138" s="29"/>
      <c r="R138" s="45">
        <f t="shared" si="65"/>
        <v>1</v>
      </c>
      <c r="S138" s="45">
        <f t="shared" si="65"/>
        <v>0.47454993203977952</v>
      </c>
      <c r="T138" s="45">
        <f t="shared" si="65"/>
        <v>0.2595916485165099</v>
      </c>
      <c r="U138" s="45">
        <f t="shared" si="65"/>
        <v>1.049858866987329E-2</v>
      </c>
      <c r="V138" s="45">
        <f t="shared" si="65"/>
        <v>0.13845429762112887</v>
      </c>
      <c r="W138" s="45">
        <f t="shared" si="65"/>
        <v>1.950618226468602E-3</v>
      </c>
      <c r="X138" s="46"/>
      <c r="Y138" s="46"/>
      <c r="Z138" s="46"/>
    </row>
    <row r="139" spans="1:26" ht="15.6">
      <c r="A139" s="825"/>
      <c r="B139" s="879"/>
      <c r="C139" s="966"/>
      <c r="D139" s="951"/>
      <c r="E139" s="23" t="s">
        <v>459</v>
      </c>
      <c r="F139" s="30">
        <f>'Input Sheet'!AH131</f>
        <v>1</v>
      </c>
      <c r="G139" s="30">
        <f>'Input Sheet'!AI131</f>
        <v>1</v>
      </c>
      <c r="H139" s="30">
        <f>'Input Sheet'!AJ131</f>
        <v>1</v>
      </c>
      <c r="I139" s="30">
        <f>'Input Sheet'!AK131</f>
        <v>0.24526760348267987</v>
      </c>
      <c r="J139" s="30">
        <f>'Input Sheet'!AL131</f>
        <v>1</v>
      </c>
      <c r="K139" s="30">
        <f>'Input Sheet'!AM131</f>
        <v>0.53129788176043136</v>
      </c>
      <c r="L139" s="62">
        <v>1</v>
      </c>
      <c r="M139" s="30">
        <f t="shared" si="66"/>
        <v>0.2</v>
      </c>
      <c r="N139" s="29"/>
      <c r="O139" s="29"/>
      <c r="P139" s="29"/>
      <c r="Q139" s="29"/>
      <c r="R139" s="45">
        <f t="shared" si="65"/>
        <v>1</v>
      </c>
      <c r="S139" s="45">
        <f t="shared" si="65"/>
        <v>1</v>
      </c>
      <c r="T139" s="45">
        <f t="shared" si="65"/>
        <v>1</v>
      </c>
      <c r="U139" s="45">
        <f t="shared" si="65"/>
        <v>0.24526760348267987</v>
      </c>
      <c r="V139" s="45">
        <f t="shared" si="65"/>
        <v>1</v>
      </c>
      <c r="W139" s="45">
        <f t="shared" si="65"/>
        <v>0.53129788176043136</v>
      </c>
      <c r="X139" s="46"/>
      <c r="Y139" s="46"/>
      <c r="Z139" s="46"/>
    </row>
    <row r="140" spans="1:26" ht="15.6">
      <c r="A140" s="825"/>
      <c r="B140" s="879"/>
      <c r="C140" s="966"/>
      <c r="D140" s="951"/>
      <c r="E140" s="23" t="s">
        <v>492</v>
      </c>
      <c r="F140" s="30">
        <f>'Input Sheet'!AH132</f>
        <v>1</v>
      </c>
      <c r="G140" s="30">
        <f>'Input Sheet'!AI132</f>
        <v>0.83945702076920725</v>
      </c>
      <c r="H140" s="30">
        <f>'Input Sheet'!AJ132</f>
        <v>0.83945702076920725</v>
      </c>
      <c r="I140" s="30">
        <f>'Input Sheet'!AK132</f>
        <v>1.6904588483790908</v>
      </c>
      <c r="J140" s="30">
        <f>'Input Sheet'!AL132</f>
        <v>0.83945702076920725</v>
      </c>
      <c r="K140" s="30">
        <f>'Input Sheet'!AM132</f>
        <v>1.6904588483790908</v>
      </c>
      <c r="L140" s="62">
        <v>1</v>
      </c>
      <c r="M140" s="30">
        <f t="shared" si="66"/>
        <v>0.2</v>
      </c>
      <c r="N140" s="29"/>
      <c r="O140" s="29"/>
      <c r="P140" s="29"/>
      <c r="Q140" s="29"/>
      <c r="R140" s="45">
        <f t="shared" si="65"/>
        <v>1</v>
      </c>
      <c r="S140" s="45">
        <f t="shared" si="65"/>
        <v>0.83945702076920725</v>
      </c>
      <c r="T140" s="45">
        <f t="shared" si="65"/>
        <v>0.83945702076920725</v>
      </c>
      <c r="U140" s="45">
        <f t="shared" si="65"/>
        <v>1.6904588483790908</v>
      </c>
      <c r="V140" s="45">
        <f t="shared" si="65"/>
        <v>0.83945702076920725</v>
      </c>
      <c r="W140" s="45">
        <f t="shared" si="65"/>
        <v>1.6904588483790908</v>
      </c>
      <c r="X140" s="46"/>
      <c r="Y140" s="46"/>
      <c r="Z140" s="46"/>
    </row>
    <row r="141" spans="1:26" ht="15.6">
      <c r="A141" s="825"/>
      <c r="B141" s="879"/>
      <c r="C141" s="966"/>
      <c r="D141" s="951"/>
      <c r="E141" s="34" t="s">
        <v>461</v>
      </c>
      <c r="F141" s="30">
        <f>'Input Sheet'!AH133</f>
        <v>1</v>
      </c>
      <c r="G141" s="30">
        <f>'Input Sheet'!AI133</f>
        <v>0.71653131057378894</v>
      </c>
      <c r="H141" s="30">
        <f>'Input Sheet'!AJ133</f>
        <v>0.52921334150005017</v>
      </c>
      <c r="I141" s="30">
        <f>'Input Sheet'!AK133</f>
        <v>0.31140322391459774</v>
      </c>
      <c r="J141" s="30">
        <f>'Input Sheet'!AL133</f>
        <v>1</v>
      </c>
      <c r="K141" s="30">
        <f>'Input Sheet'!AM133</f>
        <v>1</v>
      </c>
      <c r="L141" s="62">
        <v>1</v>
      </c>
      <c r="M141" s="30">
        <f t="shared" si="66"/>
        <v>0.2</v>
      </c>
      <c r="N141" s="29"/>
      <c r="O141" s="29"/>
      <c r="P141" s="29"/>
      <c r="Q141" s="29"/>
      <c r="R141" s="45">
        <f t="shared" si="65"/>
        <v>1</v>
      </c>
      <c r="S141" s="45">
        <f t="shared" si="65"/>
        <v>0.71653131057378894</v>
      </c>
      <c r="T141" s="45">
        <f t="shared" si="65"/>
        <v>0.52921334150005017</v>
      </c>
      <c r="U141" s="45">
        <f t="shared" si="65"/>
        <v>0.31140322391459774</v>
      </c>
      <c r="V141" s="45">
        <f t="shared" si="65"/>
        <v>1</v>
      </c>
      <c r="W141" s="45">
        <f t="shared" si="65"/>
        <v>1</v>
      </c>
      <c r="X141" s="46"/>
      <c r="Y141" s="46"/>
      <c r="Z141" s="46"/>
    </row>
    <row r="142" spans="1:26" ht="15.6">
      <c r="A142" s="825">
        <v>2</v>
      </c>
      <c r="B142" s="879"/>
      <c r="C142" s="966"/>
      <c r="D142" s="951"/>
      <c r="E142" s="23" t="s">
        <v>38</v>
      </c>
      <c r="F142" s="47"/>
      <c r="G142" s="47"/>
      <c r="H142" s="47"/>
      <c r="I142" s="47"/>
      <c r="J142" s="47"/>
      <c r="K142" s="47"/>
      <c r="L142" s="449">
        <f>SUM(L137:L141)</f>
        <v>5</v>
      </c>
      <c r="M142" s="872" t="s">
        <v>493</v>
      </c>
      <c r="N142" s="873"/>
      <c r="O142" s="873"/>
      <c r="P142" s="873"/>
      <c r="Q142" s="874"/>
      <c r="R142" s="45">
        <f t="shared" ref="R142:W142" si="67">SUM(R137:R141)</f>
        <v>5</v>
      </c>
      <c r="S142" s="45">
        <f t="shared" si="67"/>
        <v>3.939649871003895</v>
      </c>
      <c r="T142" s="45">
        <f t="shared" si="67"/>
        <v>3.5995343094240182</v>
      </c>
      <c r="U142" s="45">
        <f t="shared" si="67"/>
        <v>3.5599989031949151</v>
      </c>
      <c r="V142" s="45">
        <f t="shared" si="67"/>
        <v>3.0115516092861569</v>
      </c>
      <c r="W142" s="45">
        <f t="shared" si="67"/>
        <v>3.23850196726664</v>
      </c>
      <c r="X142" s="48"/>
      <c r="Y142" s="48"/>
      <c r="Z142" s="48"/>
    </row>
    <row r="143" spans="1:26" ht="15.6">
      <c r="A143" s="825"/>
      <c r="B143" s="879"/>
      <c r="C143" s="966"/>
      <c r="D143" s="951"/>
      <c r="E143" s="23"/>
      <c r="F143" s="23"/>
      <c r="G143" s="23"/>
      <c r="H143" s="23"/>
      <c r="I143" s="23"/>
      <c r="J143" s="23"/>
      <c r="K143" s="23"/>
      <c r="L143" s="23"/>
      <c r="M143" s="872" t="s">
        <v>494</v>
      </c>
      <c r="N143" s="873"/>
      <c r="O143" s="873"/>
      <c r="P143" s="873"/>
      <c r="Q143" s="874"/>
      <c r="R143" s="45">
        <f t="shared" ref="R143:W143" si="68">R142/SUM($R142:$W142)</f>
        <v>0.22372128748851453</v>
      </c>
      <c r="S143" s="45">
        <f t="shared" si="68"/>
        <v>0.17627670827899031</v>
      </c>
      <c r="T143" s="45">
        <f t="shared" si="68"/>
        <v>0.16105849001268449</v>
      </c>
      <c r="U143" s="45">
        <f t="shared" si="68"/>
        <v>0.1592895076160932</v>
      </c>
      <c r="V143" s="45">
        <f t="shared" si="68"/>
        <v>0.13474964067352138</v>
      </c>
      <c r="W143" s="45">
        <f t="shared" si="68"/>
        <v>0.14490436593019598</v>
      </c>
      <c r="X143" s="17"/>
      <c r="Y143" s="17"/>
      <c r="Z143" s="17"/>
    </row>
    <row r="144" spans="1:26" ht="15.6">
      <c r="A144" s="825"/>
      <c r="B144" s="879"/>
      <c r="C144" s="966"/>
      <c r="D144" s="951"/>
      <c r="E144" s="446"/>
      <c r="F144" s="941"/>
      <c r="G144" s="942"/>
      <c r="H144" s="942"/>
      <c r="I144" s="942"/>
      <c r="J144" s="942"/>
      <c r="K144" s="942"/>
      <c r="L144" s="942"/>
      <c r="M144" s="942"/>
      <c r="N144" s="942"/>
      <c r="O144" s="942"/>
      <c r="P144" s="942"/>
      <c r="Q144" s="942"/>
      <c r="R144" s="942"/>
      <c r="S144" s="942"/>
      <c r="T144" s="942"/>
      <c r="U144" s="942"/>
      <c r="V144" s="942"/>
      <c r="W144" s="943"/>
      <c r="X144" s="17"/>
      <c r="Y144" s="17"/>
      <c r="Z144" s="17"/>
    </row>
    <row r="145" spans="1:26" ht="15.6">
      <c r="A145" s="825"/>
      <c r="B145" s="879"/>
      <c r="C145" s="966"/>
      <c r="D145" s="951"/>
      <c r="E145" s="23"/>
      <c r="F145" s="30">
        <f>'Input Sheet'!AH135</f>
        <v>1</v>
      </c>
      <c r="G145" s="30">
        <f>'Input Sheet'!AI135</f>
        <v>0.9</v>
      </c>
      <c r="H145" s="30">
        <f>'Input Sheet'!AJ135</f>
        <v>0.75</v>
      </c>
      <c r="I145" s="30">
        <f>'Input Sheet'!AK135</f>
        <v>0.85</v>
      </c>
      <c r="J145" s="30">
        <f>'Input Sheet'!AL135</f>
        <v>0.55000000000000004</v>
      </c>
      <c r="K145" s="30">
        <f>'Input Sheet'!AM135</f>
        <v>0.35</v>
      </c>
      <c r="L145" s="23"/>
      <c r="M145" s="957" t="s">
        <v>495</v>
      </c>
      <c r="N145" s="958"/>
      <c r="O145" s="958"/>
      <c r="P145" s="958"/>
      <c r="Q145" s="959"/>
      <c r="R145" s="45">
        <f t="shared" ref="R145:W145" si="69">R143*F145</f>
        <v>0.22372128748851453</v>
      </c>
      <c r="S145" s="45">
        <f t="shared" si="69"/>
        <v>0.15864903745109127</v>
      </c>
      <c r="T145" s="45">
        <f t="shared" si="69"/>
        <v>0.12079386750951338</v>
      </c>
      <c r="U145" s="45">
        <f t="shared" si="69"/>
        <v>0.13539608147367921</v>
      </c>
      <c r="V145" s="45">
        <f t="shared" si="69"/>
        <v>7.4112302370436769E-2</v>
      </c>
      <c r="W145" s="45">
        <f t="shared" si="69"/>
        <v>5.071652807556859E-2</v>
      </c>
      <c r="X145" s="17"/>
      <c r="Y145" s="17"/>
      <c r="Z145" s="17"/>
    </row>
    <row r="146" spans="1:26" ht="15.6" customHeight="1">
      <c r="A146" s="825"/>
      <c r="B146" s="879"/>
      <c r="C146" s="966"/>
      <c r="D146" s="951"/>
      <c r="E146" s="23"/>
      <c r="F146" s="960" t="s">
        <v>923</v>
      </c>
      <c r="G146" s="961"/>
      <c r="H146" s="961"/>
      <c r="I146" s="961"/>
      <c r="J146" s="961"/>
      <c r="K146" s="961"/>
      <c r="L146" s="961"/>
      <c r="M146" s="961"/>
      <c r="N146" s="961"/>
      <c r="O146" s="961"/>
      <c r="P146" s="961"/>
      <c r="Q146" s="962"/>
      <c r="R146" s="45">
        <f>R145</f>
        <v>0.22372128748851453</v>
      </c>
      <c r="S146" s="45">
        <f>S145*'Input Sheet'!AI127/'Input Sheet'!AH127</f>
        <v>0.1586490374510913</v>
      </c>
      <c r="T146" s="45">
        <f>T145*'Input Sheet'!AJ127/'Input Sheet'!AH127</f>
        <v>0</v>
      </c>
      <c r="U146" s="45">
        <f>U145</f>
        <v>0.13539608147367921</v>
      </c>
      <c r="V146" s="45">
        <f>V145</f>
        <v>7.4112302370436769E-2</v>
      </c>
      <c r="W146" s="45">
        <f>W145</f>
        <v>5.071652807556859E-2</v>
      </c>
      <c r="X146" s="17"/>
      <c r="Y146" s="17"/>
      <c r="Z146" s="17"/>
    </row>
    <row r="147" spans="1:26" ht="15.6" customHeight="1">
      <c r="A147" s="825"/>
      <c r="B147" s="879"/>
      <c r="C147" s="966"/>
      <c r="D147" s="951"/>
      <c r="E147" s="23"/>
      <c r="F147" s="963" t="s">
        <v>924</v>
      </c>
      <c r="G147" s="964"/>
      <c r="H147" s="964"/>
      <c r="I147" s="964"/>
      <c r="J147" s="964"/>
      <c r="K147" s="964"/>
      <c r="L147" s="964"/>
      <c r="M147" s="964"/>
      <c r="N147" s="964"/>
      <c r="O147" s="964"/>
      <c r="P147" s="964"/>
      <c r="Q147" s="965"/>
      <c r="R147" s="50">
        <f>R146/(R146+U146+V146+W146+S146+T146)</f>
        <v>0.3481527323202101</v>
      </c>
      <c r="S147" s="50">
        <f>S146/(R146+S146+T146+U146+V146+W146)</f>
        <v>0.24688797605549451</v>
      </c>
      <c r="T147" s="50">
        <f>T146/(R146+S146+T146+U146+V146+W146)</f>
        <v>0</v>
      </c>
      <c r="U147" s="50">
        <f>U146/(R146+U146+V146+W146+S146+T146)</f>
        <v>0.21070196868472435</v>
      </c>
      <c r="V147" s="50">
        <f>V146/(R146+U146+V146+W146+S146+T146)</f>
        <v>0.11533279134259318</v>
      </c>
      <c r="W147" s="50">
        <f>W146/(R146+U146+V146+W146+S146+T146)</f>
        <v>7.8924531596977945E-2</v>
      </c>
      <c r="X147" s="17"/>
      <c r="Y147" s="17"/>
      <c r="Z147" s="17"/>
    </row>
    <row r="148" spans="1:26" ht="15.6" customHeight="1">
      <c r="A148" s="825"/>
      <c r="B148" s="880"/>
      <c r="C148" s="966"/>
      <c r="D148" s="951"/>
      <c r="E148" s="23"/>
      <c r="F148" s="963" t="s">
        <v>925</v>
      </c>
      <c r="G148" s="964"/>
      <c r="H148" s="964"/>
      <c r="I148" s="964"/>
      <c r="J148" s="964"/>
      <c r="K148" s="964"/>
      <c r="L148" s="964"/>
      <c r="M148" s="964"/>
      <c r="N148" s="964"/>
      <c r="O148" s="964"/>
      <c r="P148" s="964"/>
      <c r="Q148" s="965"/>
      <c r="R148" s="51">
        <f t="shared" ref="R148:W148" si="70">ROUND($C137*$E$2*R147/100,0)*100</f>
        <v>5000</v>
      </c>
      <c r="S148" s="51">
        <f t="shared" si="70"/>
        <v>3600</v>
      </c>
      <c r="T148" s="51">
        <f t="shared" si="70"/>
        <v>0</v>
      </c>
      <c r="U148" s="51">
        <f t="shared" si="70"/>
        <v>3000</v>
      </c>
      <c r="V148" s="51">
        <f t="shared" si="70"/>
        <v>1700</v>
      </c>
      <c r="W148" s="51">
        <f t="shared" si="70"/>
        <v>1100</v>
      </c>
      <c r="X148" s="17"/>
      <c r="Y148" s="17"/>
      <c r="Z148" s="17"/>
    </row>
    <row r="149" spans="1:26" ht="15.75" customHeight="1">
      <c r="A149" s="825">
        <v>13</v>
      </c>
      <c r="B149" s="878" t="s">
        <v>644</v>
      </c>
      <c r="C149" s="966">
        <f>Buckets!I15</f>
        <v>3.0686863410812223E-2</v>
      </c>
      <c r="D149" s="951" t="s">
        <v>490</v>
      </c>
      <c r="E149" s="23" t="s">
        <v>457</v>
      </c>
      <c r="F149" s="30">
        <f>'Input Sheet'!AH140</f>
        <v>1</v>
      </c>
      <c r="G149" s="30">
        <f>'Input Sheet'!AI140</f>
        <v>0.94830441373306551</v>
      </c>
      <c r="H149" s="30">
        <f>'Input Sheet'!AJ140</f>
        <v>1.0450820149108659</v>
      </c>
      <c r="I149" s="30">
        <f>'Input Sheet'!AK140</f>
        <v>2.3107922053186423</v>
      </c>
      <c r="J149" s="30">
        <f>'Input Sheet'!AL140</f>
        <v>3.2556167601032734E-2</v>
      </c>
      <c r="K149" s="30">
        <f>'Input Sheet'!AM140</f>
        <v>1.8961896690820042E-2</v>
      </c>
      <c r="L149" s="62">
        <v>1</v>
      </c>
      <c r="M149" s="30">
        <f>L149/L$34</f>
        <v>0.2</v>
      </c>
      <c r="N149" s="29"/>
      <c r="O149" s="29"/>
      <c r="P149" s="29"/>
      <c r="Q149" s="29"/>
      <c r="R149" s="45">
        <f t="shared" ref="R149:W153" si="71">F149</f>
        <v>1</v>
      </c>
      <c r="S149" s="45">
        <f t="shared" si="71"/>
        <v>0.94830441373306551</v>
      </c>
      <c r="T149" s="45">
        <f t="shared" si="71"/>
        <v>1.0450820149108659</v>
      </c>
      <c r="U149" s="45">
        <f t="shared" si="71"/>
        <v>2.3107922053186423</v>
      </c>
      <c r="V149" s="45">
        <f t="shared" si="71"/>
        <v>3.2556167601032734E-2</v>
      </c>
      <c r="W149" s="45">
        <f t="shared" si="71"/>
        <v>1.8961896690820042E-2</v>
      </c>
      <c r="X149" s="46"/>
      <c r="Y149" s="46"/>
      <c r="Z149" s="46"/>
    </row>
    <row r="150" spans="1:26" ht="31.2">
      <c r="A150" s="825"/>
      <c r="B150" s="879"/>
      <c r="C150" s="966"/>
      <c r="D150" s="951"/>
      <c r="E150" s="23" t="s">
        <v>491</v>
      </c>
      <c r="F150" s="30">
        <f>'Input Sheet'!AH141</f>
        <v>1</v>
      </c>
      <c r="G150" s="30">
        <f>'Input Sheet'!AI141</f>
        <v>0.47454993203977952</v>
      </c>
      <c r="H150" s="30">
        <f>'Input Sheet'!AJ141</f>
        <v>0.2595916485165099</v>
      </c>
      <c r="I150" s="30">
        <f>'Input Sheet'!AK141</f>
        <v>1.049858866987329E-2</v>
      </c>
      <c r="J150" s="30">
        <f>'Input Sheet'!AL141</f>
        <v>0.13845429762112887</v>
      </c>
      <c r="K150" s="30">
        <f>'Input Sheet'!AM141</f>
        <v>1.950618226468602E-3</v>
      </c>
      <c r="L150" s="62">
        <v>1</v>
      </c>
      <c r="M150" s="30">
        <f t="shared" ref="M150:M153" si="72">L150/L$34</f>
        <v>0.2</v>
      </c>
      <c r="N150" s="29"/>
      <c r="O150" s="29"/>
      <c r="P150" s="29"/>
      <c r="Q150" s="29"/>
      <c r="R150" s="45">
        <f t="shared" si="71"/>
        <v>1</v>
      </c>
      <c r="S150" s="45">
        <f t="shared" si="71"/>
        <v>0.47454993203977952</v>
      </c>
      <c r="T150" s="45">
        <f t="shared" si="71"/>
        <v>0.2595916485165099</v>
      </c>
      <c r="U150" s="45">
        <f t="shared" si="71"/>
        <v>1.049858866987329E-2</v>
      </c>
      <c r="V150" s="45">
        <f t="shared" si="71"/>
        <v>0.13845429762112887</v>
      </c>
      <c r="W150" s="45">
        <f t="shared" si="71"/>
        <v>1.950618226468602E-3</v>
      </c>
      <c r="X150" s="46"/>
      <c r="Y150" s="46"/>
      <c r="Z150" s="46"/>
    </row>
    <row r="151" spans="1:26" ht="15.6">
      <c r="A151" s="825"/>
      <c r="B151" s="879"/>
      <c r="C151" s="966"/>
      <c r="D151" s="951"/>
      <c r="E151" s="23" t="s">
        <v>459</v>
      </c>
      <c r="F151" s="30">
        <f>'Input Sheet'!AH142</f>
        <v>1</v>
      </c>
      <c r="G151" s="30">
        <f>'Input Sheet'!AI142</f>
        <v>1</v>
      </c>
      <c r="H151" s="30">
        <f>'Input Sheet'!AJ142</f>
        <v>1</v>
      </c>
      <c r="I151" s="30">
        <f>'Input Sheet'!AK142</f>
        <v>0.24526760348267987</v>
      </c>
      <c r="J151" s="30">
        <f>'Input Sheet'!AL142</f>
        <v>1</v>
      </c>
      <c r="K151" s="30">
        <f>'Input Sheet'!AM142</f>
        <v>0.53129788176043136</v>
      </c>
      <c r="L151" s="62">
        <v>1</v>
      </c>
      <c r="M151" s="30">
        <f t="shared" si="72"/>
        <v>0.2</v>
      </c>
      <c r="N151" s="29"/>
      <c r="O151" s="29"/>
      <c r="P151" s="29"/>
      <c r="Q151" s="29"/>
      <c r="R151" s="45">
        <f t="shared" si="71"/>
        <v>1</v>
      </c>
      <c r="S151" s="45">
        <f t="shared" si="71"/>
        <v>1</v>
      </c>
      <c r="T151" s="45">
        <f t="shared" si="71"/>
        <v>1</v>
      </c>
      <c r="U151" s="45">
        <f t="shared" si="71"/>
        <v>0.24526760348267987</v>
      </c>
      <c r="V151" s="45">
        <f t="shared" si="71"/>
        <v>1</v>
      </c>
      <c r="W151" s="45">
        <f t="shared" si="71"/>
        <v>0.53129788176043136</v>
      </c>
      <c r="X151" s="46"/>
      <c r="Y151" s="46"/>
      <c r="Z151" s="46"/>
    </row>
    <row r="152" spans="1:26" ht="15.6">
      <c r="A152" s="825"/>
      <c r="B152" s="879"/>
      <c r="C152" s="966"/>
      <c r="D152" s="951"/>
      <c r="E152" s="23" t="s">
        <v>492</v>
      </c>
      <c r="F152" s="30">
        <f>'Input Sheet'!AH143</f>
        <v>1</v>
      </c>
      <c r="G152" s="30">
        <f>'Input Sheet'!AI143</f>
        <v>0.83945702076920725</v>
      </c>
      <c r="H152" s="30">
        <f>'Input Sheet'!AJ143</f>
        <v>0.83945702076920725</v>
      </c>
      <c r="I152" s="30">
        <f>'Input Sheet'!AK143</f>
        <v>1.6904588483790908</v>
      </c>
      <c r="J152" s="30">
        <f>'Input Sheet'!AL143</f>
        <v>0.83945702076920725</v>
      </c>
      <c r="K152" s="30">
        <f>'Input Sheet'!AM143</f>
        <v>1.6904588483790908</v>
      </c>
      <c r="L152" s="62">
        <v>1</v>
      </c>
      <c r="M152" s="30">
        <f t="shared" si="72"/>
        <v>0.2</v>
      </c>
      <c r="N152" s="29"/>
      <c r="O152" s="29"/>
      <c r="P152" s="29"/>
      <c r="Q152" s="29"/>
      <c r="R152" s="45">
        <f t="shared" si="71"/>
        <v>1</v>
      </c>
      <c r="S152" s="45">
        <f t="shared" si="71"/>
        <v>0.83945702076920725</v>
      </c>
      <c r="T152" s="45">
        <f t="shared" si="71"/>
        <v>0.83945702076920725</v>
      </c>
      <c r="U152" s="45">
        <f t="shared" si="71"/>
        <v>1.6904588483790908</v>
      </c>
      <c r="V152" s="45">
        <f t="shared" si="71"/>
        <v>0.83945702076920725</v>
      </c>
      <c r="W152" s="45">
        <f t="shared" si="71"/>
        <v>1.6904588483790908</v>
      </c>
      <c r="X152" s="46"/>
      <c r="Y152" s="46"/>
      <c r="Z152" s="46"/>
    </row>
    <row r="153" spans="1:26" ht="15.6">
      <c r="A153" s="825"/>
      <c r="B153" s="879"/>
      <c r="C153" s="966"/>
      <c r="D153" s="951"/>
      <c r="E153" s="34" t="s">
        <v>461</v>
      </c>
      <c r="F153" s="30">
        <f>'Input Sheet'!AH144</f>
        <v>1</v>
      </c>
      <c r="G153" s="30">
        <f>'Input Sheet'!AI144</f>
        <v>0.71653131057378894</v>
      </c>
      <c r="H153" s="30">
        <f>'Input Sheet'!AJ144</f>
        <v>0.52921334150005017</v>
      </c>
      <c r="I153" s="30">
        <f>'Input Sheet'!AK144</f>
        <v>0.31140322391459774</v>
      </c>
      <c r="J153" s="30">
        <f>'Input Sheet'!AL144</f>
        <v>1</v>
      </c>
      <c r="K153" s="30">
        <f>'Input Sheet'!AM144</f>
        <v>1</v>
      </c>
      <c r="L153" s="62">
        <v>1</v>
      </c>
      <c r="M153" s="30">
        <f t="shared" si="72"/>
        <v>0.2</v>
      </c>
      <c r="N153" s="29"/>
      <c r="O153" s="29"/>
      <c r="P153" s="29"/>
      <c r="Q153" s="29"/>
      <c r="R153" s="45">
        <f t="shared" si="71"/>
        <v>1</v>
      </c>
      <c r="S153" s="45">
        <f t="shared" si="71"/>
        <v>0.71653131057378894</v>
      </c>
      <c r="T153" s="45">
        <f t="shared" si="71"/>
        <v>0.52921334150005017</v>
      </c>
      <c r="U153" s="45">
        <f t="shared" si="71"/>
        <v>0.31140322391459774</v>
      </c>
      <c r="V153" s="45">
        <f t="shared" si="71"/>
        <v>1</v>
      </c>
      <c r="W153" s="45">
        <f t="shared" si="71"/>
        <v>1</v>
      </c>
      <c r="X153" s="46"/>
      <c r="Y153" s="46"/>
      <c r="Z153" s="46"/>
    </row>
    <row r="154" spans="1:26" ht="15.6">
      <c r="A154" s="825">
        <v>2</v>
      </c>
      <c r="B154" s="879"/>
      <c r="C154" s="966"/>
      <c r="D154" s="951"/>
      <c r="E154" s="23" t="s">
        <v>38</v>
      </c>
      <c r="F154" s="47"/>
      <c r="G154" s="47"/>
      <c r="H154" s="47"/>
      <c r="I154" s="47"/>
      <c r="J154" s="47"/>
      <c r="K154" s="47"/>
      <c r="L154" s="449">
        <f>SUM(L149:L153)</f>
        <v>5</v>
      </c>
      <c r="M154" s="872" t="s">
        <v>493</v>
      </c>
      <c r="N154" s="873"/>
      <c r="O154" s="873"/>
      <c r="P154" s="873"/>
      <c r="Q154" s="874"/>
      <c r="R154" s="45">
        <f t="shared" ref="R154:W154" si="73">SUM(R149:R153)</f>
        <v>5</v>
      </c>
      <c r="S154" s="45">
        <f t="shared" si="73"/>
        <v>3.9788426771158409</v>
      </c>
      <c r="T154" s="45">
        <f t="shared" si="73"/>
        <v>3.6733440256966334</v>
      </c>
      <c r="U154" s="45">
        <f t="shared" si="73"/>
        <v>4.5684204697648836</v>
      </c>
      <c r="V154" s="45">
        <f t="shared" si="73"/>
        <v>3.0104674859913687</v>
      </c>
      <c r="W154" s="45">
        <f t="shared" si="73"/>
        <v>3.2426692450568106</v>
      </c>
      <c r="X154" s="48"/>
      <c r="Y154" s="48"/>
      <c r="Z154" s="48"/>
    </row>
    <row r="155" spans="1:26" ht="15.6">
      <c r="A155" s="825"/>
      <c r="B155" s="879"/>
      <c r="C155" s="966"/>
      <c r="D155" s="951"/>
      <c r="E155" s="23"/>
      <c r="F155" s="23"/>
      <c r="G155" s="23"/>
      <c r="H155" s="23"/>
      <c r="I155" s="23"/>
      <c r="J155" s="23"/>
      <c r="K155" s="23"/>
      <c r="L155" s="23"/>
      <c r="M155" s="872" t="s">
        <v>494</v>
      </c>
      <c r="N155" s="873"/>
      <c r="O155" s="873"/>
      <c r="P155" s="873"/>
      <c r="Q155" s="874"/>
      <c r="R155" s="45">
        <f t="shared" ref="R155:W155" si="74">R154/SUM($R154:$W154)</f>
        <v>0.21300394264025968</v>
      </c>
      <c r="S155" s="45">
        <f t="shared" si="74"/>
        <v>0.16950183547419997</v>
      </c>
      <c r="T155" s="45">
        <f t="shared" si="74"/>
        <v>0.15648735202948527</v>
      </c>
      <c r="U155" s="45">
        <f t="shared" si="74"/>
        <v>0.1946183143396775</v>
      </c>
      <c r="V155" s="45">
        <f t="shared" si="74"/>
        <v>0.12824828874129446</v>
      </c>
      <c r="W155" s="45">
        <f t="shared" si="74"/>
        <v>0.13814026677508301</v>
      </c>
      <c r="X155" s="17"/>
      <c r="Y155" s="17"/>
      <c r="Z155" s="17"/>
    </row>
    <row r="156" spans="1:26" ht="15.6">
      <c r="A156" s="825"/>
      <c r="B156" s="879"/>
      <c r="C156" s="966"/>
      <c r="D156" s="951"/>
      <c r="E156" s="446"/>
      <c r="F156" s="941"/>
      <c r="G156" s="942"/>
      <c r="H156" s="942"/>
      <c r="I156" s="942"/>
      <c r="J156" s="942"/>
      <c r="K156" s="942"/>
      <c r="L156" s="942"/>
      <c r="M156" s="942"/>
      <c r="N156" s="942"/>
      <c r="O156" s="942"/>
      <c r="P156" s="942"/>
      <c r="Q156" s="942"/>
      <c r="R156" s="942"/>
      <c r="S156" s="942"/>
      <c r="T156" s="942"/>
      <c r="U156" s="942"/>
      <c r="V156" s="942"/>
      <c r="W156" s="943"/>
      <c r="X156" s="17"/>
      <c r="Y156" s="17"/>
      <c r="Z156" s="17"/>
    </row>
    <row r="157" spans="1:26" ht="15.6">
      <c r="A157" s="825"/>
      <c r="B157" s="879"/>
      <c r="C157" s="966"/>
      <c r="D157" s="951"/>
      <c r="E157" s="23"/>
      <c r="F157" s="30">
        <f>'Input Sheet'!AH146</f>
        <v>1</v>
      </c>
      <c r="G157" s="30">
        <f>'Input Sheet'!AI146</f>
        <v>0.9</v>
      </c>
      <c r="H157" s="30">
        <f>'Input Sheet'!AJ146</f>
        <v>0.75</v>
      </c>
      <c r="I157" s="30">
        <f>'Input Sheet'!AK146</f>
        <v>0.85</v>
      </c>
      <c r="J157" s="30">
        <f>'Input Sheet'!AL146</f>
        <v>0.55000000000000004</v>
      </c>
      <c r="K157" s="30">
        <f>'Input Sheet'!AM146</f>
        <v>0.35</v>
      </c>
      <c r="L157" s="23"/>
      <c r="M157" s="957" t="s">
        <v>495</v>
      </c>
      <c r="N157" s="958"/>
      <c r="O157" s="958"/>
      <c r="P157" s="958"/>
      <c r="Q157" s="959"/>
      <c r="R157" s="45">
        <f t="shared" ref="R157:W157" si="75">R155*F157</f>
        <v>0.21300394264025968</v>
      </c>
      <c r="S157" s="45">
        <f t="shared" si="75"/>
        <v>0.15255165192677997</v>
      </c>
      <c r="T157" s="45">
        <f t="shared" si="75"/>
        <v>0.11736551402211395</v>
      </c>
      <c r="U157" s="45">
        <f t="shared" si="75"/>
        <v>0.16542556718872586</v>
      </c>
      <c r="V157" s="45">
        <f t="shared" si="75"/>
        <v>7.0536558807711952E-2</v>
      </c>
      <c r="W157" s="45">
        <f t="shared" si="75"/>
        <v>4.8349093371279052E-2</v>
      </c>
      <c r="X157" s="17"/>
      <c r="Y157" s="17"/>
      <c r="Z157" s="17"/>
    </row>
    <row r="158" spans="1:26" ht="15.6" customHeight="1">
      <c r="A158" s="825"/>
      <c r="B158" s="879"/>
      <c r="C158" s="966"/>
      <c r="D158" s="951"/>
      <c r="E158" s="23"/>
      <c r="F158" s="960" t="s">
        <v>923</v>
      </c>
      <c r="G158" s="961"/>
      <c r="H158" s="961"/>
      <c r="I158" s="961"/>
      <c r="J158" s="961"/>
      <c r="K158" s="961"/>
      <c r="L158" s="961"/>
      <c r="M158" s="961"/>
      <c r="N158" s="961"/>
      <c r="O158" s="961"/>
      <c r="P158" s="961"/>
      <c r="Q158" s="962"/>
      <c r="R158" s="45">
        <f>R157</f>
        <v>0.21300394264025968</v>
      </c>
      <c r="S158" s="45">
        <f>S157*'Input Sheet'!AI138/'Input Sheet'!AH138</f>
        <v>0.15255165192677997</v>
      </c>
      <c r="T158" s="45">
        <f>T157*'Input Sheet'!AJ138/'Input Sheet'!AH138</f>
        <v>0</v>
      </c>
      <c r="U158" s="45">
        <f>U157</f>
        <v>0.16542556718872586</v>
      </c>
      <c r="V158" s="45">
        <f>V157</f>
        <v>7.0536558807711952E-2</v>
      </c>
      <c r="W158" s="45">
        <f>W157</f>
        <v>4.8349093371279052E-2</v>
      </c>
      <c r="X158" s="17"/>
      <c r="Y158" s="17"/>
      <c r="Z158" s="17"/>
    </row>
    <row r="159" spans="1:26" ht="15.6" customHeight="1">
      <c r="A159" s="825"/>
      <c r="B159" s="879"/>
      <c r="C159" s="966"/>
      <c r="D159" s="951"/>
      <c r="E159" s="23"/>
      <c r="F159" s="963" t="s">
        <v>924</v>
      </c>
      <c r="G159" s="964"/>
      <c r="H159" s="964"/>
      <c r="I159" s="964"/>
      <c r="J159" s="964"/>
      <c r="K159" s="964"/>
      <c r="L159" s="964"/>
      <c r="M159" s="964"/>
      <c r="N159" s="964"/>
      <c r="O159" s="964"/>
      <c r="P159" s="964"/>
      <c r="Q159" s="965"/>
      <c r="R159" s="50">
        <f>R158/(R158+U158+V158+W158+S158+T158)</f>
        <v>0.32776553298757033</v>
      </c>
      <c r="S159" s="50">
        <f>S158/(R158+S158+T158+U158+V158+W158)</f>
        <v>0.23474294833294165</v>
      </c>
      <c r="T159" s="50">
        <f>T158/(R158+S158+T158+U158+V158+W158)</f>
        <v>0</v>
      </c>
      <c r="U159" s="50">
        <f>U158/(R158+U158+V158+W158+S158+T158)</f>
        <v>0.25455303093124831</v>
      </c>
      <c r="V159" s="50">
        <f>V158/(R158+U158+V158+W158+S158+T158)</f>
        <v>0.10854002280964832</v>
      </c>
      <c r="W159" s="50">
        <f>W158/(R158+U158+V158+W158+S158+T158)</f>
        <v>7.4398464938591355E-2</v>
      </c>
      <c r="X159" s="17"/>
      <c r="Y159" s="17"/>
      <c r="Z159" s="17"/>
    </row>
    <row r="160" spans="1:26" ht="15.6" customHeight="1">
      <c r="A160" s="825"/>
      <c r="B160" s="880"/>
      <c r="C160" s="966"/>
      <c r="D160" s="951"/>
      <c r="E160" s="23"/>
      <c r="F160" s="963" t="s">
        <v>925</v>
      </c>
      <c r="G160" s="964"/>
      <c r="H160" s="964"/>
      <c r="I160" s="964"/>
      <c r="J160" s="964"/>
      <c r="K160" s="964"/>
      <c r="L160" s="964"/>
      <c r="M160" s="964"/>
      <c r="N160" s="964"/>
      <c r="O160" s="964"/>
      <c r="P160" s="964"/>
      <c r="Q160" s="965"/>
      <c r="R160" s="51">
        <f t="shared" ref="R160:W160" si="76">ROUND($C149*$E$2*R159/100,0)*100</f>
        <v>4600</v>
      </c>
      <c r="S160" s="51">
        <f t="shared" si="76"/>
        <v>3300</v>
      </c>
      <c r="T160" s="51">
        <f t="shared" si="76"/>
        <v>0</v>
      </c>
      <c r="U160" s="51">
        <f t="shared" si="76"/>
        <v>3600</v>
      </c>
      <c r="V160" s="51">
        <f t="shared" si="76"/>
        <v>1500</v>
      </c>
      <c r="W160" s="51">
        <f t="shared" si="76"/>
        <v>1000</v>
      </c>
      <c r="X160" s="17"/>
      <c r="Y160" s="17"/>
      <c r="Z160" s="17"/>
    </row>
    <row r="161" spans="1:26" ht="15.75" customHeight="1">
      <c r="A161" s="825">
        <v>14</v>
      </c>
      <c r="B161" s="878" t="s">
        <v>645</v>
      </c>
      <c r="C161" s="966">
        <f>Buckets!I16</f>
        <v>1.8695046574388439E-2</v>
      </c>
      <c r="D161" s="951" t="s">
        <v>490</v>
      </c>
      <c r="E161" s="23" t="s">
        <v>457</v>
      </c>
      <c r="F161" s="30">
        <f>'Input Sheet'!AH151</f>
        <v>1</v>
      </c>
      <c r="G161" s="30">
        <f>'Input Sheet'!AI151</f>
        <v>1.0005431825073319</v>
      </c>
      <c r="H161" s="30">
        <f>'Input Sheet'!AJ151</f>
        <v>0.78771628820269057</v>
      </c>
      <c r="I161" s="30">
        <f>'Input Sheet'!AK151</f>
        <v>1.1089317356347999</v>
      </c>
      <c r="J161" s="30">
        <f>'Input Sheet'!AL151</f>
        <v>3.8481158379593851E-2</v>
      </c>
      <c r="K161" s="30">
        <f>'Input Sheet'!AM151</f>
        <v>1.7671188810211864E-2</v>
      </c>
      <c r="L161" s="62">
        <v>1</v>
      </c>
      <c r="M161" s="30">
        <f>L161/L$34</f>
        <v>0.2</v>
      </c>
      <c r="N161" s="29"/>
      <c r="O161" s="29"/>
      <c r="P161" s="29"/>
      <c r="Q161" s="29"/>
      <c r="R161" s="45">
        <f t="shared" ref="R161:W165" si="77">F161</f>
        <v>1</v>
      </c>
      <c r="S161" s="45">
        <f t="shared" si="77"/>
        <v>1.0005431825073319</v>
      </c>
      <c r="T161" s="45">
        <f t="shared" si="77"/>
        <v>0.78771628820269057</v>
      </c>
      <c r="U161" s="45">
        <f t="shared" si="77"/>
        <v>1.1089317356347999</v>
      </c>
      <c r="V161" s="45">
        <f t="shared" si="77"/>
        <v>3.8481158379593851E-2</v>
      </c>
      <c r="W161" s="45">
        <f t="shared" si="77"/>
        <v>1.7671188810211864E-2</v>
      </c>
      <c r="X161" s="46"/>
      <c r="Y161" s="46"/>
      <c r="Z161" s="46"/>
    </row>
    <row r="162" spans="1:26" ht="31.2">
      <c r="A162" s="825"/>
      <c r="B162" s="879"/>
      <c r="C162" s="966"/>
      <c r="D162" s="951"/>
      <c r="E162" s="23" t="s">
        <v>491</v>
      </c>
      <c r="F162" s="30">
        <f>'Input Sheet'!AH152</f>
        <v>1</v>
      </c>
      <c r="G162" s="30">
        <f>'Input Sheet'!AI152</f>
        <v>0.52828680056254906</v>
      </c>
      <c r="H162" s="30">
        <f>'Input Sheet'!AJ152</f>
        <v>0.11948657506403448</v>
      </c>
      <c r="I162" s="30">
        <f>'Input Sheet'!AK152</f>
        <v>1.0614977572554368E-2</v>
      </c>
      <c r="J162" s="30">
        <f>'Input Sheet'!AL152</f>
        <v>0.17900011414240594</v>
      </c>
      <c r="K162" s="30">
        <f>'Input Sheet'!AM152</f>
        <v>3.2478464137890737E-3</v>
      </c>
      <c r="L162" s="62">
        <v>1</v>
      </c>
      <c r="M162" s="30">
        <f t="shared" ref="M162:M165" si="78">L162/L$34</f>
        <v>0.2</v>
      </c>
      <c r="N162" s="29"/>
      <c r="O162" s="29"/>
      <c r="P162" s="29"/>
      <c r="Q162" s="29"/>
      <c r="R162" s="45">
        <f t="shared" si="77"/>
        <v>1</v>
      </c>
      <c r="S162" s="45">
        <f t="shared" si="77"/>
        <v>0.52828680056254906</v>
      </c>
      <c r="T162" s="45">
        <f t="shared" si="77"/>
        <v>0.11948657506403448</v>
      </c>
      <c r="U162" s="45">
        <f t="shared" si="77"/>
        <v>1.0614977572554368E-2</v>
      </c>
      <c r="V162" s="45">
        <f t="shared" si="77"/>
        <v>0.17900011414240594</v>
      </c>
      <c r="W162" s="45">
        <f t="shared" si="77"/>
        <v>3.2478464137890737E-3</v>
      </c>
      <c r="X162" s="46"/>
      <c r="Y162" s="46"/>
      <c r="Z162" s="46"/>
    </row>
    <row r="163" spans="1:26" ht="15.6">
      <c r="A163" s="825"/>
      <c r="B163" s="879"/>
      <c r="C163" s="966"/>
      <c r="D163" s="951"/>
      <c r="E163" s="23" t="s">
        <v>459</v>
      </c>
      <c r="F163" s="30">
        <f>'Input Sheet'!AH153</f>
        <v>1</v>
      </c>
      <c r="G163" s="30">
        <f>'Input Sheet'!AI153</f>
        <v>1</v>
      </c>
      <c r="H163" s="30">
        <f>'Input Sheet'!AJ153</f>
        <v>1</v>
      </c>
      <c r="I163" s="30">
        <f>'Input Sheet'!AK153</f>
        <v>0.21828554812642756</v>
      </c>
      <c r="J163" s="30">
        <f>'Input Sheet'!AL153</f>
        <v>1</v>
      </c>
      <c r="K163" s="30">
        <f>'Input Sheet'!AM153</f>
        <v>0.56511179095104691</v>
      </c>
      <c r="L163" s="62">
        <v>1</v>
      </c>
      <c r="M163" s="30">
        <f t="shared" si="78"/>
        <v>0.2</v>
      </c>
      <c r="N163" s="29"/>
      <c r="O163" s="29"/>
      <c r="P163" s="29"/>
      <c r="Q163" s="29"/>
      <c r="R163" s="45">
        <f t="shared" si="77"/>
        <v>1</v>
      </c>
      <c r="S163" s="45">
        <f t="shared" si="77"/>
        <v>1</v>
      </c>
      <c r="T163" s="45">
        <f t="shared" si="77"/>
        <v>1</v>
      </c>
      <c r="U163" s="45">
        <f t="shared" si="77"/>
        <v>0.21828554812642756</v>
      </c>
      <c r="V163" s="45">
        <f t="shared" si="77"/>
        <v>1</v>
      </c>
      <c r="W163" s="45">
        <f t="shared" si="77"/>
        <v>0.56511179095104691</v>
      </c>
      <c r="X163" s="46"/>
      <c r="Y163" s="46"/>
      <c r="Z163" s="46"/>
    </row>
    <row r="164" spans="1:26" ht="15.6">
      <c r="A164" s="825"/>
      <c r="B164" s="879"/>
      <c r="C164" s="966"/>
      <c r="D164" s="951"/>
      <c r="E164" s="23" t="s">
        <v>492</v>
      </c>
      <c r="F164" s="30">
        <f>'Input Sheet'!AH154</f>
        <v>1</v>
      </c>
      <c r="G164" s="30">
        <f>'Input Sheet'!AI154</f>
        <v>0.83945702076920725</v>
      </c>
      <c r="H164" s="30">
        <f>'Input Sheet'!AJ154</f>
        <v>0.83945702076920725</v>
      </c>
      <c r="I164" s="30">
        <f>'Input Sheet'!AK154</f>
        <v>1.6904588483790908</v>
      </c>
      <c r="J164" s="30">
        <f>'Input Sheet'!AL154</f>
        <v>0.83945702076920725</v>
      </c>
      <c r="K164" s="30">
        <f>'Input Sheet'!AM154</f>
        <v>1.6904588483790908</v>
      </c>
      <c r="L164" s="62">
        <v>1</v>
      </c>
      <c r="M164" s="30">
        <f t="shared" si="78"/>
        <v>0.2</v>
      </c>
      <c r="N164" s="29"/>
      <c r="O164" s="29"/>
      <c r="P164" s="29"/>
      <c r="Q164" s="29"/>
      <c r="R164" s="45">
        <f t="shared" si="77"/>
        <v>1</v>
      </c>
      <c r="S164" s="45">
        <f t="shared" si="77"/>
        <v>0.83945702076920725</v>
      </c>
      <c r="T164" s="45">
        <f t="shared" si="77"/>
        <v>0.83945702076920725</v>
      </c>
      <c r="U164" s="45">
        <f t="shared" si="77"/>
        <v>1.6904588483790908</v>
      </c>
      <c r="V164" s="45">
        <f t="shared" si="77"/>
        <v>0.83945702076920725</v>
      </c>
      <c r="W164" s="45">
        <f t="shared" si="77"/>
        <v>1.6904588483790908</v>
      </c>
      <c r="X164" s="46"/>
      <c r="Y164" s="46"/>
      <c r="Z164" s="46"/>
    </row>
    <row r="165" spans="1:26" ht="15.6">
      <c r="A165" s="825"/>
      <c r="B165" s="879"/>
      <c r="C165" s="966"/>
      <c r="D165" s="951"/>
      <c r="E165" s="34" t="s">
        <v>461</v>
      </c>
      <c r="F165" s="30">
        <f>'Input Sheet'!AH155</f>
        <v>1</v>
      </c>
      <c r="G165" s="30">
        <f>'Input Sheet'!AI155</f>
        <v>0.71653131057378894</v>
      </c>
      <c r="H165" s="30">
        <f>'Input Sheet'!AJ155</f>
        <v>0.52921334150005017</v>
      </c>
      <c r="I165" s="30">
        <f>'Input Sheet'!AK155</f>
        <v>0.31140322391459774</v>
      </c>
      <c r="J165" s="30">
        <f>'Input Sheet'!AL155</f>
        <v>1</v>
      </c>
      <c r="K165" s="30">
        <f>'Input Sheet'!AM155</f>
        <v>1</v>
      </c>
      <c r="L165" s="62">
        <v>1</v>
      </c>
      <c r="M165" s="30">
        <f t="shared" si="78"/>
        <v>0.2</v>
      </c>
      <c r="N165" s="29"/>
      <c r="O165" s="29"/>
      <c r="P165" s="29"/>
      <c r="Q165" s="29"/>
      <c r="R165" s="45">
        <f t="shared" si="77"/>
        <v>1</v>
      </c>
      <c r="S165" s="45">
        <f t="shared" si="77"/>
        <v>0.71653131057378894</v>
      </c>
      <c r="T165" s="45">
        <f t="shared" si="77"/>
        <v>0.52921334150005017</v>
      </c>
      <c r="U165" s="45">
        <f t="shared" si="77"/>
        <v>0.31140322391459774</v>
      </c>
      <c r="V165" s="45">
        <f t="shared" si="77"/>
        <v>1</v>
      </c>
      <c r="W165" s="45">
        <f t="shared" si="77"/>
        <v>1</v>
      </c>
      <c r="X165" s="46"/>
      <c r="Y165" s="46"/>
      <c r="Z165" s="46"/>
    </row>
    <row r="166" spans="1:26" ht="15.6">
      <c r="A166" s="825">
        <v>2</v>
      </c>
      <c r="B166" s="879"/>
      <c r="C166" s="966"/>
      <c r="D166" s="951"/>
      <c r="E166" s="23" t="s">
        <v>38</v>
      </c>
      <c r="F166" s="47"/>
      <c r="G166" s="47"/>
      <c r="H166" s="47"/>
      <c r="I166" s="47"/>
      <c r="J166" s="47"/>
      <c r="K166" s="47"/>
      <c r="L166" s="449">
        <f>SUM(L161:L165)</f>
        <v>5</v>
      </c>
      <c r="M166" s="872" t="s">
        <v>493</v>
      </c>
      <c r="N166" s="873"/>
      <c r="O166" s="873"/>
      <c r="P166" s="873"/>
      <c r="Q166" s="874"/>
      <c r="R166" s="45">
        <f t="shared" ref="R166:W166" si="79">SUM(R161:R165)</f>
        <v>5</v>
      </c>
      <c r="S166" s="45">
        <f t="shared" si="79"/>
        <v>4.0848183144128773</v>
      </c>
      <c r="T166" s="45">
        <f t="shared" si="79"/>
        <v>3.2758732255359826</v>
      </c>
      <c r="U166" s="45">
        <f t="shared" si="79"/>
        <v>3.3396943336274707</v>
      </c>
      <c r="V166" s="45">
        <f t="shared" si="79"/>
        <v>3.056938293291207</v>
      </c>
      <c r="W166" s="45">
        <f t="shared" si="79"/>
        <v>3.2764896745541385</v>
      </c>
      <c r="X166" s="48"/>
      <c r="Y166" s="48"/>
      <c r="Z166" s="48"/>
    </row>
    <row r="167" spans="1:26" ht="15.6">
      <c r="A167" s="825"/>
      <c r="B167" s="879"/>
      <c r="C167" s="966"/>
      <c r="D167" s="951"/>
      <c r="E167" s="23"/>
      <c r="F167" s="23"/>
      <c r="G167" s="23"/>
      <c r="H167" s="23"/>
      <c r="I167" s="23"/>
      <c r="J167" s="23"/>
      <c r="K167" s="23"/>
      <c r="L167" s="23"/>
      <c r="M167" s="872" t="s">
        <v>494</v>
      </c>
      <c r="N167" s="873"/>
      <c r="O167" s="873"/>
      <c r="P167" s="873"/>
      <c r="Q167" s="874"/>
      <c r="R167" s="45">
        <f t="shared" ref="R167:W167" si="80">R166/SUM($R166:$W166)</f>
        <v>0.22692394680218408</v>
      </c>
      <c r="S167" s="45">
        <f t="shared" si="80"/>
        <v>0.18538861877528301</v>
      </c>
      <c r="T167" s="45">
        <f t="shared" si="80"/>
        <v>0.14867481631244531</v>
      </c>
      <c r="U167" s="45">
        <f t="shared" si="80"/>
        <v>0.15157132385992717</v>
      </c>
      <c r="V167" s="45">
        <f t="shared" si="80"/>
        <v>0.13873850052887465</v>
      </c>
      <c r="W167" s="45">
        <f t="shared" si="80"/>
        <v>0.14870279372128575</v>
      </c>
      <c r="X167" s="17"/>
      <c r="Y167" s="17"/>
      <c r="Z167" s="17"/>
    </row>
    <row r="168" spans="1:26" ht="15.6">
      <c r="A168" s="825"/>
      <c r="B168" s="879"/>
      <c r="C168" s="966"/>
      <c r="D168" s="951"/>
      <c r="E168" s="446"/>
      <c r="F168" s="941" t="s">
        <v>495</v>
      </c>
      <c r="G168" s="942"/>
      <c r="H168" s="942"/>
      <c r="I168" s="942"/>
      <c r="J168" s="942"/>
      <c r="K168" s="942"/>
      <c r="L168" s="942"/>
      <c r="M168" s="942"/>
      <c r="N168" s="942"/>
      <c r="O168" s="942"/>
      <c r="P168" s="942"/>
      <c r="Q168" s="942"/>
      <c r="R168" s="942"/>
      <c r="S168" s="942"/>
      <c r="T168" s="942"/>
      <c r="U168" s="942"/>
      <c r="V168" s="942"/>
      <c r="W168" s="943"/>
      <c r="X168" s="17"/>
      <c r="Y168" s="17"/>
      <c r="Z168" s="17"/>
    </row>
    <row r="169" spans="1:26" ht="15.6">
      <c r="A169" s="825"/>
      <c r="B169" s="879"/>
      <c r="C169" s="966"/>
      <c r="D169" s="951"/>
      <c r="E169" s="23"/>
      <c r="F169" s="30">
        <f>'Input Sheet'!AH157</f>
        <v>1</v>
      </c>
      <c r="G169" s="30">
        <f>'Input Sheet'!AI157</f>
        <v>0.85</v>
      </c>
      <c r="H169" s="30">
        <f>'Input Sheet'!AJ157</f>
        <v>0.85</v>
      </c>
      <c r="I169" s="30">
        <f>'Input Sheet'!AK157</f>
        <v>0.85</v>
      </c>
      <c r="J169" s="30">
        <f>'Input Sheet'!AL157</f>
        <v>0.55000000000000004</v>
      </c>
      <c r="K169" s="30">
        <f>'Input Sheet'!AM157</f>
        <v>0.35</v>
      </c>
      <c r="L169" s="23"/>
      <c r="M169" s="43"/>
      <c r="N169" s="49"/>
      <c r="O169" s="49"/>
      <c r="P169" s="49"/>
      <c r="Q169" s="49"/>
      <c r="R169" s="45">
        <f t="shared" ref="R169:W169" si="81">R167*F169</f>
        <v>0.22692394680218408</v>
      </c>
      <c r="S169" s="45">
        <f t="shared" si="81"/>
        <v>0.15758032595899055</v>
      </c>
      <c r="T169" s="45">
        <f t="shared" si="81"/>
        <v>0.1263735938655785</v>
      </c>
      <c r="U169" s="45">
        <f t="shared" si="81"/>
        <v>0.12883562528093809</v>
      </c>
      <c r="V169" s="45">
        <f t="shared" si="81"/>
        <v>7.6306175290881059E-2</v>
      </c>
      <c r="W169" s="45">
        <f t="shared" si="81"/>
        <v>5.2045977802450009E-2</v>
      </c>
      <c r="X169" s="17"/>
      <c r="Y169" s="17"/>
      <c r="Z169" s="17"/>
    </row>
    <row r="170" spans="1:26" ht="15.6" customHeight="1">
      <c r="A170" s="825"/>
      <c r="B170" s="879"/>
      <c r="C170" s="966"/>
      <c r="D170" s="951"/>
      <c r="E170" s="23"/>
      <c r="F170" s="960" t="s">
        <v>923</v>
      </c>
      <c r="G170" s="961"/>
      <c r="H170" s="961"/>
      <c r="I170" s="961"/>
      <c r="J170" s="961"/>
      <c r="K170" s="961"/>
      <c r="L170" s="961"/>
      <c r="M170" s="961"/>
      <c r="N170" s="961"/>
      <c r="O170" s="961"/>
      <c r="P170" s="961"/>
      <c r="Q170" s="962"/>
      <c r="R170" s="45">
        <f>R169</f>
        <v>0.22692394680218408</v>
      </c>
      <c r="S170" s="45">
        <f>S169*'Input Sheet'!AI149/'Input Sheet'!AH149</f>
        <v>0.10364712941423709</v>
      </c>
      <c r="T170" s="45">
        <f>T169*'Input Sheet'!AJ149/'Input Sheet'!AH149</f>
        <v>4.3252429099511151E-2</v>
      </c>
      <c r="U170" s="45">
        <f>U169</f>
        <v>0.12883562528093809</v>
      </c>
      <c r="V170" s="45">
        <f>V169</f>
        <v>7.6306175290881059E-2</v>
      </c>
      <c r="W170" s="45">
        <f>W169</f>
        <v>5.2045977802450009E-2</v>
      </c>
      <c r="X170" s="17"/>
      <c r="Y170" s="17"/>
      <c r="Z170" s="17"/>
    </row>
    <row r="171" spans="1:26" ht="15.6" customHeight="1">
      <c r="A171" s="825"/>
      <c r="B171" s="879"/>
      <c r="C171" s="966"/>
      <c r="D171" s="951"/>
      <c r="E171" s="23"/>
      <c r="F171" s="963" t="s">
        <v>924</v>
      </c>
      <c r="G171" s="964"/>
      <c r="H171" s="964"/>
      <c r="I171" s="964"/>
      <c r="J171" s="964"/>
      <c r="K171" s="964"/>
      <c r="L171" s="964"/>
      <c r="M171" s="964"/>
      <c r="N171" s="964"/>
      <c r="O171" s="964"/>
      <c r="P171" s="964"/>
      <c r="Q171" s="965"/>
      <c r="R171" s="50">
        <f>R170/(R170+U170+V170+W170+S170+T170)</f>
        <v>0.35961947538420513</v>
      </c>
      <c r="S171" s="50">
        <f>S170/(R170+S170+T170+U170+V170+W170)</f>
        <v>0.16425558796365872</v>
      </c>
      <c r="T171" s="50">
        <f>T170/(R170+S170+T170+U170+V170+W170)</f>
        <v>6.8544620702450348E-2</v>
      </c>
      <c r="U171" s="50">
        <f>U170/(R170+U170+V170+W170+S170+T170)</f>
        <v>0.20417325111446133</v>
      </c>
      <c r="V171" s="50">
        <f>V170/(R170+U170+V170+W170+S170+T170)</f>
        <v>0.12092679998467984</v>
      </c>
      <c r="W171" s="50">
        <f>W170/(R170+U170+V170+W170+S170+T170)</f>
        <v>8.2480264850544702E-2</v>
      </c>
      <c r="X171" s="17"/>
      <c r="Y171" s="17"/>
      <c r="Z171" s="17"/>
    </row>
    <row r="172" spans="1:26" ht="15.6" customHeight="1">
      <c r="A172" s="825"/>
      <c r="B172" s="880"/>
      <c r="C172" s="966"/>
      <c r="D172" s="951"/>
      <c r="E172" s="23"/>
      <c r="F172" s="963" t="s">
        <v>925</v>
      </c>
      <c r="G172" s="964"/>
      <c r="H172" s="964"/>
      <c r="I172" s="964"/>
      <c r="J172" s="964"/>
      <c r="K172" s="964"/>
      <c r="L172" s="964"/>
      <c r="M172" s="964"/>
      <c r="N172" s="964"/>
      <c r="O172" s="964"/>
      <c r="P172" s="964"/>
      <c r="Q172" s="965"/>
      <c r="R172" s="51">
        <f t="shared" ref="R172:W172" si="82">ROUND($C161*$E$2*R171/100,0)*100</f>
        <v>3100</v>
      </c>
      <c r="S172" s="51">
        <f t="shared" si="82"/>
        <v>1400</v>
      </c>
      <c r="T172" s="51">
        <f t="shared" si="82"/>
        <v>600</v>
      </c>
      <c r="U172" s="51">
        <f t="shared" si="82"/>
        <v>1800</v>
      </c>
      <c r="V172" s="51">
        <f t="shared" si="82"/>
        <v>1000</v>
      </c>
      <c r="W172" s="51">
        <f t="shared" si="82"/>
        <v>700</v>
      </c>
      <c r="X172" s="17"/>
      <c r="Y172" s="17"/>
      <c r="Z172" s="17"/>
    </row>
    <row r="173" spans="1:26" ht="16.350000000000001" customHeight="1">
      <c r="A173" s="454"/>
      <c r="B173" s="454"/>
    </row>
    <row r="174" spans="1:26" ht="15.75" customHeight="1">
      <c r="E174" s="967" t="s">
        <v>497</v>
      </c>
      <c r="F174" s="963" t="s">
        <v>924</v>
      </c>
      <c r="G174" s="964"/>
      <c r="H174" s="964"/>
      <c r="I174" s="964"/>
      <c r="J174" s="964"/>
      <c r="K174" s="964"/>
      <c r="L174" s="964"/>
      <c r="M174" s="964"/>
      <c r="N174" s="964"/>
      <c r="O174" s="964"/>
      <c r="P174" s="964"/>
      <c r="Q174" s="965"/>
      <c r="R174" s="501">
        <f t="shared" ref="R174:W174" si="83">R175/$E$2/100%</f>
        <v>0.23199129488574538</v>
      </c>
      <c r="S174" s="501">
        <f t="shared" si="83"/>
        <v>0.12796517954298151</v>
      </c>
      <c r="T174" s="501">
        <f t="shared" si="83"/>
        <v>2.0457018498367792E-2</v>
      </c>
      <c r="U174" s="501">
        <f t="shared" si="83"/>
        <v>0.4607181719260065</v>
      </c>
      <c r="V174" s="501">
        <f t="shared" si="83"/>
        <v>7.3340587595212184E-2</v>
      </c>
      <c r="W174" s="501">
        <f t="shared" si="83"/>
        <v>8.5092491838955384E-2</v>
      </c>
    </row>
    <row r="175" spans="1:26" ht="15.6" customHeight="1">
      <c r="E175" s="967"/>
      <c r="F175" s="963" t="s">
        <v>925</v>
      </c>
      <c r="G175" s="964"/>
      <c r="H175" s="964"/>
      <c r="I175" s="964"/>
      <c r="J175" s="964"/>
      <c r="K175" s="964"/>
      <c r="L175" s="964"/>
      <c r="M175" s="964"/>
      <c r="N175" s="964"/>
      <c r="O175" s="964"/>
      <c r="P175" s="964"/>
      <c r="Q175" s="965"/>
      <c r="R175" s="54">
        <f t="shared" ref="R175:W175" si="84">R16+R28+R40+R52+R64+R76+R88+R100+R112+R124+R136+R148+R160+R172</f>
        <v>106600</v>
      </c>
      <c r="S175" s="54">
        <f t="shared" si="84"/>
        <v>58800</v>
      </c>
      <c r="T175" s="54">
        <f t="shared" si="84"/>
        <v>9400</v>
      </c>
      <c r="U175" s="54">
        <f t="shared" si="84"/>
        <v>211700</v>
      </c>
      <c r="V175" s="54">
        <f t="shared" si="84"/>
        <v>33700</v>
      </c>
      <c r="W175" s="54">
        <f t="shared" si="84"/>
        <v>39100</v>
      </c>
    </row>
  </sheetData>
  <mergeCells count="170">
    <mergeCell ref="F16:Q16"/>
    <mergeCell ref="A3:A4"/>
    <mergeCell ref="B3:B4"/>
    <mergeCell ref="C3:C4"/>
    <mergeCell ref="D3:D4"/>
    <mergeCell ref="E3:E4"/>
    <mergeCell ref="A5:A16"/>
    <mergeCell ref="B5:B16"/>
    <mergeCell ref="C5:C16"/>
    <mergeCell ref="D5:D16"/>
    <mergeCell ref="B1:F1"/>
    <mergeCell ref="J1:L1"/>
    <mergeCell ref="B2:D2"/>
    <mergeCell ref="I2:L2"/>
    <mergeCell ref="M11:Q11"/>
    <mergeCell ref="F12:W12"/>
    <mergeCell ref="M13:Q13"/>
    <mergeCell ref="F14:Q14"/>
    <mergeCell ref="F15:Q15"/>
    <mergeCell ref="F3:K3"/>
    <mergeCell ref="L3:L4"/>
    <mergeCell ref="M3:M4"/>
    <mergeCell ref="N3:Q3"/>
    <mergeCell ref="R3:W3"/>
    <mergeCell ref="R2:U2"/>
    <mergeCell ref="M10:Q10"/>
    <mergeCell ref="F28:Q28"/>
    <mergeCell ref="A29:A40"/>
    <mergeCell ref="B29:B40"/>
    <mergeCell ref="C29:C40"/>
    <mergeCell ref="D29:D40"/>
    <mergeCell ref="M34:Q34"/>
    <mergeCell ref="M35:Q35"/>
    <mergeCell ref="M37:Q37"/>
    <mergeCell ref="F38:Q38"/>
    <mergeCell ref="F39:Q39"/>
    <mergeCell ref="A17:A28"/>
    <mergeCell ref="B17:B28"/>
    <mergeCell ref="C17:C28"/>
    <mergeCell ref="D17:D28"/>
    <mergeCell ref="M22:Q22"/>
    <mergeCell ref="M23:Q23"/>
    <mergeCell ref="F24:W24"/>
    <mergeCell ref="M25:Q25"/>
    <mergeCell ref="F26:Q26"/>
    <mergeCell ref="F27:Q27"/>
    <mergeCell ref="F40:Q40"/>
    <mergeCell ref="A41:A52"/>
    <mergeCell ref="B41:B52"/>
    <mergeCell ref="C41:C52"/>
    <mergeCell ref="D41:D52"/>
    <mergeCell ref="M46:Q46"/>
    <mergeCell ref="M47:Q47"/>
    <mergeCell ref="F48:W48"/>
    <mergeCell ref="M49:Q49"/>
    <mergeCell ref="F50:Q50"/>
    <mergeCell ref="F51:Q51"/>
    <mergeCell ref="F52:Q52"/>
    <mergeCell ref="A53:A64"/>
    <mergeCell ref="B53:B64"/>
    <mergeCell ref="C53:C64"/>
    <mergeCell ref="D53:D64"/>
    <mergeCell ref="M58:Q58"/>
    <mergeCell ref="M59:Q59"/>
    <mergeCell ref="F60:W60"/>
    <mergeCell ref="M61:Q61"/>
    <mergeCell ref="F62:Q62"/>
    <mergeCell ref="F63:Q63"/>
    <mergeCell ref="F64:Q64"/>
    <mergeCell ref="A65:A76"/>
    <mergeCell ref="B65:B76"/>
    <mergeCell ref="C65:C76"/>
    <mergeCell ref="D65:D76"/>
    <mergeCell ref="M70:Q70"/>
    <mergeCell ref="M71:Q71"/>
    <mergeCell ref="F72:W72"/>
    <mergeCell ref="A89:A100"/>
    <mergeCell ref="B89:B100"/>
    <mergeCell ref="C89:C100"/>
    <mergeCell ref="D89:D100"/>
    <mergeCell ref="M94:Q94"/>
    <mergeCell ref="M73:Q73"/>
    <mergeCell ref="F74:Q74"/>
    <mergeCell ref="F75:Q75"/>
    <mergeCell ref="F76:Q76"/>
    <mergeCell ref="A77:A88"/>
    <mergeCell ref="B77:B88"/>
    <mergeCell ref="C77:C88"/>
    <mergeCell ref="D77:D88"/>
    <mergeCell ref="M82:Q82"/>
    <mergeCell ref="M83:Q83"/>
    <mergeCell ref="M95:Q95"/>
    <mergeCell ref="F96:W96"/>
    <mergeCell ref="M97:Q97"/>
    <mergeCell ref="F98:Q98"/>
    <mergeCell ref="F99:Q99"/>
    <mergeCell ref="F100:Q100"/>
    <mergeCell ref="F84:W84"/>
    <mergeCell ref="M85:Q85"/>
    <mergeCell ref="F86:Q86"/>
    <mergeCell ref="F87:Q87"/>
    <mergeCell ref="F88:Q88"/>
    <mergeCell ref="F112:Q112"/>
    <mergeCell ref="A113:A124"/>
    <mergeCell ref="B113:B124"/>
    <mergeCell ref="C113:C124"/>
    <mergeCell ref="D113:D124"/>
    <mergeCell ref="M118:Q118"/>
    <mergeCell ref="M119:Q119"/>
    <mergeCell ref="F120:W120"/>
    <mergeCell ref="M121:Q121"/>
    <mergeCell ref="F122:Q122"/>
    <mergeCell ref="A101:A112"/>
    <mergeCell ref="B101:B112"/>
    <mergeCell ref="C101:C112"/>
    <mergeCell ref="D101:D112"/>
    <mergeCell ref="M106:Q106"/>
    <mergeCell ref="M107:Q107"/>
    <mergeCell ref="F108:W108"/>
    <mergeCell ref="M109:Q109"/>
    <mergeCell ref="F110:Q110"/>
    <mergeCell ref="F111:Q111"/>
    <mergeCell ref="F123:Q123"/>
    <mergeCell ref="F124:Q124"/>
    <mergeCell ref="A125:A136"/>
    <mergeCell ref="B125:B136"/>
    <mergeCell ref="C125:C136"/>
    <mergeCell ref="D125:D136"/>
    <mergeCell ref="M130:Q130"/>
    <mergeCell ref="M131:Q131"/>
    <mergeCell ref="F132:W132"/>
    <mergeCell ref="M133:Q133"/>
    <mergeCell ref="F134:Q134"/>
    <mergeCell ref="F135:Q135"/>
    <mergeCell ref="F136:Q136"/>
    <mergeCell ref="A137:A148"/>
    <mergeCell ref="B137:B148"/>
    <mergeCell ref="C137:C148"/>
    <mergeCell ref="D137:D148"/>
    <mergeCell ref="M142:Q142"/>
    <mergeCell ref="M143:Q143"/>
    <mergeCell ref="F144:W144"/>
    <mergeCell ref="A161:A172"/>
    <mergeCell ref="B161:B172"/>
    <mergeCell ref="C161:C172"/>
    <mergeCell ref="D161:D172"/>
    <mergeCell ref="M166:Q166"/>
    <mergeCell ref="M145:Q145"/>
    <mergeCell ref="F146:Q146"/>
    <mergeCell ref="F147:Q147"/>
    <mergeCell ref="F148:Q148"/>
    <mergeCell ref="A149:A160"/>
    <mergeCell ref="B149:B160"/>
    <mergeCell ref="C149:C160"/>
    <mergeCell ref="D149:D160"/>
    <mergeCell ref="M154:Q154"/>
    <mergeCell ref="M155:Q155"/>
    <mergeCell ref="M167:Q167"/>
    <mergeCell ref="F168:W168"/>
    <mergeCell ref="F170:Q170"/>
    <mergeCell ref="F171:Q171"/>
    <mergeCell ref="F172:Q172"/>
    <mergeCell ref="E174:E175"/>
    <mergeCell ref="F174:Q174"/>
    <mergeCell ref="F175:Q175"/>
    <mergeCell ref="F156:W156"/>
    <mergeCell ref="M157:Q157"/>
    <mergeCell ref="F158:Q158"/>
    <mergeCell ref="F159:Q159"/>
    <mergeCell ref="F160:Q16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9603-CBD0-46B0-BF60-BEA96E41BCFB}">
  <dimension ref="A1:Z175"/>
  <sheetViews>
    <sheetView zoomScaleNormal="85" workbookViewId="0">
      <pane xSplit="5" ySplit="4" topLeftCell="T161" activePane="bottomRight" state="frozen"/>
      <selection activeCell="R172" sqref="R172"/>
      <selection pane="topRight" activeCell="R172" sqref="R172"/>
      <selection pane="bottomLeft" activeCell="R172" sqref="R172"/>
      <selection pane="bottomRight" activeCell="R172" sqref="R172"/>
    </sheetView>
  </sheetViews>
  <sheetFormatPr defaultRowHeight="14.4"/>
  <cols>
    <col min="1" max="1" width="5.44140625" customWidth="1"/>
    <col min="2" max="3" width="11.109375" customWidth="1"/>
    <col min="4" max="4" width="9.6640625" customWidth="1"/>
    <col min="5" max="5" width="28.44140625" customWidth="1"/>
    <col min="6" max="8" width="9.109375" customWidth="1"/>
    <col min="9" max="12" width="8.109375" customWidth="1"/>
    <col min="13" max="13" width="11.109375" customWidth="1"/>
    <col min="14" max="14" width="9.109375" customWidth="1"/>
    <col min="15" max="17" width="8.109375" customWidth="1"/>
    <col min="18" max="20" width="9.109375" customWidth="1"/>
    <col min="21" max="21" width="9" bestFit="1" customWidth="1"/>
    <col min="22" max="22" width="9.88671875" bestFit="1" customWidth="1"/>
    <col min="23" max="23" width="8.109375" customWidth="1"/>
    <col min="24" max="24" width="2.44140625" customWidth="1"/>
    <col min="25" max="26" width="8.109375" customWidth="1"/>
  </cols>
  <sheetData>
    <row r="1" spans="1:26" ht="18">
      <c r="B1" s="952" t="s">
        <v>951</v>
      </c>
      <c r="C1" s="953"/>
      <c r="D1" s="953"/>
      <c r="E1" s="953"/>
      <c r="F1" s="953"/>
      <c r="G1" s="63"/>
      <c r="H1" s="63"/>
      <c r="J1" s="954" t="s">
        <v>442</v>
      </c>
      <c r="K1" s="954"/>
      <c r="L1" s="954"/>
      <c r="M1" s="41">
        <v>2040</v>
      </c>
    </row>
    <row r="2" spans="1:26" ht="15.75" customHeight="1">
      <c r="A2" s="16"/>
      <c r="B2" s="955" t="s">
        <v>483</v>
      </c>
      <c r="C2" s="955"/>
      <c r="D2" s="955"/>
      <c r="E2" s="42">
        <f>ROUND('AnnualSalesSummary Revised'!T75/100,0)*100</f>
        <v>570500</v>
      </c>
      <c r="F2" s="43"/>
      <c r="G2" s="43"/>
      <c r="H2" s="43"/>
      <c r="I2" s="956" t="s">
        <v>444</v>
      </c>
      <c r="J2" s="956"/>
      <c r="K2" s="956"/>
      <c r="L2" s="956"/>
      <c r="M2" s="43"/>
      <c r="N2" s="44"/>
      <c r="O2" s="44"/>
      <c r="P2" s="44"/>
      <c r="Q2" s="44"/>
      <c r="R2" s="950" t="s">
        <v>484</v>
      </c>
      <c r="S2" s="950"/>
      <c r="T2" s="950"/>
      <c r="U2" s="950"/>
      <c r="V2" s="23"/>
      <c r="W2" s="23"/>
      <c r="X2" s="448"/>
      <c r="Y2" s="448"/>
      <c r="Z2" s="448"/>
    </row>
    <row r="3" spans="1:26" ht="15.6">
      <c r="A3" s="818" t="s">
        <v>1</v>
      </c>
      <c r="B3" s="818" t="s">
        <v>485</v>
      </c>
      <c r="C3" s="822" t="s">
        <v>486</v>
      </c>
      <c r="D3" s="822" t="s">
        <v>170</v>
      </c>
      <c r="E3" s="822" t="s">
        <v>446</v>
      </c>
      <c r="F3" s="818" t="s">
        <v>449</v>
      </c>
      <c r="G3" s="818"/>
      <c r="H3" s="818"/>
      <c r="I3" s="818"/>
      <c r="J3" s="818"/>
      <c r="K3" s="818"/>
      <c r="L3" s="822" t="s">
        <v>487</v>
      </c>
      <c r="M3" s="822" t="s">
        <v>488</v>
      </c>
      <c r="N3" s="941"/>
      <c r="O3" s="942"/>
      <c r="P3" s="942"/>
      <c r="Q3" s="943"/>
      <c r="R3" s="818" t="s">
        <v>489</v>
      </c>
      <c r="S3" s="818"/>
      <c r="T3" s="818"/>
      <c r="U3" s="818"/>
      <c r="V3" s="818"/>
      <c r="W3" s="818"/>
      <c r="X3" s="21"/>
      <c r="Y3" s="21"/>
      <c r="Z3" s="21"/>
    </row>
    <row r="4" spans="1:26" ht="31.2">
      <c r="A4" s="818"/>
      <c r="B4" s="818"/>
      <c r="C4" s="823"/>
      <c r="D4" s="823"/>
      <c r="E4" s="823"/>
      <c r="F4" s="445" t="s">
        <v>178</v>
      </c>
      <c r="G4" s="445" t="s">
        <v>179</v>
      </c>
      <c r="H4" s="445" t="s">
        <v>180</v>
      </c>
      <c r="I4" s="445" t="s">
        <v>182</v>
      </c>
      <c r="J4" s="445" t="s">
        <v>181</v>
      </c>
      <c r="K4" s="445" t="s">
        <v>183</v>
      </c>
      <c r="L4" s="823"/>
      <c r="M4" s="823"/>
      <c r="N4" s="445"/>
      <c r="O4" s="445"/>
      <c r="P4" s="445"/>
      <c r="Q4" s="445"/>
      <c r="R4" s="445" t="s">
        <v>178</v>
      </c>
      <c r="S4" s="445" t="s">
        <v>179</v>
      </c>
      <c r="T4" s="445" t="s">
        <v>180</v>
      </c>
      <c r="U4" s="445" t="s">
        <v>182</v>
      </c>
      <c r="V4" s="445" t="s">
        <v>181</v>
      </c>
      <c r="W4" s="445" t="s">
        <v>183</v>
      </c>
      <c r="X4" s="21"/>
      <c r="Y4" s="21"/>
      <c r="Z4" s="21"/>
    </row>
    <row r="5" spans="1:26" ht="15.75" customHeight="1">
      <c r="A5" s="878">
        <v>1</v>
      </c>
      <c r="B5" s="878" t="s">
        <v>451</v>
      </c>
      <c r="C5" s="966">
        <f>Buckets!N3</f>
        <v>7.0967855014547623E-2</v>
      </c>
      <c r="D5" s="951" t="s">
        <v>490</v>
      </c>
      <c r="E5" s="23" t="s">
        <v>457</v>
      </c>
      <c r="F5" s="30">
        <f>'Input Sheet'!AU8</f>
        <v>1</v>
      </c>
      <c r="G5" s="30">
        <f>'Input Sheet'!AV8</f>
        <v>0.66581939835177473</v>
      </c>
      <c r="H5" s="30">
        <f>'Input Sheet'!AW8</f>
        <v>0.77322442413120929</v>
      </c>
      <c r="I5" s="30">
        <f>'Input Sheet'!AX8</f>
        <v>34.085594550551797</v>
      </c>
      <c r="J5" s="30">
        <f>'Input Sheet'!AY8</f>
        <v>0.16847614052453661</v>
      </c>
      <c r="K5" s="30">
        <f>'Input Sheet'!AZ8</f>
        <v>0.11477770006098534</v>
      </c>
      <c r="L5" s="62">
        <v>1</v>
      </c>
      <c r="M5" s="45">
        <f>L5/L$10</f>
        <v>0.2</v>
      </c>
      <c r="N5" s="29"/>
      <c r="O5" s="29"/>
      <c r="P5" s="29"/>
      <c r="Q5" s="29"/>
      <c r="R5" s="45">
        <f>F5</f>
        <v>1</v>
      </c>
      <c r="S5" s="45">
        <f t="shared" ref="S5:W9" si="0">G5</f>
        <v>0.66581939835177473</v>
      </c>
      <c r="T5" s="45">
        <f t="shared" si="0"/>
        <v>0.77322442413120929</v>
      </c>
      <c r="U5" s="45">
        <f t="shared" si="0"/>
        <v>34.085594550551797</v>
      </c>
      <c r="V5" s="45">
        <f t="shared" si="0"/>
        <v>0.16847614052453661</v>
      </c>
      <c r="W5" s="45">
        <f t="shared" si="0"/>
        <v>0.11477770006098534</v>
      </c>
      <c r="X5" s="46"/>
      <c r="Y5" s="46"/>
      <c r="Z5" s="46"/>
    </row>
    <row r="6" spans="1:26" ht="31.2">
      <c r="A6" s="879"/>
      <c r="B6" s="879"/>
      <c r="C6" s="966"/>
      <c r="D6" s="951"/>
      <c r="E6" s="23" t="s">
        <v>491</v>
      </c>
      <c r="F6" s="30">
        <f>'Input Sheet'!AU9</f>
        <v>1</v>
      </c>
      <c r="G6" s="30">
        <f>'Input Sheet'!AV9</f>
        <v>0.37168668675281302</v>
      </c>
      <c r="H6" s="30">
        <f>'Input Sheet'!AW9</f>
        <v>0.19702456631835219</v>
      </c>
      <c r="I6" s="30">
        <f>'Input Sheet'!AX9</f>
        <v>1.6857206224871132E-2</v>
      </c>
      <c r="J6" s="30">
        <f>'Input Sheet'!AY9</f>
        <v>0.14790311167315387</v>
      </c>
      <c r="K6" s="30">
        <f>'Input Sheet'!AZ9</f>
        <v>1.7158941184839942E-3</v>
      </c>
      <c r="L6" s="62">
        <v>1</v>
      </c>
      <c r="M6" s="45">
        <f>L6/L$10</f>
        <v>0.2</v>
      </c>
      <c r="N6" s="29"/>
      <c r="O6" s="29"/>
      <c r="P6" s="29"/>
      <c r="Q6" s="29"/>
      <c r="R6" s="45">
        <f t="shared" ref="R6:R9" si="1">F6</f>
        <v>1</v>
      </c>
      <c r="S6" s="45">
        <f t="shared" si="0"/>
        <v>0.37168668675281302</v>
      </c>
      <c r="T6" s="45">
        <f t="shared" si="0"/>
        <v>0.19702456631835219</v>
      </c>
      <c r="U6" s="45">
        <f t="shared" si="0"/>
        <v>1.6857206224871132E-2</v>
      </c>
      <c r="V6" s="45">
        <f t="shared" si="0"/>
        <v>0.14790311167315387</v>
      </c>
      <c r="W6" s="45">
        <f t="shared" si="0"/>
        <v>1.7158941184839942E-3</v>
      </c>
      <c r="X6" s="46"/>
      <c r="Y6" s="46"/>
      <c r="Z6" s="46"/>
    </row>
    <row r="7" spans="1:26" ht="15.6">
      <c r="A7" s="879"/>
      <c r="B7" s="879"/>
      <c r="C7" s="966"/>
      <c r="D7" s="951"/>
      <c r="E7" s="23" t="s">
        <v>459</v>
      </c>
      <c r="F7" s="30">
        <f>'Input Sheet'!AU10</f>
        <v>1</v>
      </c>
      <c r="G7" s="30">
        <f>'Input Sheet'!AV10</f>
        <v>1</v>
      </c>
      <c r="H7" s="30">
        <f>'Input Sheet'!AW10</f>
        <v>1</v>
      </c>
      <c r="I7" s="30">
        <f>'Input Sheet'!AX10</f>
        <v>0.19434988020049429</v>
      </c>
      <c r="J7" s="30">
        <f>'Input Sheet'!AY10</f>
        <v>1</v>
      </c>
      <c r="K7" s="30">
        <f>'Input Sheet'!AZ10</f>
        <v>0.39795013462718709</v>
      </c>
      <c r="L7" s="62">
        <v>1</v>
      </c>
      <c r="M7" s="45">
        <f>L7/L$10</f>
        <v>0.2</v>
      </c>
      <c r="N7" s="29"/>
      <c r="O7" s="29"/>
      <c r="P7" s="29"/>
      <c r="Q7" s="29"/>
      <c r="R7" s="45">
        <f t="shared" si="1"/>
        <v>1</v>
      </c>
      <c r="S7" s="45">
        <f t="shared" si="0"/>
        <v>1</v>
      </c>
      <c r="T7" s="45">
        <f t="shared" si="0"/>
        <v>1</v>
      </c>
      <c r="U7" s="45">
        <f t="shared" si="0"/>
        <v>0.19434988020049429</v>
      </c>
      <c r="V7" s="45">
        <f t="shared" si="0"/>
        <v>1</v>
      </c>
      <c r="W7" s="45">
        <f t="shared" si="0"/>
        <v>0.39795013462718709</v>
      </c>
      <c r="X7" s="46"/>
      <c r="Y7" s="46"/>
      <c r="Z7" s="46"/>
    </row>
    <row r="8" spans="1:26" ht="15.6">
      <c r="A8" s="879"/>
      <c r="B8" s="879"/>
      <c r="C8" s="966"/>
      <c r="D8" s="951"/>
      <c r="E8" s="23" t="s">
        <v>492</v>
      </c>
      <c r="F8" s="30">
        <f>'Input Sheet'!AU11</f>
        <v>1</v>
      </c>
      <c r="G8" s="30">
        <f>'Input Sheet'!AV11</f>
        <v>0.66199319669083379</v>
      </c>
      <c r="H8" s="30">
        <f>'Input Sheet'!AW11</f>
        <v>0.66199319669083379</v>
      </c>
      <c r="I8" s="30">
        <f>'Input Sheet'!AX11</f>
        <v>3.4469852208994722</v>
      </c>
      <c r="J8" s="30">
        <f>'Input Sheet'!AY11</f>
        <v>0.66199319669083379</v>
      </c>
      <c r="K8" s="30">
        <f>'Input Sheet'!AZ11</f>
        <v>3.4469852208994722</v>
      </c>
      <c r="L8" s="62">
        <v>1</v>
      </c>
      <c r="M8" s="45">
        <f>L8/L$10</f>
        <v>0.2</v>
      </c>
      <c r="N8" s="29"/>
      <c r="O8" s="29"/>
      <c r="P8" s="29"/>
      <c r="Q8" s="29"/>
      <c r="R8" s="45">
        <f t="shared" si="1"/>
        <v>1</v>
      </c>
      <c r="S8" s="45">
        <f t="shared" si="0"/>
        <v>0.66199319669083379</v>
      </c>
      <c r="T8" s="45">
        <f t="shared" si="0"/>
        <v>0.66199319669083379</v>
      </c>
      <c r="U8" s="45">
        <f t="shared" si="0"/>
        <v>3.4469852208994722</v>
      </c>
      <c r="V8" s="45">
        <f t="shared" si="0"/>
        <v>0.66199319669083379</v>
      </c>
      <c r="W8" s="45">
        <f t="shared" si="0"/>
        <v>3.4469852208994722</v>
      </c>
      <c r="X8" s="46"/>
      <c r="Y8" s="46"/>
      <c r="Z8" s="46"/>
    </row>
    <row r="9" spans="1:26" ht="15.6">
      <c r="A9" s="879"/>
      <c r="B9" s="879"/>
      <c r="C9" s="966"/>
      <c r="D9" s="951"/>
      <c r="E9" s="34" t="s">
        <v>461</v>
      </c>
      <c r="F9" s="30">
        <f>'Input Sheet'!AU12</f>
        <v>1</v>
      </c>
      <c r="G9" s="30">
        <f>'Input Sheet'!AV12</f>
        <v>0.58525110430741201</v>
      </c>
      <c r="H9" s="30">
        <f>'Input Sheet'!AW12</f>
        <v>0.35961283926440357</v>
      </c>
      <c r="I9" s="30">
        <f>'Input Sheet'!AX12</f>
        <v>0.15335496684492853</v>
      </c>
      <c r="J9" s="30">
        <f>'Input Sheet'!AY12</f>
        <v>1</v>
      </c>
      <c r="K9" s="30">
        <f>'Input Sheet'!AZ12</f>
        <v>1</v>
      </c>
      <c r="L9" s="62">
        <v>1</v>
      </c>
      <c r="M9" s="45">
        <f>L9/L$10</f>
        <v>0.2</v>
      </c>
      <c r="N9" s="29"/>
      <c r="O9" s="29"/>
      <c r="P9" s="29"/>
      <c r="Q9" s="29"/>
      <c r="R9" s="45">
        <f t="shared" si="1"/>
        <v>1</v>
      </c>
      <c r="S9" s="45">
        <f t="shared" si="0"/>
        <v>0.58525110430741201</v>
      </c>
      <c r="T9" s="45">
        <f t="shared" si="0"/>
        <v>0.35961283926440357</v>
      </c>
      <c r="U9" s="45">
        <f t="shared" si="0"/>
        <v>0.15335496684492853</v>
      </c>
      <c r="V9" s="45">
        <f t="shared" si="0"/>
        <v>1</v>
      </c>
      <c r="W9" s="45">
        <f t="shared" si="0"/>
        <v>1</v>
      </c>
      <c r="X9" s="46"/>
      <c r="Y9" s="46"/>
      <c r="Z9" s="46"/>
    </row>
    <row r="10" spans="1:26" ht="15.6">
      <c r="A10" s="879"/>
      <c r="B10" s="879"/>
      <c r="C10" s="966"/>
      <c r="D10" s="951"/>
      <c r="E10" s="23" t="s">
        <v>38</v>
      </c>
      <c r="F10" s="47"/>
      <c r="G10" s="47"/>
      <c r="H10" s="47"/>
      <c r="I10" s="47"/>
      <c r="J10" s="47"/>
      <c r="K10" s="47"/>
      <c r="L10" s="62">
        <f>SUM(L5:L9)</f>
        <v>5</v>
      </c>
      <c r="M10" s="872" t="s">
        <v>493</v>
      </c>
      <c r="N10" s="873"/>
      <c r="O10" s="873"/>
      <c r="P10" s="873"/>
      <c r="Q10" s="874"/>
      <c r="R10" s="45">
        <f>SUM(R5:R9)</f>
        <v>5</v>
      </c>
      <c r="S10" s="45">
        <f t="shared" ref="S10:T10" si="2">SUM(S5:S9)</f>
        <v>3.2847503861028335</v>
      </c>
      <c r="T10" s="45">
        <f t="shared" si="2"/>
        <v>2.9918550264047989</v>
      </c>
      <c r="U10" s="45">
        <f>SUM(U5:U9)</f>
        <v>37.897141824721558</v>
      </c>
      <c r="V10" s="45">
        <f>SUM(V5:V9)</f>
        <v>2.9783724488885244</v>
      </c>
      <c r="W10" s="45">
        <f>SUM(W5:W9)</f>
        <v>4.9614289497061286</v>
      </c>
      <c r="X10" s="48"/>
      <c r="Y10" s="48"/>
      <c r="Z10" s="48"/>
    </row>
    <row r="11" spans="1:26" ht="15.6">
      <c r="A11" s="879"/>
      <c r="B11" s="879"/>
      <c r="C11" s="966"/>
      <c r="D11" s="951"/>
      <c r="E11" s="23"/>
      <c r="F11" s="23"/>
      <c r="G11" s="23"/>
      <c r="H11" s="23"/>
      <c r="I11" s="23"/>
      <c r="J11" s="23"/>
      <c r="K11" s="23"/>
      <c r="L11" s="23"/>
      <c r="M11" s="872" t="s">
        <v>494</v>
      </c>
      <c r="N11" s="873"/>
      <c r="O11" s="873"/>
      <c r="P11" s="873"/>
      <c r="Q11" s="874"/>
      <c r="R11" s="45">
        <f>R10/SUM($R10:$W10)</f>
        <v>8.7544901681416529E-2</v>
      </c>
      <c r="S11" s="45">
        <f t="shared" ref="S11:T11" si="3">S10/SUM($R10:$W10)</f>
        <v>5.7512629919873513E-2</v>
      </c>
      <c r="T11" s="45">
        <f t="shared" si="3"/>
        <v>5.2384330826331996E-2</v>
      </c>
      <c r="U11" s="45">
        <f>U10/SUM($R10:$W10)</f>
        <v>0.66354031101038946</v>
      </c>
      <c r="V11" s="45">
        <f>V10/SUM($R10:$W10)</f>
        <v>5.2148264641717131E-2</v>
      </c>
      <c r="W11" s="45">
        <f>W10/SUM($R10:$W10)</f>
        <v>8.6869561920271343E-2</v>
      </c>
      <c r="X11" s="17"/>
      <c r="Y11" s="17"/>
      <c r="Z11" s="17"/>
    </row>
    <row r="12" spans="1:26" ht="15.6">
      <c r="A12" s="879"/>
      <c r="B12" s="879"/>
      <c r="C12" s="966"/>
      <c r="D12" s="951"/>
      <c r="E12" s="23"/>
      <c r="F12" s="941"/>
      <c r="G12" s="942"/>
      <c r="H12" s="942"/>
      <c r="I12" s="942"/>
      <c r="J12" s="942"/>
      <c r="K12" s="942"/>
      <c r="L12" s="942"/>
      <c r="M12" s="942"/>
      <c r="N12" s="942"/>
      <c r="O12" s="942"/>
      <c r="P12" s="942"/>
      <c r="Q12" s="942"/>
      <c r="R12" s="942"/>
      <c r="S12" s="942"/>
      <c r="T12" s="942"/>
      <c r="U12" s="942"/>
      <c r="V12" s="942"/>
      <c r="W12" s="943"/>
      <c r="X12" s="17"/>
      <c r="Y12" s="17"/>
      <c r="Z12" s="17"/>
    </row>
    <row r="13" spans="1:26" ht="15.6">
      <c r="A13" s="879"/>
      <c r="B13" s="879"/>
      <c r="C13" s="966"/>
      <c r="D13" s="951"/>
      <c r="E13" s="23"/>
      <c r="F13" s="30">
        <f>'Input Sheet'!AU14</f>
        <v>1</v>
      </c>
      <c r="G13" s="30">
        <f>'Input Sheet'!AV14</f>
        <v>0.9</v>
      </c>
      <c r="H13" s="30">
        <f>'Input Sheet'!AW14</f>
        <v>0.75</v>
      </c>
      <c r="I13" s="30">
        <f>'Input Sheet'!AX14</f>
        <v>0.9</v>
      </c>
      <c r="J13" s="30">
        <f>'Input Sheet'!AY14</f>
        <v>0.55000000000000004</v>
      </c>
      <c r="K13" s="30">
        <f>'Input Sheet'!AZ14</f>
        <v>0.35</v>
      </c>
      <c r="L13" s="43"/>
      <c r="M13" s="957" t="s">
        <v>495</v>
      </c>
      <c r="N13" s="958"/>
      <c r="O13" s="958"/>
      <c r="P13" s="958"/>
      <c r="Q13" s="959"/>
      <c r="R13" s="45">
        <f>R11*F13</f>
        <v>8.7544901681416529E-2</v>
      </c>
      <c r="S13" s="45">
        <f t="shared" ref="S13:T13" si="4">S11*G13</f>
        <v>5.176136692788616E-2</v>
      </c>
      <c r="T13" s="45">
        <f t="shared" si="4"/>
        <v>3.9288248119749E-2</v>
      </c>
      <c r="U13" s="45">
        <f>U11*I13</f>
        <v>0.59718627990935058</v>
      </c>
      <c r="V13" s="45">
        <f>V11*J13</f>
        <v>2.8681545552944426E-2</v>
      </c>
      <c r="W13" s="45">
        <f>W11*K13</f>
        <v>3.0404346672094969E-2</v>
      </c>
      <c r="X13" s="17"/>
      <c r="Y13" s="17"/>
      <c r="Z13" s="17"/>
    </row>
    <row r="14" spans="1:26" ht="15.6" customHeight="1">
      <c r="A14" s="879"/>
      <c r="B14" s="879"/>
      <c r="C14" s="966"/>
      <c r="D14" s="951"/>
      <c r="E14" s="23"/>
      <c r="F14" s="960" t="s">
        <v>923</v>
      </c>
      <c r="G14" s="961"/>
      <c r="H14" s="961"/>
      <c r="I14" s="961"/>
      <c r="J14" s="961"/>
      <c r="K14" s="961"/>
      <c r="L14" s="961"/>
      <c r="M14" s="961"/>
      <c r="N14" s="961"/>
      <c r="O14" s="961"/>
      <c r="P14" s="961"/>
      <c r="Q14" s="962"/>
      <c r="R14" s="45">
        <f>R13*'Input Sheet'!BH6/'Input Sheet'!$BH6</f>
        <v>8.7544901681416529E-2</v>
      </c>
      <c r="S14" s="45">
        <f>S13*'Input Sheet'!BI6/'Input Sheet'!$BH6</f>
        <v>5.1761366927886153E-2</v>
      </c>
      <c r="T14" s="45">
        <f>T13*'Input Sheet'!BJ6/'Input Sheet'!$BH6</f>
        <v>0</v>
      </c>
      <c r="U14" s="45">
        <f>U13*'Input Sheet'!BK6/'Input Sheet'!$BH6</f>
        <v>0.59718627990935058</v>
      </c>
      <c r="V14" s="45">
        <f>V13*'Input Sheet'!BL6/'Input Sheet'!$BH6</f>
        <v>2.8681545552944426E-2</v>
      </c>
      <c r="W14" s="45">
        <f>W13*'Input Sheet'!BM6/'Input Sheet'!$BH6</f>
        <v>3.0404346672094969E-2</v>
      </c>
      <c r="X14" s="17"/>
      <c r="Y14" s="17"/>
      <c r="Z14" s="17"/>
    </row>
    <row r="15" spans="1:26" ht="15.6" customHeight="1">
      <c r="A15" s="879"/>
      <c r="B15" s="879"/>
      <c r="C15" s="966"/>
      <c r="D15" s="951"/>
      <c r="E15" s="23"/>
      <c r="F15" s="963" t="s">
        <v>924</v>
      </c>
      <c r="G15" s="964"/>
      <c r="H15" s="964"/>
      <c r="I15" s="964"/>
      <c r="J15" s="964"/>
      <c r="K15" s="964"/>
      <c r="L15" s="964"/>
      <c r="M15" s="964"/>
      <c r="N15" s="964"/>
      <c r="O15" s="964"/>
      <c r="P15" s="964"/>
      <c r="Q15" s="965"/>
      <c r="R15" s="50">
        <f>R14/(R14+U14+V14+W14+S14+T14)</f>
        <v>0.11003930875701094</v>
      </c>
      <c r="S15" s="50">
        <f>S14/(R14+S14+T14+U14+V14+W14)</f>
        <v>6.5061299146694493E-2</v>
      </c>
      <c r="T15" s="50">
        <f>T14/(R14+S14+T14+U14+V14+W14)</f>
        <v>0</v>
      </c>
      <c r="U15" s="50">
        <f>U14/(R14+U14+V14+W14+S14+T14)</f>
        <v>0.75063155224657852</v>
      </c>
      <c r="V15" s="50">
        <f>V14/(R14+U14+V14+W14+S14+T14)</f>
        <v>3.605118500462811E-2</v>
      </c>
      <c r="W15" s="50">
        <f>W14/(R14+U14+V14+W14+S14+T14)</f>
        <v>3.8216654845087961E-2</v>
      </c>
      <c r="X15" s="17"/>
      <c r="Y15" s="17"/>
      <c r="Z15" s="17"/>
    </row>
    <row r="16" spans="1:26" ht="15.6" customHeight="1">
      <c r="A16" s="879"/>
      <c r="B16" s="879"/>
      <c r="C16" s="966"/>
      <c r="D16" s="951"/>
      <c r="E16" s="23"/>
      <c r="F16" s="963" t="s">
        <v>925</v>
      </c>
      <c r="G16" s="964"/>
      <c r="H16" s="964"/>
      <c r="I16" s="964"/>
      <c r="J16" s="964"/>
      <c r="K16" s="964"/>
      <c r="L16" s="964"/>
      <c r="M16" s="964"/>
      <c r="N16" s="964"/>
      <c r="O16" s="964"/>
      <c r="P16" s="964"/>
      <c r="Q16" s="965"/>
      <c r="R16" s="51">
        <f t="shared" ref="R16:W16" si="5">ROUND($C5*$E$2*R15/100,0)*100</f>
        <v>4500</v>
      </c>
      <c r="S16" s="51">
        <f t="shared" si="5"/>
        <v>2600</v>
      </c>
      <c r="T16" s="51">
        <f t="shared" si="5"/>
        <v>0</v>
      </c>
      <c r="U16" s="51">
        <f t="shared" si="5"/>
        <v>30400</v>
      </c>
      <c r="V16" s="51">
        <f t="shared" si="5"/>
        <v>1500</v>
      </c>
      <c r="W16" s="51">
        <f t="shared" si="5"/>
        <v>1500</v>
      </c>
      <c r="X16" s="17"/>
      <c r="Y16" s="17"/>
      <c r="Z16" s="17"/>
    </row>
    <row r="17" spans="1:26" ht="15.75" customHeight="1">
      <c r="A17" s="878">
        <v>2</v>
      </c>
      <c r="B17" s="878" t="s">
        <v>465</v>
      </c>
      <c r="C17" s="966">
        <f>Buckets!N4</f>
        <v>6.7094331685771377E-2</v>
      </c>
      <c r="D17" s="951" t="s">
        <v>496</v>
      </c>
      <c r="E17" s="23" t="s">
        <v>457</v>
      </c>
      <c r="F17" s="30">
        <f>'Input Sheet'!AU19</f>
        <v>1</v>
      </c>
      <c r="G17" s="30">
        <f>'Input Sheet'!AV19</f>
        <v>0.81877715510621152</v>
      </c>
      <c r="H17" s="30">
        <f>'Input Sheet'!AW19</f>
        <v>0.87641878152266872</v>
      </c>
      <c r="I17" s="30">
        <f>'Input Sheet'!AX19</f>
        <v>13.764640389950655</v>
      </c>
      <c r="J17" s="30">
        <f>'Input Sheet'!AY19</f>
        <v>0.19250086282876597</v>
      </c>
      <c r="K17" s="30">
        <f>'Input Sheet'!AZ19</f>
        <v>0.144976310807021</v>
      </c>
      <c r="L17" s="62">
        <v>1</v>
      </c>
      <c r="M17" s="30">
        <f>L17/L$22</f>
        <v>0.2</v>
      </c>
      <c r="N17" s="29"/>
      <c r="O17" s="29"/>
      <c r="P17" s="29"/>
      <c r="Q17" s="29"/>
      <c r="R17" s="45">
        <f>F17</f>
        <v>1</v>
      </c>
      <c r="S17" s="45">
        <f t="shared" ref="S17:W21" si="6">G17</f>
        <v>0.81877715510621152</v>
      </c>
      <c r="T17" s="45">
        <f t="shared" si="6"/>
        <v>0.87641878152266872</v>
      </c>
      <c r="U17" s="45">
        <f t="shared" si="6"/>
        <v>13.764640389950655</v>
      </c>
      <c r="V17" s="45">
        <f t="shared" si="6"/>
        <v>0.19250086282876597</v>
      </c>
      <c r="W17" s="45">
        <f t="shared" si="6"/>
        <v>0.144976310807021</v>
      </c>
      <c r="X17" s="46"/>
      <c r="Y17" s="46"/>
      <c r="Z17" s="46"/>
    </row>
    <row r="18" spans="1:26" ht="31.2">
      <c r="A18" s="879"/>
      <c r="B18" s="879"/>
      <c r="C18" s="966"/>
      <c r="D18" s="951"/>
      <c r="E18" s="23" t="s">
        <v>491</v>
      </c>
      <c r="F18" s="30">
        <f>'Input Sheet'!AU20</f>
        <v>1</v>
      </c>
      <c r="G18" s="30">
        <f>'Input Sheet'!AV20</f>
        <v>0.45374689868783785</v>
      </c>
      <c r="H18" s="30">
        <f>'Input Sheet'!AW20</f>
        <v>0.27007139879617714</v>
      </c>
      <c r="I18" s="30">
        <f>'Input Sheet'!AX20</f>
        <v>1.9937371759516952E-2</v>
      </c>
      <c r="J18" s="30">
        <f>'Input Sheet'!AY20</f>
        <v>0.2127625178190832</v>
      </c>
      <c r="K18" s="30">
        <f>'Input Sheet'!AZ20</f>
        <v>3.8910062821434317E-3</v>
      </c>
      <c r="L18" s="62">
        <v>1</v>
      </c>
      <c r="M18" s="30">
        <f t="shared" ref="M18:M21" si="7">L18/L$22</f>
        <v>0.2</v>
      </c>
      <c r="N18" s="29"/>
      <c r="O18" s="29"/>
      <c r="P18" s="29"/>
      <c r="Q18" s="29"/>
      <c r="R18" s="45">
        <f t="shared" ref="R18:R21" si="8">F18</f>
        <v>1</v>
      </c>
      <c r="S18" s="45">
        <f t="shared" si="6"/>
        <v>0.45374689868783785</v>
      </c>
      <c r="T18" s="45">
        <f t="shared" si="6"/>
        <v>0.27007139879617714</v>
      </c>
      <c r="U18" s="45">
        <f t="shared" si="6"/>
        <v>1.9937371759516952E-2</v>
      </c>
      <c r="V18" s="45">
        <f t="shared" si="6"/>
        <v>0.2127625178190832</v>
      </c>
      <c r="W18" s="45">
        <f t="shared" si="6"/>
        <v>3.8910062821434317E-3</v>
      </c>
      <c r="X18" s="46"/>
      <c r="Y18" s="46"/>
      <c r="Z18" s="46"/>
    </row>
    <row r="19" spans="1:26" ht="15.6">
      <c r="A19" s="879"/>
      <c r="B19" s="879"/>
      <c r="C19" s="966"/>
      <c r="D19" s="951"/>
      <c r="E19" s="23" t="s">
        <v>459</v>
      </c>
      <c r="F19" s="30">
        <f>'Input Sheet'!AU21</f>
        <v>1</v>
      </c>
      <c r="G19" s="30">
        <f>'Input Sheet'!AV21</f>
        <v>1</v>
      </c>
      <c r="H19" s="30">
        <f>'Input Sheet'!AW21</f>
        <v>1</v>
      </c>
      <c r="I19" s="30">
        <f>'Input Sheet'!AX21</f>
        <v>0.3225236063732973</v>
      </c>
      <c r="J19" s="30">
        <f>'Input Sheet'!AY21</f>
        <v>1</v>
      </c>
      <c r="K19" s="30">
        <f>'Input Sheet'!AZ21</f>
        <v>0.60096984145352728</v>
      </c>
      <c r="L19" s="62">
        <v>1</v>
      </c>
      <c r="M19" s="30">
        <f t="shared" si="7"/>
        <v>0.2</v>
      </c>
      <c r="N19" s="29"/>
      <c r="O19" s="29"/>
      <c r="P19" s="29"/>
      <c r="Q19" s="29"/>
      <c r="R19" s="45">
        <f t="shared" si="8"/>
        <v>1</v>
      </c>
      <c r="S19" s="45">
        <f t="shared" si="6"/>
        <v>1</v>
      </c>
      <c r="T19" s="45">
        <f t="shared" si="6"/>
        <v>1</v>
      </c>
      <c r="U19" s="45">
        <f t="shared" si="6"/>
        <v>0.3225236063732973</v>
      </c>
      <c r="V19" s="45">
        <f t="shared" si="6"/>
        <v>1</v>
      </c>
      <c r="W19" s="45">
        <f t="shared" si="6"/>
        <v>0.60096984145352728</v>
      </c>
      <c r="X19" s="46"/>
      <c r="Y19" s="46"/>
      <c r="Z19" s="46"/>
    </row>
    <row r="20" spans="1:26" ht="15.6">
      <c r="A20" s="879"/>
      <c r="B20" s="879"/>
      <c r="C20" s="966"/>
      <c r="D20" s="951"/>
      <c r="E20" s="23" t="s">
        <v>492</v>
      </c>
      <c r="F20" s="30">
        <f>'Input Sheet'!AU22</f>
        <v>1</v>
      </c>
      <c r="G20" s="30">
        <f>'Input Sheet'!AV22</f>
        <v>0.66199319669083379</v>
      </c>
      <c r="H20" s="30">
        <f>'Input Sheet'!AW22</f>
        <v>0.66199319669083379</v>
      </c>
      <c r="I20" s="30">
        <f>'Input Sheet'!AX22</f>
        <v>3.4469852208994722</v>
      </c>
      <c r="J20" s="30">
        <f>'Input Sheet'!AY22</f>
        <v>0.66199319669083379</v>
      </c>
      <c r="K20" s="30">
        <f>'Input Sheet'!AZ22</f>
        <v>3.4469852208994722</v>
      </c>
      <c r="L20" s="62">
        <v>1</v>
      </c>
      <c r="M20" s="30">
        <f t="shared" si="7"/>
        <v>0.2</v>
      </c>
      <c r="N20" s="29"/>
      <c r="O20" s="29"/>
      <c r="P20" s="29"/>
      <c r="Q20" s="29"/>
      <c r="R20" s="45">
        <f t="shared" si="8"/>
        <v>1</v>
      </c>
      <c r="S20" s="45">
        <f t="shared" si="6"/>
        <v>0.66199319669083379</v>
      </c>
      <c r="T20" s="45">
        <f t="shared" si="6"/>
        <v>0.66199319669083379</v>
      </c>
      <c r="U20" s="45">
        <f t="shared" si="6"/>
        <v>3.4469852208994722</v>
      </c>
      <c r="V20" s="45">
        <f t="shared" si="6"/>
        <v>0.66199319669083379</v>
      </c>
      <c r="W20" s="45">
        <f t="shared" si="6"/>
        <v>3.4469852208994722</v>
      </c>
      <c r="X20" s="46"/>
      <c r="Y20" s="46"/>
      <c r="Z20" s="46"/>
    </row>
    <row r="21" spans="1:26" ht="15.6">
      <c r="A21" s="879"/>
      <c r="B21" s="879"/>
      <c r="C21" s="966"/>
      <c r="D21" s="951"/>
      <c r="E21" s="34" t="s">
        <v>461</v>
      </c>
      <c r="F21" s="30">
        <f>'Input Sheet'!AU23</f>
        <v>1</v>
      </c>
      <c r="G21" s="30">
        <f>'Input Sheet'!AV23</f>
        <v>0.58525110430741201</v>
      </c>
      <c r="H21" s="30">
        <f>'Input Sheet'!AW23</f>
        <v>0.35961283926440357</v>
      </c>
      <c r="I21" s="30">
        <f>'Input Sheet'!AX23</f>
        <v>0.15335496684492853</v>
      </c>
      <c r="J21" s="30">
        <f>'Input Sheet'!AY23</f>
        <v>1</v>
      </c>
      <c r="K21" s="30">
        <f>'Input Sheet'!AZ23</f>
        <v>1</v>
      </c>
      <c r="L21" s="62">
        <v>1</v>
      </c>
      <c r="M21" s="30">
        <f t="shared" si="7"/>
        <v>0.2</v>
      </c>
      <c r="N21" s="29"/>
      <c r="O21" s="29"/>
      <c r="P21" s="29"/>
      <c r="Q21" s="29"/>
      <c r="R21" s="45">
        <f t="shared" si="8"/>
        <v>1</v>
      </c>
      <c r="S21" s="45">
        <f t="shared" si="6"/>
        <v>0.58525110430741201</v>
      </c>
      <c r="T21" s="45">
        <f t="shared" si="6"/>
        <v>0.35961283926440357</v>
      </c>
      <c r="U21" s="45">
        <f t="shared" si="6"/>
        <v>0.15335496684492853</v>
      </c>
      <c r="V21" s="45">
        <f t="shared" si="6"/>
        <v>1</v>
      </c>
      <c r="W21" s="45">
        <f t="shared" si="6"/>
        <v>1</v>
      </c>
      <c r="X21" s="46"/>
      <c r="Y21" s="46"/>
      <c r="Z21" s="46"/>
    </row>
    <row r="22" spans="1:26" ht="15.6">
      <c r="A22" s="879"/>
      <c r="B22" s="879"/>
      <c r="C22" s="966"/>
      <c r="D22" s="951"/>
      <c r="E22" s="23" t="s">
        <v>38</v>
      </c>
      <c r="F22" s="47"/>
      <c r="G22" s="47"/>
      <c r="H22" s="47"/>
      <c r="I22" s="47"/>
      <c r="J22" s="47"/>
      <c r="K22" s="47"/>
      <c r="L22" s="62">
        <f>SUM(L17:L21)</f>
        <v>5</v>
      </c>
      <c r="M22" s="872" t="s">
        <v>493</v>
      </c>
      <c r="N22" s="873"/>
      <c r="O22" s="873"/>
      <c r="P22" s="873"/>
      <c r="Q22" s="874"/>
      <c r="R22" s="45">
        <f>SUM(R17:R21)</f>
        <v>5</v>
      </c>
      <c r="S22" s="45">
        <f t="shared" ref="S22:T22" si="9">SUM(S17:S21)</f>
        <v>3.5197683547922951</v>
      </c>
      <c r="T22" s="45">
        <f t="shared" si="9"/>
        <v>3.1680962162740833</v>
      </c>
      <c r="U22" s="45">
        <f>SUM(U17:U21)</f>
        <v>17.70744155582787</v>
      </c>
      <c r="V22" s="45">
        <f>SUM(V17:V21)</f>
        <v>3.0672565773386831</v>
      </c>
      <c r="W22" s="45">
        <f>SUM(W17:W21)</f>
        <v>5.196822379442164</v>
      </c>
      <c r="X22" s="48"/>
      <c r="Y22" s="48"/>
      <c r="Z22" s="48"/>
    </row>
    <row r="23" spans="1:26" ht="15.6">
      <c r="A23" s="879"/>
      <c r="B23" s="879"/>
      <c r="C23" s="966"/>
      <c r="D23" s="951"/>
      <c r="E23" s="23"/>
      <c r="F23" s="23"/>
      <c r="G23" s="23"/>
      <c r="H23" s="23"/>
      <c r="I23" s="23"/>
      <c r="J23" s="23"/>
      <c r="K23" s="23"/>
      <c r="L23" s="23"/>
      <c r="M23" s="872" t="s">
        <v>494</v>
      </c>
      <c r="N23" s="873"/>
      <c r="O23" s="873"/>
      <c r="P23" s="873"/>
      <c r="Q23" s="874"/>
      <c r="R23" s="45">
        <f>R22/SUM($R22:$W22)</f>
        <v>0.13276902925766151</v>
      </c>
      <c r="S23" s="45">
        <f t="shared" ref="S23:T23" si="10">S22/SUM($R22:$W22)</f>
        <v>9.3463245535521877E-2</v>
      </c>
      <c r="T23" s="45">
        <f t="shared" si="10"/>
        <v>8.4125011845916101E-2</v>
      </c>
      <c r="U23" s="45">
        <f>U22/SUM($R22:$W22)</f>
        <v>0.47019996520080837</v>
      </c>
      <c r="V23" s="45">
        <f>V22/SUM($R22:$W22)</f>
        <v>8.1447335651486874E-2</v>
      </c>
      <c r="W23" s="45">
        <f>W22/SUM($R22:$W22)</f>
        <v>0.13799541250860536</v>
      </c>
      <c r="X23" s="17"/>
      <c r="Y23" s="17"/>
      <c r="Z23" s="17"/>
    </row>
    <row r="24" spans="1:26" ht="15.6">
      <c r="A24" s="879"/>
      <c r="B24" s="879"/>
      <c r="C24" s="966"/>
      <c r="D24" s="951"/>
      <c r="E24" s="23"/>
      <c r="F24" s="941"/>
      <c r="G24" s="942"/>
      <c r="H24" s="942"/>
      <c r="I24" s="942"/>
      <c r="J24" s="942"/>
      <c r="K24" s="942"/>
      <c r="L24" s="942"/>
      <c r="M24" s="942"/>
      <c r="N24" s="942"/>
      <c r="O24" s="942"/>
      <c r="P24" s="942"/>
      <c r="Q24" s="942"/>
      <c r="R24" s="942"/>
      <c r="S24" s="942"/>
      <c r="T24" s="942"/>
      <c r="U24" s="942"/>
      <c r="V24" s="942"/>
      <c r="W24" s="943"/>
      <c r="X24" s="17"/>
      <c r="Y24" s="17"/>
      <c r="Z24" s="17"/>
    </row>
    <row r="25" spans="1:26" ht="15.6">
      <c r="A25" s="879"/>
      <c r="B25" s="879"/>
      <c r="C25" s="966"/>
      <c r="D25" s="951"/>
      <c r="E25" s="23"/>
      <c r="F25" s="30">
        <f>'Input Sheet'!AU25</f>
        <v>1</v>
      </c>
      <c r="G25" s="30">
        <f>'Input Sheet'!AV25</f>
        <v>0.9</v>
      </c>
      <c r="H25" s="30">
        <f>'Input Sheet'!AW25</f>
        <v>0.75</v>
      </c>
      <c r="I25" s="30">
        <f>'Input Sheet'!AX25</f>
        <v>0.85</v>
      </c>
      <c r="J25" s="30">
        <f>'Input Sheet'!AY25</f>
        <v>0.55000000000000004</v>
      </c>
      <c r="K25" s="30">
        <f>'Input Sheet'!AZ25</f>
        <v>0.35</v>
      </c>
      <c r="L25" s="23"/>
      <c r="M25" s="957" t="s">
        <v>495</v>
      </c>
      <c r="N25" s="958"/>
      <c r="O25" s="958"/>
      <c r="P25" s="958"/>
      <c r="Q25" s="959"/>
      <c r="R25" s="45">
        <f>R23*F25</f>
        <v>0.13276902925766151</v>
      </c>
      <c r="S25" s="45">
        <f t="shared" ref="S25:T25" si="11">S23*G25</f>
        <v>8.4116920981969698E-2</v>
      </c>
      <c r="T25" s="45">
        <f t="shared" si="11"/>
        <v>6.3093758884437079E-2</v>
      </c>
      <c r="U25" s="45">
        <f>U23*I25</f>
        <v>0.39966997042068708</v>
      </c>
      <c r="V25" s="45">
        <f>V23*J25</f>
        <v>4.4796034608317783E-2</v>
      </c>
      <c r="W25" s="45">
        <f>W23*K25</f>
        <v>4.8298394378011873E-2</v>
      </c>
      <c r="X25" s="17"/>
      <c r="Y25" s="17"/>
      <c r="Z25" s="17"/>
    </row>
    <row r="26" spans="1:26" ht="15.6" customHeight="1">
      <c r="A26" s="879"/>
      <c r="B26" s="879"/>
      <c r="C26" s="966"/>
      <c r="D26" s="951"/>
      <c r="E26" s="23"/>
      <c r="F26" s="960" t="s">
        <v>923</v>
      </c>
      <c r="G26" s="961"/>
      <c r="H26" s="961"/>
      <c r="I26" s="961"/>
      <c r="J26" s="961"/>
      <c r="K26" s="961"/>
      <c r="L26" s="961"/>
      <c r="M26" s="961"/>
      <c r="N26" s="961"/>
      <c r="O26" s="961"/>
      <c r="P26" s="961"/>
      <c r="Q26" s="962"/>
      <c r="R26" s="45">
        <f>R25</f>
        <v>0.13276902925766151</v>
      </c>
      <c r="S26" s="45">
        <f>S25*'Input Sheet'!BI17/'Input Sheet'!BH17</f>
        <v>8.4116920981969698E-2</v>
      </c>
      <c r="T26" s="45">
        <f>T25*'Input Sheet'!BJ17/'Input Sheet'!BH17</f>
        <v>0</v>
      </c>
      <c r="U26" s="45">
        <f>U25</f>
        <v>0.39966997042068708</v>
      </c>
      <c r="V26" s="45">
        <f>V25</f>
        <v>4.4796034608317783E-2</v>
      </c>
      <c r="W26" s="45">
        <f>W25</f>
        <v>4.8298394378011873E-2</v>
      </c>
      <c r="X26" s="17"/>
      <c r="Y26" s="17"/>
      <c r="Z26" s="17"/>
    </row>
    <row r="27" spans="1:26" ht="15.6" customHeight="1">
      <c r="A27" s="879"/>
      <c r="B27" s="879"/>
      <c r="C27" s="966"/>
      <c r="D27" s="951"/>
      <c r="E27" s="23"/>
      <c r="F27" s="963" t="s">
        <v>924</v>
      </c>
      <c r="G27" s="964"/>
      <c r="H27" s="964"/>
      <c r="I27" s="964"/>
      <c r="J27" s="964"/>
      <c r="K27" s="964"/>
      <c r="L27" s="964"/>
      <c r="M27" s="964"/>
      <c r="N27" s="964"/>
      <c r="O27" s="964"/>
      <c r="P27" s="964"/>
      <c r="Q27" s="965"/>
      <c r="R27" s="50">
        <f>R26/(R26+U26+V26+W26+S26+T26)</f>
        <v>0.18709076846614733</v>
      </c>
      <c r="S27" s="50">
        <f>S26/(R26+S26+T26+U26+V26+W26)</f>
        <v>0.11853290993776519</v>
      </c>
      <c r="T27" s="50">
        <f>T26/(R26+S26+T26+U26+V26+W26)</f>
        <v>0</v>
      </c>
      <c r="U27" s="50">
        <f>U26/(R26+U26+V26+W26+S26+T26)</f>
        <v>0.56319280420236872</v>
      </c>
      <c r="V27" s="50">
        <f>V26/(R26+U26+V26+W26+S26+T26)</f>
        <v>6.3124092915085306E-2</v>
      </c>
      <c r="W27" s="50">
        <f>W26/(R26+U26+V26+W26+S26+T26)</f>
        <v>6.8059424478633473E-2</v>
      </c>
      <c r="X27" s="17"/>
      <c r="Y27" s="17"/>
      <c r="Z27" s="17"/>
    </row>
    <row r="28" spans="1:26" ht="15.6" customHeight="1">
      <c r="A28" s="879"/>
      <c r="B28" s="879"/>
      <c r="C28" s="966"/>
      <c r="D28" s="951"/>
      <c r="E28" s="23"/>
      <c r="F28" s="963" t="s">
        <v>925</v>
      </c>
      <c r="G28" s="964"/>
      <c r="H28" s="964"/>
      <c r="I28" s="964"/>
      <c r="J28" s="964"/>
      <c r="K28" s="964"/>
      <c r="L28" s="964"/>
      <c r="M28" s="964"/>
      <c r="N28" s="964"/>
      <c r="O28" s="964"/>
      <c r="P28" s="964"/>
      <c r="Q28" s="965"/>
      <c r="R28" s="51">
        <f t="shared" ref="R28:W28" si="12">ROUND($C17*$E$2*R27/100,0)*100</f>
        <v>7200</v>
      </c>
      <c r="S28" s="51">
        <f t="shared" si="12"/>
        <v>4500</v>
      </c>
      <c r="T28" s="51">
        <f t="shared" si="12"/>
        <v>0</v>
      </c>
      <c r="U28" s="51">
        <f t="shared" si="12"/>
        <v>21600</v>
      </c>
      <c r="V28" s="51">
        <f t="shared" si="12"/>
        <v>2400</v>
      </c>
      <c r="W28" s="51">
        <f t="shared" si="12"/>
        <v>2600</v>
      </c>
      <c r="X28" s="17"/>
      <c r="Y28" s="17"/>
      <c r="Z28" s="17"/>
    </row>
    <row r="29" spans="1:26" ht="15.75" customHeight="1">
      <c r="A29" s="878">
        <v>3</v>
      </c>
      <c r="B29" s="878" t="s">
        <v>466</v>
      </c>
      <c r="C29" s="966">
        <f>Buckets!N5</f>
        <v>5.7612086794966169E-2</v>
      </c>
      <c r="D29" s="951" t="s">
        <v>490</v>
      </c>
      <c r="E29" s="23" t="s">
        <v>457</v>
      </c>
      <c r="F29" s="30">
        <f>'Input Sheet'!AU30</f>
        <v>1</v>
      </c>
      <c r="G29" s="30">
        <f>'Input Sheet'!AV30</f>
        <v>0.95402978521950865</v>
      </c>
      <c r="H29" s="30">
        <f>'Input Sheet'!AW30</f>
        <v>1.0675120653067622</v>
      </c>
      <c r="I29" s="30">
        <f>'Input Sheet'!AX30</f>
        <v>87.017008034730651</v>
      </c>
      <c r="J29" s="30">
        <f>'Input Sheet'!AY30</f>
        <v>0.21186396131702534</v>
      </c>
      <c r="K29" s="30">
        <f>'Input Sheet'!AZ30</f>
        <v>0.20356084198655494</v>
      </c>
      <c r="L29" s="62">
        <v>1</v>
      </c>
      <c r="M29" s="30">
        <f>L29/L$34</f>
        <v>0.2</v>
      </c>
      <c r="N29" s="29"/>
      <c r="O29" s="29"/>
      <c r="P29" s="29"/>
      <c r="Q29" s="29"/>
      <c r="R29" s="45">
        <f>F29</f>
        <v>1</v>
      </c>
      <c r="S29" s="45">
        <f t="shared" ref="S29:W33" si="13">G29</f>
        <v>0.95402978521950865</v>
      </c>
      <c r="T29" s="45">
        <f t="shared" si="13"/>
        <v>1.0675120653067622</v>
      </c>
      <c r="U29" s="45">
        <f t="shared" si="13"/>
        <v>87.017008034730651</v>
      </c>
      <c r="V29" s="45">
        <f t="shared" si="13"/>
        <v>0.21186396131702534</v>
      </c>
      <c r="W29" s="45">
        <f t="shared" si="13"/>
        <v>0.20356084198655494</v>
      </c>
      <c r="X29" s="46"/>
      <c r="Y29" s="46"/>
      <c r="Z29" s="46"/>
    </row>
    <row r="30" spans="1:26" ht="31.2">
      <c r="A30" s="879"/>
      <c r="B30" s="879"/>
      <c r="C30" s="966"/>
      <c r="D30" s="951"/>
      <c r="E30" s="23" t="s">
        <v>491</v>
      </c>
      <c r="F30" s="30">
        <f>'Input Sheet'!AU31</f>
        <v>1</v>
      </c>
      <c r="G30" s="30">
        <f>'Input Sheet'!AV31</f>
        <v>0.53453202400529687</v>
      </c>
      <c r="H30" s="30">
        <f>'Input Sheet'!AW31</f>
        <v>0.35117829765320902</v>
      </c>
      <c r="I30" s="30">
        <f>'Input Sheet'!AX31</f>
        <v>1.4886797363695361E-2</v>
      </c>
      <c r="J30" s="30">
        <f>'Input Sheet'!AY31</f>
        <v>0.28919340475398281</v>
      </c>
      <c r="K30" s="30">
        <f>'Input Sheet'!AZ31</f>
        <v>3.2631174930727426E-3</v>
      </c>
      <c r="L30" s="62">
        <v>1</v>
      </c>
      <c r="M30" s="30">
        <f t="shared" ref="M30:M33" si="14">L30/L$34</f>
        <v>0.2</v>
      </c>
      <c r="N30" s="29"/>
      <c r="O30" s="29"/>
      <c r="P30" s="29"/>
      <c r="Q30" s="29"/>
      <c r="R30" s="45">
        <f t="shared" ref="R30:R33" si="15">F30</f>
        <v>1</v>
      </c>
      <c r="S30" s="45">
        <f t="shared" si="13"/>
        <v>0.53453202400529687</v>
      </c>
      <c r="T30" s="45">
        <f t="shared" si="13"/>
        <v>0.35117829765320902</v>
      </c>
      <c r="U30" s="45">
        <f t="shared" si="13"/>
        <v>1.4886797363695361E-2</v>
      </c>
      <c r="V30" s="45">
        <f t="shared" si="13"/>
        <v>0.28919340475398281</v>
      </c>
      <c r="W30" s="45">
        <f t="shared" si="13"/>
        <v>3.2631174930727426E-3</v>
      </c>
      <c r="X30" s="46"/>
      <c r="Y30" s="46"/>
      <c r="Z30" s="46"/>
    </row>
    <row r="31" spans="1:26" ht="15.6">
      <c r="A31" s="879"/>
      <c r="B31" s="879"/>
      <c r="C31" s="966"/>
      <c r="D31" s="951"/>
      <c r="E31" s="23" t="s">
        <v>459</v>
      </c>
      <c r="F31" s="30">
        <f>'Input Sheet'!AU32</f>
        <v>1</v>
      </c>
      <c r="G31" s="30">
        <f>'Input Sheet'!AV32</f>
        <v>1</v>
      </c>
      <c r="H31" s="30">
        <f>'Input Sheet'!AW32</f>
        <v>1</v>
      </c>
      <c r="I31" s="30">
        <f>'Input Sheet'!AX32</f>
        <v>0.42316208231774899</v>
      </c>
      <c r="J31" s="30">
        <f>'Input Sheet'!AY32</f>
        <v>1</v>
      </c>
      <c r="K31" s="30">
        <f>'Input Sheet'!AZ32</f>
        <v>0.71329718021725974</v>
      </c>
      <c r="L31" s="62">
        <v>1</v>
      </c>
      <c r="M31" s="30">
        <f t="shared" si="14"/>
        <v>0.2</v>
      </c>
      <c r="N31" s="29"/>
      <c r="O31" s="29"/>
      <c r="P31" s="29"/>
      <c r="Q31" s="29"/>
      <c r="R31" s="45">
        <f t="shared" si="15"/>
        <v>1</v>
      </c>
      <c r="S31" s="45">
        <f t="shared" si="13"/>
        <v>1</v>
      </c>
      <c r="T31" s="45">
        <f t="shared" si="13"/>
        <v>1</v>
      </c>
      <c r="U31" s="45">
        <f t="shared" si="13"/>
        <v>0.42316208231774899</v>
      </c>
      <c r="V31" s="45">
        <f t="shared" si="13"/>
        <v>1</v>
      </c>
      <c r="W31" s="45">
        <f t="shared" si="13"/>
        <v>0.71329718021725974</v>
      </c>
      <c r="X31" s="46"/>
      <c r="Y31" s="46"/>
      <c r="Z31" s="46"/>
    </row>
    <row r="32" spans="1:26" ht="15.6">
      <c r="A32" s="879"/>
      <c r="B32" s="879"/>
      <c r="C32" s="966"/>
      <c r="D32" s="951"/>
      <c r="E32" s="23" t="s">
        <v>492</v>
      </c>
      <c r="F32" s="30">
        <f>'Input Sheet'!AU33</f>
        <v>1</v>
      </c>
      <c r="G32" s="30">
        <f>'Input Sheet'!AV33</f>
        <v>0.66199319669083379</v>
      </c>
      <c r="H32" s="30">
        <f>'Input Sheet'!AW33</f>
        <v>0.66199319669083379</v>
      </c>
      <c r="I32" s="30">
        <f>'Input Sheet'!AX33</f>
        <v>3.4469852208994722</v>
      </c>
      <c r="J32" s="30">
        <f>'Input Sheet'!AY33</f>
        <v>0.66199319669083379</v>
      </c>
      <c r="K32" s="30">
        <f>'Input Sheet'!AZ33</f>
        <v>3.4469852208994722</v>
      </c>
      <c r="L32" s="62">
        <v>1</v>
      </c>
      <c r="M32" s="30">
        <f t="shared" si="14"/>
        <v>0.2</v>
      </c>
      <c r="N32" s="29"/>
      <c r="O32" s="29"/>
      <c r="P32" s="29"/>
      <c r="Q32" s="29"/>
      <c r="R32" s="45">
        <f t="shared" si="15"/>
        <v>1</v>
      </c>
      <c r="S32" s="45">
        <f t="shared" si="13"/>
        <v>0.66199319669083379</v>
      </c>
      <c r="T32" s="45">
        <f t="shared" si="13"/>
        <v>0.66199319669083379</v>
      </c>
      <c r="U32" s="45">
        <f t="shared" si="13"/>
        <v>3.4469852208994722</v>
      </c>
      <c r="V32" s="45">
        <f t="shared" si="13"/>
        <v>0.66199319669083379</v>
      </c>
      <c r="W32" s="45">
        <f t="shared" si="13"/>
        <v>3.4469852208994722</v>
      </c>
      <c r="X32" s="46"/>
      <c r="Y32" s="46"/>
      <c r="Z32" s="46"/>
    </row>
    <row r="33" spans="1:26" ht="15.6">
      <c r="A33" s="879"/>
      <c r="B33" s="879"/>
      <c r="C33" s="966"/>
      <c r="D33" s="951"/>
      <c r="E33" s="34" t="s">
        <v>461</v>
      </c>
      <c r="F33" s="30">
        <f>'Input Sheet'!AU34</f>
        <v>1</v>
      </c>
      <c r="G33" s="30">
        <f>'Input Sheet'!AV34</f>
        <v>0.58525110430741201</v>
      </c>
      <c r="H33" s="30">
        <f>'Input Sheet'!AW34</f>
        <v>0.35961283926440357</v>
      </c>
      <c r="I33" s="30">
        <f>'Input Sheet'!AX34</f>
        <v>0.15335496684492853</v>
      </c>
      <c r="J33" s="30">
        <f>'Input Sheet'!AY34</f>
        <v>1</v>
      </c>
      <c r="K33" s="30">
        <f>'Input Sheet'!AZ34</f>
        <v>1</v>
      </c>
      <c r="L33" s="62">
        <v>1</v>
      </c>
      <c r="M33" s="30">
        <f t="shared" si="14"/>
        <v>0.2</v>
      </c>
      <c r="N33" s="29"/>
      <c r="O33" s="29"/>
      <c r="P33" s="29"/>
      <c r="Q33" s="29"/>
      <c r="R33" s="45">
        <f t="shared" si="15"/>
        <v>1</v>
      </c>
      <c r="S33" s="45">
        <f t="shared" si="13"/>
        <v>0.58525110430741201</v>
      </c>
      <c r="T33" s="45">
        <f t="shared" si="13"/>
        <v>0.35961283926440357</v>
      </c>
      <c r="U33" s="45">
        <f t="shared" si="13"/>
        <v>0.15335496684492853</v>
      </c>
      <c r="V33" s="45">
        <f t="shared" si="13"/>
        <v>1</v>
      </c>
      <c r="W33" s="45">
        <f t="shared" si="13"/>
        <v>1</v>
      </c>
      <c r="X33" s="46"/>
      <c r="Y33" s="46"/>
      <c r="Z33" s="46"/>
    </row>
    <row r="34" spans="1:26" ht="15.6">
      <c r="A34" s="879"/>
      <c r="B34" s="879"/>
      <c r="C34" s="966"/>
      <c r="D34" s="951"/>
      <c r="E34" s="23" t="s">
        <v>38</v>
      </c>
      <c r="F34" s="47"/>
      <c r="G34" s="47"/>
      <c r="H34" s="47"/>
      <c r="I34" s="47"/>
      <c r="J34" s="47"/>
      <c r="K34" s="47"/>
      <c r="L34" s="449">
        <f>SUM(L29:L33)</f>
        <v>5</v>
      </c>
      <c r="M34" s="872" t="s">
        <v>493</v>
      </c>
      <c r="N34" s="873"/>
      <c r="O34" s="873"/>
      <c r="P34" s="873"/>
      <c r="Q34" s="874"/>
      <c r="R34" s="45">
        <f>SUM(R29:R33)</f>
        <v>5</v>
      </c>
      <c r="S34" s="45">
        <f t="shared" ref="S34:T34" si="16">SUM(S29:S33)</f>
        <v>3.7358061102230513</v>
      </c>
      <c r="T34" s="45">
        <f t="shared" si="16"/>
        <v>3.4402963989152084</v>
      </c>
      <c r="U34" s="45">
        <f>SUM(U29:U33)</f>
        <v>91.055397102156505</v>
      </c>
      <c r="V34" s="45">
        <f>SUM(V29:V33)</f>
        <v>3.1630505627618417</v>
      </c>
      <c r="W34" s="45">
        <f>SUM(W29:W33)</f>
        <v>5.3671063605963596</v>
      </c>
      <c r="X34" s="48"/>
      <c r="Y34" s="48"/>
      <c r="Z34" s="48"/>
    </row>
    <row r="35" spans="1:26" ht="15.6">
      <c r="A35" s="879"/>
      <c r="B35" s="879"/>
      <c r="C35" s="966"/>
      <c r="D35" s="951"/>
      <c r="E35" s="23"/>
      <c r="F35" s="23"/>
      <c r="G35" s="23"/>
      <c r="H35" s="23"/>
      <c r="I35" s="23"/>
      <c r="J35" s="23"/>
      <c r="K35" s="23"/>
      <c r="L35" s="23"/>
      <c r="M35" s="872" t="s">
        <v>494</v>
      </c>
      <c r="N35" s="873"/>
      <c r="O35" s="873"/>
      <c r="P35" s="873"/>
      <c r="Q35" s="874"/>
      <c r="R35" s="45">
        <f>R34/SUM($R34:$W34)</f>
        <v>4.4738062722340682E-2</v>
      </c>
      <c r="S35" s="45">
        <f t="shared" ref="S35:T35" si="17">S34/SUM($R34:$W34)</f>
        <v>3.3426545615532488E-2</v>
      </c>
      <c r="T35" s="45">
        <f t="shared" si="17"/>
        <v>3.0782439215622272E-2</v>
      </c>
      <c r="U35" s="45">
        <f>U34/SUM($R34:$W34)</f>
        <v>0.81472841335278312</v>
      </c>
      <c r="V35" s="45">
        <f>V34/SUM($R34:$W34)</f>
        <v>2.8301750894154851E-2</v>
      </c>
      <c r="W35" s="45">
        <f>W34/SUM($R34:$W34)</f>
        <v>4.8022788199566707E-2</v>
      </c>
      <c r="X35" s="17"/>
      <c r="Y35" s="17"/>
      <c r="Z35" s="17"/>
    </row>
    <row r="36" spans="1:26" ht="15.6" customHeight="1">
      <c r="A36" s="879"/>
      <c r="B36" s="879"/>
      <c r="C36" s="966"/>
      <c r="D36" s="951"/>
      <c r="E36" s="446"/>
      <c r="F36" s="674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6"/>
      <c r="X36" s="17"/>
      <c r="Y36" s="17"/>
      <c r="Z36" s="17"/>
    </row>
    <row r="37" spans="1:26" ht="15.6">
      <c r="A37" s="879"/>
      <c r="B37" s="879"/>
      <c r="C37" s="966"/>
      <c r="D37" s="951"/>
      <c r="E37" s="23"/>
      <c r="F37" s="30">
        <f>'Input Sheet'!AU36</f>
        <v>1</v>
      </c>
      <c r="G37" s="30">
        <f>'Input Sheet'!AV36</f>
        <v>0.85</v>
      </c>
      <c r="H37" s="30">
        <f>'Input Sheet'!AW36</f>
        <v>0.75</v>
      </c>
      <c r="I37" s="30">
        <f>'Input Sheet'!AX36</f>
        <v>0.85</v>
      </c>
      <c r="J37" s="30">
        <f>'Input Sheet'!AY36</f>
        <v>0.55000000000000004</v>
      </c>
      <c r="K37" s="30">
        <f>'Input Sheet'!AZ36</f>
        <v>0.35</v>
      </c>
      <c r="L37" s="23"/>
      <c r="M37" s="957" t="s">
        <v>495</v>
      </c>
      <c r="N37" s="958"/>
      <c r="O37" s="958"/>
      <c r="P37" s="958"/>
      <c r="Q37" s="959"/>
      <c r="R37" s="45">
        <f>R35*F37</f>
        <v>4.4738062722340682E-2</v>
      </c>
      <c r="S37" s="45">
        <f t="shared" ref="S37:T37" si="18">S35*G37</f>
        <v>2.8412563773202615E-2</v>
      </c>
      <c r="T37" s="45">
        <f t="shared" si="18"/>
        <v>2.3086829411716706E-2</v>
      </c>
      <c r="U37" s="45">
        <f>U35*I37</f>
        <v>0.69251915134986564</v>
      </c>
      <c r="V37" s="45">
        <f>V35*J37</f>
        <v>1.5565962991785169E-2</v>
      </c>
      <c r="W37" s="45">
        <f>W35*K37</f>
        <v>1.6807975869848345E-2</v>
      </c>
      <c r="X37" s="17"/>
      <c r="Y37" s="17"/>
      <c r="Z37" s="17"/>
    </row>
    <row r="38" spans="1:26" ht="15.6" customHeight="1">
      <c r="A38" s="879"/>
      <c r="B38" s="879"/>
      <c r="C38" s="966"/>
      <c r="D38" s="951"/>
      <c r="E38" s="23"/>
      <c r="F38" s="960" t="s">
        <v>923</v>
      </c>
      <c r="G38" s="961"/>
      <c r="H38" s="961"/>
      <c r="I38" s="961"/>
      <c r="J38" s="961"/>
      <c r="K38" s="961"/>
      <c r="L38" s="961"/>
      <c r="M38" s="961"/>
      <c r="N38" s="961"/>
      <c r="O38" s="961"/>
      <c r="P38" s="961"/>
      <c r="Q38" s="962"/>
      <c r="R38" s="45">
        <f>R37</f>
        <v>4.4738062722340682E-2</v>
      </c>
      <c r="S38" s="45">
        <f>S37*'Input Sheet'!BI28/'Input Sheet'!BH28</f>
        <v>1.9677187686026616E-2</v>
      </c>
      <c r="T38" s="45">
        <f>T37*'Input Sheet'!BJ28/'Input Sheet'!BH28</f>
        <v>7.0979915498519432E-3</v>
      </c>
      <c r="U38" s="45">
        <f>U37</f>
        <v>0.69251915134986564</v>
      </c>
      <c r="V38" s="45">
        <f>V37</f>
        <v>1.5565962991785169E-2</v>
      </c>
      <c r="W38" s="45">
        <f>W37</f>
        <v>1.6807975869848345E-2</v>
      </c>
      <c r="X38" s="17"/>
      <c r="Y38" s="17"/>
      <c r="Z38" s="17"/>
    </row>
    <row r="39" spans="1:26" ht="15.6" customHeight="1">
      <c r="A39" s="879"/>
      <c r="B39" s="879"/>
      <c r="C39" s="966"/>
      <c r="D39" s="951"/>
      <c r="E39" s="23"/>
      <c r="F39" s="963" t="s">
        <v>924</v>
      </c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Q39" s="965"/>
      <c r="R39" s="50">
        <f>R38/(R38+U38+V38+W38+S38+T38)</f>
        <v>5.6174920910607176E-2</v>
      </c>
      <c r="S39" s="50">
        <f>S38/(R38+S38+T38+U38+V38+W38)</f>
        <v>2.4707472669658916E-2</v>
      </c>
      <c r="T39" s="50">
        <f>T38/(R38+S38+T38+U38+V38+W38)</f>
        <v>8.9125252564407342E-3</v>
      </c>
      <c r="U39" s="50">
        <f>U38/(R38+U38+V38+W38+S38+T38)</f>
        <v>0.86955505421858714</v>
      </c>
      <c r="V39" s="50">
        <f>V38/(R38+U38+V38+W38+S38+T38)</f>
        <v>1.9545252671933779E-2</v>
      </c>
      <c r="W39" s="50">
        <f>W38/(R38+U38+V38+W38+S38+T38)</f>
        <v>2.11047742727722E-2</v>
      </c>
      <c r="X39" s="17"/>
      <c r="Y39" s="17"/>
      <c r="Z39" s="17"/>
    </row>
    <row r="40" spans="1:26" ht="15.6" customHeight="1">
      <c r="A40" s="880"/>
      <c r="B40" s="880"/>
      <c r="C40" s="966"/>
      <c r="D40" s="951"/>
      <c r="E40" s="23"/>
      <c r="F40" s="963" t="s">
        <v>925</v>
      </c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Q40" s="965"/>
      <c r="R40" s="51">
        <f t="shared" ref="R40:W40" si="19">ROUND($C29*$E$2*R39/100,0)*100</f>
        <v>1800</v>
      </c>
      <c r="S40" s="51">
        <f t="shared" si="19"/>
        <v>800</v>
      </c>
      <c r="T40" s="51">
        <f t="shared" si="19"/>
        <v>300</v>
      </c>
      <c r="U40" s="51">
        <f t="shared" si="19"/>
        <v>28600</v>
      </c>
      <c r="V40" s="51">
        <f t="shared" si="19"/>
        <v>600</v>
      </c>
      <c r="W40" s="51">
        <f t="shared" si="19"/>
        <v>700</v>
      </c>
      <c r="X40" s="17"/>
      <c r="Y40" s="17"/>
      <c r="Z40" s="17"/>
    </row>
    <row r="41" spans="1:26" ht="15.6">
      <c r="A41" s="825">
        <v>4</v>
      </c>
      <c r="B41" s="825" t="s">
        <v>635</v>
      </c>
      <c r="C41" s="966">
        <f>Buckets!N6</f>
        <v>4.7183370140568587E-2</v>
      </c>
      <c r="D41" s="951" t="s">
        <v>490</v>
      </c>
      <c r="E41" s="23" t="s">
        <v>457</v>
      </c>
      <c r="F41" s="30">
        <f>'Input Sheet'!AU41</f>
        <v>1</v>
      </c>
      <c r="G41" s="30">
        <f>'Input Sheet'!AV41</f>
        <v>0.86811277635256989</v>
      </c>
      <c r="H41" s="30">
        <f>'Input Sheet'!AW41</f>
        <v>0.89669388978078124</v>
      </c>
      <c r="I41" s="30">
        <f>'Input Sheet'!AX41</f>
        <v>47.102214912993468</v>
      </c>
      <c r="J41" s="30">
        <f>'Input Sheet'!AY41</f>
        <v>0.17787500824955174</v>
      </c>
      <c r="K41" s="30">
        <f>'Input Sheet'!AZ41</f>
        <v>0.12679853164563873</v>
      </c>
      <c r="L41" s="62">
        <v>1</v>
      </c>
      <c r="M41" s="30">
        <f>L41/L$34</f>
        <v>0.2</v>
      </c>
      <c r="N41" s="29"/>
      <c r="O41" s="29"/>
      <c r="P41" s="29"/>
      <c r="Q41" s="29"/>
      <c r="R41" s="45">
        <f>F41</f>
        <v>1</v>
      </c>
      <c r="S41" s="45">
        <f t="shared" ref="S41:W45" si="20">G41</f>
        <v>0.86811277635256989</v>
      </c>
      <c r="T41" s="45">
        <f t="shared" si="20"/>
        <v>0.89669388978078124</v>
      </c>
      <c r="U41" s="45">
        <f t="shared" si="20"/>
        <v>47.102214912993468</v>
      </c>
      <c r="V41" s="45">
        <f t="shared" si="20"/>
        <v>0.17787500824955174</v>
      </c>
      <c r="W41" s="45">
        <f t="shared" si="20"/>
        <v>0.12679853164563873</v>
      </c>
      <c r="X41" s="46"/>
      <c r="Y41" s="46"/>
      <c r="Z41" s="46"/>
    </row>
    <row r="42" spans="1:26" ht="31.35" customHeight="1">
      <c r="A42" s="825"/>
      <c r="B42" s="825"/>
      <c r="C42" s="966"/>
      <c r="D42" s="951"/>
      <c r="E42" s="23" t="s">
        <v>491</v>
      </c>
      <c r="F42" s="30">
        <f>'Input Sheet'!AU42</f>
        <v>1</v>
      </c>
      <c r="G42" s="30">
        <f>'Input Sheet'!AV42</f>
        <v>0.52506075687002607</v>
      </c>
      <c r="H42" s="30">
        <f>'Input Sheet'!AW42</f>
        <v>0.34735431666525746</v>
      </c>
      <c r="I42" s="30">
        <f>'Input Sheet'!AX42</f>
        <v>7.0103192489481173E-2</v>
      </c>
      <c r="J42" s="30">
        <f>'Input Sheet'!AY42</f>
        <v>0.28820546512030176</v>
      </c>
      <c r="K42" s="30">
        <f>'Input Sheet'!AZ42</f>
        <v>1.5841993998052657E-2</v>
      </c>
      <c r="L42" s="62">
        <v>1</v>
      </c>
      <c r="M42" s="30">
        <f t="shared" ref="M42:M45" si="21">L42/L$34</f>
        <v>0.2</v>
      </c>
      <c r="N42" s="29"/>
      <c r="O42" s="29"/>
      <c r="P42" s="29"/>
      <c r="Q42" s="29"/>
      <c r="R42" s="45">
        <f t="shared" ref="R42:R45" si="22">F42</f>
        <v>1</v>
      </c>
      <c r="S42" s="45">
        <f t="shared" si="20"/>
        <v>0.52506075687002607</v>
      </c>
      <c r="T42" s="45">
        <f t="shared" si="20"/>
        <v>0.34735431666525746</v>
      </c>
      <c r="U42" s="45">
        <f t="shared" si="20"/>
        <v>7.0103192489481173E-2</v>
      </c>
      <c r="V42" s="45">
        <f t="shared" si="20"/>
        <v>0.28820546512030176</v>
      </c>
      <c r="W42" s="45">
        <f t="shared" si="20"/>
        <v>1.5841993998052657E-2</v>
      </c>
      <c r="X42" s="46"/>
      <c r="Y42" s="46"/>
      <c r="Z42" s="46"/>
    </row>
    <row r="43" spans="1:26" ht="15.6">
      <c r="A43" s="825"/>
      <c r="B43" s="825"/>
      <c r="C43" s="966"/>
      <c r="D43" s="951"/>
      <c r="E43" s="23" t="s">
        <v>459</v>
      </c>
      <c r="F43" s="30">
        <f>'Input Sheet'!AU43</f>
        <v>1</v>
      </c>
      <c r="G43" s="30">
        <f>'Input Sheet'!AV43</f>
        <v>1</v>
      </c>
      <c r="H43" s="30">
        <f>'Input Sheet'!AW43</f>
        <v>1</v>
      </c>
      <c r="I43" s="30">
        <f>'Input Sheet'!AX43</f>
        <v>0.31890655732397039</v>
      </c>
      <c r="J43" s="30">
        <f>'Input Sheet'!AY43</f>
        <v>1</v>
      </c>
      <c r="K43" s="30">
        <f>'Input Sheet'!AZ43</f>
        <v>0.52578802442577965</v>
      </c>
      <c r="L43" s="62">
        <v>1</v>
      </c>
      <c r="M43" s="30">
        <f t="shared" si="21"/>
        <v>0.2</v>
      </c>
      <c r="N43" s="29"/>
      <c r="O43" s="29"/>
      <c r="P43" s="29"/>
      <c r="Q43" s="29"/>
      <c r="R43" s="45">
        <f t="shared" si="22"/>
        <v>1</v>
      </c>
      <c r="S43" s="45">
        <f t="shared" si="20"/>
        <v>1</v>
      </c>
      <c r="T43" s="45">
        <f t="shared" si="20"/>
        <v>1</v>
      </c>
      <c r="U43" s="45">
        <f t="shared" si="20"/>
        <v>0.31890655732397039</v>
      </c>
      <c r="V43" s="45">
        <f t="shared" si="20"/>
        <v>1</v>
      </c>
      <c r="W43" s="45">
        <f t="shared" si="20"/>
        <v>0.52578802442577965</v>
      </c>
      <c r="X43" s="46"/>
      <c r="Y43" s="46"/>
      <c r="Z43" s="46"/>
    </row>
    <row r="44" spans="1:26" ht="15.6">
      <c r="A44" s="825"/>
      <c r="B44" s="825"/>
      <c r="C44" s="966"/>
      <c r="D44" s="951"/>
      <c r="E44" s="23" t="s">
        <v>492</v>
      </c>
      <c r="F44" s="30">
        <f>'Input Sheet'!AU44</f>
        <v>1</v>
      </c>
      <c r="G44" s="30">
        <f>'Input Sheet'!AV44</f>
        <v>0.66199319669083379</v>
      </c>
      <c r="H44" s="30">
        <f>'Input Sheet'!AW44</f>
        <v>0.66199319669083379</v>
      </c>
      <c r="I44" s="30">
        <f>'Input Sheet'!AX44</f>
        <v>3.4469852208994722</v>
      </c>
      <c r="J44" s="30">
        <f>'Input Sheet'!AY44</f>
        <v>0.66199319669083379</v>
      </c>
      <c r="K44" s="30">
        <f>'Input Sheet'!AZ44</f>
        <v>3.4469852208994722</v>
      </c>
      <c r="L44" s="62">
        <v>1</v>
      </c>
      <c r="M44" s="30">
        <f t="shared" si="21"/>
        <v>0.2</v>
      </c>
      <c r="N44" s="29"/>
      <c r="O44" s="29"/>
      <c r="P44" s="29"/>
      <c r="Q44" s="29"/>
      <c r="R44" s="45">
        <f t="shared" si="22"/>
        <v>1</v>
      </c>
      <c r="S44" s="45">
        <f t="shared" si="20"/>
        <v>0.66199319669083379</v>
      </c>
      <c r="T44" s="45">
        <f t="shared" si="20"/>
        <v>0.66199319669083379</v>
      </c>
      <c r="U44" s="45">
        <f t="shared" si="20"/>
        <v>3.4469852208994722</v>
      </c>
      <c r="V44" s="45">
        <f t="shared" si="20"/>
        <v>0.66199319669083379</v>
      </c>
      <c r="W44" s="45">
        <f t="shared" si="20"/>
        <v>3.4469852208994722</v>
      </c>
      <c r="X44" s="46"/>
      <c r="Y44" s="46"/>
      <c r="Z44" s="46"/>
    </row>
    <row r="45" spans="1:26" ht="15.6">
      <c r="A45" s="825"/>
      <c r="B45" s="825"/>
      <c r="C45" s="966"/>
      <c r="D45" s="951"/>
      <c r="E45" s="34" t="s">
        <v>461</v>
      </c>
      <c r="F45" s="30">
        <f>'Input Sheet'!AU45</f>
        <v>1</v>
      </c>
      <c r="G45" s="30">
        <f>'Input Sheet'!AV45</f>
        <v>0.54247832794327511</v>
      </c>
      <c r="H45" s="30">
        <f>'Input Sheet'!AW45</f>
        <v>0.31110847407961917</v>
      </c>
      <c r="I45" s="30">
        <f>'Input Sheet'!AX45</f>
        <v>0.11758133171956553</v>
      </c>
      <c r="J45" s="30">
        <f>'Input Sheet'!AY45</f>
        <v>1</v>
      </c>
      <c r="K45" s="30">
        <f>'Input Sheet'!AZ45</f>
        <v>1</v>
      </c>
      <c r="L45" s="62">
        <v>1</v>
      </c>
      <c r="M45" s="30">
        <f t="shared" si="21"/>
        <v>0.2</v>
      </c>
      <c r="N45" s="29"/>
      <c r="O45" s="29"/>
      <c r="P45" s="29"/>
      <c r="Q45" s="29"/>
      <c r="R45" s="45">
        <f t="shared" si="22"/>
        <v>1</v>
      </c>
      <c r="S45" s="45">
        <f t="shared" si="20"/>
        <v>0.54247832794327511</v>
      </c>
      <c r="T45" s="45">
        <f t="shared" si="20"/>
        <v>0.31110847407961917</v>
      </c>
      <c r="U45" s="45">
        <f t="shared" si="20"/>
        <v>0.11758133171956553</v>
      </c>
      <c r="V45" s="45">
        <f t="shared" si="20"/>
        <v>1</v>
      </c>
      <c r="W45" s="45">
        <f t="shared" si="20"/>
        <v>1</v>
      </c>
      <c r="X45" s="46"/>
      <c r="Y45" s="46"/>
      <c r="Z45" s="46"/>
    </row>
    <row r="46" spans="1:26" ht="15.6">
      <c r="A46" s="825">
        <v>2</v>
      </c>
      <c r="B46" s="825"/>
      <c r="C46" s="966"/>
      <c r="D46" s="951"/>
      <c r="E46" s="23" t="s">
        <v>38</v>
      </c>
      <c r="F46" s="47"/>
      <c r="G46" s="47"/>
      <c r="H46" s="47"/>
      <c r="I46" s="47"/>
      <c r="J46" s="47"/>
      <c r="K46" s="47"/>
      <c r="L46" s="449">
        <f>SUM(L41:L45)</f>
        <v>5</v>
      </c>
      <c r="M46" s="872" t="s">
        <v>493</v>
      </c>
      <c r="N46" s="873"/>
      <c r="O46" s="873"/>
      <c r="P46" s="873"/>
      <c r="Q46" s="874"/>
      <c r="R46" s="45">
        <f>SUM(R41:R45)</f>
        <v>5</v>
      </c>
      <c r="S46" s="45">
        <f t="shared" ref="S46:T46" si="23">SUM(S41:S45)</f>
        <v>3.5976450578567047</v>
      </c>
      <c r="T46" s="45">
        <f t="shared" si="23"/>
        <v>3.2171498772164915</v>
      </c>
      <c r="U46" s="45">
        <f>SUM(U41:U45)</f>
        <v>51.055791215425955</v>
      </c>
      <c r="V46" s="45">
        <f>SUM(V41:V45)</f>
        <v>3.128073670060687</v>
      </c>
      <c r="W46" s="45">
        <f>SUM(W41:W45)</f>
        <v>5.1154137709689431</v>
      </c>
      <c r="X46" s="48"/>
      <c r="Y46" s="48"/>
      <c r="Z46" s="48"/>
    </row>
    <row r="47" spans="1:26" ht="15.6">
      <c r="A47" s="825"/>
      <c r="B47" s="825"/>
      <c r="C47" s="966"/>
      <c r="D47" s="951"/>
      <c r="E47" s="23"/>
      <c r="F47" s="23"/>
      <c r="G47" s="23"/>
      <c r="H47" s="23"/>
      <c r="I47" s="23"/>
      <c r="J47" s="23"/>
      <c r="K47" s="23"/>
      <c r="L47" s="23"/>
      <c r="M47" s="872" t="s">
        <v>494</v>
      </c>
      <c r="N47" s="873"/>
      <c r="O47" s="873"/>
      <c r="P47" s="873"/>
      <c r="Q47" s="874"/>
      <c r="R47" s="45">
        <f>R46/SUM($R46:$W46)</f>
        <v>7.0309570911651562E-2</v>
      </c>
      <c r="S47" s="45">
        <f t="shared" ref="S47:T47" si="24">S46/SUM($R46:$W46)</f>
        <v>5.0589776062065751E-2</v>
      </c>
      <c r="T47" s="45">
        <f t="shared" si="24"/>
        <v>4.5239285485112801E-2</v>
      </c>
      <c r="U47" s="45">
        <f>U46/SUM($R46:$W46)</f>
        <v>0.7179421545822936</v>
      </c>
      <c r="V47" s="45">
        <f>V46/SUM($R46:$W46)</f>
        <v>4.3986703504400405E-2</v>
      </c>
      <c r="W47" s="45">
        <f>W46/SUM($R46:$W46)</f>
        <v>7.1932509454475962E-2</v>
      </c>
      <c r="X47" s="17"/>
      <c r="Y47" s="17"/>
      <c r="Z47" s="17"/>
    </row>
    <row r="48" spans="1:26" ht="15.6" customHeight="1">
      <c r="A48" s="825"/>
      <c r="B48" s="825"/>
      <c r="C48" s="966"/>
      <c r="D48" s="951"/>
      <c r="E48" s="446"/>
      <c r="F48" s="941"/>
      <c r="G48" s="942"/>
      <c r="H48" s="942"/>
      <c r="I48" s="942"/>
      <c r="J48" s="942"/>
      <c r="K48" s="942"/>
      <c r="L48" s="942"/>
      <c r="M48" s="942"/>
      <c r="N48" s="942"/>
      <c r="O48" s="942"/>
      <c r="P48" s="942"/>
      <c r="Q48" s="942"/>
      <c r="R48" s="942"/>
      <c r="S48" s="942"/>
      <c r="T48" s="942"/>
      <c r="U48" s="942"/>
      <c r="V48" s="942"/>
      <c r="W48" s="943"/>
      <c r="X48" s="17"/>
      <c r="Y48" s="17"/>
      <c r="Z48" s="17"/>
    </row>
    <row r="49" spans="1:26" ht="15.6">
      <c r="A49" s="825"/>
      <c r="B49" s="825"/>
      <c r="C49" s="966"/>
      <c r="D49" s="951"/>
      <c r="E49" s="23"/>
      <c r="F49" s="30">
        <f>'Input Sheet'!AU47</f>
        <v>1</v>
      </c>
      <c r="G49" s="30">
        <f>'Input Sheet'!AV47</f>
        <v>0.9</v>
      </c>
      <c r="H49" s="30">
        <f>'Input Sheet'!AW47</f>
        <v>0.75</v>
      </c>
      <c r="I49" s="30">
        <f>'Input Sheet'!AX47</f>
        <v>0.9</v>
      </c>
      <c r="J49" s="30">
        <f>'Input Sheet'!AY47</f>
        <v>0.55000000000000004</v>
      </c>
      <c r="K49" s="30">
        <f>'Input Sheet'!AZ47</f>
        <v>0.35</v>
      </c>
      <c r="L49" s="23"/>
      <c r="M49" s="957" t="s">
        <v>495</v>
      </c>
      <c r="N49" s="958"/>
      <c r="O49" s="958"/>
      <c r="P49" s="958"/>
      <c r="Q49" s="959"/>
      <c r="R49" s="45">
        <f>R47*F49</f>
        <v>7.0309570911651562E-2</v>
      </c>
      <c r="S49" s="45">
        <f t="shared" ref="S49:T49" si="25">S47*G49</f>
        <v>4.5530798455859174E-2</v>
      </c>
      <c r="T49" s="45">
        <f t="shared" si="25"/>
        <v>3.3929464113834601E-2</v>
      </c>
      <c r="U49" s="45">
        <f>U47*I49</f>
        <v>0.64614793912406421</v>
      </c>
      <c r="V49" s="45">
        <f>V47*J49</f>
        <v>2.4192686927420225E-2</v>
      </c>
      <c r="W49" s="45">
        <f>W47*K49</f>
        <v>2.5176378309066584E-2</v>
      </c>
      <c r="X49" s="17"/>
      <c r="Y49" s="17"/>
      <c r="Z49" s="17"/>
    </row>
    <row r="50" spans="1:26" ht="15.6" customHeight="1">
      <c r="A50" s="825"/>
      <c r="B50" s="825"/>
      <c r="C50" s="966"/>
      <c r="D50" s="951"/>
      <c r="E50" s="23"/>
      <c r="F50" s="960" t="s">
        <v>923</v>
      </c>
      <c r="G50" s="961"/>
      <c r="H50" s="961"/>
      <c r="I50" s="961"/>
      <c r="J50" s="961"/>
      <c r="K50" s="961"/>
      <c r="L50" s="961"/>
      <c r="M50" s="961"/>
      <c r="N50" s="961"/>
      <c r="O50" s="961"/>
      <c r="P50" s="961"/>
      <c r="Q50" s="962"/>
      <c r="R50" s="45">
        <f>R49</f>
        <v>7.0309570911651562E-2</v>
      </c>
      <c r="S50" s="45">
        <f>S49*'Input Sheet'!BI39/'Input Sheet'!BH39</f>
        <v>4.5530798455859174E-2</v>
      </c>
      <c r="T50" s="45">
        <f>T49*'Input Sheet'!BJ39/'Input Sheet'!BH39</f>
        <v>0</v>
      </c>
      <c r="U50" s="45">
        <f>U49</f>
        <v>0.64614793912406421</v>
      </c>
      <c r="V50" s="45">
        <f>V49</f>
        <v>2.4192686927420225E-2</v>
      </c>
      <c r="W50" s="45">
        <f>W49</f>
        <v>2.5176378309066584E-2</v>
      </c>
      <c r="X50" s="17"/>
      <c r="Y50" s="17"/>
      <c r="Z50" s="17"/>
    </row>
    <row r="51" spans="1:26" ht="15.6" customHeight="1">
      <c r="A51" s="825"/>
      <c r="B51" s="825"/>
      <c r="C51" s="966"/>
      <c r="D51" s="951"/>
      <c r="E51" s="23"/>
      <c r="F51" s="963" t="s">
        <v>924</v>
      </c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Q51" s="965"/>
      <c r="R51" s="50">
        <f>R50/(R50+U50+V50+W50+S50+T50)</f>
        <v>8.665672265796999E-2</v>
      </c>
      <c r="S51" s="50">
        <f>S50/(R50+S50+T50+U50+V50+W50)</f>
        <v>5.6116823400090873E-2</v>
      </c>
      <c r="T51" s="50">
        <f>T50/(R50+S50+T50+U50+V50+W50)</f>
        <v>0</v>
      </c>
      <c r="U51" s="50">
        <f>U50/(R50+U50+V50+W50+S50+T50)</f>
        <v>0.79637895709890971</v>
      </c>
      <c r="V51" s="50">
        <f>V50/(R50+U50+V50+W50+S50+T50)</f>
        <v>2.9817547372816205E-2</v>
      </c>
      <c r="W51" s="50">
        <f>W50/(R50+U50+V50+W50+S50+T50)</f>
        <v>3.1029949470213123E-2</v>
      </c>
      <c r="X51" s="17"/>
      <c r="Y51" s="17"/>
      <c r="Z51" s="17"/>
    </row>
    <row r="52" spans="1:26" ht="15.6" customHeight="1">
      <c r="A52" s="825"/>
      <c r="B52" s="825"/>
      <c r="C52" s="966"/>
      <c r="D52" s="951"/>
      <c r="E52" s="23"/>
      <c r="F52" s="963" t="s">
        <v>925</v>
      </c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Q52" s="965"/>
      <c r="R52" s="51">
        <f t="shared" ref="R52:W52" si="26">ROUND($C41*$E$2*R51/100,0)*100</f>
        <v>2300</v>
      </c>
      <c r="S52" s="51">
        <f t="shared" si="26"/>
        <v>1500</v>
      </c>
      <c r="T52" s="51">
        <f t="shared" si="26"/>
        <v>0</v>
      </c>
      <c r="U52" s="51">
        <f t="shared" si="26"/>
        <v>21400</v>
      </c>
      <c r="V52" s="51">
        <f t="shared" si="26"/>
        <v>800</v>
      </c>
      <c r="W52" s="51">
        <f t="shared" si="26"/>
        <v>800</v>
      </c>
      <c r="X52" s="17"/>
      <c r="Y52" s="17"/>
      <c r="Z52" s="17"/>
    </row>
    <row r="53" spans="1:26" ht="15.6">
      <c r="A53" s="825">
        <v>5</v>
      </c>
      <c r="B53" s="825" t="s">
        <v>639</v>
      </c>
      <c r="C53" s="966">
        <f>Buckets!N7</f>
        <v>0.10749465418726119</v>
      </c>
      <c r="D53" s="951" t="s">
        <v>490</v>
      </c>
      <c r="E53" s="23" t="s">
        <v>457</v>
      </c>
      <c r="F53" s="30">
        <f>'Input Sheet'!AU52</f>
        <v>1</v>
      </c>
      <c r="G53" s="30">
        <f>'Input Sheet'!AV52</f>
        <v>0.83640022274592218</v>
      </c>
      <c r="H53" s="30">
        <f>'Input Sheet'!AW52</f>
        <v>0.90270414229700113</v>
      </c>
      <c r="I53" s="30">
        <f>'Input Sheet'!AX52</f>
        <v>19.870922600047471</v>
      </c>
      <c r="J53" s="30">
        <f>'Input Sheet'!AY52</f>
        <v>0.20306361642220627</v>
      </c>
      <c r="K53" s="30">
        <f>'Input Sheet'!AZ52</f>
        <v>0.17862905370939738</v>
      </c>
      <c r="L53" s="62">
        <v>1</v>
      </c>
      <c r="M53" s="30">
        <f>L53/L$34</f>
        <v>0.2</v>
      </c>
      <c r="N53" s="29"/>
      <c r="O53" s="29"/>
      <c r="P53" s="29"/>
      <c r="Q53" s="29"/>
      <c r="R53" s="45">
        <f>F53</f>
        <v>1</v>
      </c>
      <c r="S53" s="45">
        <f t="shared" ref="S53:W57" si="27">G53</f>
        <v>0.83640022274592218</v>
      </c>
      <c r="T53" s="45">
        <f t="shared" si="27"/>
        <v>0.90270414229700113</v>
      </c>
      <c r="U53" s="45">
        <f t="shared" si="27"/>
        <v>19.870922600047471</v>
      </c>
      <c r="V53" s="45">
        <f t="shared" si="27"/>
        <v>0.20306361642220627</v>
      </c>
      <c r="W53" s="45">
        <f t="shared" si="27"/>
        <v>0.17862905370939738</v>
      </c>
      <c r="X53" s="46"/>
      <c r="Y53" s="46"/>
      <c r="Z53" s="46"/>
    </row>
    <row r="54" spans="1:26" ht="31.2">
      <c r="A54" s="825"/>
      <c r="B54" s="825"/>
      <c r="C54" s="966"/>
      <c r="D54" s="951"/>
      <c r="E54" s="23" t="s">
        <v>491</v>
      </c>
      <c r="F54" s="30">
        <f>'Input Sheet'!AU53</f>
        <v>1</v>
      </c>
      <c r="G54" s="30">
        <f>'Input Sheet'!AV53</f>
        <v>0.59786774606690074</v>
      </c>
      <c r="H54" s="30">
        <f>'Input Sheet'!AW53</f>
        <v>0.42650560708500523</v>
      </c>
      <c r="I54" s="30">
        <f>'Input Sheet'!AX53</f>
        <v>7.8195192412888581E-2</v>
      </c>
      <c r="J54" s="30">
        <f>'Input Sheet'!AY53</f>
        <v>0.36517225007829274</v>
      </c>
      <c r="K54" s="30">
        <f>'Input Sheet'!AZ53</f>
        <v>2.6993968037055595E-2</v>
      </c>
      <c r="L54" s="62">
        <v>1</v>
      </c>
      <c r="M54" s="30">
        <f t="shared" ref="M54:M57" si="28">L54/L$34</f>
        <v>0.2</v>
      </c>
      <c r="N54" s="29"/>
      <c r="O54" s="29"/>
      <c r="P54" s="29"/>
      <c r="Q54" s="29"/>
      <c r="R54" s="45">
        <f t="shared" ref="R54:R57" si="29">F54</f>
        <v>1</v>
      </c>
      <c r="S54" s="45">
        <f t="shared" si="27"/>
        <v>0.59786774606690074</v>
      </c>
      <c r="T54" s="45">
        <f t="shared" si="27"/>
        <v>0.42650560708500523</v>
      </c>
      <c r="U54" s="45">
        <f t="shared" si="27"/>
        <v>7.8195192412888581E-2</v>
      </c>
      <c r="V54" s="45">
        <f t="shared" si="27"/>
        <v>0.36517225007829274</v>
      </c>
      <c r="W54" s="45">
        <f t="shared" si="27"/>
        <v>2.6993968037055595E-2</v>
      </c>
      <c r="X54" s="46"/>
      <c r="Y54" s="46"/>
      <c r="Z54" s="46"/>
    </row>
    <row r="55" spans="1:26" ht="15.6">
      <c r="A55" s="825"/>
      <c r="B55" s="825"/>
      <c r="C55" s="966"/>
      <c r="D55" s="951"/>
      <c r="E55" s="23" t="s">
        <v>459</v>
      </c>
      <c r="F55" s="30">
        <f>'Input Sheet'!AU54</f>
        <v>1</v>
      </c>
      <c r="G55" s="30">
        <f>'Input Sheet'!AV54</f>
        <v>1</v>
      </c>
      <c r="H55" s="30">
        <f>'Input Sheet'!AW54</f>
        <v>1</v>
      </c>
      <c r="I55" s="30">
        <f>'Input Sheet'!AX54</f>
        <v>0.4444975166820565</v>
      </c>
      <c r="J55" s="30">
        <f>'Input Sheet'!AY54</f>
        <v>1</v>
      </c>
      <c r="K55" s="30">
        <f>'Input Sheet'!AZ54</f>
        <v>0.6942904675750291</v>
      </c>
      <c r="L55" s="62">
        <v>1</v>
      </c>
      <c r="M55" s="30">
        <f t="shared" si="28"/>
        <v>0.2</v>
      </c>
      <c r="N55" s="29"/>
      <c r="O55" s="29"/>
      <c r="P55" s="29"/>
      <c r="Q55" s="29"/>
      <c r="R55" s="45">
        <f t="shared" si="29"/>
        <v>1</v>
      </c>
      <c r="S55" s="45">
        <f t="shared" si="27"/>
        <v>1</v>
      </c>
      <c r="T55" s="45">
        <f t="shared" si="27"/>
        <v>1</v>
      </c>
      <c r="U55" s="45">
        <f t="shared" si="27"/>
        <v>0.4444975166820565</v>
      </c>
      <c r="V55" s="45">
        <f t="shared" si="27"/>
        <v>1</v>
      </c>
      <c r="W55" s="45">
        <f t="shared" si="27"/>
        <v>0.6942904675750291</v>
      </c>
      <c r="X55" s="46"/>
      <c r="Y55" s="46"/>
      <c r="Z55" s="46"/>
    </row>
    <row r="56" spans="1:26" ht="15.6">
      <c r="A56" s="825"/>
      <c r="B56" s="825"/>
      <c r="C56" s="966"/>
      <c r="D56" s="951"/>
      <c r="E56" s="23" t="s">
        <v>492</v>
      </c>
      <c r="F56" s="30">
        <f>'Input Sheet'!AU55</f>
        <v>1</v>
      </c>
      <c r="G56" s="30">
        <f>'Input Sheet'!AV55</f>
        <v>0.66199319669083379</v>
      </c>
      <c r="H56" s="30">
        <f>'Input Sheet'!AW55</f>
        <v>0.66199319669083379</v>
      </c>
      <c r="I56" s="30">
        <f>'Input Sheet'!AX55</f>
        <v>3.4469852208994722</v>
      </c>
      <c r="J56" s="30">
        <f>'Input Sheet'!AY55</f>
        <v>0.66199319669083379</v>
      </c>
      <c r="K56" s="30">
        <f>'Input Sheet'!AZ55</f>
        <v>3.4469852208994722</v>
      </c>
      <c r="L56" s="62">
        <v>1</v>
      </c>
      <c r="M56" s="30">
        <f t="shared" si="28"/>
        <v>0.2</v>
      </c>
      <c r="N56" s="29"/>
      <c r="O56" s="29"/>
      <c r="P56" s="29"/>
      <c r="Q56" s="29"/>
      <c r="R56" s="45">
        <f t="shared" si="29"/>
        <v>1</v>
      </c>
      <c r="S56" s="45">
        <f t="shared" si="27"/>
        <v>0.66199319669083379</v>
      </c>
      <c r="T56" s="45">
        <f t="shared" si="27"/>
        <v>0.66199319669083379</v>
      </c>
      <c r="U56" s="45">
        <f t="shared" si="27"/>
        <v>3.4469852208994722</v>
      </c>
      <c r="V56" s="45">
        <f t="shared" si="27"/>
        <v>0.66199319669083379</v>
      </c>
      <c r="W56" s="45">
        <f t="shared" si="27"/>
        <v>3.4469852208994722</v>
      </c>
      <c r="X56" s="46"/>
      <c r="Y56" s="46"/>
      <c r="Z56" s="46"/>
    </row>
    <row r="57" spans="1:26" ht="15.6">
      <c r="A57" s="825"/>
      <c r="B57" s="825"/>
      <c r="C57" s="966"/>
      <c r="D57" s="951"/>
      <c r="E57" s="34" t="s">
        <v>461</v>
      </c>
      <c r="F57" s="30">
        <f>'Input Sheet'!AU56</f>
        <v>1</v>
      </c>
      <c r="G57" s="30">
        <f>'Input Sheet'!AV56</f>
        <v>0.54247832794327511</v>
      </c>
      <c r="H57" s="30">
        <f>'Input Sheet'!AW56</f>
        <v>0.31110847407961917</v>
      </c>
      <c r="I57" s="30">
        <f>'Input Sheet'!AX56</f>
        <v>0.11758133171956553</v>
      </c>
      <c r="J57" s="30">
        <f>'Input Sheet'!AY56</f>
        <v>1</v>
      </c>
      <c r="K57" s="30">
        <f>'Input Sheet'!AZ56</f>
        <v>1</v>
      </c>
      <c r="L57" s="62">
        <v>1</v>
      </c>
      <c r="M57" s="30">
        <f t="shared" si="28"/>
        <v>0.2</v>
      </c>
      <c r="N57" s="29"/>
      <c r="O57" s="29"/>
      <c r="P57" s="29"/>
      <c r="Q57" s="29"/>
      <c r="R57" s="45">
        <f t="shared" si="29"/>
        <v>1</v>
      </c>
      <c r="S57" s="45">
        <f t="shared" si="27"/>
        <v>0.54247832794327511</v>
      </c>
      <c r="T57" s="45">
        <f t="shared" si="27"/>
        <v>0.31110847407961917</v>
      </c>
      <c r="U57" s="45">
        <f t="shared" si="27"/>
        <v>0.11758133171956553</v>
      </c>
      <c r="V57" s="45">
        <f t="shared" si="27"/>
        <v>1</v>
      </c>
      <c r="W57" s="45">
        <f t="shared" si="27"/>
        <v>1</v>
      </c>
      <c r="X57" s="46"/>
      <c r="Y57" s="46"/>
      <c r="Z57" s="46"/>
    </row>
    <row r="58" spans="1:26" ht="15.6">
      <c r="A58" s="825">
        <v>2</v>
      </c>
      <c r="B58" s="825"/>
      <c r="C58" s="966"/>
      <c r="D58" s="951"/>
      <c r="E58" s="23" t="s">
        <v>38</v>
      </c>
      <c r="F58" s="47"/>
      <c r="G58" s="47"/>
      <c r="H58" s="47"/>
      <c r="I58" s="47"/>
      <c r="J58" s="47"/>
      <c r="K58" s="47"/>
      <c r="L58" s="449">
        <f>SUM(L53:L57)</f>
        <v>5</v>
      </c>
      <c r="M58" s="872" t="s">
        <v>493</v>
      </c>
      <c r="N58" s="873"/>
      <c r="O58" s="873"/>
      <c r="P58" s="873"/>
      <c r="Q58" s="874"/>
      <c r="R58" s="45">
        <f>SUM(R53:R57)</f>
        <v>5</v>
      </c>
      <c r="S58" s="45">
        <f t="shared" ref="S58:T58" si="30">SUM(S53:S57)</f>
        <v>3.6387394934469319</v>
      </c>
      <c r="T58" s="45">
        <f t="shared" si="30"/>
        <v>3.302311420152459</v>
      </c>
      <c r="U58" s="45">
        <f>SUM(U53:U57)</f>
        <v>23.958181861761453</v>
      </c>
      <c r="V58" s="45">
        <f>SUM(V53:V57)</f>
        <v>3.2302290631913326</v>
      </c>
      <c r="W58" s="45">
        <f>SUM(W53:W57)</f>
        <v>5.3468987102209544</v>
      </c>
      <c r="X58" s="48"/>
      <c r="Y58" s="48"/>
      <c r="Z58" s="48"/>
    </row>
    <row r="59" spans="1:26" ht="15.6">
      <c r="A59" s="825"/>
      <c r="B59" s="825"/>
      <c r="C59" s="966"/>
      <c r="D59" s="951"/>
      <c r="E59" s="23"/>
      <c r="F59" s="23"/>
      <c r="G59" s="23"/>
      <c r="H59" s="23"/>
      <c r="I59" s="23"/>
      <c r="J59" s="23"/>
      <c r="K59" s="23"/>
      <c r="L59" s="23"/>
      <c r="M59" s="872" t="s">
        <v>494</v>
      </c>
      <c r="N59" s="873"/>
      <c r="O59" s="873"/>
      <c r="P59" s="873"/>
      <c r="Q59" s="874"/>
      <c r="R59" s="45">
        <f>R58/SUM($R58:$W58)</f>
        <v>0.11241927033388806</v>
      </c>
      <c r="S59" s="45">
        <f t="shared" ref="S59:T59" si="31">S58/SUM($R58:$W58)</f>
        <v>8.1812887757681099E-2</v>
      </c>
      <c r="T59" s="45">
        <f t="shared" si="31"/>
        <v>7.4248688053761017E-2</v>
      </c>
      <c r="U59" s="45">
        <f>U58/SUM($R58:$W58)</f>
        <v>0.53867226468516283</v>
      </c>
      <c r="V59" s="45">
        <f>V58/SUM($R58:$W58)</f>
        <v>7.2627998859057671E-2</v>
      </c>
      <c r="W59" s="45">
        <f>W58/SUM($R58:$W58)</f>
        <v>0.12021889031044937</v>
      </c>
      <c r="X59" s="17"/>
      <c r="Y59" s="17"/>
      <c r="Z59" s="17"/>
    </row>
    <row r="60" spans="1:26" ht="15.6">
      <c r="A60" s="825"/>
      <c r="B60" s="825"/>
      <c r="C60" s="966"/>
      <c r="D60" s="951"/>
      <c r="E60" s="446"/>
      <c r="F60" s="941"/>
      <c r="G60" s="942"/>
      <c r="H60" s="942"/>
      <c r="I60" s="942"/>
      <c r="J60" s="942"/>
      <c r="K60" s="942"/>
      <c r="L60" s="942"/>
      <c r="M60" s="942"/>
      <c r="N60" s="942"/>
      <c r="O60" s="942"/>
      <c r="P60" s="942"/>
      <c r="Q60" s="942"/>
      <c r="R60" s="942"/>
      <c r="S60" s="942"/>
      <c r="T60" s="942"/>
      <c r="U60" s="942"/>
      <c r="V60" s="942"/>
      <c r="W60" s="943"/>
      <c r="X60" s="17"/>
      <c r="Y60" s="17"/>
      <c r="Z60" s="17"/>
    </row>
    <row r="61" spans="1:26" ht="15.6">
      <c r="A61" s="825"/>
      <c r="B61" s="825"/>
      <c r="C61" s="966"/>
      <c r="D61" s="951"/>
      <c r="E61" s="23"/>
      <c r="F61" s="30">
        <f>'Input Sheet'!AU58</f>
        <v>1</v>
      </c>
      <c r="G61" s="30">
        <f>'Input Sheet'!AV58</f>
        <v>0.9</v>
      </c>
      <c r="H61" s="30">
        <f>'Input Sheet'!AW58</f>
        <v>0.75</v>
      </c>
      <c r="I61" s="30">
        <f>'Input Sheet'!AX58</f>
        <v>0.85</v>
      </c>
      <c r="J61" s="30">
        <f>'Input Sheet'!AY58</f>
        <v>0.55000000000000004</v>
      </c>
      <c r="K61" s="30">
        <f>'Input Sheet'!AZ58</f>
        <v>0.35</v>
      </c>
      <c r="L61" s="23"/>
      <c r="M61" s="957" t="s">
        <v>495</v>
      </c>
      <c r="N61" s="958"/>
      <c r="O61" s="958"/>
      <c r="P61" s="958"/>
      <c r="Q61" s="959"/>
      <c r="R61" s="45">
        <f>R59*F61</f>
        <v>0.11241927033388806</v>
      </c>
      <c r="S61" s="45">
        <f t="shared" ref="S61:T61" si="32">S59*G61</f>
        <v>7.3631598981912988E-2</v>
      </c>
      <c r="T61" s="45">
        <f t="shared" si="32"/>
        <v>5.5686516040320766E-2</v>
      </c>
      <c r="U61" s="45">
        <f>U59*I61</f>
        <v>0.45787142498238836</v>
      </c>
      <c r="V61" s="45">
        <f>V59*J61</f>
        <v>3.9945399372481726E-2</v>
      </c>
      <c r="W61" s="45">
        <f>W59*K61</f>
        <v>4.2076611608657277E-2</v>
      </c>
      <c r="X61" s="17"/>
      <c r="Y61" s="17"/>
      <c r="Z61" s="17"/>
    </row>
    <row r="62" spans="1:26" ht="15.6" customHeight="1">
      <c r="A62" s="825"/>
      <c r="B62" s="825"/>
      <c r="C62" s="966"/>
      <c r="D62" s="951"/>
      <c r="E62" s="23"/>
      <c r="F62" s="960" t="s">
        <v>923</v>
      </c>
      <c r="G62" s="961"/>
      <c r="H62" s="961"/>
      <c r="I62" s="961"/>
      <c r="J62" s="961"/>
      <c r="K62" s="961"/>
      <c r="L62" s="961"/>
      <c r="M62" s="961"/>
      <c r="N62" s="961"/>
      <c r="O62" s="961"/>
      <c r="P62" s="961"/>
      <c r="Q62" s="962"/>
      <c r="R62" s="45">
        <f>R61</f>
        <v>0.11241927033388806</v>
      </c>
      <c r="S62" s="45">
        <f>S61*'Input Sheet'!BI50/'Input Sheet'!BH50</f>
        <v>4.8426343860997284E-2</v>
      </c>
      <c r="T62" s="45">
        <f>T61*'Input Sheet'!BJ50/'Input Sheet'!BH50</f>
        <v>1.9062370816312582E-2</v>
      </c>
      <c r="U62" s="45">
        <f>U61</f>
        <v>0.45787142498238836</v>
      </c>
      <c r="V62" s="45">
        <f>V61</f>
        <v>3.9945399372481726E-2</v>
      </c>
      <c r="W62" s="45">
        <f>W61</f>
        <v>4.2076611608657277E-2</v>
      </c>
      <c r="X62" s="17"/>
      <c r="Y62" s="17"/>
      <c r="Z62" s="17"/>
    </row>
    <row r="63" spans="1:26" ht="15.6" customHeight="1">
      <c r="A63" s="825"/>
      <c r="B63" s="825"/>
      <c r="C63" s="966"/>
      <c r="D63" s="951"/>
      <c r="E63" s="23"/>
      <c r="F63" s="963" t="s">
        <v>924</v>
      </c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Q63" s="965"/>
      <c r="R63" s="50">
        <f>R62/(R62+U62+V62+W62+S62+T62)</f>
        <v>0.15618095082620778</v>
      </c>
      <c r="S63" s="50">
        <f>S62/(R62+S62+T62+U62+V62+W62)</f>
        <v>6.7277366298360911E-2</v>
      </c>
      <c r="T63" s="50">
        <f>T62/(R62+S62+T62+U62+V62+W62)</f>
        <v>2.648281909543761E-2</v>
      </c>
      <c r="U63" s="50">
        <f>U62/(R62+U62+V62+W62+S62+T62)</f>
        <v>0.63610797595030832</v>
      </c>
      <c r="V63" s="50">
        <f>V62/(R62+U62+V62+W62+S62+T62)</f>
        <v>5.5495027112324007E-2</v>
      </c>
      <c r="W63" s="50">
        <f>W62/(R62+U62+V62+W62+S62+T62)</f>
        <v>5.845586071736128E-2</v>
      </c>
      <c r="X63" s="17"/>
      <c r="Y63" s="17"/>
      <c r="Z63" s="17"/>
    </row>
    <row r="64" spans="1:26" ht="15.6" customHeight="1">
      <c r="A64" s="825"/>
      <c r="B64" s="825"/>
      <c r="C64" s="966"/>
      <c r="D64" s="951"/>
      <c r="E64" s="23"/>
      <c r="F64" s="963" t="s">
        <v>925</v>
      </c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Q64" s="965"/>
      <c r="R64" s="51">
        <f t="shared" ref="R64:W64" si="33">ROUND($C53*$E$2*R63/100,0)*100</f>
        <v>9600</v>
      </c>
      <c r="S64" s="51">
        <f t="shared" si="33"/>
        <v>4100</v>
      </c>
      <c r="T64" s="51">
        <f t="shared" si="33"/>
        <v>1600</v>
      </c>
      <c r="U64" s="51">
        <f t="shared" si="33"/>
        <v>39000</v>
      </c>
      <c r="V64" s="51">
        <f t="shared" si="33"/>
        <v>3400</v>
      </c>
      <c r="W64" s="51">
        <f t="shared" si="33"/>
        <v>3600</v>
      </c>
      <c r="X64" s="17"/>
      <c r="Y64" s="17"/>
      <c r="Z64" s="17"/>
    </row>
    <row r="65" spans="1:26" ht="15.6">
      <c r="A65" s="825">
        <v>6</v>
      </c>
      <c r="B65" s="825" t="s">
        <v>640</v>
      </c>
      <c r="C65" s="966">
        <f>Buckets!N8</f>
        <v>6.4202334630350189E-2</v>
      </c>
      <c r="D65" s="951" t="s">
        <v>490</v>
      </c>
      <c r="E65" s="23" t="s">
        <v>457</v>
      </c>
      <c r="F65" s="30">
        <f>'Input Sheet'!AU63</f>
        <v>1</v>
      </c>
      <c r="G65" s="30">
        <f>'Input Sheet'!AV63</f>
        <v>0.75662323427295941</v>
      </c>
      <c r="H65" s="30">
        <f>'Input Sheet'!AW63</f>
        <v>0.78815232254966061</v>
      </c>
      <c r="I65" s="30">
        <f>'Input Sheet'!AX63</f>
        <v>23.401412200125957</v>
      </c>
      <c r="J65" s="30">
        <f>'Input Sheet'!AY63</f>
        <v>0.18220372268939963</v>
      </c>
      <c r="K65" s="30">
        <f>'Input Sheet'!AZ63</f>
        <v>0.12124969965332225</v>
      </c>
      <c r="L65" s="62">
        <v>1</v>
      </c>
      <c r="M65" s="30">
        <f>L65/L$34</f>
        <v>0.2</v>
      </c>
      <c r="N65" s="29"/>
      <c r="O65" s="29"/>
      <c r="P65" s="29"/>
      <c r="Q65" s="29"/>
      <c r="R65" s="45">
        <f>F65</f>
        <v>1</v>
      </c>
      <c r="S65" s="45">
        <f t="shared" ref="S65:W69" si="34">G65</f>
        <v>0.75662323427295941</v>
      </c>
      <c r="T65" s="45">
        <f t="shared" si="34"/>
        <v>0.78815232254966061</v>
      </c>
      <c r="U65" s="45">
        <f t="shared" si="34"/>
        <v>23.401412200125957</v>
      </c>
      <c r="V65" s="45">
        <f t="shared" si="34"/>
        <v>0.18220372268939963</v>
      </c>
      <c r="W65" s="45">
        <f t="shared" si="34"/>
        <v>0.12124969965332225</v>
      </c>
      <c r="X65" s="46"/>
      <c r="Y65" s="46"/>
      <c r="Z65" s="46"/>
    </row>
    <row r="66" spans="1:26" ht="31.35" customHeight="1">
      <c r="A66" s="825"/>
      <c r="B66" s="825"/>
      <c r="C66" s="966"/>
      <c r="D66" s="951"/>
      <c r="E66" s="23" t="s">
        <v>491</v>
      </c>
      <c r="F66" s="30">
        <f>'Input Sheet'!AU64</f>
        <v>1</v>
      </c>
      <c r="G66" s="30">
        <f>'Input Sheet'!AV64</f>
        <v>0.59539447866983664</v>
      </c>
      <c r="H66" s="30">
        <f>'Input Sheet'!AW64</f>
        <v>0.261195493816474</v>
      </c>
      <c r="I66" s="30">
        <f>'Input Sheet'!AX64</f>
        <v>3.6280697666781755E-2</v>
      </c>
      <c r="J66" s="30">
        <f>'Input Sheet'!AY64</f>
        <v>0.20822262745216696</v>
      </c>
      <c r="K66" s="30">
        <f>'Input Sheet'!AZ64</f>
        <v>8.1851657477417343E-3</v>
      </c>
      <c r="L66" s="62">
        <v>1</v>
      </c>
      <c r="M66" s="30">
        <f t="shared" ref="M66:M69" si="35">L66/L$34</f>
        <v>0.2</v>
      </c>
      <c r="N66" s="29"/>
      <c r="O66" s="29"/>
      <c r="P66" s="29"/>
      <c r="Q66" s="29"/>
      <c r="R66" s="45">
        <f t="shared" ref="R66:R69" si="36">F66</f>
        <v>1</v>
      </c>
      <c r="S66" s="45">
        <f t="shared" si="34"/>
        <v>0.59539447866983664</v>
      </c>
      <c r="T66" s="45">
        <f t="shared" si="34"/>
        <v>0.261195493816474</v>
      </c>
      <c r="U66" s="45">
        <f t="shared" si="34"/>
        <v>3.6280697666781755E-2</v>
      </c>
      <c r="V66" s="45">
        <f t="shared" si="34"/>
        <v>0.20822262745216696</v>
      </c>
      <c r="W66" s="45">
        <f t="shared" si="34"/>
        <v>8.1851657477417343E-3</v>
      </c>
      <c r="X66" s="46"/>
      <c r="Y66" s="46"/>
      <c r="Z66" s="46"/>
    </row>
    <row r="67" spans="1:26" ht="15.6">
      <c r="A67" s="825"/>
      <c r="B67" s="825"/>
      <c r="C67" s="966"/>
      <c r="D67" s="951"/>
      <c r="E67" s="23" t="s">
        <v>459</v>
      </c>
      <c r="F67" s="30">
        <f>'Input Sheet'!AU65</f>
        <v>1</v>
      </c>
      <c r="G67" s="30">
        <f>'Input Sheet'!AV65</f>
        <v>1</v>
      </c>
      <c r="H67" s="30">
        <f>'Input Sheet'!AW65</f>
        <v>1</v>
      </c>
      <c r="I67" s="30">
        <f>'Input Sheet'!AX65</f>
        <v>0.28275968979620331</v>
      </c>
      <c r="J67" s="30">
        <f>'Input Sheet'!AY65</f>
        <v>1</v>
      </c>
      <c r="K67" s="30">
        <f>'Input Sheet'!AZ65</f>
        <v>0.49138550543985771</v>
      </c>
      <c r="L67" s="62">
        <v>1</v>
      </c>
      <c r="M67" s="30">
        <f t="shared" si="35"/>
        <v>0.2</v>
      </c>
      <c r="N67" s="29"/>
      <c r="O67" s="29"/>
      <c r="P67" s="29"/>
      <c r="Q67" s="29"/>
      <c r="R67" s="45">
        <f t="shared" si="36"/>
        <v>1</v>
      </c>
      <c r="S67" s="45">
        <f t="shared" si="34"/>
        <v>1</v>
      </c>
      <c r="T67" s="45">
        <f t="shared" si="34"/>
        <v>1</v>
      </c>
      <c r="U67" s="45">
        <f t="shared" si="34"/>
        <v>0.28275968979620331</v>
      </c>
      <c r="V67" s="45">
        <f t="shared" si="34"/>
        <v>1</v>
      </c>
      <c r="W67" s="45">
        <f t="shared" si="34"/>
        <v>0.49138550543985771</v>
      </c>
      <c r="X67" s="46"/>
      <c r="Y67" s="46"/>
      <c r="Z67" s="46"/>
    </row>
    <row r="68" spans="1:26" ht="15.6">
      <c r="A68" s="825"/>
      <c r="B68" s="825"/>
      <c r="C68" s="966"/>
      <c r="D68" s="951"/>
      <c r="E68" s="23" t="s">
        <v>492</v>
      </c>
      <c r="F68" s="30">
        <f>'Input Sheet'!AU66</f>
        <v>1</v>
      </c>
      <c r="G68" s="30">
        <f>'Input Sheet'!AV66</f>
        <v>0.66199319669083379</v>
      </c>
      <c r="H68" s="30">
        <f>'Input Sheet'!AW66</f>
        <v>0.66199319669083379</v>
      </c>
      <c r="I68" s="30">
        <f>'Input Sheet'!AX66</f>
        <v>3.4469852208994722</v>
      </c>
      <c r="J68" s="30">
        <f>'Input Sheet'!AY66</f>
        <v>0.66199319669083379</v>
      </c>
      <c r="K68" s="30">
        <f>'Input Sheet'!AZ66</f>
        <v>3.4469852208994722</v>
      </c>
      <c r="L68" s="62">
        <v>1</v>
      </c>
      <c r="M68" s="30">
        <f t="shared" si="35"/>
        <v>0.2</v>
      </c>
      <c r="N68" s="29"/>
      <c r="O68" s="29"/>
      <c r="P68" s="29"/>
      <c r="Q68" s="29"/>
      <c r="R68" s="45">
        <f t="shared" si="36"/>
        <v>1</v>
      </c>
      <c r="S68" s="45">
        <f t="shared" si="34"/>
        <v>0.66199319669083379</v>
      </c>
      <c r="T68" s="45">
        <f t="shared" si="34"/>
        <v>0.66199319669083379</v>
      </c>
      <c r="U68" s="45">
        <f t="shared" si="34"/>
        <v>3.4469852208994722</v>
      </c>
      <c r="V68" s="45">
        <f t="shared" si="34"/>
        <v>0.66199319669083379</v>
      </c>
      <c r="W68" s="45">
        <f t="shared" si="34"/>
        <v>3.4469852208994722</v>
      </c>
      <c r="X68" s="46"/>
      <c r="Y68" s="46"/>
      <c r="Z68" s="46"/>
    </row>
    <row r="69" spans="1:26" ht="15.6">
      <c r="A69" s="825"/>
      <c r="B69" s="825"/>
      <c r="C69" s="966"/>
      <c r="D69" s="951"/>
      <c r="E69" s="34" t="s">
        <v>461</v>
      </c>
      <c r="F69" s="30">
        <f>'Input Sheet'!AU67</f>
        <v>1</v>
      </c>
      <c r="G69" s="30">
        <f>'Input Sheet'!AV67</f>
        <v>0.54247832794327511</v>
      </c>
      <c r="H69" s="30">
        <f>'Input Sheet'!AW67</f>
        <v>0.31110847407961917</v>
      </c>
      <c r="I69" s="30">
        <f>'Input Sheet'!AX67</f>
        <v>0.11758133171956553</v>
      </c>
      <c r="J69" s="30">
        <f>'Input Sheet'!AY67</f>
        <v>1</v>
      </c>
      <c r="K69" s="30">
        <f>'Input Sheet'!AZ67</f>
        <v>1</v>
      </c>
      <c r="L69" s="62">
        <v>1</v>
      </c>
      <c r="M69" s="30">
        <f t="shared" si="35"/>
        <v>0.2</v>
      </c>
      <c r="N69" s="29"/>
      <c r="O69" s="29"/>
      <c r="P69" s="29"/>
      <c r="Q69" s="29"/>
      <c r="R69" s="45">
        <f t="shared" si="36"/>
        <v>1</v>
      </c>
      <c r="S69" s="45">
        <f t="shared" si="34"/>
        <v>0.54247832794327511</v>
      </c>
      <c r="T69" s="45">
        <f t="shared" si="34"/>
        <v>0.31110847407961917</v>
      </c>
      <c r="U69" s="45">
        <f t="shared" si="34"/>
        <v>0.11758133171956553</v>
      </c>
      <c r="V69" s="45">
        <f t="shared" si="34"/>
        <v>1</v>
      </c>
      <c r="W69" s="45">
        <f t="shared" si="34"/>
        <v>1</v>
      </c>
      <c r="X69" s="46"/>
      <c r="Y69" s="46"/>
      <c r="Z69" s="46"/>
    </row>
    <row r="70" spans="1:26" ht="15.6">
      <c r="A70" s="825">
        <v>2</v>
      </c>
      <c r="B70" s="825"/>
      <c r="C70" s="966"/>
      <c r="D70" s="951"/>
      <c r="E70" s="23" t="s">
        <v>38</v>
      </c>
      <c r="F70" s="47"/>
      <c r="G70" s="47"/>
      <c r="H70" s="47"/>
      <c r="I70" s="47"/>
      <c r="J70" s="47"/>
      <c r="K70" s="47"/>
      <c r="L70" s="449">
        <f>SUM(L65:L69)</f>
        <v>5</v>
      </c>
      <c r="M70" s="872" t="s">
        <v>493</v>
      </c>
      <c r="N70" s="873"/>
      <c r="O70" s="873"/>
      <c r="P70" s="873"/>
      <c r="Q70" s="874"/>
      <c r="R70" s="45">
        <f>SUM(R65:R69)</f>
        <v>5</v>
      </c>
      <c r="S70" s="45">
        <f t="shared" ref="S70:T70" si="37">SUM(S65:S69)</f>
        <v>3.5564892375769048</v>
      </c>
      <c r="T70" s="45">
        <f t="shared" si="37"/>
        <v>3.0224494871365875</v>
      </c>
      <c r="U70" s="45">
        <f>SUM(U65:U69)</f>
        <v>27.285019140207982</v>
      </c>
      <c r="V70" s="45">
        <f>SUM(V65:V69)</f>
        <v>3.0524195468324002</v>
      </c>
      <c r="W70" s="45">
        <f>SUM(W65:W69)</f>
        <v>5.0678055917403935</v>
      </c>
      <c r="X70" s="48"/>
      <c r="Y70" s="48"/>
      <c r="Z70" s="48"/>
    </row>
    <row r="71" spans="1:26" ht="15.6">
      <c r="A71" s="825"/>
      <c r="B71" s="825"/>
      <c r="C71" s="966"/>
      <c r="D71" s="951"/>
      <c r="E71" s="23"/>
      <c r="F71" s="23"/>
      <c r="G71" s="23"/>
      <c r="H71" s="23"/>
      <c r="I71" s="23"/>
      <c r="J71" s="23"/>
      <c r="K71" s="23"/>
      <c r="L71" s="23"/>
      <c r="M71" s="872" t="s">
        <v>494</v>
      </c>
      <c r="N71" s="873"/>
      <c r="O71" s="873"/>
      <c r="P71" s="873"/>
      <c r="Q71" s="874"/>
      <c r="R71" s="45">
        <f>R70/SUM($R70:$W70)</f>
        <v>0.10641879203535676</v>
      </c>
      <c r="S71" s="45">
        <f t="shared" ref="S71:T71" si="38">S70/SUM($R70:$W70)</f>
        <v>7.5695457709936229E-2</v>
      </c>
      <c r="T71" s="45">
        <f t="shared" si="38"/>
        <v>6.432908468179184E-2</v>
      </c>
      <c r="U71" s="45">
        <f>U70/SUM($R70:$W70)</f>
        <v>0.58072775551250444</v>
      </c>
      <c r="V71" s="45">
        <f>V70/SUM($R70:$W70)</f>
        <v>6.4966960191803022E-2</v>
      </c>
      <c r="W71" s="45">
        <f>W70/SUM($R70:$W70)</f>
        <v>0.10786194986860781</v>
      </c>
      <c r="X71" s="17"/>
      <c r="Y71" s="17"/>
      <c r="Z71" s="17"/>
    </row>
    <row r="72" spans="1:26" ht="15.6">
      <c r="A72" s="825"/>
      <c r="B72" s="825"/>
      <c r="C72" s="966"/>
      <c r="D72" s="951"/>
      <c r="E72" s="446"/>
      <c r="F72" s="941"/>
      <c r="G72" s="942"/>
      <c r="H72" s="942"/>
      <c r="I72" s="942"/>
      <c r="J72" s="942"/>
      <c r="K72" s="942"/>
      <c r="L72" s="942"/>
      <c r="M72" s="942"/>
      <c r="N72" s="942"/>
      <c r="O72" s="942"/>
      <c r="P72" s="942"/>
      <c r="Q72" s="942"/>
      <c r="R72" s="942"/>
      <c r="S72" s="942"/>
      <c r="T72" s="942"/>
      <c r="U72" s="942"/>
      <c r="V72" s="942"/>
      <c r="W72" s="943"/>
      <c r="X72" s="17"/>
      <c r="Y72" s="17"/>
      <c r="Z72" s="17"/>
    </row>
    <row r="73" spans="1:26" ht="15.6">
      <c r="A73" s="825"/>
      <c r="B73" s="825"/>
      <c r="C73" s="966"/>
      <c r="D73" s="951"/>
      <c r="E73" s="23"/>
      <c r="F73" s="30">
        <f>'Input Sheet'!AU69</f>
        <v>1</v>
      </c>
      <c r="G73" s="30">
        <f>'Input Sheet'!AV69</f>
        <v>0.9</v>
      </c>
      <c r="H73" s="30">
        <f>'Input Sheet'!AW69</f>
        <v>0.75</v>
      </c>
      <c r="I73" s="30">
        <f>'Input Sheet'!AX69</f>
        <v>0.9</v>
      </c>
      <c r="J73" s="30">
        <f>'Input Sheet'!AY69</f>
        <v>0.55000000000000004</v>
      </c>
      <c r="K73" s="30">
        <f>'Input Sheet'!AZ69</f>
        <v>0.35</v>
      </c>
      <c r="L73" s="23"/>
      <c r="M73" s="957" t="s">
        <v>495</v>
      </c>
      <c r="N73" s="958"/>
      <c r="O73" s="958"/>
      <c r="P73" s="958"/>
      <c r="Q73" s="959"/>
      <c r="R73" s="45">
        <f>R71*F73</f>
        <v>0.10641879203535676</v>
      </c>
      <c r="S73" s="45">
        <f t="shared" ref="S73:T73" si="39">S71*G73</f>
        <v>6.8125911938942602E-2</v>
      </c>
      <c r="T73" s="45">
        <f t="shared" si="39"/>
        <v>4.8246813511343883E-2</v>
      </c>
      <c r="U73" s="45">
        <f>U71*I73</f>
        <v>0.52265497996125398</v>
      </c>
      <c r="V73" s="45">
        <f>V71*J73</f>
        <v>3.5731828105491664E-2</v>
      </c>
      <c r="W73" s="45">
        <f>W71*K73</f>
        <v>3.7751682454012732E-2</v>
      </c>
      <c r="X73" s="17"/>
      <c r="Y73" s="17"/>
      <c r="Z73" s="17"/>
    </row>
    <row r="74" spans="1:26" ht="15.6" customHeight="1">
      <c r="A74" s="825"/>
      <c r="B74" s="825"/>
      <c r="C74" s="966"/>
      <c r="D74" s="951"/>
      <c r="E74" s="23"/>
      <c r="F74" s="960" t="s">
        <v>923</v>
      </c>
      <c r="G74" s="961"/>
      <c r="H74" s="961"/>
      <c r="I74" s="961"/>
      <c r="J74" s="961"/>
      <c r="K74" s="961"/>
      <c r="L74" s="961"/>
      <c r="M74" s="961"/>
      <c r="N74" s="961"/>
      <c r="O74" s="961"/>
      <c r="P74" s="961"/>
      <c r="Q74" s="962"/>
      <c r="R74" s="45">
        <f>R73</f>
        <v>0.10641879203535676</v>
      </c>
      <c r="S74" s="45">
        <f>S73*'Input Sheet'!BI61/'Input Sheet'!BH61</f>
        <v>6.6485486297353333E-2</v>
      </c>
      <c r="T74" s="45">
        <f>T73*'Input Sheet'!BJ61/'Input Sheet'!BH61</f>
        <v>1.1617504669870339E-3</v>
      </c>
      <c r="U74" s="45">
        <f>U73</f>
        <v>0.52265497996125398</v>
      </c>
      <c r="V74" s="45">
        <f>V73</f>
        <v>3.5731828105491664E-2</v>
      </c>
      <c r="W74" s="45">
        <f>W73</f>
        <v>3.7751682454012732E-2</v>
      </c>
      <c r="X74" s="17"/>
      <c r="Y74" s="17"/>
      <c r="Z74" s="17"/>
    </row>
    <row r="75" spans="1:26" ht="15.6" customHeight="1">
      <c r="A75" s="825"/>
      <c r="B75" s="825"/>
      <c r="C75" s="966"/>
      <c r="D75" s="951"/>
      <c r="E75" s="23"/>
      <c r="F75" s="963" t="s">
        <v>924</v>
      </c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Q75" s="965"/>
      <c r="R75" s="50">
        <f>R74/(R74+U74+V74+W74+S74+T74)</f>
        <v>0.13816952428330218</v>
      </c>
      <c r="S75" s="50">
        <f>S74/(R74+S74+T74+U74+V74+W74)</f>
        <v>8.6321859492609676E-2</v>
      </c>
      <c r="T75" s="50">
        <f>T74/(R74+S74+T74+U74+V74+W74)</f>
        <v>1.5083662038389957E-3</v>
      </c>
      <c r="U75" s="50">
        <f>U74/(R74+U74+V74+W74+S74+T74)</f>
        <v>0.67859246063939971</v>
      </c>
      <c r="V75" s="50">
        <f>V74/(R74+U74+V74+W74+S74+T74)</f>
        <v>4.6392649236877408E-2</v>
      </c>
      <c r="W75" s="50">
        <f>W74/(R74+U74+V74+W74+S74+T74)</f>
        <v>4.9015140143972021E-2</v>
      </c>
      <c r="X75" s="17"/>
      <c r="Y75" s="17"/>
      <c r="Z75" s="17"/>
    </row>
    <row r="76" spans="1:26" ht="15.6" customHeight="1">
      <c r="A76" s="825"/>
      <c r="B76" s="825"/>
      <c r="C76" s="966"/>
      <c r="D76" s="951"/>
      <c r="E76" s="23"/>
      <c r="F76" s="963" t="s">
        <v>925</v>
      </c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Q76" s="965"/>
      <c r="R76" s="51">
        <f t="shared" ref="R76:W76" si="40">ROUND($C65*$E$2*R75/100,0)*100</f>
        <v>5100</v>
      </c>
      <c r="S76" s="51">
        <f t="shared" si="40"/>
        <v>3200</v>
      </c>
      <c r="T76" s="51">
        <f t="shared" si="40"/>
        <v>100</v>
      </c>
      <c r="U76" s="51">
        <f t="shared" si="40"/>
        <v>24900</v>
      </c>
      <c r="V76" s="51">
        <f t="shared" si="40"/>
        <v>1700</v>
      </c>
      <c r="W76" s="51">
        <f t="shared" si="40"/>
        <v>1800</v>
      </c>
      <c r="X76" s="17"/>
      <c r="Y76" s="17"/>
      <c r="Z76" s="17"/>
    </row>
    <row r="77" spans="1:26" ht="15.6">
      <c r="A77" s="825">
        <v>7</v>
      </c>
      <c r="B77" s="825" t="s">
        <v>641</v>
      </c>
      <c r="C77" s="966">
        <f>Buckets!N9</f>
        <v>0.12244540260104463</v>
      </c>
      <c r="D77" s="951" t="s">
        <v>490</v>
      </c>
      <c r="E77" s="23" t="s">
        <v>457</v>
      </c>
      <c r="F77" s="30">
        <f>'Input Sheet'!AU74</f>
        <v>1</v>
      </c>
      <c r="G77" s="30">
        <f>'Input Sheet'!AV74</f>
        <v>0.61755196181795047</v>
      </c>
      <c r="H77" s="30">
        <f>'Input Sheet'!AW74</f>
        <v>0.79256885167233826</v>
      </c>
      <c r="I77" s="30">
        <f>'Input Sheet'!AX74</f>
        <v>10.925500505407328</v>
      </c>
      <c r="J77" s="30">
        <f>'Input Sheet'!AY74</f>
        <v>0.25268271903778911</v>
      </c>
      <c r="K77" s="30">
        <f>'Input Sheet'!AZ74</f>
        <v>0.19005357583754579</v>
      </c>
      <c r="L77" s="62">
        <v>1</v>
      </c>
      <c r="M77" s="30">
        <f>L77/L$34</f>
        <v>0.2</v>
      </c>
      <c r="N77" s="29"/>
      <c r="O77" s="29"/>
      <c r="P77" s="29"/>
      <c r="Q77" s="29"/>
      <c r="R77" s="45">
        <f>F77</f>
        <v>1</v>
      </c>
      <c r="S77" s="45">
        <f t="shared" ref="S77:W81" si="41">G77</f>
        <v>0.61755196181795047</v>
      </c>
      <c r="T77" s="45">
        <f t="shared" si="41"/>
        <v>0.79256885167233826</v>
      </c>
      <c r="U77" s="45">
        <f t="shared" si="41"/>
        <v>10.925500505407328</v>
      </c>
      <c r="V77" s="45">
        <f t="shared" si="41"/>
        <v>0.25268271903778911</v>
      </c>
      <c r="W77" s="45">
        <f t="shared" si="41"/>
        <v>0.19005357583754579</v>
      </c>
      <c r="X77" s="46"/>
      <c r="Y77" s="46"/>
      <c r="Z77" s="46"/>
    </row>
    <row r="78" spans="1:26" ht="31.35" customHeight="1">
      <c r="A78" s="825"/>
      <c r="B78" s="825"/>
      <c r="C78" s="966"/>
      <c r="D78" s="951"/>
      <c r="E78" s="23" t="s">
        <v>491</v>
      </c>
      <c r="F78" s="30">
        <f>'Input Sheet'!AU75</f>
        <v>1</v>
      </c>
      <c r="G78" s="30">
        <f>'Input Sheet'!AV75</f>
        <v>0.49456030586057803</v>
      </c>
      <c r="H78" s="30">
        <f>'Input Sheet'!AW75</f>
        <v>0.30928823894663476</v>
      </c>
      <c r="I78" s="30">
        <f>'Input Sheet'!AX75</f>
        <v>2.0468155744742429E-2</v>
      </c>
      <c r="J78" s="30">
        <f>'Input Sheet'!AY75</f>
        <v>0.24932535739437228</v>
      </c>
      <c r="K78" s="30">
        <f>'Input Sheet'!AZ75</f>
        <v>4.4627353201637902E-3</v>
      </c>
      <c r="L78" s="62">
        <v>1</v>
      </c>
      <c r="M78" s="30">
        <f t="shared" ref="M78:M81" si="42">L78/L$34</f>
        <v>0.2</v>
      </c>
      <c r="N78" s="29"/>
      <c r="O78" s="29"/>
      <c r="P78" s="29"/>
      <c r="Q78" s="29"/>
      <c r="R78" s="45">
        <f t="shared" ref="R78:R81" si="43">F78</f>
        <v>1</v>
      </c>
      <c r="S78" s="45">
        <f t="shared" si="41"/>
        <v>0.49456030586057803</v>
      </c>
      <c r="T78" s="45">
        <f t="shared" si="41"/>
        <v>0.30928823894663476</v>
      </c>
      <c r="U78" s="45">
        <f t="shared" si="41"/>
        <v>2.0468155744742429E-2</v>
      </c>
      <c r="V78" s="45">
        <f t="shared" si="41"/>
        <v>0.24932535739437228</v>
      </c>
      <c r="W78" s="45">
        <f t="shared" si="41"/>
        <v>4.4627353201637902E-3</v>
      </c>
      <c r="X78" s="46"/>
      <c r="Y78" s="46"/>
      <c r="Z78" s="46"/>
    </row>
    <row r="79" spans="1:26" ht="15.6">
      <c r="A79" s="825"/>
      <c r="B79" s="825"/>
      <c r="C79" s="966"/>
      <c r="D79" s="951"/>
      <c r="E79" s="23" t="s">
        <v>459</v>
      </c>
      <c r="F79" s="30">
        <f>'Input Sheet'!AU76</f>
        <v>1</v>
      </c>
      <c r="G79" s="30">
        <f>'Input Sheet'!AV76</f>
        <v>1</v>
      </c>
      <c r="H79" s="30">
        <f>'Input Sheet'!AW76</f>
        <v>1</v>
      </c>
      <c r="I79" s="30">
        <f>'Input Sheet'!AX76</f>
        <v>0.30961868311660362</v>
      </c>
      <c r="J79" s="30">
        <f>'Input Sheet'!AY76</f>
        <v>1</v>
      </c>
      <c r="K79" s="30">
        <f>'Input Sheet'!AZ76</f>
        <v>0.5900274563984732</v>
      </c>
      <c r="L79" s="62">
        <v>1</v>
      </c>
      <c r="M79" s="30">
        <f t="shared" si="42"/>
        <v>0.2</v>
      </c>
      <c r="N79" s="29"/>
      <c r="O79" s="29"/>
      <c r="P79" s="29"/>
      <c r="Q79" s="29"/>
      <c r="R79" s="45">
        <f t="shared" si="43"/>
        <v>1</v>
      </c>
      <c r="S79" s="45">
        <f t="shared" si="41"/>
        <v>1</v>
      </c>
      <c r="T79" s="45">
        <f t="shared" si="41"/>
        <v>1</v>
      </c>
      <c r="U79" s="45">
        <f t="shared" si="41"/>
        <v>0.30961868311660362</v>
      </c>
      <c r="V79" s="45">
        <f t="shared" si="41"/>
        <v>1</v>
      </c>
      <c r="W79" s="45">
        <f t="shared" si="41"/>
        <v>0.5900274563984732</v>
      </c>
      <c r="X79" s="46"/>
      <c r="Y79" s="46"/>
      <c r="Z79" s="46"/>
    </row>
    <row r="80" spans="1:26" ht="15.6">
      <c r="A80" s="825"/>
      <c r="B80" s="825"/>
      <c r="C80" s="966"/>
      <c r="D80" s="951"/>
      <c r="E80" s="23" t="s">
        <v>492</v>
      </c>
      <c r="F80" s="30">
        <f>'Input Sheet'!AU77</f>
        <v>1</v>
      </c>
      <c r="G80" s="30">
        <f>'Input Sheet'!AV77</f>
        <v>0.59155536436681477</v>
      </c>
      <c r="H80" s="30">
        <f>'Input Sheet'!AW77</f>
        <v>0.59155536436681477</v>
      </c>
      <c r="I80" s="30">
        <f>'Input Sheet'!AX77</f>
        <v>4.8307416181102738</v>
      </c>
      <c r="J80" s="30">
        <f>'Input Sheet'!AY77</f>
        <v>0.59155536436681477</v>
      </c>
      <c r="K80" s="30">
        <f>'Input Sheet'!AZ77</f>
        <v>4.8307416181102738</v>
      </c>
      <c r="L80" s="62">
        <v>1</v>
      </c>
      <c r="M80" s="30">
        <f t="shared" si="42"/>
        <v>0.2</v>
      </c>
      <c r="N80" s="29"/>
      <c r="O80" s="29"/>
      <c r="P80" s="29"/>
      <c r="Q80" s="29"/>
      <c r="R80" s="45">
        <f t="shared" si="43"/>
        <v>1</v>
      </c>
      <c r="S80" s="45">
        <f t="shared" si="41"/>
        <v>0.59155536436681477</v>
      </c>
      <c r="T80" s="45">
        <f t="shared" si="41"/>
        <v>0.59155536436681477</v>
      </c>
      <c r="U80" s="45">
        <f t="shared" si="41"/>
        <v>4.8307416181102738</v>
      </c>
      <c r="V80" s="45">
        <f t="shared" si="41"/>
        <v>0.59155536436681477</v>
      </c>
      <c r="W80" s="45">
        <f t="shared" si="41"/>
        <v>4.8307416181102738</v>
      </c>
      <c r="X80" s="46"/>
      <c r="Y80" s="46"/>
      <c r="Z80" s="46"/>
    </row>
    <row r="81" spans="1:26" ht="15.6">
      <c r="A81" s="825"/>
      <c r="B81" s="825"/>
      <c r="C81" s="966"/>
      <c r="D81" s="951"/>
      <c r="E81" s="34" t="s">
        <v>461</v>
      </c>
      <c r="F81" s="30">
        <f>'Input Sheet'!AU78</f>
        <v>1</v>
      </c>
      <c r="G81" s="30">
        <f>'Input Sheet'!AV78</f>
        <v>0.56471812200775884</v>
      </c>
      <c r="H81" s="30">
        <f>'Input Sheet'!AW78</f>
        <v>0.33591098123916224</v>
      </c>
      <c r="I81" s="30">
        <f>'Input Sheet'!AX78</f>
        <v>0.13533528323661276</v>
      </c>
      <c r="J81" s="30">
        <f>'Input Sheet'!AY78</f>
        <v>1</v>
      </c>
      <c r="K81" s="30">
        <f>'Input Sheet'!AZ78</f>
        <v>1</v>
      </c>
      <c r="L81" s="62">
        <v>1</v>
      </c>
      <c r="M81" s="30">
        <f t="shared" si="42"/>
        <v>0.2</v>
      </c>
      <c r="N81" s="29"/>
      <c r="O81" s="29"/>
      <c r="P81" s="29"/>
      <c r="Q81" s="29"/>
      <c r="R81" s="45">
        <f t="shared" si="43"/>
        <v>1</v>
      </c>
      <c r="S81" s="45">
        <f t="shared" si="41"/>
        <v>0.56471812200775884</v>
      </c>
      <c r="T81" s="45">
        <f t="shared" si="41"/>
        <v>0.33591098123916224</v>
      </c>
      <c r="U81" s="45">
        <f t="shared" si="41"/>
        <v>0.13533528323661276</v>
      </c>
      <c r="V81" s="45">
        <f t="shared" si="41"/>
        <v>1</v>
      </c>
      <c r="W81" s="45">
        <f t="shared" si="41"/>
        <v>1</v>
      </c>
      <c r="X81" s="46"/>
      <c r="Y81" s="46"/>
      <c r="Z81" s="46"/>
    </row>
    <row r="82" spans="1:26" ht="15.6">
      <c r="A82" s="825">
        <v>2</v>
      </c>
      <c r="B82" s="825"/>
      <c r="C82" s="966"/>
      <c r="D82" s="951"/>
      <c r="E82" s="23" t="s">
        <v>38</v>
      </c>
      <c r="F82" s="47"/>
      <c r="G82" s="47"/>
      <c r="H82" s="47"/>
      <c r="I82" s="47"/>
      <c r="J82" s="47"/>
      <c r="K82" s="47"/>
      <c r="L82" s="449">
        <f>SUM(L77:L81)</f>
        <v>5</v>
      </c>
      <c r="M82" s="872" t="s">
        <v>493</v>
      </c>
      <c r="N82" s="873"/>
      <c r="O82" s="873"/>
      <c r="P82" s="873"/>
      <c r="Q82" s="874"/>
      <c r="R82" s="45">
        <f>SUM(R77:R81)</f>
        <v>5</v>
      </c>
      <c r="S82" s="45">
        <f t="shared" ref="S82:T82" si="44">SUM(S77:S81)</f>
        <v>3.2683857540531021</v>
      </c>
      <c r="T82" s="45">
        <f t="shared" si="44"/>
        <v>3.0293234362249502</v>
      </c>
      <c r="U82" s="45">
        <f>SUM(U77:U81)</f>
        <v>16.221664245615564</v>
      </c>
      <c r="V82" s="45">
        <f>SUM(V77:V81)</f>
        <v>3.0935634407989765</v>
      </c>
      <c r="W82" s="45">
        <f>SUM(W77:W81)</f>
        <v>6.6152853856664571</v>
      </c>
      <c r="X82" s="48"/>
      <c r="Y82" s="48"/>
      <c r="Z82" s="48"/>
    </row>
    <row r="83" spans="1:26" ht="15.6">
      <c r="A83" s="825"/>
      <c r="B83" s="825"/>
      <c r="C83" s="966"/>
      <c r="D83" s="951"/>
      <c r="E83" s="23"/>
      <c r="F83" s="23"/>
      <c r="G83" s="23"/>
      <c r="H83" s="23"/>
      <c r="I83" s="23"/>
      <c r="J83" s="23"/>
      <c r="K83" s="23"/>
      <c r="L83" s="23"/>
      <c r="M83" s="872" t="s">
        <v>494</v>
      </c>
      <c r="N83" s="873"/>
      <c r="O83" s="873"/>
      <c r="P83" s="873"/>
      <c r="Q83" s="874"/>
      <c r="R83" s="45">
        <f>R82/SUM($R82:$W82)</f>
        <v>0.13430670862453273</v>
      </c>
      <c r="S83" s="45">
        <f t="shared" ref="S83:T83" si="45">S82/SUM($R82:$W82)</f>
        <v>8.7793226628436735E-2</v>
      </c>
      <c r="T83" s="45">
        <f t="shared" si="45"/>
        <v>8.1371692015706529E-2</v>
      </c>
      <c r="U83" s="45">
        <f>U82/SUM($R82:$W82)</f>
        <v>0.43573566664817798</v>
      </c>
      <c r="V83" s="45">
        <f>V82/SUM($R82:$W82)</f>
        <v>8.3097264730979004E-2</v>
      </c>
      <c r="W83" s="45">
        <f>W82/SUM($R82:$W82)</f>
        <v>0.17769544135216689</v>
      </c>
      <c r="X83" s="17"/>
      <c r="Y83" s="17"/>
      <c r="Z83" s="17"/>
    </row>
    <row r="84" spans="1:26" ht="15.6">
      <c r="A84" s="825"/>
      <c r="B84" s="825"/>
      <c r="C84" s="966"/>
      <c r="D84" s="951"/>
      <c r="E84" s="446"/>
      <c r="F84" s="941"/>
      <c r="G84" s="942"/>
      <c r="H84" s="942"/>
      <c r="I84" s="942"/>
      <c r="J84" s="942"/>
      <c r="K84" s="942"/>
      <c r="L84" s="942"/>
      <c r="M84" s="942"/>
      <c r="N84" s="942"/>
      <c r="O84" s="942"/>
      <c r="P84" s="942"/>
      <c r="Q84" s="942"/>
      <c r="R84" s="942"/>
      <c r="S84" s="942"/>
      <c r="T84" s="942"/>
      <c r="U84" s="942"/>
      <c r="V84" s="942"/>
      <c r="W84" s="943"/>
      <c r="X84" s="17"/>
      <c r="Y84" s="17"/>
      <c r="Z84" s="17"/>
    </row>
    <row r="85" spans="1:26" ht="15.6">
      <c r="A85" s="825"/>
      <c r="B85" s="825"/>
      <c r="C85" s="966"/>
      <c r="D85" s="951"/>
      <c r="E85" s="23"/>
      <c r="F85" s="30">
        <f>'Input Sheet'!AU80</f>
        <v>1</v>
      </c>
      <c r="G85" s="30">
        <f>'Input Sheet'!AV80</f>
        <v>0.9</v>
      </c>
      <c r="H85" s="30">
        <f>'Input Sheet'!AW80</f>
        <v>0.75</v>
      </c>
      <c r="I85" s="30">
        <f>'Input Sheet'!AX80</f>
        <v>0.85</v>
      </c>
      <c r="J85" s="30">
        <f>'Input Sheet'!AY80</f>
        <v>0.55000000000000004</v>
      </c>
      <c r="K85" s="30">
        <f>'Input Sheet'!AZ80</f>
        <v>0.35</v>
      </c>
      <c r="L85" s="23"/>
      <c r="M85" s="957" t="s">
        <v>495</v>
      </c>
      <c r="N85" s="958"/>
      <c r="O85" s="958"/>
      <c r="P85" s="958"/>
      <c r="Q85" s="959"/>
      <c r="R85" s="45">
        <f>R83*F85</f>
        <v>0.13430670862453273</v>
      </c>
      <c r="S85" s="45">
        <f t="shared" ref="S85:T85" si="46">S83*G85</f>
        <v>7.901390396559306E-2</v>
      </c>
      <c r="T85" s="45">
        <f t="shared" si="46"/>
        <v>6.1028769011779893E-2</v>
      </c>
      <c r="U85" s="45">
        <f>U83*I85</f>
        <v>0.37037531665095125</v>
      </c>
      <c r="V85" s="45">
        <f>V83*J85</f>
        <v>4.5703495602038458E-2</v>
      </c>
      <c r="W85" s="45">
        <f>W83*K85</f>
        <v>6.2193404473258405E-2</v>
      </c>
      <c r="X85" s="17"/>
      <c r="Y85" s="17"/>
      <c r="Z85" s="17"/>
    </row>
    <row r="86" spans="1:26" ht="15.6" customHeight="1">
      <c r="A86" s="825"/>
      <c r="B86" s="825"/>
      <c r="C86" s="966"/>
      <c r="D86" s="951"/>
      <c r="E86" s="23"/>
      <c r="F86" s="960" t="s">
        <v>923</v>
      </c>
      <c r="G86" s="961"/>
      <c r="H86" s="961"/>
      <c r="I86" s="961"/>
      <c r="J86" s="961"/>
      <c r="K86" s="961"/>
      <c r="L86" s="961"/>
      <c r="M86" s="961"/>
      <c r="N86" s="961"/>
      <c r="O86" s="961"/>
      <c r="P86" s="961"/>
      <c r="Q86" s="962"/>
      <c r="R86" s="45">
        <f>R85</f>
        <v>0.13430670862453273</v>
      </c>
      <c r="S86" s="45">
        <f>S85*'Input Sheet'!BI72/'Input Sheet'!BH72</f>
        <v>7.901390396559306E-2</v>
      </c>
      <c r="T86" s="45">
        <f>T85*'Input Sheet'!BJ72/'Input Sheet'!BH72</f>
        <v>0</v>
      </c>
      <c r="U86" s="45">
        <f>U85</f>
        <v>0.37037531665095125</v>
      </c>
      <c r="V86" s="45">
        <f>V85</f>
        <v>4.5703495602038458E-2</v>
      </c>
      <c r="W86" s="45">
        <f>W85</f>
        <v>6.2193404473258405E-2</v>
      </c>
      <c r="X86" s="17"/>
      <c r="Y86" s="17"/>
      <c r="Z86" s="17"/>
    </row>
    <row r="87" spans="1:26" ht="15.6" customHeight="1">
      <c r="A87" s="825"/>
      <c r="B87" s="825"/>
      <c r="C87" s="966"/>
      <c r="D87" s="951"/>
      <c r="E87" s="23"/>
      <c r="F87" s="963" t="s">
        <v>924</v>
      </c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Q87" s="965"/>
      <c r="R87" s="50">
        <f>R86/(R86+U86+V86+W86+S86+T86)</f>
        <v>0.1941991052123723</v>
      </c>
      <c r="S87" s="50">
        <f>S86/(R86+S86+T86+U86+V86+W86)</f>
        <v>0.11424916600667588</v>
      </c>
      <c r="T87" s="50">
        <f>T86/(R86+S86+T86+U86+V86+W86)</f>
        <v>0</v>
      </c>
      <c r="U87" s="50">
        <f>U86/(R86+U86+V86+W86+S86+T86)</f>
        <v>0.53553955586419266</v>
      </c>
      <c r="V87" s="50">
        <f>V86/(R86+U86+V86+W86+S86+T86)</f>
        <v>6.608439773329558E-2</v>
      </c>
      <c r="W87" s="50">
        <f>W86/(R86+U86+V86+W86+S86+T86)</f>
        <v>8.9927775183463635E-2</v>
      </c>
      <c r="X87" s="17"/>
      <c r="Y87" s="17"/>
      <c r="Z87" s="17"/>
    </row>
    <row r="88" spans="1:26" ht="15.6" customHeight="1">
      <c r="A88" s="825"/>
      <c r="B88" s="825"/>
      <c r="C88" s="966"/>
      <c r="D88" s="951"/>
      <c r="E88" s="23"/>
      <c r="F88" s="963" t="s">
        <v>925</v>
      </c>
      <c r="G88" s="964"/>
      <c r="H88" s="964"/>
      <c r="I88" s="964"/>
      <c r="J88" s="964"/>
      <c r="K88" s="964"/>
      <c r="L88" s="964"/>
      <c r="M88" s="964"/>
      <c r="N88" s="964"/>
      <c r="O88" s="964"/>
      <c r="P88" s="964"/>
      <c r="Q88" s="965"/>
      <c r="R88" s="51">
        <f t="shared" ref="R88:W88" si="47">ROUND($C77*$E$2*R87/100,0)*100</f>
        <v>13600</v>
      </c>
      <c r="S88" s="51">
        <f t="shared" si="47"/>
        <v>8000</v>
      </c>
      <c r="T88" s="51">
        <f t="shared" si="47"/>
        <v>0</v>
      </c>
      <c r="U88" s="51">
        <f t="shared" si="47"/>
        <v>37400</v>
      </c>
      <c r="V88" s="51">
        <f t="shared" si="47"/>
        <v>4600</v>
      </c>
      <c r="W88" s="51">
        <f t="shared" si="47"/>
        <v>6300</v>
      </c>
      <c r="X88" s="17"/>
      <c r="Y88" s="17"/>
      <c r="Z88" s="17"/>
    </row>
    <row r="89" spans="1:26" ht="15.6">
      <c r="A89" s="825">
        <v>8</v>
      </c>
      <c r="B89" s="825" t="s">
        <v>642</v>
      </c>
      <c r="C89" s="966">
        <f>Buckets!N10</f>
        <v>0.17739334665404705</v>
      </c>
      <c r="D89" s="951" t="s">
        <v>490</v>
      </c>
      <c r="E89" s="23" t="s">
        <v>457</v>
      </c>
      <c r="F89" s="30">
        <f>'Input Sheet'!AU85</f>
        <v>1</v>
      </c>
      <c r="G89" s="30">
        <f>'Input Sheet'!AV85</f>
        <v>0.85249553780208998</v>
      </c>
      <c r="H89" s="30">
        <f>'Input Sheet'!AW85</f>
        <v>0.8929635806832622</v>
      </c>
      <c r="I89" s="30">
        <f>'Input Sheet'!AX85</f>
        <v>26.46821837124212</v>
      </c>
      <c r="J89" s="30">
        <f>'Input Sheet'!AY85</f>
        <v>0.25127890187808877</v>
      </c>
      <c r="K89" s="30">
        <f>'Input Sheet'!AZ85</f>
        <v>0.27439241696163036</v>
      </c>
      <c r="L89" s="62">
        <v>1</v>
      </c>
      <c r="M89" s="30">
        <f>L89/L$34</f>
        <v>0.2</v>
      </c>
      <c r="N89" s="29"/>
      <c r="O89" s="29"/>
      <c r="P89" s="29"/>
      <c r="Q89" s="29"/>
      <c r="R89" s="45">
        <f>F89</f>
        <v>1</v>
      </c>
      <c r="S89" s="45">
        <f t="shared" ref="S89:W93" si="48">G89</f>
        <v>0.85249553780208998</v>
      </c>
      <c r="T89" s="45">
        <f t="shared" si="48"/>
        <v>0.8929635806832622</v>
      </c>
      <c r="U89" s="45">
        <f t="shared" si="48"/>
        <v>26.46821837124212</v>
      </c>
      <c r="V89" s="45">
        <f t="shared" si="48"/>
        <v>0.25127890187808877</v>
      </c>
      <c r="W89" s="45">
        <f t="shared" si="48"/>
        <v>0.27439241696163036</v>
      </c>
      <c r="X89" s="46"/>
      <c r="Y89" s="46"/>
      <c r="Z89" s="46"/>
    </row>
    <row r="90" spans="1:26" ht="31.35" customHeight="1">
      <c r="A90" s="825"/>
      <c r="B90" s="825"/>
      <c r="C90" s="966"/>
      <c r="D90" s="951"/>
      <c r="E90" s="23" t="s">
        <v>491</v>
      </c>
      <c r="F90" s="30">
        <f>'Input Sheet'!AU86</f>
        <v>1</v>
      </c>
      <c r="G90" s="30">
        <f>'Input Sheet'!AV86</f>
        <v>0.53503137657133737</v>
      </c>
      <c r="H90" s="30">
        <f>'Input Sheet'!AW86</f>
        <v>0.350911598412047</v>
      </c>
      <c r="I90" s="30">
        <f>'Input Sheet'!AX86</f>
        <v>2.1370676157914211E-2</v>
      </c>
      <c r="J90" s="30">
        <f>'Input Sheet'!AY86</f>
        <v>0.28883959519500702</v>
      </c>
      <c r="K90" s="30">
        <f>'Input Sheet'!AZ86</f>
        <v>7.2616616951197439E-3</v>
      </c>
      <c r="L90" s="62">
        <v>1</v>
      </c>
      <c r="M90" s="30">
        <f t="shared" ref="M90:M93" si="49">L90/L$34</f>
        <v>0.2</v>
      </c>
      <c r="N90" s="29"/>
      <c r="O90" s="29"/>
      <c r="P90" s="29"/>
      <c r="Q90" s="29"/>
      <c r="R90" s="45">
        <f t="shared" ref="R90:R93" si="50">F90</f>
        <v>1</v>
      </c>
      <c r="S90" s="45">
        <f t="shared" si="48"/>
        <v>0.53503137657133737</v>
      </c>
      <c r="T90" s="45">
        <f t="shared" si="48"/>
        <v>0.350911598412047</v>
      </c>
      <c r="U90" s="45">
        <f t="shared" si="48"/>
        <v>2.1370676157914211E-2</v>
      </c>
      <c r="V90" s="45">
        <f t="shared" si="48"/>
        <v>0.28883959519500702</v>
      </c>
      <c r="W90" s="45">
        <f t="shared" si="48"/>
        <v>7.2616616951197439E-3</v>
      </c>
      <c r="X90" s="46"/>
      <c r="Y90" s="46"/>
      <c r="Z90" s="46"/>
    </row>
    <row r="91" spans="1:26" ht="15.6">
      <c r="A91" s="825"/>
      <c r="B91" s="825"/>
      <c r="C91" s="966"/>
      <c r="D91" s="951"/>
      <c r="E91" s="23" t="s">
        <v>459</v>
      </c>
      <c r="F91" s="30">
        <f>'Input Sheet'!AU87</f>
        <v>1</v>
      </c>
      <c r="G91" s="30">
        <f>'Input Sheet'!AV87</f>
        <v>1</v>
      </c>
      <c r="H91" s="30">
        <f>'Input Sheet'!AW87</f>
        <v>1</v>
      </c>
      <c r="I91" s="30">
        <f>'Input Sheet'!AX87</f>
        <v>0.3605949401730783</v>
      </c>
      <c r="J91" s="30">
        <f>'Input Sheet'!AY87</f>
        <v>1</v>
      </c>
      <c r="K91" s="30">
        <f>'Input Sheet'!AZ87</f>
        <v>0.68215389097645196</v>
      </c>
      <c r="L91" s="62">
        <v>1</v>
      </c>
      <c r="M91" s="30">
        <f t="shared" si="49"/>
        <v>0.2</v>
      </c>
      <c r="N91" s="29"/>
      <c r="O91" s="29"/>
      <c r="P91" s="29"/>
      <c r="Q91" s="29"/>
      <c r="R91" s="45">
        <f t="shared" si="50"/>
        <v>1</v>
      </c>
      <c r="S91" s="45">
        <f t="shared" si="48"/>
        <v>1</v>
      </c>
      <c r="T91" s="45">
        <f t="shared" si="48"/>
        <v>1</v>
      </c>
      <c r="U91" s="45">
        <f t="shared" si="48"/>
        <v>0.3605949401730783</v>
      </c>
      <c r="V91" s="45">
        <f t="shared" si="48"/>
        <v>1</v>
      </c>
      <c r="W91" s="45">
        <f t="shared" si="48"/>
        <v>0.68215389097645196</v>
      </c>
      <c r="X91" s="46"/>
      <c r="Y91" s="46"/>
      <c r="Z91" s="46"/>
    </row>
    <row r="92" spans="1:26" ht="15.6">
      <c r="A92" s="825"/>
      <c r="B92" s="825"/>
      <c r="C92" s="966"/>
      <c r="D92" s="951"/>
      <c r="E92" s="23" t="s">
        <v>492</v>
      </c>
      <c r="F92" s="30">
        <f>'Input Sheet'!AU88</f>
        <v>1</v>
      </c>
      <c r="G92" s="30">
        <f>'Input Sheet'!AV88</f>
        <v>0.59155536436681477</v>
      </c>
      <c r="H92" s="30">
        <f>'Input Sheet'!AW88</f>
        <v>0.59155536436681477</v>
      </c>
      <c r="I92" s="30">
        <f>'Input Sheet'!AX88</f>
        <v>4.8307416181102738</v>
      </c>
      <c r="J92" s="30">
        <f>'Input Sheet'!AY88</f>
        <v>0.59155536436681477</v>
      </c>
      <c r="K92" s="30">
        <f>'Input Sheet'!AZ88</f>
        <v>4.8307416181102738</v>
      </c>
      <c r="L92" s="62">
        <v>1</v>
      </c>
      <c r="M92" s="30">
        <f t="shared" si="49"/>
        <v>0.2</v>
      </c>
      <c r="N92" s="29"/>
      <c r="O92" s="29"/>
      <c r="P92" s="29"/>
      <c r="Q92" s="29"/>
      <c r="R92" s="45">
        <f t="shared" si="50"/>
        <v>1</v>
      </c>
      <c r="S92" s="45">
        <f t="shared" si="48"/>
        <v>0.59155536436681477</v>
      </c>
      <c r="T92" s="45">
        <f t="shared" si="48"/>
        <v>0.59155536436681477</v>
      </c>
      <c r="U92" s="45">
        <f t="shared" si="48"/>
        <v>4.8307416181102738</v>
      </c>
      <c r="V92" s="45">
        <f t="shared" si="48"/>
        <v>0.59155536436681477</v>
      </c>
      <c r="W92" s="45">
        <f t="shared" si="48"/>
        <v>4.8307416181102738</v>
      </c>
      <c r="X92" s="46"/>
      <c r="Y92" s="46"/>
      <c r="Z92" s="46"/>
    </row>
    <row r="93" spans="1:26" ht="15.6">
      <c r="A93" s="825"/>
      <c r="B93" s="825"/>
      <c r="C93" s="966"/>
      <c r="D93" s="951"/>
      <c r="E93" s="34" t="s">
        <v>461</v>
      </c>
      <c r="F93" s="30">
        <f>'Input Sheet'!AU89</f>
        <v>1</v>
      </c>
      <c r="G93" s="30">
        <f>'Input Sheet'!AV89</f>
        <v>0.56471812200775884</v>
      </c>
      <c r="H93" s="30">
        <f>'Input Sheet'!AW89</f>
        <v>0.33591098123916224</v>
      </c>
      <c r="I93" s="30">
        <f>'Input Sheet'!AX89</f>
        <v>0.13533528323661276</v>
      </c>
      <c r="J93" s="30">
        <f>'Input Sheet'!AY89</f>
        <v>1</v>
      </c>
      <c r="K93" s="30">
        <f>'Input Sheet'!AZ89</f>
        <v>1</v>
      </c>
      <c r="L93" s="62">
        <v>1</v>
      </c>
      <c r="M93" s="30">
        <f t="shared" si="49"/>
        <v>0.2</v>
      </c>
      <c r="N93" s="29"/>
      <c r="O93" s="29"/>
      <c r="P93" s="29"/>
      <c r="Q93" s="29"/>
      <c r="R93" s="45">
        <f t="shared" si="50"/>
        <v>1</v>
      </c>
      <c r="S93" s="45">
        <f t="shared" si="48"/>
        <v>0.56471812200775884</v>
      </c>
      <c r="T93" s="45">
        <f t="shared" si="48"/>
        <v>0.33591098123916224</v>
      </c>
      <c r="U93" s="45">
        <f t="shared" si="48"/>
        <v>0.13533528323661276</v>
      </c>
      <c r="V93" s="45">
        <f t="shared" si="48"/>
        <v>1</v>
      </c>
      <c r="W93" s="45">
        <f t="shared" si="48"/>
        <v>1</v>
      </c>
      <c r="X93" s="46"/>
      <c r="Y93" s="46"/>
      <c r="Z93" s="46"/>
    </row>
    <row r="94" spans="1:26" ht="15.6">
      <c r="A94" s="825">
        <v>2</v>
      </c>
      <c r="B94" s="825"/>
      <c r="C94" s="966"/>
      <c r="D94" s="951"/>
      <c r="E94" s="23" t="s">
        <v>38</v>
      </c>
      <c r="F94" s="47"/>
      <c r="G94" s="47"/>
      <c r="H94" s="47"/>
      <c r="I94" s="47"/>
      <c r="J94" s="47"/>
      <c r="K94" s="47"/>
      <c r="L94" s="449">
        <f>SUM(L89:L93)</f>
        <v>5</v>
      </c>
      <c r="M94" s="872" t="s">
        <v>493</v>
      </c>
      <c r="N94" s="873"/>
      <c r="O94" s="873"/>
      <c r="P94" s="873"/>
      <c r="Q94" s="874"/>
      <c r="R94" s="45">
        <f>SUM(R89:R93)</f>
        <v>5</v>
      </c>
      <c r="S94" s="45">
        <f t="shared" ref="S94:T94" si="51">SUM(S89:S93)</f>
        <v>3.5438004007480011</v>
      </c>
      <c r="T94" s="45">
        <f t="shared" si="51"/>
        <v>3.1713415247012859</v>
      </c>
      <c r="U94" s="45">
        <f>SUM(U89:U93)</f>
        <v>31.816260888920002</v>
      </c>
      <c r="V94" s="45">
        <f>SUM(V89:V93)</f>
        <v>3.1316738614399107</v>
      </c>
      <c r="W94" s="45">
        <f>SUM(W89:W93)</f>
        <v>6.7945495877434761</v>
      </c>
      <c r="X94" s="48"/>
      <c r="Y94" s="48"/>
      <c r="Z94" s="48"/>
    </row>
    <row r="95" spans="1:26" ht="15.6">
      <c r="A95" s="825"/>
      <c r="B95" s="825"/>
      <c r="C95" s="966"/>
      <c r="D95" s="951"/>
      <c r="E95" s="23"/>
      <c r="F95" s="23"/>
      <c r="G95" s="23"/>
      <c r="H95" s="23"/>
      <c r="I95" s="23"/>
      <c r="J95" s="23"/>
      <c r="K95" s="23"/>
      <c r="L95" s="23"/>
      <c r="M95" s="872" t="s">
        <v>494</v>
      </c>
      <c r="N95" s="873"/>
      <c r="O95" s="873"/>
      <c r="P95" s="873"/>
      <c r="Q95" s="874"/>
      <c r="R95" s="45">
        <f>R94/SUM($R94:$W94)</f>
        <v>9.353202432426358E-2</v>
      </c>
      <c r="S95" s="45">
        <f t="shared" ref="S95:T95" si="52">S94/SUM($R94:$W94)</f>
        <v>6.629176505661942E-2</v>
      </c>
      <c r="T95" s="45">
        <f t="shared" si="52"/>
        <v>5.9324398525781565E-2</v>
      </c>
      <c r="U95" s="45">
        <f>U94/SUM($R94:$W94)</f>
        <v>0.59516785747391632</v>
      </c>
      <c r="V95" s="45">
        <f>V94/SUM($R94:$W94)</f>
        <v>5.8582359156771638E-2</v>
      </c>
      <c r="W95" s="45">
        <f>W94/SUM($R94:$W94)</f>
        <v>0.12710159546264757</v>
      </c>
      <c r="X95" s="17"/>
      <c r="Y95" s="17"/>
      <c r="Z95" s="17"/>
    </row>
    <row r="96" spans="1:26" ht="15.6">
      <c r="A96" s="825"/>
      <c r="B96" s="825"/>
      <c r="C96" s="966"/>
      <c r="D96" s="951"/>
      <c r="E96" s="446"/>
      <c r="F96" s="941"/>
      <c r="G96" s="942"/>
      <c r="H96" s="942"/>
      <c r="I96" s="942"/>
      <c r="J96" s="942"/>
      <c r="K96" s="942"/>
      <c r="L96" s="942"/>
      <c r="M96" s="942"/>
      <c r="N96" s="942"/>
      <c r="O96" s="942"/>
      <c r="P96" s="942"/>
      <c r="Q96" s="942"/>
      <c r="R96" s="942"/>
      <c r="S96" s="942"/>
      <c r="T96" s="942"/>
      <c r="U96" s="942"/>
      <c r="V96" s="942"/>
      <c r="W96" s="943"/>
      <c r="X96" s="17"/>
      <c r="Y96" s="17"/>
      <c r="Z96" s="17"/>
    </row>
    <row r="97" spans="1:26" ht="15.6">
      <c r="A97" s="825"/>
      <c r="B97" s="825"/>
      <c r="C97" s="966"/>
      <c r="D97" s="951"/>
      <c r="E97" s="23"/>
      <c r="F97" s="30">
        <f>'Input Sheet'!AU91</f>
        <v>1</v>
      </c>
      <c r="G97" s="30">
        <f>'Input Sheet'!AV91</f>
        <v>0.85</v>
      </c>
      <c r="H97" s="30">
        <f>'Input Sheet'!AW91</f>
        <v>0.75</v>
      </c>
      <c r="I97" s="30">
        <f>'Input Sheet'!AX91</f>
        <v>0.85</v>
      </c>
      <c r="J97" s="30">
        <f>'Input Sheet'!AY91</f>
        <v>0.55000000000000004</v>
      </c>
      <c r="K97" s="30">
        <f>'Input Sheet'!AZ91</f>
        <v>0.35</v>
      </c>
      <c r="L97" s="23"/>
      <c r="M97" s="957" t="s">
        <v>495</v>
      </c>
      <c r="N97" s="958"/>
      <c r="O97" s="958"/>
      <c r="P97" s="958"/>
      <c r="Q97" s="959"/>
      <c r="R97" s="45">
        <f>R95*F97</f>
        <v>9.353202432426358E-2</v>
      </c>
      <c r="S97" s="45">
        <f t="shared" ref="S97:T97" si="53">S95*G97</f>
        <v>5.6348000298126505E-2</v>
      </c>
      <c r="T97" s="45">
        <f t="shared" si="53"/>
        <v>4.4493298894336175E-2</v>
      </c>
      <c r="U97" s="45">
        <f>U95*I97</f>
        <v>0.50589267885282885</v>
      </c>
      <c r="V97" s="45">
        <f>V95*J97</f>
        <v>3.22202975362244E-2</v>
      </c>
      <c r="W97" s="45">
        <f>W95*K97</f>
        <v>4.4485558411926647E-2</v>
      </c>
      <c r="X97" s="17"/>
      <c r="Y97" s="17"/>
      <c r="Z97" s="17"/>
    </row>
    <row r="98" spans="1:26" ht="15.6" customHeight="1">
      <c r="A98" s="825"/>
      <c r="B98" s="825"/>
      <c r="C98" s="966"/>
      <c r="D98" s="951"/>
      <c r="E98" s="23"/>
      <c r="F98" s="960" t="s">
        <v>923</v>
      </c>
      <c r="G98" s="961"/>
      <c r="H98" s="961"/>
      <c r="I98" s="961"/>
      <c r="J98" s="961"/>
      <c r="K98" s="961"/>
      <c r="L98" s="961"/>
      <c r="M98" s="961"/>
      <c r="N98" s="961"/>
      <c r="O98" s="961"/>
      <c r="P98" s="961"/>
      <c r="Q98" s="962"/>
      <c r="R98" s="45">
        <f>R97</f>
        <v>9.353202432426358E-2</v>
      </c>
      <c r="S98" s="45">
        <f>S97*'Input Sheet'!BI83/'Input Sheet'!BH83</f>
        <v>4.1853075511011917E-2</v>
      </c>
      <c r="T98" s="45">
        <f>T97*'Input Sheet'!BJ83/'Input Sheet'!BH83</f>
        <v>0</v>
      </c>
      <c r="U98" s="45">
        <f>U97</f>
        <v>0.50589267885282885</v>
      </c>
      <c r="V98" s="45">
        <f>V97</f>
        <v>3.22202975362244E-2</v>
      </c>
      <c r="W98" s="45">
        <f>W97</f>
        <v>4.4485558411926647E-2</v>
      </c>
      <c r="X98" s="17"/>
      <c r="Y98" s="17"/>
      <c r="Z98" s="17"/>
    </row>
    <row r="99" spans="1:26" ht="15.6" customHeight="1">
      <c r="A99" s="825"/>
      <c r="B99" s="825"/>
      <c r="C99" s="966"/>
      <c r="D99" s="951"/>
      <c r="E99" s="23"/>
      <c r="F99" s="963" t="s">
        <v>924</v>
      </c>
      <c r="G99" s="964"/>
      <c r="H99" s="964"/>
      <c r="I99" s="964"/>
      <c r="J99" s="964"/>
      <c r="K99" s="964"/>
      <c r="L99" s="964"/>
      <c r="M99" s="964"/>
      <c r="N99" s="964"/>
      <c r="O99" s="964"/>
      <c r="P99" s="964"/>
      <c r="Q99" s="965"/>
      <c r="R99" s="50">
        <f>R98/(R98+U98+V98+W98+S98+T98)</f>
        <v>0.13027041260021024</v>
      </c>
      <c r="S99" s="50">
        <f>S98/(R98+S98+T98+U98+V98+W98)</f>
        <v>5.8292520180095064E-2</v>
      </c>
      <c r="T99" s="50">
        <f>T98/(R98+S98+T98+U98+V98+W98)</f>
        <v>0</v>
      </c>
      <c r="U99" s="50">
        <f>U98/(R98+U98+V98+W98+S98+T98)</f>
        <v>0.70460196367724182</v>
      </c>
      <c r="V99" s="50">
        <f>V98/(R98+U98+V98+W98+S98+T98)</f>
        <v>4.4876089066497787E-2</v>
      </c>
      <c r="W99" s="50">
        <f>W98/(R98+U98+V98+W98+S98+T98)</f>
        <v>6.1959014475955164E-2</v>
      </c>
      <c r="X99" s="17"/>
      <c r="Y99" s="17"/>
      <c r="Z99" s="17"/>
    </row>
    <row r="100" spans="1:26" ht="15.6" customHeight="1">
      <c r="A100" s="825"/>
      <c r="B100" s="825"/>
      <c r="C100" s="966"/>
      <c r="D100" s="951"/>
      <c r="E100" s="23"/>
      <c r="F100" s="963" t="s">
        <v>925</v>
      </c>
      <c r="G100" s="964"/>
      <c r="H100" s="964"/>
      <c r="I100" s="964"/>
      <c r="J100" s="964"/>
      <c r="K100" s="964"/>
      <c r="L100" s="964"/>
      <c r="M100" s="964"/>
      <c r="N100" s="964"/>
      <c r="O100" s="964"/>
      <c r="P100" s="964"/>
      <c r="Q100" s="965"/>
      <c r="R100" s="51">
        <f t="shared" ref="R100:W100" si="54">ROUND($C89*$E$2*R99/100,0)*100</f>
        <v>13200</v>
      </c>
      <c r="S100" s="51">
        <f t="shared" si="54"/>
        <v>5900</v>
      </c>
      <c r="T100" s="51">
        <f t="shared" si="54"/>
        <v>0</v>
      </c>
      <c r="U100" s="51">
        <f t="shared" si="54"/>
        <v>71300</v>
      </c>
      <c r="V100" s="51">
        <f t="shared" si="54"/>
        <v>4500</v>
      </c>
      <c r="W100" s="51">
        <f t="shared" si="54"/>
        <v>6300</v>
      </c>
      <c r="X100" s="17"/>
      <c r="Y100" s="17"/>
      <c r="Z100" s="17"/>
    </row>
    <row r="101" spans="1:26" ht="15.75" customHeight="1">
      <c r="A101" s="825">
        <v>9</v>
      </c>
      <c r="B101" s="878" t="s">
        <v>643</v>
      </c>
      <c r="C101" s="966">
        <f>Buckets!N11</f>
        <v>6.5797314824552172E-2</v>
      </c>
      <c r="D101" s="951" t="s">
        <v>490</v>
      </c>
      <c r="E101" s="23" t="s">
        <v>457</v>
      </c>
      <c r="F101" s="30">
        <f>'Input Sheet'!AU96</f>
        <v>1</v>
      </c>
      <c r="G101" s="30">
        <f>'Input Sheet'!AV96</f>
        <v>1</v>
      </c>
      <c r="H101" s="30">
        <f>'Input Sheet'!AW96</f>
        <v>0.19629625222334121</v>
      </c>
      <c r="I101" s="30">
        <f>'Input Sheet'!AX96</f>
        <v>91.732376159642513</v>
      </c>
      <c r="J101" s="30">
        <f>'Input Sheet'!AY96</f>
        <v>0.19629625222334121</v>
      </c>
      <c r="K101" s="30">
        <f>'Input Sheet'!AZ96</f>
        <v>0.20753428821132519</v>
      </c>
      <c r="L101" s="62">
        <v>1</v>
      </c>
      <c r="M101" s="30">
        <f>L101/L$34</f>
        <v>0.2</v>
      </c>
      <c r="N101" s="29"/>
      <c r="O101" s="29"/>
      <c r="P101" s="29"/>
      <c r="Q101" s="29"/>
      <c r="R101" s="45">
        <f>F101</f>
        <v>1</v>
      </c>
      <c r="S101" s="45">
        <f t="shared" ref="S101:W105" si="55">G101</f>
        <v>1</v>
      </c>
      <c r="T101" s="45">
        <f t="shared" si="55"/>
        <v>0.19629625222334121</v>
      </c>
      <c r="U101" s="45">
        <f t="shared" si="55"/>
        <v>91.732376159642513</v>
      </c>
      <c r="V101" s="45">
        <f t="shared" si="55"/>
        <v>0.19629625222334121</v>
      </c>
      <c r="W101" s="45">
        <f t="shared" si="55"/>
        <v>0.20753428821132519</v>
      </c>
      <c r="X101" s="46"/>
      <c r="Y101" s="46"/>
      <c r="Z101" s="46"/>
    </row>
    <row r="102" spans="1:26" ht="31.2">
      <c r="A102" s="825"/>
      <c r="B102" s="879"/>
      <c r="C102" s="966"/>
      <c r="D102" s="951"/>
      <c r="E102" s="23" t="s">
        <v>491</v>
      </c>
      <c r="F102" s="30">
        <f>'Input Sheet'!AU97</f>
        <v>1</v>
      </c>
      <c r="G102" s="30">
        <f>'Input Sheet'!AV97</f>
        <v>0.53620120972826146</v>
      </c>
      <c r="H102" s="30">
        <f>'Input Sheet'!AW97</f>
        <v>0.35256781095535983</v>
      </c>
      <c r="I102" s="30">
        <f>'Input Sheet'!AX97</f>
        <v>1.5125034237047953E-2</v>
      </c>
      <c r="J102" s="30">
        <f>'Input Sheet'!AY97</f>
        <v>0.29055050575571872</v>
      </c>
      <c r="K102" s="30">
        <f>'Input Sheet'!AZ97</f>
        <v>3.3343810531687489E-3</v>
      </c>
      <c r="L102" s="62">
        <v>1</v>
      </c>
      <c r="M102" s="30">
        <f t="shared" ref="M102:M105" si="56">L102/L$34</f>
        <v>0.2</v>
      </c>
      <c r="N102" s="29"/>
      <c r="O102" s="29"/>
      <c r="P102" s="29"/>
      <c r="Q102" s="29"/>
      <c r="R102" s="45">
        <f t="shared" ref="R102:R105" si="57">F102</f>
        <v>1</v>
      </c>
      <c r="S102" s="45">
        <f t="shared" si="55"/>
        <v>0.53620120972826146</v>
      </c>
      <c r="T102" s="45">
        <f t="shared" si="55"/>
        <v>0.35256781095535983</v>
      </c>
      <c r="U102" s="45">
        <f t="shared" si="55"/>
        <v>1.5125034237047953E-2</v>
      </c>
      <c r="V102" s="45">
        <f t="shared" si="55"/>
        <v>0.29055050575571872</v>
      </c>
      <c r="W102" s="45">
        <f t="shared" si="55"/>
        <v>3.3343810531687489E-3</v>
      </c>
      <c r="X102" s="46"/>
      <c r="Y102" s="46"/>
      <c r="Z102" s="46"/>
    </row>
    <row r="103" spans="1:26" ht="15.6">
      <c r="A103" s="825"/>
      <c r="B103" s="879"/>
      <c r="C103" s="966"/>
      <c r="D103" s="951"/>
      <c r="E103" s="23" t="s">
        <v>459</v>
      </c>
      <c r="F103" s="30">
        <f>'Input Sheet'!AU98</f>
        <v>1</v>
      </c>
      <c r="G103" s="30">
        <f>'Input Sheet'!AV98</f>
        <v>1</v>
      </c>
      <c r="H103" s="30">
        <f>'Input Sheet'!AW98</f>
        <v>1</v>
      </c>
      <c r="I103" s="30">
        <f>'Input Sheet'!AX98</f>
        <v>0.42147281477591775</v>
      </c>
      <c r="J103" s="30">
        <f>'Input Sheet'!AY98</f>
        <v>1</v>
      </c>
      <c r="K103" s="30">
        <f>'Input Sheet'!AZ98</f>
        <v>0.71217716489086835</v>
      </c>
      <c r="L103" s="62">
        <v>1</v>
      </c>
      <c r="M103" s="30">
        <f t="shared" si="56"/>
        <v>0.2</v>
      </c>
      <c r="N103" s="29"/>
      <c r="O103" s="29"/>
      <c r="P103" s="29"/>
      <c r="Q103" s="29"/>
      <c r="R103" s="45">
        <f t="shared" si="57"/>
        <v>1</v>
      </c>
      <c r="S103" s="45">
        <f t="shared" si="55"/>
        <v>1</v>
      </c>
      <c r="T103" s="45">
        <f t="shared" si="55"/>
        <v>1</v>
      </c>
      <c r="U103" s="45">
        <f t="shared" si="55"/>
        <v>0.42147281477591775</v>
      </c>
      <c r="V103" s="45">
        <f t="shared" si="55"/>
        <v>1</v>
      </c>
      <c r="W103" s="45">
        <f t="shared" si="55"/>
        <v>0.71217716489086835</v>
      </c>
      <c r="X103" s="46"/>
      <c r="Y103" s="46"/>
      <c r="Z103" s="46"/>
    </row>
    <row r="104" spans="1:26" ht="15.6">
      <c r="A104" s="825"/>
      <c r="B104" s="879"/>
      <c r="C104" s="966"/>
      <c r="D104" s="951"/>
      <c r="E104" s="23" t="s">
        <v>492</v>
      </c>
      <c r="F104" s="30">
        <f>'Input Sheet'!AU99</f>
        <v>1</v>
      </c>
      <c r="G104" s="30">
        <f>'Input Sheet'!AV99</f>
        <v>0.66697681085847416</v>
      </c>
      <c r="H104" s="30">
        <f>'Input Sheet'!AW99</f>
        <v>0.66697681085847416</v>
      </c>
      <c r="I104" s="30">
        <f>'Input Sheet'!AX99</f>
        <v>3.3702940643216048</v>
      </c>
      <c r="J104" s="30">
        <f>'Input Sheet'!AY99</f>
        <v>0.66697681085847416</v>
      </c>
      <c r="K104" s="30">
        <f>'Input Sheet'!AZ99</f>
        <v>3.3702940643216048</v>
      </c>
      <c r="L104" s="62">
        <v>1</v>
      </c>
      <c r="M104" s="30">
        <f t="shared" si="56"/>
        <v>0.2</v>
      </c>
      <c r="N104" s="29"/>
      <c r="O104" s="29"/>
      <c r="P104" s="29"/>
      <c r="Q104" s="29"/>
      <c r="R104" s="45">
        <f t="shared" si="57"/>
        <v>1</v>
      </c>
      <c r="S104" s="45">
        <f t="shared" si="55"/>
        <v>0.66697681085847416</v>
      </c>
      <c r="T104" s="45">
        <f t="shared" si="55"/>
        <v>0.66697681085847416</v>
      </c>
      <c r="U104" s="45">
        <f t="shared" si="55"/>
        <v>3.3702940643216048</v>
      </c>
      <c r="V104" s="45">
        <f t="shared" si="55"/>
        <v>0.66697681085847416</v>
      </c>
      <c r="W104" s="45">
        <f t="shared" si="55"/>
        <v>3.3702940643216048</v>
      </c>
      <c r="X104" s="46"/>
      <c r="Y104" s="46"/>
      <c r="Z104" s="46"/>
    </row>
    <row r="105" spans="1:26" ht="15.6">
      <c r="A105" s="825"/>
      <c r="B105" s="879"/>
      <c r="C105" s="966"/>
      <c r="D105" s="951"/>
      <c r="E105" s="34" t="s">
        <v>461</v>
      </c>
      <c r="F105" s="30">
        <f>'Input Sheet'!AU100</f>
        <v>1</v>
      </c>
      <c r="G105" s="30">
        <f>'Input Sheet'!AV100</f>
        <v>0.56471812200775884</v>
      </c>
      <c r="H105" s="30">
        <f>'Input Sheet'!AW100</f>
        <v>0.33591098123916224</v>
      </c>
      <c r="I105" s="30">
        <f>'Input Sheet'!AX100</f>
        <v>0.13533528323661276</v>
      </c>
      <c r="J105" s="30">
        <f>'Input Sheet'!AY100</f>
        <v>1</v>
      </c>
      <c r="K105" s="30">
        <f>'Input Sheet'!AZ100</f>
        <v>1</v>
      </c>
      <c r="L105" s="62">
        <v>1</v>
      </c>
      <c r="M105" s="30">
        <f t="shared" si="56"/>
        <v>0.2</v>
      </c>
      <c r="N105" s="29"/>
      <c r="O105" s="29"/>
      <c r="P105" s="29"/>
      <c r="Q105" s="29"/>
      <c r="R105" s="45">
        <f t="shared" si="57"/>
        <v>1</v>
      </c>
      <c r="S105" s="45">
        <f t="shared" si="55"/>
        <v>0.56471812200775884</v>
      </c>
      <c r="T105" s="45">
        <f t="shared" si="55"/>
        <v>0.33591098123916224</v>
      </c>
      <c r="U105" s="45">
        <f t="shared" si="55"/>
        <v>0.13533528323661276</v>
      </c>
      <c r="V105" s="45">
        <f t="shared" si="55"/>
        <v>1</v>
      </c>
      <c r="W105" s="45">
        <f t="shared" si="55"/>
        <v>1</v>
      </c>
      <c r="X105" s="46"/>
      <c r="Y105" s="46"/>
      <c r="Z105" s="46"/>
    </row>
    <row r="106" spans="1:26" ht="15.6">
      <c r="A106" s="825">
        <v>2</v>
      </c>
      <c r="B106" s="879"/>
      <c r="C106" s="966"/>
      <c r="D106" s="951"/>
      <c r="E106" s="23" t="s">
        <v>38</v>
      </c>
      <c r="F106" s="47"/>
      <c r="G106" s="47"/>
      <c r="H106" s="47"/>
      <c r="I106" s="47"/>
      <c r="J106" s="47"/>
      <c r="K106" s="47"/>
      <c r="L106" s="449">
        <f>SUM(L101:L105)</f>
        <v>5</v>
      </c>
      <c r="M106" s="872" t="s">
        <v>493</v>
      </c>
      <c r="N106" s="873"/>
      <c r="O106" s="873"/>
      <c r="P106" s="873"/>
      <c r="Q106" s="874"/>
      <c r="R106" s="45">
        <f>SUM(R101:R105)</f>
        <v>5</v>
      </c>
      <c r="S106" s="45">
        <f t="shared" ref="S106:T106" si="58">SUM(S101:S105)</f>
        <v>3.7678961425944948</v>
      </c>
      <c r="T106" s="45">
        <f t="shared" si="58"/>
        <v>2.5517518552763372</v>
      </c>
      <c r="U106" s="45">
        <f>SUM(U101:U105)</f>
        <v>95.674603356213694</v>
      </c>
      <c r="V106" s="45">
        <f>SUM(V101:V105)</f>
        <v>3.153823568837534</v>
      </c>
      <c r="W106" s="45">
        <f>SUM(W101:W105)</f>
        <v>5.2933398984769671</v>
      </c>
      <c r="X106" s="48"/>
      <c r="Y106" s="48"/>
      <c r="Z106" s="48"/>
    </row>
    <row r="107" spans="1:26" ht="15.6">
      <c r="A107" s="825"/>
      <c r="B107" s="879"/>
      <c r="C107" s="966"/>
      <c r="D107" s="951"/>
      <c r="E107" s="23"/>
      <c r="F107" s="23"/>
      <c r="G107" s="23"/>
      <c r="H107" s="23"/>
      <c r="I107" s="23"/>
      <c r="J107" s="23"/>
      <c r="K107" s="23"/>
      <c r="L107" s="23"/>
      <c r="M107" s="872" t="s">
        <v>494</v>
      </c>
      <c r="N107" s="873"/>
      <c r="O107" s="873"/>
      <c r="P107" s="873"/>
      <c r="Q107" s="874"/>
      <c r="R107" s="45">
        <f>R106/SUM($R106:$W106)</f>
        <v>4.3312012484735804E-2</v>
      </c>
      <c r="S107" s="45">
        <f t="shared" ref="S107:T107" si="59">S106/SUM($R106:$W106)</f>
        <v>3.2639032953848131E-2</v>
      </c>
      <c r="T107" s="45">
        <f t="shared" si="59"/>
        <v>2.2104301642735295E-2</v>
      </c>
      <c r="U107" s="45">
        <f>U106/SUM($R106:$W106)</f>
        <v>0.82877192300729474</v>
      </c>
      <c r="V107" s="45">
        <f>V106/SUM($R106:$W106)</f>
        <v>2.731968915762906E-2</v>
      </c>
      <c r="W107" s="45">
        <f>W106/SUM($R106:$W106)</f>
        <v>4.5853040753756909E-2</v>
      </c>
      <c r="X107" s="17"/>
      <c r="Y107" s="17"/>
      <c r="Z107" s="17"/>
    </row>
    <row r="108" spans="1:26" ht="15.6">
      <c r="A108" s="825"/>
      <c r="B108" s="879"/>
      <c r="C108" s="966"/>
      <c r="D108" s="951"/>
      <c r="E108" s="446"/>
      <c r="F108" s="941"/>
      <c r="G108" s="942"/>
      <c r="H108" s="942"/>
      <c r="I108" s="942"/>
      <c r="J108" s="942"/>
      <c r="K108" s="942"/>
      <c r="L108" s="942"/>
      <c r="M108" s="942"/>
      <c r="N108" s="942"/>
      <c r="O108" s="942"/>
      <c r="P108" s="942"/>
      <c r="Q108" s="942"/>
      <c r="R108" s="942"/>
      <c r="S108" s="942"/>
      <c r="T108" s="942"/>
      <c r="U108" s="942"/>
      <c r="V108" s="942"/>
      <c r="W108" s="943"/>
      <c r="X108" s="17"/>
      <c r="Y108" s="17"/>
      <c r="Z108" s="17"/>
    </row>
    <row r="109" spans="1:26" ht="15.6">
      <c r="A109" s="825"/>
      <c r="B109" s="879"/>
      <c r="C109" s="966"/>
      <c r="D109" s="951"/>
      <c r="E109" s="23"/>
      <c r="F109" s="30">
        <f>'Input Sheet'!AU102</f>
        <v>1</v>
      </c>
      <c r="G109" s="30">
        <f>'Input Sheet'!AV102</f>
        <v>0.85</v>
      </c>
      <c r="H109" s="30">
        <f>'Input Sheet'!AW102</f>
        <v>0.75</v>
      </c>
      <c r="I109" s="30">
        <f>'Input Sheet'!AX102</f>
        <v>0.85</v>
      </c>
      <c r="J109" s="30">
        <f>'Input Sheet'!AY102</f>
        <v>0.55000000000000004</v>
      </c>
      <c r="K109" s="30">
        <f>'Input Sheet'!AZ102</f>
        <v>0.35</v>
      </c>
      <c r="L109" s="23"/>
      <c r="M109" s="957" t="s">
        <v>495</v>
      </c>
      <c r="N109" s="958"/>
      <c r="O109" s="958"/>
      <c r="P109" s="958"/>
      <c r="Q109" s="959"/>
      <c r="R109" s="45">
        <f>R107*F109</f>
        <v>4.3312012484735804E-2</v>
      </c>
      <c r="S109" s="45">
        <f t="shared" ref="S109:T109" si="60">S107*G109</f>
        <v>2.7743178010770909E-2</v>
      </c>
      <c r="T109" s="45">
        <f t="shared" si="60"/>
        <v>1.657822623205147E-2</v>
      </c>
      <c r="U109" s="45">
        <f>U107*I109</f>
        <v>0.70445613455620049</v>
      </c>
      <c r="V109" s="45">
        <f>V107*J109</f>
        <v>1.5025829036695984E-2</v>
      </c>
      <c r="W109" s="45">
        <f>W107*K109</f>
        <v>1.6048564263814916E-2</v>
      </c>
      <c r="X109" s="17"/>
      <c r="Y109" s="17"/>
      <c r="Z109" s="17"/>
    </row>
    <row r="110" spans="1:26" ht="15.6" customHeight="1">
      <c r="A110" s="825"/>
      <c r="B110" s="879"/>
      <c r="C110" s="966"/>
      <c r="D110" s="951"/>
      <c r="E110" s="23"/>
      <c r="F110" s="960" t="s">
        <v>923</v>
      </c>
      <c r="G110" s="961"/>
      <c r="H110" s="961"/>
      <c r="I110" s="961"/>
      <c r="J110" s="961"/>
      <c r="K110" s="961"/>
      <c r="L110" s="961"/>
      <c r="M110" s="961"/>
      <c r="N110" s="961"/>
      <c r="O110" s="961"/>
      <c r="P110" s="961"/>
      <c r="Q110" s="962"/>
      <c r="R110" s="45">
        <f>R109</f>
        <v>4.3312012484735804E-2</v>
      </c>
      <c r="S110" s="45">
        <f>S109*'Input Sheet'!BI94/'Input Sheet'!BH94</f>
        <v>2.7743178010770909E-2</v>
      </c>
      <c r="T110" s="45">
        <f>T109*'Input Sheet'!BJ94/'Input Sheet'!BH94</f>
        <v>0</v>
      </c>
      <c r="U110" s="45">
        <f>U109</f>
        <v>0.70445613455620049</v>
      </c>
      <c r="V110" s="45">
        <f>V109</f>
        <v>1.5025829036695984E-2</v>
      </c>
      <c r="W110" s="45">
        <f>W109</f>
        <v>1.6048564263814916E-2</v>
      </c>
      <c r="X110" s="17"/>
      <c r="Y110" s="17"/>
      <c r="Z110" s="17"/>
    </row>
    <row r="111" spans="1:26" ht="15.6" customHeight="1">
      <c r="A111" s="825"/>
      <c r="B111" s="879"/>
      <c r="C111" s="966"/>
      <c r="D111" s="951"/>
      <c r="E111" s="23"/>
      <c r="F111" s="963" t="s">
        <v>924</v>
      </c>
      <c r="G111" s="964"/>
      <c r="H111" s="964"/>
      <c r="I111" s="964"/>
      <c r="J111" s="964"/>
      <c r="K111" s="964"/>
      <c r="L111" s="964"/>
      <c r="M111" s="964"/>
      <c r="N111" s="964"/>
      <c r="O111" s="964"/>
      <c r="P111" s="964"/>
      <c r="Q111" s="965"/>
      <c r="R111" s="50">
        <f>R110/(R110+U110+V110+W110+S110+T110)</f>
        <v>5.3697966005669354E-2</v>
      </c>
      <c r="S111" s="50">
        <f>S110/(R110+S110+T110+U110+V110+W110)</f>
        <v>3.439582102624842E-2</v>
      </c>
      <c r="T111" s="50">
        <f>T110/(R110+S110+T110+U110+V110+W110)</f>
        <v>0</v>
      </c>
      <c r="U111" s="50">
        <f>U110/(R110+U110+V110+W110+S110+T110)</f>
        <v>0.87338037176673644</v>
      </c>
      <c r="V111" s="50">
        <f>V110/(R110+U110+V110+W110+S110+T110)</f>
        <v>1.8628930186604838E-2</v>
      </c>
      <c r="W111" s="50">
        <f>W110/(R110+U110+V110+W110+S110+T110)</f>
        <v>1.9896911014740858E-2</v>
      </c>
      <c r="X111" s="17"/>
      <c r="Y111" s="17"/>
      <c r="Z111" s="17"/>
    </row>
    <row r="112" spans="1:26" ht="15.6" customHeight="1">
      <c r="A112" s="825"/>
      <c r="B112" s="880"/>
      <c r="C112" s="966"/>
      <c r="D112" s="951"/>
      <c r="E112" s="23"/>
      <c r="F112" s="963" t="s">
        <v>925</v>
      </c>
      <c r="G112" s="964"/>
      <c r="H112" s="964"/>
      <c r="I112" s="964"/>
      <c r="J112" s="964"/>
      <c r="K112" s="964"/>
      <c r="L112" s="964"/>
      <c r="M112" s="964"/>
      <c r="N112" s="964"/>
      <c r="O112" s="964"/>
      <c r="P112" s="964"/>
      <c r="Q112" s="965"/>
      <c r="R112" s="51">
        <f t="shared" ref="R112:W112" si="61">ROUND($C101*$E$2*R111/100,0)*100</f>
        <v>2000</v>
      </c>
      <c r="S112" s="51">
        <f t="shared" si="61"/>
        <v>1300</v>
      </c>
      <c r="T112" s="51">
        <f t="shared" si="61"/>
        <v>0</v>
      </c>
      <c r="U112" s="51">
        <f t="shared" si="61"/>
        <v>32800</v>
      </c>
      <c r="V112" s="51">
        <f t="shared" si="61"/>
        <v>700</v>
      </c>
      <c r="W112" s="51">
        <f t="shared" si="61"/>
        <v>700</v>
      </c>
      <c r="X112" s="17"/>
      <c r="Y112" s="17"/>
      <c r="Z112" s="17"/>
    </row>
    <row r="113" spans="1:26" ht="15.75" customHeight="1">
      <c r="A113" s="825">
        <v>10</v>
      </c>
      <c r="B113" s="878" t="s">
        <v>636</v>
      </c>
      <c r="C113" s="966">
        <f>Buckets!N12</f>
        <v>4.9286640726329441E-2</v>
      </c>
      <c r="D113" s="951" t="s">
        <v>490</v>
      </c>
      <c r="E113" s="23" t="s">
        <v>457</v>
      </c>
      <c r="F113" s="30">
        <f>'Input Sheet'!AU107</f>
        <v>1</v>
      </c>
      <c r="G113" s="30">
        <f>'Input Sheet'!AV107</f>
        <v>1.0293185238308629</v>
      </c>
      <c r="H113" s="30">
        <f>'Input Sheet'!AW107</f>
        <v>0.97205864150655219</v>
      </c>
      <c r="I113" s="30">
        <f>'Input Sheet'!AX107</f>
        <v>253.3406813430822</v>
      </c>
      <c r="J113" s="30">
        <f>'Input Sheet'!AY107</f>
        <v>0.19934714280142088</v>
      </c>
      <c r="K113" s="30">
        <f>'Input Sheet'!AZ107</f>
        <v>0.21461893742599175</v>
      </c>
      <c r="L113" s="62">
        <v>1</v>
      </c>
      <c r="M113" s="30">
        <f>L113/L$34</f>
        <v>0.2</v>
      </c>
      <c r="N113" s="29"/>
      <c r="O113" s="29"/>
      <c r="P113" s="29"/>
      <c r="Q113" s="29"/>
      <c r="R113" s="45">
        <f>F113</f>
        <v>1</v>
      </c>
      <c r="S113" s="45">
        <f t="shared" ref="S113:W117" si="62">G113</f>
        <v>1.0293185238308629</v>
      </c>
      <c r="T113" s="45">
        <f t="shared" si="62"/>
        <v>0.97205864150655219</v>
      </c>
      <c r="U113" s="45">
        <f t="shared" si="62"/>
        <v>253.3406813430822</v>
      </c>
      <c r="V113" s="45">
        <f t="shared" si="62"/>
        <v>0.19934714280142088</v>
      </c>
      <c r="W113" s="45">
        <f t="shared" si="62"/>
        <v>0.21461893742599175</v>
      </c>
      <c r="X113" s="46"/>
      <c r="Y113" s="46"/>
      <c r="Z113" s="46"/>
    </row>
    <row r="114" spans="1:26" ht="31.2">
      <c r="A114" s="825"/>
      <c r="B114" s="879"/>
      <c r="C114" s="966"/>
      <c r="D114" s="951"/>
      <c r="E114" s="23" t="s">
        <v>491</v>
      </c>
      <c r="F114" s="30">
        <f>'Input Sheet'!AU108</f>
        <v>1</v>
      </c>
      <c r="G114" s="30">
        <f>'Input Sheet'!AV108</f>
        <v>0.55434686419517043</v>
      </c>
      <c r="H114" s="30">
        <f>'Input Sheet'!AW108</f>
        <v>0.15995736252920795</v>
      </c>
      <c r="I114" s="30">
        <f>'Input Sheet'!AX108</f>
        <v>2.5754902443723211E-2</v>
      </c>
      <c r="J114" s="30">
        <f>'Input Sheet'!AY108</f>
        <v>0.3092199611327493</v>
      </c>
      <c r="K114" s="30">
        <f>'Input Sheet'!AZ108</f>
        <v>4.0177933837604509E-3</v>
      </c>
      <c r="L114" s="62">
        <v>1</v>
      </c>
      <c r="M114" s="30">
        <f t="shared" ref="M114:M117" si="63">L114/L$34</f>
        <v>0.2</v>
      </c>
      <c r="N114" s="29"/>
      <c r="O114" s="29"/>
      <c r="P114" s="29"/>
      <c r="Q114" s="29"/>
      <c r="R114" s="45">
        <f t="shared" ref="R114:R117" si="64">F114</f>
        <v>1</v>
      </c>
      <c r="S114" s="45">
        <f t="shared" si="62"/>
        <v>0.55434686419517043</v>
      </c>
      <c r="T114" s="45">
        <f t="shared" si="62"/>
        <v>0.15995736252920795</v>
      </c>
      <c r="U114" s="45">
        <f t="shared" si="62"/>
        <v>2.5754902443723211E-2</v>
      </c>
      <c r="V114" s="45">
        <f t="shared" si="62"/>
        <v>0.3092199611327493</v>
      </c>
      <c r="W114" s="45">
        <f t="shared" si="62"/>
        <v>4.0177933837604509E-3</v>
      </c>
      <c r="X114" s="46"/>
      <c r="Y114" s="46"/>
      <c r="Z114" s="46"/>
    </row>
    <row r="115" spans="1:26" ht="15.6">
      <c r="A115" s="825"/>
      <c r="B115" s="879"/>
      <c r="C115" s="966"/>
      <c r="D115" s="951"/>
      <c r="E115" s="23" t="s">
        <v>459</v>
      </c>
      <c r="F115" s="30">
        <f>'Input Sheet'!AU109</f>
        <v>1</v>
      </c>
      <c r="G115" s="30">
        <f>'Input Sheet'!AV109</f>
        <v>1</v>
      </c>
      <c r="H115" s="30">
        <f>'Input Sheet'!AW109</f>
        <v>1</v>
      </c>
      <c r="I115" s="30">
        <f>'Input Sheet'!AX109</f>
        <v>0.51881779249624593</v>
      </c>
      <c r="J115" s="30">
        <f>'Input Sheet'!AY109</f>
        <v>1</v>
      </c>
      <c r="K115" s="30">
        <f>'Input Sheet'!AZ109</f>
        <v>0.74025578754107368</v>
      </c>
      <c r="L115" s="62">
        <v>1</v>
      </c>
      <c r="M115" s="30">
        <f t="shared" si="63"/>
        <v>0.2</v>
      </c>
      <c r="N115" s="29"/>
      <c r="O115" s="29"/>
      <c r="P115" s="29"/>
      <c r="Q115" s="29"/>
      <c r="R115" s="45">
        <f t="shared" si="64"/>
        <v>1</v>
      </c>
      <c r="S115" s="45">
        <f t="shared" si="62"/>
        <v>1</v>
      </c>
      <c r="T115" s="45">
        <f t="shared" si="62"/>
        <v>1</v>
      </c>
      <c r="U115" s="45">
        <f t="shared" si="62"/>
        <v>0.51881779249624593</v>
      </c>
      <c r="V115" s="45">
        <f t="shared" si="62"/>
        <v>1</v>
      </c>
      <c r="W115" s="45">
        <f t="shared" si="62"/>
        <v>0.74025578754107368</v>
      </c>
      <c r="X115" s="46"/>
      <c r="Y115" s="46"/>
      <c r="Z115" s="46"/>
    </row>
    <row r="116" spans="1:26" ht="15.6">
      <c r="A116" s="825"/>
      <c r="B116" s="879"/>
      <c r="C116" s="966"/>
      <c r="D116" s="951"/>
      <c r="E116" s="23" t="s">
        <v>492</v>
      </c>
      <c r="F116" s="30">
        <f>'Input Sheet'!AU110</f>
        <v>1</v>
      </c>
      <c r="G116" s="30">
        <f>'Input Sheet'!AV110</f>
        <v>0.66697681085847416</v>
      </c>
      <c r="H116" s="30">
        <f>'Input Sheet'!AW110</f>
        <v>0.66697681085847416</v>
      </c>
      <c r="I116" s="30">
        <f>'Input Sheet'!AX110</f>
        <v>3.3702940643216048</v>
      </c>
      <c r="J116" s="30">
        <f>'Input Sheet'!AY110</f>
        <v>0.66697681085847416</v>
      </c>
      <c r="K116" s="30">
        <f>'Input Sheet'!AZ110</f>
        <v>3.3702940643216048</v>
      </c>
      <c r="L116" s="62">
        <v>1</v>
      </c>
      <c r="M116" s="30">
        <f t="shared" si="63"/>
        <v>0.2</v>
      </c>
      <c r="N116" s="29"/>
      <c r="O116" s="29"/>
      <c r="P116" s="29"/>
      <c r="Q116" s="29"/>
      <c r="R116" s="45">
        <f t="shared" si="64"/>
        <v>1</v>
      </c>
      <c r="S116" s="45">
        <f t="shared" si="62"/>
        <v>0.66697681085847416</v>
      </c>
      <c r="T116" s="45">
        <f t="shared" si="62"/>
        <v>0.66697681085847416</v>
      </c>
      <c r="U116" s="45">
        <f t="shared" si="62"/>
        <v>3.3702940643216048</v>
      </c>
      <c r="V116" s="45">
        <f t="shared" si="62"/>
        <v>0.66697681085847416</v>
      </c>
      <c r="W116" s="45">
        <f t="shared" si="62"/>
        <v>3.3702940643216048</v>
      </c>
      <c r="X116" s="46"/>
      <c r="Y116" s="46"/>
      <c r="Z116" s="46"/>
    </row>
    <row r="117" spans="1:26" ht="15.6">
      <c r="A117" s="825"/>
      <c r="B117" s="879"/>
      <c r="C117" s="966"/>
      <c r="D117" s="951"/>
      <c r="E117" s="34" t="s">
        <v>461</v>
      </c>
      <c r="F117" s="30">
        <f>'Input Sheet'!AU111</f>
        <v>1</v>
      </c>
      <c r="G117" s="30">
        <f>'Input Sheet'!AV111</f>
        <v>0.56471812200775884</v>
      </c>
      <c r="H117" s="30">
        <f>'Input Sheet'!AW111</f>
        <v>0.33591098123916224</v>
      </c>
      <c r="I117" s="30">
        <f>'Input Sheet'!AX111</f>
        <v>0.13533528323661276</v>
      </c>
      <c r="J117" s="30">
        <f>'Input Sheet'!AY111</f>
        <v>1</v>
      </c>
      <c r="K117" s="30">
        <f>'Input Sheet'!AZ111</f>
        <v>1</v>
      </c>
      <c r="L117" s="62">
        <v>1</v>
      </c>
      <c r="M117" s="30">
        <f t="shared" si="63"/>
        <v>0.2</v>
      </c>
      <c r="N117" s="29"/>
      <c r="O117" s="29"/>
      <c r="P117" s="29"/>
      <c r="Q117" s="29"/>
      <c r="R117" s="45">
        <f t="shared" si="64"/>
        <v>1</v>
      </c>
      <c r="S117" s="45">
        <f t="shared" si="62"/>
        <v>0.56471812200775884</v>
      </c>
      <c r="T117" s="45">
        <f t="shared" si="62"/>
        <v>0.33591098123916224</v>
      </c>
      <c r="U117" s="45">
        <f t="shared" si="62"/>
        <v>0.13533528323661276</v>
      </c>
      <c r="V117" s="45">
        <f t="shared" si="62"/>
        <v>1</v>
      </c>
      <c r="W117" s="45">
        <f t="shared" si="62"/>
        <v>1</v>
      </c>
      <c r="X117" s="46"/>
      <c r="Y117" s="46"/>
      <c r="Z117" s="46"/>
    </row>
    <row r="118" spans="1:26" ht="15.6">
      <c r="A118" s="825">
        <v>2</v>
      </c>
      <c r="B118" s="879"/>
      <c r="C118" s="966"/>
      <c r="D118" s="951"/>
      <c r="E118" s="23" t="s">
        <v>38</v>
      </c>
      <c r="F118" s="47"/>
      <c r="G118" s="47"/>
      <c r="H118" s="47"/>
      <c r="I118" s="47"/>
      <c r="J118" s="47"/>
      <c r="K118" s="47"/>
      <c r="L118" s="449">
        <f>SUM(L113:L117)</f>
        <v>5</v>
      </c>
      <c r="M118" s="872" t="s">
        <v>493</v>
      </c>
      <c r="N118" s="873"/>
      <c r="O118" s="873"/>
      <c r="P118" s="873"/>
      <c r="Q118" s="874"/>
      <c r="R118" s="45">
        <f>SUM(R113:R117)</f>
        <v>5</v>
      </c>
      <c r="S118" s="45">
        <f t="shared" ref="S118:T118" si="65">SUM(S113:S117)</f>
        <v>3.8153603208922666</v>
      </c>
      <c r="T118" s="45">
        <f t="shared" si="65"/>
        <v>3.1349037961333965</v>
      </c>
      <c r="U118" s="45">
        <f>SUM(U113:U117)</f>
        <v>257.39088338558037</v>
      </c>
      <c r="V118" s="45">
        <f>SUM(V113:V117)</f>
        <v>3.1755439147926445</v>
      </c>
      <c r="W118" s="45">
        <f>SUM(W113:W117)</f>
        <v>5.3291865826724312</v>
      </c>
      <c r="X118" s="48"/>
      <c r="Y118" s="48"/>
      <c r="Z118" s="48"/>
    </row>
    <row r="119" spans="1:26" ht="15.6">
      <c r="A119" s="825"/>
      <c r="B119" s="879"/>
      <c r="C119" s="966"/>
      <c r="D119" s="951"/>
      <c r="E119" s="23"/>
      <c r="F119" s="23"/>
      <c r="G119" s="23"/>
      <c r="H119" s="23"/>
      <c r="I119" s="23"/>
      <c r="J119" s="23"/>
      <c r="K119" s="23"/>
      <c r="L119" s="23"/>
      <c r="M119" s="872" t="s">
        <v>494</v>
      </c>
      <c r="N119" s="873"/>
      <c r="O119" s="873"/>
      <c r="P119" s="873"/>
      <c r="Q119" s="874"/>
      <c r="R119" s="45">
        <f>R118/SUM($R118:$W118)</f>
        <v>1.7995588187198951E-2</v>
      </c>
      <c r="S119" s="45">
        <f t="shared" ref="S119:T119" si="66">S118/SUM($R118:$W118)</f>
        <v>1.3731930624111294E-2</v>
      </c>
      <c r="T119" s="45">
        <f t="shared" si="66"/>
        <v>1.1282887544340659E-2</v>
      </c>
      <c r="U119" s="45">
        <f>U118/SUM($R118:$W118)</f>
        <v>0.92638006810925055</v>
      </c>
      <c r="V119" s="45">
        <f>V118/SUM($R118:$W118)</f>
        <v>1.1429156112194805E-2</v>
      </c>
      <c r="W119" s="45">
        <f>W118/SUM($R118:$W118)</f>
        <v>1.9180369422903829E-2</v>
      </c>
      <c r="X119" s="17"/>
      <c r="Y119" s="17"/>
      <c r="Z119" s="17"/>
    </row>
    <row r="120" spans="1:26" ht="15.6">
      <c r="A120" s="825"/>
      <c r="B120" s="879"/>
      <c r="C120" s="966"/>
      <c r="D120" s="951"/>
      <c r="E120" s="446"/>
      <c r="F120" s="941"/>
      <c r="G120" s="942"/>
      <c r="H120" s="942"/>
      <c r="I120" s="942"/>
      <c r="J120" s="942"/>
      <c r="K120" s="942"/>
      <c r="L120" s="942"/>
      <c r="M120" s="942"/>
      <c r="N120" s="942"/>
      <c r="O120" s="942"/>
      <c r="P120" s="942"/>
      <c r="Q120" s="942"/>
      <c r="R120" s="942"/>
      <c r="S120" s="942"/>
      <c r="T120" s="942"/>
      <c r="U120" s="942"/>
      <c r="V120" s="942"/>
      <c r="W120" s="943"/>
      <c r="X120" s="17"/>
      <c r="Y120" s="17"/>
      <c r="Z120" s="17"/>
    </row>
    <row r="121" spans="1:26" ht="15.6">
      <c r="A121" s="825"/>
      <c r="B121" s="879"/>
      <c r="C121" s="966"/>
      <c r="D121" s="951"/>
      <c r="E121" s="23"/>
      <c r="F121" s="30">
        <f>'Input Sheet'!AU113</f>
        <v>1</v>
      </c>
      <c r="G121" s="30">
        <f>'Input Sheet'!AV113</f>
        <v>0.85</v>
      </c>
      <c r="H121" s="30">
        <f>'Input Sheet'!AW113</f>
        <v>0.85</v>
      </c>
      <c r="I121" s="30">
        <f>'Input Sheet'!AX113</f>
        <v>0.9</v>
      </c>
      <c r="J121" s="30">
        <f>'Input Sheet'!AY113</f>
        <v>0.55000000000000004</v>
      </c>
      <c r="K121" s="30">
        <f>'Input Sheet'!AZ113</f>
        <v>0.35</v>
      </c>
      <c r="L121" s="23"/>
      <c r="M121" s="957" t="s">
        <v>495</v>
      </c>
      <c r="N121" s="958"/>
      <c r="O121" s="958"/>
      <c r="P121" s="958"/>
      <c r="Q121" s="959"/>
      <c r="R121" s="45">
        <f>R119*F121</f>
        <v>1.7995588187198951E-2</v>
      </c>
      <c r="S121" s="45">
        <f t="shared" ref="S121:T121" si="67">S119*G121</f>
        <v>1.1672141030494599E-2</v>
      </c>
      <c r="T121" s="45">
        <f t="shared" si="67"/>
        <v>9.5904544126895596E-3</v>
      </c>
      <c r="U121" s="45">
        <f>U119*I121</f>
        <v>0.83374206129832551</v>
      </c>
      <c r="V121" s="45">
        <f>V119*J121</f>
        <v>6.2860358617071429E-3</v>
      </c>
      <c r="W121" s="45">
        <f>W119*K121</f>
        <v>6.7131292980163399E-3</v>
      </c>
      <c r="X121" s="17"/>
      <c r="Y121" s="17"/>
      <c r="Z121" s="17"/>
    </row>
    <row r="122" spans="1:26" ht="15.6" customHeight="1">
      <c r="A122" s="825"/>
      <c r="B122" s="879"/>
      <c r="C122" s="966"/>
      <c r="D122" s="951"/>
      <c r="E122" s="23"/>
      <c r="F122" s="960" t="s">
        <v>923</v>
      </c>
      <c r="G122" s="961"/>
      <c r="H122" s="961"/>
      <c r="I122" s="961"/>
      <c r="J122" s="961"/>
      <c r="K122" s="961"/>
      <c r="L122" s="961"/>
      <c r="M122" s="961"/>
      <c r="N122" s="961"/>
      <c r="O122" s="961"/>
      <c r="P122" s="961"/>
      <c r="Q122" s="962"/>
      <c r="R122" s="45">
        <f>R121</f>
        <v>1.7995588187198951E-2</v>
      </c>
      <c r="S122" s="45">
        <f>S121*'Input Sheet'!BI105/'Input Sheet'!BH105</f>
        <v>0</v>
      </c>
      <c r="T122" s="45">
        <f>T121*'Input Sheet'!BJ105/'Input Sheet'!BH105</f>
        <v>9.5904544126895596E-3</v>
      </c>
      <c r="U122" s="45">
        <f>U121</f>
        <v>0.83374206129832551</v>
      </c>
      <c r="V122" s="45">
        <f>V121</f>
        <v>6.2860358617071429E-3</v>
      </c>
      <c r="W122" s="45">
        <f>W121</f>
        <v>6.7131292980163399E-3</v>
      </c>
      <c r="X122" s="17"/>
      <c r="Y122" s="17"/>
      <c r="Z122" s="17"/>
    </row>
    <row r="123" spans="1:26" ht="15.6" customHeight="1">
      <c r="A123" s="825"/>
      <c r="B123" s="879"/>
      <c r="C123" s="966"/>
      <c r="D123" s="951"/>
      <c r="E123" s="23"/>
      <c r="F123" s="963" t="s">
        <v>924</v>
      </c>
      <c r="G123" s="964"/>
      <c r="H123" s="964"/>
      <c r="I123" s="964"/>
      <c r="J123" s="964"/>
      <c r="K123" s="964"/>
      <c r="L123" s="964"/>
      <c r="M123" s="964"/>
      <c r="N123" s="964"/>
      <c r="O123" s="964"/>
      <c r="P123" s="964"/>
      <c r="Q123" s="965"/>
      <c r="R123" s="50">
        <f>R122/(R122+U122+V122+W122+S122+T122)</f>
        <v>2.0582210831178442E-2</v>
      </c>
      <c r="S123" s="50">
        <f>S122/(R122+S122+T122+U122+V122+W122)</f>
        <v>0</v>
      </c>
      <c r="T123" s="50">
        <f>T122/(R122+S122+T122+U122+V122+W122)</f>
        <v>1.0968952647471464E-2</v>
      </c>
      <c r="U123" s="50">
        <f>U122/(R122+U122+V122+W122+S122+T122)</f>
        <v>0.95358121701575038</v>
      </c>
      <c r="V123" s="50">
        <f>V122/(R122+U122+V122+W122+S122+T122)</f>
        <v>7.1895685793720758E-3</v>
      </c>
      <c r="W123" s="50">
        <f>W122/(R122+U122+V122+W122+S122+T122)</f>
        <v>7.6780509262275934E-3</v>
      </c>
      <c r="X123" s="17"/>
      <c r="Y123" s="17"/>
      <c r="Z123" s="17"/>
    </row>
    <row r="124" spans="1:26" ht="15.6" customHeight="1">
      <c r="A124" s="825"/>
      <c r="B124" s="880"/>
      <c r="C124" s="966"/>
      <c r="D124" s="951"/>
      <c r="E124" s="23"/>
      <c r="F124" s="963" t="s">
        <v>925</v>
      </c>
      <c r="G124" s="964"/>
      <c r="H124" s="964"/>
      <c r="I124" s="964"/>
      <c r="J124" s="964"/>
      <c r="K124" s="964"/>
      <c r="L124" s="964"/>
      <c r="M124" s="964"/>
      <c r="N124" s="964"/>
      <c r="O124" s="964"/>
      <c r="P124" s="964"/>
      <c r="Q124" s="965"/>
      <c r="R124" s="51">
        <f t="shared" ref="R124:W124" si="68">ROUND($C113*$E$2*R123/100,0)*100</f>
        <v>600</v>
      </c>
      <c r="S124" s="51">
        <f t="shared" si="68"/>
        <v>0</v>
      </c>
      <c r="T124" s="51">
        <f t="shared" si="68"/>
        <v>300</v>
      </c>
      <c r="U124" s="51">
        <f t="shared" si="68"/>
        <v>26800</v>
      </c>
      <c r="V124" s="51">
        <f t="shared" si="68"/>
        <v>200</v>
      </c>
      <c r="W124" s="51">
        <f t="shared" si="68"/>
        <v>200</v>
      </c>
      <c r="X124" s="17"/>
      <c r="Y124" s="17"/>
      <c r="Z124" s="17"/>
    </row>
    <row r="125" spans="1:26" ht="15.75" customHeight="1">
      <c r="A125" s="825">
        <v>11</v>
      </c>
      <c r="B125" s="878" t="s">
        <v>637</v>
      </c>
      <c r="C125" s="966">
        <f>Buckets!N13</f>
        <v>9.0826234795106389E-2</v>
      </c>
      <c r="D125" s="951" t="s">
        <v>490</v>
      </c>
      <c r="E125" s="23" t="s">
        <v>457</v>
      </c>
      <c r="F125" s="30">
        <f>'Input Sheet'!AU118</f>
        <v>1</v>
      </c>
      <c r="G125" s="30">
        <f>'Input Sheet'!AV118</f>
        <v>1</v>
      </c>
      <c r="H125" s="30">
        <f>'Input Sheet'!AW118</f>
        <v>0.26476701359923144</v>
      </c>
      <c r="I125" s="30">
        <f>'Input Sheet'!AX118</f>
        <v>131.16246761700739</v>
      </c>
      <c r="J125" s="30">
        <f>'Input Sheet'!AY118</f>
        <v>0.26476701359923144</v>
      </c>
      <c r="K125" s="30">
        <f>'Input Sheet'!AZ118</f>
        <v>0.23727251197143803</v>
      </c>
      <c r="L125" s="62">
        <v>1</v>
      </c>
      <c r="M125" s="30">
        <f>L125/L$34</f>
        <v>0.2</v>
      </c>
      <c r="N125" s="29"/>
      <c r="O125" s="29"/>
      <c r="P125" s="29"/>
      <c r="Q125" s="29"/>
      <c r="R125" s="45">
        <f>F125</f>
        <v>1</v>
      </c>
      <c r="S125" s="45">
        <f t="shared" ref="S125:W129" si="69">G125</f>
        <v>1</v>
      </c>
      <c r="T125" s="45">
        <f t="shared" si="69"/>
        <v>0.26476701359923144</v>
      </c>
      <c r="U125" s="45">
        <f t="shared" si="69"/>
        <v>131.16246761700739</v>
      </c>
      <c r="V125" s="45">
        <f t="shared" si="69"/>
        <v>0.26476701359923144</v>
      </c>
      <c r="W125" s="45">
        <f t="shared" si="69"/>
        <v>0.23727251197143803</v>
      </c>
      <c r="X125" s="46"/>
      <c r="Y125" s="46"/>
      <c r="Z125" s="46"/>
    </row>
    <row r="126" spans="1:26" ht="31.2">
      <c r="A126" s="825"/>
      <c r="B126" s="879"/>
      <c r="C126" s="966"/>
      <c r="D126" s="951"/>
      <c r="E126" s="23" t="s">
        <v>491</v>
      </c>
      <c r="F126" s="30">
        <f>'Input Sheet'!AU119</f>
        <v>1</v>
      </c>
      <c r="G126" s="30">
        <f>'Input Sheet'!AV119</f>
        <v>0.59278516023765859</v>
      </c>
      <c r="H126" s="30">
        <f>'Input Sheet'!AW119</f>
        <v>0.1969964041382577</v>
      </c>
      <c r="I126" s="30">
        <f>'Input Sheet'!AX119</f>
        <v>3.9034085619989424E-2</v>
      </c>
      <c r="J126" s="30">
        <f>'Input Sheet'!AY119</f>
        <v>0.35333907400957354</v>
      </c>
      <c r="K126" s="30">
        <f>'Input Sheet'!AZ119</f>
        <v>7.5207601016783077E-3</v>
      </c>
      <c r="L126" s="62">
        <v>1</v>
      </c>
      <c r="M126" s="30">
        <f t="shared" ref="M126:M129" si="70">L126/L$34</f>
        <v>0.2</v>
      </c>
      <c r="N126" s="29"/>
      <c r="O126" s="29"/>
      <c r="P126" s="29"/>
      <c r="Q126" s="29"/>
      <c r="R126" s="45">
        <f t="shared" ref="R126:R129" si="71">F126</f>
        <v>1</v>
      </c>
      <c r="S126" s="45">
        <f t="shared" si="69"/>
        <v>0.59278516023765859</v>
      </c>
      <c r="T126" s="45">
        <f t="shared" si="69"/>
        <v>0.1969964041382577</v>
      </c>
      <c r="U126" s="45">
        <f t="shared" si="69"/>
        <v>3.9034085619989424E-2</v>
      </c>
      <c r="V126" s="45">
        <f t="shared" si="69"/>
        <v>0.35333907400957354</v>
      </c>
      <c r="W126" s="45">
        <f t="shared" si="69"/>
        <v>7.5207601016783077E-3</v>
      </c>
      <c r="X126" s="46"/>
      <c r="Y126" s="46"/>
      <c r="Z126" s="46"/>
    </row>
    <row r="127" spans="1:26" ht="15.6">
      <c r="A127" s="825"/>
      <c r="B127" s="879"/>
      <c r="C127" s="966"/>
      <c r="D127" s="951"/>
      <c r="E127" s="23" t="s">
        <v>459</v>
      </c>
      <c r="F127" s="30">
        <f>'Input Sheet'!AU120</f>
        <v>1</v>
      </c>
      <c r="G127" s="30">
        <f>'Input Sheet'!AV120</f>
        <v>1</v>
      </c>
      <c r="H127" s="30">
        <f>'Input Sheet'!AW120</f>
        <v>1</v>
      </c>
      <c r="I127" s="30">
        <f>'Input Sheet'!AX120</f>
        <v>0.59333269512305176</v>
      </c>
      <c r="J127" s="30">
        <f>'Input Sheet'!AY120</f>
        <v>1</v>
      </c>
      <c r="K127" s="30">
        <f>'Input Sheet'!AZ120</f>
        <v>0.78721805325675964</v>
      </c>
      <c r="L127" s="62">
        <v>1</v>
      </c>
      <c r="M127" s="30">
        <f t="shared" si="70"/>
        <v>0.2</v>
      </c>
      <c r="N127" s="29"/>
      <c r="O127" s="29"/>
      <c r="P127" s="29"/>
      <c r="Q127" s="29"/>
      <c r="R127" s="45">
        <f t="shared" si="71"/>
        <v>1</v>
      </c>
      <c r="S127" s="45">
        <f t="shared" si="69"/>
        <v>1</v>
      </c>
      <c r="T127" s="45">
        <f t="shared" si="69"/>
        <v>1</v>
      </c>
      <c r="U127" s="45">
        <f t="shared" si="69"/>
        <v>0.59333269512305176</v>
      </c>
      <c r="V127" s="45">
        <f t="shared" si="69"/>
        <v>1</v>
      </c>
      <c r="W127" s="45">
        <f t="shared" si="69"/>
        <v>0.78721805325675964</v>
      </c>
      <c r="X127" s="46"/>
      <c r="Y127" s="46"/>
      <c r="Z127" s="46"/>
    </row>
    <row r="128" spans="1:26" ht="15.6">
      <c r="A128" s="825"/>
      <c r="B128" s="879"/>
      <c r="C128" s="966"/>
      <c r="D128" s="951"/>
      <c r="E128" s="23" t="s">
        <v>492</v>
      </c>
      <c r="F128" s="30">
        <f>'Input Sheet'!AU121</f>
        <v>1</v>
      </c>
      <c r="G128" s="30">
        <f>'Input Sheet'!AV121</f>
        <v>0.75201425431938251</v>
      </c>
      <c r="H128" s="30">
        <f>'Input Sheet'!AW121</f>
        <v>0.75201425431938251</v>
      </c>
      <c r="I128" s="30">
        <f>'Input Sheet'!AX121</f>
        <v>2.3513743805749008</v>
      </c>
      <c r="J128" s="30">
        <f>'Input Sheet'!AY121</f>
        <v>0.75201425431938251</v>
      </c>
      <c r="K128" s="30">
        <f>'Input Sheet'!AZ121</f>
        <v>2.3513743805749008</v>
      </c>
      <c r="L128" s="62">
        <v>1</v>
      </c>
      <c r="M128" s="30">
        <f t="shared" si="70"/>
        <v>0.2</v>
      </c>
      <c r="N128" s="29"/>
      <c r="O128" s="29"/>
      <c r="P128" s="29"/>
      <c r="Q128" s="29"/>
      <c r="R128" s="45">
        <f t="shared" si="71"/>
        <v>1</v>
      </c>
      <c r="S128" s="45">
        <f t="shared" si="69"/>
        <v>0.75201425431938251</v>
      </c>
      <c r="T128" s="45">
        <f t="shared" si="69"/>
        <v>0.75201425431938251</v>
      </c>
      <c r="U128" s="45">
        <f t="shared" si="69"/>
        <v>2.3513743805749008</v>
      </c>
      <c r="V128" s="45">
        <f t="shared" si="69"/>
        <v>0.75201425431938251</v>
      </c>
      <c r="W128" s="45">
        <f t="shared" si="69"/>
        <v>2.3513743805749008</v>
      </c>
      <c r="X128" s="46"/>
      <c r="Y128" s="46"/>
      <c r="Z128" s="46"/>
    </row>
    <row r="129" spans="1:26" ht="15.6">
      <c r="A129" s="825"/>
      <c r="B129" s="879"/>
      <c r="C129" s="966"/>
      <c r="D129" s="951"/>
      <c r="E129" s="34" t="s">
        <v>461</v>
      </c>
      <c r="F129" s="30">
        <f>'Input Sheet'!AU122</f>
        <v>1</v>
      </c>
      <c r="G129" s="30">
        <f>'Input Sheet'!AV122</f>
        <v>0.66081212082832619</v>
      </c>
      <c r="H129" s="30">
        <f>'Input Sheet'!AW122</f>
        <v>0.45343239658718076</v>
      </c>
      <c r="I129" s="30">
        <f>'Input Sheet'!AX122</f>
        <v>0.23457028809379776</v>
      </c>
      <c r="J129" s="30">
        <f>'Input Sheet'!AY122</f>
        <v>1</v>
      </c>
      <c r="K129" s="30">
        <f>'Input Sheet'!AZ122</f>
        <v>1</v>
      </c>
      <c r="L129" s="62">
        <v>1</v>
      </c>
      <c r="M129" s="30">
        <f t="shared" si="70"/>
        <v>0.2</v>
      </c>
      <c r="N129" s="29"/>
      <c r="O129" s="29"/>
      <c r="P129" s="29"/>
      <c r="Q129" s="29"/>
      <c r="R129" s="45">
        <f t="shared" si="71"/>
        <v>1</v>
      </c>
      <c r="S129" s="45">
        <f t="shared" si="69"/>
        <v>0.66081212082832619</v>
      </c>
      <c r="T129" s="45">
        <f t="shared" si="69"/>
        <v>0.45343239658718076</v>
      </c>
      <c r="U129" s="45">
        <f t="shared" si="69"/>
        <v>0.23457028809379776</v>
      </c>
      <c r="V129" s="45">
        <f t="shared" si="69"/>
        <v>1</v>
      </c>
      <c r="W129" s="45">
        <f t="shared" si="69"/>
        <v>1</v>
      </c>
      <c r="X129" s="46"/>
      <c r="Y129" s="46"/>
      <c r="Z129" s="46"/>
    </row>
    <row r="130" spans="1:26" ht="15.6">
      <c r="A130" s="825">
        <v>2</v>
      </c>
      <c r="B130" s="879"/>
      <c r="C130" s="966"/>
      <c r="D130" s="951"/>
      <c r="E130" s="23" t="s">
        <v>38</v>
      </c>
      <c r="F130" s="47"/>
      <c r="G130" s="47"/>
      <c r="H130" s="47"/>
      <c r="I130" s="47"/>
      <c r="J130" s="47"/>
      <c r="K130" s="47"/>
      <c r="L130" s="449">
        <f>SUM(L125:L129)</f>
        <v>5</v>
      </c>
      <c r="M130" s="872" t="s">
        <v>493</v>
      </c>
      <c r="N130" s="873"/>
      <c r="O130" s="873"/>
      <c r="P130" s="873"/>
      <c r="Q130" s="874"/>
      <c r="R130" s="45">
        <f>SUM(R125:R129)</f>
        <v>5</v>
      </c>
      <c r="S130" s="45">
        <f t="shared" ref="S130:T130" si="72">SUM(S125:S129)</f>
        <v>4.0056115353853672</v>
      </c>
      <c r="T130" s="45">
        <f t="shared" si="72"/>
        <v>2.6672100686440525</v>
      </c>
      <c r="U130" s="45">
        <f>SUM(U125:U129)</f>
        <v>134.38077906641914</v>
      </c>
      <c r="V130" s="45">
        <f>SUM(V125:V129)</f>
        <v>3.3701203419281875</v>
      </c>
      <c r="W130" s="45">
        <f>SUM(W125:W129)</f>
        <v>4.3833857059047769</v>
      </c>
      <c r="X130" s="48"/>
      <c r="Y130" s="48"/>
      <c r="Z130" s="48"/>
    </row>
    <row r="131" spans="1:26" ht="15.6">
      <c r="A131" s="825"/>
      <c r="B131" s="879"/>
      <c r="C131" s="966"/>
      <c r="D131" s="951"/>
      <c r="E131" s="23"/>
      <c r="F131" s="23"/>
      <c r="G131" s="23"/>
      <c r="H131" s="23"/>
      <c r="I131" s="23"/>
      <c r="J131" s="23"/>
      <c r="K131" s="23"/>
      <c r="L131" s="23"/>
      <c r="M131" s="872" t="s">
        <v>494</v>
      </c>
      <c r="N131" s="873"/>
      <c r="O131" s="873"/>
      <c r="P131" s="873"/>
      <c r="Q131" s="874"/>
      <c r="R131" s="45">
        <f>R130/SUM($R130:$W130)</f>
        <v>3.2508250799868271E-2</v>
      </c>
      <c r="S131" s="45">
        <f t="shared" ref="S131:T131" si="73">S130/SUM($R130:$W130)</f>
        <v>2.6043084879830588E-2</v>
      </c>
      <c r="T131" s="45">
        <f t="shared" si="73"/>
        <v>1.7341266769482947E-2</v>
      </c>
      <c r="U131" s="45">
        <f>U130/SUM($R130:$W130)</f>
        <v>0.87369681371456831</v>
      </c>
      <c r="V131" s="45">
        <f>V130/SUM($R130:$W130)</f>
        <v>2.1911343460227869E-2</v>
      </c>
      <c r="W131" s="45">
        <f>W130/SUM($R130:$W130)</f>
        <v>2.8499240376022025E-2</v>
      </c>
      <c r="X131" s="17"/>
      <c r="Y131" s="17"/>
      <c r="Z131" s="17"/>
    </row>
    <row r="132" spans="1:26" ht="15.6">
      <c r="A132" s="825"/>
      <c r="B132" s="879"/>
      <c r="C132" s="966"/>
      <c r="D132" s="951"/>
      <c r="E132" s="446"/>
      <c r="F132" s="941"/>
      <c r="G132" s="942"/>
      <c r="H132" s="942"/>
      <c r="I132" s="942"/>
      <c r="J132" s="942"/>
      <c r="K132" s="942"/>
      <c r="L132" s="942"/>
      <c r="M132" s="942"/>
      <c r="N132" s="942"/>
      <c r="O132" s="942"/>
      <c r="P132" s="942"/>
      <c r="Q132" s="942"/>
      <c r="R132" s="942"/>
      <c r="S132" s="942"/>
      <c r="T132" s="942"/>
      <c r="U132" s="942"/>
      <c r="V132" s="942"/>
      <c r="W132" s="943"/>
      <c r="X132" s="17"/>
      <c r="Y132" s="17"/>
      <c r="Z132" s="17"/>
    </row>
    <row r="133" spans="1:26" ht="15.6">
      <c r="A133" s="825"/>
      <c r="B133" s="879"/>
      <c r="C133" s="966"/>
      <c r="D133" s="951"/>
      <c r="E133" s="23"/>
      <c r="F133" s="30">
        <f>'Input Sheet'!AU124</f>
        <v>1</v>
      </c>
      <c r="G133" s="30">
        <f>'Input Sheet'!AV124</f>
        <v>0.85</v>
      </c>
      <c r="H133" s="30">
        <f>'Input Sheet'!AW124</f>
        <v>0.85</v>
      </c>
      <c r="I133" s="30">
        <f>'Input Sheet'!AX124</f>
        <v>0.9</v>
      </c>
      <c r="J133" s="30">
        <f>'Input Sheet'!AY124</f>
        <v>0.55000000000000004</v>
      </c>
      <c r="K133" s="30">
        <f>'Input Sheet'!AZ124</f>
        <v>0.35</v>
      </c>
      <c r="L133" s="23"/>
      <c r="M133" s="957" t="s">
        <v>495</v>
      </c>
      <c r="N133" s="958"/>
      <c r="O133" s="958"/>
      <c r="P133" s="958"/>
      <c r="Q133" s="959"/>
      <c r="R133" s="45">
        <f>R131*F133</f>
        <v>3.2508250799868271E-2</v>
      </c>
      <c r="S133" s="45">
        <f t="shared" ref="S133:T133" si="74">S131*G133</f>
        <v>2.2136622147856E-2</v>
      </c>
      <c r="T133" s="45">
        <f t="shared" si="74"/>
        <v>1.4740076754060505E-2</v>
      </c>
      <c r="U133" s="45">
        <f>U131*I133</f>
        <v>0.78632713234311147</v>
      </c>
      <c r="V133" s="45">
        <f>V131*J133</f>
        <v>1.2051238903125329E-2</v>
      </c>
      <c r="W133" s="45">
        <f>W131*K133</f>
        <v>9.9747341316077081E-3</v>
      </c>
      <c r="X133" s="17"/>
      <c r="Y133" s="17"/>
      <c r="Z133" s="17"/>
    </row>
    <row r="134" spans="1:26" ht="15.6" customHeight="1">
      <c r="A134" s="825"/>
      <c r="B134" s="879"/>
      <c r="C134" s="966"/>
      <c r="D134" s="951"/>
      <c r="E134" s="23"/>
      <c r="F134" s="960" t="s">
        <v>923</v>
      </c>
      <c r="G134" s="961"/>
      <c r="H134" s="961"/>
      <c r="I134" s="961"/>
      <c r="J134" s="961"/>
      <c r="K134" s="961"/>
      <c r="L134" s="961"/>
      <c r="M134" s="961"/>
      <c r="N134" s="961"/>
      <c r="O134" s="961"/>
      <c r="P134" s="961"/>
      <c r="Q134" s="962"/>
      <c r="R134" s="45">
        <f>R133</f>
        <v>3.2508250799868271E-2</v>
      </c>
      <c r="S134" s="45">
        <f>S133*'Input Sheet'!BI116/'Input Sheet'!BH116</f>
        <v>1.1445529948279755E-3</v>
      </c>
      <c r="T134" s="45">
        <f>T133*'Input Sheet'!BJ116/'Input Sheet'!BH116</f>
        <v>1.3977955104236521E-2</v>
      </c>
      <c r="U134" s="45">
        <f>U133</f>
        <v>0.78632713234311147</v>
      </c>
      <c r="V134" s="45">
        <f>V133</f>
        <v>1.2051238903125329E-2</v>
      </c>
      <c r="W134" s="45">
        <f>W133</f>
        <v>9.9747341316077081E-3</v>
      </c>
      <c r="X134" s="17"/>
      <c r="Y134" s="17"/>
      <c r="Z134" s="17"/>
    </row>
    <row r="135" spans="1:26" ht="15.6" customHeight="1">
      <c r="A135" s="825"/>
      <c r="B135" s="879"/>
      <c r="C135" s="966"/>
      <c r="D135" s="951"/>
      <c r="E135" s="23"/>
      <c r="F135" s="963" t="s">
        <v>924</v>
      </c>
      <c r="G135" s="964"/>
      <c r="H135" s="964"/>
      <c r="I135" s="964"/>
      <c r="J135" s="964"/>
      <c r="K135" s="964"/>
      <c r="L135" s="964"/>
      <c r="M135" s="964"/>
      <c r="N135" s="964"/>
      <c r="O135" s="964"/>
      <c r="P135" s="964"/>
      <c r="Q135" s="965"/>
      <c r="R135" s="50">
        <f>R134/(R134+U134+V134+W134+S134+T134)</f>
        <v>3.7977644388582685E-2</v>
      </c>
      <c r="S135" s="50">
        <f>S134/(R134+S134+T134+U134+V134+W134)</f>
        <v>1.3371198250273222E-3</v>
      </c>
      <c r="T135" s="50">
        <f>T134/(R134+S134+T134+U134+V134+W134)</f>
        <v>1.6329694621108923E-2</v>
      </c>
      <c r="U135" s="50">
        <f>U134/(R134+U134+V134+W134+S134+T134)</f>
        <v>0.91862377920812932</v>
      </c>
      <c r="V135" s="50">
        <f>V134/(R134+U134+V134+W134+S134+T134)</f>
        <v>1.4078815508172516E-2</v>
      </c>
      <c r="W135" s="50">
        <f>W134/(R134+U134+V134+W134+S134+T134)</f>
        <v>1.1652946448979368E-2</v>
      </c>
      <c r="X135" s="17"/>
      <c r="Y135" s="17"/>
      <c r="Z135" s="17"/>
    </row>
    <row r="136" spans="1:26" ht="15.6" customHeight="1">
      <c r="A136" s="825"/>
      <c r="B136" s="880"/>
      <c r="C136" s="966"/>
      <c r="D136" s="951"/>
      <c r="E136" s="23"/>
      <c r="F136" s="963" t="s">
        <v>925</v>
      </c>
      <c r="G136" s="964"/>
      <c r="H136" s="964"/>
      <c r="I136" s="964"/>
      <c r="J136" s="964"/>
      <c r="K136" s="964"/>
      <c r="L136" s="964"/>
      <c r="M136" s="964"/>
      <c r="N136" s="964"/>
      <c r="O136" s="964"/>
      <c r="P136" s="964"/>
      <c r="Q136" s="965"/>
      <c r="R136" s="51">
        <f t="shared" ref="R136:W136" si="75">ROUND($C125*$E$2*R135/100,0)*100</f>
        <v>2000</v>
      </c>
      <c r="S136" s="51">
        <f t="shared" si="75"/>
        <v>100</v>
      </c>
      <c r="T136" s="51">
        <f t="shared" si="75"/>
        <v>800</v>
      </c>
      <c r="U136" s="51">
        <f t="shared" si="75"/>
        <v>47600</v>
      </c>
      <c r="V136" s="51">
        <f t="shared" si="75"/>
        <v>700</v>
      </c>
      <c r="W136" s="51">
        <f t="shared" si="75"/>
        <v>600</v>
      </c>
      <c r="X136" s="17"/>
      <c r="Y136" s="17"/>
      <c r="Z136" s="17"/>
    </row>
    <row r="137" spans="1:26" ht="15.75" customHeight="1">
      <c r="A137" s="825">
        <v>12</v>
      </c>
      <c r="B137" s="878" t="s">
        <v>638</v>
      </c>
      <c r="C137" s="966">
        <f>Buckets!N14</f>
        <v>3.1601640551056895E-2</v>
      </c>
      <c r="D137" s="951" t="s">
        <v>490</v>
      </c>
      <c r="E137" s="23" t="s">
        <v>457</v>
      </c>
      <c r="F137" s="30">
        <f>'Input Sheet'!AU129</f>
        <v>1</v>
      </c>
      <c r="G137" s="30">
        <f>'Input Sheet'!AV129</f>
        <v>0.68881061383278674</v>
      </c>
      <c r="H137" s="30">
        <f>'Input Sheet'!AW129</f>
        <v>0.74733835677260618</v>
      </c>
      <c r="I137" s="30">
        <f>'Input Sheet'!AX129</f>
        <v>5.6925117052667593</v>
      </c>
      <c r="J137" s="30">
        <f>'Input Sheet'!AY129</f>
        <v>0.20413058348392682</v>
      </c>
      <c r="K137" s="30">
        <f>'Input Sheet'!AZ129</f>
        <v>8.9082050219349396E-2</v>
      </c>
      <c r="L137" s="62">
        <v>1</v>
      </c>
      <c r="M137" s="30">
        <f>L137/L$34</f>
        <v>0.2</v>
      </c>
      <c r="N137" s="29"/>
      <c r="O137" s="29"/>
      <c r="P137" s="29"/>
      <c r="Q137" s="29"/>
      <c r="R137" s="45">
        <f>F137</f>
        <v>1</v>
      </c>
      <c r="S137" s="45">
        <f t="shared" ref="S137:W141" si="76">G137</f>
        <v>0.68881061383278674</v>
      </c>
      <c r="T137" s="45">
        <f t="shared" si="76"/>
        <v>0.74733835677260618</v>
      </c>
      <c r="U137" s="45">
        <f t="shared" si="76"/>
        <v>5.6925117052667593</v>
      </c>
      <c r="V137" s="45">
        <f t="shared" si="76"/>
        <v>0.20413058348392682</v>
      </c>
      <c r="W137" s="45">
        <f t="shared" si="76"/>
        <v>8.9082050219349396E-2</v>
      </c>
      <c r="X137" s="46"/>
      <c r="Y137" s="46"/>
      <c r="Z137" s="46"/>
    </row>
    <row r="138" spans="1:26" ht="31.2">
      <c r="A138" s="825"/>
      <c r="B138" s="879"/>
      <c r="C138" s="966"/>
      <c r="D138" s="951"/>
      <c r="E138" s="23" t="s">
        <v>491</v>
      </c>
      <c r="F138" s="30">
        <f>'Input Sheet'!AU130</f>
        <v>1</v>
      </c>
      <c r="G138" s="30">
        <f>'Input Sheet'!AV130</f>
        <v>0.47450338074124165</v>
      </c>
      <c r="H138" s="30">
        <f>'Input Sheet'!AW130</f>
        <v>0.29084329137157167</v>
      </c>
      <c r="I138" s="30">
        <f>'Input Sheet'!AX130</f>
        <v>2.4883594743575217E-2</v>
      </c>
      <c r="J138" s="30">
        <f>'Input Sheet'!AY130</f>
        <v>0.23224094686735186</v>
      </c>
      <c r="K138" s="30">
        <f>'Input Sheet'!AZ130</f>
        <v>5.3268874490209322E-3</v>
      </c>
      <c r="L138" s="62">
        <v>1</v>
      </c>
      <c r="M138" s="30">
        <f t="shared" ref="M138:M141" si="77">L138/L$34</f>
        <v>0.2</v>
      </c>
      <c r="N138" s="29"/>
      <c r="O138" s="29"/>
      <c r="P138" s="29"/>
      <c r="Q138" s="29"/>
      <c r="R138" s="45">
        <f t="shared" ref="R138:R141" si="78">F138</f>
        <v>1</v>
      </c>
      <c r="S138" s="45">
        <f t="shared" si="76"/>
        <v>0.47450338074124165</v>
      </c>
      <c r="T138" s="45">
        <f t="shared" si="76"/>
        <v>0.29084329137157167</v>
      </c>
      <c r="U138" s="45">
        <f t="shared" si="76"/>
        <v>2.4883594743575217E-2</v>
      </c>
      <c r="V138" s="45">
        <f t="shared" si="76"/>
        <v>0.23224094686735186</v>
      </c>
      <c r="W138" s="45">
        <f t="shared" si="76"/>
        <v>5.3268874490209322E-3</v>
      </c>
      <c r="X138" s="46"/>
      <c r="Y138" s="46"/>
      <c r="Z138" s="46"/>
    </row>
    <row r="139" spans="1:26" ht="15.6">
      <c r="A139" s="825"/>
      <c r="B139" s="879"/>
      <c r="C139" s="966"/>
      <c r="D139" s="951"/>
      <c r="E139" s="23" t="s">
        <v>459</v>
      </c>
      <c r="F139" s="30">
        <f>'Input Sheet'!AU131</f>
        <v>1</v>
      </c>
      <c r="G139" s="30">
        <f>'Input Sheet'!AV131</f>
        <v>1</v>
      </c>
      <c r="H139" s="30">
        <f>'Input Sheet'!AW131</f>
        <v>1</v>
      </c>
      <c r="I139" s="30">
        <f>'Input Sheet'!AX131</f>
        <v>0.24526760348267987</v>
      </c>
      <c r="J139" s="30">
        <f>'Input Sheet'!AY131</f>
        <v>1</v>
      </c>
      <c r="K139" s="30">
        <f>'Input Sheet'!AZ131</f>
        <v>0.53129788176043136</v>
      </c>
      <c r="L139" s="62">
        <v>1</v>
      </c>
      <c r="M139" s="30">
        <f t="shared" si="77"/>
        <v>0.2</v>
      </c>
      <c r="N139" s="29"/>
      <c r="O139" s="29"/>
      <c r="P139" s="29"/>
      <c r="Q139" s="29"/>
      <c r="R139" s="45">
        <f t="shared" si="78"/>
        <v>1</v>
      </c>
      <c r="S139" s="45">
        <f t="shared" si="76"/>
        <v>1</v>
      </c>
      <c r="T139" s="45">
        <f t="shared" si="76"/>
        <v>1</v>
      </c>
      <c r="U139" s="45">
        <f t="shared" si="76"/>
        <v>0.24526760348267987</v>
      </c>
      <c r="V139" s="45">
        <f t="shared" si="76"/>
        <v>1</v>
      </c>
      <c r="W139" s="45">
        <f t="shared" si="76"/>
        <v>0.53129788176043136</v>
      </c>
      <c r="X139" s="46"/>
      <c r="Y139" s="46"/>
      <c r="Z139" s="46"/>
    </row>
    <row r="140" spans="1:26" ht="15.6">
      <c r="A140" s="825"/>
      <c r="B140" s="879"/>
      <c r="C140" s="966"/>
      <c r="D140" s="951"/>
      <c r="E140" s="23" t="s">
        <v>492</v>
      </c>
      <c r="F140" s="30">
        <f>'Input Sheet'!AU132</f>
        <v>1</v>
      </c>
      <c r="G140" s="30">
        <f>'Input Sheet'!AV132</f>
        <v>0.83945702076920725</v>
      </c>
      <c r="H140" s="30">
        <f>'Input Sheet'!AW132</f>
        <v>0.83945702076920725</v>
      </c>
      <c r="I140" s="30">
        <f>'Input Sheet'!AX132</f>
        <v>1.6904588483790908</v>
      </c>
      <c r="J140" s="30">
        <f>'Input Sheet'!AY132</f>
        <v>0.83945702076920725</v>
      </c>
      <c r="K140" s="30">
        <f>'Input Sheet'!AZ132</f>
        <v>1.6904588483790908</v>
      </c>
      <c r="L140" s="62">
        <v>1</v>
      </c>
      <c r="M140" s="30">
        <f t="shared" si="77"/>
        <v>0.2</v>
      </c>
      <c r="N140" s="29"/>
      <c r="O140" s="29"/>
      <c r="P140" s="29"/>
      <c r="Q140" s="29"/>
      <c r="R140" s="45">
        <f t="shared" si="78"/>
        <v>1</v>
      </c>
      <c r="S140" s="45">
        <f t="shared" si="76"/>
        <v>0.83945702076920725</v>
      </c>
      <c r="T140" s="45">
        <f t="shared" si="76"/>
        <v>0.83945702076920725</v>
      </c>
      <c r="U140" s="45">
        <f t="shared" si="76"/>
        <v>1.6904588483790908</v>
      </c>
      <c r="V140" s="45">
        <f t="shared" si="76"/>
        <v>0.83945702076920725</v>
      </c>
      <c r="W140" s="45">
        <f t="shared" si="76"/>
        <v>1.6904588483790908</v>
      </c>
      <c r="X140" s="46"/>
      <c r="Y140" s="46"/>
      <c r="Z140" s="46"/>
    </row>
    <row r="141" spans="1:26" ht="15.6">
      <c r="A141" s="825"/>
      <c r="B141" s="879"/>
      <c r="C141" s="966"/>
      <c r="D141" s="951"/>
      <c r="E141" s="34" t="s">
        <v>461</v>
      </c>
      <c r="F141" s="30">
        <f>'Input Sheet'!AU133</f>
        <v>1</v>
      </c>
      <c r="G141" s="30">
        <f>'Input Sheet'!AV133</f>
        <v>0.71653131057378894</v>
      </c>
      <c r="H141" s="30">
        <f>'Input Sheet'!AW133</f>
        <v>0.52921334150005017</v>
      </c>
      <c r="I141" s="30">
        <f>'Input Sheet'!AX133</f>
        <v>0.31140322391459774</v>
      </c>
      <c r="J141" s="30">
        <f>'Input Sheet'!AY133</f>
        <v>1</v>
      </c>
      <c r="K141" s="30">
        <f>'Input Sheet'!AZ133</f>
        <v>1</v>
      </c>
      <c r="L141" s="62">
        <v>1</v>
      </c>
      <c r="M141" s="30">
        <f t="shared" si="77"/>
        <v>0.2</v>
      </c>
      <c r="N141" s="29"/>
      <c r="O141" s="29"/>
      <c r="P141" s="29"/>
      <c r="Q141" s="29"/>
      <c r="R141" s="45">
        <f t="shared" si="78"/>
        <v>1</v>
      </c>
      <c r="S141" s="45">
        <f t="shared" si="76"/>
        <v>0.71653131057378894</v>
      </c>
      <c r="T141" s="45">
        <f t="shared" si="76"/>
        <v>0.52921334150005017</v>
      </c>
      <c r="U141" s="45">
        <f t="shared" si="76"/>
        <v>0.31140322391459774</v>
      </c>
      <c r="V141" s="45">
        <f t="shared" si="76"/>
        <v>1</v>
      </c>
      <c r="W141" s="45">
        <f t="shared" si="76"/>
        <v>1</v>
      </c>
      <c r="X141" s="46"/>
      <c r="Y141" s="46"/>
      <c r="Z141" s="46"/>
    </row>
    <row r="142" spans="1:26" ht="15.6">
      <c r="A142" s="825">
        <v>2</v>
      </c>
      <c r="B142" s="879"/>
      <c r="C142" s="966"/>
      <c r="D142" s="951"/>
      <c r="E142" s="23" t="s">
        <v>38</v>
      </c>
      <c r="F142" s="47"/>
      <c r="G142" s="47"/>
      <c r="H142" s="47"/>
      <c r="I142" s="47"/>
      <c r="J142" s="47"/>
      <c r="K142" s="47"/>
      <c r="L142" s="449">
        <f>SUM(L137:L141)</f>
        <v>5</v>
      </c>
      <c r="M142" s="872" t="s">
        <v>493</v>
      </c>
      <c r="N142" s="873"/>
      <c r="O142" s="873"/>
      <c r="P142" s="873"/>
      <c r="Q142" s="874"/>
      <c r="R142" s="45">
        <f>SUM(R137:R141)</f>
        <v>5</v>
      </c>
      <c r="S142" s="45">
        <f t="shared" ref="S142:T142" si="79">SUM(S137:S141)</f>
        <v>3.7193023259170248</v>
      </c>
      <c r="T142" s="45">
        <f t="shared" si="79"/>
        <v>3.4068520104134352</v>
      </c>
      <c r="U142" s="45">
        <f>SUM(U137:U141)</f>
        <v>7.9645249757867029</v>
      </c>
      <c r="V142" s="45">
        <f>SUM(V137:V141)</f>
        <v>3.2758285511204859</v>
      </c>
      <c r="W142" s="45">
        <f>SUM(W137:W141)</f>
        <v>3.3161656678078923</v>
      </c>
      <c r="X142" s="48"/>
      <c r="Y142" s="48"/>
      <c r="Z142" s="48"/>
    </row>
    <row r="143" spans="1:26" ht="15.6">
      <c r="A143" s="825"/>
      <c r="B143" s="879"/>
      <c r="C143" s="966"/>
      <c r="D143" s="951"/>
      <c r="E143" s="23"/>
      <c r="F143" s="23"/>
      <c r="G143" s="23"/>
      <c r="H143" s="23"/>
      <c r="I143" s="23"/>
      <c r="J143" s="23"/>
      <c r="K143" s="23"/>
      <c r="L143" s="23"/>
      <c r="M143" s="872" t="s">
        <v>494</v>
      </c>
      <c r="N143" s="873"/>
      <c r="O143" s="873"/>
      <c r="P143" s="873"/>
      <c r="Q143" s="874"/>
      <c r="R143" s="45">
        <f>R142/SUM($R142:$W142)</f>
        <v>0.18738751925223887</v>
      </c>
      <c r="S143" s="45">
        <f t="shared" ref="S143:T143" si="80">S142/SUM($R142:$W142)</f>
        <v>0.13939016724053466</v>
      </c>
      <c r="T143" s="45">
        <f t="shared" si="80"/>
        <v>0.12768030933817526</v>
      </c>
      <c r="U143" s="45">
        <f>U142/SUM($R142:$W142)</f>
        <v>0.29849051544703359</v>
      </c>
      <c r="V143" s="45">
        <f>V142/SUM($R142:$W142)</f>
        <v>0.12276987713802476</v>
      </c>
      <c r="W143" s="45">
        <f>W142/SUM($R142:$W142)</f>
        <v>0.12428161158399299</v>
      </c>
      <c r="X143" s="17"/>
      <c r="Y143" s="17"/>
      <c r="Z143" s="17"/>
    </row>
    <row r="144" spans="1:26" ht="15.6">
      <c r="A144" s="825"/>
      <c r="B144" s="879"/>
      <c r="C144" s="966"/>
      <c r="D144" s="951"/>
      <c r="E144" s="446"/>
      <c r="F144" s="941"/>
      <c r="G144" s="942"/>
      <c r="H144" s="942"/>
      <c r="I144" s="942"/>
      <c r="J144" s="942"/>
      <c r="K144" s="942"/>
      <c r="L144" s="942"/>
      <c r="M144" s="942"/>
      <c r="N144" s="942"/>
      <c r="O144" s="942"/>
      <c r="P144" s="942"/>
      <c r="Q144" s="942"/>
      <c r="R144" s="942"/>
      <c r="S144" s="942"/>
      <c r="T144" s="942"/>
      <c r="U144" s="942"/>
      <c r="V144" s="942"/>
      <c r="W144" s="943"/>
      <c r="X144" s="17"/>
      <c r="Y144" s="17"/>
      <c r="Z144" s="17"/>
    </row>
    <row r="145" spans="1:26" ht="15.6">
      <c r="A145" s="825"/>
      <c r="B145" s="879"/>
      <c r="C145" s="966"/>
      <c r="D145" s="951"/>
      <c r="E145" s="23"/>
      <c r="F145" s="30">
        <f>'Input Sheet'!AU135</f>
        <v>1</v>
      </c>
      <c r="G145" s="30">
        <f>'Input Sheet'!AV135</f>
        <v>0.9</v>
      </c>
      <c r="H145" s="30">
        <f>'Input Sheet'!AW135</f>
        <v>0.75</v>
      </c>
      <c r="I145" s="30">
        <f>'Input Sheet'!AX135</f>
        <v>0.85</v>
      </c>
      <c r="J145" s="30">
        <f>'Input Sheet'!AY135</f>
        <v>0.55000000000000004</v>
      </c>
      <c r="K145" s="30">
        <f>'Input Sheet'!AZ135</f>
        <v>0.35</v>
      </c>
      <c r="L145" s="23"/>
      <c r="M145" s="957" t="s">
        <v>495</v>
      </c>
      <c r="N145" s="958"/>
      <c r="O145" s="958"/>
      <c r="P145" s="958"/>
      <c r="Q145" s="959"/>
      <c r="R145" s="45">
        <f>R143*F145</f>
        <v>0.18738751925223887</v>
      </c>
      <c r="S145" s="45">
        <f t="shared" ref="S145:T145" si="81">S143*G145</f>
        <v>0.1254511505164812</v>
      </c>
      <c r="T145" s="45">
        <f t="shared" si="81"/>
        <v>9.5760232003631443E-2</v>
      </c>
      <c r="U145" s="45">
        <f>U143*I145</f>
        <v>0.25371693812997853</v>
      </c>
      <c r="V145" s="45">
        <f>V143*J145</f>
        <v>6.7523432425913618E-2</v>
      </c>
      <c r="W145" s="45">
        <f>W143*K145</f>
        <v>4.3498564054397545E-2</v>
      </c>
      <c r="X145" s="17"/>
      <c r="Y145" s="17"/>
      <c r="Z145" s="17"/>
    </row>
    <row r="146" spans="1:26" ht="15.6" customHeight="1">
      <c r="A146" s="825"/>
      <c r="B146" s="879"/>
      <c r="C146" s="966"/>
      <c r="D146" s="951"/>
      <c r="E146" s="23"/>
      <c r="F146" s="960" t="s">
        <v>923</v>
      </c>
      <c r="G146" s="961"/>
      <c r="H146" s="961"/>
      <c r="I146" s="961"/>
      <c r="J146" s="961"/>
      <c r="K146" s="961"/>
      <c r="L146" s="961"/>
      <c r="M146" s="961"/>
      <c r="N146" s="961"/>
      <c r="O146" s="961"/>
      <c r="P146" s="961"/>
      <c r="Q146" s="962"/>
      <c r="R146" s="45">
        <f>R145</f>
        <v>0.18738751925223887</v>
      </c>
      <c r="S146" s="45">
        <f>S145*'Input Sheet'!BI127/'Input Sheet'!BH127</f>
        <v>0.1254511505164812</v>
      </c>
      <c r="T146" s="45">
        <f>T145*'Input Sheet'!BJ127/'Input Sheet'!BH127</f>
        <v>0</v>
      </c>
      <c r="U146" s="45">
        <f>U145</f>
        <v>0.25371693812997853</v>
      </c>
      <c r="V146" s="45">
        <f>V145</f>
        <v>6.7523432425913618E-2</v>
      </c>
      <c r="W146" s="45">
        <f>W145</f>
        <v>4.3498564054397545E-2</v>
      </c>
      <c r="X146" s="17"/>
      <c r="Y146" s="17"/>
      <c r="Z146" s="17"/>
    </row>
    <row r="147" spans="1:26" ht="15.6" customHeight="1">
      <c r="A147" s="825"/>
      <c r="B147" s="879"/>
      <c r="C147" s="966"/>
      <c r="D147" s="951"/>
      <c r="E147" s="23"/>
      <c r="F147" s="963" t="s">
        <v>924</v>
      </c>
      <c r="G147" s="964"/>
      <c r="H147" s="964"/>
      <c r="I147" s="964"/>
      <c r="J147" s="964"/>
      <c r="K147" s="964"/>
      <c r="L147" s="964"/>
      <c r="M147" s="964"/>
      <c r="N147" s="964"/>
      <c r="O147" s="964"/>
      <c r="P147" s="964"/>
      <c r="Q147" s="965"/>
      <c r="R147" s="50">
        <f>R146/(R146+U146+V146+W146+S146+T146)</f>
        <v>0.27655506622592235</v>
      </c>
      <c r="S147" s="50">
        <f>S146/(R146+S146+T146+U146+V146+W146)</f>
        <v>0.18514654219047777</v>
      </c>
      <c r="T147" s="50">
        <f>T146/(R146+S146+T146+U146+V146+W146)</f>
        <v>0</v>
      </c>
      <c r="U147" s="50">
        <f>U146/(R146+U146+V146+W146+S146+T146)</f>
        <v>0.37444705446323961</v>
      </c>
      <c r="V147" s="50">
        <f>V146/(R146+U146+V146+W146+S146+T146)</f>
        <v>9.9654168008988256E-2</v>
      </c>
      <c r="W147" s="50">
        <f>W146/(R146+U146+V146+W146+S146+T146)</f>
        <v>6.419716911137191E-2</v>
      </c>
      <c r="X147" s="17"/>
      <c r="Y147" s="17"/>
      <c r="Z147" s="17"/>
    </row>
    <row r="148" spans="1:26" ht="15.6" customHeight="1">
      <c r="A148" s="825"/>
      <c r="B148" s="880"/>
      <c r="C148" s="966"/>
      <c r="D148" s="951"/>
      <c r="E148" s="23"/>
      <c r="F148" s="963" t="s">
        <v>925</v>
      </c>
      <c r="G148" s="964"/>
      <c r="H148" s="964"/>
      <c r="I148" s="964"/>
      <c r="J148" s="964"/>
      <c r="K148" s="964"/>
      <c r="L148" s="964"/>
      <c r="M148" s="964"/>
      <c r="N148" s="964"/>
      <c r="O148" s="964"/>
      <c r="P148" s="964"/>
      <c r="Q148" s="965"/>
      <c r="R148" s="51">
        <f t="shared" ref="R148:W148" si="82">ROUND($C137*$E$2*R147/100,0)*100</f>
        <v>5000</v>
      </c>
      <c r="S148" s="51">
        <f t="shared" si="82"/>
        <v>3300</v>
      </c>
      <c r="T148" s="51">
        <f t="shared" si="82"/>
        <v>0</v>
      </c>
      <c r="U148" s="51">
        <f t="shared" si="82"/>
        <v>6800</v>
      </c>
      <c r="V148" s="51">
        <f t="shared" si="82"/>
        <v>1800</v>
      </c>
      <c r="W148" s="51">
        <f t="shared" si="82"/>
        <v>1200</v>
      </c>
      <c r="X148" s="17"/>
      <c r="Y148" s="17"/>
      <c r="Z148" s="17"/>
    </row>
    <row r="149" spans="1:26" ht="15.75" customHeight="1">
      <c r="A149" s="825">
        <v>13</v>
      </c>
      <c r="B149" s="878" t="s">
        <v>644</v>
      </c>
      <c r="C149" s="966">
        <f>Buckets!N15</f>
        <v>3.2460476040242575E-2</v>
      </c>
      <c r="D149" s="951" t="s">
        <v>490</v>
      </c>
      <c r="E149" s="23" t="s">
        <v>457</v>
      </c>
      <c r="F149" s="30">
        <f>'Input Sheet'!AU140</f>
        <v>1</v>
      </c>
      <c r="G149" s="30">
        <f>'Input Sheet'!AV140</f>
        <v>0.70573985886607138</v>
      </c>
      <c r="H149" s="30">
        <f>'Input Sheet'!AW140</f>
        <v>0.7874731223984317</v>
      </c>
      <c r="I149" s="30">
        <f>'Input Sheet'!AX140</f>
        <v>10.222941072264691</v>
      </c>
      <c r="J149" s="30">
        <f>'Input Sheet'!AY140</f>
        <v>0.20210556453400719</v>
      </c>
      <c r="K149" s="30">
        <f>'Input Sheet'!AZ140</f>
        <v>0.11920813156136789</v>
      </c>
      <c r="L149" s="62">
        <v>1</v>
      </c>
      <c r="M149" s="30">
        <f>L149/L$34</f>
        <v>0.2</v>
      </c>
      <c r="N149" s="29"/>
      <c r="O149" s="29"/>
      <c r="P149" s="29"/>
      <c r="Q149" s="29"/>
      <c r="R149" s="45">
        <f>F149</f>
        <v>1</v>
      </c>
      <c r="S149" s="45">
        <f t="shared" ref="S149:W153" si="83">G149</f>
        <v>0.70573985886607138</v>
      </c>
      <c r="T149" s="45">
        <f t="shared" si="83"/>
        <v>0.7874731223984317</v>
      </c>
      <c r="U149" s="45">
        <f t="shared" si="83"/>
        <v>10.222941072264691</v>
      </c>
      <c r="V149" s="45">
        <f t="shared" si="83"/>
        <v>0.20210556453400719</v>
      </c>
      <c r="W149" s="45">
        <f t="shared" si="83"/>
        <v>0.11920813156136789</v>
      </c>
      <c r="X149" s="46"/>
      <c r="Y149" s="46"/>
      <c r="Z149" s="46"/>
    </row>
    <row r="150" spans="1:26" ht="31.2">
      <c r="A150" s="825"/>
      <c r="B150" s="879"/>
      <c r="C150" s="966"/>
      <c r="D150" s="951"/>
      <c r="E150" s="23" t="s">
        <v>491</v>
      </c>
      <c r="F150" s="30">
        <f>'Input Sheet'!AU141</f>
        <v>1</v>
      </c>
      <c r="G150" s="30">
        <f>'Input Sheet'!AV141</f>
        <v>0.47450338074124165</v>
      </c>
      <c r="H150" s="30">
        <f>'Input Sheet'!AW141</f>
        <v>0.29084329137157167</v>
      </c>
      <c r="I150" s="30">
        <f>'Input Sheet'!AX141</f>
        <v>2.4883594743575217E-2</v>
      </c>
      <c r="J150" s="30">
        <f>'Input Sheet'!AY141</f>
        <v>0.23224094686735186</v>
      </c>
      <c r="K150" s="30">
        <f>'Input Sheet'!AZ141</f>
        <v>5.3268874490209322E-3</v>
      </c>
      <c r="L150" s="62">
        <v>1</v>
      </c>
      <c r="M150" s="30">
        <f t="shared" ref="M150:M153" si="84">L150/L$34</f>
        <v>0.2</v>
      </c>
      <c r="N150" s="29"/>
      <c r="O150" s="29"/>
      <c r="P150" s="29"/>
      <c r="Q150" s="29"/>
      <c r="R150" s="45">
        <f t="shared" ref="R150:R153" si="85">F150</f>
        <v>1</v>
      </c>
      <c r="S150" s="45">
        <f t="shared" si="83"/>
        <v>0.47450338074124165</v>
      </c>
      <c r="T150" s="45">
        <f t="shared" si="83"/>
        <v>0.29084329137157167</v>
      </c>
      <c r="U150" s="45">
        <f t="shared" si="83"/>
        <v>2.4883594743575217E-2</v>
      </c>
      <c r="V150" s="45">
        <f t="shared" si="83"/>
        <v>0.23224094686735186</v>
      </c>
      <c r="W150" s="45">
        <f t="shared" si="83"/>
        <v>5.3268874490209322E-3</v>
      </c>
      <c r="X150" s="46"/>
      <c r="Y150" s="46"/>
      <c r="Z150" s="46"/>
    </row>
    <row r="151" spans="1:26" ht="15.6">
      <c r="A151" s="825"/>
      <c r="B151" s="879"/>
      <c r="C151" s="966"/>
      <c r="D151" s="951"/>
      <c r="E151" s="23" t="s">
        <v>459</v>
      </c>
      <c r="F151" s="30">
        <f>'Input Sheet'!AU142</f>
        <v>1</v>
      </c>
      <c r="G151" s="30">
        <f>'Input Sheet'!AV142</f>
        <v>1</v>
      </c>
      <c r="H151" s="30">
        <f>'Input Sheet'!AW142</f>
        <v>1</v>
      </c>
      <c r="I151" s="30">
        <f>'Input Sheet'!AX142</f>
        <v>0.24526760348267987</v>
      </c>
      <c r="J151" s="30">
        <f>'Input Sheet'!AY142</f>
        <v>1</v>
      </c>
      <c r="K151" s="30">
        <f>'Input Sheet'!AZ142</f>
        <v>0.53129788176043136</v>
      </c>
      <c r="L151" s="62">
        <v>1</v>
      </c>
      <c r="M151" s="30">
        <f t="shared" si="84"/>
        <v>0.2</v>
      </c>
      <c r="N151" s="29"/>
      <c r="O151" s="29"/>
      <c r="P151" s="29"/>
      <c r="Q151" s="29"/>
      <c r="R151" s="45">
        <f t="shared" si="85"/>
        <v>1</v>
      </c>
      <c r="S151" s="45">
        <f t="shared" si="83"/>
        <v>1</v>
      </c>
      <c r="T151" s="45">
        <f t="shared" si="83"/>
        <v>1</v>
      </c>
      <c r="U151" s="45">
        <f t="shared" si="83"/>
        <v>0.24526760348267987</v>
      </c>
      <c r="V151" s="45">
        <f t="shared" si="83"/>
        <v>1</v>
      </c>
      <c r="W151" s="45">
        <f t="shared" si="83"/>
        <v>0.53129788176043136</v>
      </c>
      <c r="X151" s="46"/>
      <c r="Y151" s="46"/>
      <c r="Z151" s="46"/>
    </row>
    <row r="152" spans="1:26" ht="15.6">
      <c r="A152" s="825"/>
      <c r="B152" s="879"/>
      <c r="C152" s="966"/>
      <c r="D152" s="951"/>
      <c r="E152" s="23" t="s">
        <v>492</v>
      </c>
      <c r="F152" s="30">
        <f>'Input Sheet'!AU143</f>
        <v>1</v>
      </c>
      <c r="G152" s="30">
        <f>'Input Sheet'!AV143</f>
        <v>0.83945702076920725</v>
      </c>
      <c r="H152" s="30">
        <f>'Input Sheet'!AW143</f>
        <v>0.83945702076920725</v>
      </c>
      <c r="I152" s="30">
        <f>'Input Sheet'!AX143</f>
        <v>1.6904588483790908</v>
      </c>
      <c r="J152" s="30">
        <f>'Input Sheet'!AY143</f>
        <v>0.83945702076920725</v>
      </c>
      <c r="K152" s="30">
        <f>'Input Sheet'!AZ143</f>
        <v>1.6904588483790908</v>
      </c>
      <c r="L152" s="62">
        <v>1</v>
      </c>
      <c r="M152" s="30">
        <f t="shared" si="84"/>
        <v>0.2</v>
      </c>
      <c r="N152" s="29"/>
      <c r="O152" s="29"/>
      <c r="P152" s="29"/>
      <c r="Q152" s="29"/>
      <c r="R152" s="45">
        <f t="shared" si="85"/>
        <v>1</v>
      </c>
      <c r="S152" s="45">
        <f t="shared" si="83"/>
        <v>0.83945702076920725</v>
      </c>
      <c r="T152" s="45">
        <f t="shared" si="83"/>
        <v>0.83945702076920725</v>
      </c>
      <c r="U152" s="45">
        <f t="shared" si="83"/>
        <v>1.6904588483790908</v>
      </c>
      <c r="V152" s="45">
        <f t="shared" si="83"/>
        <v>0.83945702076920725</v>
      </c>
      <c r="W152" s="45">
        <f t="shared" si="83"/>
        <v>1.6904588483790908</v>
      </c>
      <c r="X152" s="46"/>
      <c r="Y152" s="46"/>
      <c r="Z152" s="46"/>
    </row>
    <row r="153" spans="1:26" ht="15.6">
      <c r="A153" s="825"/>
      <c r="B153" s="879"/>
      <c r="C153" s="966"/>
      <c r="D153" s="951"/>
      <c r="E153" s="34" t="s">
        <v>461</v>
      </c>
      <c r="F153" s="30">
        <f>'Input Sheet'!AU144</f>
        <v>1</v>
      </c>
      <c r="G153" s="30">
        <f>'Input Sheet'!AV144</f>
        <v>0.71653131057378894</v>
      </c>
      <c r="H153" s="30">
        <f>'Input Sheet'!AW144</f>
        <v>0.52921334150005017</v>
      </c>
      <c r="I153" s="30">
        <f>'Input Sheet'!AX144</f>
        <v>0.31140322391459774</v>
      </c>
      <c r="J153" s="30">
        <f>'Input Sheet'!AY144</f>
        <v>1</v>
      </c>
      <c r="K153" s="30">
        <f>'Input Sheet'!AZ144</f>
        <v>1</v>
      </c>
      <c r="L153" s="62">
        <v>1</v>
      </c>
      <c r="M153" s="30">
        <f t="shared" si="84"/>
        <v>0.2</v>
      </c>
      <c r="N153" s="29"/>
      <c r="O153" s="29"/>
      <c r="P153" s="29"/>
      <c r="Q153" s="29"/>
      <c r="R153" s="45">
        <f t="shared" si="85"/>
        <v>1</v>
      </c>
      <c r="S153" s="45">
        <f t="shared" si="83"/>
        <v>0.71653131057378894</v>
      </c>
      <c r="T153" s="45">
        <f t="shared" si="83"/>
        <v>0.52921334150005017</v>
      </c>
      <c r="U153" s="45">
        <f t="shared" si="83"/>
        <v>0.31140322391459774</v>
      </c>
      <c r="V153" s="45">
        <f t="shared" si="83"/>
        <v>1</v>
      </c>
      <c r="W153" s="45">
        <f t="shared" si="83"/>
        <v>1</v>
      </c>
      <c r="X153" s="46"/>
      <c r="Y153" s="46"/>
      <c r="Z153" s="46"/>
    </row>
    <row r="154" spans="1:26" ht="15.6">
      <c r="A154" s="825">
        <v>2</v>
      </c>
      <c r="B154" s="879"/>
      <c r="C154" s="966"/>
      <c r="D154" s="951"/>
      <c r="E154" s="23" t="s">
        <v>38</v>
      </c>
      <c r="F154" s="47"/>
      <c r="G154" s="47"/>
      <c r="H154" s="47"/>
      <c r="I154" s="47"/>
      <c r="J154" s="47"/>
      <c r="K154" s="47"/>
      <c r="L154" s="449">
        <f>SUM(L149:L153)</f>
        <v>5</v>
      </c>
      <c r="M154" s="872" t="s">
        <v>493</v>
      </c>
      <c r="N154" s="873"/>
      <c r="O154" s="873"/>
      <c r="P154" s="873"/>
      <c r="Q154" s="874"/>
      <c r="R154" s="45">
        <f>SUM(R149:R153)</f>
        <v>5</v>
      </c>
      <c r="S154" s="45">
        <f t="shared" ref="S154:T154" si="86">SUM(S149:S153)</f>
        <v>3.7362315709503093</v>
      </c>
      <c r="T154" s="45">
        <f t="shared" si="86"/>
        <v>3.4469867760392603</v>
      </c>
      <c r="U154" s="45">
        <f>SUM(U149:U153)</f>
        <v>12.494954342784633</v>
      </c>
      <c r="V154" s="45">
        <f>SUM(V149:V153)</f>
        <v>3.2738035321705663</v>
      </c>
      <c r="W154" s="45">
        <f>SUM(W149:W153)</f>
        <v>3.3462917491499109</v>
      </c>
      <c r="X154" s="48"/>
      <c r="Y154" s="48"/>
      <c r="Z154" s="48"/>
    </row>
    <row r="155" spans="1:26" ht="15.6">
      <c r="A155" s="825"/>
      <c r="B155" s="879"/>
      <c r="C155" s="966"/>
      <c r="D155" s="951"/>
      <c r="E155" s="23"/>
      <c r="F155" s="23"/>
      <c r="G155" s="23"/>
      <c r="H155" s="23"/>
      <c r="I155" s="23"/>
      <c r="J155" s="23"/>
      <c r="K155" s="23"/>
      <c r="L155" s="23"/>
      <c r="M155" s="872" t="s">
        <v>494</v>
      </c>
      <c r="N155" s="873"/>
      <c r="O155" s="873"/>
      <c r="P155" s="873"/>
      <c r="Q155" s="874"/>
      <c r="R155" s="45">
        <f>R154/SUM($R154:$W154)</f>
        <v>0.15975324911326463</v>
      </c>
      <c r="S155" s="45">
        <f t="shared" ref="S155:T155" si="87">S154/SUM($R154:$W154)</f>
        <v>0.11937502657977377</v>
      </c>
      <c r="T155" s="45">
        <f t="shared" si="87"/>
        <v>0.11013346742454577</v>
      </c>
      <c r="U155" s="45">
        <f>U154/SUM($R154:$W154)</f>
        <v>0.39922191075634822</v>
      </c>
      <c r="V155" s="45">
        <f>V154/SUM($R154:$W154)</f>
        <v>0.10460015024454603</v>
      </c>
      <c r="W155" s="45">
        <f>W154/SUM($R154:$W154)</f>
        <v>0.10691619588152154</v>
      </c>
      <c r="X155" s="17"/>
      <c r="Y155" s="17"/>
      <c r="Z155" s="17"/>
    </row>
    <row r="156" spans="1:26" ht="15.6">
      <c r="A156" s="825"/>
      <c r="B156" s="879"/>
      <c r="C156" s="966"/>
      <c r="D156" s="951"/>
      <c r="E156" s="446"/>
      <c r="F156" s="941"/>
      <c r="G156" s="942"/>
      <c r="H156" s="942"/>
      <c r="I156" s="942"/>
      <c r="J156" s="942"/>
      <c r="K156" s="942"/>
      <c r="L156" s="942"/>
      <c r="M156" s="942"/>
      <c r="N156" s="942"/>
      <c r="O156" s="942"/>
      <c r="P156" s="942"/>
      <c r="Q156" s="942"/>
      <c r="R156" s="942"/>
      <c r="S156" s="942"/>
      <c r="T156" s="942"/>
      <c r="U156" s="942"/>
      <c r="V156" s="942"/>
      <c r="W156" s="943"/>
      <c r="X156" s="17"/>
      <c r="Y156" s="17"/>
      <c r="Z156" s="17"/>
    </row>
    <row r="157" spans="1:26" ht="15.6">
      <c r="A157" s="825"/>
      <c r="B157" s="879"/>
      <c r="C157" s="966"/>
      <c r="D157" s="951"/>
      <c r="E157" s="23"/>
      <c r="F157" s="30">
        <f>'Input Sheet'!AU146</f>
        <v>1</v>
      </c>
      <c r="G157" s="30">
        <f>'Input Sheet'!AV146</f>
        <v>0.9</v>
      </c>
      <c r="H157" s="30">
        <f>'Input Sheet'!AW146</f>
        <v>0.75</v>
      </c>
      <c r="I157" s="30">
        <f>'Input Sheet'!AX146</f>
        <v>0.85</v>
      </c>
      <c r="J157" s="30">
        <f>'Input Sheet'!AY146</f>
        <v>0.55000000000000004</v>
      </c>
      <c r="K157" s="30">
        <f>'Input Sheet'!AZ146</f>
        <v>0.35</v>
      </c>
      <c r="L157" s="23"/>
      <c r="M157" s="957" t="s">
        <v>495</v>
      </c>
      <c r="N157" s="958"/>
      <c r="O157" s="958"/>
      <c r="P157" s="958"/>
      <c r="Q157" s="959"/>
      <c r="R157" s="45">
        <f>R155*F157</f>
        <v>0.15975324911326463</v>
      </c>
      <c r="S157" s="45">
        <f t="shared" ref="S157:T157" si="88">S155*G157</f>
        <v>0.1074375239217964</v>
      </c>
      <c r="T157" s="45">
        <f t="shared" si="88"/>
        <v>8.2600100568409329E-2</v>
      </c>
      <c r="U157" s="45">
        <f>U155*I157</f>
        <v>0.33933862414289595</v>
      </c>
      <c r="V157" s="45">
        <f>V155*J157</f>
        <v>5.7530082634500317E-2</v>
      </c>
      <c r="W157" s="45">
        <f>W155*K157</f>
        <v>3.7420668558532537E-2</v>
      </c>
      <c r="X157" s="17"/>
      <c r="Y157" s="17"/>
      <c r="Z157" s="17"/>
    </row>
    <row r="158" spans="1:26" ht="15.6" customHeight="1">
      <c r="A158" s="825"/>
      <c r="B158" s="879"/>
      <c r="C158" s="966"/>
      <c r="D158" s="951"/>
      <c r="E158" s="23"/>
      <c r="F158" s="960" t="s">
        <v>923</v>
      </c>
      <c r="G158" s="961"/>
      <c r="H158" s="961"/>
      <c r="I158" s="961"/>
      <c r="J158" s="961"/>
      <c r="K158" s="961"/>
      <c r="L158" s="961"/>
      <c r="M158" s="961"/>
      <c r="N158" s="961"/>
      <c r="O158" s="961"/>
      <c r="P158" s="961"/>
      <c r="Q158" s="962"/>
      <c r="R158" s="45">
        <f>R157</f>
        <v>0.15975324911326463</v>
      </c>
      <c r="S158" s="45">
        <f>S157*'Input Sheet'!BI138/'Input Sheet'!BH138</f>
        <v>0.10743752392179641</v>
      </c>
      <c r="T158" s="45">
        <f>T157*'Input Sheet'!BJ138/'Input Sheet'!BH138</f>
        <v>0</v>
      </c>
      <c r="U158" s="45">
        <f>U157</f>
        <v>0.33933862414289595</v>
      </c>
      <c r="V158" s="45">
        <f>V157</f>
        <v>5.7530082634500317E-2</v>
      </c>
      <c r="W158" s="45">
        <f>W157</f>
        <v>3.7420668558532537E-2</v>
      </c>
      <c r="X158" s="17"/>
      <c r="Y158" s="17"/>
      <c r="Z158" s="17"/>
    </row>
    <row r="159" spans="1:26" ht="15.6" customHeight="1">
      <c r="A159" s="825"/>
      <c r="B159" s="879"/>
      <c r="C159" s="966"/>
      <c r="D159" s="951"/>
      <c r="E159" s="23"/>
      <c r="F159" s="963" t="s">
        <v>924</v>
      </c>
      <c r="G159" s="964"/>
      <c r="H159" s="964"/>
      <c r="I159" s="964"/>
      <c r="J159" s="964"/>
      <c r="K159" s="964"/>
      <c r="L159" s="964"/>
      <c r="M159" s="964"/>
      <c r="N159" s="964"/>
      <c r="O159" s="964"/>
      <c r="P159" s="964"/>
      <c r="Q159" s="965"/>
      <c r="R159" s="50">
        <f>R158/(R158+U158+V158+W158+S158+T158)</f>
        <v>0.22773737715065942</v>
      </c>
      <c r="S159" s="50">
        <f>S158/(R158+S158+T158+U158+V158+W158)</f>
        <v>0.15315832411122804</v>
      </c>
      <c r="T159" s="50">
        <f>T158/(R158+S158+T158+U158+V158+W158)</f>
        <v>0</v>
      </c>
      <c r="U159" s="50">
        <f>U158/(R158+U158+V158+W158+S158+T158)</f>
        <v>0.48374658203931226</v>
      </c>
      <c r="V159" s="50">
        <f>V158/(R158+U158+V158+W158+S158+T158)</f>
        <v>8.2012417269539811E-2</v>
      </c>
      <c r="W159" s="50">
        <f>W158/(R158+U158+V158+W158+S158+T158)</f>
        <v>5.3345299429260501E-2</v>
      </c>
      <c r="X159" s="17"/>
      <c r="Y159" s="17"/>
      <c r="Z159" s="17"/>
    </row>
    <row r="160" spans="1:26" ht="15.6" customHeight="1">
      <c r="A160" s="825"/>
      <c r="B160" s="880"/>
      <c r="C160" s="966"/>
      <c r="D160" s="951"/>
      <c r="E160" s="23"/>
      <c r="F160" s="963" t="s">
        <v>925</v>
      </c>
      <c r="G160" s="964"/>
      <c r="H160" s="964"/>
      <c r="I160" s="964"/>
      <c r="J160" s="964"/>
      <c r="K160" s="964"/>
      <c r="L160" s="964"/>
      <c r="M160" s="964"/>
      <c r="N160" s="964"/>
      <c r="O160" s="964"/>
      <c r="P160" s="964"/>
      <c r="Q160" s="965"/>
      <c r="R160" s="51">
        <f t="shared" ref="R160:W160" si="89">ROUND($C149*$E$2*R159/100,0)*100</f>
        <v>4200</v>
      </c>
      <c r="S160" s="51">
        <f t="shared" si="89"/>
        <v>2800</v>
      </c>
      <c r="T160" s="51">
        <f t="shared" si="89"/>
        <v>0</v>
      </c>
      <c r="U160" s="51">
        <f t="shared" si="89"/>
        <v>9000</v>
      </c>
      <c r="V160" s="51">
        <f t="shared" si="89"/>
        <v>1500</v>
      </c>
      <c r="W160" s="51">
        <f t="shared" si="89"/>
        <v>1000</v>
      </c>
      <c r="X160" s="17"/>
      <c r="Y160" s="17"/>
      <c r="Z160" s="17"/>
    </row>
    <row r="161" spans="1:26" ht="15.75" customHeight="1">
      <c r="A161" s="825">
        <v>14</v>
      </c>
      <c r="B161" s="878" t="s">
        <v>645</v>
      </c>
      <c r="C161" s="966">
        <f>Buckets!N16</f>
        <v>1.5634311354155713E-2</v>
      </c>
      <c r="D161" s="951" t="s">
        <v>490</v>
      </c>
      <c r="E161" s="23" t="s">
        <v>457</v>
      </c>
      <c r="F161" s="30">
        <f>'Input Sheet'!AU151</f>
        <v>1</v>
      </c>
      <c r="G161" s="30">
        <f>'Input Sheet'!AV151</f>
        <v>0.76977851607143144</v>
      </c>
      <c r="H161" s="30">
        <f>'Input Sheet'!AW151</f>
        <v>0.62508792467064145</v>
      </c>
      <c r="I161" s="30">
        <f>'Input Sheet'!AX151</f>
        <v>4.6372785993043539</v>
      </c>
      <c r="J161" s="30">
        <f>'Input Sheet'!AY151</f>
        <v>0.22749373426778677</v>
      </c>
      <c r="K161" s="30">
        <f>'Input Sheet'!AZ151</f>
        <v>0.10227637251129752</v>
      </c>
      <c r="L161" s="62">
        <v>1</v>
      </c>
      <c r="M161" s="30">
        <f>L161/L$34</f>
        <v>0.2</v>
      </c>
      <c r="N161" s="29"/>
      <c r="O161" s="29"/>
      <c r="P161" s="29"/>
      <c r="Q161" s="29"/>
      <c r="R161" s="45">
        <f>F161</f>
        <v>1</v>
      </c>
      <c r="S161" s="45">
        <f t="shared" ref="S161:W165" si="90">G161</f>
        <v>0.76977851607143144</v>
      </c>
      <c r="T161" s="45">
        <f t="shared" si="90"/>
        <v>0.62508792467064145</v>
      </c>
      <c r="U161" s="45">
        <f t="shared" si="90"/>
        <v>4.6372785993043539</v>
      </c>
      <c r="V161" s="45">
        <f t="shared" si="90"/>
        <v>0.22749373426778677</v>
      </c>
      <c r="W161" s="45">
        <f t="shared" si="90"/>
        <v>0.10227637251129752</v>
      </c>
      <c r="X161" s="46"/>
      <c r="Y161" s="46"/>
      <c r="Z161" s="46"/>
    </row>
    <row r="162" spans="1:26" ht="31.2">
      <c r="A162" s="825"/>
      <c r="B162" s="879"/>
      <c r="C162" s="966"/>
      <c r="D162" s="951"/>
      <c r="E162" s="23" t="s">
        <v>491</v>
      </c>
      <c r="F162" s="30">
        <f>'Input Sheet'!AU152</f>
        <v>1</v>
      </c>
      <c r="G162" s="30">
        <f>'Input Sheet'!AV152</f>
        <v>0.52828657228464149</v>
      </c>
      <c r="H162" s="30">
        <f>'Input Sheet'!AW152</f>
        <v>0.14134026319431373</v>
      </c>
      <c r="I162" s="30">
        <f>'Input Sheet'!AX152</f>
        <v>2.4762285051901631E-2</v>
      </c>
      <c r="J162" s="30">
        <f>'Input Sheet'!AY152</f>
        <v>0.28336308595201121</v>
      </c>
      <c r="K162" s="30">
        <f>'Input Sheet'!AZ152</f>
        <v>8.6896004263579737E-3</v>
      </c>
      <c r="L162" s="62">
        <v>1</v>
      </c>
      <c r="M162" s="30">
        <f t="shared" ref="M162:M165" si="91">L162/L$34</f>
        <v>0.2</v>
      </c>
      <c r="N162" s="29"/>
      <c r="O162" s="29"/>
      <c r="P162" s="29"/>
      <c r="Q162" s="29"/>
      <c r="R162" s="45">
        <f t="shared" ref="R162:R165" si="92">F162</f>
        <v>1</v>
      </c>
      <c r="S162" s="45">
        <f t="shared" si="90"/>
        <v>0.52828657228464149</v>
      </c>
      <c r="T162" s="45">
        <f t="shared" si="90"/>
        <v>0.14134026319431373</v>
      </c>
      <c r="U162" s="45">
        <f t="shared" si="90"/>
        <v>2.4762285051901631E-2</v>
      </c>
      <c r="V162" s="45">
        <f t="shared" si="90"/>
        <v>0.28336308595201121</v>
      </c>
      <c r="W162" s="45">
        <f t="shared" si="90"/>
        <v>8.6896004263579737E-3</v>
      </c>
      <c r="X162" s="46"/>
      <c r="Y162" s="46"/>
      <c r="Z162" s="46"/>
    </row>
    <row r="163" spans="1:26" ht="15.6">
      <c r="A163" s="825"/>
      <c r="B163" s="879"/>
      <c r="C163" s="966"/>
      <c r="D163" s="951"/>
      <c r="E163" s="23" t="s">
        <v>459</v>
      </c>
      <c r="F163" s="30">
        <f>'Input Sheet'!AU153</f>
        <v>1</v>
      </c>
      <c r="G163" s="30">
        <f>'Input Sheet'!AV153</f>
        <v>1</v>
      </c>
      <c r="H163" s="30">
        <f>'Input Sheet'!AW153</f>
        <v>1</v>
      </c>
      <c r="I163" s="30">
        <f>'Input Sheet'!AX153</f>
        <v>0.21828554812642756</v>
      </c>
      <c r="J163" s="30">
        <f>'Input Sheet'!AY153</f>
        <v>1</v>
      </c>
      <c r="K163" s="30">
        <f>'Input Sheet'!AZ153</f>
        <v>0.56511179095104691</v>
      </c>
      <c r="L163" s="62">
        <v>1</v>
      </c>
      <c r="M163" s="30">
        <f t="shared" si="91"/>
        <v>0.2</v>
      </c>
      <c r="N163" s="29"/>
      <c r="O163" s="29"/>
      <c r="P163" s="29"/>
      <c r="Q163" s="29"/>
      <c r="R163" s="45">
        <f t="shared" si="92"/>
        <v>1</v>
      </c>
      <c r="S163" s="45">
        <f t="shared" si="90"/>
        <v>1</v>
      </c>
      <c r="T163" s="45">
        <f t="shared" si="90"/>
        <v>1</v>
      </c>
      <c r="U163" s="45">
        <f t="shared" si="90"/>
        <v>0.21828554812642756</v>
      </c>
      <c r="V163" s="45">
        <f t="shared" si="90"/>
        <v>1</v>
      </c>
      <c r="W163" s="45">
        <f t="shared" si="90"/>
        <v>0.56511179095104691</v>
      </c>
      <c r="X163" s="46"/>
      <c r="Y163" s="46"/>
      <c r="Z163" s="46"/>
    </row>
    <row r="164" spans="1:26" ht="15.6">
      <c r="A164" s="825"/>
      <c r="B164" s="879"/>
      <c r="C164" s="966"/>
      <c r="D164" s="951"/>
      <c r="E164" s="23" t="s">
        <v>492</v>
      </c>
      <c r="F164" s="30">
        <f>'Input Sheet'!AU154</f>
        <v>1</v>
      </c>
      <c r="G164" s="30">
        <f>'Input Sheet'!AV154</f>
        <v>0.83945702076920725</v>
      </c>
      <c r="H164" s="30">
        <f>'Input Sheet'!AW154</f>
        <v>0.83945702076920725</v>
      </c>
      <c r="I164" s="30">
        <f>'Input Sheet'!AX154</f>
        <v>1.6904588483790908</v>
      </c>
      <c r="J164" s="30">
        <f>'Input Sheet'!AY154</f>
        <v>0.83945702076920725</v>
      </c>
      <c r="K164" s="30">
        <f>'Input Sheet'!AZ154</f>
        <v>1.6904588483790908</v>
      </c>
      <c r="L164" s="62">
        <v>1</v>
      </c>
      <c r="M164" s="30">
        <f t="shared" si="91"/>
        <v>0.2</v>
      </c>
      <c r="N164" s="29"/>
      <c r="O164" s="29"/>
      <c r="P164" s="29"/>
      <c r="Q164" s="29"/>
      <c r="R164" s="45">
        <f t="shared" si="92"/>
        <v>1</v>
      </c>
      <c r="S164" s="45">
        <f t="shared" si="90"/>
        <v>0.83945702076920725</v>
      </c>
      <c r="T164" s="45">
        <f t="shared" si="90"/>
        <v>0.83945702076920725</v>
      </c>
      <c r="U164" s="45">
        <f t="shared" si="90"/>
        <v>1.6904588483790908</v>
      </c>
      <c r="V164" s="45">
        <f t="shared" si="90"/>
        <v>0.83945702076920725</v>
      </c>
      <c r="W164" s="45">
        <f t="shared" si="90"/>
        <v>1.6904588483790908</v>
      </c>
      <c r="X164" s="46"/>
      <c r="Y164" s="46"/>
      <c r="Z164" s="46"/>
    </row>
    <row r="165" spans="1:26" ht="15.6">
      <c r="A165" s="825"/>
      <c r="B165" s="879"/>
      <c r="C165" s="966"/>
      <c r="D165" s="951"/>
      <c r="E165" s="34" t="s">
        <v>461</v>
      </c>
      <c r="F165" s="30">
        <f>'Input Sheet'!AU155</f>
        <v>1</v>
      </c>
      <c r="G165" s="30">
        <f>'Input Sheet'!AV155</f>
        <v>0.71653131057378894</v>
      </c>
      <c r="H165" s="30">
        <f>'Input Sheet'!AW155</f>
        <v>0.52921334150005017</v>
      </c>
      <c r="I165" s="30">
        <f>'Input Sheet'!AX155</f>
        <v>0.31140322391459774</v>
      </c>
      <c r="J165" s="30">
        <f>'Input Sheet'!AY155</f>
        <v>1</v>
      </c>
      <c r="K165" s="30">
        <f>'Input Sheet'!AZ155</f>
        <v>1</v>
      </c>
      <c r="L165" s="62">
        <v>1</v>
      </c>
      <c r="M165" s="30">
        <f t="shared" si="91"/>
        <v>0.2</v>
      </c>
      <c r="N165" s="29"/>
      <c r="O165" s="29"/>
      <c r="P165" s="29"/>
      <c r="Q165" s="29"/>
      <c r="R165" s="45">
        <f t="shared" si="92"/>
        <v>1</v>
      </c>
      <c r="S165" s="45">
        <f t="shared" si="90"/>
        <v>0.71653131057378894</v>
      </c>
      <c r="T165" s="45">
        <f t="shared" si="90"/>
        <v>0.52921334150005017</v>
      </c>
      <c r="U165" s="45">
        <f t="shared" si="90"/>
        <v>0.31140322391459774</v>
      </c>
      <c r="V165" s="45">
        <f t="shared" si="90"/>
        <v>1</v>
      </c>
      <c r="W165" s="45">
        <f t="shared" si="90"/>
        <v>1</v>
      </c>
      <c r="X165" s="46"/>
      <c r="Y165" s="46"/>
      <c r="Z165" s="46"/>
    </row>
    <row r="166" spans="1:26" ht="15.6">
      <c r="A166" s="825">
        <v>2</v>
      </c>
      <c r="B166" s="879"/>
      <c r="C166" s="966"/>
      <c r="D166" s="951"/>
      <c r="E166" s="23" t="s">
        <v>38</v>
      </c>
      <c r="F166" s="47"/>
      <c r="G166" s="47"/>
      <c r="H166" s="47"/>
      <c r="I166" s="47"/>
      <c r="J166" s="47"/>
      <c r="K166" s="47"/>
      <c r="L166" s="449">
        <f>SUM(L161:L165)</f>
        <v>5</v>
      </c>
      <c r="M166" s="872" t="s">
        <v>493</v>
      </c>
      <c r="N166" s="873"/>
      <c r="O166" s="873"/>
      <c r="P166" s="873"/>
      <c r="Q166" s="874"/>
      <c r="R166" s="45">
        <f>SUM(R161:R165)</f>
        <v>5</v>
      </c>
      <c r="S166" s="45">
        <f t="shared" ref="S166:T166" si="93">SUM(S161:S165)</f>
        <v>3.8540534196990688</v>
      </c>
      <c r="T166" s="45">
        <f t="shared" si="93"/>
        <v>3.1350985501342121</v>
      </c>
      <c r="U166" s="45">
        <f>SUM(U161:U165)</f>
        <v>6.882188504776372</v>
      </c>
      <c r="V166" s="45">
        <f>SUM(V161:V165)</f>
        <v>3.350313840989005</v>
      </c>
      <c r="W166" s="45">
        <f>SUM(W161:W165)</f>
        <v>3.3665366122677933</v>
      </c>
      <c r="X166" s="48"/>
      <c r="Y166" s="48"/>
      <c r="Z166" s="48"/>
    </row>
    <row r="167" spans="1:26" ht="15.6">
      <c r="A167" s="825"/>
      <c r="B167" s="879"/>
      <c r="C167" s="966"/>
      <c r="D167" s="951"/>
      <c r="E167" s="23"/>
      <c r="F167" s="23"/>
      <c r="G167" s="23"/>
      <c r="H167" s="23"/>
      <c r="I167" s="23"/>
      <c r="J167" s="23"/>
      <c r="K167" s="23"/>
      <c r="L167" s="23"/>
      <c r="M167" s="872" t="s">
        <v>494</v>
      </c>
      <c r="N167" s="873"/>
      <c r="O167" s="873"/>
      <c r="P167" s="873"/>
      <c r="Q167" s="874"/>
      <c r="R167" s="45">
        <f>R166/SUM($R166:$W166)</f>
        <v>0.19540263765012092</v>
      </c>
      <c r="S167" s="45">
        <f t="shared" ref="S167:T167" si="94">S166/SUM($R166:$W166)</f>
        <v>0.1506184407707333</v>
      </c>
      <c r="T167" s="45">
        <f t="shared" si="94"/>
        <v>0.12252130519785899</v>
      </c>
      <c r="U167" s="45">
        <f>U166/SUM($R166:$W166)</f>
        <v>0.26895955732772897</v>
      </c>
      <c r="V167" s="45">
        <f>V166/SUM($R166:$W166)</f>
        <v>0.13093203229699188</v>
      </c>
      <c r="W167" s="45">
        <f>W166/SUM($R166:$W166)</f>
        <v>0.13156602675656584</v>
      </c>
      <c r="X167" s="17"/>
      <c r="Y167" s="17"/>
      <c r="Z167" s="17"/>
    </row>
    <row r="168" spans="1:26" ht="15.6">
      <c r="A168" s="825"/>
      <c r="B168" s="879"/>
      <c r="C168" s="966"/>
      <c r="D168" s="951"/>
      <c r="E168" s="446"/>
      <c r="F168" s="941" t="s">
        <v>495</v>
      </c>
      <c r="G168" s="942"/>
      <c r="H168" s="942"/>
      <c r="I168" s="942"/>
      <c r="J168" s="942"/>
      <c r="K168" s="942"/>
      <c r="L168" s="942"/>
      <c r="M168" s="942"/>
      <c r="N168" s="942"/>
      <c r="O168" s="942"/>
      <c r="P168" s="942"/>
      <c r="Q168" s="942"/>
      <c r="R168" s="942"/>
      <c r="S168" s="942"/>
      <c r="T168" s="942"/>
      <c r="U168" s="942"/>
      <c r="V168" s="942"/>
      <c r="W168" s="943"/>
      <c r="X168" s="17"/>
      <c r="Y168" s="17"/>
      <c r="Z168" s="17"/>
    </row>
    <row r="169" spans="1:26" ht="15.6">
      <c r="A169" s="825"/>
      <c r="B169" s="879"/>
      <c r="C169" s="966"/>
      <c r="D169" s="951"/>
      <c r="E169" s="23"/>
      <c r="F169" s="30">
        <f>'Input Sheet'!AU157</f>
        <v>1</v>
      </c>
      <c r="G169" s="30">
        <f>'Input Sheet'!AV157</f>
        <v>0.85</v>
      </c>
      <c r="H169" s="30">
        <f>'Input Sheet'!AW157</f>
        <v>0.85</v>
      </c>
      <c r="I169" s="30">
        <f>'Input Sheet'!AX157</f>
        <v>0.85</v>
      </c>
      <c r="J169" s="30">
        <f>'Input Sheet'!AY157</f>
        <v>0.55000000000000004</v>
      </c>
      <c r="K169" s="30">
        <f>'Input Sheet'!AZ157</f>
        <v>0.35</v>
      </c>
      <c r="L169" s="23"/>
      <c r="M169" s="43"/>
      <c r="N169" s="49"/>
      <c r="O169" s="49"/>
      <c r="P169" s="49"/>
      <c r="Q169" s="49"/>
      <c r="R169" s="45">
        <f>R167*F169</f>
        <v>0.19540263765012092</v>
      </c>
      <c r="S169" s="45">
        <f t="shared" ref="S169:T169" si="95">S167*G169</f>
        <v>0.12802567465512329</v>
      </c>
      <c r="T169" s="45">
        <f t="shared" si="95"/>
        <v>0.10414310941818014</v>
      </c>
      <c r="U169" s="45">
        <f>U167*I169</f>
        <v>0.22861562372856961</v>
      </c>
      <c r="V169" s="45">
        <f>V167*J169</f>
        <v>7.2012617763345541E-2</v>
      </c>
      <c r="W169" s="45">
        <f>W167*K169</f>
        <v>4.6048109364798043E-2</v>
      </c>
      <c r="X169" s="17"/>
      <c r="Y169" s="17"/>
      <c r="Z169" s="17"/>
    </row>
    <row r="170" spans="1:26" ht="15.6" customHeight="1">
      <c r="A170" s="825"/>
      <c r="B170" s="879"/>
      <c r="C170" s="966"/>
      <c r="D170" s="951"/>
      <c r="E170" s="23"/>
      <c r="F170" s="960" t="s">
        <v>923</v>
      </c>
      <c r="G170" s="961"/>
      <c r="H170" s="961"/>
      <c r="I170" s="961"/>
      <c r="J170" s="961"/>
      <c r="K170" s="961"/>
      <c r="L170" s="961"/>
      <c r="M170" s="961"/>
      <c r="N170" s="961"/>
      <c r="O170" s="961"/>
      <c r="P170" s="961"/>
      <c r="Q170" s="962"/>
      <c r="R170" s="45">
        <f>R169</f>
        <v>0.19540263765012092</v>
      </c>
      <c r="S170" s="45">
        <f>S169*'Input Sheet'!BI149/'Input Sheet'!BH149</f>
        <v>8.4271845185075661E-2</v>
      </c>
      <c r="T170" s="45">
        <f>T169*'Input Sheet'!BJ149/'Input Sheet'!BH149</f>
        <v>3.5591765965993429E-2</v>
      </c>
      <c r="U170" s="45">
        <f>U169</f>
        <v>0.22861562372856961</v>
      </c>
      <c r="V170" s="45">
        <f>V169</f>
        <v>7.2012617763345541E-2</v>
      </c>
      <c r="W170" s="45">
        <f>W169</f>
        <v>4.6048109364798043E-2</v>
      </c>
      <c r="X170" s="17"/>
      <c r="Y170" s="17"/>
      <c r="Z170" s="17"/>
    </row>
    <row r="171" spans="1:26" ht="15.6" customHeight="1">
      <c r="A171" s="825"/>
      <c r="B171" s="879"/>
      <c r="C171" s="966"/>
      <c r="D171" s="951"/>
      <c r="E171" s="23"/>
      <c r="F171" s="963" t="s">
        <v>924</v>
      </c>
      <c r="G171" s="964"/>
      <c r="H171" s="964"/>
      <c r="I171" s="964"/>
      <c r="J171" s="964"/>
      <c r="K171" s="964"/>
      <c r="L171" s="964"/>
      <c r="M171" s="964"/>
      <c r="N171" s="964"/>
      <c r="O171" s="964"/>
      <c r="P171" s="964"/>
      <c r="Q171" s="965"/>
      <c r="R171" s="50">
        <f>R170/(R170+U170+V170+W170+S170+T170)</f>
        <v>0.29519574318242464</v>
      </c>
      <c r="S171" s="50">
        <f>S170/(R170+S170+T170+U170+V170+W170)</f>
        <v>0.12730989851480773</v>
      </c>
      <c r="T171" s="50">
        <f>T170/(R170+S170+T170+U170+V170+W170)</f>
        <v>5.3768659071628734E-2</v>
      </c>
      <c r="U171" s="50">
        <f>U170/(R170+U170+V170+W170+S170+T170)</f>
        <v>0.34537076756613011</v>
      </c>
      <c r="V171" s="50">
        <f>V170/(R170+U170+V170+W170+S170+T170)</f>
        <v>0.10878982226036243</v>
      </c>
      <c r="W171" s="50">
        <f>W170/(R170+U170+V170+W170+S170+T170)</f>
        <v>6.956510940464633E-2</v>
      </c>
      <c r="X171" s="17"/>
      <c r="Y171" s="17"/>
      <c r="Z171" s="17"/>
    </row>
    <row r="172" spans="1:26" ht="15.6" customHeight="1">
      <c r="A172" s="825"/>
      <c r="B172" s="880"/>
      <c r="C172" s="966"/>
      <c r="D172" s="951"/>
      <c r="E172" s="23"/>
      <c r="F172" s="963" t="s">
        <v>925</v>
      </c>
      <c r="G172" s="964"/>
      <c r="H172" s="964"/>
      <c r="I172" s="964"/>
      <c r="J172" s="964"/>
      <c r="K172" s="964"/>
      <c r="L172" s="964"/>
      <c r="M172" s="964"/>
      <c r="N172" s="964"/>
      <c r="O172" s="964"/>
      <c r="P172" s="964"/>
      <c r="Q172" s="965"/>
      <c r="R172" s="51">
        <f t="shared" ref="R172:W172" si="96">ROUND($C161*$E$2*R171/100,0)*100</f>
        <v>2600</v>
      </c>
      <c r="S172" s="51">
        <f t="shared" si="96"/>
        <v>1100</v>
      </c>
      <c r="T172" s="51">
        <f t="shared" si="96"/>
        <v>500</v>
      </c>
      <c r="U172" s="51">
        <f t="shared" si="96"/>
        <v>3100</v>
      </c>
      <c r="V172" s="51">
        <f t="shared" si="96"/>
        <v>1000</v>
      </c>
      <c r="W172" s="51">
        <f t="shared" si="96"/>
        <v>600</v>
      </c>
      <c r="X172" s="17"/>
      <c r="Y172" s="17"/>
      <c r="Z172" s="17"/>
    </row>
    <row r="173" spans="1:26" ht="16.350000000000001" customHeight="1">
      <c r="A173" s="454"/>
      <c r="B173" s="454"/>
    </row>
    <row r="174" spans="1:26" ht="15.75" customHeight="1">
      <c r="E174" s="967" t="s">
        <v>497</v>
      </c>
      <c r="F174" s="963" t="s">
        <v>924</v>
      </c>
      <c r="G174" s="964"/>
      <c r="H174" s="964"/>
      <c r="I174" s="964"/>
      <c r="J174" s="964"/>
      <c r="K174" s="964"/>
      <c r="L174" s="964"/>
      <c r="M174" s="964"/>
      <c r="N174" s="964"/>
      <c r="O174" s="964"/>
      <c r="P174" s="964"/>
      <c r="Q174" s="965"/>
      <c r="R174" s="501">
        <f t="shared" ref="R174:W174" si="97">R175/$E$2/100%</f>
        <v>0.12918492550394392</v>
      </c>
      <c r="S174" s="501">
        <f t="shared" si="97"/>
        <v>6.8711656441717797E-2</v>
      </c>
      <c r="T174" s="501">
        <f t="shared" si="97"/>
        <v>6.3102541630148988E-3</v>
      </c>
      <c r="U174" s="501">
        <f t="shared" si="97"/>
        <v>0.70236634531113062</v>
      </c>
      <c r="V174" s="501">
        <f t="shared" si="97"/>
        <v>4.4522348816827345E-2</v>
      </c>
      <c r="W174" s="501">
        <f t="shared" si="97"/>
        <v>4.8904469763365467E-2</v>
      </c>
    </row>
    <row r="175" spans="1:26" ht="15.6" customHeight="1">
      <c r="E175" s="967"/>
      <c r="F175" s="963" t="s">
        <v>925</v>
      </c>
      <c r="G175" s="964"/>
      <c r="H175" s="964"/>
      <c r="I175" s="964"/>
      <c r="J175" s="964"/>
      <c r="K175" s="964"/>
      <c r="L175" s="964"/>
      <c r="M175" s="964"/>
      <c r="N175" s="964"/>
      <c r="O175" s="964"/>
      <c r="P175" s="964"/>
      <c r="Q175" s="965"/>
      <c r="R175" s="54">
        <f t="shared" ref="R175:W175" si="98">R16+R28+R40+R52+R64+R76+R88+R100+R112+R124+R136+R148+R160+R172</f>
        <v>73700</v>
      </c>
      <c r="S175" s="54">
        <f t="shared" si="98"/>
        <v>39200</v>
      </c>
      <c r="T175" s="54">
        <f t="shared" si="98"/>
        <v>3600</v>
      </c>
      <c r="U175" s="54">
        <f t="shared" si="98"/>
        <v>400700</v>
      </c>
      <c r="V175" s="54">
        <f t="shared" si="98"/>
        <v>25400</v>
      </c>
      <c r="W175" s="54">
        <f t="shared" si="98"/>
        <v>27900</v>
      </c>
    </row>
  </sheetData>
  <mergeCells count="170">
    <mergeCell ref="F170:Q170"/>
    <mergeCell ref="F171:Q171"/>
    <mergeCell ref="F172:Q172"/>
    <mergeCell ref="E174:E175"/>
    <mergeCell ref="F174:Q174"/>
    <mergeCell ref="F175:Q175"/>
    <mergeCell ref="F156:W156"/>
    <mergeCell ref="M157:Q157"/>
    <mergeCell ref="F158:Q158"/>
    <mergeCell ref="F159:Q159"/>
    <mergeCell ref="F160:Q160"/>
    <mergeCell ref="A137:A148"/>
    <mergeCell ref="B137:B148"/>
    <mergeCell ref="C137:C148"/>
    <mergeCell ref="D137:D148"/>
    <mergeCell ref="M142:Q142"/>
    <mergeCell ref="M143:Q143"/>
    <mergeCell ref="F144:W144"/>
    <mergeCell ref="A161:A172"/>
    <mergeCell ref="B161:B172"/>
    <mergeCell ref="C161:C172"/>
    <mergeCell ref="D161:D172"/>
    <mergeCell ref="M166:Q166"/>
    <mergeCell ref="M145:Q145"/>
    <mergeCell ref="F146:Q146"/>
    <mergeCell ref="F147:Q147"/>
    <mergeCell ref="F148:Q148"/>
    <mergeCell ref="A149:A160"/>
    <mergeCell ref="B149:B160"/>
    <mergeCell ref="C149:C160"/>
    <mergeCell ref="D149:D160"/>
    <mergeCell ref="M154:Q154"/>
    <mergeCell ref="M155:Q155"/>
    <mergeCell ref="M167:Q167"/>
    <mergeCell ref="F168:W168"/>
    <mergeCell ref="A125:A136"/>
    <mergeCell ref="B125:B136"/>
    <mergeCell ref="C125:C136"/>
    <mergeCell ref="D125:D136"/>
    <mergeCell ref="M130:Q130"/>
    <mergeCell ref="M131:Q131"/>
    <mergeCell ref="F132:W132"/>
    <mergeCell ref="M133:Q133"/>
    <mergeCell ref="F134:Q134"/>
    <mergeCell ref="F135:Q135"/>
    <mergeCell ref="F136:Q136"/>
    <mergeCell ref="F112:Q112"/>
    <mergeCell ref="A113:A124"/>
    <mergeCell ref="B113:B124"/>
    <mergeCell ref="C113:C124"/>
    <mergeCell ref="D113:D124"/>
    <mergeCell ref="M118:Q118"/>
    <mergeCell ref="M119:Q119"/>
    <mergeCell ref="F120:W120"/>
    <mergeCell ref="M121:Q121"/>
    <mergeCell ref="F122:Q122"/>
    <mergeCell ref="A101:A112"/>
    <mergeCell ref="B101:B112"/>
    <mergeCell ref="C101:C112"/>
    <mergeCell ref="D101:D112"/>
    <mergeCell ref="M106:Q106"/>
    <mergeCell ref="M107:Q107"/>
    <mergeCell ref="F108:W108"/>
    <mergeCell ref="M109:Q109"/>
    <mergeCell ref="F110:Q110"/>
    <mergeCell ref="F111:Q111"/>
    <mergeCell ref="F123:Q123"/>
    <mergeCell ref="F124:Q124"/>
    <mergeCell ref="M97:Q97"/>
    <mergeCell ref="F98:Q98"/>
    <mergeCell ref="F99:Q99"/>
    <mergeCell ref="F100:Q100"/>
    <mergeCell ref="F84:W84"/>
    <mergeCell ref="M85:Q85"/>
    <mergeCell ref="F86:Q86"/>
    <mergeCell ref="F87:Q87"/>
    <mergeCell ref="F88:Q88"/>
    <mergeCell ref="A65:A76"/>
    <mergeCell ref="B65:B76"/>
    <mergeCell ref="C65:C76"/>
    <mergeCell ref="D65:D76"/>
    <mergeCell ref="M70:Q70"/>
    <mergeCell ref="M71:Q71"/>
    <mergeCell ref="F72:W72"/>
    <mergeCell ref="A89:A100"/>
    <mergeCell ref="B89:B100"/>
    <mergeCell ref="C89:C100"/>
    <mergeCell ref="D89:D100"/>
    <mergeCell ref="M94:Q94"/>
    <mergeCell ref="M73:Q73"/>
    <mergeCell ref="F74:Q74"/>
    <mergeCell ref="F75:Q75"/>
    <mergeCell ref="F76:Q76"/>
    <mergeCell ref="A77:A88"/>
    <mergeCell ref="B77:B88"/>
    <mergeCell ref="C77:C88"/>
    <mergeCell ref="D77:D88"/>
    <mergeCell ref="M82:Q82"/>
    <mergeCell ref="M83:Q83"/>
    <mergeCell ref="M95:Q95"/>
    <mergeCell ref="F96:W96"/>
    <mergeCell ref="A53:A64"/>
    <mergeCell ref="B53:B64"/>
    <mergeCell ref="C53:C64"/>
    <mergeCell ref="D53:D64"/>
    <mergeCell ref="M58:Q58"/>
    <mergeCell ref="M59:Q59"/>
    <mergeCell ref="F60:W60"/>
    <mergeCell ref="M61:Q61"/>
    <mergeCell ref="F62:Q62"/>
    <mergeCell ref="F63:Q63"/>
    <mergeCell ref="F64:Q64"/>
    <mergeCell ref="A41:A52"/>
    <mergeCell ref="B41:B52"/>
    <mergeCell ref="C41:C52"/>
    <mergeCell ref="D41:D52"/>
    <mergeCell ref="M46:Q46"/>
    <mergeCell ref="M47:Q47"/>
    <mergeCell ref="F48:W48"/>
    <mergeCell ref="M49:Q49"/>
    <mergeCell ref="F50:Q50"/>
    <mergeCell ref="F51:Q51"/>
    <mergeCell ref="F52:Q52"/>
    <mergeCell ref="F28:Q28"/>
    <mergeCell ref="A29:A40"/>
    <mergeCell ref="B29:B40"/>
    <mergeCell ref="C29:C40"/>
    <mergeCell ref="D29:D40"/>
    <mergeCell ref="M34:Q34"/>
    <mergeCell ref="M35:Q35"/>
    <mergeCell ref="M37:Q37"/>
    <mergeCell ref="F38:Q38"/>
    <mergeCell ref="F39:Q39"/>
    <mergeCell ref="A17:A28"/>
    <mergeCell ref="B17:B28"/>
    <mergeCell ref="C17:C28"/>
    <mergeCell ref="D17:D28"/>
    <mergeCell ref="M22:Q22"/>
    <mergeCell ref="M23:Q23"/>
    <mergeCell ref="F24:W24"/>
    <mergeCell ref="M25:Q25"/>
    <mergeCell ref="F26:Q26"/>
    <mergeCell ref="F27:Q27"/>
    <mergeCell ref="F40:Q40"/>
    <mergeCell ref="B1:F1"/>
    <mergeCell ref="J1:L1"/>
    <mergeCell ref="B2:D2"/>
    <mergeCell ref="I2:L2"/>
    <mergeCell ref="M11:Q11"/>
    <mergeCell ref="F12:W12"/>
    <mergeCell ref="M13:Q13"/>
    <mergeCell ref="F14:Q14"/>
    <mergeCell ref="F15:Q15"/>
    <mergeCell ref="F3:K3"/>
    <mergeCell ref="L3:L4"/>
    <mergeCell ref="M3:M4"/>
    <mergeCell ref="N3:Q3"/>
    <mergeCell ref="R3:W3"/>
    <mergeCell ref="R2:U2"/>
    <mergeCell ref="M10:Q10"/>
    <mergeCell ref="F16:Q16"/>
    <mergeCell ref="A3:A4"/>
    <mergeCell ref="B3:B4"/>
    <mergeCell ref="C3:C4"/>
    <mergeCell ref="D3:D4"/>
    <mergeCell ref="E3:E4"/>
    <mergeCell ref="A5:A16"/>
    <mergeCell ref="B5:B16"/>
    <mergeCell ref="C5:C16"/>
    <mergeCell ref="D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197</vt:i4>
      </vt:variant>
    </vt:vector>
  </HeadingPairs>
  <TitlesOfParts>
    <vt:vector size="247" baseType="lpstr">
      <vt:lpstr>Parameters Fixed</vt:lpstr>
      <vt:lpstr>Parameters Varying</vt:lpstr>
      <vt:lpstr>TCO Compaison</vt:lpstr>
      <vt:lpstr>Results</vt:lpstr>
      <vt:lpstr>Dashboard</vt:lpstr>
      <vt:lpstr>Input Parameters</vt:lpstr>
      <vt:lpstr>Charge station economics</vt:lpstr>
      <vt:lpstr>Charging trend</vt:lpstr>
      <vt:lpstr>Electricity incl CAAS</vt:lpstr>
      <vt:lpstr>AnnualSalesSummary Revised</vt:lpstr>
      <vt:lpstr>Buckets</vt:lpstr>
      <vt:lpstr>Changing with year</vt:lpstr>
      <vt:lpstr>No change with year</vt:lpstr>
      <vt:lpstr>Input Sheet</vt:lpstr>
      <vt:lpstr>Estimation SS2045</vt:lpstr>
      <vt:lpstr>Estimation2050</vt:lpstr>
      <vt:lpstr>Estimation 100% ZET 2055</vt:lpstr>
      <vt:lpstr>PTTM</vt:lpstr>
      <vt:lpstr>Emissions </vt:lpstr>
      <vt:lpstr>Energy Requirementsfinal</vt:lpstr>
      <vt:lpstr>Rough</vt:lpstr>
      <vt:lpstr>B1 - TCO ML 19T</vt:lpstr>
      <vt:lpstr>B2 - TCO ML 28T</vt:lpstr>
      <vt:lpstr>B3 - TCO ML 48T </vt:lpstr>
      <vt:lpstr>B4 - TCO PL&amp;FMCG 19T </vt:lpstr>
      <vt:lpstr>B5 - TCO PL&amp;FMCG 28T </vt:lpstr>
      <vt:lpstr>B6 Perishables 15T</vt:lpstr>
      <vt:lpstr>B7 C&amp;M 28Tip</vt:lpstr>
      <vt:lpstr>B8 C&amp;M 35Tip</vt:lpstr>
      <vt:lpstr>B9 Cement 48T Rigid </vt:lpstr>
      <vt:lpstr>B10 Cement 55 Tractor </vt:lpstr>
      <vt:lpstr>B11 S&amp;M 55Tractor</vt:lpstr>
      <vt:lpstr>B12 POL&amp;CNG Tankers 28T</vt:lpstr>
      <vt:lpstr>TCO 19T B2</vt:lpstr>
      <vt:lpstr>TCO 28T B3</vt:lpstr>
      <vt:lpstr>TCO 55T B4</vt:lpstr>
      <vt:lpstr>TCO 28T B5</vt:lpstr>
      <vt:lpstr>TCO 40T B6</vt:lpstr>
      <vt:lpstr>B13 Non POL Tankers 28T</vt:lpstr>
      <vt:lpstr>B14 LPG Tankers 40T</vt:lpstr>
      <vt:lpstr>PTTM 2045 SS (2)</vt:lpstr>
      <vt:lpstr>Segment Wise Split </vt:lpstr>
      <vt:lpstr>Output Summary</vt:lpstr>
      <vt:lpstr>Segmentwise Sales </vt:lpstr>
      <vt:lpstr>Applicationwise Sales</vt:lpstr>
      <vt:lpstr>Segmentwise Stock</vt:lpstr>
      <vt:lpstr>Applicationwise Stock</vt:lpstr>
      <vt:lpstr>Diesel Only Emissions</vt:lpstr>
      <vt:lpstr>Estimation2035</vt:lpstr>
      <vt:lpstr>Estimation2040</vt:lpstr>
      <vt:lpstr>'B1 - TCO ML 19T'!CNGDensity</vt:lpstr>
      <vt:lpstr>'B2 - TCO ML 28T'!CNGDensity</vt:lpstr>
      <vt:lpstr>'B3 - TCO ML 48T '!CNGDensity</vt:lpstr>
      <vt:lpstr>'B5 - TCO PL&amp;FMCG 28T '!CNGDensity</vt:lpstr>
      <vt:lpstr>'TCO 19T B2'!CNGDensity</vt:lpstr>
      <vt:lpstr>'TCO 28T B3'!CNGDensity</vt:lpstr>
      <vt:lpstr>'TCO 28T B5'!CNGDensity</vt:lpstr>
      <vt:lpstr>'TCO 40T B6'!CNGDensity</vt:lpstr>
      <vt:lpstr>'TCO 55T B4'!CNGDensity</vt:lpstr>
      <vt:lpstr>'B1 - TCO ML 19T'!CNGLCV</vt:lpstr>
      <vt:lpstr>'B2 - TCO ML 28T'!CNGLCV</vt:lpstr>
      <vt:lpstr>'B3 - TCO ML 48T '!CNGLCV</vt:lpstr>
      <vt:lpstr>'B5 - TCO PL&amp;FMCG 28T '!CNGLCV</vt:lpstr>
      <vt:lpstr>'TCO 19T B2'!CNGLCV</vt:lpstr>
      <vt:lpstr>'TCO 28T B3'!CNGLCV</vt:lpstr>
      <vt:lpstr>'TCO 28T B5'!CNGLCV</vt:lpstr>
      <vt:lpstr>'TCO 40T B6'!CNGLCV</vt:lpstr>
      <vt:lpstr>'TCO 55T B4'!CNGLCV</vt:lpstr>
      <vt:lpstr>'TCO 19T B2'!CNGTankDensity</vt:lpstr>
      <vt:lpstr>'TCO 28T B3'!CNGTankDensity</vt:lpstr>
      <vt:lpstr>'TCO 28T B5'!CNGTankDensity</vt:lpstr>
      <vt:lpstr>'TCO 40T B6'!CNGTankDensity</vt:lpstr>
      <vt:lpstr>'TCO 55T B4'!CNGTankDensity</vt:lpstr>
      <vt:lpstr>'TCO 19T B2'!DayspYear</vt:lpstr>
      <vt:lpstr>'TCO 28T B3'!DayspYear</vt:lpstr>
      <vt:lpstr>'TCO 28T B5'!DayspYear</vt:lpstr>
      <vt:lpstr>'TCO 40T B6'!DayspYear</vt:lpstr>
      <vt:lpstr>'TCO 55T B4'!DayspYear</vt:lpstr>
      <vt:lpstr>'B1 - TCO ML 19T'!DieselDensity</vt:lpstr>
      <vt:lpstr>'B2 - TCO ML 28T'!DieselDensity</vt:lpstr>
      <vt:lpstr>'B3 - TCO ML 48T '!DieselDensity</vt:lpstr>
      <vt:lpstr>'B5 - TCO PL&amp;FMCG 28T '!DieselDensity</vt:lpstr>
      <vt:lpstr>'TCO 19T B2'!DieselDensity</vt:lpstr>
      <vt:lpstr>'TCO 28T B3'!DieselDensity</vt:lpstr>
      <vt:lpstr>'TCO 28T B5'!DieselDensity</vt:lpstr>
      <vt:lpstr>'TCO 40T B6'!DieselDensity</vt:lpstr>
      <vt:lpstr>'TCO 55T B4'!DieselDensity</vt:lpstr>
      <vt:lpstr>'B1 - TCO ML 19T'!DieselLCV</vt:lpstr>
      <vt:lpstr>'B2 - TCO ML 28T'!DieselLCV</vt:lpstr>
      <vt:lpstr>'B3 - TCO ML 48T '!DieselLCV</vt:lpstr>
      <vt:lpstr>'B5 - TCO PL&amp;FMCG 28T '!DieselLCV</vt:lpstr>
      <vt:lpstr>'TCO 19T B2'!DieselLCV</vt:lpstr>
      <vt:lpstr>'TCO 28T B3'!DieselLCV</vt:lpstr>
      <vt:lpstr>'TCO 28T B5'!DieselLCV</vt:lpstr>
      <vt:lpstr>'TCO 40T B6'!DieselLCV</vt:lpstr>
      <vt:lpstr>'TCO 55T B4'!DieselLCV</vt:lpstr>
      <vt:lpstr>'B1 - TCO ML 19T'!DriveCycle</vt:lpstr>
      <vt:lpstr>'B10 Cement 55 Tractor '!DriveCycle</vt:lpstr>
      <vt:lpstr>'B11 S&amp;M 55Tractor'!DriveCycle</vt:lpstr>
      <vt:lpstr>'B12 POL&amp;CNG Tankers 28T'!DriveCycle</vt:lpstr>
      <vt:lpstr>'B13 Non POL Tankers 28T'!DriveCycle</vt:lpstr>
      <vt:lpstr>'B14 LPG Tankers 40T'!DriveCycle</vt:lpstr>
      <vt:lpstr>'B2 - TCO ML 28T'!DriveCycle</vt:lpstr>
      <vt:lpstr>'B3 - TCO ML 48T '!DriveCycle</vt:lpstr>
      <vt:lpstr>'B4 - TCO PL&amp;FMCG 19T '!DriveCycle</vt:lpstr>
      <vt:lpstr>'B5 - TCO PL&amp;FMCG 28T '!DriveCycle</vt:lpstr>
      <vt:lpstr>'B6 Perishables 15T'!DriveCycle</vt:lpstr>
      <vt:lpstr>'B7 C&amp;M 28Tip'!DriveCycle</vt:lpstr>
      <vt:lpstr>'B8 C&amp;M 35Tip'!DriveCycle</vt:lpstr>
      <vt:lpstr>'B9 Cement 48T Rigid '!DriveCycle</vt:lpstr>
      <vt:lpstr>'TCO 19T B2'!DriveCycle</vt:lpstr>
      <vt:lpstr>'TCO 28T B3'!DriveCycle</vt:lpstr>
      <vt:lpstr>'TCO 28T B5'!DriveCycle</vt:lpstr>
      <vt:lpstr>'TCO 40T B6'!DriveCycle</vt:lpstr>
      <vt:lpstr>'TCO 55T B4'!DriveCycle</vt:lpstr>
      <vt:lpstr>'B1 - TCO ML 19T'!FCEVBattCap</vt:lpstr>
      <vt:lpstr>'B10 Cement 55 Tractor '!FCEVBattCap</vt:lpstr>
      <vt:lpstr>'B11 S&amp;M 55Tractor'!FCEVBattCap</vt:lpstr>
      <vt:lpstr>'B12 POL&amp;CNG Tankers 28T'!FCEVBattCap</vt:lpstr>
      <vt:lpstr>'B13 Non POL Tankers 28T'!FCEVBattCap</vt:lpstr>
      <vt:lpstr>'B14 LPG Tankers 40T'!FCEVBattCap</vt:lpstr>
      <vt:lpstr>'B2 - TCO ML 28T'!FCEVBattCap</vt:lpstr>
      <vt:lpstr>'B3 - TCO ML 48T '!FCEVBattCap</vt:lpstr>
      <vt:lpstr>'B4 - TCO PL&amp;FMCG 19T '!FCEVBattCap</vt:lpstr>
      <vt:lpstr>'B5 - TCO PL&amp;FMCG 28T '!FCEVBattCap</vt:lpstr>
      <vt:lpstr>'B6 Perishables 15T'!FCEVBattCap</vt:lpstr>
      <vt:lpstr>'B7 C&amp;M 28Tip'!FCEVBattCap</vt:lpstr>
      <vt:lpstr>'B8 C&amp;M 35Tip'!FCEVBattCap</vt:lpstr>
      <vt:lpstr>'B9 Cement 48T Rigid '!FCEVBattCap</vt:lpstr>
      <vt:lpstr>'TCO 19T B2'!FCEVBattCap</vt:lpstr>
      <vt:lpstr>'TCO 28T B3'!FCEVBattCap</vt:lpstr>
      <vt:lpstr>'TCO 28T B5'!FCEVBattCap</vt:lpstr>
      <vt:lpstr>'TCO 40T B6'!FCEVBattCap</vt:lpstr>
      <vt:lpstr>'TCO 55T B4'!FCEVBattCap</vt:lpstr>
      <vt:lpstr>'B1 - TCO ML 19T'!FCPower</vt:lpstr>
      <vt:lpstr>'B10 Cement 55 Tractor '!FCPower</vt:lpstr>
      <vt:lpstr>'B11 S&amp;M 55Tractor'!FCPower</vt:lpstr>
      <vt:lpstr>'B12 POL&amp;CNG Tankers 28T'!FCPower</vt:lpstr>
      <vt:lpstr>'B13 Non POL Tankers 28T'!FCPower</vt:lpstr>
      <vt:lpstr>'B14 LPG Tankers 40T'!FCPower</vt:lpstr>
      <vt:lpstr>'B2 - TCO ML 28T'!FCPower</vt:lpstr>
      <vt:lpstr>'B3 - TCO ML 48T '!FCPower</vt:lpstr>
      <vt:lpstr>'B4 - TCO PL&amp;FMCG 19T '!FCPower</vt:lpstr>
      <vt:lpstr>'B5 - TCO PL&amp;FMCG 28T '!FCPower</vt:lpstr>
      <vt:lpstr>'B6 Perishables 15T'!FCPower</vt:lpstr>
      <vt:lpstr>'B7 C&amp;M 28Tip'!FCPower</vt:lpstr>
      <vt:lpstr>'B8 C&amp;M 35Tip'!FCPower</vt:lpstr>
      <vt:lpstr>'B9 Cement 48T Rigid '!FCPower</vt:lpstr>
      <vt:lpstr>'TCO 19T B2'!FCPower</vt:lpstr>
      <vt:lpstr>'TCO 28T B3'!FCPower</vt:lpstr>
      <vt:lpstr>'TCO 28T B5'!FCPower</vt:lpstr>
      <vt:lpstr>'TCO 40T B6'!FCPower</vt:lpstr>
      <vt:lpstr>'TCO 55T B4'!FCPower</vt:lpstr>
      <vt:lpstr>'B1 - TCO ML 19T'!FCSDensity</vt:lpstr>
      <vt:lpstr>'B10 Cement 55 Tractor '!FCSDensity</vt:lpstr>
      <vt:lpstr>'B11 S&amp;M 55Tractor'!FCSDensity</vt:lpstr>
      <vt:lpstr>'B12 POL&amp;CNG Tankers 28T'!FCSDensity</vt:lpstr>
      <vt:lpstr>'B13 Non POL Tankers 28T'!FCSDensity</vt:lpstr>
      <vt:lpstr>'B14 LPG Tankers 40T'!FCSDensity</vt:lpstr>
      <vt:lpstr>'B2 - TCO ML 28T'!FCSDensity</vt:lpstr>
      <vt:lpstr>'B3 - TCO ML 48T '!FCSDensity</vt:lpstr>
      <vt:lpstr>'B4 - TCO PL&amp;FMCG 19T '!FCSDensity</vt:lpstr>
      <vt:lpstr>'B5 - TCO PL&amp;FMCG 28T '!FCSDensity</vt:lpstr>
      <vt:lpstr>'B6 Perishables 15T'!FCSDensity</vt:lpstr>
      <vt:lpstr>'B7 C&amp;M 28Tip'!FCSDensity</vt:lpstr>
      <vt:lpstr>'B8 C&amp;M 35Tip'!FCSDensity</vt:lpstr>
      <vt:lpstr>'B9 Cement 48T Rigid '!FCSDensity</vt:lpstr>
      <vt:lpstr>'TCO 19T B2'!FCSDensity</vt:lpstr>
      <vt:lpstr>'TCO 28T B3'!FCSDensity</vt:lpstr>
      <vt:lpstr>'TCO 28T B5'!FCSDensity</vt:lpstr>
      <vt:lpstr>'TCO 40T B6'!FCSDensity</vt:lpstr>
      <vt:lpstr>'TCO 55T B4'!FCSDensity</vt:lpstr>
      <vt:lpstr>'B1 - TCO ML 19T'!H2Density</vt:lpstr>
      <vt:lpstr>'B2 - TCO ML 28T'!H2Density</vt:lpstr>
      <vt:lpstr>'B3 - TCO ML 48T '!H2Density</vt:lpstr>
      <vt:lpstr>'B5 - TCO PL&amp;FMCG 28T '!H2Density</vt:lpstr>
      <vt:lpstr>'TCO 19T B2'!H2Density</vt:lpstr>
      <vt:lpstr>'TCO 28T B3'!H2Density</vt:lpstr>
      <vt:lpstr>'TCO 28T B5'!H2Density</vt:lpstr>
      <vt:lpstr>'TCO 40T B6'!H2Density</vt:lpstr>
      <vt:lpstr>'TCO 55T B4'!H2Density</vt:lpstr>
      <vt:lpstr>'B1 - TCO ML 19T'!H2LCV</vt:lpstr>
      <vt:lpstr>'B2 - TCO ML 28T'!H2LCV</vt:lpstr>
      <vt:lpstr>'B3 - TCO ML 48T '!H2LCV</vt:lpstr>
      <vt:lpstr>'B5 - TCO PL&amp;FMCG 28T '!H2LCV</vt:lpstr>
      <vt:lpstr>'TCO 19T B2'!H2LCV</vt:lpstr>
      <vt:lpstr>'TCO 28T B3'!H2LCV</vt:lpstr>
      <vt:lpstr>'TCO 28T B5'!H2LCV</vt:lpstr>
      <vt:lpstr>'TCO 40T B6'!H2LCV</vt:lpstr>
      <vt:lpstr>'TCO 55T B4'!H2LCV</vt:lpstr>
      <vt:lpstr>'TCO 19T B2'!H2TankDensity</vt:lpstr>
      <vt:lpstr>'TCO 28T B3'!H2TankDensity</vt:lpstr>
      <vt:lpstr>'TCO 28T B5'!H2TankDensity</vt:lpstr>
      <vt:lpstr>'TCO 40T B6'!H2TankDensity</vt:lpstr>
      <vt:lpstr>'TCO 55T B4'!H2TankDensity</vt:lpstr>
      <vt:lpstr>'B1 - TCO ML 19T'!ImportMarkup</vt:lpstr>
      <vt:lpstr>'B10 Cement 55 Tractor '!ImportMarkup</vt:lpstr>
      <vt:lpstr>'B11 S&amp;M 55Tractor'!ImportMarkup</vt:lpstr>
      <vt:lpstr>'B12 POL&amp;CNG Tankers 28T'!ImportMarkup</vt:lpstr>
      <vt:lpstr>'B13 Non POL Tankers 28T'!ImportMarkup</vt:lpstr>
      <vt:lpstr>'B14 LPG Tankers 40T'!ImportMarkup</vt:lpstr>
      <vt:lpstr>'B2 - TCO ML 28T'!ImportMarkup</vt:lpstr>
      <vt:lpstr>'B3 - TCO ML 48T '!ImportMarkup</vt:lpstr>
      <vt:lpstr>'B4 - TCO PL&amp;FMCG 19T '!ImportMarkup</vt:lpstr>
      <vt:lpstr>'B5 - TCO PL&amp;FMCG 28T '!ImportMarkup</vt:lpstr>
      <vt:lpstr>'B6 Perishables 15T'!ImportMarkup</vt:lpstr>
      <vt:lpstr>'B7 C&amp;M 28Tip'!ImportMarkup</vt:lpstr>
      <vt:lpstr>'B8 C&amp;M 35Tip'!ImportMarkup</vt:lpstr>
      <vt:lpstr>'B9 Cement 48T Rigid '!ImportMarkup</vt:lpstr>
      <vt:lpstr>'TCO 19T B2'!ImportMarkup</vt:lpstr>
      <vt:lpstr>'TCO 28T B3'!ImportMarkup</vt:lpstr>
      <vt:lpstr>'TCO 28T B5'!ImportMarkup</vt:lpstr>
      <vt:lpstr>'TCO 40T B6'!ImportMarkup</vt:lpstr>
      <vt:lpstr>'TCO 55T B4'!ImportMarkup</vt:lpstr>
      <vt:lpstr>'B1 - TCO ML 19T'!LiBattDensity</vt:lpstr>
      <vt:lpstr>'B2 - TCO ML 28T'!LiBattDensity</vt:lpstr>
      <vt:lpstr>'B3 - TCO ML 48T '!LiBattDensity</vt:lpstr>
      <vt:lpstr>'B5 - TCO PL&amp;FMCG 28T '!LiBattDensity</vt:lpstr>
      <vt:lpstr>'TCO 19T B2'!LiBattDensity</vt:lpstr>
      <vt:lpstr>'TCO 28T B3'!LiBattDensity</vt:lpstr>
      <vt:lpstr>'TCO 28T B5'!LiBattDensity</vt:lpstr>
      <vt:lpstr>'TCO 40T B6'!LiBattDensity</vt:lpstr>
      <vt:lpstr>'TCO 55T B4'!LiBattDensity</vt:lpstr>
      <vt:lpstr>'B1 - TCO ML 19T'!Range</vt:lpstr>
      <vt:lpstr>'B10 Cement 55 Tractor '!Range</vt:lpstr>
      <vt:lpstr>'B11 S&amp;M 55Tractor'!Range</vt:lpstr>
      <vt:lpstr>'B12 POL&amp;CNG Tankers 28T'!Range</vt:lpstr>
      <vt:lpstr>'B13 Non POL Tankers 28T'!Range</vt:lpstr>
      <vt:lpstr>'B14 LPG Tankers 40T'!Range</vt:lpstr>
      <vt:lpstr>'B2 - TCO ML 28T'!Range</vt:lpstr>
      <vt:lpstr>'B3 - TCO ML 48T '!Range</vt:lpstr>
      <vt:lpstr>'B4 - TCO PL&amp;FMCG 19T '!Range</vt:lpstr>
      <vt:lpstr>'B5 - TCO PL&amp;FMCG 28T '!Range</vt:lpstr>
      <vt:lpstr>'B6 Perishables 15T'!Range</vt:lpstr>
      <vt:lpstr>'B7 C&amp;M 28Tip'!Range</vt:lpstr>
      <vt:lpstr>'B8 C&amp;M 35Tip'!Range</vt:lpstr>
      <vt:lpstr>'B9 Cement 48T Rigid '!Range</vt:lpstr>
      <vt:lpstr>'TCO 19T B2'!Range</vt:lpstr>
      <vt:lpstr>'TCO 28T B3'!Range</vt:lpstr>
      <vt:lpstr>'TCO 28T B5'!Range</vt:lpstr>
      <vt:lpstr>'TCO 40T B6'!Range</vt:lpstr>
      <vt:lpstr>'TCO 55T B4'!Range</vt:lpstr>
      <vt:lpstr>'TCO 19T B2'!WheelSEC</vt:lpstr>
      <vt:lpstr>'TCO 28T B3'!WheelSEC</vt:lpstr>
      <vt:lpstr>'TCO 28T B5'!WheelSEC</vt:lpstr>
      <vt:lpstr>'TCO 40T B6'!WheelSEC</vt:lpstr>
      <vt:lpstr>'TCO 55T B4'!WheelSEC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S</dc:creator>
  <cp:keywords/>
  <dc:description/>
  <cp:lastModifiedBy>COEZET ED</cp:lastModifiedBy>
  <cp:revision/>
  <dcterms:created xsi:type="dcterms:W3CDTF">2025-12-24T06:10:52Z</dcterms:created>
  <dcterms:modified xsi:type="dcterms:W3CDTF">2026-06-05T18:33:50Z</dcterms:modified>
  <cp:category/>
  <cp:contentStatus/>
</cp:coreProperties>
</file>